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CAN" sheetId="1" r:id="rId4"/>
    <sheet state="hidden" name="UASCAN" sheetId="2" r:id="rId5"/>
    <sheet state="visible" name="PATIENT DATA (072721)" sheetId="3" r:id="rId6"/>
    <sheet state="hidden" name="Data" sheetId="4" r:id="rId7"/>
    <sheet state="visible" name="VISIT DATA" sheetId="5" r:id="rId8"/>
    <sheet state="visible" name="ERRATA JANUARY" sheetId="6" r:id="rId9"/>
    <sheet state="visible" name="STATS" sheetId="7" r:id="rId10"/>
    <sheet state="hidden" name="01042022" sheetId="8" r:id="rId11"/>
    <sheet state="hidden" name="TEMPLATE 4.1" sheetId="9" r:id="rId12"/>
    <sheet state="hidden" name="ALL J" sheetId="10" r:id="rId13"/>
    <sheet state="hidden" name="IH J" sheetId="11" r:id="rId14"/>
    <sheet state="hidden" name="01052022" sheetId="12" r:id="rId15"/>
    <sheet state="hidden" name="COUNTER" sheetId="13" r:id="rId16"/>
    <sheet state="hidden" name="01122022" sheetId="14" r:id="rId17"/>
    <sheet state="hidden" name="SCHEDULE ERROR" sheetId="15" r:id="rId18"/>
    <sheet state="hidden" name="01032022" sheetId="16" r:id="rId19"/>
    <sheet state="hidden" name="RAW010622" sheetId="17" r:id="rId20"/>
    <sheet state="hidden" name="JAN" sheetId="18" r:id="rId21"/>
    <sheet state="hidden" name="01062022" sheetId="19" r:id="rId22"/>
    <sheet state="hidden" name="0103 - 0106 ALL" sheetId="20" r:id="rId23"/>
    <sheet state="hidden" name="RAW010722" sheetId="21" r:id="rId24"/>
    <sheet state="hidden" name="01072022" sheetId="22" r:id="rId25"/>
    <sheet state="hidden" name="01102022" sheetId="23" r:id="rId26"/>
    <sheet state="hidden" name="01112022" sheetId="24" r:id="rId27"/>
    <sheet state="hidden" name="01132022" sheetId="25" r:id="rId28"/>
    <sheet state="hidden" name="01142022" sheetId="26" r:id="rId29"/>
    <sheet state="hidden" name="01152022" sheetId="27" r:id="rId30"/>
    <sheet state="hidden" name="01172022" sheetId="28" r:id="rId31"/>
    <sheet state="hidden" name="01182022" sheetId="29" r:id="rId32"/>
    <sheet state="hidden" name="01192022" sheetId="30" r:id="rId33"/>
    <sheet state="visible" name="01202022" sheetId="31" r:id="rId34"/>
    <sheet state="visible" name="01212022" sheetId="32" r:id="rId35"/>
  </sheets>
  <definedNames>
    <definedName name="NamedRange1">#REF!</definedName>
    <definedName hidden="1" localSheetId="2" name="_xlnm._FilterDatabase">'PATIENT DATA (072721)'!$A$1:$F$6316</definedName>
    <definedName hidden="1" localSheetId="3" name="_xlnm._FilterDatabase">Data!$A$1:$A$997</definedName>
    <definedName hidden="1" localSheetId="5" name="_xlnm._FilterDatabase">'ERRATA JANUARY'!$A$1:$N$203</definedName>
    <definedName hidden="1" localSheetId="7" name="_xlnm._FilterDatabase">'01042022'!$A$1:$Z$100</definedName>
    <definedName hidden="1" localSheetId="9" name="_xlnm._FilterDatabase">'ALL J'!$B$1:$O$66</definedName>
    <definedName hidden="1" localSheetId="13" name="_xlnm._FilterDatabase">'01122022'!$A$1:$AA$100</definedName>
    <definedName hidden="1" localSheetId="15" name="_xlnm._FilterDatabase">'01032022'!$A$1:$AA$116</definedName>
    <definedName hidden="1" localSheetId="19" name="_xlnm._FilterDatabase">'0103 - 0106 ALL'!$A$1:$P$322</definedName>
    <definedName hidden="1" localSheetId="24" name="_xlnm._FilterDatabase">'01132022'!$A$1:$AA$100</definedName>
    <definedName hidden="1" localSheetId="25" name="_xlnm._FilterDatabase">'01142022'!$A$1:$AA$100</definedName>
    <definedName hidden="1" localSheetId="26" name="_xlnm._FilterDatabase">'01152022'!$A$1:$AA$100</definedName>
    <definedName hidden="1" localSheetId="27" name="_xlnm._FilterDatabase">'01172022'!$A$1:$AA$100</definedName>
    <definedName hidden="1" localSheetId="7" name="Z_20F5F3BA_172D_4727_943D_E296FD1F3EFA_.wvu.FilterData">'01042022'!$A$1:$Z$100</definedName>
    <definedName hidden="1" localSheetId="8" name="Z_20F5F3BA_172D_4727_943D_E296FD1F3EFA_.wvu.FilterData">'TEMPLATE 4.1'!$A$1:$AA$100</definedName>
    <definedName hidden="1" localSheetId="11" name="Z_20F5F3BA_172D_4727_943D_E296FD1F3EFA_.wvu.FilterData">'01052022'!$A$1:$AA$100</definedName>
    <definedName hidden="1" localSheetId="13" name="Z_20F5F3BA_172D_4727_943D_E296FD1F3EFA_.wvu.FilterData">'01122022'!$A$1:$AA$100</definedName>
    <definedName hidden="1" localSheetId="14" name="Z_20F5F3BA_172D_4727_943D_E296FD1F3EFA_.wvu.FilterData">'SCHEDULE ERROR'!$B$1:$R$100</definedName>
    <definedName hidden="1" localSheetId="15" name="Z_20F5F3BA_172D_4727_943D_E296FD1F3EFA_.wvu.FilterData">'01032022'!$A$1:$AA$116</definedName>
    <definedName hidden="1" localSheetId="16" name="Z_20F5F3BA_172D_4727_943D_E296FD1F3EFA_.wvu.FilterData">'RAW010622'!$A$1:$M$100</definedName>
    <definedName hidden="1" localSheetId="17" name="Z_20F5F3BA_172D_4727_943D_E296FD1F3EFA_.wvu.FilterData">JAN!$A$1:$AA$117</definedName>
    <definedName hidden="1" localSheetId="18" name="Z_20F5F3BA_172D_4727_943D_E296FD1F3EFA_.wvu.FilterData">'01062022'!$A$1:$Y$100</definedName>
    <definedName hidden="1" localSheetId="20" name="Z_20F5F3BA_172D_4727_943D_E296FD1F3EFA_.wvu.FilterData">'RAW010722'!$A$1:$M$100</definedName>
    <definedName hidden="1" localSheetId="21" name="Z_20F5F3BA_172D_4727_943D_E296FD1F3EFA_.wvu.FilterData">'01072022'!$A$1:$AA$100</definedName>
    <definedName hidden="1" localSheetId="22" name="Z_20F5F3BA_172D_4727_943D_E296FD1F3EFA_.wvu.FilterData">'01102022'!$A$1:$AA$100</definedName>
    <definedName hidden="1" localSheetId="23" name="Z_20F5F3BA_172D_4727_943D_E296FD1F3EFA_.wvu.FilterData">'01112022'!$A$1:$AA$100</definedName>
    <definedName hidden="1" localSheetId="24" name="Z_20F5F3BA_172D_4727_943D_E296FD1F3EFA_.wvu.FilterData">'01132022'!$A$1:$AA$100</definedName>
    <definedName hidden="1" localSheetId="25" name="Z_20F5F3BA_172D_4727_943D_E296FD1F3EFA_.wvu.FilterData">'01142022'!$A$1:$AA$100</definedName>
    <definedName hidden="1" localSheetId="26" name="Z_20F5F3BA_172D_4727_943D_E296FD1F3EFA_.wvu.FilterData">'01152022'!$A$1:$AA$100</definedName>
    <definedName hidden="1" localSheetId="27" name="Z_20F5F3BA_172D_4727_943D_E296FD1F3EFA_.wvu.FilterData">'01172022'!$A$1:$AA$100</definedName>
    <definedName hidden="1" localSheetId="28" name="Z_20F5F3BA_172D_4727_943D_E296FD1F3EFA_.wvu.FilterData">'01182022'!$A$1:$AA$97</definedName>
    <definedName hidden="1" localSheetId="29" name="Z_20F5F3BA_172D_4727_943D_E296FD1F3EFA_.wvu.FilterData">'01192022'!$A$1:$AA$100</definedName>
    <definedName hidden="1" localSheetId="30" name="Z_20F5F3BA_172D_4727_943D_E296FD1F3EFA_.wvu.FilterData">'01202022'!$A$1:$AA$100</definedName>
    <definedName hidden="1" localSheetId="31" name="Z_20F5F3BA_172D_4727_943D_E296FD1F3EFA_.wvu.FilterData">'01212022'!$A$1:$AA$100</definedName>
  </definedNames>
  <calcPr/>
  <customWorkbookViews>
    <customWorkbookView activeSheetId="0" maximized="1" windowHeight="0" windowWidth="0" guid="{20F5F3BA-172D-4727-943D-E296FD1F3EFA}" name="Filter 1"/>
  </customWorkbookViews>
</workbook>
</file>

<file path=xl/sharedStrings.xml><?xml version="1.0" encoding="utf-8"?>
<sst xmlns="http://schemas.openxmlformats.org/spreadsheetml/2006/main" count="22224" uniqueCount="6441">
  <si>
    <t>Timestamp</t>
  </si>
  <si>
    <t>SAMPLE TYPE</t>
  </si>
  <si>
    <t>INITIALS</t>
  </si>
  <si>
    <t>BARCODE</t>
  </si>
  <si>
    <t>https://forms.gle/v2yHSZLLWjJoH1QP7</t>
  </si>
  <si>
    <t>UA</t>
  </si>
  <si>
    <t>[okj</t>
  </si>
  <si>
    <t>NOTES</t>
  </si>
  <si>
    <t>https://forms.gle/twbhkG2zp9hLBRyc6</t>
  </si>
  <si>
    <t>DNA</t>
  </si>
  <si>
    <t>https://forms.gle/koNd6keYfH6ucbC28</t>
  </si>
  <si>
    <t>FA</t>
  </si>
  <si>
    <t>LM</t>
  </si>
  <si>
    <t>CH</t>
  </si>
  <si>
    <t>DA</t>
  </si>
  <si>
    <t>DM</t>
  </si>
  <si>
    <t>DC</t>
  </si>
  <si>
    <t>PRN12928</t>
  </si>
  <si>
    <t>TODAY</t>
  </si>
  <si>
    <t>ID</t>
  </si>
  <si>
    <t>MRN</t>
  </si>
  <si>
    <t>DOS</t>
  </si>
  <si>
    <t>SCHEDULED</t>
  </si>
  <si>
    <t>COLLECTOR</t>
  </si>
  <si>
    <t>NAME</t>
  </si>
  <si>
    <t>DOB</t>
  </si>
  <si>
    <t>LOPEZ, SERGIO</t>
  </si>
  <si>
    <t>&lt;- CODE</t>
  </si>
  <si>
    <t>PESTANA, MARIA</t>
  </si>
  <si>
    <t>this is left</t>
  </si>
  <si>
    <t>ANGUIANO, MONIQUE</t>
  </si>
  <si>
    <t>blank</t>
  </si>
  <si>
    <t>GOODRICH, PHYLLIS LEA</t>
  </si>
  <si>
    <t>on purpose</t>
  </si>
  <si>
    <t>MOLINAR, OSCAR</t>
  </si>
  <si>
    <t>because</t>
  </si>
  <si>
    <t>DOZIER, BONNIE L</t>
  </si>
  <si>
    <t>i erased all</t>
  </si>
  <si>
    <t>TOVAR, SYLVIA</t>
  </si>
  <si>
    <t>codes present</t>
  </si>
  <si>
    <t>ARROYO, JULIETA N</t>
  </si>
  <si>
    <t>to reduce</t>
  </si>
  <si>
    <t>YAGER, MINDY</t>
  </si>
  <si>
    <t>the amount</t>
  </si>
  <si>
    <t>BESHEARS, CLAUDE D</t>
  </si>
  <si>
    <t>of processing</t>
  </si>
  <si>
    <t>VILLARREAL, MANUEL</t>
  </si>
  <si>
    <t>this sheet</t>
  </si>
  <si>
    <t>GRASS, THOMAS H</t>
  </si>
  <si>
    <t>might require</t>
  </si>
  <si>
    <t>BROWN, BARBARA M</t>
  </si>
  <si>
    <t>BARTKOWIAK, BRENNA L</t>
  </si>
  <si>
    <t>VERDUGO, ANN S</t>
  </si>
  <si>
    <t>KIMSEY, TOMMIE L</t>
  </si>
  <si>
    <t>AGUILAR-RAMOS, FLORENCIO</t>
  </si>
  <si>
    <t>DOZAL, HECTOR F</t>
  </si>
  <si>
    <t>KILLINGSWORTH, STEVE W</t>
  </si>
  <si>
    <t>JIMENEZ, ALEJANDRINA E</t>
  </si>
  <si>
    <t>MENDOZA, VICTOR M</t>
  </si>
  <si>
    <t>RICHARDSON, VICTORIA E</t>
  </si>
  <si>
    <t>ESPARZA, MARIA DE JESUS</t>
  </si>
  <si>
    <t>ESPARZA, LYDIA G</t>
  </si>
  <si>
    <t>PALMA ACEVEDO, HECTOR D</t>
  </si>
  <si>
    <t>VASQUEZ, ROBERTO</t>
  </si>
  <si>
    <t>GARCIA, DORA T</t>
  </si>
  <si>
    <t>LUJAN, NADINE C</t>
  </si>
  <si>
    <t>LOPEZ JR., RAUL</t>
  </si>
  <si>
    <t>PRICE, STEPHEN L</t>
  </si>
  <si>
    <t>WAGNER, LINDA</t>
  </si>
  <si>
    <t>ARMENDARIZ, SAUL C</t>
  </si>
  <si>
    <t>JARAMILLO, SOFIA</t>
  </si>
  <si>
    <t>MENDEZ, JOVITA A</t>
  </si>
  <si>
    <t>ROBBINS, BOBBY G</t>
  </si>
  <si>
    <t>MAYO, MARIA ELENA E</t>
  </si>
  <si>
    <t>RIOS, JAVIER R</t>
  </si>
  <si>
    <t>MENDOZA, MARTHA P</t>
  </si>
  <si>
    <t>FIGUEROA RODRIGUEZ, MARIA B</t>
  </si>
  <si>
    <t>CRYE, MARGARET H</t>
  </si>
  <si>
    <t>URIAS, REGINO N</t>
  </si>
  <si>
    <t>ORTEGA, HORTENCIA R</t>
  </si>
  <si>
    <t>VILARDELL, IRMA</t>
  </si>
  <si>
    <t>ESPARZA, SANTIAGO</t>
  </si>
  <si>
    <t>GUERRERO, PETRA</t>
  </si>
  <si>
    <t>GOMEZ-LEON, IRENE C</t>
  </si>
  <si>
    <t>MARTINEZ, MARIA LUISA</t>
  </si>
  <si>
    <t>CLEMMONS, MARY W</t>
  </si>
  <si>
    <t>CASAS, RICARDO M</t>
  </si>
  <si>
    <t>BARRAZA, SILVIA</t>
  </si>
  <si>
    <t>LEGARRETA, MARY G</t>
  </si>
  <si>
    <t>ROBLES-DEREZA, LETICIA</t>
  </si>
  <si>
    <t>PAYAN, EUNICE</t>
  </si>
  <si>
    <t>GOSS, HELEN T</t>
  </si>
  <si>
    <t>BURCIAGA, TONY</t>
  </si>
  <si>
    <t>JAMES, BRENDA M</t>
  </si>
  <si>
    <t>LOPEZ, MANUEL R</t>
  </si>
  <si>
    <t>ORTIZ, EVA M</t>
  </si>
  <si>
    <t>RAMIREZ, ROSA E</t>
  </si>
  <si>
    <t>LOCKWOOD, WILLIAM S</t>
  </si>
  <si>
    <t>ACEVEDO, ALFREDO</t>
  </si>
  <si>
    <t>HAGLAND, PAUL I</t>
  </si>
  <si>
    <t>FARR, AVERY W</t>
  </si>
  <si>
    <t>VILLEGAS JR, ROBERT</t>
  </si>
  <si>
    <t>VILLEGAS, PATRICIA B</t>
  </si>
  <si>
    <t>ACOSTA, ANA</t>
  </si>
  <si>
    <t>GONZALEZ, EVANGELINA</t>
  </si>
  <si>
    <t>ESCARSEGA, MICHAEL E</t>
  </si>
  <si>
    <t>ROBINSON, PATRICIA A</t>
  </si>
  <si>
    <t>VALDIVIA, MARIA I</t>
  </si>
  <si>
    <t>PALACIOS, ROMAN</t>
  </si>
  <si>
    <t>VAZQUEZ, ALBERTINA</t>
  </si>
  <si>
    <t>TAPIA, MARTHA N</t>
  </si>
  <si>
    <t>MONROY, MIGUEL</t>
  </si>
  <si>
    <t>OGDEN, ANA T</t>
  </si>
  <si>
    <t>ARROYOS ROJO, ROMELIA</t>
  </si>
  <si>
    <t>OTERO, MARIA I</t>
  </si>
  <si>
    <t>DI PASCUALE, THASMANIA</t>
  </si>
  <si>
    <t>RANGEL, GUADALUPE Q</t>
  </si>
  <si>
    <t>MALDONADO, FRANCES</t>
  </si>
  <si>
    <t>DITIRRO, SHEILA L</t>
  </si>
  <si>
    <t>SALDANA, SANDRA</t>
  </si>
  <si>
    <t>FLORES, MARIA A</t>
  </si>
  <si>
    <t>SALAZAR, CINDY A</t>
  </si>
  <si>
    <t>MORALES, JESUS</t>
  </si>
  <si>
    <t>HOBDY, STARLETTE</t>
  </si>
  <si>
    <t>FIERRO, JOSEPH R</t>
  </si>
  <si>
    <t>CORMIER, RAVONNE P</t>
  </si>
  <si>
    <t>TEST, RECORDS</t>
  </si>
  <si>
    <t>MARTINEZ, KELLY C</t>
  </si>
  <si>
    <t>WILLIAMS, PATRICIA</t>
  </si>
  <si>
    <t>CARRUTHERS, KEOKI K</t>
  </si>
  <si>
    <t>COOPER, PATRICIA A</t>
  </si>
  <si>
    <t>FINKLEA, TERRI</t>
  </si>
  <si>
    <t>SHALLENBERGER, JEAN</t>
  </si>
  <si>
    <t>MOSS, JENNIE G</t>
  </si>
  <si>
    <t>PALMA, KARLA</t>
  </si>
  <si>
    <t>MENDEZ, NOHEMI</t>
  </si>
  <si>
    <t>GARDEA, ROBERT</t>
  </si>
  <si>
    <t>CASTORENA, WILLIAM E</t>
  </si>
  <si>
    <t>ARCHULETA, RITA K</t>
  </si>
  <si>
    <t>JOHNSTON, JOHNNY L</t>
  </si>
  <si>
    <t>PORTILLO, MARIA R</t>
  </si>
  <si>
    <t>URBINA, DOLORES</t>
  </si>
  <si>
    <t>GALLARDO, MARIA D</t>
  </si>
  <si>
    <t>HERNANDEZ, CARLOS J</t>
  </si>
  <si>
    <t>ARMENDARIZ, BEATRIZ</t>
  </si>
  <si>
    <t>MARTIN DEL CAMPO, ALEJANDRO</t>
  </si>
  <si>
    <t>CASTELLANOS, ANTONIO</t>
  </si>
  <si>
    <t>VARGAS, ESPIRIDION</t>
  </si>
  <si>
    <t>PLACENCIA, VICTOR M</t>
  </si>
  <si>
    <t>HERNANDEZ, ALICIA</t>
  </si>
  <si>
    <t>SAMBRANO, ELIZABETH J</t>
  </si>
  <si>
    <t>GARCIA, YOLANDA M</t>
  </si>
  <si>
    <t>CAZARES, MARIA LUISA</t>
  </si>
  <si>
    <t>COLON, ELIZABETH</t>
  </si>
  <si>
    <t>BROWN, EDGAR S</t>
  </si>
  <si>
    <t>LEYVA, ALMA D</t>
  </si>
  <si>
    <t>RIOS, JAIME</t>
  </si>
  <si>
    <t>SAAVEDRA, LORENZO</t>
  </si>
  <si>
    <t>FRAIRE, FERNANDO</t>
  </si>
  <si>
    <t>DOHERTY, WILLIAM</t>
  </si>
  <si>
    <t>GUTIERREZ, OLGA</t>
  </si>
  <si>
    <t>CASAREZ, OSCAR</t>
  </si>
  <si>
    <t>BARRAZA, MARIA E</t>
  </si>
  <si>
    <t>VALENZUELA, LUCY S</t>
  </si>
  <si>
    <t>SALAZAR, MACARIO B</t>
  </si>
  <si>
    <t>LICON DE MALDONADO, NORMA N</t>
  </si>
  <si>
    <t>MOTA, MARIO</t>
  </si>
  <si>
    <t>WILLIAMS, MILDRED</t>
  </si>
  <si>
    <t>AVILA, MARIA</t>
  </si>
  <si>
    <t>RIOS DE SOLIS, MARIA D</t>
  </si>
  <si>
    <t>ALARCON, SAGRARIO</t>
  </si>
  <si>
    <t>LOPEZ, JOSEFINA</t>
  </si>
  <si>
    <t>COOPER, OLGA P</t>
  </si>
  <si>
    <t>DUARTE, ARMANDO</t>
  </si>
  <si>
    <t>VILLALOBOS, DAVID L</t>
  </si>
  <si>
    <t>MOORE, RONNIE F</t>
  </si>
  <si>
    <t>NARVAIZ, BLANCA A</t>
  </si>
  <si>
    <t>BORJAS, LUIS</t>
  </si>
  <si>
    <t>VELIZ PACHECO, MANUEL</t>
  </si>
  <si>
    <t>PASILLAS RIVERA, JESUS A</t>
  </si>
  <si>
    <t>SMITH, SHIRLEY</t>
  </si>
  <si>
    <t>BOCANEGRA, JOSE J</t>
  </si>
  <si>
    <t>CANO SALCIDO, REBECCA</t>
  </si>
  <si>
    <t>GUILLEN, ROBERTO</t>
  </si>
  <si>
    <t>MACIAS, CAROLINA</t>
  </si>
  <si>
    <t>WILHELM, ROBERT K</t>
  </si>
  <si>
    <t>QUINTANA, HECTOR</t>
  </si>
  <si>
    <t>BONNER, HUBERT</t>
  </si>
  <si>
    <t>GONZALEZ, BRENDA</t>
  </si>
  <si>
    <t>POULOS, KATHARINE S</t>
  </si>
  <si>
    <t>RAMIREZ, BELEM</t>
  </si>
  <si>
    <t>CANO, JESSICA M</t>
  </si>
  <si>
    <t>RAMOS-CARMONA, JUAN A</t>
  </si>
  <si>
    <t>ESCOBEDO GUERRERO, SERGIO</t>
  </si>
  <si>
    <t>LOPEZ, NIDIA</t>
  </si>
  <si>
    <t>RICHARDSON, VERONICA</t>
  </si>
  <si>
    <t>MORALES, MARIA E</t>
  </si>
  <si>
    <t>FERNANDEZ, CLAUDIA</t>
  </si>
  <si>
    <t>CASTELLANOS, ANA</t>
  </si>
  <si>
    <t>FARAONE, TAMARA J</t>
  </si>
  <si>
    <t>POULOS, VICTOR F</t>
  </si>
  <si>
    <t>HERNANDEZ, EMMA</t>
  </si>
  <si>
    <t>HERRERA, IVAN</t>
  </si>
  <si>
    <t>FLORES, ENRIQUE</t>
  </si>
  <si>
    <t>PENA, VIRGINIA</t>
  </si>
  <si>
    <t>MUNIZ, ESPERANZA</t>
  </si>
  <si>
    <t>ACOSTA, GERARDO M</t>
  </si>
  <si>
    <t>TORRES, MARIA</t>
  </si>
  <si>
    <t>WIIRRE, LORRAINE</t>
  </si>
  <si>
    <t>TERRELL, JOANNE</t>
  </si>
  <si>
    <t>STEVENS, MICHAEL</t>
  </si>
  <si>
    <t>ZAVALA, SANDRA M</t>
  </si>
  <si>
    <t>ALFARO, JANETH C</t>
  </si>
  <si>
    <t>HERNANDEZ, MARIA G</t>
  </si>
  <si>
    <t>GEMOETS, MARIA A</t>
  </si>
  <si>
    <t>OGBONNA, EBENEZER</t>
  </si>
  <si>
    <t>MELCHOR ARROYO, JUAN F</t>
  </si>
  <si>
    <t>LOUIS, VIVIAN</t>
  </si>
  <si>
    <t>LOPEZ, RICARDO D</t>
  </si>
  <si>
    <t>KONO, DARLENE C</t>
  </si>
  <si>
    <t>SEGURA, ALBERTO</t>
  </si>
  <si>
    <t>KALLEY, CANDIS A</t>
  </si>
  <si>
    <t>HERRERA, MARIA I</t>
  </si>
  <si>
    <t>QUINTANA, MARTHA</t>
  </si>
  <si>
    <t>ROSALES, JUAN P</t>
  </si>
  <si>
    <t>MURPHY, VANESSA C</t>
  </si>
  <si>
    <t>TOSUN, AYSE</t>
  </si>
  <si>
    <t>CRENSHAW, KENNETH R</t>
  </si>
  <si>
    <t>GREEDER, MELISSA</t>
  </si>
  <si>
    <t>GREEN, LAURA</t>
  </si>
  <si>
    <t>HERRERA, RAYMOND</t>
  </si>
  <si>
    <t>SANCHEZ, RICARDO</t>
  </si>
  <si>
    <t>HUERTA MARTINEZ, BERTHA</t>
  </si>
  <si>
    <t>BEILFUSS, MICHAEL E</t>
  </si>
  <si>
    <t>QUINONES, ABIGAIL</t>
  </si>
  <si>
    <t>ARAGON DE SANTACRUZ, IRENE</t>
  </si>
  <si>
    <t>MACIAS, ARMANDO</t>
  </si>
  <si>
    <t>REBNER, MICHAEL</t>
  </si>
  <si>
    <t>SIERRA, RAUL</t>
  </si>
  <si>
    <t>DE ALMEIDA, LUCAS</t>
  </si>
  <si>
    <t>CARREON, SANJUANA</t>
  </si>
  <si>
    <t>MIRANDA, EDWARDO</t>
  </si>
  <si>
    <t>HERNANDEZ, MICAELA</t>
  </si>
  <si>
    <t>GOMEZ, CONSUELO C</t>
  </si>
  <si>
    <t>MADRID, BENJAMIN V</t>
  </si>
  <si>
    <t>CARDENAS, ROSARIO</t>
  </si>
  <si>
    <t>SAUCEDO, MARIA D</t>
  </si>
  <si>
    <t>HICKS, OTIS</t>
  </si>
  <si>
    <t>WHEELER, JACQUELINE</t>
  </si>
  <si>
    <t>RANGEL, OSCAR M</t>
  </si>
  <si>
    <t>TAYLOR, CHARLES</t>
  </si>
  <si>
    <t>GIL, JULIA</t>
  </si>
  <si>
    <t>JERIDO, LADARIUS</t>
  </si>
  <si>
    <t>MACIEL, DANIEL</t>
  </si>
  <si>
    <t>MACIAS, ERNESTO</t>
  </si>
  <si>
    <t>DE LA O, JOSE</t>
  </si>
  <si>
    <t>MAYO, JUDITH A</t>
  </si>
  <si>
    <t>HUERTA, MICHAEL</t>
  </si>
  <si>
    <t>MURDOCK, ROBERT S</t>
  </si>
  <si>
    <t>PEDREGON, LUIS</t>
  </si>
  <si>
    <t>RAGHEB, MOATAZ M</t>
  </si>
  <si>
    <t>CRAMER, JANET I</t>
  </si>
  <si>
    <t>LOPEZ, MANUEL</t>
  </si>
  <si>
    <t>CHAVEZ, VICTOR M</t>
  </si>
  <si>
    <t>GARCIA, CARMEN</t>
  </si>
  <si>
    <t>MUNOZ, CYNTHIA</t>
  </si>
  <si>
    <t>CARRASCO, GREGORIO</t>
  </si>
  <si>
    <t>WINN, REGINALD R</t>
  </si>
  <si>
    <t>PITONES, LUISA</t>
  </si>
  <si>
    <t>HERRERA, MARCO A</t>
  </si>
  <si>
    <t>DIAZ, MARIA</t>
  </si>
  <si>
    <t>ARRIAGA, HECTOR</t>
  </si>
  <si>
    <t>MORALES, JOEL</t>
  </si>
  <si>
    <t>RODRIGUEZ, OSCAR</t>
  </si>
  <si>
    <t>FLORES, CARLOS</t>
  </si>
  <si>
    <t>CHAVIRA, MARIA L</t>
  </si>
  <si>
    <t>RODRIGUEZ, CHRISTINA</t>
  </si>
  <si>
    <t>BUSTAMANTE, DAVID</t>
  </si>
  <si>
    <t>ORMSBY, KAYE</t>
  </si>
  <si>
    <t>MORENO, JOSE M</t>
  </si>
  <si>
    <t>TATE, AMANDA</t>
  </si>
  <si>
    <t>FACIO, MARIA T</t>
  </si>
  <si>
    <t>GONZALEZ, ANTONIO</t>
  </si>
  <si>
    <t>ORTIZ, ORLANDO</t>
  </si>
  <si>
    <t>HERNANDEZ, LAURA S</t>
  </si>
  <si>
    <t>SCARCELLI, JOHN A</t>
  </si>
  <si>
    <t>CHANSON, LAURIE L</t>
  </si>
  <si>
    <t>COLON, BERTHA A</t>
  </si>
  <si>
    <t>SALAZAR, JAIME</t>
  </si>
  <si>
    <t>ALLEN, ELIJAH</t>
  </si>
  <si>
    <t>RODRIGUEZ, SAMUEL</t>
  </si>
  <si>
    <t>LOPEZ, GUADALUPE R</t>
  </si>
  <si>
    <t>RAMIREZ, RICARDO J</t>
  </si>
  <si>
    <t>GARCIA, JUAN M</t>
  </si>
  <si>
    <t>CASTILLO, MARIO B</t>
  </si>
  <si>
    <t>GARCIA, IRMA R</t>
  </si>
  <si>
    <t>EYE, DARLA</t>
  </si>
  <si>
    <t>LOPEZ DE MACIAS, NATIVIDAD</t>
  </si>
  <si>
    <t>GARCIA, SANDRA Y</t>
  </si>
  <si>
    <t>ALDACO, DONNA K</t>
  </si>
  <si>
    <t>MONTGOMERY, LEAMON</t>
  </si>
  <si>
    <t>ESPARZA, VICTOR</t>
  </si>
  <si>
    <t>SILVA, GRACIELA</t>
  </si>
  <si>
    <t>SUA, LYDIA</t>
  </si>
  <si>
    <t>ARMENDARIZ, MONSERRAT C</t>
  </si>
  <si>
    <t>OCHOA, MARIA L</t>
  </si>
  <si>
    <t>REYES, ANTHONY</t>
  </si>
  <si>
    <t>SANCHEZ, MONIQUE</t>
  </si>
  <si>
    <t>MACIAS, JUANITA</t>
  </si>
  <si>
    <t>SANCHEZ PONCE, JUAN</t>
  </si>
  <si>
    <t>SAENZ, RUDY</t>
  </si>
  <si>
    <t>SCROGGS, CLIFTON E</t>
  </si>
  <si>
    <t>GUTIERREZ, SUJEI</t>
  </si>
  <si>
    <t>ANDRADE, ANTONIO</t>
  </si>
  <si>
    <t>SMITH, RICKY</t>
  </si>
  <si>
    <t>FOREMAN, MARIANNE</t>
  </si>
  <si>
    <t>MARTINEZ, ANTONIO B</t>
  </si>
  <si>
    <t>JANOE, DELL</t>
  </si>
  <si>
    <t>HARNEY, JANET L</t>
  </si>
  <si>
    <t>TIPTON, ROBERT</t>
  </si>
  <si>
    <t>BROWN, DESIRIE</t>
  </si>
  <si>
    <t>BROWN, REGINALD</t>
  </si>
  <si>
    <t>RAMIREZ, LUZ C</t>
  </si>
  <si>
    <t>CANALES, RITA</t>
  </si>
  <si>
    <t>CARRILLO, TERESA G</t>
  </si>
  <si>
    <t>ORTEGA, YVONNE</t>
  </si>
  <si>
    <t>AYALA, ROBERT</t>
  </si>
  <si>
    <t>MUNOZ, LORENZA</t>
  </si>
  <si>
    <t>JOHNSON, MONIKA</t>
  </si>
  <si>
    <t>HAWKINS-KIRKHART, GERLINDE</t>
  </si>
  <si>
    <t>JONES, MARY F</t>
  </si>
  <si>
    <t>FRAIRE, IRENE</t>
  </si>
  <si>
    <t>BARRERA, JANET</t>
  </si>
  <si>
    <t>TRILLO, ANTONIO D</t>
  </si>
  <si>
    <t>LUCERO, CRISTINA R</t>
  </si>
  <si>
    <t>LICHARD, JESSY</t>
  </si>
  <si>
    <t>FARNQUIST, DENNIS D</t>
  </si>
  <si>
    <t>ALVAREZ, MARIA D</t>
  </si>
  <si>
    <t>MYERS, KAREN</t>
  </si>
  <si>
    <t>MARTINEZ, CONNIE</t>
  </si>
  <si>
    <t>HERRERA, MARGIE</t>
  </si>
  <si>
    <t>JIMENEZ, JAIME</t>
  </si>
  <si>
    <t>RIZO, MARIA</t>
  </si>
  <si>
    <t>SALAZAR, TERESA</t>
  </si>
  <si>
    <t>WARR, NATALIE</t>
  </si>
  <si>
    <t>TIRADO, RAMON</t>
  </si>
  <si>
    <t>RAMOS, ANTONIO JR</t>
  </si>
  <si>
    <t>PAZ, JORGE R</t>
  </si>
  <si>
    <t>GONZALEZ, RENE</t>
  </si>
  <si>
    <t>ERSKINE, JACQUELINE</t>
  </si>
  <si>
    <t>RYAN, SHAWNA</t>
  </si>
  <si>
    <t>CARRILLO, HORTENCIA</t>
  </si>
  <si>
    <t>TERRAZAS, MARTIN</t>
  </si>
  <si>
    <t>ESTRADA, JOSE</t>
  </si>
  <si>
    <t>AMESQUITA, SANDRA</t>
  </si>
  <si>
    <t>VENZOR, ANDY</t>
  </si>
  <si>
    <t>TAPIA, ANA P</t>
  </si>
  <si>
    <t>ESTRADA, VIRGINIA</t>
  </si>
  <si>
    <t>LOPEZ, RUBEN</t>
  </si>
  <si>
    <t>STEINMEIER, BELINDA</t>
  </si>
  <si>
    <t>CASTILLO, YOLANDA</t>
  </si>
  <si>
    <t>GARCIA, MANUEL</t>
  </si>
  <si>
    <t>SCHEROTTER, HEATHER</t>
  </si>
  <si>
    <t>PORRAS, CLAUDIA</t>
  </si>
  <si>
    <t>MCGILL, REBECCA D</t>
  </si>
  <si>
    <t>DIAZ, MARCELA</t>
  </si>
  <si>
    <t>KASCH, GUADALUPE</t>
  </si>
  <si>
    <t>ORTIZ, LINDA</t>
  </si>
  <si>
    <t>STOUT, STEPHEN D</t>
  </si>
  <si>
    <t>ENRIQUEZ, MIGUEL</t>
  </si>
  <si>
    <t>HESTER, TODD</t>
  </si>
  <si>
    <t>BOURGET, KARI</t>
  </si>
  <si>
    <t>CORELLA, SYLVIA</t>
  </si>
  <si>
    <t>SILVA, MANUEL</t>
  </si>
  <si>
    <t>BACA, CONSUELO F</t>
  </si>
  <si>
    <t>JUAREZ, SYLVIA</t>
  </si>
  <si>
    <t>LOPEZ DE SOTO, GLORIA</t>
  </si>
  <si>
    <t>GONZALEZ, CHRISTOPHER</t>
  </si>
  <si>
    <t>HALL, JEROME</t>
  </si>
  <si>
    <t>MIRANDA, ERNESTINA</t>
  </si>
  <si>
    <t>REYES, VIVIANA</t>
  </si>
  <si>
    <t>MARTINEZ, GABRIELA</t>
  </si>
  <si>
    <t>WRENCHER, PORFIRIA</t>
  </si>
  <si>
    <t>FEDERICO, GUADALUPE</t>
  </si>
  <si>
    <t>STAIGER, NOTHBURGA E</t>
  </si>
  <si>
    <t>LEONGUERRERO, MARIE</t>
  </si>
  <si>
    <t>MARTINEZ, RAFAEL</t>
  </si>
  <si>
    <t>CAMPOS, MERLI</t>
  </si>
  <si>
    <t>RAMIREZ, BERTHA M</t>
  </si>
  <si>
    <t>SAMANIEGO, NORMA</t>
  </si>
  <si>
    <t>BACK, LORENA</t>
  </si>
  <si>
    <t>REYNOLDS, CYNTHIA</t>
  </si>
  <si>
    <t>SIMON, MARK</t>
  </si>
  <si>
    <t>ZUNIGA, MIGUEL A</t>
  </si>
  <si>
    <t>GOMEZ, CHRISTINA</t>
  </si>
  <si>
    <t>GILL, CHERYL</t>
  </si>
  <si>
    <t>JACKMAN, JOSHUA</t>
  </si>
  <si>
    <t>BOGIEL, SHERI</t>
  </si>
  <si>
    <t>DE SANTIAGO DE BAEZA, MARIA D</t>
  </si>
  <si>
    <t>LUNA DE VALLES, ELENA</t>
  </si>
  <si>
    <t>GARCIA, JORGE LUIS</t>
  </si>
  <si>
    <t>HERNANDEZ, JOSE L</t>
  </si>
  <si>
    <t>SANDOVAL, BLANCA</t>
  </si>
  <si>
    <t>MIRANDA, PASCUALA</t>
  </si>
  <si>
    <t>KING, GENEVA</t>
  </si>
  <si>
    <t>BOBADILLA, LUIS</t>
  </si>
  <si>
    <t>SCHMIDT, CHRISTOPHER M</t>
  </si>
  <si>
    <t>RIVERA, MARTHA</t>
  </si>
  <si>
    <t>SHAW, BERTHA</t>
  </si>
  <si>
    <t>AGUILAR, LAURA</t>
  </si>
  <si>
    <t>MORALES, CHRISTINE</t>
  </si>
  <si>
    <t>GUTIERREZ, BERNARDO</t>
  </si>
  <si>
    <t>LICON, SOCORRO</t>
  </si>
  <si>
    <t>HUBACKER, LUANA</t>
  </si>
  <si>
    <t>SAENZ, SALVADOR</t>
  </si>
  <si>
    <t>JOHNSON, ROBIN A</t>
  </si>
  <si>
    <t>AMARO, ESTEBAN</t>
  </si>
  <si>
    <t>PHILLIPS, PATRICIA</t>
  </si>
  <si>
    <t>VALENZUELA, SILVIA</t>
  </si>
  <si>
    <t>BETHEA, RAYNA</t>
  </si>
  <si>
    <t>HAYEN, SERGIO</t>
  </si>
  <si>
    <t>RUIZ, JOEL</t>
  </si>
  <si>
    <t>BRACK, MAYELA</t>
  </si>
  <si>
    <t>ROMERO, CONCEPCION</t>
  </si>
  <si>
    <t>VASQUEZ, DIANA</t>
  </si>
  <si>
    <t>ALLSMAN, EMILY</t>
  </si>
  <si>
    <t>RIVERA, ELVIA</t>
  </si>
  <si>
    <t>BARRAZA, ANA</t>
  </si>
  <si>
    <t>SALLOUM, DIANA</t>
  </si>
  <si>
    <t>RODRIGUEZ, HECTOR</t>
  </si>
  <si>
    <t>FERNANDEZ, JESSICA</t>
  </si>
  <si>
    <t>VENEGAS, FRANCISCO</t>
  </si>
  <si>
    <t>RETANA, LUIS A</t>
  </si>
  <si>
    <t>MERCADO, BENITA G</t>
  </si>
  <si>
    <t>DALY, DONNA</t>
  </si>
  <si>
    <t>GONZALEZ, REBECCA</t>
  </si>
  <si>
    <t>MARTINEZ, ARMANDO</t>
  </si>
  <si>
    <t>LOPEZ, JOSE</t>
  </si>
  <si>
    <t>GRADO, REYMUNDO</t>
  </si>
  <si>
    <t>VALDEZ RODRIGUEZ, MARIA</t>
  </si>
  <si>
    <t>VASQUEZ, STOVAL</t>
  </si>
  <si>
    <t>WHEAT-ERBY, RUTH</t>
  </si>
  <si>
    <t>PEREZ, NATALIE</t>
  </si>
  <si>
    <t>COFFMAN, MARY</t>
  </si>
  <si>
    <t>LARA, JOSEFINA</t>
  </si>
  <si>
    <t>DE LA ROSA, MICHELLE</t>
  </si>
  <si>
    <t>CARRILLO, ANDY</t>
  </si>
  <si>
    <t>ALVAREZ, MARTHA</t>
  </si>
  <si>
    <t>BORI, JOHN C</t>
  </si>
  <si>
    <t>HOLGUIN, NORMA</t>
  </si>
  <si>
    <t>HIGAREDA, LORENA</t>
  </si>
  <si>
    <t>ACOSTA, ERIKA</t>
  </si>
  <si>
    <t>VIGIL, WENDELIN M</t>
  </si>
  <si>
    <t>BEARD, FRANK</t>
  </si>
  <si>
    <t>LABIAGA, PATRICIA</t>
  </si>
  <si>
    <t>GONZALEZ, DANIEL</t>
  </si>
  <si>
    <t>VEGA, JOSE A</t>
  </si>
  <si>
    <t>SMITH, WILLIAM</t>
  </si>
  <si>
    <t>VILLALVA, ISAAC K</t>
  </si>
  <si>
    <t>ARTINO, FABIAN</t>
  </si>
  <si>
    <t>RUIZ, CARMEN G</t>
  </si>
  <si>
    <t>PADILLA, ROSEMARY</t>
  </si>
  <si>
    <t>BOJORQUEZ-MORALES, MARIA O</t>
  </si>
  <si>
    <t>PEREZ, MARIA</t>
  </si>
  <si>
    <t>OLIVER, YOLANDA M</t>
  </si>
  <si>
    <t>SILVA-LEYVA, BIANCA</t>
  </si>
  <si>
    <t>NUNEZ, MARGARET</t>
  </si>
  <si>
    <t>PETRI, RICHARD</t>
  </si>
  <si>
    <t>CALDERON, JOSE</t>
  </si>
  <si>
    <t>VICKERS, LINDA</t>
  </si>
  <si>
    <t>MURPHY, ROGELIO J</t>
  </si>
  <si>
    <t>ALANIS DE HINOJOS, MARIA T</t>
  </si>
  <si>
    <t>LUJAN, ROBERTO N</t>
  </si>
  <si>
    <t>MELENDEZ, SARAH A</t>
  </si>
  <si>
    <t>MENDOZA, MARGARITA</t>
  </si>
  <si>
    <t>ROBERTS, SANTIAGO</t>
  </si>
  <si>
    <t>ANDREWS, THOMAS F</t>
  </si>
  <si>
    <t>HERNANDEZ, JAMES</t>
  </si>
  <si>
    <t>BERNAL, LEONEL</t>
  </si>
  <si>
    <t>NEWELL, DORRIS</t>
  </si>
  <si>
    <t>ZAMORA, MILTON</t>
  </si>
  <si>
    <t>SOTO, CAROLINA</t>
  </si>
  <si>
    <t>ESCOBEDO, ROSALBA</t>
  </si>
  <si>
    <t>ANAYA, JESUS</t>
  </si>
  <si>
    <t>ROBERTS, KIRSTY</t>
  </si>
  <si>
    <t>MARTINEZ, MARY</t>
  </si>
  <si>
    <t>MANZI, CYNTHIA</t>
  </si>
  <si>
    <t>CASTILLO, ANA</t>
  </si>
  <si>
    <t>MARIN, ARTURO</t>
  </si>
  <si>
    <t>PASCHICH, CHRISTINA</t>
  </si>
  <si>
    <t>RUBIO, MARIA VIRGINIA</t>
  </si>
  <si>
    <t>BUSTAMANTE, MIGUEL</t>
  </si>
  <si>
    <t>CRAMER, CHRISTOPHER R</t>
  </si>
  <si>
    <t>LOPEZ, JUAN</t>
  </si>
  <si>
    <t>WOODALL, ROBERT P</t>
  </si>
  <si>
    <t>WACHSMANN, CHRIS E</t>
  </si>
  <si>
    <t>DURAN, LETICIA</t>
  </si>
  <si>
    <t>REYES, EMMA O</t>
  </si>
  <si>
    <t>BORCKY, ROBERT</t>
  </si>
  <si>
    <t>YECANO, JOSE</t>
  </si>
  <si>
    <t>FITZPATRICK, LISA</t>
  </si>
  <si>
    <t>HERNANDEZ, RAMONA</t>
  </si>
  <si>
    <t>GUTIERREZ, ARMIDA</t>
  </si>
  <si>
    <t>ANDRADE, GUADALUPE</t>
  </si>
  <si>
    <t>MOONEY, STARLENE A</t>
  </si>
  <si>
    <t>ARROYO, ALEXIS</t>
  </si>
  <si>
    <t>ALVA DE LOS SANTOS, FERNANDO</t>
  </si>
  <si>
    <t>MAPLES, STEPHEN</t>
  </si>
  <si>
    <t>GONZALEZ, MARTHA GUADALUPE</t>
  </si>
  <si>
    <t>VELEZ, JESSICA</t>
  </si>
  <si>
    <t>MARIN, CLAUDIA ISELA</t>
  </si>
  <si>
    <t>MARTINEZ, EDITH</t>
  </si>
  <si>
    <t>GARCIA, BLANCA E</t>
  </si>
  <si>
    <t>HENDERSON, RICKY</t>
  </si>
  <si>
    <t>SIMONS, GINGER</t>
  </si>
  <si>
    <t>LOPEZ, RONNIE</t>
  </si>
  <si>
    <t>ROMERO, HECTOR</t>
  </si>
  <si>
    <t>URENA, GLORIA L</t>
  </si>
  <si>
    <t>ESPINO, FLOR</t>
  </si>
  <si>
    <t>GALINDO VALDEZ, AIDA</t>
  </si>
  <si>
    <t>VELASQUEZ, SYLVIA</t>
  </si>
  <si>
    <t>LEON GUERRERO, MARIA G</t>
  </si>
  <si>
    <t>PARIENTE, ALICIA</t>
  </si>
  <si>
    <t>BREITAG, DOUGLAS</t>
  </si>
  <si>
    <t>SMITH, WILLIE</t>
  </si>
  <si>
    <t>LESLEY, BARBARA</t>
  </si>
  <si>
    <t>PORRAS, VERONICA</t>
  </si>
  <si>
    <t>ALEMAN, FELIX</t>
  </si>
  <si>
    <t>LOPEZ, DULCE N</t>
  </si>
  <si>
    <t>RAMIREZ, ANTONIO</t>
  </si>
  <si>
    <t>MORALES, ROSEMARY</t>
  </si>
  <si>
    <t>ALMARAZ, NICOLE</t>
  </si>
  <si>
    <t>MACIEL, JUAN</t>
  </si>
  <si>
    <t>CARREON, ROBERTO</t>
  </si>
  <si>
    <t>BROWN, RENEE</t>
  </si>
  <si>
    <t>EVANS AMACKER, ANGELICA</t>
  </si>
  <si>
    <t>GOMEZ, MARIA</t>
  </si>
  <si>
    <t>JASSO, CECILIA</t>
  </si>
  <si>
    <t>CHERRY, LESLIE</t>
  </si>
  <si>
    <t>PLACE, MICHELLE</t>
  </si>
  <si>
    <t>PEREZ, PRISCILLA</t>
  </si>
  <si>
    <t>MUNOZ DE HERNANDEZ, MARIA E</t>
  </si>
  <si>
    <t>HERNANDEZ, ALBERTO</t>
  </si>
  <si>
    <t>ARELLANO, JUAN</t>
  </si>
  <si>
    <t>PINA, ISIDRA</t>
  </si>
  <si>
    <t>ESCOBEDO, JOSE LUIS</t>
  </si>
  <si>
    <t>ACOSTA, NATALIA</t>
  </si>
  <si>
    <t>MCALISTER, THOMAS</t>
  </si>
  <si>
    <t>GOMEZ, ROSALINDA</t>
  </si>
  <si>
    <t>PARKE, ROBERT M</t>
  </si>
  <si>
    <t>BROOKS, MICHELLE</t>
  </si>
  <si>
    <t>HERNANDEZ, CHONG</t>
  </si>
  <si>
    <t>KELLEY, JAMES</t>
  </si>
  <si>
    <t>ALVARADO, ALEJANDRA</t>
  </si>
  <si>
    <t>ALDERETE, GABRIEL DE JESUS</t>
  </si>
  <si>
    <t>MARTINEZ, HECTOR</t>
  </si>
  <si>
    <t>RODRIGUEZ, GILBERTO</t>
  </si>
  <si>
    <t>SHORTER, LAURA</t>
  </si>
  <si>
    <t>RUBALCAVA, CHRISTOPHER</t>
  </si>
  <si>
    <t>TILIAIA, IUTISONE</t>
  </si>
  <si>
    <t>PENA, MARIA</t>
  </si>
  <si>
    <t>SALAS, MARTIN</t>
  </si>
  <si>
    <t>FACIO, CARLOS F</t>
  </si>
  <si>
    <t>RENTERIA, MARIA G</t>
  </si>
  <si>
    <t>GALLARDO, RODOLFO</t>
  </si>
  <si>
    <t>GARCIA, MANUELA</t>
  </si>
  <si>
    <t>WALLIS, PEGGY S</t>
  </si>
  <si>
    <t>CASTILLO, SARAH</t>
  </si>
  <si>
    <t>BARRON, LUCINDA</t>
  </si>
  <si>
    <t>WITHERINGTON, CONNIE</t>
  </si>
  <si>
    <t>GUTIERREZ, SANJUANA</t>
  </si>
  <si>
    <t>NAJERA, ROSA R</t>
  </si>
  <si>
    <t>APODACA, JOHNNY</t>
  </si>
  <si>
    <t>CAMARGO, FLORENCIA</t>
  </si>
  <si>
    <t>URQUIZA, ANTONIO</t>
  </si>
  <si>
    <t>BACA, RODOLFO</t>
  </si>
  <si>
    <t>HERNANDEZ, AIDE G</t>
  </si>
  <si>
    <t>GALLEGOS, THELMA</t>
  </si>
  <si>
    <t>CASTLE, CORY</t>
  </si>
  <si>
    <t>LOYA, IRMA</t>
  </si>
  <si>
    <t>SINGH, VICTORIA</t>
  </si>
  <si>
    <t>ESTRADA, ABRAHAM</t>
  </si>
  <si>
    <t>AVALOS, LUZ</t>
  </si>
  <si>
    <t>PONCE, LIDIA</t>
  </si>
  <si>
    <t>HARRISON, KRISTEN</t>
  </si>
  <si>
    <t>JIMENEZ, HECTOR</t>
  </si>
  <si>
    <t>VANDEBERG, MICHAEL P</t>
  </si>
  <si>
    <t>ROMERO, JOSE</t>
  </si>
  <si>
    <t>JOHNSON, ALFONSO</t>
  </si>
  <si>
    <t>TURCOTTE, ROBERT</t>
  </si>
  <si>
    <t>DAUNCEY, ALAN B</t>
  </si>
  <si>
    <t>PACHECO, CAROLINA</t>
  </si>
  <si>
    <t>DOLLAR, DONNA</t>
  </si>
  <si>
    <t>BUSTAMANTE, LOURDES I</t>
  </si>
  <si>
    <t>LOPEZ, IRMA</t>
  </si>
  <si>
    <t>HERNANDEZ, LINDA</t>
  </si>
  <si>
    <t>JOHNSON, EDITH</t>
  </si>
  <si>
    <t>MENDIA, OFELIA</t>
  </si>
  <si>
    <t>AGUILERA, NATIVIDAD</t>
  </si>
  <si>
    <t>FLORES, FRANCISCO J</t>
  </si>
  <si>
    <t>HICKMAN, SIDNEY</t>
  </si>
  <si>
    <t>GARCIA, GLORIA</t>
  </si>
  <si>
    <t>REYNOSO, MARIA</t>
  </si>
  <si>
    <t>FLORES, ROBERT</t>
  </si>
  <si>
    <t>TENORIO, GUSTAVO</t>
  </si>
  <si>
    <t>BOWLIN, JAMES</t>
  </si>
  <si>
    <t>AGUILAR, SYLVIA</t>
  </si>
  <si>
    <t>VILLANUEVA, MARTHA</t>
  </si>
  <si>
    <t>OLVERA, RAMON</t>
  </si>
  <si>
    <t>MENDEZ, DELIA</t>
  </si>
  <si>
    <t>ARREDONDO, ANGELICA O</t>
  </si>
  <si>
    <t>CANO, FERMINA</t>
  </si>
  <si>
    <t>DEUEL, AMANDA S</t>
  </si>
  <si>
    <t>JOHNSON, THOMAS</t>
  </si>
  <si>
    <t>PINEDA, SARA</t>
  </si>
  <si>
    <t>SERNA, ROBERTO</t>
  </si>
  <si>
    <t>LOPEZ, NATIVIDAD JR</t>
  </si>
  <si>
    <t>PEREZ, ROSALIE A</t>
  </si>
  <si>
    <t>SERRANO, CORA</t>
  </si>
  <si>
    <t>HERRERA, MARIA DE JESUS</t>
  </si>
  <si>
    <t>AVITIA, OSBALDO R</t>
  </si>
  <si>
    <t>HERRERA, CARMEN M</t>
  </si>
  <si>
    <t>SANCHEZ, MARIA</t>
  </si>
  <si>
    <t>MONTOYA, BELEM</t>
  </si>
  <si>
    <t>CAJAS, MATILDE</t>
  </si>
  <si>
    <t>REYES, ARMIDA N</t>
  </si>
  <si>
    <t>CEPEDA, ALICIA</t>
  </si>
  <si>
    <t>ESPINO, YOLANDA</t>
  </si>
  <si>
    <t>ELLIOTT, TANIA L</t>
  </si>
  <si>
    <t>CALVIN, ROY</t>
  </si>
  <si>
    <t>MENDOZA, OTILIA</t>
  </si>
  <si>
    <t>SANCHEZ, JOSE G</t>
  </si>
  <si>
    <t>GRAJEDA, LORENA D</t>
  </si>
  <si>
    <t>ROMAN, DAVID F</t>
  </si>
  <si>
    <t>SALAS, LETICIA</t>
  </si>
  <si>
    <t>ALCALA, JUAN</t>
  </si>
  <si>
    <t>CARRILLO MAGALLANES, ALBERTO</t>
  </si>
  <si>
    <t>PELLETIER, KELLY</t>
  </si>
  <si>
    <t>ANAYA, MARIA ELENA</t>
  </si>
  <si>
    <t>MARTINEZ, RICARDO A</t>
  </si>
  <si>
    <t>JACQUEZ, CLEMENCIA</t>
  </si>
  <si>
    <t>VALENZUELA, GLORIA</t>
  </si>
  <si>
    <t>PEREYRA, KENNETH</t>
  </si>
  <si>
    <t>CASTILLO, ROGELIO</t>
  </si>
  <si>
    <t>MARTINEZ, DEANA</t>
  </si>
  <si>
    <t>CHRISTENSON, MARGARITA</t>
  </si>
  <si>
    <t>SAENZ, CIRO J</t>
  </si>
  <si>
    <t>HETZEL, SONIA</t>
  </si>
  <si>
    <t>ANDREWS, RAMONA</t>
  </si>
  <si>
    <t>MORA, ALBERTO</t>
  </si>
  <si>
    <t>ANCHONDO, BRENDA L</t>
  </si>
  <si>
    <t>TERRAZAS, JOSE</t>
  </si>
  <si>
    <t>MORLAND, CECILIA N</t>
  </si>
  <si>
    <t>ORNELAS, SERGIO A</t>
  </si>
  <si>
    <t>CANO, OLGA</t>
  </si>
  <si>
    <t>MAJOR, MARLENA G</t>
  </si>
  <si>
    <t>SIKES, SAWYER B</t>
  </si>
  <si>
    <t>STRACKBEIN, JULIE</t>
  </si>
  <si>
    <t>SCOTT-MORENO, ROSA G</t>
  </si>
  <si>
    <t>NAVARRO, MARIA</t>
  </si>
  <si>
    <t>NAVAR, BERTHA A</t>
  </si>
  <si>
    <t>CALDWELL, SHERYL L</t>
  </si>
  <si>
    <t>VASQUEZ, ROBERT</t>
  </si>
  <si>
    <t>SAUCEDO, JANET</t>
  </si>
  <si>
    <t>GARCIA, LUCIO</t>
  </si>
  <si>
    <t>CORRAL, SONIA</t>
  </si>
  <si>
    <t>VOGEL, JOYCE ANN</t>
  </si>
  <si>
    <t>DIXON, VAVLENE L</t>
  </si>
  <si>
    <t>CANO, YVONNE</t>
  </si>
  <si>
    <t>REAVIS, SANDRA J</t>
  </si>
  <si>
    <t>ESPINOZA VITELA, LUIS</t>
  </si>
  <si>
    <t>JONES, FAYE J</t>
  </si>
  <si>
    <t>ENRIQUEZ, FABIAN</t>
  </si>
  <si>
    <t>EVANS, APRIL</t>
  </si>
  <si>
    <t>EVANS, DANIEL W</t>
  </si>
  <si>
    <t>HEPLER, CHAD</t>
  </si>
  <si>
    <t>VALDEZ, IRMA</t>
  </si>
  <si>
    <t>GONZALEZ, ARTURO</t>
  </si>
  <si>
    <t>PERALTA, CYNTHIA C</t>
  </si>
  <si>
    <t>VILLALOBOS, BELINDA</t>
  </si>
  <si>
    <t>HERNANDEZ, ELENA</t>
  </si>
  <si>
    <t>SIFUENTES, CARLOS G</t>
  </si>
  <si>
    <t>SILVA, PEDRO</t>
  </si>
  <si>
    <t>LOPEZ, RICARDO</t>
  </si>
  <si>
    <t>GANDARA, ISIDRA</t>
  </si>
  <si>
    <t>RAMIREZ, ROSENDA</t>
  </si>
  <si>
    <t>NUNEZ, NATTALY S</t>
  </si>
  <si>
    <t>PARKE, BIRGITT H</t>
  </si>
  <si>
    <t>CORRAL, DAVID</t>
  </si>
  <si>
    <t>DOMINGUEZ, MARIA A</t>
  </si>
  <si>
    <t>MOLINA, MARIA E</t>
  </si>
  <si>
    <t>HERNANDEZ DE PEREZ, IRENE</t>
  </si>
  <si>
    <t>MORALES, IRMA</t>
  </si>
  <si>
    <t>HESLOP, RACHQUEL</t>
  </si>
  <si>
    <t>BRAINARD, HAROLD</t>
  </si>
  <si>
    <t>WREN, PAMELA</t>
  </si>
  <si>
    <t>BACA, NORMA</t>
  </si>
  <si>
    <t>MANRIQUEZ, ELOISA</t>
  </si>
  <si>
    <t>MENDOZA, EDDIE A</t>
  </si>
  <si>
    <t>CARRILLO, VICTOR</t>
  </si>
  <si>
    <t>GUTIERREZ, ARTURO</t>
  </si>
  <si>
    <t>RAFFERTY, MICHAEL B</t>
  </si>
  <si>
    <t>LOPEZ, MERCEDES G</t>
  </si>
  <si>
    <t>DORANTES, LORENA</t>
  </si>
  <si>
    <t>JAQUEZ, HORTENSIA</t>
  </si>
  <si>
    <t>VILLALOBOS, ALFREDO</t>
  </si>
  <si>
    <t>RUSH, MARINA</t>
  </si>
  <si>
    <t>SERNA, JOSE R</t>
  </si>
  <si>
    <t>QUINTERO, LAZARO</t>
  </si>
  <si>
    <t>FLORES, FEDERICO</t>
  </si>
  <si>
    <t>ARCHULETA, AURORA</t>
  </si>
  <si>
    <t>MENDOZA DE PROVENCIO, JULIETA</t>
  </si>
  <si>
    <t>ALLEN, HERSHEL</t>
  </si>
  <si>
    <t>AMAYA, MARIA L</t>
  </si>
  <si>
    <t>CASTANEDA, OLGA</t>
  </si>
  <si>
    <t>WALLACE, IMELDA</t>
  </si>
  <si>
    <t>GAYTAN, MARIA</t>
  </si>
  <si>
    <t>RIVERA, LORRAINE</t>
  </si>
  <si>
    <t>GONZALEZ, DAVID</t>
  </si>
  <si>
    <t>MERCADO, PEDRO</t>
  </si>
  <si>
    <t>MARTINEZ, MARIA L</t>
  </si>
  <si>
    <t>DELGADO, SUSIE</t>
  </si>
  <si>
    <t>GARCIA, JESSIE J</t>
  </si>
  <si>
    <t>EVANS, JACINTA</t>
  </si>
  <si>
    <t>FERNANDEZ, SOCORRO</t>
  </si>
  <si>
    <t>SMITH, ZEYNA</t>
  </si>
  <si>
    <t>CLAYCOMB, AMANDA M</t>
  </si>
  <si>
    <t>PATTERSON, MICHAEL</t>
  </si>
  <si>
    <t>RAMIREZ, LISA</t>
  </si>
  <si>
    <t>MATA VARGAS, FERNANDO</t>
  </si>
  <si>
    <t>ARIAS, ROXANNE</t>
  </si>
  <si>
    <t>ROSAS, FRANK</t>
  </si>
  <si>
    <t>RIOS, FRANCISCO</t>
  </si>
  <si>
    <t>CASTILLO BUSTAMANTE, NORMA</t>
  </si>
  <si>
    <t>RODRIGUEZ, HENNAH E</t>
  </si>
  <si>
    <t>GARCIA, SALVADOR</t>
  </si>
  <si>
    <t>CLAYPOOL, JESSICA</t>
  </si>
  <si>
    <t>CANALES, ARMANDO</t>
  </si>
  <si>
    <t>DEJESUSSOTO, REINALDO</t>
  </si>
  <si>
    <t>NUNEZ, BRENDA</t>
  </si>
  <si>
    <t>HERNANDEZ, JAIME</t>
  </si>
  <si>
    <t>VALDEZ, MARIA A</t>
  </si>
  <si>
    <t>JURADO JR, ELMO</t>
  </si>
  <si>
    <t>RAMIREZ, MARIA</t>
  </si>
  <si>
    <t>RIZO, LAURA</t>
  </si>
  <si>
    <t>VASQUEZ, DANIEL</t>
  </si>
  <si>
    <t>CORREA, JUAN</t>
  </si>
  <si>
    <t>OLIVAS, MARIA</t>
  </si>
  <si>
    <t>RODARTE, ANGELA</t>
  </si>
  <si>
    <t>ALVARADO, DANIEL</t>
  </si>
  <si>
    <t>AYALA, MARTHA</t>
  </si>
  <si>
    <t>COFFEY, ARTHUR</t>
  </si>
  <si>
    <t>JUAREZ, PRISCILLA</t>
  </si>
  <si>
    <t>SOZA, WILLIAM</t>
  </si>
  <si>
    <t>KLINGENBERG, VINCE</t>
  </si>
  <si>
    <t>WALDVOGEL, ESPERANZA</t>
  </si>
  <si>
    <t>MUNOZ, ARTURO</t>
  </si>
  <si>
    <t>MARTINEZ, SANDRA M</t>
  </si>
  <si>
    <t>GRADO, EUSTOLIA</t>
  </si>
  <si>
    <t>ARZATE, ROGELIO R</t>
  </si>
  <si>
    <t>HOWELL, ALISHA</t>
  </si>
  <si>
    <t>MITCHELL, BECKY</t>
  </si>
  <si>
    <t>SWANSON, RONALD</t>
  </si>
  <si>
    <t>RUIZ, HECTOR</t>
  </si>
  <si>
    <t>SCHMIDT, AMY</t>
  </si>
  <si>
    <t>ESTRADA, PAULA R</t>
  </si>
  <si>
    <t>LUCERO, EVANGELINA</t>
  </si>
  <si>
    <t>RAMIREZ, MARTIN</t>
  </si>
  <si>
    <t>GUTIERREZ, RAUL</t>
  </si>
  <si>
    <t>VENEGAS, BERTA</t>
  </si>
  <si>
    <t>BENITEZ, PEDRO</t>
  </si>
  <si>
    <t>RODARTE, FRANCISCO</t>
  </si>
  <si>
    <t>LOPEZ, MARIA</t>
  </si>
  <si>
    <t>INGLE, AMBER M</t>
  </si>
  <si>
    <t>ORTIZ, ALBERTO</t>
  </si>
  <si>
    <t>VALADEZ, IRENE</t>
  </si>
  <si>
    <t>GUTIERREZ, WENDY</t>
  </si>
  <si>
    <t>KEITH, DIANA</t>
  </si>
  <si>
    <t>AGUILAR, HUMBERTO</t>
  </si>
  <si>
    <t>HORNER, CONSTANCE M</t>
  </si>
  <si>
    <t>PENA, ERNESTINA</t>
  </si>
  <si>
    <t>CORRELL, SHERRI L</t>
  </si>
  <si>
    <t>BAILEY, COREY</t>
  </si>
  <si>
    <t>VAN RUITEN, MARIA A</t>
  </si>
  <si>
    <t>RUIZ, CLEOTILDE</t>
  </si>
  <si>
    <t>MEDINA, YSIDRO D</t>
  </si>
  <si>
    <t>DE LA CRUZ, LUIS</t>
  </si>
  <si>
    <t>CHAVEZ, RIGOBERTO</t>
  </si>
  <si>
    <t>BACA, SILAS</t>
  </si>
  <si>
    <t>LUNA, MANUEL</t>
  </si>
  <si>
    <t>VALADEZ, JUANITA</t>
  </si>
  <si>
    <t>SHUGART, GAIL M</t>
  </si>
  <si>
    <t>GARCIA, JOHN</t>
  </si>
  <si>
    <t>GARCIA, ELIZABETH</t>
  </si>
  <si>
    <t>MUNOZ, GLORIA</t>
  </si>
  <si>
    <t>RENTERIA, RAYMUNDO</t>
  </si>
  <si>
    <t>BALL, JAMES</t>
  </si>
  <si>
    <t>CHAVEZ, GUADALUPE</t>
  </si>
  <si>
    <t>DENIS, VICTOR</t>
  </si>
  <si>
    <t>MUNIZ, CONNIE M</t>
  </si>
  <si>
    <t>AMBRIZ NUNEZ, ANGEL</t>
  </si>
  <si>
    <t>AUSTIN, WALLACE</t>
  </si>
  <si>
    <t>CONOR, VIVIAN</t>
  </si>
  <si>
    <t>MARTINEZ, ROSA M</t>
  </si>
  <si>
    <t>TAYLOR, PATRICIA</t>
  </si>
  <si>
    <t>SOLIS, HILARIO</t>
  </si>
  <si>
    <t>FACIO, TERESITA D</t>
  </si>
  <si>
    <t>JUDY, FAVIOLA</t>
  </si>
  <si>
    <t>TELLES, ERNESTO</t>
  </si>
  <si>
    <t>HERNANDEZ, LUIS</t>
  </si>
  <si>
    <t>ROSALES, JACK</t>
  </si>
  <si>
    <t>VALDEZ, LUCIA</t>
  </si>
  <si>
    <t>GOMEZ, LUIS</t>
  </si>
  <si>
    <t>SOLIS, RICARDO</t>
  </si>
  <si>
    <t>CORONADO, JOSEFINA</t>
  </si>
  <si>
    <t>VALENZUELA, FERNANDO</t>
  </si>
  <si>
    <t>SOTO, MARY</t>
  </si>
  <si>
    <t>BORJAS, TRINIDAD</t>
  </si>
  <si>
    <t>MENDEZ, JOSE</t>
  </si>
  <si>
    <t>MCDOWELL, KENNETH R</t>
  </si>
  <si>
    <t>ARELLANO, AURORA</t>
  </si>
  <si>
    <t>BECK, MICHAEL</t>
  </si>
  <si>
    <t>PEREZ, VICTOR</t>
  </si>
  <si>
    <t>SALAZAR, EVANGELINA</t>
  </si>
  <si>
    <t>ROULEAU, ANITA</t>
  </si>
  <si>
    <t>FOUNTAIN-BELLFUSS, LAUREL</t>
  </si>
  <si>
    <t>SERVIN, LISETTE</t>
  </si>
  <si>
    <t>DOMINGUEZ, ALEX</t>
  </si>
  <si>
    <t>MAYO, ELMER</t>
  </si>
  <si>
    <t>RAMIREZ, JOSE</t>
  </si>
  <si>
    <t>IGLESIAS, LUIS</t>
  </si>
  <si>
    <t>SULLIVAN, DEBORAH</t>
  </si>
  <si>
    <t>GAXIOLA, MANUEL</t>
  </si>
  <si>
    <t>TRONCOSO, BERTHA</t>
  </si>
  <si>
    <t>BUEHLER, MANUELA</t>
  </si>
  <si>
    <t>TIENDA, IRASEMA</t>
  </si>
  <si>
    <t>NORWOOD, LARRY</t>
  </si>
  <si>
    <t>SMYERS, CODY E</t>
  </si>
  <si>
    <t>GARCIA, RAQUEL</t>
  </si>
  <si>
    <t>OLSEN, SANDRA</t>
  </si>
  <si>
    <t>MELENDEZ, DOLORES</t>
  </si>
  <si>
    <t>WASHINGTON, VERNON M</t>
  </si>
  <si>
    <t>LUJAN, SASCHA</t>
  </si>
  <si>
    <t>DOMINGUEZ, JOSE G</t>
  </si>
  <si>
    <t>JORDAN, CHRISTINA</t>
  </si>
  <si>
    <t>ALVARADO, ROBERT</t>
  </si>
  <si>
    <t>PALACIOS, MICHAEL</t>
  </si>
  <si>
    <t>PHILLIPS, TONYA</t>
  </si>
  <si>
    <t>BROWN, DEBORAH K</t>
  </si>
  <si>
    <t>VAZQUEZ-ZIMMERMANN, DIANE</t>
  </si>
  <si>
    <t>AGUAYO, SAMUEL</t>
  </si>
  <si>
    <t>JAQUEZ, FELIX</t>
  </si>
  <si>
    <t>BELTRAN, ALICIA</t>
  </si>
  <si>
    <t>AKWABOAH, EVANS</t>
  </si>
  <si>
    <t>PEREZ, AMELIA</t>
  </si>
  <si>
    <t>DIAZ, ANTELMA A</t>
  </si>
  <si>
    <t>MARTINEZ PEREZ, PERLA</t>
  </si>
  <si>
    <t>PARRAL, JOSE</t>
  </si>
  <si>
    <t>RIVERA, SANDRA B</t>
  </si>
  <si>
    <t>SIERRA, ARMANDO</t>
  </si>
  <si>
    <t>CASTILLO, CONCEPCION</t>
  </si>
  <si>
    <t>VALDEZ, TONY</t>
  </si>
  <si>
    <t>LAWSON, SEAN</t>
  </si>
  <si>
    <t>MARTINEZ, ALEJANDRO</t>
  </si>
  <si>
    <t>MEDRANO, JUAN</t>
  </si>
  <si>
    <t>CARTER, SARAH A</t>
  </si>
  <si>
    <t>WILSON, DOUGLAS</t>
  </si>
  <si>
    <t>LOPEZ, ENRIQUE</t>
  </si>
  <si>
    <t>ACOSTA, CARLOS</t>
  </si>
  <si>
    <t>ACOSTA, ALEJANDRINA</t>
  </si>
  <si>
    <t>EZELL, JOHN</t>
  </si>
  <si>
    <t>ARCOS, MARTHA</t>
  </si>
  <si>
    <t>BOMBELA, KATHRYN</t>
  </si>
  <si>
    <t>MAYO, TINA M</t>
  </si>
  <si>
    <t>DAVILA, MARIA R</t>
  </si>
  <si>
    <t>BOISSELIER, VERONICA</t>
  </si>
  <si>
    <t>VELASQUEZ SOLIS, VALERIE</t>
  </si>
  <si>
    <t>FELICIANOPESANTE, KEVIN</t>
  </si>
  <si>
    <t>ORTIZ, VELVET</t>
  </si>
  <si>
    <t>SARABIA, RAMON</t>
  </si>
  <si>
    <t>TORRES-LUNA, GERALDO</t>
  </si>
  <si>
    <t>MENDOZA, CARLOS</t>
  </si>
  <si>
    <t>SOTO CONTRERAS, EVA</t>
  </si>
  <si>
    <t>GILBERT, OLIVER</t>
  </si>
  <si>
    <t>GARCIA, EUSTOLIA</t>
  </si>
  <si>
    <t>GONZALEZ, RODOLFO</t>
  </si>
  <si>
    <t>SANTACRUZ, VIRGINIA</t>
  </si>
  <si>
    <t>PUENTES, LUZ</t>
  </si>
  <si>
    <t>CHAVEZ, TIMOTHY G</t>
  </si>
  <si>
    <t>VALENCIA, MARGARITA C</t>
  </si>
  <si>
    <t>SOLIS, CHRISTOPHER</t>
  </si>
  <si>
    <t>SOLARES, RAMONA</t>
  </si>
  <si>
    <t>VARELA, GABRIELA</t>
  </si>
  <si>
    <t>HIGAREDA, ODETE</t>
  </si>
  <si>
    <t>MIRANDA, NANCY A</t>
  </si>
  <si>
    <t>DEMASSEY, DAVID</t>
  </si>
  <si>
    <t>MARQUEZ, MARTHA</t>
  </si>
  <si>
    <t>GARCIA, ARMANDO</t>
  </si>
  <si>
    <t>ROLDAN, EVA M</t>
  </si>
  <si>
    <t>MEDINA, GLORIA</t>
  </si>
  <si>
    <t>MONTES, EDWARD</t>
  </si>
  <si>
    <t>TEJADA DE RUEDA, BERTHA</t>
  </si>
  <si>
    <t>KIRKWOOD, DOUGLAS</t>
  </si>
  <si>
    <t>GARCIA, INES</t>
  </si>
  <si>
    <t>SOTO, BLANCA</t>
  </si>
  <si>
    <t>TURNER, ESTELA</t>
  </si>
  <si>
    <t>LUJAN, ABDON</t>
  </si>
  <si>
    <t>AGUILAR, PEARL B</t>
  </si>
  <si>
    <t>MARTIN, PATRICK</t>
  </si>
  <si>
    <t>PRIETO, BEDA</t>
  </si>
  <si>
    <t>HAWKINS, SYLVIA</t>
  </si>
  <si>
    <t>RHEAUME, SCOTT</t>
  </si>
  <si>
    <t>CHAVEZ, LETICIA</t>
  </si>
  <si>
    <t>HERNANDEZ, JESUS</t>
  </si>
  <si>
    <t>AVICTIA, ALFONSO</t>
  </si>
  <si>
    <t>ZELAYA DE GUARDADO, LORENA</t>
  </si>
  <si>
    <t>CONTRERAS, EDUARDO T</t>
  </si>
  <si>
    <t>VERDIER, GRACIELA</t>
  </si>
  <si>
    <t>MEDINA, GEORGINA</t>
  </si>
  <si>
    <t>MCDONALD, MARY J</t>
  </si>
  <si>
    <t>CLICK, ALICIA</t>
  </si>
  <si>
    <t>DIAZ, CHRISTOPHER A</t>
  </si>
  <si>
    <t>RASCON, EVA</t>
  </si>
  <si>
    <t>GONZALEZ, JESUS</t>
  </si>
  <si>
    <t>GARZA-PENA, SOCORRO</t>
  </si>
  <si>
    <t>ARCOS, LUIS</t>
  </si>
  <si>
    <t>TORRES, ROSA MARIA</t>
  </si>
  <si>
    <t>DURR, OTIS</t>
  </si>
  <si>
    <t>DUARTE, SANDRA</t>
  </si>
  <si>
    <t>RODRIGUEZ, LORRIE</t>
  </si>
  <si>
    <t>GARDEA, LUZ MARIA</t>
  </si>
  <si>
    <t>MENDEZ, TIRSO</t>
  </si>
  <si>
    <t>FLUGMACHER, JAMES</t>
  </si>
  <si>
    <t>TOY, DAIGORO</t>
  </si>
  <si>
    <t>ARCHULETA, OSCAR</t>
  </si>
  <si>
    <t>BARRAZA, MARIA</t>
  </si>
  <si>
    <t>BROWN, MARGIE</t>
  </si>
  <si>
    <t>SANTANA, ANA</t>
  </si>
  <si>
    <t>ARREOLA, MARTHA</t>
  </si>
  <si>
    <t>HOLGUIN, SOCORRO</t>
  </si>
  <si>
    <t>GALLEGOS, RUDY</t>
  </si>
  <si>
    <t>MARTINEZ, ADELINA</t>
  </si>
  <si>
    <t>MUNOZ, JORGE</t>
  </si>
  <si>
    <t>RODRIGUEZ, LAURA</t>
  </si>
  <si>
    <t>LOPEZ, PATRICIA</t>
  </si>
  <si>
    <t>LIU, HSIU CHING</t>
  </si>
  <si>
    <t>LOVE, NORMAN</t>
  </si>
  <si>
    <t>IBARRA, MARIA DEL CARMEN</t>
  </si>
  <si>
    <t>CRUZ, MARTHA</t>
  </si>
  <si>
    <t>RONQUILLO, GABRIEL M</t>
  </si>
  <si>
    <t>PENBERG, JANE M</t>
  </si>
  <si>
    <t>SUIDIKAS, BEATRICE</t>
  </si>
  <si>
    <t>SANCHEZ, CARMEN MARIA</t>
  </si>
  <si>
    <t>ROBERTS, RENE</t>
  </si>
  <si>
    <t>PEDROZO, YOLANDA ISABEL</t>
  </si>
  <si>
    <t>ERWIN, JEFFREY</t>
  </si>
  <si>
    <t>AVILA, ANDRES</t>
  </si>
  <si>
    <t>ACOSTA, ESPERANZA</t>
  </si>
  <si>
    <t>VALLE, IBRAHIM</t>
  </si>
  <si>
    <t>CASTRO, RODRIGO</t>
  </si>
  <si>
    <t>VASQUEZ DE PONCE, MARIVEL</t>
  </si>
  <si>
    <t>PONCE, JESUS</t>
  </si>
  <si>
    <t>CAVINESS, SANDRA</t>
  </si>
  <si>
    <t>CABAN, MILAGROS</t>
  </si>
  <si>
    <t>CAMPO, OLGA</t>
  </si>
  <si>
    <t>WILLIAMS, MARTHA P</t>
  </si>
  <si>
    <t>ARRIAGA, ISIDRO</t>
  </si>
  <si>
    <t>SALAMANCA, SELESTE</t>
  </si>
  <si>
    <t>MCNULTY, MARGARET M</t>
  </si>
  <si>
    <t>HERNANDEZ, MARIA L</t>
  </si>
  <si>
    <t>DUGAS, AMANDA</t>
  </si>
  <si>
    <t>OROPEZA, CARLOS</t>
  </si>
  <si>
    <t>HARPER, LINDA</t>
  </si>
  <si>
    <t>RAMEY, MARK</t>
  </si>
  <si>
    <t>SOSA, JOHNNY</t>
  </si>
  <si>
    <t>ACOSTA, MIKE</t>
  </si>
  <si>
    <t>REBELES, ROSE</t>
  </si>
  <si>
    <t>SLOAN, CONNIE L</t>
  </si>
  <si>
    <t>MEINECKE, GAYLE</t>
  </si>
  <si>
    <t>CAZARES, MANUELA</t>
  </si>
  <si>
    <t>EDMUNDS, PAULINA</t>
  </si>
  <si>
    <t>OROZCO, TOMAZ</t>
  </si>
  <si>
    <t>IRIGOYEN, MARIO</t>
  </si>
  <si>
    <t>BARRON, ALBERTO</t>
  </si>
  <si>
    <t>GEIMER, ALBERT</t>
  </si>
  <si>
    <t>DIAZ, JORGE</t>
  </si>
  <si>
    <t>ZAVALA, KARLI</t>
  </si>
  <si>
    <t>GUERRA, JON</t>
  </si>
  <si>
    <t>ORTLUND, RANDOLPH H</t>
  </si>
  <si>
    <t>MITCHELL, PATRICIA</t>
  </si>
  <si>
    <t>MARQUEZ, LETICIA</t>
  </si>
  <si>
    <t>COOK, JANICE E</t>
  </si>
  <si>
    <t>ROJAS, SYLVIA Z</t>
  </si>
  <si>
    <t>WOODALL, PHYLLIS</t>
  </si>
  <si>
    <t>HAMILTON, AGNIESZKA</t>
  </si>
  <si>
    <t>BERGE, VERNON</t>
  </si>
  <si>
    <t>ROBLEDO, CYNTHIA</t>
  </si>
  <si>
    <t>BELL, WILMA</t>
  </si>
  <si>
    <t>GARCIA, SILVIA T</t>
  </si>
  <si>
    <t>TAPIA, EMMA</t>
  </si>
  <si>
    <t>KROBOT, ANDREW W</t>
  </si>
  <si>
    <t>CABRERA, JOE O</t>
  </si>
  <si>
    <t>LAFARELLE, CARMEN</t>
  </si>
  <si>
    <t>MOORE, ROBERTA F</t>
  </si>
  <si>
    <t>PONCE, APOLONIA</t>
  </si>
  <si>
    <t>MUELLER, MARGARITA</t>
  </si>
  <si>
    <t>MONTOYA, SERGIO P</t>
  </si>
  <si>
    <t>HERNANDEZ PEDROZA, FEDERICO</t>
  </si>
  <si>
    <t>RIOS, GRACIANO G</t>
  </si>
  <si>
    <t>PANIAGUA, RAFAEL</t>
  </si>
  <si>
    <t>ESTRADA, LUCILA</t>
  </si>
  <si>
    <t>ALFONSO, HERNAN C</t>
  </si>
  <si>
    <t>CONTRERAS, VERONICA</t>
  </si>
  <si>
    <t>LEYVA, MARIA J</t>
  </si>
  <si>
    <t>RIVEROLL, HECTOR</t>
  </si>
  <si>
    <t>CIAK, DESIREE</t>
  </si>
  <si>
    <t>GUILLEN, ALONZO</t>
  </si>
  <si>
    <t>SIERRA, AMANDA</t>
  </si>
  <si>
    <t>GOODELL, SUSAN</t>
  </si>
  <si>
    <t>SANCHEZ, ROSA</t>
  </si>
  <si>
    <t>COUTTA, JEANNIE S</t>
  </si>
  <si>
    <t>MELLO, ANNA</t>
  </si>
  <si>
    <t>FIALA, THIAGO</t>
  </si>
  <si>
    <t>GOMEZ, BENITO D</t>
  </si>
  <si>
    <t>FERNANDEZ, TERESA</t>
  </si>
  <si>
    <t>JEDDERY, CHARLES</t>
  </si>
  <si>
    <t>RODRIGUEZ, ELIZABETH</t>
  </si>
  <si>
    <t>HEATH, WALLACE</t>
  </si>
  <si>
    <t>LOPEZ, ROBERT</t>
  </si>
  <si>
    <t>AGUIRRE, MARIA</t>
  </si>
  <si>
    <t>BENITEZ, ROBERT</t>
  </si>
  <si>
    <t>RUIZ, JESUS</t>
  </si>
  <si>
    <t>PARTRIDGE, MARY K</t>
  </si>
  <si>
    <t>MARTINEZ, ROSA</t>
  </si>
  <si>
    <t>SANCHEZ, SOCORRO</t>
  </si>
  <si>
    <t>GARNICA, PATRICIA</t>
  </si>
  <si>
    <t>GONZALEZ, SOFIA A</t>
  </si>
  <si>
    <t>ROYSDON, CHERYL</t>
  </si>
  <si>
    <t>VALDEZ, ESTHER</t>
  </si>
  <si>
    <t>CLARK, MICHAEL</t>
  </si>
  <si>
    <t>RIOS, DANIEL</t>
  </si>
  <si>
    <t>ALVARADO, ROSA M</t>
  </si>
  <si>
    <t>ALVARADO, ARMANDO</t>
  </si>
  <si>
    <t>GAYTAN, ALMA DELIA</t>
  </si>
  <si>
    <t>ARENAS, ISAAC</t>
  </si>
  <si>
    <t>HUMBLE, EDDIE</t>
  </si>
  <si>
    <t>RODRIGUEZ, AARON A</t>
  </si>
  <si>
    <t>ALVARADO, MANUEL</t>
  </si>
  <si>
    <t>FLORES, MARTHA</t>
  </si>
  <si>
    <t>FELIPE, ERIKA</t>
  </si>
  <si>
    <t>GUZMAN ROCHA, ELIZABETH</t>
  </si>
  <si>
    <t>SOLIZ, MARTHA</t>
  </si>
  <si>
    <t>JIMENEZ, JOEL</t>
  </si>
  <si>
    <t>MOLINAR, BLANCA</t>
  </si>
  <si>
    <t>ENGELBAUM, KIMBERLEY</t>
  </si>
  <si>
    <t>STONE, RONNIE</t>
  </si>
  <si>
    <t>GONZALEZ, GIGI I</t>
  </si>
  <si>
    <t>HOPPER, CAROLYN</t>
  </si>
  <si>
    <t>GONZALEZ, CHRISTINA</t>
  </si>
  <si>
    <t>GUTIERREZ, OSCAR</t>
  </si>
  <si>
    <t>SEXTON, WILLIAM</t>
  </si>
  <si>
    <t>HARTMAN, PAUL</t>
  </si>
  <si>
    <t>MORALES, REYMUNDO</t>
  </si>
  <si>
    <t>LIU, PEI-HENG</t>
  </si>
  <si>
    <t>GARCIA, JORGE</t>
  </si>
  <si>
    <t>YORK, TRAVIS</t>
  </si>
  <si>
    <t>AGUIRRE, SYLVIA</t>
  </si>
  <si>
    <t>HERNANDEZ, GREGORIA</t>
  </si>
  <si>
    <t>KELLER, ANNMARIE</t>
  </si>
  <si>
    <t>GONZALEZ, CONCEPCION</t>
  </si>
  <si>
    <t>MELENDEZ, ALICIA</t>
  </si>
  <si>
    <t>AGUILAR, JOSE L</t>
  </si>
  <si>
    <t>GONZALEZ, MARIA T</t>
  </si>
  <si>
    <t>BETHKE, ROSIE</t>
  </si>
  <si>
    <t>VELEZ, VALERIA</t>
  </si>
  <si>
    <t>GUILLEN, RAMON</t>
  </si>
  <si>
    <t>PARRISH, LARRY D</t>
  </si>
  <si>
    <t>MENDEZ, LYNETTE</t>
  </si>
  <si>
    <t>TREVINO CARRILLO, JAIME</t>
  </si>
  <si>
    <t>BECERRA, ANA MARIA</t>
  </si>
  <si>
    <t>VEAL, ALLENE</t>
  </si>
  <si>
    <t>AVITIA, AZUCENA</t>
  </si>
  <si>
    <t>RED, JOSE R</t>
  </si>
  <si>
    <t>FISHER, IRA</t>
  </si>
  <si>
    <t>SMITH, CYNTHIA</t>
  </si>
  <si>
    <t>ULLOA, SANDRA</t>
  </si>
  <si>
    <t>HANSEN, TAMMY</t>
  </si>
  <si>
    <t>KERWIN, MARIA</t>
  </si>
  <si>
    <t>VASQUEZ, RICHARD</t>
  </si>
  <si>
    <t>BROWN, ANDREW</t>
  </si>
  <si>
    <t>CARLOS, MIGUEL</t>
  </si>
  <si>
    <t>ALVARADO, MARTHA</t>
  </si>
  <si>
    <t>GONZALEZ, FRANCISCO</t>
  </si>
  <si>
    <t>RODRIGUEZ, MARTHA L</t>
  </si>
  <si>
    <t>ARROYO, DELFINO</t>
  </si>
  <si>
    <t>ROMAN, SUE</t>
  </si>
  <si>
    <t>VAZQUEZ, GLORIA</t>
  </si>
  <si>
    <t>CHAIREZ, CECILIA</t>
  </si>
  <si>
    <t>GUERRERO, THOMAS</t>
  </si>
  <si>
    <t>RIVERA, ALFONSO</t>
  </si>
  <si>
    <t>WALLS, STEVEN</t>
  </si>
  <si>
    <t>GONZALEZ, MARIA D</t>
  </si>
  <si>
    <t>LADD, JOSHUA</t>
  </si>
  <si>
    <t>ESPINO, RAUL</t>
  </si>
  <si>
    <t>PARKE, ROBERT J</t>
  </si>
  <si>
    <t>SALCIDO, LARRY</t>
  </si>
  <si>
    <t>LIEURANCE, ASHLEY</t>
  </si>
  <si>
    <t>GONZALEZ, MARIA DE LA LUZ</t>
  </si>
  <si>
    <t>DUQUE, ALEJANDRINA</t>
  </si>
  <si>
    <t>ENRIQUEZ, SANDRA</t>
  </si>
  <si>
    <t>MANQUEROS, GREGORIO</t>
  </si>
  <si>
    <t>VILLALOVOS, DORA O</t>
  </si>
  <si>
    <t>GONZALEZ GARCIA, ORLANDO</t>
  </si>
  <si>
    <t>LATIMER, WILLARD</t>
  </si>
  <si>
    <t>APODACA, JORGE</t>
  </si>
  <si>
    <t>JONES, HARRY</t>
  </si>
  <si>
    <t>ORTEGA, ESPERANZA</t>
  </si>
  <si>
    <t>AGUILAR, STEVE B</t>
  </si>
  <si>
    <t>BRISENO, ANTONIO</t>
  </si>
  <si>
    <t>MORENO, CESAR</t>
  </si>
  <si>
    <t>SERNA, RAMON</t>
  </si>
  <si>
    <t>SOROA SIGALA, ALBERTO</t>
  </si>
  <si>
    <t>CARAVEO, YOLANDA</t>
  </si>
  <si>
    <t>BOHANNON, ERIKA</t>
  </si>
  <si>
    <t>GARZA, SYLVIA M</t>
  </si>
  <si>
    <t>HINOJOS, JONATHAN</t>
  </si>
  <si>
    <t>TORRES, JOSE</t>
  </si>
  <si>
    <t>RUTLEDGE, MARIA</t>
  </si>
  <si>
    <t>KOONCE, CAROLYN</t>
  </si>
  <si>
    <t>AGUINAGA, ELISA</t>
  </si>
  <si>
    <t>SAMANIEGO, ABEL</t>
  </si>
  <si>
    <t>CISNEROS, CECILIA</t>
  </si>
  <si>
    <t>DIAZ, JOHANNA</t>
  </si>
  <si>
    <t>SOSA, JUANITA C</t>
  </si>
  <si>
    <t>MARESTEIN, OSCAR A</t>
  </si>
  <si>
    <t>CENICEROS, ELIZABETH</t>
  </si>
  <si>
    <t>ROJAS, MARIA C</t>
  </si>
  <si>
    <t>ZENKER, SUSAN</t>
  </si>
  <si>
    <t>SNIVELY, MORGAN</t>
  </si>
  <si>
    <t>SANTILLAN, VICTOR</t>
  </si>
  <si>
    <t>KUEHN, CLAYTON M</t>
  </si>
  <si>
    <t>BRUNK, ROBERT E</t>
  </si>
  <si>
    <t>CASTRELLON, ALEJANDRA</t>
  </si>
  <si>
    <t>DAVIS, MARY</t>
  </si>
  <si>
    <t>PERICLES, KETTELA</t>
  </si>
  <si>
    <t>OCHOA, FERNANDO</t>
  </si>
  <si>
    <t>SOSA, MARY</t>
  </si>
  <si>
    <t>SANCHEZ, MIGUEL</t>
  </si>
  <si>
    <t>BELTRAN, CONSUELO</t>
  </si>
  <si>
    <t>DIAZ, ROSA M</t>
  </si>
  <si>
    <t>TORRES, LAURA A</t>
  </si>
  <si>
    <t>BUNDREN, JAMES</t>
  </si>
  <si>
    <t>RODRIGUEZ, JORGE</t>
  </si>
  <si>
    <t>SHAW, FRED</t>
  </si>
  <si>
    <t>LUNA, ELSA</t>
  </si>
  <si>
    <t>MACIAS, MIGUEL</t>
  </si>
  <si>
    <t>HERNANDEZ, ALBERTA</t>
  </si>
  <si>
    <t>RAMIREZ, JOSE H</t>
  </si>
  <si>
    <t>CALDERON, ARACELI</t>
  </si>
  <si>
    <t>MARTIN, CHRISTINE</t>
  </si>
  <si>
    <t>RIVERA, JUAN</t>
  </si>
  <si>
    <t>MONCRIEF, CAROLYN W</t>
  </si>
  <si>
    <t>SANCHEZ, JOANN</t>
  </si>
  <si>
    <t>VALENCIA, CHRISTA A</t>
  </si>
  <si>
    <t>GURROLA, JAIME A</t>
  </si>
  <si>
    <t>NOGUEIRA, OMAR</t>
  </si>
  <si>
    <t>POBLANO, DOLORES</t>
  </si>
  <si>
    <t>CASTORENA, MARIA ELENA</t>
  </si>
  <si>
    <t>BALLESTEROS, ARTURO</t>
  </si>
  <si>
    <t>MCDONALD, JOHN J</t>
  </si>
  <si>
    <t>ULTRERAS, JOSEFINA S</t>
  </si>
  <si>
    <t>WILCOX, LARRY</t>
  </si>
  <si>
    <t>TORRES, CATALINA D</t>
  </si>
  <si>
    <t>TORRES, JORGE</t>
  </si>
  <si>
    <t>VALENZUELA, GERARDO</t>
  </si>
  <si>
    <t>AVILES DE VALENZUELA, MARIA</t>
  </si>
  <si>
    <t>MENDOZA, ARMIDA</t>
  </si>
  <si>
    <t>POLLARD, HENRY</t>
  </si>
  <si>
    <t>MARSHALL, TERESA</t>
  </si>
  <si>
    <t>PORRAS, MARIO</t>
  </si>
  <si>
    <t>BAQUERA, CYNTHIA</t>
  </si>
  <si>
    <t>CABRERA, LUPE G</t>
  </si>
  <si>
    <t>ONTIVEROS, JOSE C</t>
  </si>
  <si>
    <t>MORALES, JUAN</t>
  </si>
  <si>
    <t>HICKS, JOSE</t>
  </si>
  <si>
    <t>CORTEZ, JESSE</t>
  </si>
  <si>
    <t>RIVAS, FRANCISCO</t>
  </si>
  <si>
    <t>MANQUEROS, AURELIA</t>
  </si>
  <si>
    <t>TILLMAN, CANDICE</t>
  </si>
  <si>
    <t>SOSA, MARIA L</t>
  </si>
  <si>
    <t>RODRIGUEZ, SARA</t>
  </si>
  <si>
    <t>FLORES, MARICELA</t>
  </si>
  <si>
    <t>JOHNSON, MARC</t>
  </si>
  <si>
    <t>URIAS PEREZ, ANTONIO</t>
  </si>
  <si>
    <t>WILES, SHARON</t>
  </si>
  <si>
    <t>MORALES, ANITA</t>
  </si>
  <si>
    <t>GUERRERO, ROBERT</t>
  </si>
  <si>
    <t>BREYER, RALPH</t>
  </si>
  <si>
    <t>BONETTI, CHARLES</t>
  </si>
  <si>
    <t>OROPEZA, ESPERANZA</t>
  </si>
  <si>
    <t>MUNOZ, IRMA</t>
  </si>
  <si>
    <t>MUNOZ, ALEXA</t>
  </si>
  <si>
    <t>ARAUJO, MARTHA</t>
  </si>
  <si>
    <t>GUZMAN, JAIME</t>
  </si>
  <si>
    <t>MONTELONGO, GLORIA</t>
  </si>
  <si>
    <t>HERNANDEZ, YURI</t>
  </si>
  <si>
    <t>PALOMINO-MENDEZ, YOLANDA G</t>
  </si>
  <si>
    <t>MENDEZ, MARIA F</t>
  </si>
  <si>
    <t>NAVARRO, MARTHA</t>
  </si>
  <si>
    <t>OROZCO, LAURA</t>
  </si>
  <si>
    <t>FLORES, JACKIE</t>
  </si>
  <si>
    <t>LANCASTER, CARMEN</t>
  </si>
  <si>
    <t>PETERSON, SANDY</t>
  </si>
  <si>
    <t>LUJAN, PATRICIA</t>
  </si>
  <si>
    <t>ESCANDON, GLORIA</t>
  </si>
  <si>
    <t>GONZALEZ, OFELIA</t>
  </si>
  <si>
    <t>HALLBERG, EDITH E</t>
  </si>
  <si>
    <t>COPELAND, JOHN</t>
  </si>
  <si>
    <t>HERNANDEZ, GUADALUPE M</t>
  </si>
  <si>
    <t>VAZQUEZ ROSADO, EDGARDO</t>
  </si>
  <si>
    <t>FLETCHER, TOMEKIA</t>
  </si>
  <si>
    <t>RODRIGUEZ, EMILIA YOLANDA</t>
  </si>
  <si>
    <t>ARELLANO, FRANCES</t>
  </si>
  <si>
    <t>GUERRERO, BERTHA</t>
  </si>
  <si>
    <t>ALVIDREZ, MARCELA D</t>
  </si>
  <si>
    <t>LUNA, CATALINA</t>
  </si>
  <si>
    <t>DOMINGUEZ, CARMEN O</t>
  </si>
  <si>
    <t>LEANOS, JOSE</t>
  </si>
  <si>
    <t>ROMERO HERNANDEZ, MIGUEL</t>
  </si>
  <si>
    <t>VELASCO, JOSE L</t>
  </si>
  <si>
    <t>EPSTEIN, STEVEN</t>
  </si>
  <si>
    <t>DE LA ROSA, FRANCISCO J</t>
  </si>
  <si>
    <t>TOZIER, TYLER</t>
  </si>
  <si>
    <t>BURLESON, MICHAEL D</t>
  </si>
  <si>
    <t>SALAZAR, BALDOMAR</t>
  </si>
  <si>
    <t>MENDOZA, MARIA R</t>
  </si>
  <si>
    <t>PEREZ DE GOMEZ, MARGARITA</t>
  </si>
  <si>
    <t>GIROSKY GARIBY, JAIME</t>
  </si>
  <si>
    <t>FELGER, BRANDON</t>
  </si>
  <si>
    <t>DOMINGUEZ GRADO, SERGIO</t>
  </si>
  <si>
    <t>WILLIAMS, CARL</t>
  </si>
  <si>
    <t>LATORREOJEDA, ADIELYS</t>
  </si>
  <si>
    <t>CHARLES, PATRICK</t>
  </si>
  <si>
    <t>ANZARA, MARY A</t>
  </si>
  <si>
    <t>ESTRADA, TERESA</t>
  </si>
  <si>
    <t>MELLADO, ERNESTO</t>
  </si>
  <si>
    <t>NAVEJAS, ABEL</t>
  </si>
  <si>
    <t>VIOLETTE, RYAN A</t>
  </si>
  <si>
    <t>ABEYTA, DAVID</t>
  </si>
  <si>
    <t>SANDOVAL, GLORIA L</t>
  </si>
  <si>
    <t>JASPER, GINA</t>
  </si>
  <si>
    <t>PARRY, MARK</t>
  </si>
  <si>
    <t>CORONADO, GLORIA</t>
  </si>
  <si>
    <t>GONZALES, MAGDA S</t>
  </si>
  <si>
    <t>MONRREAL, CHRISTINA A</t>
  </si>
  <si>
    <t>CORTINAS, MANUEL</t>
  </si>
  <si>
    <t>MORALES, ROSALVA</t>
  </si>
  <si>
    <t>OGUEGBU, AMAECHI</t>
  </si>
  <si>
    <t>STRAIGHT, CORA</t>
  </si>
  <si>
    <t>LOPEZ, MARGARITA</t>
  </si>
  <si>
    <t>LUCERO, MANUEL A</t>
  </si>
  <si>
    <t>LOPEZ, RAUL C</t>
  </si>
  <si>
    <t>HERNANDEZ GONZALEZ, JOSE</t>
  </si>
  <si>
    <t>TOLKMITT, EUGENE</t>
  </si>
  <si>
    <t>MIRANDA, ESTELA VDA</t>
  </si>
  <si>
    <t>MUNOZ, ROGELIO</t>
  </si>
  <si>
    <t>SPILLER, LINDA G</t>
  </si>
  <si>
    <t>VARGAS, SAMUEL</t>
  </si>
  <si>
    <t>DIAZ, CYNTHIA</t>
  </si>
  <si>
    <t>GONZALES, PETRA D</t>
  </si>
  <si>
    <t>CARRASCO, HECTOR S</t>
  </si>
  <si>
    <t>AGUILAR, JESUS H</t>
  </si>
  <si>
    <t>MARTINEZ, VIRGINIA F</t>
  </si>
  <si>
    <t>ROTHMAN, ANN</t>
  </si>
  <si>
    <t>ENRIQUEZ, JORGE</t>
  </si>
  <si>
    <t>FORE, SANDRA</t>
  </si>
  <si>
    <t>DODGE, JASON M</t>
  </si>
  <si>
    <t>ALANIS, NORMAN L</t>
  </si>
  <si>
    <t>DUNSAVAGE, MICHAEL A</t>
  </si>
  <si>
    <t>FARLEY, ROBERTA</t>
  </si>
  <si>
    <t>EDWARDS, TANYA</t>
  </si>
  <si>
    <t>CHA, JEWELS</t>
  </si>
  <si>
    <t>DE SANTIAGO, LIZETTE</t>
  </si>
  <si>
    <t>PORRAS, NOE</t>
  </si>
  <si>
    <t>CASTILLO, ESPERANZA</t>
  </si>
  <si>
    <t>ACOSTA, TERESA P</t>
  </si>
  <si>
    <t>BUCKMASTER, FRANCES</t>
  </si>
  <si>
    <t>PEINADO, MARTHA</t>
  </si>
  <si>
    <t>SALINAS, RAMON</t>
  </si>
  <si>
    <t>RUBIO, HECTOR</t>
  </si>
  <si>
    <t>CAMPBELL, VIRGINIA</t>
  </si>
  <si>
    <t>CEDILLO, MARIA</t>
  </si>
  <si>
    <t>BELTRAN, MONICA</t>
  </si>
  <si>
    <t>WOO, WAH</t>
  </si>
  <si>
    <t>BRITO, NORMA</t>
  </si>
  <si>
    <t>CHA, DAVID</t>
  </si>
  <si>
    <t>PATTERSON, GEORGE</t>
  </si>
  <si>
    <t>LOPEZ DE GONZALEZ, ESTHER</t>
  </si>
  <si>
    <t>NUNEZ, GRACIELA A</t>
  </si>
  <si>
    <t>PANKO, SUSAN</t>
  </si>
  <si>
    <t>TORRES, GEORGE R</t>
  </si>
  <si>
    <t>BURFORD, HARRY</t>
  </si>
  <si>
    <t>SHORTER, JOEL</t>
  </si>
  <si>
    <t>GUILLEN, MARK</t>
  </si>
  <si>
    <t>TEST, ALFREDO</t>
  </si>
  <si>
    <t>ROMERO, YVETTE</t>
  </si>
  <si>
    <t>MIRELES, EUSTOLIO</t>
  </si>
  <si>
    <t>WASIEWSKI, ANDREA</t>
  </si>
  <si>
    <t>ESPARZA, IRENE</t>
  </si>
  <si>
    <t>REVELES, LUIS</t>
  </si>
  <si>
    <t>RIVAS, MARK</t>
  </si>
  <si>
    <t>MORENO, VIRGINIA</t>
  </si>
  <si>
    <t>ROCHA, MARIA</t>
  </si>
  <si>
    <t>HUSSIEN, GAMAL M</t>
  </si>
  <si>
    <t>KAYMAN, HASAN</t>
  </si>
  <si>
    <t>ALE, ENOCABIMELECH J</t>
  </si>
  <si>
    <t>PEDRAZA, AURORA</t>
  </si>
  <si>
    <t>RODRIGUEZ, DORA</t>
  </si>
  <si>
    <t>BACA, BLANCA</t>
  </si>
  <si>
    <t>RAYAS, VALERIA</t>
  </si>
  <si>
    <t>GARZA, HECTOR</t>
  </si>
  <si>
    <t>PAEZ, CARMEN</t>
  </si>
  <si>
    <t>CANTU, LUCIA</t>
  </si>
  <si>
    <t>BROOKER, LAURA</t>
  </si>
  <si>
    <t>GALAVIZ, BERTHA</t>
  </si>
  <si>
    <t>MORGAN, MCCARTHY</t>
  </si>
  <si>
    <t>VIGIL DE GALLEGOS, OLGA</t>
  </si>
  <si>
    <t>MARTINEZ, WILLIAM</t>
  </si>
  <si>
    <t>CHAVEZ, MARIA T</t>
  </si>
  <si>
    <t>LOTT, ALVIN B</t>
  </si>
  <si>
    <t>DELGADO, HECTOR M</t>
  </si>
  <si>
    <t>WHITEHEAD, CHRISTOPHER D</t>
  </si>
  <si>
    <t>OZIMEK, CLAUDIA</t>
  </si>
  <si>
    <t>MORALES, MARIA</t>
  </si>
  <si>
    <t>LIRA, ALBERTO</t>
  </si>
  <si>
    <t>ORTIZ, ESTEBAN</t>
  </si>
  <si>
    <t>GUTIERREZ, JOSE</t>
  </si>
  <si>
    <t>VINA, ROSA</t>
  </si>
  <si>
    <t>GARCIA, MATHEW</t>
  </si>
  <si>
    <t>MARTINEZ, CARMELO</t>
  </si>
  <si>
    <t>BORJON DE SALAIS, MARIA D</t>
  </si>
  <si>
    <t>WILSON, DOLLY</t>
  </si>
  <si>
    <t>GARCIA, JOSE J</t>
  </si>
  <si>
    <t>ESPINOZA, LETICIA</t>
  </si>
  <si>
    <t>ABURTO, JAIME</t>
  </si>
  <si>
    <t>TREVIZO, CLAUDIA</t>
  </si>
  <si>
    <t>FULLER, VERONICA S</t>
  </si>
  <si>
    <t>FLORES, ANTONIA</t>
  </si>
  <si>
    <t>RODRIGUEZ, CAROLYN</t>
  </si>
  <si>
    <t>RODRIGUEZ, MIGUEL A</t>
  </si>
  <si>
    <t>MENDIVIL, IRIS</t>
  </si>
  <si>
    <t>VILLAGOMEZ, LAURA L</t>
  </si>
  <si>
    <t>GALLEGOS, JUAN</t>
  </si>
  <si>
    <t>SANDOVAL, TANIA</t>
  </si>
  <si>
    <t>LUCERO, MARGARITA</t>
  </si>
  <si>
    <t>DELGADO, SYLVIA</t>
  </si>
  <si>
    <t>WHITEHEAD, YESMIN L</t>
  </si>
  <si>
    <t>HUERTA, SALVADOR</t>
  </si>
  <si>
    <t>SAPIEN, JAIME</t>
  </si>
  <si>
    <t>GONZALEZ-DEROMAN, MARICRUZ</t>
  </si>
  <si>
    <t>GOOD, JOHN</t>
  </si>
  <si>
    <t>RIOS, DELIA</t>
  </si>
  <si>
    <t>RIVERA-FEBRES, LUIS</t>
  </si>
  <si>
    <t>HAYES, AMY</t>
  </si>
  <si>
    <t>MERCADO, MANUEL JR</t>
  </si>
  <si>
    <t>DILLON, BERT</t>
  </si>
  <si>
    <t>GONZALEZ, BETTY</t>
  </si>
  <si>
    <t>HERNANDO, HECTOR</t>
  </si>
  <si>
    <t>PENA, LEWIS</t>
  </si>
  <si>
    <t>PUGA, DELFINA</t>
  </si>
  <si>
    <t>GAENZLE, STEVE</t>
  </si>
  <si>
    <t>ROMERO, ABRAHAM</t>
  </si>
  <si>
    <t>MENA, NOEMI</t>
  </si>
  <si>
    <t>SOTO, MARISELA</t>
  </si>
  <si>
    <t>BRYANT, DENNIS L</t>
  </si>
  <si>
    <t>FRANCO, JOANNA E</t>
  </si>
  <si>
    <t>MENDOZA, NORMA</t>
  </si>
  <si>
    <t>BENITEZ, BELIA</t>
  </si>
  <si>
    <t>FUENTES, ARMANDO</t>
  </si>
  <si>
    <t>DURAN, ROSA</t>
  </si>
  <si>
    <t>RAMOS GUZMAN, NORMA L</t>
  </si>
  <si>
    <t>PEREZ, RODOLFO</t>
  </si>
  <si>
    <t>GLENN, MIREYA</t>
  </si>
  <si>
    <t>CHENEY, ERICA</t>
  </si>
  <si>
    <t>SOLORZANO, VALERIA</t>
  </si>
  <si>
    <t>MARTINEZ, VICTOR</t>
  </si>
  <si>
    <t>ALVARADO, FERNANDO</t>
  </si>
  <si>
    <t>BARRERA, JULIAN</t>
  </si>
  <si>
    <t>BADILLO, MARIA A</t>
  </si>
  <si>
    <t>RANDLE, TERRY L</t>
  </si>
  <si>
    <t>CAZARES, PATRICIA</t>
  </si>
  <si>
    <t>MARTINEZ, ELIZABETH</t>
  </si>
  <si>
    <t>BOUSHKA, ELAINE</t>
  </si>
  <si>
    <t>ORNELAS CARBAJAL, BENJAMIN</t>
  </si>
  <si>
    <t>CHAVEZ, LINDA B</t>
  </si>
  <si>
    <t>CARRILLO, SAMUEL</t>
  </si>
  <si>
    <t>MONTES, RAUL</t>
  </si>
  <si>
    <t>RUCOBO, AMADA</t>
  </si>
  <si>
    <t>CARDEN, JOSELE</t>
  </si>
  <si>
    <t>CARRILLO, PATSY A</t>
  </si>
  <si>
    <t>CISNEROS, GUADALUPE</t>
  </si>
  <si>
    <t>CRUZ LOPEZ, TOMAS</t>
  </si>
  <si>
    <t>STEFFENS, DANNY</t>
  </si>
  <si>
    <t>HAVENS, ROY</t>
  </si>
  <si>
    <t>PEREZ, SANDRA</t>
  </si>
  <si>
    <t>GONZALEZ, RAUL</t>
  </si>
  <si>
    <t>CHAVIRA DE MEDINA, VERONICA</t>
  </si>
  <si>
    <t>TORREY, DAQUAN</t>
  </si>
  <si>
    <t>PUENTES, ELIZABETH</t>
  </si>
  <si>
    <t>SANDOVAL, MARGARITA</t>
  </si>
  <si>
    <t>HOPSON, JESSICA M</t>
  </si>
  <si>
    <t>MARTINEZ, MARIA D</t>
  </si>
  <si>
    <t>TRASPENA, BLANCA</t>
  </si>
  <si>
    <t>PINON, JO</t>
  </si>
  <si>
    <t>MAESTAS, LYDIA</t>
  </si>
  <si>
    <t>TORRES, NORA</t>
  </si>
  <si>
    <t>PADILLA, LARRY S</t>
  </si>
  <si>
    <t>CLEAVER, FRANCISCA</t>
  </si>
  <si>
    <t>DIDRICKSON, SHARON</t>
  </si>
  <si>
    <t>FAVELA, JUAN CARLOS</t>
  </si>
  <si>
    <t>ZAPATA, JOSEFINA</t>
  </si>
  <si>
    <t>REYES, AIDA</t>
  </si>
  <si>
    <t>GARCIA, RAMON</t>
  </si>
  <si>
    <t>MENDOZA, GUSTAVO</t>
  </si>
  <si>
    <t>ORTIZ, ISABEL</t>
  </si>
  <si>
    <t>ALMAGUER, NAOMI</t>
  </si>
  <si>
    <t>WALKER, BRANDON</t>
  </si>
  <si>
    <t>VERA, MICHELLE</t>
  </si>
  <si>
    <t>GUTIERREZ, ELKO R</t>
  </si>
  <si>
    <t>RHYMES, CECILIA</t>
  </si>
  <si>
    <t>BOND, CORWIN</t>
  </si>
  <si>
    <t>CASARES, MARIA</t>
  </si>
  <si>
    <t>CERON, ANDREA</t>
  </si>
  <si>
    <t>RIOS, ELOIN</t>
  </si>
  <si>
    <t>MBAKU NYAH, MARGARET</t>
  </si>
  <si>
    <t>MENDIOLA, MARIA ALICIA</t>
  </si>
  <si>
    <t>RANGEL, MARTIN</t>
  </si>
  <si>
    <t>LANDIS, MATTHEW</t>
  </si>
  <si>
    <t>REYNA, CONSUELO</t>
  </si>
  <si>
    <t>PAUL, JEFFREY</t>
  </si>
  <si>
    <t>KEMZAN, HOLLICIA</t>
  </si>
  <si>
    <t>LAGARDA-ITURRALDE, MARGARITA</t>
  </si>
  <si>
    <t>NIETO, MONICA JO</t>
  </si>
  <si>
    <t>GARCES HERNANDEZ, HUMBERTO E</t>
  </si>
  <si>
    <t>ALARCON, ROSA</t>
  </si>
  <si>
    <t>VILLA, FRANCISCA</t>
  </si>
  <si>
    <t>DITTRICH, MARIA</t>
  </si>
  <si>
    <t>GONZALEZ, CARLOS</t>
  </si>
  <si>
    <t>VALERIO, PABLO</t>
  </si>
  <si>
    <t>WASKO, WENDY</t>
  </si>
  <si>
    <t>MORALES, CARLOS</t>
  </si>
  <si>
    <t>ORTIZ, PAULA</t>
  </si>
  <si>
    <t>GONZALEZ, FELIPE</t>
  </si>
  <si>
    <t>GARCIA-VALENTINO, VANESSA C</t>
  </si>
  <si>
    <t>CLOUD, SANDRA J</t>
  </si>
  <si>
    <t>RAMIREZ, ENRIQUE</t>
  </si>
  <si>
    <t>MACIAS, MARIA A</t>
  </si>
  <si>
    <t>TRUJILLO, RICARDO</t>
  </si>
  <si>
    <t>MUNOZ, EDMUNDO E</t>
  </si>
  <si>
    <t>MEDINA, JUAN C</t>
  </si>
  <si>
    <t>LEE, FRANCISCA</t>
  </si>
  <si>
    <t>ATILANO, MARIA</t>
  </si>
  <si>
    <t>ALTHEIDE, MARIE</t>
  </si>
  <si>
    <t>ZAMORA, LUIS F</t>
  </si>
  <si>
    <t>SCHNEIDER, KEITH</t>
  </si>
  <si>
    <t>PEREZ, ANDRES</t>
  </si>
  <si>
    <t>STOKES, LAWRENCE</t>
  </si>
  <si>
    <t>VALENZUELA, LORENZO</t>
  </si>
  <si>
    <t>REY, OSCAR</t>
  </si>
  <si>
    <t>DURAN, GERARDO</t>
  </si>
  <si>
    <t>REYES, MARIA E</t>
  </si>
  <si>
    <t>RODRIGUES, ARTURO</t>
  </si>
  <si>
    <t>RAMIREZ, OLIVIA</t>
  </si>
  <si>
    <t>WALSMITH, SHEILA K</t>
  </si>
  <si>
    <t>NIETO, MICHAEL</t>
  </si>
  <si>
    <t>ORTEGA, ANTHONY</t>
  </si>
  <si>
    <t>BERARD, TIMOTHY</t>
  </si>
  <si>
    <t>MARTINEZ, MERCEDES</t>
  </si>
  <si>
    <t>ISAAC, JAMES J</t>
  </si>
  <si>
    <t>GRANADOS, RAUL</t>
  </si>
  <si>
    <t>ALARCON, VICTOR</t>
  </si>
  <si>
    <t>PAYAN, MARIA S</t>
  </si>
  <si>
    <t>ANDERSON, LAUREN</t>
  </si>
  <si>
    <t>DUFFY, RYAN</t>
  </si>
  <si>
    <t>HERNANDEZ, BENITO J</t>
  </si>
  <si>
    <t>OSHEA, RYAN P</t>
  </si>
  <si>
    <t>CAMPOS, CUITLAHUAC</t>
  </si>
  <si>
    <t>BOBADILLA, MONICA</t>
  </si>
  <si>
    <t>BELTRAN, ANTONIA</t>
  </si>
  <si>
    <t>OCHOA, JOSE</t>
  </si>
  <si>
    <t>AZEVEDO, APRIL D</t>
  </si>
  <si>
    <t>TRUJILLO, HORTENCIA</t>
  </si>
  <si>
    <t>BARTON, GEMETTE</t>
  </si>
  <si>
    <t>COSTA, ROSA</t>
  </si>
  <si>
    <t>MONTERO, MARGARITA</t>
  </si>
  <si>
    <t>GRANADOS, RAMON</t>
  </si>
  <si>
    <t>ADAME, CARLOS</t>
  </si>
  <si>
    <t>CARDENAS DE PINA, TERESA</t>
  </si>
  <si>
    <t>FLORES, MARIA ELENA</t>
  </si>
  <si>
    <t>UNGER JR, ALBERT</t>
  </si>
  <si>
    <t>FIERRO, ARTURO</t>
  </si>
  <si>
    <t>HADDAD, FRED</t>
  </si>
  <si>
    <t>DOMINGUEZ, JOSE</t>
  </si>
  <si>
    <t>LEAL, LORENZO</t>
  </si>
  <si>
    <t>HOLGUIN, BLANCA</t>
  </si>
  <si>
    <t>GALLEGOS, MAXIMIANO</t>
  </si>
  <si>
    <t>SILERIO ENRIQUEZ, MARIA C</t>
  </si>
  <si>
    <t>WEST, MARY LYNN</t>
  </si>
  <si>
    <t>FONDER, CRYSTAL G</t>
  </si>
  <si>
    <t>HEDRICK, DARIN B</t>
  </si>
  <si>
    <t>PONCE, MARIA S</t>
  </si>
  <si>
    <t>GOMEZ LEON, ARMANDO</t>
  </si>
  <si>
    <t>FLORES, SOFIA</t>
  </si>
  <si>
    <t>MORALES, MANUEL</t>
  </si>
  <si>
    <t>ALVARADO, YSELA</t>
  </si>
  <si>
    <t>MCCARTHY, DESERAE K</t>
  </si>
  <si>
    <t>CAMPOS, LESLIE</t>
  </si>
  <si>
    <t>RODRIQUEZ, LOUIE</t>
  </si>
  <si>
    <t>MARTINEZ RASCON, FRANCISCA</t>
  </si>
  <si>
    <t>WILLIAMS, DAVID</t>
  </si>
  <si>
    <t>MARTINEZ-JUAREZ, REBECCA</t>
  </si>
  <si>
    <t>RAFAEL, HENRY</t>
  </si>
  <si>
    <t>AUSTIN, ANDY L</t>
  </si>
  <si>
    <t>RIVAS, ALFREDO</t>
  </si>
  <si>
    <t>CARRASCO, ROBERTO</t>
  </si>
  <si>
    <t>ROMERO, MARCOS</t>
  </si>
  <si>
    <t>RAMIREZ, MANUEL A</t>
  </si>
  <si>
    <t>VEGA, LUIS</t>
  </si>
  <si>
    <t>RAMOS AGUERO, PERFECTO F</t>
  </si>
  <si>
    <t>ARREOLA, JOSE A</t>
  </si>
  <si>
    <t>DE LA PENA, DELIA</t>
  </si>
  <si>
    <t>GAMEZ, JORGE</t>
  </si>
  <si>
    <t>RAMON PEREZ, JOSE</t>
  </si>
  <si>
    <t>EIDSCHUN, JOHNNIE</t>
  </si>
  <si>
    <t>PRESLEY, KYONG</t>
  </si>
  <si>
    <t>CHAVEZ, ANA B</t>
  </si>
  <si>
    <t>MILLER, DELORES</t>
  </si>
  <si>
    <t>CHAVEZ, CHRISTINA</t>
  </si>
  <si>
    <t>BONILLA, LUZ I</t>
  </si>
  <si>
    <t>MCDELL, DORETHA</t>
  </si>
  <si>
    <t>TRIANA, ANA M</t>
  </si>
  <si>
    <t>MARTINEZ, MIGUEL</t>
  </si>
  <si>
    <t>QUINONES, FRANCISCO</t>
  </si>
  <si>
    <t>MARTINEZ, LILIANA</t>
  </si>
  <si>
    <t>POLENDO, RUBEN T</t>
  </si>
  <si>
    <t>ORDONEZ, ELVIRA</t>
  </si>
  <si>
    <t>ARREDONDO, MARIA</t>
  </si>
  <si>
    <t>RENTERIA, RICARDO</t>
  </si>
  <si>
    <t>GARCIA, PETER</t>
  </si>
  <si>
    <t>COSGROVE, SOLEDAD</t>
  </si>
  <si>
    <t>KRUG, BARBARA</t>
  </si>
  <si>
    <t>BENITEZ, JESUS</t>
  </si>
  <si>
    <t>RIVERA, JAIME</t>
  </si>
  <si>
    <t>MIRANDA, MARIA ELENA</t>
  </si>
  <si>
    <t>NAVA, OBDULIA</t>
  </si>
  <si>
    <t>ARRIAGA, CARLO</t>
  </si>
  <si>
    <t>GUEVARA, JANICE</t>
  </si>
  <si>
    <t>GALAN, RUBEN</t>
  </si>
  <si>
    <t>GARCIA, OSCAR</t>
  </si>
  <si>
    <t>ALEJO, ARTURO</t>
  </si>
  <si>
    <t>ROBLES, MARTHA I</t>
  </si>
  <si>
    <t>PENALOZA, GRACE E</t>
  </si>
  <si>
    <t>RIOS, BETTY J</t>
  </si>
  <si>
    <t>NORMAN, JONATHON I</t>
  </si>
  <si>
    <t>BARRON, DAVID J</t>
  </si>
  <si>
    <t>COLLINS, MICHAEL</t>
  </si>
  <si>
    <t>MARTINEZ, MARGARITA</t>
  </si>
  <si>
    <t>DE LA GARZA, VALERIA</t>
  </si>
  <si>
    <t>CEPEDA, LUCIO</t>
  </si>
  <si>
    <t>SALCIDO, JAVIER DANIEL</t>
  </si>
  <si>
    <t>FLORES, YELENA</t>
  </si>
  <si>
    <t>GARCIA, JESUS</t>
  </si>
  <si>
    <t>WEST, WAYNE</t>
  </si>
  <si>
    <t>MOODY, SANTIAGO</t>
  </si>
  <si>
    <t>MACHADO, ROBIN K</t>
  </si>
  <si>
    <t>TERRAZA DE ROJAS, BASILISA</t>
  </si>
  <si>
    <t>STIPE, BEVERLY</t>
  </si>
  <si>
    <t>PEREZ, BERTHA</t>
  </si>
  <si>
    <t>WRIGHT, WARREN</t>
  </si>
  <si>
    <t>MADERA, JOSE</t>
  </si>
  <si>
    <t>GONZALEZ, JOSE</t>
  </si>
  <si>
    <t>FLORES, FELICITAS</t>
  </si>
  <si>
    <t>LAMPRON, TROY L</t>
  </si>
  <si>
    <t>TOVAR, EMMA</t>
  </si>
  <si>
    <t>ANDRADE, ANA L</t>
  </si>
  <si>
    <t>BACA DOMINGUEZ, PEDRO</t>
  </si>
  <si>
    <t>DELGADO, MARTHA</t>
  </si>
  <si>
    <t>MENA, KARLA</t>
  </si>
  <si>
    <t>ALEXANDER, SHEILA</t>
  </si>
  <si>
    <t>FEINSTEIN, ELYSE</t>
  </si>
  <si>
    <t>MAYA, ALAN</t>
  </si>
  <si>
    <t>ALFARO, HERMELINDA</t>
  </si>
  <si>
    <t>SCROGGS, MILDRED</t>
  </si>
  <si>
    <t>WOOD, ANTONIO</t>
  </si>
  <si>
    <t>SOTO, YOLANDA</t>
  </si>
  <si>
    <t>ARZATE, RICARDO</t>
  </si>
  <si>
    <t>FLORES, SOLEDAD</t>
  </si>
  <si>
    <t>DIAZ, RUBEN</t>
  </si>
  <si>
    <t>AGUILAR, SYNDI A</t>
  </si>
  <si>
    <t>BRANNEN, JAMES</t>
  </si>
  <si>
    <t>CAMACHO, CARMEN</t>
  </si>
  <si>
    <t>NUNEZ, SERGIO</t>
  </si>
  <si>
    <t>MASSEY, GUS</t>
  </si>
  <si>
    <t>GUZMAN, CRUZ A</t>
  </si>
  <si>
    <t>ARRIAGA, CRISTINA</t>
  </si>
  <si>
    <t>MILAM, ALFRED</t>
  </si>
  <si>
    <t>PEREZ, CATHERINE Y</t>
  </si>
  <si>
    <t>ACEVEDO, SOCORRO</t>
  </si>
  <si>
    <t>ERIVES, MARIO</t>
  </si>
  <si>
    <t>DURAN CASTILLO, ARMANDO</t>
  </si>
  <si>
    <t>MONTANEZ, ANGELA</t>
  </si>
  <si>
    <t>PACHECO, ANGELA</t>
  </si>
  <si>
    <t>ZUBIA, ADRIANA</t>
  </si>
  <si>
    <t>HESS, ERIC</t>
  </si>
  <si>
    <t>GUADIAN HERNANDEZ, SOTERO</t>
  </si>
  <si>
    <t>SMITH, JOSE</t>
  </si>
  <si>
    <t>CAMPOS, SANDRA</t>
  </si>
  <si>
    <t>VALLECILLO, MARIA</t>
  </si>
  <si>
    <t>MCDONALD, THERESA</t>
  </si>
  <si>
    <t>PEREZ, ADRIANA</t>
  </si>
  <si>
    <t>LOPEZ, ESTELA</t>
  </si>
  <si>
    <t>SHELTON, JAMES</t>
  </si>
  <si>
    <t>SNOW, LINDA</t>
  </si>
  <si>
    <t>RIZO, DAVID</t>
  </si>
  <si>
    <t>RODRIGUEZ, SOCORRO</t>
  </si>
  <si>
    <t>GUERRA, TERESA M</t>
  </si>
  <si>
    <t>ROBINSON, MARK</t>
  </si>
  <si>
    <t>CEBALLOS, RAMON</t>
  </si>
  <si>
    <t>PEDROZA, ELVA</t>
  </si>
  <si>
    <t>DOMINGUEZ, MATILDE</t>
  </si>
  <si>
    <t>SOLEDAD, ALICIA</t>
  </si>
  <si>
    <t>TORRES, DAGOBERTO</t>
  </si>
  <si>
    <t>GUTIERREZ, JUAN R</t>
  </si>
  <si>
    <t>HOWARD, DEBRA</t>
  </si>
  <si>
    <t>CANALES, GRACIELA</t>
  </si>
  <si>
    <t>CHAVIRA, JOHN G</t>
  </si>
  <si>
    <t>ATILANO, REYMUNDO</t>
  </si>
  <si>
    <t>TORRES, MARIA D</t>
  </si>
  <si>
    <t>CRESPO, GABRIEL</t>
  </si>
  <si>
    <t>HARP, TERESA</t>
  </si>
  <si>
    <t>FALCON, CECILIA</t>
  </si>
  <si>
    <t>LOPEZ, ROSA</t>
  </si>
  <si>
    <t>RODRIGUEZ, MARIA</t>
  </si>
  <si>
    <t>PEARCE, TAM</t>
  </si>
  <si>
    <t>REYES, LOURDES</t>
  </si>
  <si>
    <t>MEJIA MARTINEZ, MARIO</t>
  </si>
  <si>
    <t>HARPER, FRANCES B</t>
  </si>
  <si>
    <t>WRIGHT, ANGIE</t>
  </si>
  <si>
    <t>ROBINSON, JEFFREY</t>
  </si>
  <si>
    <t>ONTIVEROS, MARTHA</t>
  </si>
  <si>
    <t>HERNANDEZ, ADELA</t>
  </si>
  <si>
    <t>GONZALEZ, ROBERTO</t>
  </si>
  <si>
    <t>TREVINO, JOSHUA</t>
  </si>
  <si>
    <t>DE LA MORA, NORMA</t>
  </si>
  <si>
    <t>NOLLES, NIKI</t>
  </si>
  <si>
    <t>SCOUTEN, MARIA ANGELES</t>
  </si>
  <si>
    <t>SOLORZANO, ARMANDO</t>
  </si>
  <si>
    <t>PRICE, PEGGY</t>
  </si>
  <si>
    <t>GUERRERO, JOSE DE JESUS</t>
  </si>
  <si>
    <t>AGUILAR, FREDDY</t>
  </si>
  <si>
    <t>GONZALEZ SAENZ, ARNULFO</t>
  </si>
  <si>
    <t>MILLS, DOUGLAS W</t>
  </si>
  <si>
    <t>VILLA, RUBY</t>
  </si>
  <si>
    <t>OLSEN, KRISTOPHER</t>
  </si>
  <si>
    <t>SANDOVAL DE HERNANDEZ, ROSA MARIA</t>
  </si>
  <si>
    <t>MEDINA, FERNANDO</t>
  </si>
  <si>
    <t>CARRILLO FLORES, ROSALINDA</t>
  </si>
  <si>
    <t>SOTO, MARTHA</t>
  </si>
  <si>
    <t>PORRAS, EDUARDO</t>
  </si>
  <si>
    <t>TYQUIENGCO, MELVIN</t>
  </si>
  <si>
    <t>HERRERA, BRENDA T</t>
  </si>
  <si>
    <t>ESPINOZA, JACQUELINE</t>
  </si>
  <si>
    <t>CAMPOS, LIZA</t>
  </si>
  <si>
    <t>ROBLES ORTEGA, LAURA ELENA</t>
  </si>
  <si>
    <t>VARGAS, JACQUELINE</t>
  </si>
  <si>
    <t>GAMBOA, HERMILO ANTONIO</t>
  </si>
  <si>
    <t>RUBIO ACOSTA, GLORIA</t>
  </si>
  <si>
    <t>MADRID, MICHAEL</t>
  </si>
  <si>
    <t>PARGA, JULIA</t>
  </si>
  <si>
    <t>MARTINEZ, RUDOLFO</t>
  </si>
  <si>
    <t>DYE, MARY</t>
  </si>
  <si>
    <t>GUERRA, ERIKA M</t>
  </si>
  <si>
    <t>RAMOS, ELVA M</t>
  </si>
  <si>
    <t>GOMEZ, ROSA M</t>
  </si>
  <si>
    <t>TREJO, EDGAR</t>
  </si>
  <si>
    <t>MILLER, CHASON</t>
  </si>
  <si>
    <t>JOSLYN, CRYSTAL</t>
  </si>
  <si>
    <t>SPECK, SHARON</t>
  </si>
  <si>
    <t>SOTO, PRISCILLA</t>
  </si>
  <si>
    <t>ACEVEDO, LETICIA</t>
  </si>
  <si>
    <t>CALDERON-GRIFFIN, ALICE</t>
  </si>
  <si>
    <t>GUERRERO, MARTHA</t>
  </si>
  <si>
    <t>ONTIVEROS, HILDA</t>
  </si>
  <si>
    <t>HERNANDEZ, MANUEL</t>
  </si>
  <si>
    <t>COPELAND, COLTON</t>
  </si>
  <si>
    <t>VERA, RAMONA</t>
  </si>
  <si>
    <t>CONTRERAS, ANA</t>
  </si>
  <si>
    <t>JOHNSON, ERNEST</t>
  </si>
  <si>
    <t>DIAZ, MARGARITA</t>
  </si>
  <si>
    <t>STAFFORD, JEFFREY L</t>
  </si>
  <si>
    <t>BAYLON, BRENDA</t>
  </si>
  <si>
    <t>ZINTER, ALAN</t>
  </si>
  <si>
    <t>OCHOA, ELVIA N</t>
  </si>
  <si>
    <t>ALVAREZ, MARIA</t>
  </si>
  <si>
    <t>GUERRERO, MARIA</t>
  </si>
  <si>
    <t>GREEN, SHARON</t>
  </si>
  <si>
    <t>RAMIREZ, LUCIA</t>
  </si>
  <si>
    <t>GRADO, JOSEFINA</t>
  </si>
  <si>
    <t>ZEMMOUCHE, JADE</t>
  </si>
  <si>
    <t>BARRAGAN, BONNIE</t>
  </si>
  <si>
    <t>ELORDUY, ROBERTA</t>
  </si>
  <si>
    <t>MONCAYO, PAULA R</t>
  </si>
  <si>
    <t>DUNCAN, RICHARD</t>
  </si>
  <si>
    <t>LUJAN, GUADALUPE</t>
  </si>
  <si>
    <t>AVILA, EMMANUEL</t>
  </si>
  <si>
    <t>LIMON, GILBERT</t>
  </si>
  <si>
    <t>PEREZ, MANUEL ARTURO</t>
  </si>
  <si>
    <t>DE PEREZ, MARISELA ARREOLA</t>
  </si>
  <si>
    <t>REGISTER, JAMES</t>
  </si>
  <si>
    <t>STOKES, DIANE</t>
  </si>
  <si>
    <t>PAGANO, JOSEPH</t>
  </si>
  <si>
    <t>VARGAS, LIDIA</t>
  </si>
  <si>
    <t>ARRIETA, GLORIA</t>
  </si>
  <si>
    <t>ESQUIVEL, TERESA</t>
  </si>
  <si>
    <t>REYNA, FRANK</t>
  </si>
  <si>
    <t>BACA, ARMANDO</t>
  </si>
  <si>
    <t>BENAVIDEZ, EVA</t>
  </si>
  <si>
    <t>CORNWELL, KARIN</t>
  </si>
  <si>
    <t>REYES, DANIELSON</t>
  </si>
  <si>
    <t>ROMERO, MANUEL</t>
  </si>
  <si>
    <t>HERNANDEZ, JOSE J</t>
  </si>
  <si>
    <t>RASCON, ALICIA</t>
  </si>
  <si>
    <t>MENDOZA, ABEL</t>
  </si>
  <si>
    <t>INFANTE, ISABEL</t>
  </si>
  <si>
    <t>RAMIREZ, VICENTE</t>
  </si>
  <si>
    <t>SANCHEZ, ANNETTE</t>
  </si>
  <si>
    <t>BANDA, ARIEL</t>
  </si>
  <si>
    <t>DELGADO, TERESSA</t>
  </si>
  <si>
    <t>SANTILLAN, MAGDA</t>
  </si>
  <si>
    <t>DYKES, KRISTIN</t>
  </si>
  <si>
    <t>RAMIREZ, JESUS</t>
  </si>
  <si>
    <t>BEARDEN, KAREN</t>
  </si>
  <si>
    <t>HERNANDEZ, JUANA</t>
  </si>
  <si>
    <t>CARRILLO, JOSE</t>
  </si>
  <si>
    <t>FLORES, LUIS</t>
  </si>
  <si>
    <t>GONZALEZ, MARIA V</t>
  </si>
  <si>
    <t>BOCANEGRA, MARIA C</t>
  </si>
  <si>
    <t>RISLEY, HARRY</t>
  </si>
  <si>
    <t>MARTINEZ LOPEZ, BARBARA</t>
  </si>
  <si>
    <t>CARNERA, HECTOR</t>
  </si>
  <si>
    <t>SALAS, MARCELA</t>
  </si>
  <si>
    <t>CHASCO, VALENTINA</t>
  </si>
  <si>
    <t>VANDERPOOL, TERESA</t>
  </si>
  <si>
    <t>LEFFMAN, DAVID</t>
  </si>
  <si>
    <t>ORIGINALES, JUAN</t>
  </si>
  <si>
    <t>COUSINS, ERNIE</t>
  </si>
  <si>
    <t>GONZALES, ROBERTO</t>
  </si>
  <si>
    <t>CROSS, STEPHANIE</t>
  </si>
  <si>
    <t>BODISON, DORA</t>
  </si>
  <si>
    <t>CAHILL, SUSAN</t>
  </si>
  <si>
    <t>RUIZ, HUMBERTO</t>
  </si>
  <si>
    <t>ALVAREZ, GERARDO</t>
  </si>
  <si>
    <t>GRANADOS, JUAN</t>
  </si>
  <si>
    <t>MARTINEZ, MARTHA</t>
  </si>
  <si>
    <t>BAKER, FREDERICK</t>
  </si>
  <si>
    <t>BROWN, FRANCOISE</t>
  </si>
  <si>
    <t>DIAZ, GUILLERMO</t>
  </si>
  <si>
    <t>HARSHBERGER, ALBINA C</t>
  </si>
  <si>
    <t>HERNANDEZ, SOCORRO</t>
  </si>
  <si>
    <t>BUSTILLOS, PATRICIA</t>
  </si>
  <si>
    <t>MARQUEZ, VIRGINIA</t>
  </si>
  <si>
    <t>RODRIGUEZ, JESUS R</t>
  </si>
  <si>
    <t>AYALA, APOLONIA</t>
  </si>
  <si>
    <t>ACOSTA, GUADALUPE S</t>
  </si>
  <si>
    <t>CARRILLO, PRISCILLA J</t>
  </si>
  <si>
    <t>ORTEGA, CARLOS A</t>
  </si>
  <si>
    <t>GARCIA, MARIA</t>
  </si>
  <si>
    <t>WALDEN, MELINDA</t>
  </si>
  <si>
    <t>VALENZUELA, STEVEN</t>
  </si>
  <si>
    <t>BENNETT, MELISSA</t>
  </si>
  <si>
    <t>WIX, JESSICA</t>
  </si>
  <si>
    <t>BUSTILLOS, ANDRES</t>
  </si>
  <si>
    <t>GREEN, MATTHEW W</t>
  </si>
  <si>
    <t>GRISSON, TARA</t>
  </si>
  <si>
    <t>LARA, ANTONIO</t>
  </si>
  <si>
    <t>LUNA, APOLINAR P</t>
  </si>
  <si>
    <t>PEREZ, LAURA</t>
  </si>
  <si>
    <t>ARRIOLA, JOSE I</t>
  </si>
  <si>
    <t>BARRERAS, LORENZO</t>
  </si>
  <si>
    <t>CORONADO, RICHARD</t>
  </si>
  <si>
    <t>BROWN, CASEY</t>
  </si>
  <si>
    <t>MELENDEZ, BRENDA</t>
  </si>
  <si>
    <t>DIAZ, DIANA</t>
  </si>
  <si>
    <t>VASQUEZ, FRANCISCA</t>
  </si>
  <si>
    <t>SEGURA, EDGAR</t>
  </si>
  <si>
    <t>CORRAL, ROSEMARY</t>
  </si>
  <si>
    <t>LOPEZ, OSCAR</t>
  </si>
  <si>
    <t>ERNEWAYN, MARIA J</t>
  </si>
  <si>
    <t>SALAZAR, MAYRA</t>
  </si>
  <si>
    <t>CHAVEZ, CESAR</t>
  </si>
  <si>
    <t>MCSWAIN, CHARLES</t>
  </si>
  <si>
    <t>CARRILLO, MARIA</t>
  </si>
  <si>
    <t>MARQUEZ, PEDRO</t>
  </si>
  <si>
    <t>COLLAZO, MARTHA L</t>
  </si>
  <si>
    <t>ROMAN, TERESA</t>
  </si>
  <si>
    <t>SALDACO, NORA</t>
  </si>
  <si>
    <t>MARQUEZ DE BERNAL, LETICIA</t>
  </si>
  <si>
    <t>DINICOLA, BRUNO M</t>
  </si>
  <si>
    <t>YANEZ, THELMA</t>
  </si>
  <si>
    <t>SOLANO, IRENE</t>
  </si>
  <si>
    <t>ARREDONDO, GLORIA</t>
  </si>
  <si>
    <t>ENRIQUEZ, DULCE</t>
  </si>
  <si>
    <t>TURNER, ROGER</t>
  </si>
  <si>
    <t>ROJAS, RAMON</t>
  </si>
  <si>
    <t>RODRIGUEZ, SYLVIA</t>
  </si>
  <si>
    <t>MADRID, LYDIA</t>
  </si>
  <si>
    <t>HAYWARD, JOLENE</t>
  </si>
  <si>
    <t>DOMINGUEZ, NARCISA M</t>
  </si>
  <si>
    <t>BREELAND, DEANDRE</t>
  </si>
  <si>
    <t>FIERRO, MANUEL</t>
  </si>
  <si>
    <t>BERNAL, MARIA</t>
  </si>
  <si>
    <t>GURANY, ROSALBA</t>
  </si>
  <si>
    <t>KITCHEN, BERTHA</t>
  </si>
  <si>
    <t>JONES, RAMONA</t>
  </si>
  <si>
    <t>TALAMANTES, CATALINA</t>
  </si>
  <si>
    <t>RODRIGUEZ, LUIS F</t>
  </si>
  <si>
    <t>RIVAS, CHELINDA</t>
  </si>
  <si>
    <t>HUERTA, OFELIA</t>
  </si>
  <si>
    <t>CHAVEZ, IRMA</t>
  </si>
  <si>
    <t>JORDAN, GILBERT</t>
  </si>
  <si>
    <t>RAMIREZ, ESTELLA</t>
  </si>
  <si>
    <t>CADWELL, DOROTHY L</t>
  </si>
  <si>
    <t>MACIAS, EDWARD</t>
  </si>
  <si>
    <t>MACK, CYNTHIA</t>
  </si>
  <si>
    <t>CHAVEZ, ARTHUR</t>
  </si>
  <si>
    <t>GEDDES, LAWRENCE C</t>
  </si>
  <si>
    <t>CHAVEZ JR, DAVID</t>
  </si>
  <si>
    <t>LAMOTTE, DESIREE</t>
  </si>
  <si>
    <t>NEVAREZ, EMILIANO</t>
  </si>
  <si>
    <t>URIBE, GABRIEL</t>
  </si>
  <si>
    <t>GEYER, DARRIN</t>
  </si>
  <si>
    <t>RODRIGUEZ, FELICIDAD</t>
  </si>
  <si>
    <t>BARRERAS, HERMAN</t>
  </si>
  <si>
    <t>HERNANDEZ, FRANK</t>
  </si>
  <si>
    <t>MONTGOMERY, STACY</t>
  </si>
  <si>
    <t>ESTRADA, ELSA</t>
  </si>
  <si>
    <t>VALLES, SUSAN</t>
  </si>
  <si>
    <t>MORENO, MERCEDES CATALINA</t>
  </si>
  <si>
    <t>ALVARADO, JAVIER I</t>
  </si>
  <si>
    <t>MARQUEZ, JOSE</t>
  </si>
  <si>
    <t>LOZANO, MARIA D</t>
  </si>
  <si>
    <t>GALLEGOS, GLENDA I</t>
  </si>
  <si>
    <t>CERVANTES DE LIRA, JULIA</t>
  </si>
  <si>
    <t>PENOYER, STEVE</t>
  </si>
  <si>
    <t>ESTRADA, GERARDO</t>
  </si>
  <si>
    <t>ARANDA, ELVA</t>
  </si>
  <si>
    <t>LEY, LETICIA</t>
  </si>
  <si>
    <t>SANDERS, DITRICK</t>
  </si>
  <si>
    <t>STUCKWISCH, HORTENSIA</t>
  </si>
  <si>
    <t>RUBIO, MARIA</t>
  </si>
  <si>
    <t>SANCHEZ, ELVIA A</t>
  </si>
  <si>
    <t>PARISH, CHARLES</t>
  </si>
  <si>
    <t>PINALES, BRITTANY</t>
  </si>
  <si>
    <t>ONTIVEROS, ARTURO</t>
  </si>
  <si>
    <t>GANDARA, PEDRO</t>
  </si>
  <si>
    <t>CASAS, ELIA</t>
  </si>
  <si>
    <t>RODRIGUEZ, RAFAEL</t>
  </si>
  <si>
    <t>RENTERIA, RAMONA</t>
  </si>
  <si>
    <t>ESPARZA, ALFREDO</t>
  </si>
  <si>
    <t>DELGADO, ALEXANDER</t>
  </si>
  <si>
    <t>ALVA, SYLVIA</t>
  </si>
  <si>
    <t>ESPARZA, JAVIER</t>
  </si>
  <si>
    <t>RODRIGUEZ, ESTELA</t>
  </si>
  <si>
    <t>RODRIGUEZ, RAYMUNDO</t>
  </si>
  <si>
    <t>AGUILAR, ENGRACIA</t>
  </si>
  <si>
    <t>DURAN, FELIPE</t>
  </si>
  <si>
    <t>POINDEXTER, LASHAWNTA R</t>
  </si>
  <si>
    <t>RAMIREZ, ERIKA</t>
  </si>
  <si>
    <t>CANDELA, JONATHAN</t>
  </si>
  <si>
    <t>SNUDAT, MARTHA</t>
  </si>
  <si>
    <t>QUINONES, IRMA</t>
  </si>
  <si>
    <t>LUNA, ARMANDO</t>
  </si>
  <si>
    <t>ZARAGOZA, IRASEMA</t>
  </si>
  <si>
    <t>TARANGO, MARIA</t>
  </si>
  <si>
    <t>ALARCON, MARCELO G</t>
  </si>
  <si>
    <t>PALOMO, JOSE L</t>
  </si>
  <si>
    <t>DOMINGUEZ, GLORIA</t>
  </si>
  <si>
    <t>CHAIDES, ROGER</t>
  </si>
  <si>
    <t>TOOZE, MARGARITA</t>
  </si>
  <si>
    <t>THOMPSON, LAWRENCE</t>
  </si>
  <si>
    <t>RIVERA, ARTURO</t>
  </si>
  <si>
    <t>AGUILERA, RAMON</t>
  </si>
  <si>
    <t>SILVAS, ANTONIO L</t>
  </si>
  <si>
    <t>SIANEZ, VIRGINIA</t>
  </si>
  <si>
    <t>SOLIS, ABELARDO A</t>
  </si>
  <si>
    <t>AVILA, ADOLFO</t>
  </si>
  <si>
    <t>TOMIELLO, ROBERT</t>
  </si>
  <si>
    <t>ROBLES, MARIA</t>
  </si>
  <si>
    <t>YEPEZ, OSVALDO</t>
  </si>
  <si>
    <t>CARRIZALES, SANDRA</t>
  </si>
  <si>
    <t>FLORES, HECTOR</t>
  </si>
  <si>
    <t>GUILLEN, ARGENDIS</t>
  </si>
  <si>
    <t>MARQUEZ, MARIA E</t>
  </si>
  <si>
    <t>GANDARA, ALICIA</t>
  </si>
  <si>
    <t>PICKNELL, CONCEPCION</t>
  </si>
  <si>
    <t>VILLESCAS, HECTOR</t>
  </si>
  <si>
    <t>FRAUSTO, SILVIA E</t>
  </si>
  <si>
    <t>OSORIO, ALEJANDRO</t>
  </si>
  <si>
    <t>LOPEZ, BENITO</t>
  </si>
  <si>
    <t>ARELLANO, ROSALIO</t>
  </si>
  <si>
    <t>CHAVEZ, ELVA</t>
  </si>
  <si>
    <t>ALMARAZ, REYNA R</t>
  </si>
  <si>
    <t>NUNEZ, MARTHA</t>
  </si>
  <si>
    <t>OROZCO, MARIA</t>
  </si>
  <si>
    <t>ITURRALDE, GABRIEL</t>
  </si>
  <si>
    <t>CAMACHO, JORGE</t>
  </si>
  <si>
    <t>GUTIERREZ, BONNIE</t>
  </si>
  <si>
    <t>GUTIERREZ, NANCY</t>
  </si>
  <si>
    <t>MENDOZA, KATY</t>
  </si>
  <si>
    <t>PORTILLO, DALIA</t>
  </si>
  <si>
    <t>JONE, ROLAN G</t>
  </si>
  <si>
    <t>BAQUERA, CARMEN</t>
  </si>
  <si>
    <t>MORENO, ELIZABETH</t>
  </si>
  <si>
    <t>FUENTES, HECTOR</t>
  </si>
  <si>
    <t>VIGIL, NANCY W</t>
  </si>
  <si>
    <t>PORTILLO, AIDA C</t>
  </si>
  <si>
    <t>SHADBURNE, REBECCA</t>
  </si>
  <si>
    <t>DELEON, SULEMA</t>
  </si>
  <si>
    <t>HINOJOSA, MANUELA</t>
  </si>
  <si>
    <t>RETANA, ALFREDO</t>
  </si>
  <si>
    <t>HOWARD, AYNSLEY</t>
  </si>
  <si>
    <t>ESTE, ALEXUS</t>
  </si>
  <si>
    <t>HERNANDEZ, ALFREDO</t>
  </si>
  <si>
    <t>GRADY, MICHELLE</t>
  </si>
  <si>
    <t>LUNA, ROBERT</t>
  </si>
  <si>
    <t>FUENTES, GUSTAVO</t>
  </si>
  <si>
    <t>PANTOJA, REFUGIO</t>
  </si>
  <si>
    <t>SOTO, MARIA</t>
  </si>
  <si>
    <t>RUIZZARCO, JOSE M</t>
  </si>
  <si>
    <t>RUBALCAVA, MARIA</t>
  </si>
  <si>
    <t>MEDINA, IRMA E</t>
  </si>
  <si>
    <t>HEALD, MARC</t>
  </si>
  <si>
    <t>MORALES, RUBY</t>
  </si>
  <si>
    <t>PILTZ, DOUGLAS WAYNE</t>
  </si>
  <si>
    <t>POTTER, WILLIAM</t>
  </si>
  <si>
    <t>FONSECA, PRINCESS</t>
  </si>
  <si>
    <t>HARNETT, WILLIE T</t>
  </si>
  <si>
    <t>FACIO, RODOLFO</t>
  </si>
  <si>
    <t>HOLGUIN, MARIA ELENA</t>
  </si>
  <si>
    <t>CANO, JESUS</t>
  </si>
  <si>
    <t>HERNANDEZ, PAULA</t>
  </si>
  <si>
    <t>MONSIVAIS, MARIA C</t>
  </si>
  <si>
    <t>ARANA, NORMA</t>
  </si>
  <si>
    <t>MONTANEZ, ANDY</t>
  </si>
  <si>
    <t>CLARKE, MONTAE</t>
  </si>
  <si>
    <t>GONZALEZ, LISA ANN</t>
  </si>
  <si>
    <t>DILL, DOUGLAS</t>
  </si>
  <si>
    <t>MORATA MURO, ARACELI</t>
  </si>
  <si>
    <t>ALARCON, NORMANDO D</t>
  </si>
  <si>
    <t>VELASQUEZ, ALEJANDRO M</t>
  </si>
  <si>
    <t>CARRILLO, BARBARA</t>
  </si>
  <si>
    <t>JONES, THEOREDOR</t>
  </si>
  <si>
    <t>MULLIN, KEVIN</t>
  </si>
  <si>
    <t>PONCE, CARMEN</t>
  </si>
  <si>
    <t>MURGUIA, MARICARMEN</t>
  </si>
  <si>
    <t>VEILLEUX, KIMBERLY</t>
  </si>
  <si>
    <t>CARRASCO, JOSE</t>
  </si>
  <si>
    <t>DELGADO, MARIA</t>
  </si>
  <si>
    <t>DE LA TORRE, IRMA</t>
  </si>
  <si>
    <t>AVALOS, LORENZA</t>
  </si>
  <si>
    <t>RODARTE, BERNARDO</t>
  </si>
  <si>
    <t>STUART, HERLINDA</t>
  </si>
  <si>
    <t>LUCKY, JUDITH</t>
  </si>
  <si>
    <t>EDWARDS, WILLIAM</t>
  </si>
  <si>
    <t>VARELA, MARIA</t>
  </si>
  <si>
    <t>LUEKE, DIANA</t>
  </si>
  <si>
    <t>FLORES, MANUEL</t>
  </si>
  <si>
    <t>SHIPLEY, DONALD E</t>
  </si>
  <si>
    <t>BRIONES, MARCOS</t>
  </si>
  <si>
    <t>GUZMAN ORTIZ, JORGE</t>
  </si>
  <si>
    <t>JASSO, PERLA</t>
  </si>
  <si>
    <t>HERNANDEZ PEREZ, JOSE</t>
  </si>
  <si>
    <t>ESPARZA, MARIO</t>
  </si>
  <si>
    <t>PACHECO, EMMA</t>
  </si>
  <si>
    <t>DIAZ, PAULINA</t>
  </si>
  <si>
    <t>GARNER, EDWARD</t>
  </si>
  <si>
    <t>MONCADA, MARIA GUADALUPE</t>
  </si>
  <si>
    <t>LOPEZ, ALICIA</t>
  </si>
  <si>
    <t>ESCOBAR, DAMIANA M</t>
  </si>
  <si>
    <t>GUEVARA, MARIA</t>
  </si>
  <si>
    <t>PAUL, JOHN</t>
  </si>
  <si>
    <t>GOMEZ, VIRGINIA</t>
  </si>
  <si>
    <t>RODRIGUEZ, HELENA</t>
  </si>
  <si>
    <t>LOPEZ, ARACELI</t>
  </si>
  <si>
    <t>PEASE, EVA</t>
  </si>
  <si>
    <t>PUENTES, ROBERTO</t>
  </si>
  <si>
    <t>RAMOS, GEORGE C</t>
  </si>
  <si>
    <t>LE, HONG</t>
  </si>
  <si>
    <t>CARRASCO, PETE</t>
  </si>
  <si>
    <t>PRECIADO, VIRGINIA</t>
  </si>
  <si>
    <t>FIGUERORA, CLAUDIA</t>
  </si>
  <si>
    <t>SALAS, JUANA</t>
  </si>
  <si>
    <t>BROUILLET, JESSICA</t>
  </si>
  <si>
    <t>CAMPOS SAENZ, ALMA</t>
  </si>
  <si>
    <t>IBARRA, GUSTAVO</t>
  </si>
  <si>
    <t>ORTEGA, ARTURO</t>
  </si>
  <si>
    <t>JORDAN, OLGA</t>
  </si>
  <si>
    <t>VELASCO, ELIZABETH</t>
  </si>
  <si>
    <t>CUELLAR, LUCIO</t>
  </si>
  <si>
    <t>SILVA, DIANE M</t>
  </si>
  <si>
    <t>VALDEZ, ESEQUIEL V</t>
  </si>
  <si>
    <t>ORTIZ, MARIA</t>
  </si>
  <si>
    <t>OLAGUIVEL, ROSA</t>
  </si>
  <si>
    <t>BLIZZARD, WILLIAM H</t>
  </si>
  <si>
    <t>OLVERA, COSME</t>
  </si>
  <si>
    <t>GUILLEN, HORTENSIA O</t>
  </si>
  <si>
    <t>STAIGER, GERHARD</t>
  </si>
  <si>
    <t>ALCANTAR, JUANA</t>
  </si>
  <si>
    <t>REY RUIZ, LUIS C</t>
  </si>
  <si>
    <t>CONTRERAS PEDREGON, TIMOTEA</t>
  </si>
  <si>
    <t>HERRERA, ANA M</t>
  </si>
  <si>
    <t>HARPER, JUSTIN E</t>
  </si>
  <si>
    <t>GONZALES, ESCAMILLA</t>
  </si>
  <si>
    <t>SANTOS, SONIA</t>
  </si>
  <si>
    <t>OCHOA, ALICIA</t>
  </si>
  <si>
    <t>CAMPOS, ISABEL</t>
  </si>
  <si>
    <t>PEREZDECARDEN, MAGDALENA</t>
  </si>
  <si>
    <t>PAUL, PATRICIA M</t>
  </si>
  <si>
    <t>NAVARRO, MARIA SOCORRO</t>
  </si>
  <si>
    <t>WILSON, BYRON</t>
  </si>
  <si>
    <t>FLYNT, DEBORAH</t>
  </si>
  <si>
    <t>BACA, CELIA</t>
  </si>
  <si>
    <t>CORRAL, GUADALUPE E</t>
  </si>
  <si>
    <t>REYES-MANRIQUEZ, JOSE</t>
  </si>
  <si>
    <t>MOLINA, LETICIA</t>
  </si>
  <si>
    <t>MAING, NAM IL</t>
  </si>
  <si>
    <t>JOHNSON EVANS, KALEISHA M</t>
  </si>
  <si>
    <t>FLORES, SANTIAGO</t>
  </si>
  <si>
    <t>BARAY, BRENDA L</t>
  </si>
  <si>
    <t>RODRIGUEZ, MARIA C</t>
  </si>
  <si>
    <t>SANCHEZ, CHRISTINA M</t>
  </si>
  <si>
    <t>SIFUENTES, SALVADOR K</t>
  </si>
  <si>
    <t>MEDINA, CELIA</t>
  </si>
  <si>
    <t>ROHRBAUGH, EVELYN</t>
  </si>
  <si>
    <t>DE LA ROSA, MARIA H</t>
  </si>
  <si>
    <t>VENAR, THADDEUS Y</t>
  </si>
  <si>
    <t>VALDEZ, VICTOR</t>
  </si>
  <si>
    <t>ARCOS, LEONARD</t>
  </si>
  <si>
    <t>DE LA ROSA, CARLOS</t>
  </si>
  <si>
    <t>CALDERON, MARTHA</t>
  </si>
  <si>
    <t>CARDONA, WILLINTON</t>
  </si>
  <si>
    <t>CURTIS, JEFFERY</t>
  </si>
  <si>
    <t>STUBBS, APRIL</t>
  </si>
  <si>
    <t>CHAPARRO, CARLOS H</t>
  </si>
  <si>
    <t>MARQUEZ, JESUS</t>
  </si>
  <si>
    <t>MARQUEZ, ROMUALDA</t>
  </si>
  <si>
    <t>PALYU, MARIA</t>
  </si>
  <si>
    <t>AGUIRRE, JUAN</t>
  </si>
  <si>
    <t>OLAGUE ROSALES, MARIA CRISTINA</t>
  </si>
  <si>
    <t>CHAVEZ, VELIA</t>
  </si>
  <si>
    <t>BROWN, DARREN</t>
  </si>
  <si>
    <t>MONTES, OFELIA E</t>
  </si>
  <si>
    <t>VAZQUEZ-LEAL, JOSE</t>
  </si>
  <si>
    <t>FORE, JOE</t>
  </si>
  <si>
    <t>CANDELARIA, MELISSA</t>
  </si>
  <si>
    <t>ROSARIO, KARLA GABRIELA</t>
  </si>
  <si>
    <t>REYES, MAKAYLA</t>
  </si>
  <si>
    <t>ZARAZUA, MARIA</t>
  </si>
  <si>
    <t>MCDONALD, KEELY E</t>
  </si>
  <si>
    <t>RIVERA, AMELIA B</t>
  </si>
  <si>
    <t>KENDALL, KARL O</t>
  </si>
  <si>
    <t>STARK, CARMEN</t>
  </si>
  <si>
    <t>AWUOR, STEPHEN O</t>
  </si>
  <si>
    <t>GURROLA, BERTHA</t>
  </si>
  <si>
    <t>GONZALEZ, MARIA GUADALUPE</t>
  </si>
  <si>
    <t>WOLFE, PEGGY M</t>
  </si>
  <si>
    <t>HARO, MARIA E</t>
  </si>
  <si>
    <t>RODRIGUEZ, RENE</t>
  </si>
  <si>
    <t>TREVIZO, ROBERTO</t>
  </si>
  <si>
    <t>GOMEZ, FELIPE</t>
  </si>
  <si>
    <t>REEL, LYNSEY</t>
  </si>
  <si>
    <t>HART, GAYLE</t>
  </si>
  <si>
    <t>GALLEGOS, PRISCILLA</t>
  </si>
  <si>
    <t>RASCON, CARLOS</t>
  </si>
  <si>
    <t>GAVILANE, ELIZABETH</t>
  </si>
  <si>
    <t>MAYNES, LUIS C</t>
  </si>
  <si>
    <t>FERNANDEZ, OLGA</t>
  </si>
  <si>
    <t>ACOSTA, JUAN A</t>
  </si>
  <si>
    <t>SEALEY, OTILIA</t>
  </si>
  <si>
    <t>GALINDO GUANGORENA, DOLORES</t>
  </si>
  <si>
    <t>MARTINEZ, MAYRA</t>
  </si>
  <si>
    <t>COSTAS ORTIZ, MIGUEL</t>
  </si>
  <si>
    <t>ARDEN, ALEXANDER</t>
  </si>
  <si>
    <t>WALTON, KIMBERLI</t>
  </si>
  <si>
    <t>HODGES, BRIAN</t>
  </si>
  <si>
    <t>RODRIGUEZ, JOSHUA</t>
  </si>
  <si>
    <t>TURNER, YOLANDA</t>
  </si>
  <si>
    <t>ERNEWAYN, ESTHER</t>
  </si>
  <si>
    <t>ESPINOZA, YOLANDA</t>
  </si>
  <si>
    <t>SILVIA, MARIA</t>
  </si>
  <si>
    <t>REY, SOFIA</t>
  </si>
  <si>
    <t>RAMOS VELAZQUEZ, MARTIN</t>
  </si>
  <si>
    <t>HOOKS, TAWANDA</t>
  </si>
  <si>
    <t>MEJIA, SIRENA E</t>
  </si>
  <si>
    <t>PETERSON, WILLIAM</t>
  </si>
  <si>
    <t>PERALTA, JAYSON KEVIN</t>
  </si>
  <si>
    <t>SPURGEON, AMOS J</t>
  </si>
  <si>
    <t>VILLAGRAN, HUGO</t>
  </si>
  <si>
    <t>ROMAN, RAUL</t>
  </si>
  <si>
    <t>MEZA, MARIA</t>
  </si>
  <si>
    <t>TORRES, LOURDES</t>
  </si>
  <si>
    <t>AGUIRRE, IVONNE</t>
  </si>
  <si>
    <t>SWIDERSKI, BRENNON</t>
  </si>
  <si>
    <t>MURILLO, MARIA F</t>
  </si>
  <si>
    <t>BAKER, GREGORY LEE</t>
  </si>
  <si>
    <t>GLASCO, STEVEN E</t>
  </si>
  <si>
    <t>REY, LISA</t>
  </si>
  <si>
    <t>DEMOSS, ROSA MARIA</t>
  </si>
  <si>
    <t>RUBIO, LILIA E</t>
  </si>
  <si>
    <t>SANDOVAL, MARIA D</t>
  </si>
  <si>
    <t>SMITH, WALTER E</t>
  </si>
  <si>
    <t>SANCHEZ, MARGARITA</t>
  </si>
  <si>
    <t>HOLLENBACH, LAURIE</t>
  </si>
  <si>
    <t>GONZALEZ, VELIA</t>
  </si>
  <si>
    <t>SAAVEDRA, GABRIELA</t>
  </si>
  <si>
    <t>TRUJILLO, MARIA</t>
  </si>
  <si>
    <t>DOLZINBYRD, CHARLES</t>
  </si>
  <si>
    <t>SHUTT, STEVEN</t>
  </si>
  <si>
    <t>PUENTES, RICHARD</t>
  </si>
  <si>
    <t>ROBINSON, VALERIE</t>
  </si>
  <si>
    <t>UDOH, OBON I</t>
  </si>
  <si>
    <t>CASILLAS, MARIA GUADALUPE</t>
  </si>
  <si>
    <t>STEPHENS, ADAM</t>
  </si>
  <si>
    <t>HERRERA, MARLON</t>
  </si>
  <si>
    <t>BERNAL, ANA MARIA</t>
  </si>
  <si>
    <t>HOUCK, STEPHANIE M</t>
  </si>
  <si>
    <t>FRIAS, RAMONA M</t>
  </si>
  <si>
    <t>MARTINEZ, BEATRIZ</t>
  </si>
  <si>
    <t>BARRON, ANTONIO</t>
  </si>
  <si>
    <t>MONTESDEOCA, REYNA</t>
  </si>
  <si>
    <t>MARRUFO, JESSE A</t>
  </si>
  <si>
    <t>MADRID, ADELINA</t>
  </si>
  <si>
    <t>VELOZ, ALICIA</t>
  </si>
  <si>
    <t>ALVARADO, GLORIA</t>
  </si>
  <si>
    <t>CASTANEDA, CARLOS H</t>
  </si>
  <si>
    <t>SCHEPPS, LESLIE</t>
  </si>
  <si>
    <t>GANDARA, ARTURO A</t>
  </si>
  <si>
    <t>DAVIS, KYLE C</t>
  </si>
  <si>
    <t>MADDOX, BERNADETTE L</t>
  </si>
  <si>
    <t>RITT, SYLVIA</t>
  </si>
  <si>
    <t>PARGA, MARIA</t>
  </si>
  <si>
    <t>DIAZ, JAVIER</t>
  </si>
  <si>
    <t>CASILLAS, JOSHUA</t>
  </si>
  <si>
    <t>LOERA, ELEAZAR</t>
  </si>
  <si>
    <t>SABINAS SANCHEZ, IRENE</t>
  </si>
  <si>
    <t>LOPEZ, SYLVIA</t>
  </si>
  <si>
    <t>GUTIERREZ, ESPERANZA</t>
  </si>
  <si>
    <t>RODRIGUEZ, SONIA</t>
  </si>
  <si>
    <t>GONZALEZ, CLEMENTE</t>
  </si>
  <si>
    <t>VELASQUEZ, JUAN</t>
  </si>
  <si>
    <t>DESIMONE, SHEILA</t>
  </si>
  <si>
    <t>WELLS, LEONARD E</t>
  </si>
  <si>
    <t>MIRELES, ANA SYLVIA</t>
  </si>
  <si>
    <t>GOMEZ, ELSA</t>
  </si>
  <si>
    <t>SELMON, LAUREN</t>
  </si>
  <si>
    <t>BARRERA, ALFREDO</t>
  </si>
  <si>
    <t>CAMPUZANO, FRANCESCA</t>
  </si>
  <si>
    <t>VELASQUEZ, EDUARDO</t>
  </si>
  <si>
    <t>SHADRICK, MANUEL</t>
  </si>
  <si>
    <t>NAVARRETE, JAVIER</t>
  </si>
  <si>
    <t>ROUYER, JANE</t>
  </si>
  <si>
    <t>GRAHAM, HALBERT</t>
  </si>
  <si>
    <t>GAMEZ, GUADALUPE C</t>
  </si>
  <si>
    <t>NUNEZ, ENEDINA</t>
  </si>
  <si>
    <t>QUINTANAR, RANULFO M</t>
  </si>
  <si>
    <t>MONTOYA, CASANDRA</t>
  </si>
  <si>
    <t>RODRIGUEZ, MANUEL</t>
  </si>
  <si>
    <t>UTLEY, TRAVIS</t>
  </si>
  <si>
    <t>DERRICK, ELIZABETH ANNE</t>
  </si>
  <si>
    <t>TRAUTMAN, LANA</t>
  </si>
  <si>
    <t>MACIAS, JESSICA</t>
  </si>
  <si>
    <t>BURROWS, VICTORIA</t>
  </si>
  <si>
    <t>RIVERA, ANTONIO</t>
  </si>
  <si>
    <t>PINKINS, PATRICIA</t>
  </si>
  <si>
    <t>ZWITTAG, JENNETTE H</t>
  </si>
  <si>
    <t>MORALES, MARIA DEL CARMEN</t>
  </si>
  <si>
    <t>GONZALEZ, RAYMUNDO</t>
  </si>
  <si>
    <t>VASQUEZ, ESTHER C</t>
  </si>
  <si>
    <t>SERRANO, ROSALIO</t>
  </si>
  <si>
    <t>REYES, SUSANA</t>
  </si>
  <si>
    <t>CAMACHO, MARY</t>
  </si>
  <si>
    <t>TORREZ, MARK</t>
  </si>
  <si>
    <t>MARTINEZ, PATRICIA</t>
  </si>
  <si>
    <t>BELTRAN, JORGE A</t>
  </si>
  <si>
    <t>TURNER, SHERRI</t>
  </si>
  <si>
    <t>QUEZADA, MARIA</t>
  </si>
  <si>
    <t>NACHISON, JOSEPHINE</t>
  </si>
  <si>
    <t>SANCHEZ, LETICIA G</t>
  </si>
  <si>
    <t>AGUIRRE GARCIA, JORGE</t>
  </si>
  <si>
    <t>SEGOVIA-WAGNER, LEAH</t>
  </si>
  <si>
    <t>ZUBIA, JASON</t>
  </si>
  <si>
    <t>DAVILA, FILIBERTO</t>
  </si>
  <si>
    <t>FERRELL, YVONNE</t>
  </si>
  <si>
    <t>MONTELONGO, ALMA A</t>
  </si>
  <si>
    <t>SALDIVAR, JOSE S</t>
  </si>
  <si>
    <t>BAUERKEMPER, SHARON</t>
  </si>
  <si>
    <t>RODRIGUEZ, MARTHA A</t>
  </si>
  <si>
    <t>CARLIN, COULTER</t>
  </si>
  <si>
    <t>STEVENSON, TODD</t>
  </si>
  <si>
    <t>BAKER, CHRISTIANNA L</t>
  </si>
  <si>
    <t>YBARRA, CANDIDA R</t>
  </si>
  <si>
    <t>AGUAYO, MARIA</t>
  </si>
  <si>
    <t>FIGUEROA, JAVIER</t>
  </si>
  <si>
    <t>VASQUEZ, FRANCISCO</t>
  </si>
  <si>
    <t>RODGERS, THANH</t>
  </si>
  <si>
    <t>GOMEZ, FRANCISCO</t>
  </si>
  <si>
    <t>CAMPOS, RAFAEL</t>
  </si>
  <si>
    <t>JOHNSON- VIERRA, PATRICIA</t>
  </si>
  <si>
    <t>GARCIA, EVA</t>
  </si>
  <si>
    <t>HERNANDEZ, EMMA D</t>
  </si>
  <si>
    <t>VOEPEL, LEO F</t>
  </si>
  <si>
    <t>GUTIERREZ, CONCEPCION</t>
  </si>
  <si>
    <t>LOFLIN, ROSA</t>
  </si>
  <si>
    <t>DE LA TORRE, DANNY</t>
  </si>
  <si>
    <t>FITZGERALD, ROSA</t>
  </si>
  <si>
    <t>WATERS, JOHN</t>
  </si>
  <si>
    <t>DELGADO, RICARDO</t>
  </si>
  <si>
    <t>HERNANDEZ, EVANGELINA</t>
  </si>
  <si>
    <t>BRYANT JOHNSON, JOHNNIE</t>
  </si>
  <si>
    <t>CANTU, ROCIO</t>
  </si>
  <si>
    <t>LANGDON, DAVID</t>
  </si>
  <si>
    <t>GUTIERREZ, IRMA</t>
  </si>
  <si>
    <t>MORALES, FRANK T</t>
  </si>
  <si>
    <t>PENA, LUIS</t>
  </si>
  <si>
    <t>WINSLETT, CHRISTIAN</t>
  </si>
  <si>
    <t>TETERS, AUNDREA</t>
  </si>
  <si>
    <t>VALENZUELA, LAURA J</t>
  </si>
  <si>
    <t>LOPEZ-RIOS, ELIZABETH</t>
  </si>
  <si>
    <t>PONCE, RANDY</t>
  </si>
  <si>
    <t>BARAY, CRUZ</t>
  </si>
  <si>
    <t>GARCIA, FERNANDO</t>
  </si>
  <si>
    <t>AGUILERA, CHRISTIAN</t>
  </si>
  <si>
    <t>MORA, IVAN</t>
  </si>
  <si>
    <t>MENA, ESTHER</t>
  </si>
  <si>
    <t>SANCHEZ, RUDY</t>
  </si>
  <si>
    <t>ALCALA, IRMA</t>
  </si>
  <si>
    <t>VARGAS, ADRIAN</t>
  </si>
  <si>
    <t>AGUIRRE, NANCY I</t>
  </si>
  <si>
    <t>VARELA, CRUZ</t>
  </si>
  <si>
    <t>RANGEL, ANA G</t>
  </si>
  <si>
    <t>SOTO, ALFREDO</t>
  </si>
  <si>
    <t>GARAY, ALICIA</t>
  </si>
  <si>
    <t>RAYOS, SYLVIA</t>
  </si>
  <si>
    <t>MIRELES, ALBERTO</t>
  </si>
  <si>
    <t>KAULBACH, KENNETH</t>
  </si>
  <si>
    <t>THOMAS, WILLIAM R</t>
  </si>
  <si>
    <t>OROZCO, MARIA G</t>
  </si>
  <si>
    <t>MURRAY, TROY T</t>
  </si>
  <si>
    <t>HIGGINS, CINDY K</t>
  </si>
  <si>
    <t>GALANTE, MONICA</t>
  </si>
  <si>
    <t>KIMBALL, JACQUELINE</t>
  </si>
  <si>
    <t>TARANGO, YOLANDA</t>
  </si>
  <si>
    <t>ALVARADO, JUAN A</t>
  </si>
  <si>
    <t>RIVERA, DAVID F</t>
  </si>
  <si>
    <t>WENGEL, DARLENE</t>
  </si>
  <si>
    <t>CASTRUITA, SILVINA</t>
  </si>
  <si>
    <t>NATIVIDAD, VICTOR</t>
  </si>
  <si>
    <t>CAMPBELL, PATRICIA D</t>
  </si>
  <si>
    <t>STARK, SOCORRO</t>
  </si>
  <si>
    <t>MCCLENNAN, KATHLEEN</t>
  </si>
  <si>
    <t>ZAMORA, JESUS</t>
  </si>
  <si>
    <t>GRIDLEY, JULIE R</t>
  </si>
  <si>
    <t>FERNANDEZ, RITA</t>
  </si>
  <si>
    <t>PAREDES, RUBEN</t>
  </si>
  <si>
    <t>MARTINEZ, ANGELICA</t>
  </si>
  <si>
    <t>MCCOWAN, BETTY JO</t>
  </si>
  <si>
    <t>LOPEZ, ESPERANZA</t>
  </si>
  <si>
    <t>CANDELARIA, SANDRA L</t>
  </si>
  <si>
    <t>VELARDE, JOSE L</t>
  </si>
  <si>
    <t>RAMOS, DAVID</t>
  </si>
  <si>
    <t>MILLER, ASHLEY N</t>
  </si>
  <si>
    <t>MOYE, BERNARD R</t>
  </si>
  <si>
    <t>SANCHEZ, OLGA G</t>
  </si>
  <si>
    <t>KNIGHTS, ANTHONY N</t>
  </si>
  <si>
    <t>STALLWORTH, CHRISTOPHER</t>
  </si>
  <si>
    <t>BALLESTEROS, FRANCISCO</t>
  </si>
  <si>
    <t>ESCAPITE, CHRISTIAN B</t>
  </si>
  <si>
    <t>LANDEROS, OLDIFONSO</t>
  </si>
  <si>
    <t>NELSON, MARGARET L</t>
  </si>
  <si>
    <t>LUGO, FRANCISCA</t>
  </si>
  <si>
    <t>CORTEZ, LUIS</t>
  </si>
  <si>
    <t>RICHARDSON, SIOMARA G</t>
  </si>
  <si>
    <t>CASILLAS HERNANDEZ, JAFRETTE</t>
  </si>
  <si>
    <t>CLARKE, DONATO</t>
  </si>
  <si>
    <t>WARNER, TAMIKQUA E</t>
  </si>
  <si>
    <t>AVILA, MARGARITA</t>
  </si>
  <si>
    <t>MENDIOLA, ROSA A</t>
  </si>
  <si>
    <t>ESPINOZA, JUAN ONISEMO</t>
  </si>
  <si>
    <t>ZLOMKE, RONALD</t>
  </si>
  <si>
    <t>NUNEZ DE GARCIA, MARIA</t>
  </si>
  <si>
    <t>LOPEZ, MONICA</t>
  </si>
  <si>
    <t>BRANNON, MARICRUZ</t>
  </si>
  <si>
    <t>HERNANDEZ, FRANSISCA</t>
  </si>
  <si>
    <t>GAMBOA, LISA D</t>
  </si>
  <si>
    <t>KAISER, BERTHA A</t>
  </si>
  <si>
    <t>IGLECIAS, SERGIO</t>
  </si>
  <si>
    <t>CORREA, EVA V</t>
  </si>
  <si>
    <t>DELGADO, LUIS</t>
  </si>
  <si>
    <t>SERVIN, DANNY</t>
  </si>
  <si>
    <t>LUJAN, JESUS</t>
  </si>
  <si>
    <t>KELLY, JOSEPHINE V</t>
  </si>
  <si>
    <t>MCLAUGHLIN, RICHARD</t>
  </si>
  <si>
    <t>CASTRO, CRYSTAL A</t>
  </si>
  <si>
    <t>LUNA-RAMOS, RUBEN</t>
  </si>
  <si>
    <t>DAVILA, JENNIE</t>
  </si>
  <si>
    <t>JACOBO, ELVIA R</t>
  </si>
  <si>
    <t>DAVIDSON, ADRIANA</t>
  </si>
  <si>
    <t>HEREDIA, HORTENCIA</t>
  </si>
  <si>
    <t>PALACIOS, MARTHA A</t>
  </si>
  <si>
    <t>SAENZ, ELSA F</t>
  </si>
  <si>
    <t>SANDOVAL, ADELAIDA</t>
  </si>
  <si>
    <t>BARRETT, STARLA M</t>
  </si>
  <si>
    <t>MANGLONA, JUNELLA</t>
  </si>
  <si>
    <t>SANCHEZ, LOURDES</t>
  </si>
  <si>
    <t>REY, MARIA</t>
  </si>
  <si>
    <t>MENA, OCTAVIO</t>
  </si>
  <si>
    <t>LOPEZ, CONSUELO</t>
  </si>
  <si>
    <t>MUNOZ, TRISHA</t>
  </si>
  <si>
    <t>ARTALEJO, MARINA</t>
  </si>
  <si>
    <t>SANCHEZ MARTINEZ, MARIA</t>
  </si>
  <si>
    <t>BANUELOS, CHRIS A</t>
  </si>
  <si>
    <t>BARON, KRISTINE M</t>
  </si>
  <si>
    <t>JONES, MARY D</t>
  </si>
  <si>
    <t>FONSECA, ORLANDO ROBERT</t>
  </si>
  <si>
    <t>GUTIERREZ, AGUSTIN</t>
  </si>
  <si>
    <t>DE LA ROSA, MARIA D</t>
  </si>
  <si>
    <t>SAENZ, MARIA E</t>
  </si>
  <si>
    <t>ZUNIGA, DEBBIE</t>
  </si>
  <si>
    <t>CARRILLO, ANTONIA</t>
  </si>
  <si>
    <t>TOVAR, ALFREDO V</t>
  </si>
  <si>
    <t>TALAVERA, RICARDO A</t>
  </si>
  <si>
    <t>PEREZ, GUADALUPE</t>
  </si>
  <si>
    <t>GARCIA, VICTORIANO</t>
  </si>
  <si>
    <t>KRIMMER, RANDY J</t>
  </si>
  <si>
    <t>FLORES, RICHARD</t>
  </si>
  <si>
    <t>LUCERO, LINDA M</t>
  </si>
  <si>
    <t>CASTRO, LITZZI A</t>
  </si>
  <si>
    <t>GUILLEN, ALFRED</t>
  </si>
  <si>
    <t>MALDONADO, NORMA A</t>
  </si>
  <si>
    <t>PENA, JONATHAN</t>
  </si>
  <si>
    <t>SANCHEZ, JESSICA C</t>
  </si>
  <si>
    <t>GARCIA, YANET E</t>
  </si>
  <si>
    <t>DE SERRATO, LUZ MARIA</t>
  </si>
  <si>
    <t>RANGEL, ALICIA</t>
  </si>
  <si>
    <t>BORJON, SANJUANA</t>
  </si>
  <si>
    <t>ESCALANTE, POQUI A</t>
  </si>
  <si>
    <t>CRUZ, NORMA</t>
  </si>
  <si>
    <t>DOMINGUEZ ALONZO, LUIS R</t>
  </si>
  <si>
    <t>PENA, ROSA</t>
  </si>
  <si>
    <t>LOPEZ, MARIA ELENA</t>
  </si>
  <si>
    <t>VELAZQUEZ, ELSA O</t>
  </si>
  <si>
    <t>PONCE, SERGIO</t>
  </si>
  <si>
    <t>BUTTNER, CARISA</t>
  </si>
  <si>
    <t>HERRERA, BERTHA A</t>
  </si>
  <si>
    <t>MAGANA, JUANA D</t>
  </si>
  <si>
    <t>DE LA PENA, RYAN</t>
  </si>
  <si>
    <t>SIFUENTES, GRACIELA T</t>
  </si>
  <si>
    <t>BAUTISTA, EVANGELINA</t>
  </si>
  <si>
    <t>GARCIA, HECTOR</t>
  </si>
  <si>
    <t>WILLIAMSON, MICHAEL</t>
  </si>
  <si>
    <t>RENTERIA, VANESSA</t>
  </si>
  <si>
    <t>RENTERIA, ANA MARIA</t>
  </si>
  <si>
    <t>RODARTE, MARIA</t>
  </si>
  <si>
    <t>GARRICK, ROBERT B</t>
  </si>
  <si>
    <t>BRIDGES, ALVIN</t>
  </si>
  <si>
    <t>HINOJOSA, MARTHA P</t>
  </si>
  <si>
    <t>GARCIA, MARIA D</t>
  </si>
  <si>
    <t>MALDONADO, RUBEN</t>
  </si>
  <si>
    <t>GANDARA, EILEEN</t>
  </si>
  <si>
    <t>ROSAS, MARIA A</t>
  </si>
  <si>
    <t>AHUMADA, ALBERT</t>
  </si>
  <si>
    <t>TRUJILLO, YURY</t>
  </si>
  <si>
    <t>HIDALGO, MARIO</t>
  </si>
  <si>
    <t>LEYVA, BERTHA</t>
  </si>
  <si>
    <t>MARTINEZ, NORMA</t>
  </si>
  <si>
    <t>RIOS, GLORIA A</t>
  </si>
  <si>
    <t>TINOCO, VERONICA</t>
  </si>
  <si>
    <t>SASSO, ROBERT A</t>
  </si>
  <si>
    <t>RAMIREZ, GILBERTO</t>
  </si>
  <si>
    <t>THOMPSON, MAHRIA M</t>
  </si>
  <si>
    <t>CAMPOS, DANIEL M</t>
  </si>
  <si>
    <t>MOSHER, CLAUDIA</t>
  </si>
  <si>
    <t>ROBISON, MICHAEL R</t>
  </si>
  <si>
    <t>STARKS, SHER'RYAN</t>
  </si>
  <si>
    <t>DOMINGUEZ, DANIEL</t>
  </si>
  <si>
    <t>RIVERA CRUZ, MARTHA</t>
  </si>
  <si>
    <t>NAVARRO, JANIE</t>
  </si>
  <si>
    <t>VIGIL, JESUS</t>
  </si>
  <si>
    <t>MORALES, JORGE</t>
  </si>
  <si>
    <t>VELARDE, NICOLE C</t>
  </si>
  <si>
    <t>SOTO, DENISE</t>
  </si>
  <si>
    <t>CAMPOS, NAPOLEON</t>
  </si>
  <si>
    <t>AGUILAR, REYNALDO</t>
  </si>
  <si>
    <t>MACIAS, REFUGIO</t>
  </si>
  <si>
    <t>OLIVARES, GILBERTO</t>
  </si>
  <si>
    <t>MOORE, LEEDONAL</t>
  </si>
  <si>
    <t>VERDUGO RENTERIA, LORENZO</t>
  </si>
  <si>
    <t>LUNA, JOSE</t>
  </si>
  <si>
    <t>HERNANDEZ, MARCO A</t>
  </si>
  <si>
    <t>VASQUEZ, ABELARDO</t>
  </si>
  <si>
    <t>HERNANDEZ, REBECA</t>
  </si>
  <si>
    <t>CHRISTENSEN, TEMECKA K</t>
  </si>
  <si>
    <t>HERNANDEZ, ROSE</t>
  </si>
  <si>
    <t>GONZALEZ, ALBERT</t>
  </si>
  <si>
    <t>RICHARDSON, YUN J</t>
  </si>
  <si>
    <t>OBERMEYER, LISA</t>
  </si>
  <si>
    <t>PRIETO, LYDIA</t>
  </si>
  <si>
    <t>GONZALEZ, ROXANNA</t>
  </si>
  <si>
    <t>RODRIGUEZ, MONICA</t>
  </si>
  <si>
    <t>CAMARENA, MARISELA</t>
  </si>
  <si>
    <t>RODRIGUEZ, BLANCA</t>
  </si>
  <si>
    <t>QUINTANA, JULIAN</t>
  </si>
  <si>
    <t>LOY, OSCAR</t>
  </si>
  <si>
    <t>HERNANDEZ, LAURA</t>
  </si>
  <si>
    <t>HERNANDEZ-FISHER, JOANNE</t>
  </si>
  <si>
    <t>FLORES, JOSE L</t>
  </si>
  <si>
    <t>HIPOLITO, RODOLFO</t>
  </si>
  <si>
    <t>KELLY, THOMAS B</t>
  </si>
  <si>
    <t>CHAVEZ DE URENDA, OFELIA</t>
  </si>
  <si>
    <t>ANCHONDO, JESUS S</t>
  </si>
  <si>
    <t>BARROSO, RENAN</t>
  </si>
  <si>
    <t>TOQUINTO, MARIA</t>
  </si>
  <si>
    <t>TOQUINTO, GUILLERMO</t>
  </si>
  <si>
    <t>OSBERG, MATT</t>
  </si>
  <si>
    <t>DURAN, SYLVIA</t>
  </si>
  <si>
    <t>SAVAGE, JOSEPH</t>
  </si>
  <si>
    <t>MIRANDA, PALOMA</t>
  </si>
  <si>
    <t>SANCHEZ, MANUEL</t>
  </si>
  <si>
    <t>MARQUEZ, ROSA</t>
  </si>
  <si>
    <t>LOPEZ, LILY ROSE</t>
  </si>
  <si>
    <t>FONSECA, JOSEFINA</t>
  </si>
  <si>
    <t>ALANIS, AURORA A</t>
  </si>
  <si>
    <t>BERNAL, FRANCES</t>
  </si>
  <si>
    <t>BANUELOS, MARIA</t>
  </si>
  <si>
    <t>LAUER, MICHAEL R</t>
  </si>
  <si>
    <t>MORGAN, CATALINA</t>
  </si>
  <si>
    <t>SANCHEZ RODRIGUEZ, LUPITA</t>
  </si>
  <si>
    <t>MACIEL, LETICIA</t>
  </si>
  <si>
    <t>GONZALEZ, GRACIELA DE</t>
  </si>
  <si>
    <t>PILTZECKER, SEAN</t>
  </si>
  <si>
    <t>KEATING, LINDA</t>
  </si>
  <si>
    <t>BOOTH, MYRANDA M</t>
  </si>
  <si>
    <t>LERMA, JESUS</t>
  </si>
  <si>
    <t>BORJON, JOSE</t>
  </si>
  <si>
    <t>GONZALEZ, IRENE</t>
  </si>
  <si>
    <t>BARRAZA, ALICIA A</t>
  </si>
  <si>
    <t>SCHLESINGER, WILLIAM D</t>
  </si>
  <si>
    <t>LOPEZ, VICTORIA</t>
  </si>
  <si>
    <t>MUNOZ, MARIA G</t>
  </si>
  <si>
    <t>DARLING, STEPHEN W</t>
  </si>
  <si>
    <t>ESCOBEDO DE ROEL, ELIZABETH</t>
  </si>
  <si>
    <t>BAILEY, EBONY</t>
  </si>
  <si>
    <t>SHAFFER, NOLA ANN</t>
  </si>
  <si>
    <t>GANDARA, RICARDO</t>
  </si>
  <si>
    <t>SCHOOP, MARIE</t>
  </si>
  <si>
    <t>MARTINEZ, OLGA M</t>
  </si>
  <si>
    <t>MARTIN, GLENN</t>
  </si>
  <si>
    <t>PALADICHUK, TAYLOR</t>
  </si>
  <si>
    <t>GRANT, MICHAEL</t>
  </si>
  <si>
    <t>RAMIREZ, SERGIO E</t>
  </si>
  <si>
    <t>SOTO, JOSE L</t>
  </si>
  <si>
    <t>DEL TORO RUBIO, SUSANA</t>
  </si>
  <si>
    <t>HELMAN, STEPHAN</t>
  </si>
  <si>
    <t>MESA, LUZ</t>
  </si>
  <si>
    <t>KOONANKEIL, EMANUEL</t>
  </si>
  <si>
    <t>MONTES, HECTOR</t>
  </si>
  <si>
    <t>CORRAL, OFELIA</t>
  </si>
  <si>
    <t>CANO, FELIX</t>
  </si>
  <si>
    <t>RIVAS, ALANNA</t>
  </si>
  <si>
    <t>LECHUGA, BELINDA</t>
  </si>
  <si>
    <t>RODRIGUEZ, YVONNE</t>
  </si>
  <si>
    <t>RODRIGUEZ, JAIME</t>
  </si>
  <si>
    <t>REYNOSO, CHRISTOPHER G</t>
  </si>
  <si>
    <t>ESTELA GUTIERREZ, VERONICA</t>
  </si>
  <si>
    <t>ALVARADO, MYRNA</t>
  </si>
  <si>
    <t>VILLAREAL, LUISA</t>
  </si>
  <si>
    <t>ORTIZ, ALFREDO L</t>
  </si>
  <si>
    <t>BRIGGINS, KENDALL</t>
  </si>
  <si>
    <t>MENA, VERONICA</t>
  </si>
  <si>
    <t>CARRASCO, JORGE</t>
  </si>
  <si>
    <t>SULLIVAN, REBECCA A</t>
  </si>
  <si>
    <t>SAGE, GREGORY J</t>
  </si>
  <si>
    <t>LUJAN, ELIZABETH</t>
  </si>
  <si>
    <t>MACIAS, CONSUELO</t>
  </si>
  <si>
    <t>CONTRERAS, JESUS</t>
  </si>
  <si>
    <t>UNTALAN, MIKE</t>
  </si>
  <si>
    <t>PONCEBENJAMIN, JEANETTE</t>
  </si>
  <si>
    <t>GATLIN, FRITZ</t>
  </si>
  <si>
    <t>NUNEZ, SOCORRO</t>
  </si>
  <si>
    <t>SHAW, ALMA</t>
  </si>
  <si>
    <t>NAVARRO, IRENE</t>
  </si>
  <si>
    <t>LOCKETT, LEONTAE</t>
  </si>
  <si>
    <t>FAULK, LORI D</t>
  </si>
  <si>
    <t>CAIRE, EMILIO</t>
  </si>
  <si>
    <t>SARIEDDINE, NEHMAT</t>
  </si>
  <si>
    <t>ORTIZ, BENIGNA</t>
  </si>
  <si>
    <t>LOZOYA, ISELA</t>
  </si>
  <si>
    <t>CASAREZ, MARIA A</t>
  </si>
  <si>
    <t>CERECERES, OLGA</t>
  </si>
  <si>
    <t>SIMMONS, ZACKARY C</t>
  </si>
  <si>
    <t>LEFEBVERE, LESLIE</t>
  </si>
  <si>
    <t>ANDREWS, BENNY G</t>
  </si>
  <si>
    <t>TAPIA, HERMELINDA M</t>
  </si>
  <si>
    <t>POARCH, ELIZABETH L</t>
  </si>
  <si>
    <t>AMARO, LINO B</t>
  </si>
  <si>
    <t>GOMEZ, MARIA R</t>
  </si>
  <si>
    <t>GANDARA, JOSE</t>
  </si>
  <si>
    <t>CHAVARRIA, CRUZ</t>
  </si>
  <si>
    <t>PEREZ-CARDONA, CHRISTOPHER</t>
  </si>
  <si>
    <t>NAGIES, THOMAS A</t>
  </si>
  <si>
    <t>NYGAARD, JILL</t>
  </si>
  <si>
    <t>WALKER, DONNA K</t>
  </si>
  <si>
    <t>MUNOS, MANUAL</t>
  </si>
  <si>
    <t>BOWMAN, CHARLES B</t>
  </si>
  <si>
    <t>SHEGOW, FADUMA</t>
  </si>
  <si>
    <t>PADILLA, RENEE I</t>
  </si>
  <si>
    <t>VILLALOBOS, SOFIA</t>
  </si>
  <si>
    <t>SHAWLINSKI, RACHEL</t>
  </si>
  <si>
    <t>OLIVAS, ALFREDO</t>
  </si>
  <si>
    <t>PENDELTON, STEPHEN M</t>
  </si>
  <si>
    <t>JUAREZ, ALMA</t>
  </si>
  <si>
    <t>NAJERA, ANDREA</t>
  </si>
  <si>
    <t>URQUIZO, JESUS M</t>
  </si>
  <si>
    <t>SILOS, PATRICIA</t>
  </si>
  <si>
    <t>MACPHERSON, KATHLEEN M</t>
  </si>
  <si>
    <t>MONTES, RAMON</t>
  </si>
  <si>
    <t>HERNANDEZ, CONCEPCION</t>
  </si>
  <si>
    <t>MONTOYA, DAVID</t>
  </si>
  <si>
    <t>BALANDRAN, ADRIANA</t>
  </si>
  <si>
    <t>PELL, JUAN</t>
  </si>
  <si>
    <t>LEON, ANA M</t>
  </si>
  <si>
    <t>MACIAS, ALFREDO</t>
  </si>
  <si>
    <t>RASCON, MARCELA</t>
  </si>
  <si>
    <t>CUSKEY, LARRY</t>
  </si>
  <si>
    <t>URANGA-MAHAR, ANTHONY</t>
  </si>
  <si>
    <t>BROWN, STEVEN</t>
  </si>
  <si>
    <t>URANGA, PAOLA</t>
  </si>
  <si>
    <t>PEREZ SAPIEN, MANUEL L</t>
  </si>
  <si>
    <t>DOMINGUEZ, MARIA</t>
  </si>
  <si>
    <t>DEGARCIA, MARIA D</t>
  </si>
  <si>
    <t>SAVAGE, WILMA</t>
  </si>
  <si>
    <t>MOOR, TINA M</t>
  </si>
  <si>
    <t>BACA, VICTOR</t>
  </si>
  <si>
    <t>RAMIREZ, ROSA I</t>
  </si>
  <si>
    <t>ONTIVEROS, CARMEN D</t>
  </si>
  <si>
    <t>CAMACHO, WANDA</t>
  </si>
  <si>
    <t>PAGE, TYLER</t>
  </si>
  <si>
    <t>CONTRERAS, KAREN</t>
  </si>
  <si>
    <t>LOPEZ HERNANDEZ, JOSE G</t>
  </si>
  <si>
    <t>MORENO, DANIEL</t>
  </si>
  <si>
    <t>SOLIS, ROSA I</t>
  </si>
  <si>
    <t>SANCHEZ, REBECCA</t>
  </si>
  <si>
    <t>GUTIERREZ, MARK A</t>
  </si>
  <si>
    <t>KANEY, JAQUELINE</t>
  </si>
  <si>
    <t>EROVENCIO, GEORGE</t>
  </si>
  <si>
    <t>HALFHILL, MATTHEW</t>
  </si>
  <si>
    <t>EVANS, DAVID E</t>
  </si>
  <si>
    <t>VAZQUEZ, RICARDO</t>
  </si>
  <si>
    <t>RODRIGUEZ, WILFREDO</t>
  </si>
  <si>
    <t>VACIO, IDA</t>
  </si>
  <si>
    <t>REINHART, ERNEST J</t>
  </si>
  <si>
    <t>MUCINO, ELISA</t>
  </si>
  <si>
    <t>MENDOZA, BERTHA</t>
  </si>
  <si>
    <t>MADRIGAL, ABELINA</t>
  </si>
  <si>
    <t>WALSH, MARTHA</t>
  </si>
  <si>
    <t>OLIVAS, MARGARITA C</t>
  </si>
  <si>
    <t>NUNEZ NORIEGA, ROBERTO</t>
  </si>
  <si>
    <t>BINGHAM, LINDA K</t>
  </si>
  <si>
    <t>ORTEGA, JESUS</t>
  </si>
  <si>
    <t>MARTINEZ, HORACIO</t>
  </si>
  <si>
    <t>CRAWFORD, DONALD B</t>
  </si>
  <si>
    <t>CHAVEZ, ANGIE</t>
  </si>
  <si>
    <t>HERRERA, LETICIA</t>
  </si>
  <si>
    <t>CASTRUITA, FRED</t>
  </si>
  <si>
    <t>ROJAS, NORMA</t>
  </si>
  <si>
    <t>INGRAM, FRANCISCA</t>
  </si>
  <si>
    <t>RENZ, GARY J</t>
  </si>
  <si>
    <t>BURTON, CAROL</t>
  </si>
  <si>
    <t>HUIZAR, DIANA</t>
  </si>
  <si>
    <t>QUINN, MICHAEL R</t>
  </si>
  <si>
    <t>ALCANTAR, MARIA S</t>
  </si>
  <si>
    <t>RIVERA, JANETH G</t>
  </si>
  <si>
    <t>NIETO, LORENZO</t>
  </si>
  <si>
    <t>GARDEA, IGNACIO</t>
  </si>
  <si>
    <t>ROY, CATHERINE</t>
  </si>
  <si>
    <t>GUERRA, MARIA</t>
  </si>
  <si>
    <t>SANCHEZ, CYNTHIA</t>
  </si>
  <si>
    <t>OVALLE, MARIA</t>
  </si>
  <si>
    <t>AVILA, FRANCISCA</t>
  </si>
  <si>
    <t>JACQUES, MARTIN</t>
  </si>
  <si>
    <t>MORALES, SHIRLEY</t>
  </si>
  <si>
    <t>ENRIQUEZ, ENRIQUE</t>
  </si>
  <si>
    <t>LEYVA, BEATRIZ</t>
  </si>
  <si>
    <t>COLONAPONTE, LEONARDO</t>
  </si>
  <si>
    <t>HOSEIN, AYESHA</t>
  </si>
  <si>
    <t>REMER-PORTER, HANNAH</t>
  </si>
  <si>
    <t>ILDEFONSO, MELCHOR</t>
  </si>
  <si>
    <t>SOLEDAD PEREZ, JUAN M</t>
  </si>
  <si>
    <t>NAVARRO, VERONICA</t>
  </si>
  <si>
    <t>LARA, SERGIO</t>
  </si>
  <si>
    <t>ORTEGA, MARTHA M</t>
  </si>
  <si>
    <t>SMITH, TAMMY</t>
  </si>
  <si>
    <t>SALAZAR, CARLOS</t>
  </si>
  <si>
    <t>ALLEN, BRETT W</t>
  </si>
  <si>
    <t>RODRIGUEZ, ALFREDO</t>
  </si>
  <si>
    <t>GOOD, DAVID</t>
  </si>
  <si>
    <t>LOYA, DEHIDA</t>
  </si>
  <si>
    <t>JOHNS, DOROTHY L</t>
  </si>
  <si>
    <t>OROZCO, MIGUEL</t>
  </si>
  <si>
    <t>ACEVES, ELIZABETH</t>
  </si>
  <si>
    <t>GIL, ALFONSO</t>
  </si>
  <si>
    <t>HEIDENESCHER, HEIDI A</t>
  </si>
  <si>
    <t>SLOWIK, KEVIN</t>
  </si>
  <si>
    <t>ARRIOLA, PEDRO F</t>
  </si>
  <si>
    <t>LOYA, DENISE</t>
  </si>
  <si>
    <t>PEREZ, OLGA</t>
  </si>
  <si>
    <t>RUHMANN, ELIZABETH</t>
  </si>
  <si>
    <t>MONTOYA DE GALVAN, MARISELA</t>
  </si>
  <si>
    <t>LOEZA, ROBERTO</t>
  </si>
  <si>
    <t>DOMINGUEZ, CONCEPCION</t>
  </si>
  <si>
    <t>SIMMONS, MARGARET L</t>
  </si>
  <si>
    <t>MORALES, MANUEL H</t>
  </si>
  <si>
    <t>LOPEZ, HERMINA C</t>
  </si>
  <si>
    <t>MARRUFO, CARLOS</t>
  </si>
  <si>
    <t>BORDEN-ZACOUR, KRISTI</t>
  </si>
  <si>
    <t>KELLEY, MEREDITH D</t>
  </si>
  <si>
    <t>RODRIGUEZ, MARTHA Y</t>
  </si>
  <si>
    <t>ARANAS, GUILLERMINA</t>
  </si>
  <si>
    <t>ARRONIZ, ELSA</t>
  </si>
  <si>
    <t>ICARD, VICKY</t>
  </si>
  <si>
    <t>RODRIQUEZ, ABEL</t>
  </si>
  <si>
    <t>NAVARRETE, GRECELDA</t>
  </si>
  <si>
    <t>AGUILERA, DAVID</t>
  </si>
  <si>
    <t>ARRIAGA, ESPERANZA</t>
  </si>
  <si>
    <t>RAMIREZ, MARIA L</t>
  </si>
  <si>
    <t>RINCON, SANDRA</t>
  </si>
  <si>
    <t>TORRES, ANGEL</t>
  </si>
  <si>
    <t>GONZALEZ, VICTOR G</t>
  </si>
  <si>
    <t>BACA, CRUSITO</t>
  </si>
  <si>
    <t>ARELLANO, VIRGINIA</t>
  </si>
  <si>
    <t>DAVILA, ALMA</t>
  </si>
  <si>
    <t>GUARDADO, ISMAEL M</t>
  </si>
  <si>
    <t>ACOSTA, MICHAEL</t>
  </si>
  <si>
    <t>NORTHROP, PAUL</t>
  </si>
  <si>
    <t>HERNANDEZ, TEOFILO L</t>
  </si>
  <si>
    <t>BETTS, JOHN</t>
  </si>
  <si>
    <t>CADENA, SERGIO</t>
  </si>
  <si>
    <t>ONTIVEROS, SOLEDAD B</t>
  </si>
  <si>
    <t>SCHUESSLER, MARINA</t>
  </si>
  <si>
    <t>ANGLE, AMBER</t>
  </si>
  <si>
    <t>CARSON, CHERYL M</t>
  </si>
  <si>
    <t>VARGAS, KEITH</t>
  </si>
  <si>
    <t>MEDRANO, RAUL E</t>
  </si>
  <si>
    <t>CAJAS, JUAN CARLOS</t>
  </si>
  <si>
    <t>MARSHALL, CRISTINA</t>
  </si>
  <si>
    <t>JAQUEZ, ALICE V</t>
  </si>
  <si>
    <t>BONET, SONIA</t>
  </si>
  <si>
    <t>ORNELAS, ANGELINA</t>
  </si>
  <si>
    <t>TORRES, MARGARITA M</t>
  </si>
  <si>
    <t>ATKINS, DENISE</t>
  </si>
  <si>
    <t>STEARNES, LISA</t>
  </si>
  <si>
    <t>MAKER, ARKETHER L</t>
  </si>
  <si>
    <t>SALAYANDIA, JUAN C</t>
  </si>
  <si>
    <t>CASTRO DE GOMEZ, JUANA</t>
  </si>
  <si>
    <t>KEIMIG, PAULA D</t>
  </si>
  <si>
    <t>VELEZ, NORBERTO</t>
  </si>
  <si>
    <t>MCCOLLUM, RUSSELL L</t>
  </si>
  <si>
    <t>ONTIVEROS, ANA MARIA</t>
  </si>
  <si>
    <t>MARQUEZ, MARIA L</t>
  </si>
  <si>
    <t>DAVILA, DAVID</t>
  </si>
  <si>
    <t>MANZANO, JAVIER</t>
  </si>
  <si>
    <t>PACHECO DE SANTANA, MARIA</t>
  </si>
  <si>
    <t>RAMOS, SILVIA M</t>
  </si>
  <si>
    <t>RUIZ MOLINA, LAURO L</t>
  </si>
  <si>
    <t>MIER, ENRIQUE</t>
  </si>
  <si>
    <t>KIRKENDALL, RACHEL</t>
  </si>
  <si>
    <t>YARBROUGH, YVETTE E</t>
  </si>
  <si>
    <t>ZAVALA, JUAN C</t>
  </si>
  <si>
    <t>ULLOA, ARMANDO</t>
  </si>
  <si>
    <t>MORENO, CRUZ H</t>
  </si>
  <si>
    <t>CASTANEDA GARCIA, JULIO</t>
  </si>
  <si>
    <t>REYES, JOSE S</t>
  </si>
  <si>
    <t>CALVIRD, PATRICIA N</t>
  </si>
  <si>
    <t>PACHECO, CARMEN</t>
  </si>
  <si>
    <t>MISCHEN, WILLIAM</t>
  </si>
  <si>
    <t>GARCIA, ELIDA C</t>
  </si>
  <si>
    <t>QUINTERO, BEATRIZ</t>
  </si>
  <si>
    <t>CABRERA, JOSE G</t>
  </si>
  <si>
    <t>SARINANA, MARIA D</t>
  </si>
  <si>
    <t>FONG WONG, JOSE</t>
  </si>
  <si>
    <t>GAMBOA, HECTOR</t>
  </si>
  <si>
    <t>TORRES, MARK A</t>
  </si>
  <si>
    <t>KENNEDY, GARY S</t>
  </si>
  <si>
    <t>CHACON, RUTH</t>
  </si>
  <si>
    <t>KILBORN, STEPHEN A</t>
  </si>
  <si>
    <t>POYNOR, BOBBY G</t>
  </si>
  <si>
    <t>MONTES, EDMUNDO</t>
  </si>
  <si>
    <t>TELLEZ, JAIME E</t>
  </si>
  <si>
    <t>CAMACHO, TERESA M</t>
  </si>
  <si>
    <t>KATZ, SHEILA K</t>
  </si>
  <si>
    <t>MARTINEZ, ANDRES</t>
  </si>
  <si>
    <t>LOFTON, GERARD</t>
  </si>
  <si>
    <t>SHIELDS, CLIFFORD R</t>
  </si>
  <si>
    <t>BAEZA, LUIS</t>
  </si>
  <si>
    <t>MONTERO, MARCO</t>
  </si>
  <si>
    <t>ENRIQUEZ, CARLOS J</t>
  </si>
  <si>
    <t>ROMMELMANN, REINER</t>
  </si>
  <si>
    <t>GONZALEZ, SHELLY A</t>
  </si>
  <si>
    <t>THOMPSON, VERONICA</t>
  </si>
  <si>
    <t>GARZA, SUZZANE M</t>
  </si>
  <si>
    <t>MADRID, RICARDO</t>
  </si>
  <si>
    <t>ROSENTHAL, TEDD A</t>
  </si>
  <si>
    <t>HILL, MICHAEL</t>
  </si>
  <si>
    <t>LOPEZ, MIGUEL</t>
  </si>
  <si>
    <t>ARCE, JUAN D</t>
  </si>
  <si>
    <t>PADILLA, LISA A</t>
  </si>
  <si>
    <t>LOPEZ, JACQUELINE</t>
  </si>
  <si>
    <t>URISTA DE MADRID, SOLEDAD</t>
  </si>
  <si>
    <t>NUNEZ, MARY E</t>
  </si>
  <si>
    <t>SANCHEZ, GUSTAVO</t>
  </si>
  <si>
    <t>MCDANIEL, BETTY F</t>
  </si>
  <si>
    <t>COLLINS, BELINDA S</t>
  </si>
  <si>
    <t>WALLACE, CARLA J</t>
  </si>
  <si>
    <t>HOOVER, BARBARA C</t>
  </si>
  <si>
    <t>MILCHEN, DAVID</t>
  </si>
  <si>
    <t>MARTINEZ, DULCE R</t>
  </si>
  <si>
    <t>MENDOZA, SHAUNA H</t>
  </si>
  <si>
    <t>PACHECO, ANTONIO</t>
  </si>
  <si>
    <t>CARRILLO, MARIO A</t>
  </si>
  <si>
    <t>BROADDUS, JO LYNN</t>
  </si>
  <si>
    <t>MONTES, ROWENA R</t>
  </si>
  <si>
    <t>PATEL, HANSABEN B</t>
  </si>
  <si>
    <t>ALVARADO, ARTURO</t>
  </si>
  <si>
    <t>CORRAL, RAFAEL FRANCISCO</t>
  </si>
  <si>
    <t>KIBBLE, MARIA D</t>
  </si>
  <si>
    <t>RAMOS, NORMA</t>
  </si>
  <si>
    <t>RAEL, IRENE</t>
  </si>
  <si>
    <t>CAMPOS, JOSE ABRAHAM</t>
  </si>
  <si>
    <t>CASTILLO, SYLVIA L</t>
  </si>
  <si>
    <t>ESTRADA, ERIC A</t>
  </si>
  <si>
    <t>CHAVEZ, JESUS S</t>
  </si>
  <si>
    <t>HALFHILL, SUSANA</t>
  </si>
  <si>
    <t>FINE, CHARLES</t>
  </si>
  <si>
    <t>TORRES, JOEL</t>
  </si>
  <si>
    <t>TORRES, NICOLE</t>
  </si>
  <si>
    <t>TREVINO, ROBERT</t>
  </si>
  <si>
    <t>DOZIER, PAUL</t>
  </si>
  <si>
    <t>ROMIG, CHRISTY</t>
  </si>
  <si>
    <t>CASTANEDA DE OCHOA, NOHEMI</t>
  </si>
  <si>
    <t>NEVAREZ, ANA</t>
  </si>
  <si>
    <t>ROSALES, MARIA DE JESUS</t>
  </si>
  <si>
    <t>EPP, JOANNE L</t>
  </si>
  <si>
    <t>NUNEZ, BRYAN A</t>
  </si>
  <si>
    <t>ENRIQUEZ, JUAN RAMON</t>
  </si>
  <si>
    <t>HERNANDEZ, AMELIA</t>
  </si>
  <si>
    <t>PENDELTON, JOHN</t>
  </si>
  <si>
    <t>PARIENTE, EVELYN</t>
  </si>
  <si>
    <t>RAMIREZ, NOEL</t>
  </si>
  <si>
    <t>PEREZ OCHOA, ANTONIO</t>
  </si>
  <si>
    <t>PEREZ, ESMERALDA</t>
  </si>
  <si>
    <t>STERVIL, CLAUDIA</t>
  </si>
  <si>
    <t>DURAN DE AGUILAR, MARIA P</t>
  </si>
  <si>
    <t>DUNN, JOHN</t>
  </si>
  <si>
    <t>CAMPOS, ANA L</t>
  </si>
  <si>
    <t>PEREZ, ALICIA</t>
  </si>
  <si>
    <t>ROBLES, RITA</t>
  </si>
  <si>
    <t>DEEMS, RHIANNON</t>
  </si>
  <si>
    <t>GALLEGOS, NOEMI F</t>
  </si>
  <si>
    <t>MEFFORD, ROBERT M</t>
  </si>
  <si>
    <t>HERRERA, RAMON</t>
  </si>
  <si>
    <t>CARROLL, FERNANDO A</t>
  </si>
  <si>
    <t>LAIBINIS, DANIEL</t>
  </si>
  <si>
    <t>RAMIREZ, FELIPE D</t>
  </si>
  <si>
    <t>CONWAY, MARIA R</t>
  </si>
  <si>
    <t>GARCIA, FRANCISCA R</t>
  </si>
  <si>
    <t>HERNANDEZ, ARLENE</t>
  </si>
  <si>
    <t>AGUILAR, LORENZO</t>
  </si>
  <si>
    <t>RAMIREZ, GUADALUPE</t>
  </si>
  <si>
    <t>ARELLANO, CARLOS</t>
  </si>
  <si>
    <t>CONTRERAS, RUBY ESMERALDA</t>
  </si>
  <si>
    <t>SIMONDS, ROY L</t>
  </si>
  <si>
    <t>OSTROFF, STEVEN G</t>
  </si>
  <si>
    <t>LUJAN, GUSTAVO</t>
  </si>
  <si>
    <t>RANGEL, NICHOLAS CHRISTOPHER</t>
  </si>
  <si>
    <t>DE LA ROSA, IDA</t>
  </si>
  <si>
    <t>BEAN, MICAELA C</t>
  </si>
  <si>
    <t>MARTINEZ, DIONEL S</t>
  </si>
  <si>
    <t>QUINN, REBECCA E</t>
  </si>
  <si>
    <t>FLORES, MARIA P</t>
  </si>
  <si>
    <t>OSBORNE, JEROME P</t>
  </si>
  <si>
    <t>VAZQUEZ, GUADALUPE I</t>
  </si>
  <si>
    <t>OSTOLAZA, JAMES</t>
  </si>
  <si>
    <t>GUEVARA, MARIA ESTELA</t>
  </si>
  <si>
    <t>RAMIREZ, BRENDA D</t>
  </si>
  <si>
    <t>CASTILLO, MARIA G</t>
  </si>
  <si>
    <t>PEREZ, JORGE</t>
  </si>
  <si>
    <t>ROJAS, RENE</t>
  </si>
  <si>
    <t>JONES, MARY L</t>
  </si>
  <si>
    <t>ARIZPE, DANNY</t>
  </si>
  <si>
    <t>RIVERA, DENISE</t>
  </si>
  <si>
    <t>ANCHONDO, EDWARD A</t>
  </si>
  <si>
    <t>CALDERA, MARTHA</t>
  </si>
  <si>
    <t>VINCENT, JOHN D</t>
  </si>
  <si>
    <t>RODRIGUEZ, MARCELA</t>
  </si>
  <si>
    <t>LANDY, ANITA</t>
  </si>
  <si>
    <t>GARY, TINISHA B</t>
  </si>
  <si>
    <t>STEVENS, ERNESTINA A</t>
  </si>
  <si>
    <t>CELIS, ELISA G</t>
  </si>
  <si>
    <t>WALKER, GARLAND L</t>
  </si>
  <si>
    <t>PICCONE, MARIA D</t>
  </si>
  <si>
    <t>MARINELARENA, MATILDE OLIVIA</t>
  </si>
  <si>
    <t>RODRIGUEZ, MARY C</t>
  </si>
  <si>
    <t>MUHAMMAD, BILAL</t>
  </si>
  <si>
    <t>HERNANDEZ, GUADALUPE</t>
  </si>
  <si>
    <t>HERNANDEZ, RAMON</t>
  </si>
  <si>
    <t>PAIZ, HERMINIA</t>
  </si>
  <si>
    <t>CORRAL, FERNIE</t>
  </si>
  <si>
    <t>ZUNIGA, ROSAURA G</t>
  </si>
  <si>
    <t>LONGNECKER, PAMELA</t>
  </si>
  <si>
    <t>MARTINEZ, ELISA A</t>
  </si>
  <si>
    <t>FULTON, DARLENE</t>
  </si>
  <si>
    <t>GUERRA, LETICIA</t>
  </si>
  <si>
    <t>VARGAS, JUAN D</t>
  </si>
  <si>
    <t>FOSTER, CARLOS</t>
  </si>
  <si>
    <t>ROSALES MENDEZ, ZOILA S</t>
  </si>
  <si>
    <t>SANTILLANES, JOSEATANAC</t>
  </si>
  <si>
    <t>LARA, GUADALUPE</t>
  </si>
  <si>
    <t>PAZ, TERESA D</t>
  </si>
  <si>
    <t>MORALES, TONY</t>
  </si>
  <si>
    <t>ESPARZA, LISA M</t>
  </si>
  <si>
    <t>GREGORY, JAMIE N</t>
  </si>
  <si>
    <t>SAMANIEGO, VICTOR H</t>
  </si>
  <si>
    <t>VALLESPRIETO, MAYRA K</t>
  </si>
  <si>
    <t>URQUIDI, SUSANA</t>
  </si>
  <si>
    <t>SAVAGE, OMAR</t>
  </si>
  <si>
    <t>RASCON, OSVALDO</t>
  </si>
  <si>
    <t>TILLEY, ANGELA P</t>
  </si>
  <si>
    <t>ACOSTA, MARIO</t>
  </si>
  <si>
    <t>FORDE, LAWRENCE</t>
  </si>
  <si>
    <t>NEGRETE, MARTHA</t>
  </si>
  <si>
    <t>PEREZ, CORAL</t>
  </si>
  <si>
    <t>MENDEZ, ARTURO</t>
  </si>
  <si>
    <t>MIRANDA, RAQUEL</t>
  </si>
  <si>
    <t>MEDINA LANDEROS, LUIS</t>
  </si>
  <si>
    <t>REED, PATRICIA E</t>
  </si>
  <si>
    <t>GADSON, NED</t>
  </si>
  <si>
    <t>GOMEZ DE MARTINEZ, MARIA</t>
  </si>
  <si>
    <t>MADRID, AMPARO</t>
  </si>
  <si>
    <t>PARKS, SUSAN L</t>
  </si>
  <si>
    <t>ORONA, MARTHA</t>
  </si>
  <si>
    <t>NEVAREZ, MANUELA</t>
  </si>
  <si>
    <t>MENDOZA, PASCUAL</t>
  </si>
  <si>
    <t>CALLENDER, CLINTON C</t>
  </si>
  <si>
    <t>APODACA, WILHELMINA L</t>
  </si>
  <si>
    <t>GAINES, TRANAY E</t>
  </si>
  <si>
    <t>CRUZ, ROBERT L</t>
  </si>
  <si>
    <t>GUERRERO VALLES, MARIA L</t>
  </si>
  <si>
    <t>DUARTE RIVERA, ROCIO D</t>
  </si>
  <si>
    <t>FELICES, EUSTOLIA</t>
  </si>
  <si>
    <t>TORRES, ROSA</t>
  </si>
  <si>
    <t>LOPEZ, ENRIQUE R</t>
  </si>
  <si>
    <t>SANCHEZ, DINA</t>
  </si>
  <si>
    <t>SANCHEZ PARRILLA, JORGE L</t>
  </si>
  <si>
    <t>SANCHEZ, VICTORIA</t>
  </si>
  <si>
    <t>RAMIREZ, JENNIFER</t>
  </si>
  <si>
    <t>GRANADOS, IRENE</t>
  </si>
  <si>
    <t>DURAN III, GABRIEL</t>
  </si>
  <si>
    <t>PERRY, YOLANDA R</t>
  </si>
  <si>
    <t>ESQUIVEL, ARMANDO</t>
  </si>
  <si>
    <t>CONTRERAS, CECILIA</t>
  </si>
  <si>
    <t>LOYA, ALEJANDRA</t>
  </si>
  <si>
    <t>SERVIN, JESUS</t>
  </si>
  <si>
    <t>NAVARRO, DOLORES M</t>
  </si>
  <si>
    <t>HERNANDEZ, ASHLEY M</t>
  </si>
  <si>
    <t>RIOS, FERNANDO</t>
  </si>
  <si>
    <t>MCGEE, MICHAEL G</t>
  </si>
  <si>
    <t>CAMACHO, EDITH</t>
  </si>
  <si>
    <t>DOMINGUEZ, DELFINA C</t>
  </si>
  <si>
    <t>RAMIREZ, LILIANA</t>
  </si>
  <si>
    <t>GIVEN, BEVERLY H</t>
  </si>
  <si>
    <t>JURADO, JOSE M</t>
  </si>
  <si>
    <t>RUSSELL, SHARON L</t>
  </si>
  <si>
    <t>ESPARZA, JOSE</t>
  </si>
  <si>
    <t>MENDOZA, MELISSA S</t>
  </si>
  <si>
    <t>ADAME, JESSE</t>
  </si>
  <si>
    <t>PEREZ DE FUENTES, LUZ E</t>
  </si>
  <si>
    <t>CHAVEZ, ENRIQUE M</t>
  </si>
  <si>
    <t>BLANCO, GLORIA P</t>
  </si>
  <si>
    <t>GARCIA, DANNY</t>
  </si>
  <si>
    <t>FLORES, FRANK G</t>
  </si>
  <si>
    <t>VILLA, EDUARDO A</t>
  </si>
  <si>
    <t>BARRON, SANDRA</t>
  </si>
  <si>
    <t>CORTEZ, ISRAEL</t>
  </si>
  <si>
    <t>CASAS, MICHELLE</t>
  </si>
  <si>
    <t>LIRA, JOSE</t>
  </si>
  <si>
    <t>VALLES, GLORIA</t>
  </si>
  <si>
    <t>SOLIS, OSCAR</t>
  </si>
  <si>
    <t>HERNANDEZ DE CARMONA, MARIA G</t>
  </si>
  <si>
    <t>VERA, ANDREA</t>
  </si>
  <si>
    <t>CASTILLO, GABRIEL J</t>
  </si>
  <si>
    <t>RODRIGUEZ GANDARA, JOSE</t>
  </si>
  <si>
    <t>GUILLEN, ADA</t>
  </si>
  <si>
    <t>HERNANDEZ, NANCY</t>
  </si>
  <si>
    <t>CARRILLO, BLANCA E</t>
  </si>
  <si>
    <t>DELGADO, DEBORAH</t>
  </si>
  <si>
    <t>HILL, ANDRE D</t>
  </si>
  <si>
    <t>CANO, MARGARITA</t>
  </si>
  <si>
    <t>MONCADA, MARCIA</t>
  </si>
  <si>
    <t>GONZALES, OLAYA</t>
  </si>
  <si>
    <t>LOYA, ERIKA J</t>
  </si>
  <si>
    <t>MUNOZ, MARTIN</t>
  </si>
  <si>
    <t>GURROLA, JAIME</t>
  </si>
  <si>
    <t>GRIJALVA, LESLIE E</t>
  </si>
  <si>
    <t>BELMONTES, MARIA I</t>
  </si>
  <si>
    <t>ALMEIDA, CONCEPCION Y</t>
  </si>
  <si>
    <t>ROSARIOEREYES, PAMELA</t>
  </si>
  <si>
    <t>VILLANUEVA, KATHERINE M</t>
  </si>
  <si>
    <t>QUINTANILLA, JUAN</t>
  </si>
  <si>
    <t>MACIAS DE ZAMARRIPA, ANTONIA</t>
  </si>
  <si>
    <t>BRYAND OLGUIN, ELVIRA B</t>
  </si>
  <si>
    <t>MARTINEZ, CHRISTOPHER</t>
  </si>
  <si>
    <t>BRADSHER, JAMES R</t>
  </si>
  <si>
    <t>GALLARDO, JOSE</t>
  </si>
  <si>
    <t>HERNANDEZ, LUZ N</t>
  </si>
  <si>
    <t>JONES, DORA A</t>
  </si>
  <si>
    <t>PEREZ, GENOVEVA A</t>
  </si>
  <si>
    <t>WHEELER, MARIA</t>
  </si>
  <si>
    <t>MARQUEZ, ELIA R</t>
  </si>
  <si>
    <t>TORRES, JUAN</t>
  </si>
  <si>
    <t>BROWN, BRIAN D</t>
  </si>
  <si>
    <t>GUILLEN, SONIA P</t>
  </si>
  <si>
    <t>BASOCO, MARTHA B</t>
  </si>
  <si>
    <t>MARTINEZ, JUANA</t>
  </si>
  <si>
    <t>RODRIGUEZ, FRANCISCO</t>
  </si>
  <si>
    <t>SOLIS, ANTONIA</t>
  </si>
  <si>
    <t>SERRANO, LEONARDO</t>
  </si>
  <si>
    <t>RODRIGUEZ, ABBIE S</t>
  </si>
  <si>
    <t>DELGADO, IRMA</t>
  </si>
  <si>
    <t>LOFGREN, RICHARD N</t>
  </si>
  <si>
    <t>GOMEZ, MARDONIA</t>
  </si>
  <si>
    <t>DE PICHARDO, MARGARITA</t>
  </si>
  <si>
    <t>ROBERSON, ELBIA</t>
  </si>
  <si>
    <t>ALARCON, REBECA</t>
  </si>
  <si>
    <t>RUEDA, LEONARDO</t>
  </si>
  <si>
    <t>VAZQUEZ, JEANETTE</t>
  </si>
  <si>
    <t>ACOSTA, ROBERT</t>
  </si>
  <si>
    <t>ANDRADE, DAMIAN</t>
  </si>
  <si>
    <t>SMITH, JESSICA D</t>
  </si>
  <si>
    <t>OGLE, HAYRIYE</t>
  </si>
  <si>
    <t>CISZEK, CHLOE A</t>
  </si>
  <si>
    <t>ESCOBAR, FRANK A</t>
  </si>
  <si>
    <t>TRAINNOR, SHANNON</t>
  </si>
  <si>
    <t>BROCK, JEFFERY</t>
  </si>
  <si>
    <t>BARRAZA, VICTORIA</t>
  </si>
  <si>
    <t>SALAS, ELENA N</t>
  </si>
  <si>
    <t>KNUDSON, KENNETH W</t>
  </si>
  <si>
    <t>OCHOA, ENRIQUE</t>
  </si>
  <si>
    <t>ENGELDINGER, BARBARA J</t>
  </si>
  <si>
    <t>DIAZ, PATRICIA V</t>
  </si>
  <si>
    <t>VIDALEZ, FRANK</t>
  </si>
  <si>
    <t>CHACON DE PINON, MARIA D</t>
  </si>
  <si>
    <t>CORDOVA, NINFA</t>
  </si>
  <si>
    <t>HARPER, CHARLES S</t>
  </si>
  <si>
    <t>ARRIOLA, DAVID</t>
  </si>
  <si>
    <t>MARTINEZ, OSCAR A</t>
  </si>
  <si>
    <t>TAPIA, CARLOS R</t>
  </si>
  <si>
    <t>SONNIER, STACY C</t>
  </si>
  <si>
    <t>SANCHEZ, DELIA G</t>
  </si>
  <si>
    <t>MONROE, RITCHIE</t>
  </si>
  <si>
    <t>QUEZADA, ALMA</t>
  </si>
  <si>
    <t>DEL HIERRO, MARTHA E</t>
  </si>
  <si>
    <t>CASTILLO, ROSE M</t>
  </si>
  <si>
    <t>ZUBIA, CRUZ</t>
  </si>
  <si>
    <t>HERNANDEZ, ROSA M</t>
  </si>
  <si>
    <t>SCANK, LARRY L</t>
  </si>
  <si>
    <t>CORTEZ, CRESENCIO A</t>
  </si>
  <si>
    <t>ESTRADA, KARI E</t>
  </si>
  <si>
    <t>VALLES, SERGIO</t>
  </si>
  <si>
    <t>FLORES, JOSE R</t>
  </si>
  <si>
    <t>RADKE, KARL</t>
  </si>
  <si>
    <t>HARPER, CYNTHIA S</t>
  </si>
  <si>
    <t>MORENO, JUANA</t>
  </si>
  <si>
    <t>MONTALVO, ROSA M</t>
  </si>
  <si>
    <t>DURAN, RAMON</t>
  </si>
  <si>
    <t>OLIVAS, IVONNE J</t>
  </si>
  <si>
    <t>UKE, CHIBUIKE J</t>
  </si>
  <si>
    <t>CEBALLOS, MARIA</t>
  </si>
  <si>
    <t>PUCKETT, MARTHA P</t>
  </si>
  <si>
    <t>ROSAS, JONATHAN M</t>
  </si>
  <si>
    <t>RAMIREZ, FRANCISCO</t>
  </si>
  <si>
    <t>SAUCEDO, ABEL</t>
  </si>
  <si>
    <t>BORNEFELD, CHRISTINA M</t>
  </si>
  <si>
    <t>CHESAK, FRANCIS J</t>
  </si>
  <si>
    <t>OLIVARES, JORGE I</t>
  </si>
  <si>
    <t>DURAN, CHRISTINE N</t>
  </si>
  <si>
    <t>SANTILLAN, ROSA</t>
  </si>
  <si>
    <t>BUENDIA, LUIS R</t>
  </si>
  <si>
    <t>MANZANO, NICHOLAS A</t>
  </si>
  <si>
    <t>YANCEY, SETH A</t>
  </si>
  <si>
    <t>FARLEY, BYRON C</t>
  </si>
  <si>
    <t>ROBEY, EMMA</t>
  </si>
  <si>
    <t>TAVARES, BRANDON</t>
  </si>
  <si>
    <t>ALEGRE, MARTHA</t>
  </si>
  <si>
    <t>ARMENDARIZ, MARIA</t>
  </si>
  <si>
    <t>CONTRERAS, LORENZO</t>
  </si>
  <si>
    <t>SIFUENTES, HECTOR</t>
  </si>
  <si>
    <t>WEATHERLEY, FORREST C</t>
  </si>
  <si>
    <t>RODRIGUEZ, PRISCILLA</t>
  </si>
  <si>
    <t>BENDUSH, JEFFREY F</t>
  </si>
  <si>
    <t>HUIZAR, CARMEN S</t>
  </si>
  <si>
    <t>ROMEU, GREGORY A</t>
  </si>
  <si>
    <t>WITTER, GRACIELA</t>
  </si>
  <si>
    <t>DAMIANI, GIOVANNI</t>
  </si>
  <si>
    <t>AVALOS, VERONICA C</t>
  </si>
  <si>
    <t>FERNANDEZ, ANGELINA</t>
  </si>
  <si>
    <t>TENORIO, ALMA P</t>
  </si>
  <si>
    <t>CARROL, ARELIE</t>
  </si>
  <si>
    <t>MARTINEZ, JOSE</t>
  </si>
  <si>
    <t>GARCIA, LEONARDA</t>
  </si>
  <si>
    <t>SAENZ, ESTELA</t>
  </si>
  <si>
    <t>LEGRETE PEREZ, VICTORIA</t>
  </si>
  <si>
    <t>DAVIS, WILLIAM O</t>
  </si>
  <si>
    <t>SPILLER, HAL D</t>
  </si>
  <si>
    <t>ISLAS, ALVARO</t>
  </si>
  <si>
    <t>GONZALES, TERESA</t>
  </si>
  <si>
    <t>RODRIGUEZ, EMILIO</t>
  </si>
  <si>
    <t>ATKINS, CORBY</t>
  </si>
  <si>
    <t>SOLANO, MARIXA A</t>
  </si>
  <si>
    <t>NEVAREZ, IDALIA Y</t>
  </si>
  <si>
    <t>FERNANDEZ ORTEGA, HECTOR V</t>
  </si>
  <si>
    <t>SANCHEZ, ARMANDO</t>
  </si>
  <si>
    <t>SANCHEZ, GUADALUPE H</t>
  </si>
  <si>
    <t>TAYLOR, DANIEL</t>
  </si>
  <si>
    <t>ZARAGOZA, CHRISTOPHER</t>
  </si>
  <si>
    <t>PADAONG, ODILON A</t>
  </si>
  <si>
    <t>MORALES, PATRICIA M</t>
  </si>
  <si>
    <t>HERRERA, MARIA D</t>
  </si>
  <si>
    <t>THOMAS, BETTY J</t>
  </si>
  <si>
    <t>FUYIVARA, LETICIA</t>
  </si>
  <si>
    <t>RIOJAS, LUCY D</t>
  </si>
  <si>
    <t>RODRIGUEZ, RALPH</t>
  </si>
  <si>
    <t>DURAN, ROSINA E</t>
  </si>
  <si>
    <t>DIAZ, YARA C</t>
  </si>
  <si>
    <t>OROZCO RODRIGUEZ, JULIO C</t>
  </si>
  <si>
    <t>TELLEZ, JASON A</t>
  </si>
  <si>
    <t>AMOR, REYNALDO</t>
  </si>
  <si>
    <t>SANTIAGO, HENRY</t>
  </si>
  <si>
    <t>MUNOZ, LUIS M</t>
  </si>
  <si>
    <t>SIDA, JUNE A</t>
  </si>
  <si>
    <t>ENRIQUEZ, HERMELINDA</t>
  </si>
  <si>
    <t>DURON, ANNABEL</t>
  </si>
  <si>
    <t>VAQUERA, ROSA D</t>
  </si>
  <si>
    <t>SAAVEDRA, JACOB D</t>
  </si>
  <si>
    <t>NATIVIDAD, TOBY</t>
  </si>
  <si>
    <t>CANO CHIBLI, JENNY</t>
  </si>
  <si>
    <t>GALLENTINE, JUTTA J</t>
  </si>
  <si>
    <t>GALLARDO, LORRIE ANN</t>
  </si>
  <si>
    <t>MONAREZ, MARIA T</t>
  </si>
  <si>
    <t>MOORE, DEBORAH</t>
  </si>
  <si>
    <t>RIVERA BRIONES, BELINDA</t>
  </si>
  <si>
    <t>ROMERO, MARIA L</t>
  </si>
  <si>
    <t>ARAIZA, LINO</t>
  </si>
  <si>
    <t>DUBOWITZ, EDWARD B</t>
  </si>
  <si>
    <t>JENKINS, RICHARD A</t>
  </si>
  <si>
    <t>CARRILLO, NORMA</t>
  </si>
  <si>
    <t>DOWNEY, BRENDAN R</t>
  </si>
  <si>
    <t>KOLLMANSBERGER, KELSEA J</t>
  </si>
  <si>
    <t>THOMAS, BLANCA E</t>
  </si>
  <si>
    <t>SILVA- FRANCO, ALVARO</t>
  </si>
  <si>
    <t>VILLEGAS- PALOFOX, ISAIAS</t>
  </si>
  <si>
    <t>DOMINGUEZ, MARIA S</t>
  </si>
  <si>
    <t>WAGONER, BLANE</t>
  </si>
  <si>
    <t>RIVERA, FRANCISCO</t>
  </si>
  <si>
    <t>RODRIGUEZ, HECTOR J</t>
  </si>
  <si>
    <t>OCHOA DE PEREZ, IRMA</t>
  </si>
  <si>
    <t>MEDINA, FERNANDO P</t>
  </si>
  <si>
    <t>TORRES, JOANN A</t>
  </si>
  <si>
    <t>CRUZ, MARIA P</t>
  </si>
  <si>
    <t>PRIETO, MARIE B</t>
  </si>
  <si>
    <t>ORCI DE MURGA, JOSEFINA</t>
  </si>
  <si>
    <t>MEJIA, NANCY</t>
  </si>
  <si>
    <t>RUIZ, IDA</t>
  </si>
  <si>
    <t>SIMONDS, GUADALUPE</t>
  </si>
  <si>
    <t>RAMIREZ, GLORIA A</t>
  </si>
  <si>
    <t>ENCISO, HORTENSIA E</t>
  </si>
  <si>
    <t>CARRILLO, GENOVEVA</t>
  </si>
  <si>
    <t>MORA DE GUERRERO, LETICIA</t>
  </si>
  <si>
    <t>MUNIZ, MARIBEL</t>
  </si>
  <si>
    <t>HODGE, ESTHER</t>
  </si>
  <si>
    <t>KESSLER, MAGDALENA D</t>
  </si>
  <si>
    <t>WILDERMUTH, CORBIN R</t>
  </si>
  <si>
    <t>RODRIGUEZ, JESUS A</t>
  </si>
  <si>
    <t>CASTILLO, LETICIA</t>
  </si>
  <si>
    <t>REYES, ELIZABETH</t>
  </si>
  <si>
    <t>GALLEGOS, JOSEFINA</t>
  </si>
  <si>
    <t>TENORIO, MARTHA</t>
  </si>
  <si>
    <t>ORTIZ, VICTOR</t>
  </si>
  <si>
    <t>SOUTHERN, DEANNA</t>
  </si>
  <si>
    <t>QUIROZ, LUZ M</t>
  </si>
  <si>
    <t>MOLINAR, JOSE L</t>
  </si>
  <si>
    <t>AVILA, ANDRES P</t>
  </si>
  <si>
    <t>SPRUELL, LANELLE</t>
  </si>
  <si>
    <t>WINDSOR, JEANNE</t>
  </si>
  <si>
    <t>WILSON, TERESA</t>
  </si>
  <si>
    <t>MUNOZ, ERIKA</t>
  </si>
  <si>
    <t>VALLEJO, ARIEL R</t>
  </si>
  <si>
    <t>MORA, ERIKA J</t>
  </si>
  <si>
    <t>ESCOBEDO, SAMUEL R</t>
  </si>
  <si>
    <t>POWELL, EDWARD</t>
  </si>
  <si>
    <t>ESCOBEDO, ISELA F</t>
  </si>
  <si>
    <t>SERNA, ALAN M</t>
  </si>
  <si>
    <t>PINON, PRISCILLA R</t>
  </si>
  <si>
    <t>MORENO, ERNESTO</t>
  </si>
  <si>
    <t>BROOKS, RICHARD C</t>
  </si>
  <si>
    <t>ONATE, MARIA C</t>
  </si>
  <si>
    <t>MENDOZA, JOSE</t>
  </si>
  <si>
    <t>GREEN, JONATHAN J</t>
  </si>
  <si>
    <t>MCRAE, JOANN C</t>
  </si>
  <si>
    <t>ROMO, JOE D</t>
  </si>
  <si>
    <t>CASALETTO, KENNETH A</t>
  </si>
  <si>
    <t>VARELA, JAMES</t>
  </si>
  <si>
    <t>ANCHONDO, OSCAR R</t>
  </si>
  <si>
    <t>MARTINEZ, SERGIO</t>
  </si>
  <si>
    <t>ONEILL, ZACHARY T</t>
  </si>
  <si>
    <t>DEAR, MARCUS</t>
  </si>
  <si>
    <t>TURNER, HELEN L</t>
  </si>
  <si>
    <t>SCHOEMANN, ALFREDO</t>
  </si>
  <si>
    <t>BOURBON, DARLEEN</t>
  </si>
  <si>
    <t>HAHN, FREDERICK</t>
  </si>
  <si>
    <t>LARA, JOSE G</t>
  </si>
  <si>
    <t>WHITE, JENNICE L</t>
  </si>
  <si>
    <t>VEGA, RAMIRO</t>
  </si>
  <si>
    <t>RUANO, LILIANA E</t>
  </si>
  <si>
    <t>FRAIZIER, LUZ</t>
  </si>
  <si>
    <t>POINDEXTER, JANAY R</t>
  </si>
  <si>
    <t>CANO RUIZ, DAISY</t>
  </si>
  <si>
    <t>CABAZA, JOSHUA T</t>
  </si>
  <si>
    <t>RIVERA FERNANDEZ, LUIS A</t>
  </si>
  <si>
    <t>DELGADO, DIEGO</t>
  </si>
  <si>
    <t>DELGADO, ARMANDO</t>
  </si>
  <si>
    <t>DELGADO, MYRNA</t>
  </si>
  <si>
    <t>VILCHIS, MARIA E</t>
  </si>
  <si>
    <t>RIOS, OVED</t>
  </si>
  <si>
    <t>MEDINA PEREZ, MARGARITA</t>
  </si>
  <si>
    <t>RAMIREZ, FLORENTINO</t>
  </si>
  <si>
    <t>HERRERA, JENNIFER</t>
  </si>
  <si>
    <t>SANCHEZ, NATALIA G</t>
  </si>
  <si>
    <t>ORNELAS, RAMON B</t>
  </si>
  <si>
    <t>CASTRO, SYLVIA</t>
  </si>
  <si>
    <t>FALK, HUNTER G</t>
  </si>
  <si>
    <t>QUINTANA, CYNTHIA</t>
  </si>
  <si>
    <t>DURAN, MANUELA</t>
  </si>
  <si>
    <t>LIRA, RODOLFO</t>
  </si>
  <si>
    <t>FENTON, ALLISON M</t>
  </si>
  <si>
    <t>DIAZ, JUAN A</t>
  </si>
  <si>
    <t>ZACARIAS, IGNACIO</t>
  </si>
  <si>
    <t>MATA, RENE</t>
  </si>
  <si>
    <t>AMAYA, LUIS C</t>
  </si>
  <si>
    <t>ROCHA, DANIEL</t>
  </si>
  <si>
    <t>RAMIREZ, JOSE A</t>
  </si>
  <si>
    <t>ARMENDARIZ, MARTHA A</t>
  </si>
  <si>
    <t>OCHOA, PEDRO</t>
  </si>
  <si>
    <t>MCMAHEN, ANGIE</t>
  </si>
  <si>
    <t>ROJAS, FELICIANA</t>
  </si>
  <si>
    <t>DOZAL, ANTONIA C</t>
  </si>
  <si>
    <t>RODARTE, RODOLFO</t>
  </si>
  <si>
    <t>TERAN, ROBERT E</t>
  </si>
  <si>
    <t>VARELA, CARMEN</t>
  </si>
  <si>
    <t>SMITH, TERRY A</t>
  </si>
  <si>
    <t>ESPINOZA, MARIA L</t>
  </si>
  <si>
    <t>SOTELO, JESSICA</t>
  </si>
  <si>
    <t>DIETER, RICHARD C</t>
  </si>
  <si>
    <t>DILLEY, ERIC L</t>
  </si>
  <si>
    <t>CASTILLO, SOLEDAD</t>
  </si>
  <si>
    <t>LOPEZ, ERIC A</t>
  </si>
  <si>
    <t>MIRELES, SOLEDAD L</t>
  </si>
  <si>
    <t>SANCHEZ, RICHARD</t>
  </si>
  <si>
    <t>MCCAA, MICHAEL T</t>
  </si>
  <si>
    <t>CASILLAS, BENIGNO</t>
  </si>
  <si>
    <t>CAMARGO MEDINA, JOSE E</t>
  </si>
  <si>
    <t>HERNANDEZ, MARIA S</t>
  </si>
  <si>
    <t>HALL, LIAM A</t>
  </si>
  <si>
    <t>ALDERETE, STEPHANIE H</t>
  </si>
  <si>
    <t>HERNANDEZ, ELIZABETH</t>
  </si>
  <si>
    <t>CUELLAR, SUSAN E</t>
  </si>
  <si>
    <t>RUBIO, BERNABE</t>
  </si>
  <si>
    <t>ESPARZA, MARIE P</t>
  </si>
  <si>
    <t>MCGUINNESS, BRIAN</t>
  </si>
  <si>
    <t>CARDENAS, ASCENSION</t>
  </si>
  <si>
    <t>RODRIGUEZ, FRANCISCA</t>
  </si>
  <si>
    <t>DURYEE, ANTONIA M</t>
  </si>
  <si>
    <t>FAJARDO, DEBORAH A</t>
  </si>
  <si>
    <t>MORENO, JESUS</t>
  </si>
  <si>
    <t>PINEDA, MIGUEL A</t>
  </si>
  <si>
    <t>CANELO, CAITLIN M</t>
  </si>
  <si>
    <t>COLEMAN, LESSIE B</t>
  </si>
  <si>
    <t>COLARICH LENGHI, AMBRA</t>
  </si>
  <si>
    <t>DE LA CRUZ, FRANCIS G</t>
  </si>
  <si>
    <t>GUTIERREZ, VICTOR</t>
  </si>
  <si>
    <t>GOMEZ, BRIANA M</t>
  </si>
  <si>
    <t>ZENTZ, FREDERICK A</t>
  </si>
  <si>
    <t>AGUILAR, ANGEL M</t>
  </si>
  <si>
    <t>ORTIZ, ANA C</t>
  </si>
  <si>
    <t>LEGARRETTA, MARIA M</t>
  </si>
  <si>
    <t>GUTIERREZ, YVETTE</t>
  </si>
  <si>
    <t>CASTILLO, GUADALUPE</t>
  </si>
  <si>
    <t>CADENA, JESUS E</t>
  </si>
  <si>
    <t>NUNEZ, MARICELA</t>
  </si>
  <si>
    <t>KOONS, JUSTIN A</t>
  </si>
  <si>
    <t>REYES, CANDIDA L</t>
  </si>
  <si>
    <t>ESPINO, JAIME</t>
  </si>
  <si>
    <t>MEDINA, ALFONSO</t>
  </si>
  <si>
    <t>REZA SALAS, MARIA</t>
  </si>
  <si>
    <t>BROBERG, CHRISTINE</t>
  </si>
  <si>
    <t>STEWART, BRETT H</t>
  </si>
  <si>
    <t>CALDERA, ALEJANDRA</t>
  </si>
  <si>
    <t>ALVARADO, DORA I</t>
  </si>
  <si>
    <t>MILNER, AMANDA E</t>
  </si>
  <si>
    <t>MOLESWORTH, MORGAN L</t>
  </si>
  <si>
    <t>POTHUMANCHI, VIVEK</t>
  </si>
  <si>
    <t>HERRERA, FRANCISCO</t>
  </si>
  <si>
    <t>SILVA MARTINEZ, PEDRO</t>
  </si>
  <si>
    <t>CARDONA, JUAN</t>
  </si>
  <si>
    <t>MIJARES, MARIA</t>
  </si>
  <si>
    <t>SIMMONS, KASSONDRA R</t>
  </si>
  <si>
    <t>PEREZ, MARIA E</t>
  </si>
  <si>
    <t>MEZA, MANUEL</t>
  </si>
  <si>
    <t>CHAVEZ, GENARO</t>
  </si>
  <si>
    <t>SAENZ, ROSA M</t>
  </si>
  <si>
    <t>JACQUEZ, BENJAMIN M</t>
  </si>
  <si>
    <t>ADAME, SANDRA</t>
  </si>
  <si>
    <t>CENICEROS, REBECCA C</t>
  </si>
  <si>
    <t>GUERRERO, DIANA</t>
  </si>
  <si>
    <t>CHALMERS, KRISTY B</t>
  </si>
  <si>
    <t>SMITH, QUINN J</t>
  </si>
  <si>
    <t>FLORES, ANA</t>
  </si>
  <si>
    <t>AMADOR, JOSE R</t>
  </si>
  <si>
    <t>BLUM, ANGELEA D</t>
  </si>
  <si>
    <t>MOORE, DELMAR</t>
  </si>
  <si>
    <t>RIOS, LILIA R</t>
  </si>
  <si>
    <t>VILLEGAS, IMELDA</t>
  </si>
  <si>
    <t>BOOHER, BONNIE L</t>
  </si>
  <si>
    <t>OLIVER, TIFFANY G</t>
  </si>
  <si>
    <t>MONDRAGON, EFREN</t>
  </si>
  <si>
    <t>ROMERO, PATRICIA</t>
  </si>
  <si>
    <t>ANAYA, INOCENTE</t>
  </si>
  <si>
    <t>RAMOS, SUSANA</t>
  </si>
  <si>
    <t>ODRIOZOLA, ANGEL K</t>
  </si>
  <si>
    <t>CONTRERAS, MELANIE</t>
  </si>
  <si>
    <t>CAMARILLO, MARIA E</t>
  </si>
  <si>
    <t>CAMPOS, CARLOS</t>
  </si>
  <si>
    <t>MENDOZA, BELIA</t>
  </si>
  <si>
    <t>MATTHEWS, JOHNNY J</t>
  </si>
  <si>
    <t>ORONA, SERGIO</t>
  </si>
  <si>
    <t>BELL, MARGARITA</t>
  </si>
  <si>
    <t>HOWELL, LISA L</t>
  </si>
  <si>
    <t>RODRIGUEZ, LARRY M</t>
  </si>
  <si>
    <t>PONCE, MARIA ELENA</t>
  </si>
  <si>
    <t>BRANDON, MICHAEL</t>
  </si>
  <si>
    <t>ORTEGON, JACKIE T</t>
  </si>
  <si>
    <t>TEST, JANET V</t>
  </si>
  <si>
    <t>SCOTT, CLIFFORD</t>
  </si>
  <si>
    <t>IGUALA, ADAN</t>
  </si>
  <si>
    <t>CENA, SOLEDAD</t>
  </si>
  <si>
    <t>MAGDALENO RODRIGUEZ, ALFONSO</t>
  </si>
  <si>
    <t>HERRERA, CONCEPCION</t>
  </si>
  <si>
    <t>DAOUDI, MAY H</t>
  </si>
  <si>
    <t>ORTEGA, JOSE L</t>
  </si>
  <si>
    <t>PETERS, DAVID L</t>
  </si>
  <si>
    <t>BROOKS, KELLY</t>
  </si>
  <si>
    <t>ESCOBEDO, MANUEL E</t>
  </si>
  <si>
    <t>JOHNSON, JOE I</t>
  </si>
  <si>
    <t>URQUIZA, JESUS M</t>
  </si>
  <si>
    <t>MONTELONGO, CECILIA</t>
  </si>
  <si>
    <t>RODRIGUEZ, LAURA M</t>
  </si>
  <si>
    <t>MCRAE, JONATHAN S</t>
  </si>
  <si>
    <t>MENDOZA, VICTORIA B</t>
  </si>
  <si>
    <t>GURROLA, SELENA</t>
  </si>
  <si>
    <t>RAMIREZ, VENESSA</t>
  </si>
  <si>
    <t>CHRISTOPHERSON, MARY M</t>
  </si>
  <si>
    <t>CHAVEZ, ALMA R</t>
  </si>
  <si>
    <t>NUNEZ, ARTURO</t>
  </si>
  <si>
    <t>MOLINAR, JESUS</t>
  </si>
  <si>
    <t>MORALES, ELEUTERIA A</t>
  </si>
  <si>
    <t>MARQUEZ, VERONICA M</t>
  </si>
  <si>
    <t>CALDERON, EVA M</t>
  </si>
  <si>
    <t>SAENZ, CARMEN</t>
  </si>
  <si>
    <t>AGUILAR, VELIA L</t>
  </si>
  <si>
    <t>FERNANDEZ, RICARDO E. R</t>
  </si>
  <si>
    <t>CENICEROS, RAUL E</t>
  </si>
  <si>
    <t>MARTINEZ, PEDRO U</t>
  </si>
  <si>
    <t>FORRESTAL, DENNIS Q</t>
  </si>
  <si>
    <t>ERIVES, OSCAR</t>
  </si>
  <si>
    <t>MOORE, GARY E</t>
  </si>
  <si>
    <t>SAENZ, CHRIS</t>
  </si>
  <si>
    <t>MCDONALD, JOSE</t>
  </si>
  <si>
    <t>VIGIL, GRACIE</t>
  </si>
  <si>
    <t>JOHNSON, STEVEN T</t>
  </si>
  <si>
    <t>LEYVA, NAOMI</t>
  </si>
  <si>
    <t>MUNIZ, DONALD</t>
  </si>
  <si>
    <t>PASANEN, ELSA M</t>
  </si>
  <si>
    <t>GONZALEZ, LETICIA L</t>
  </si>
  <si>
    <t>LUJAN, ELPIDIA</t>
  </si>
  <si>
    <t>MURGA, JESUS A</t>
  </si>
  <si>
    <t>ALVARADO, JACQUELINE</t>
  </si>
  <si>
    <t>OCHOA, SAVANNAH</t>
  </si>
  <si>
    <t>CHAVEZ, MARGARITA</t>
  </si>
  <si>
    <t>CLAIBORNE, SANDRA</t>
  </si>
  <si>
    <t>WARREN, MELISSA D</t>
  </si>
  <si>
    <t>CABRAL, ALMA</t>
  </si>
  <si>
    <t>GARCIA, CATALINA</t>
  </si>
  <si>
    <t>LOPEZ, ALICIA P</t>
  </si>
  <si>
    <t>RUIZ PEREZ, MARIA I</t>
  </si>
  <si>
    <t>HERNANDEZ, MARTHA C</t>
  </si>
  <si>
    <t>CASSELLS, MARIA Q</t>
  </si>
  <si>
    <t>DUNCAN, ROBERT K</t>
  </si>
  <si>
    <t>GONZALEZ, ASHLEY</t>
  </si>
  <si>
    <t>PETERSEN, SUSANA</t>
  </si>
  <si>
    <t>GONZALEZ, ADRIAN J</t>
  </si>
  <si>
    <t>SANCHEZ, MARIA C</t>
  </si>
  <si>
    <t>ONATE, GENOVEVA S</t>
  </si>
  <si>
    <t>ARMENDARIZ, BLANCA A</t>
  </si>
  <si>
    <t>SULIVERES, ANGEL L</t>
  </si>
  <si>
    <t>MCLELLAN, ENEDINA</t>
  </si>
  <si>
    <t>HISA, MICHELE</t>
  </si>
  <si>
    <t>CORRAL, RUBEN</t>
  </si>
  <si>
    <t>NORMAN, JESSICA</t>
  </si>
  <si>
    <t>OLMOS, HUGO</t>
  </si>
  <si>
    <t>LOPEZ DE CAMARILLO, GUADALUPE</t>
  </si>
  <si>
    <t>MAGDALENO ALVAREZ, FRANCISCO</t>
  </si>
  <si>
    <t>SANTIESTEBAN, CLAUDIA</t>
  </si>
  <si>
    <t>BARRERA, ROEL</t>
  </si>
  <si>
    <t>PATTERSON, EVA</t>
  </si>
  <si>
    <t>FLORES, CHRISTOPHER R</t>
  </si>
  <si>
    <t>GALLARDO, MARIA DE JESUS</t>
  </si>
  <si>
    <t>GARCIA, SERENITY S</t>
  </si>
  <si>
    <t>BENAVIDES, MANUEL A</t>
  </si>
  <si>
    <t>BURCIAGA, FRANCISCA E</t>
  </si>
  <si>
    <t>LOPEZ, MARIA S</t>
  </si>
  <si>
    <t>CERVERA, DAVID R</t>
  </si>
  <si>
    <t>PORTILLO, REFUGIO M</t>
  </si>
  <si>
    <t>BARRAZA, DAVID</t>
  </si>
  <si>
    <t>PEREZ, ENRIQUE M</t>
  </si>
  <si>
    <t>MOLITOR, RANCE</t>
  </si>
  <si>
    <t>RODRIGUEZ, MARIA T</t>
  </si>
  <si>
    <t>RUIZ, IVAN</t>
  </si>
  <si>
    <t>ALVARADO, KRYSTAL H</t>
  </si>
  <si>
    <t>GUADIAN, VERONICA</t>
  </si>
  <si>
    <t>VALTIERRA, JOEL J</t>
  </si>
  <si>
    <t>LOZADA, EVANGELINA</t>
  </si>
  <si>
    <t>PALOMO, VENESSA L</t>
  </si>
  <si>
    <t>CARRILLO, MARIA B</t>
  </si>
  <si>
    <t>ARAIZA, GUADALUPE</t>
  </si>
  <si>
    <t>JUAREZ, ARMANDO M</t>
  </si>
  <si>
    <t>TORRES, VICTOR M</t>
  </si>
  <si>
    <t>MENDIOLA, JOSE G</t>
  </si>
  <si>
    <t>MENDIOLA, GENOVEVA</t>
  </si>
  <si>
    <t>DUENAS, LILIA</t>
  </si>
  <si>
    <t>BERMUDEZ, LORETO</t>
  </si>
  <si>
    <t>HENNES, RONALD K</t>
  </si>
  <si>
    <t>CASTREJON, HERLINDA R</t>
  </si>
  <si>
    <t>CARDIEL, CECILIA Z</t>
  </si>
  <si>
    <t>CADENA, SAUL R</t>
  </si>
  <si>
    <t>WHITAKER, GUADALUPE</t>
  </si>
  <si>
    <t>GRISANTI, ROGELIO</t>
  </si>
  <si>
    <t>OSTOS, JOSUE</t>
  </si>
  <si>
    <t>DOTTER, JENNIFER R</t>
  </si>
  <si>
    <t>RUIZ, JOSE A</t>
  </si>
  <si>
    <t>RODRIGUEZ, OLIVIA</t>
  </si>
  <si>
    <t>MUNIZ, ISRAEL</t>
  </si>
  <si>
    <t>BAUER, DEBORAH L</t>
  </si>
  <si>
    <t>GARNER-BECKNELL, HEATHER A</t>
  </si>
  <si>
    <t>STRINGFIELD, DAVID A</t>
  </si>
  <si>
    <t>OCHOA, ANTONIA</t>
  </si>
  <si>
    <t>GARDEA, ROSA M</t>
  </si>
  <si>
    <t>GARCIA, BRENDA S</t>
  </si>
  <si>
    <t>RIVERA, ROBERT</t>
  </si>
  <si>
    <t>GUZMAN, ABRAHAM D</t>
  </si>
  <si>
    <t>SANCHEZ, MELISSA B</t>
  </si>
  <si>
    <t>RIVERA, ADELA</t>
  </si>
  <si>
    <t>OCHOA-MIRANDA, BENITA</t>
  </si>
  <si>
    <t>RAMIREZ, LINDA P</t>
  </si>
  <si>
    <t>DAVIS, MARIEL Q</t>
  </si>
  <si>
    <t>ROSS, EVELYN L</t>
  </si>
  <si>
    <t>ROSALES, MARISELA</t>
  </si>
  <si>
    <t>MCALEER, KAREN</t>
  </si>
  <si>
    <t>DEL VALLE, ISELA</t>
  </si>
  <si>
    <t>ALBISUREZ, EDGAR G</t>
  </si>
  <si>
    <t>SARRELS, THADD</t>
  </si>
  <si>
    <t>RAMIREZ, LINDA S</t>
  </si>
  <si>
    <t>HERNANDEZ, PAMELA</t>
  </si>
  <si>
    <t>PORTILLO, CARLOS</t>
  </si>
  <si>
    <t>VENTURA, JAVIER</t>
  </si>
  <si>
    <t>BRYNER, CASSANDRA</t>
  </si>
  <si>
    <t>PRYEAR, DANIEL</t>
  </si>
  <si>
    <t>VILLALBA, VANESSA</t>
  </si>
  <si>
    <t>ORTIZ, JOSE</t>
  </si>
  <si>
    <t>FAVELA, ALEJANDRO</t>
  </si>
  <si>
    <t>MARQUEZ, ESMERALDA</t>
  </si>
  <si>
    <t>PEREZ, MIGUEL ANGEL</t>
  </si>
  <si>
    <t>BERMUDEZ, ISAAC</t>
  </si>
  <si>
    <t>ALVAREZ, MICHEL</t>
  </si>
  <si>
    <t>ROCHA, JOSE</t>
  </si>
  <si>
    <t>MORENO, RUBEN A</t>
  </si>
  <si>
    <t>PINAL, DEBRA A</t>
  </si>
  <si>
    <t>ROJAS, STEPHANIE</t>
  </si>
  <si>
    <t>HOGANSON, JERRY</t>
  </si>
  <si>
    <t>ZUNIGA DE ESTRADA, LORENA</t>
  </si>
  <si>
    <t>VASQUEZ, JACOB J</t>
  </si>
  <si>
    <t>RUTLEDGE, KAY C</t>
  </si>
  <si>
    <t>DOMINGUEZ, OSCAR A</t>
  </si>
  <si>
    <t>HERNANDEZ, MARIA</t>
  </si>
  <si>
    <t>CARRASCO, CAROLINA D</t>
  </si>
  <si>
    <t>HOWARD, THELMA E</t>
  </si>
  <si>
    <t>STOUT, JUDITH K</t>
  </si>
  <si>
    <t>SANCHEZ, JIMMY</t>
  </si>
  <si>
    <t>ELICERIO ROBLES, EMILIANO</t>
  </si>
  <si>
    <t>GUTIERREZ, ALYSSA</t>
  </si>
  <si>
    <t>MENDOZA, MANUEL</t>
  </si>
  <si>
    <t>CARRILLO, LILIANA</t>
  </si>
  <si>
    <t>BECERRA, JAVIER</t>
  </si>
  <si>
    <t>CONTRERAS, LEANNA</t>
  </si>
  <si>
    <t>CHESAK, MICHAEL F</t>
  </si>
  <si>
    <t>RUIZ, ELIZABETH</t>
  </si>
  <si>
    <t>LEYVA, YARAGISEL</t>
  </si>
  <si>
    <t>BARAJAS, MELISSA M</t>
  </si>
  <si>
    <t>SALINAS, BELIA</t>
  </si>
  <si>
    <t>MARTIN DEL CAMPO, LILIANA</t>
  </si>
  <si>
    <t>NOAH, CAROLYN S</t>
  </si>
  <si>
    <t>GORDON, TRACY</t>
  </si>
  <si>
    <t>CASTORENA, MARTHA</t>
  </si>
  <si>
    <t>HERNANDEZ MARQUEZ, VICTOR H</t>
  </si>
  <si>
    <t>DARANCOU, YVONNE</t>
  </si>
  <si>
    <t>KOPECKY, TED F</t>
  </si>
  <si>
    <t>DE LEON, MARIA C</t>
  </si>
  <si>
    <t>ZAMORA, FRANCES</t>
  </si>
  <si>
    <t>DAVILA, ELSA</t>
  </si>
  <si>
    <t>DAVILA, CHRISTIAN</t>
  </si>
  <si>
    <t>MORALES, DELIA</t>
  </si>
  <si>
    <t>WILSON, DONNA K</t>
  </si>
  <si>
    <t>LEYVA, ANDREW R</t>
  </si>
  <si>
    <t>GUTIERREZ, MARISSA J</t>
  </si>
  <si>
    <t>LORA, JENNIE</t>
  </si>
  <si>
    <t>RUBIO, ESTANISLADO</t>
  </si>
  <si>
    <t>VASQUEZ, HECTOR</t>
  </si>
  <si>
    <t>MARQUEZ, MARIA G</t>
  </si>
  <si>
    <t>DOMINGUEZ, JULIE N</t>
  </si>
  <si>
    <t>BUCK, JIMMY D</t>
  </si>
  <si>
    <t>LOPEZ, GUADALUPE</t>
  </si>
  <si>
    <t>CHOZA, REBECA H</t>
  </si>
  <si>
    <t>LOPEZ, JUANA L</t>
  </si>
  <si>
    <t>BEASLE, NICHOLAS R</t>
  </si>
  <si>
    <t>CRUZ, BLANCA</t>
  </si>
  <si>
    <t>UBANYIONWU, GODWIN I</t>
  </si>
  <si>
    <t>GUEVARA, RAUL E</t>
  </si>
  <si>
    <t>ROBLES, RENE</t>
  </si>
  <si>
    <t>CAMPOS, MIRIAM</t>
  </si>
  <si>
    <t>ORTIZ, CYNTHIA R</t>
  </si>
  <si>
    <t>MORENO, EDUARDO R</t>
  </si>
  <si>
    <t>ROSALES DE RAMIREZ, MARIA</t>
  </si>
  <si>
    <t>BROWN, SHAWN R</t>
  </si>
  <si>
    <t>HANNAH, OFELIA O</t>
  </si>
  <si>
    <t>MEDINA, JUDITH</t>
  </si>
  <si>
    <t>HOPPER, JOSHUA D</t>
  </si>
  <si>
    <t>DELGADO, FRANCISCO</t>
  </si>
  <si>
    <t>CASTILLO, RAFAEL</t>
  </si>
  <si>
    <t>CHAVEZ, NORMA</t>
  </si>
  <si>
    <t>CAMARGO, LUZ E</t>
  </si>
  <si>
    <t>NUNEZ, ANGELITA</t>
  </si>
  <si>
    <t>AMAYA, GONZALO</t>
  </si>
  <si>
    <t>ADAMS, IAN L</t>
  </si>
  <si>
    <t>ALCANTAR, MICHAEL</t>
  </si>
  <si>
    <t>BLACK, BARBARA J</t>
  </si>
  <si>
    <t>DEEN, MOHAMED</t>
  </si>
  <si>
    <t>GUTIERREZ, GABRIELA</t>
  </si>
  <si>
    <t>SALGADO, FELIPE G</t>
  </si>
  <si>
    <t>URIAS, MAURILIO</t>
  </si>
  <si>
    <t>VILLALOBOS, MARY M</t>
  </si>
  <si>
    <t>CAMPBELL, ALESHA</t>
  </si>
  <si>
    <t>FALCON, YOLANDA</t>
  </si>
  <si>
    <t>MCWILLIAMS, DETONI A</t>
  </si>
  <si>
    <t>CLARK, PATRICK T</t>
  </si>
  <si>
    <t>AGUIRRE, LUIS</t>
  </si>
  <si>
    <t>ORTIZ, GERMAN</t>
  </si>
  <si>
    <t>WILSON, JEAN A</t>
  </si>
  <si>
    <t>SAUCEDO, ADRIANA</t>
  </si>
  <si>
    <t>MARSH, LINDA</t>
  </si>
  <si>
    <t>DELGADILLO, CATHY</t>
  </si>
  <si>
    <t>TOLDT, ARNOLD G</t>
  </si>
  <si>
    <t>MARTELL, SAUL L</t>
  </si>
  <si>
    <t>SALGADO, ALBERT</t>
  </si>
  <si>
    <t>ROLAND, HEATHER M</t>
  </si>
  <si>
    <t>FRAHN, CRAIG A</t>
  </si>
  <si>
    <t>JARAMILLO, GUADALUPE M</t>
  </si>
  <si>
    <t>MONTES, DAVID</t>
  </si>
  <si>
    <t>PEPI, OLGA</t>
  </si>
  <si>
    <t>MORALES, FRANCISCO</t>
  </si>
  <si>
    <t>RUIZ, MARIA</t>
  </si>
  <si>
    <t>DIAZ, PEDRO</t>
  </si>
  <si>
    <t>BUCHER, JACQUELINE</t>
  </si>
  <si>
    <t>TELLEZ, SAMUEL</t>
  </si>
  <si>
    <t>ROSAS, JESUS R</t>
  </si>
  <si>
    <t>SEPULVEDA, ROGELIO</t>
  </si>
  <si>
    <t>PAZ, ELVA</t>
  </si>
  <si>
    <t>CONANT, ANDREA L</t>
  </si>
  <si>
    <t>MUNOZ, PRISCILLA</t>
  </si>
  <si>
    <t>MAXWELL, IGANTIUS</t>
  </si>
  <si>
    <t>SANTANA VILLAR, GUADALUPE</t>
  </si>
  <si>
    <t>RINGGOLD, REGINALD</t>
  </si>
  <si>
    <t>BONNER, KRESHA L</t>
  </si>
  <si>
    <t>ADAME, RICARDO</t>
  </si>
  <si>
    <t>ADAME, RAUL</t>
  </si>
  <si>
    <t>POLK, COLLIE J</t>
  </si>
  <si>
    <t>JUAREZ, LUCY</t>
  </si>
  <si>
    <t>VELEZ, JULIO E</t>
  </si>
  <si>
    <t>GRIFFIN, KYMY</t>
  </si>
  <si>
    <t>MCCOY, WILLIAM J</t>
  </si>
  <si>
    <t>FREDERICK, JONATHAN</t>
  </si>
  <si>
    <t>ESPINOZA, MARIA</t>
  </si>
  <si>
    <t>BARBOZA, EMILIO</t>
  </si>
  <si>
    <t>JACKSON, JOHN T</t>
  </si>
  <si>
    <t>GALINDO, HERMILA</t>
  </si>
  <si>
    <t>BERRIOS, ENRIQUE C</t>
  </si>
  <si>
    <t>RODRIGUEZ, DANIEL</t>
  </si>
  <si>
    <t>JIMENEZ, ORLANDO</t>
  </si>
  <si>
    <t>MCKINNEY, MARIA M</t>
  </si>
  <si>
    <t>MORALES, SYLVIA I</t>
  </si>
  <si>
    <t>MARTINEZ, ALFONSO</t>
  </si>
  <si>
    <t>CHAVEZ, LUZ E</t>
  </si>
  <si>
    <t>HOLGUIN, CRISTAL A</t>
  </si>
  <si>
    <t>TANNER, BARBARA A</t>
  </si>
  <si>
    <t>ENRIQUEZ GALLARDO, OCTAVIO</t>
  </si>
  <si>
    <t>COREANO CRESPO, JORGE L</t>
  </si>
  <si>
    <t>RODRIGUEZ, ANA M</t>
  </si>
  <si>
    <t>CHAVEZ, JAIME</t>
  </si>
  <si>
    <t>LOPEZ, LORETO</t>
  </si>
  <si>
    <t>SALCIDO, GLORIA</t>
  </si>
  <si>
    <t>LOPEZ, ANTONIO</t>
  </si>
  <si>
    <t>BACHERT, JACOB R</t>
  </si>
  <si>
    <t>STEPHENS, NATHANIEL J</t>
  </si>
  <si>
    <t>MOLINA, MARGARITA</t>
  </si>
  <si>
    <t>THORNTON, MERTEEN S</t>
  </si>
  <si>
    <t>THOMAS, JOHN</t>
  </si>
  <si>
    <t>REYNOLDS, NELLIE</t>
  </si>
  <si>
    <t>PAISLEY, VICTORIA L</t>
  </si>
  <si>
    <t>SANCHEZ, RUBEN J</t>
  </si>
  <si>
    <t>CASTRO, DELIA</t>
  </si>
  <si>
    <t>ORTIZ, ENRIQUE M</t>
  </si>
  <si>
    <t>PEREZ, CHRISTINA</t>
  </si>
  <si>
    <t>HARTSON, ELIZABETH</t>
  </si>
  <si>
    <t>GARZA PENA, JOHN E</t>
  </si>
  <si>
    <t>MORGA, ELVA L</t>
  </si>
  <si>
    <t>LIEFELD, ROBERT</t>
  </si>
  <si>
    <t>ISLAO, SONIA</t>
  </si>
  <si>
    <t>ANGUIANO, SERGIO</t>
  </si>
  <si>
    <t>MUCINO, VIRGINA</t>
  </si>
  <si>
    <t>CANO, SOCORRO R</t>
  </si>
  <si>
    <t>WHITE, STEPHANIE</t>
  </si>
  <si>
    <t>BLAMO, MCDONALD</t>
  </si>
  <si>
    <t>ADAMS, VICKI</t>
  </si>
  <si>
    <t>RIVERA, ELIZABETH</t>
  </si>
  <si>
    <t>DAVILA, TERRY</t>
  </si>
  <si>
    <t>OLIVA, RAYMUNDO</t>
  </si>
  <si>
    <t>OBERGH, CARMEN Y</t>
  </si>
  <si>
    <t>PEREZ, JORGE A</t>
  </si>
  <si>
    <t>LUJAN, JOSE M</t>
  </si>
  <si>
    <t>TOLMAN, JENNIE L</t>
  </si>
  <si>
    <t>LANDA, MAGDALENA</t>
  </si>
  <si>
    <t>LUCERO, MARIA A</t>
  </si>
  <si>
    <t>GOLD, TREVOR</t>
  </si>
  <si>
    <t>RAMIREZ, JOSEFINA</t>
  </si>
  <si>
    <t>MARTINEZ, ARTURO</t>
  </si>
  <si>
    <t>QUINN, GREGORY D</t>
  </si>
  <si>
    <t>GARCIA, IRMA</t>
  </si>
  <si>
    <t>SUITONU, PETER S</t>
  </si>
  <si>
    <t>BORUNDA, FAITH</t>
  </si>
  <si>
    <t>BLACKBURN, CAMIL</t>
  </si>
  <si>
    <t>BARRAZA, SUSANA</t>
  </si>
  <si>
    <t>SANCHEZ, JULIE</t>
  </si>
  <si>
    <t>TORRES, OSCAR</t>
  </si>
  <si>
    <t>FERNANDEZ, JOE PATRICK S</t>
  </si>
  <si>
    <t>JURADO, JAQUELINE J</t>
  </si>
  <si>
    <t>ROJAS, LUCY J</t>
  </si>
  <si>
    <t>HERNANDEZ, JANET V</t>
  </si>
  <si>
    <t>NGUYEN, BINH N</t>
  </si>
  <si>
    <t>SALAS, EDWARDO</t>
  </si>
  <si>
    <t>RODRIGUEZ, MICAELA R</t>
  </si>
  <si>
    <t>VALENZUELA, JOHN</t>
  </si>
  <si>
    <t>ABRAZADO, DUSTIN P</t>
  </si>
  <si>
    <t>HUTTERER, RICARDO</t>
  </si>
  <si>
    <t>CRISPIN-SALAZAR, NOEMI</t>
  </si>
  <si>
    <t>CAMARGO, JOSE A</t>
  </si>
  <si>
    <t>ZAMORA, YOLANDA R</t>
  </si>
  <si>
    <t>GANDARA, OSCAR</t>
  </si>
  <si>
    <t>CUSHION, JASON</t>
  </si>
  <si>
    <t>RUDD, DALE A</t>
  </si>
  <si>
    <t>VAZQUEZ, HECTOR</t>
  </si>
  <si>
    <t>RAMOS, VANESSA B</t>
  </si>
  <si>
    <t>JOHNSON, WINFRED L</t>
  </si>
  <si>
    <t>CAMPOS, RAUL</t>
  </si>
  <si>
    <t>FAVELA, AURORA</t>
  </si>
  <si>
    <t>GILMORE, DANIEL A</t>
  </si>
  <si>
    <t>GOMEZ, BRENDA E</t>
  </si>
  <si>
    <t>GOULD, PAMELA L</t>
  </si>
  <si>
    <t>GUERRERO, ENRIQUE</t>
  </si>
  <si>
    <t>GONZALES TELLES, RAQUEL</t>
  </si>
  <si>
    <t>SMITH, LAUREN M</t>
  </si>
  <si>
    <t>RIVERA, LORENZA</t>
  </si>
  <si>
    <t>ALMEIDA, ELVIA L</t>
  </si>
  <si>
    <t>MASON, JERON T</t>
  </si>
  <si>
    <t>PARKS, ALLOWYN Y</t>
  </si>
  <si>
    <t>CREWS, WILLIAM R</t>
  </si>
  <si>
    <t>SEPULVEDA, FREDDY</t>
  </si>
  <si>
    <t>TORRES, EDUARDO I</t>
  </si>
  <si>
    <t>WATTS, GEORGE A</t>
  </si>
  <si>
    <t>NORTON, TAMMY W</t>
  </si>
  <si>
    <t>ROJO, MARIA</t>
  </si>
  <si>
    <t>HUGES, TARA</t>
  </si>
  <si>
    <t>RODRIGUEZ, MARIA D</t>
  </si>
  <si>
    <t>GOLSON, AARON S</t>
  </si>
  <si>
    <t>SANCHEZ, VANESSA</t>
  </si>
  <si>
    <t>GOMEZ HERNANDEZ, JOSEFINA</t>
  </si>
  <si>
    <t>SOSA, RAUL</t>
  </si>
  <si>
    <t>ESPINOZA, MARIA M</t>
  </si>
  <si>
    <t>GOMEZ, OSCAR O</t>
  </si>
  <si>
    <t>VOID, RAVEN E</t>
  </si>
  <si>
    <t>SHIELDS, AMANDA R</t>
  </si>
  <si>
    <t>LOPEZ, MARIA DE JESUS</t>
  </si>
  <si>
    <t>JAYME, RAFAELA</t>
  </si>
  <si>
    <t>CARRILLO, CARLOS</t>
  </si>
  <si>
    <t>RAMIREZ, JULIAN</t>
  </si>
  <si>
    <t>NAVARRETE, ALDO</t>
  </si>
  <si>
    <t>PHAM, NGOC L</t>
  </si>
  <si>
    <t>ARELLANO, AMALIA</t>
  </si>
  <si>
    <t>ROBERTS, WILLIAM J</t>
  </si>
  <si>
    <t>VEGA, LUIS A</t>
  </si>
  <si>
    <t>ANAYA, MAXIMO</t>
  </si>
  <si>
    <t>ROSE, AKINO</t>
  </si>
  <si>
    <t>VILLANUEVA, NELSON N</t>
  </si>
  <si>
    <t>RODRIGUEZ, EMILIANO</t>
  </si>
  <si>
    <t>CASTANEDA, YOLANDA</t>
  </si>
  <si>
    <t>CLOUD, RALPH T</t>
  </si>
  <si>
    <t>OLIVAS, GREGORIO</t>
  </si>
  <si>
    <t>GONZALEZ, YOLANDA</t>
  </si>
  <si>
    <t>SKWERES, THOMAS J</t>
  </si>
  <si>
    <t>MCLAUGHLIN, JOHN A</t>
  </si>
  <si>
    <t>PENALOCA, CAROLINA</t>
  </si>
  <si>
    <t>FLORES, MARTINA</t>
  </si>
  <si>
    <t>RIVAS, CAROLINA</t>
  </si>
  <si>
    <t>MEDRANO, FRANCISCA P</t>
  </si>
  <si>
    <t>CERNA, CARMEN</t>
  </si>
  <si>
    <t>CHACON, SOLEDAD A</t>
  </si>
  <si>
    <t>PEREZ, CARMEN B</t>
  </si>
  <si>
    <t>CARBAJAL DE ARROYO, ROSALINDA</t>
  </si>
  <si>
    <t>MARTINEZ, ROSA E</t>
  </si>
  <si>
    <t>RODRIGUEZ, PAUL</t>
  </si>
  <si>
    <t>ERALES, MARGARITA</t>
  </si>
  <si>
    <t>ROJAS, MARIA</t>
  </si>
  <si>
    <t>DILL, MARIA D</t>
  </si>
  <si>
    <t>HERRON, HOPE R</t>
  </si>
  <si>
    <t>SOTO DE HERNANDEZ, MARIA I</t>
  </si>
  <si>
    <t>RODRIGUEZ, ROBERTO C</t>
  </si>
  <si>
    <t>GONZALEZ, RUTH</t>
  </si>
  <si>
    <t>VASQUEZ, JOSEFINA</t>
  </si>
  <si>
    <t>ANDRADE, JOSE L</t>
  </si>
  <si>
    <t>ORTIZ, MARK</t>
  </si>
  <si>
    <t>TORRES, BEATRICE G</t>
  </si>
  <si>
    <t>BROWN, ALTHEA I</t>
  </si>
  <si>
    <t>SCHICK, DEBORAH M</t>
  </si>
  <si>
    <t>PIPPEN, JEANNIE J</t>
  </si>
  <si>
    <t>WHITEHEAD, MONICA K</t>
  </si>
  <si>
    <t>IBARRA, AMADO</t>
  </si>
  <si>
    <t>SOLEDAD, HARTELOH</t>
  </si>
  <si>
    <t>ESCUDERO, GUADALUPE</t>
  </si>
  <si>
    <t>URRUTIA, ALEJANDRO</t>
  </si>
  <si>
    <t>FLORES, LYDIA</t>
  </si>
  <si>
    <t>CALDERA, GEMA</t>
  </si>
  <si>
    <t>DAVIS, ARTHUR</t>
  </si>
  <si>
    <t>HAMPTON, RONALD</t>
  </si>
  <si>
    <t>MARQUEZ, RAMONA</t>
  </si>
  <si>
    <t>HERNANDEZ, ROBIN A</t>
  </si>
  <si>
    <t>MEDINA, MANUELA U</t>
  </si>
  <si>
    <t>BETHEA, KAMALA K</t>
  </si>
  <si>
    <t>VILLAZANA, RAMON J</t>
  </si>
  <si>
    <t>ANCHONDO MENDOZA, RAMON</t>
  </si>
  <si>
    <t>QUEZADA, BRENDA I</t>
  </si>
  <si>
    <t>MARQUEZ, ESTEBAN</t>
  </si>
  <si>
    <t>CORTEZ, GABRIEL A</t>
  </si>
  <si>
    <t>ALVARADO, MARTIN S</t>
  </si>
  <si>
    <t>FLORES DE MURILLO, JOSEFINA</t>
  </si>
  <si>
    <t>MC PHEE, ROBERT C</t>
  </si>
  <si>
    <t>ACEVES-LOPEZ, GENESIS</t>
  </si>
  <si>
    <t>BEADLE, STEVE E</t>
  </si>
  <si>
    <t>FERNANDEZ, PABLO G</t>
  </si>
  <si>
    <t>ATONDO, JESUS A</t>
  </si>
  <si>
    <t>DELGADO, TINA I</t>
  </si>
  <si>
    <t>CARDOSO, BIBIANA</t>
  </si>
  <si>
    <t>MESSING, JEFFERY J</t>
  </si>
  <si>
    <t>GUERRERO, JESUS M</t>
  </si>
  <si>
    <t>MEZA, GUILLERMIN</t>
  </si>
  <si>
    <t>AGUILAR, JOSEFINA</t>
  </si>
  <si>
    <t>JUAREZ, ROSALIE</t>
  </si>
  <si>
    <t>ELIZONDO, YVONNE</t>
  </si>
  <si>
    <t>HOWELL, CATHERINE A</t>
  </si>
  <si>
    <t>BUCK, LETICIA</t>
  </si>
  <si>
    <t>MIRANDA, PETRA</t>
  </si>
  <si>
    <t>RODRIGUEZ SALGADO, GUADALUPE</t>
  </si>
  <si>
    <t>PEOPLES, MAURICE</t>
  </si>
  <si>
    <t>GARZA, VICTOR M</t>
  </si>
  <si>
    <t>PASILLAS, ABEL</t>
  </si>
  <si>
    <t>MARTINEZ, LILY J</t>
  </si>
  <si>
    <t>TIMMONS, FRANCES</t>
  </si>
  <si>
    <t>AMAYA, OPHELIA</t>
  </si>
  <si>
    <t>RAMIREZ, RENE</t>
  </si>
  <si>
    <t>MAES, JUAN L</t>
  </si>
  <si>
    <t>ALARCON, DANIEL</t>
  </si>
  <si>
    <t>GOMEZ, ROGELIO</t>
  </si>
  <si>
    <t>MARTINEZ, BENIGNA</t>
  </si>
  <si>
    <t>DURAN, MARIA D</t>
  </si>
  <si>
    <t>PEREZ, CRUZ A</t>
  </si>
  <si>
    <t>MILLS, DANIEL L</t>
  </si>
  <si>
    <t>ORTIZ, FABIAN</t>
  </si>
  <si>
    <t>MARTINEZ, SILVIA</t>
  </si>
  <si>
    <t>ZUNGA DE LOPEZ, ROSA G</t>
  </si>
  <si>
    <t>IBARRA, LAURA</t>
  </si>
  <si>
    <t>AVILA, JOSE A</t>
  </si>
  <si>
    <t>RODRIGUEZ, MARIBEL A</t>
  </si>
  <si>
    <t>ANDUJO, HECTOR J</t>
  </si>
  <si>
    <t>WILCOX, CHARLES F</t>
  </si>
  <si>
    <t>WOODHOUSE, MARK A</t>
  </si>
  <si>
    <t>SANCHEZ, PEDRO</t>
  </si>
  <si>
    <t>RAMIREZ, ALFREDO</t>
  </si>
  <si>
    <t>GRANADOS, HERMEREGILDO</t>
  </si>
  <si>
    <t>RINEHART, ANGELA</t>
  </si>
  <si>
    <t>HERNANDEZ, LUIS C</t>
  </si>
  <si>
    <t>SHOPPACH, ROBERT E</t>
  </si>
  <si>
    <t>CABRIALES, JESUS</t>
  </si>
  <si>
    <t>MARCHESE, PATRICIA D</t>
  </si>
  <si>
    <t>VARELA, JOSE I</t>
  </si>
  <si>
    <t>PODNER, ELIZABETH C</t>
  </si>
  <si>
    <t>RAMSEY, MARY</t>
  </si>
  <si>
    <t>BORREGO, ANTHONY</t>
  </si>
  <si>
    <t>CHAVEZ HERNANDEZ, MARGARITA</t>
  </si>
  <si>
    <t>ATILANO, ELDA</t>
  </si>
  <si>
    <t>CAMPO, HECTOR R</t>
  </si>
  <si>
    <t>NUNEZ, MARIA E</t>
  </si>
  <si>
    <t>MAYNEZ, SOCORRO</t>
  </si>
  <si>
    <t>FLORES, LUIS N</t>
  </si>
  <si>
    <t>VIERA, MARIA</t>
  </si>
  <si>
    <t>HERL, BRANDON K</t>
  </si>
  <si>
    <t>CASTANEDA, SAUL R</t>
  </si>
  <si>
    <t>DONOSO, MANUEL A</t>
  </si>
  <si>
    <t>AGUIRRE, ALFREDO</t>
  </si>
  <si>
    <t>LEMON, DAVID A</t>
  </si>
  <si>
    <t>HERNANDEZ SANDOVAL, JOSE M</t>
  </si>
  <si>
    <t>CENICEROS, GUADALUPE</t>
  </si>
  <si>
    <t>PAYAN, ERNESTINA</t>
  </si>
  <si>
    <t>GARCIA, PATRICIA</t>
  </si>
  <si>
    <t>GAMEZ DE HERNANDEZ, ELVA A</t>
  </si>
  <si>
    <t>MEYER, ELIZABETH L</t>
  </si>
  <si>
    <t>NAVARRO, VALERIE</t>
  </si>
  <si>
    <t>MARTINEZ, DINA V</t>
  </si>
  <si>
    <t>VASQUEZ, MARIO</t>
  </si>
  <si>
    <t>BAQUERA, RONALD A</t>
  </si>
  <si>
    <t>WHITE, LAURA C</t>
  </si>
  <si>
    <t>RODRIGUEZ, ISABEL S</t>
  </si>
  <si>
    <t>VILLALOBOS, MARIO</t>
  </si>
  <si>
    <t>JIMENEZ, FELITA</t>
  </si>
  <si>
    <t>PALACIOS, CARMEN R</t>
  </si>
  <si>
    <t>SAUCEDO, MARIA</t>
  </si>
  <si>
    <t>RODRIGUEZ, BENJAMIN</t>
  </si>
  <si>
    <t>ESPINOZA, ROSA M</t>
  </si>
  <si>
    <t>FRASER, JAMES E</t>
  </si>
  <si>
    <t>TEST, ALYSSA B</t>
  </si>
  <si>
    <t>HERNANDEZ, AIDA M</t>
  </si>
  <si>
    <t>AGUILERA, DELIA</t>
  </si>
  <si>
    <t>NAJERA, GERARDO</t>
  </si>
  <si>
    <t>BRANCH, MICHAEL N</t>
  </si>
  <si>
    <t>VIDAL, LAUREN B</t>
  </si>
  <si>
    <t>GORDILLO, LUZ M</t>
  </si>
  <si>
    <t>SNELL, ANA MARIE</t>
  </si>
  <si>
    <t>HIDALGO, LIDIA</t>
  </si>
  <si>
    <t>HERMOSILLO, GLORIA E</t>
  </si>
  <si>
    <t>BENNETT, MARIAN L</t>
  </si>
  <si>
    <t>BUTLER, DANIEL MICHAEL</t>
  </si>
  <si>
    <t>SAAVEDRA, ALFONSO</t>
  </si>
  <si>
    <t>AGUIRRE, CARMEN Y</t>
  </si>
  <si>
    <t>HERNANDEZ, MARIA D</t>
  </si>
  <si>
    <t>VALERO, CARMEN E</t>
  </si>
  <si>
    <t>BRISENO, HILDA A</t>
  </si>
  <si>
    <t>CORTEZ, ALBERTO</t>
  </si>
  <si>
    <t>HOLGUIN, FRANCISCO J</t>
  </si>
  <si>
    <t>MARRUFO, JOSE G</t>
  </si>
  <si>
    <t>WALKER, MILTON M</t>
  </si>
  <si>
    <t>ACOSTA, CELIA E</t>
  </si>
  <si>
    <t>DAWKINS, CLATTIES</t>
  </si>
  <si>
    <t>ROBLES, MAURICIA</t>
  </si>
  <si>
    <t>HOUSER, RACHEL L</t>
  </si>
  <si>
    <t>REYES, GERARDO</t>
  </si>
  <si>
    <t>NAJERA, SOPHIA M</t>
  </si>
  <si>
    <t>GUTIERREZ, MARIA M</t>
  </si>
  <si>
    <t>RODRIGUEZ-ACOSTA, CECILIA</t>
  </si>
  <si>
    <t>PEREZ, JOSE L</t>
  </si>
  <si>
    <t>RIVERA, MANUEL</t>
  </si>
  <si>
    <t>MELENDEZ, ARMANDO</t>
  </si>
  <si>
    <t>HERRERA, MARIA O</t>
  </si>
  <si>
    <t>STEWART, LAMAR E</t>
  </si>
  <si>
    <t>ULATE-DURAN, PEDRO</t>
  </si>
  <si>
    <t>WINTERBERG, VICTORIA</t>
  </si>
  <si>
    <t>ADAMS, MARIE A</t>
  </si>
  <si>
    <t>DELGADO, MARTHA L</t>
  </si>
  <si>
    <t>WOFFORD, NATALIA</t>
  </si>
  <si>
    <t>CABRAL, GERARDO</t>
  </si>
  <si>
    <t>DEAL, ANGEL</t>
  </si>
  <si>
    <t>URANGA, TIFFANY</t>
  </si>
  <si>
    <t>GUZMAN, SONIA</t>
  </si>
  <si>
    <t>PALACIO, REYMUNDO</t>
  </si>
  <si>
    <t>VILLALOBOS, ELIZABETH E</t>
  </si>
  <si>
    <t>GOMEZ DE ROMO, MAYRA</t>
  </si>
  <si>
    <t>MARTINEZ, VERONICA</t>
  </si>
  <si>
    <t>SERRANO, ROBERTO</t>
  </si>
  <si>
    <t>HERRERA, JLUIS</t>
  </si>
  <si>
    <t>RODARTE, SOCORRO L</t>
  </si>
  <si>
    <t>ARIAS, MARIA</t>
  </si>
  <si>
    <t>DE VELAZCO MEDRANO, MARIA R</t>
  </si>
  <si>
    <t>JIMENEZ, JOHN</t>
  </si>
  <si>
    <t>HESTER, NADENE T</t>
  </si>
  <si>
    <t>JUAREZ CARILLO, MARIA E</t>
  </si>
  <si>
    <t>DE LOS ANGELES PALMA, MARIA</t>
  </si>
  <si>
    <t>LARA, CYNTHIA</t>
  </si>
  <si>
    <t>GORGES, MATTHEW G</t>
  </si>
  <si>
    <t>LOPEZ, RUBEN A</t>
  </si>
  <si>
    <t>ACEVES, BLANCA E</t>
  </si>
  <si>
    <t>CISNEROS, RODRIGO</t>
  </si>
  <si>
    <t>ARELLANO, ELISA</t>
  </si>
  <si>
    <t>GRADO, SAMANTHA</t>
  </si>
  <si>
    <t>GRADO, REBEKAH R</t>
  </si>
  <si>
    <t>GRADO, JACOB T</t>
  </si>
  <si>
    <t>ESQUIVEL, MARGARITO</t>
  </si>
  <si>
    <t>SADLER, JACK B</t>
  </si>
  <si>
    <t>FULK, ROBERT M</t>
  </si>
  <si>
    <t>FACIO, JULIO H</t>
  </si>
  <si>
    <t>ADAMS, GRACIELA</t>
  </si>
  <si>
    <t>MICHEL, CELIA</t>
  </si>
  <si>
    <t>DELGADO, PAULA M</t>
  </si>
  <si>
    <t>PAYAN, GABINA S</t>
  </si>
  <si>
    <t>TOVAR, JOSE</t>
  </si>
  <si>
    <t>INGRAM, JAMES R</t>
  </si>
  <si>
    <t>PRIETO, CARMEN P</t>
  </si>
  <si>
    <t>BAXTER, JUDITH R</t>
  </si>
  <si>
    <t>VILLEGAS, MARY A</t>
  </si>
  <si>
    <t>GAVALDON, PETRA</t>
  </si>
  <si>
    <t>YEARWOOD, PATTI A</t>
  </si>
  <si>
    <t>RAMIREZ, MICHAEL A</t>
  </si>
  <si>
    <t>LUCERO, ASCENCION</t>
  </si>
  <si>
    <t>GONZALEZ, MARIO</t>
  </si>
  <si>
    <t>ANDERSON, MARRERO</t>
  </si>
  <si>
    <t>SMOOT, RANDALL L</t>
  </si>
  <si>
    <t>ARMENDARIZ, ROSA L</t>
  </si>
  <si>
    <t>BELTRAN, DENISE</t>
  </si>
  <si>
    <t>DUARTE SANCHEZ, GLORIA</t>
  </si>
  <si>
    <t>MARTINEZ, JARA</t>
  </si>
  <si>
    <t>MORALES, ALEJANDRO</t>
  </si>
  <si>
    <t>SOLANO, ROBERTO</t>
  </si>
  <si>
    <t>MILAM, JAIME</t>
  </si>
  <si>
    <t>VALVERDE, RUBEN J</t>
  </si>
  <si>
    <t>RIOS FERNANDEZ, VAL</t>
  </si>
  <si>
    <t>BURCIAGA, SIMON J</t>
  </si>
  <si>
    <t>ALDERETE, SOCORRO</t>
  </si>
  <si>
    <t>BREWSTER, KEVIN J</t>
  </si>
  <si>
    <t>AGUILAR, RUBEN</t>
  </si>
  <si>
    <t>SALINAS, CLAUDIA</t>
  </si>
  <si>
    <t>GUERRERO, GUADALUPE A</t>
  </si>
  <si>
    <t>SALGADO, EULALIO J</t>
  </si>
  <si>
    <t>JENKINS, ROSALIE R</t>
  </si>
  <si>
    <t>SALAZAR, LILIANA</t>
  </si>
  <si>
    <t>FELIX, JUANA E</t>
  </si>
  <si>
    <t>AGUILAR, RENE</t>
  </si>
  <si>
    <t>ROQUE, MARTIN</t>
  </si>
  <si>
    <t>FRANCO, MARIA E</t>
  </si>
  <si>
    <t>DIAZ, AMELIA</t>
  </si>
  <si>
    <t>CASAS, JOSE C</t>
  </si>
  <si>
    <t>SALAZAR, VIRGINIA C</t>
  </si>
  <si>
    <t>BAEZ, TERESA</t>
  </si>
  <si>
    <t>AMATO, JOHN G</t>
  </si>
  <si>
    <t>ROSALES, BELINDA</t>
  </si>
  <si>
    <t>PUENTE, CESAR A</t>
  </si>
  <si>
    <t>HOLGUIN, ROSA</t>
  </si>
  <si>
    <t>ARELLANO, NORMA N</t>
  </si>
  <si>
    <t>ALWAN, RICHARD</t>
  </si>
  <si>
    <t>CONTRERAS, JORGE</t>
  </si>
  <si>
    <t>GARCIA, ASUNCION</t>
  </si>
  <si>
    <t>MOSES, KENNETH P</t>
  </si>
  <si>
    <t>SALCIDO, MICHAEL A</t>
  </si>
  <si>
    <t>SAR, ANNETTE H</t>
  </si>
  <si>
    <t>HINESLY, THOMAS V</t>
  </si>
  <si>
    <t>RAMIREZ, OMAR</t>
  </si>
  <si>
    <t>REVIS, JIMMY L</t>
  </si>
  <si>
    <t>MCDANIEL, ERIN S</t>
  </si>
  <si>
    <t>HERNANDEZ, FRANCISCO J</t>
  </si>
  <si>
    <t>FLORES, ROSALBA J</t>
  </si>
  <si>
    <t>GONZALEZ, RAMIRO</t>
  </si>
  <si>
    <t>REYES, VALERIE A</t>
  </si>
  <si>
    <t>FLORES, ADELA C</t>
  </si>
  <si>
    <t>CARREON PALFREEMAN, MARIA R</t>
  </si>
  <si>
    <t>GARCIA, LYDIA C</t>
  </si>
  <si>
    <t>HERNANDEZ, YOLANDA G</t>
  </si>
  <si>
    <t>MORALES, CINTHIA E</t>
  </si>
  <si>
    <t>WEITNAUER, VIRGINIA A</t>
  </si>
  <si>
    <t>CERDA, ADRIAN</t>
  </si>
  <si>
    <t>REGALADO, ROSENDA V</t>
  </si>
  <si>
    <t>PEDROZA, MIGUEL A</t>
  </si>
  <si>
    <t>BEATTY, KARI L</t>
  </si>
  <si>
    <t>MORENO, JOSEPH M</t>
  </si>
  <si>
    <t>FRYE, DEBORAH C</t>
  </si>
  <si>
    <t>FAVILA, ADA L</t>
  </si>
  <si>
    <t>MACIAS, ESTHER A</t>
  </si>
  <si>
    <t>CISNEROS, ROSA</t>
  </si>
  <si>
    <t>CASTANEDA, RICARDO</t>
  </si>
  <si>
    <t>RODRIGUEZ, STEPHANIE G</t>
  </si>
  <si>
    <t>CASTRO, JUAN C</t>
  </si>
  <si>
    <t>CHAVEZ, MARIA D</t>
  </si>
  <si>
    <t>GOMEZ, LEANDRA</t>
  </si>
  <si>
    <t>RUIZ, ADRIANA</t>
  </si>
  <si>
    <t>BIRDSONG, EVETT</t>
  </si>
  <si>
    <t>GONZALEZ, LORENE A</t>
  </si>
  <si>
    <t>QUEEN, JACQUELINE J</t>
  </si>
  <si>
    <t>TREJO, MIGUEL</t>
  </si>
  <si>
    <t>HENRY, MICHAEL A</t>
  </si>
  <si>
    <t>ORTEGA, BARBARA O</t>
  </si>
  <si>
    <t>PUZIO, ANN M</t>
  </si>
  <si>
    <t>ORTEGA, DOLORES</t>
  </si>
  <si>
    <t>ADAME, ERNESTINA R</t>
  </si>
  <si>
    <t>DOMINGUEZ, ALICIA B</t>
  </si>
  <si>
    <t>CHENEY, TERRY J</t>
  </si>
  <si>
    <t>GODINEZ, MARIA C</t>
  </si>
  <si>
    <t>ESTRADA, REBECCA D</t>
  </si>
  <si>
    <t>BRIONES, MARIA L</t>
  </si>
  <si>
    <t>LUNA, AUDREY A</t>
  </si>
  <si>
    <t>VALERIO, HEATHER R</t>
  </si>
  <si>
    <t>APODACA, ELSA</t>
  </si>
  <si>
    <t>GONZALEZ, MARTHA</t>
  </si>
  <si>
    <t>CRENSHAW, WINDY</t>
  </si>
  <si>
    <t>ASTON, ANITA A</t>
  </si>
  <si>
    <t>BAQUERA, PATRICIA</t>
  </si>
  <si>
    <t>ALVAREZ, ARTURO</t>
  </si>
  <si>
    <t>DOWNEY, COLLEEN M</t>
  </si>
  <si>
    <t>GONZALEZ, JAMES</t>
  </si>
  <si>
    <t>DE AVILA, MARIA</t>
  </si>
  <si>
    <t>SALAZAR, ENRIQUE MARQUEZ</t>
  </si>
  <si>
    <t>LEDESMA, DOLORES</t>
  </si>
  <si>
    <t>GONZALEZ, JOSEPHINE L</t>
  </si>
  <si>
    <t>CHAVEZ, MARCY A</t>
  </si>
  <si>
    <t>MARES, LITA G</t>
  </si>
  <si>
    <t>MONTERO, MARIA C</t>
  </si>
  <si>
    <t>MARES, MARIA S</t>
  </si>
  <si>
    <t>ARELLANO, RUBEN</t>
  </si>
  <si>
    <t>RUIZ, GRACIELA</t>
  </si>
  <si>
    <t>BECERRA, MARTHA M</t>
  </si>
  <si>
    <t>SAXMAN, PETER</t>
  </si>
  <si>
    <t>MORALES, SYLVIA S</t>
  </si>
  <si>
    <t>TORRES, TRACY L</t>
  </si>
  <si>
    <t>BUSTAMANTE, RICARDO R</t>
  </si>
  <si>
    <t>CHAVEZ, SYLVIA M</t>
  </si>
  <si>
    <t>MANRIQUEZ, GUILLERMO A</t>
  </si>
  <si>
    <t>CHAVEZ, OSWALDO</t>
  </si>
  <si>
    <t>FLORES, NORMA E</t>
  </si>
  <si>
    <t>QUARSTAD, GUADALUPE M</t>
  </si>
  <si>
    <t>HUERTA, BERTHA D</t>
  </si>
  <si>
    <t>RODRIGUEZ, CARLOS</t>
  </si>
  <si>
    <t>RODRIGUEZ, LANELLE L</t>
  </si>
  <si>
    <t>ROSE, JOYCE M</t>
  </si>
  <si>
    <t>ESQUIVEL, RENE</t>
  </si>
  <si>
    <t>PONCE, JUAN</t>
  </si>
  <si>
    <t>FLORES, HECTOR T</t>
  </si>
  <si>
    <t>MELENDEZ, MARTHA</t>
  </si>
  <si>
    <t>AU, JOANN M</t>
  </si>
  <si>
    <t>MARTINEZ, BLANCA C</t>
  </si>
  <si>
    <t>GETTY, RONALD J</t>
  </si>
  <si>
    <t>RUEDA, ROSARIO</t>
  </si>
  <si>
    <t>HERNANDEZ, FREDDY</t>
  </si>
  <si>
    <t>MADRID, DELMA A</t>
  </si>
  <si>
    <t>CASTANEDA, ELVIRA G</t>
  </si>
  <si>
    <t>ZUBIA, HECTOR</t>
  </si>
  <si>
    <t>JIMENEZ HERRERA, ERNESTO</t>
  </si>
  <si>
    <t>OLVERA, REBECCA M</t>
  </si>
  <si>
    <t>AVALOS, ALBERTO A</t>
  </si>
  <si>
    <t>FERNANDEZ, RUTH S</t>
  </si>
  <si>
    <t>QUINTANA, SOCORRO</t>
  </si>
  <si>
    <t>ANDERSON, CATHY E</t>
  </si>
  <si>
    <t>MARTINEZ, ALICE</t>
  </si>
  <si>
    <t>VELA, MAGDALENA M</t>
  </si>
  <si>
    <t>MORALES, JOSE A</t>
  </si>
  <si>
    <t>RAMIREZ, ELIZABETH</t>
  </si>
  <si>
    <t>CURTIS, ADELINA</t>
  </si>
  <si>
    <t>FLORES, ANTONIO</t>
  </si>
  <si>
    <t>MAYNES, RUBEN</t>
  </si>
  <si>
    <t>GUILLEN, LYDIA E</t>
  </si>
  <si>
    <t>UTAJADA, SOCORRO</t>
  </si>
  <si>
    <t>OWEN, JOSEPH C</t>
  </si>
  <si>
    <t>ORTEGA, LILLIAN E</t>
  </si>
  <si>
    <t>MIJAREZ, SOFIA H</t>
  </si>
  <si>
    <t>OROZCO, MARIA E</t>
  </si>
  <si>
    <t>BARRAGAN, IVETTE</t>
  </si>
  <si>
    <t>CHAVEZ, RUBEN</t>
  </si>
  <si>
    <t>PATTON, TERESA M</t>
  </si>
  <si>
    <t>HOLGUIN, ELISA</t>
  </si>
  <si>
    <t>AGUILAR, LUCINA</t>
  </si>
  <si>
    <t>SOHAN, CALEB C</t>
  </si>
  <si>
    <t>CARUCCI, RICHARD D</t>
  </si>
  <si>
    <t>BURROLA, LYDIA H</t>
  </si>
  <si>
    <t>PRIEGO, LEOPOLDO</t>
  </si>
  <si>
    <t>ARGUMANIZ, JOE</t>
  </si>
  <si>
    <t>RODRIGUEZ, MARIA F</t>
  </si>
  <si>
    <t>DIAZ, IRMA E</t>
  </si>
  <si>
    <t>HERNANDEZ, EDUARDO</t>
  </si>
  <si>
    <t>TELLES, DANIEL M</t>
  </si>
  <si>
    <t>EUBANK, CASANDRA</t>
  </si>
  <si>
    <t>OLGUIN, ANTONIO</t>
  </si>
  <si>
    <t>KUZMA, MARIAN E</t>
  </si>
  <si>
    <t>VACA, MARISELA</t>
  </si>
  <si>
    <t>JEDDERY, VICTORIA L</t>
  </si>
  <si>
    <t>SIFUENTES, ELBA E</t>
  </si>
  <si>
    <t>RAMIREZ, ROSA</t>
  </si>
  <si>
    <t>CLAYTON, DIANA K</t>
  </si>
  <si>
    <t>CARBAJAL, AIDA</t>
  </si>
  <si>
    <t>LEE, JAMES H</t>
  </si>
  <si>
    <t>VARGAS, MELISSA</t>
  </si>
  <si>
    <t>CONIGLIO, PATRICIA S</t>
  </si>
  <si>
    <t>RAMIREZ, CONSUELO M</t>
  </si>
  <si>
    <t>ARMENDARIZ, MARIA S</t>
  </si>
  <si>
    <t>BANUELOS, ALBERTO</t>
  </si>
  <si>
    <t>SIFUENTES, SYLVIA</t>
  </si>
  <si>
    <t>FRANCO, RICARDO</t>
  </si>
  <si>
    <t>FLORES, GUADALUPE</t>
  </si>
  <si>
    <t>ALVARADO, VIRGINIA</t>
  </si>
  <si>
    <t>LEE, KERRY A</t>
  </si>
  <si>
    <t>BANDA, MARTHA A</t>
  </si>
  <si>
    <t>CAZARES, CHRISTINE</t>
  </si>
  <si>
    <t>LOPEZ, VALERIE</t>
  </si>
  <si>
    <t>NEVAREZ, KAREN L</t>
  </si>
  <si>
    <t>BRASWELL, WENDY</t>
  </si>
  <si>
    <t>BRASWELL, PETER</t>
  </si>
  <si>
    <t>HERMOSILLO, ALICE D</t>
  </si>
  <si>
    <t>DUNN, NORMA</t>
  </si>
  <si>
    <t>GONZALES, EDDIE</t>
  </si>
  <si>
    <t>RENTERIA, MARIA A</t>
  </si>
  <si>
    <t>GUZMAN, CINTHIA</t>
  </si>
  <si>
    <t>COLEMAN, POLLY</t>
  </si>
  <si>
    <t>ALMADA, IRMA</t>
  </si>
  <si>
    <t>RIVERA, DORA L</t>
  </si>
  <si>
    <t>ROHDE, ULRIKE E</t>
  </si>
  <si>
    <t>BRIONES, RAQUEL</t>
  </si>
  <si>
    <t>ECHEVERRIA, ENOCH</t>
  </si>
  <si>
    <t>CONTRERAS, NICASIO A</t>
  </si>
  <si>
    <t>DOMINGUEZ, ARLENE</t>
  </si>
  <si>
    <t>CASILLAS, MIGUEL</t>
  </si>
  <si>
    <t>GALLARDO, ENRIQUE</t>
  </si>
  <si>
    <t>GALLARDO, YOLANDA</t>
  </si>
  <si>
    <t>BACHUS, GUADALUPE</t>
  </si>
  <si>
    <t>RUEDAS, ELKE J</t>
  </si>
  <si>
    <t>FRAGOSO, PEDRO</t>
  </si>
  <si>
    <t>MEDINA, MANUELA I</t>
  </si>
  <si>
    <t>ALVIDREZ, CAROLINA</t>
  </si>
  <si>
    <t>HARRISON, NICOLE R</t>
  </si>
  <si>
    <t>DELEON, TIFFANY C</t>
  </si>
  <si>
    <t>PEREZ VALDEZ, OSCAR</t>
  </si>
  <si>
    <t>MONTELONGO CUEVAS, SALVADOR</t>
  </si>
  <si>
    <t>CAMACHO, ANGEL</t>
  </si>
  <si>
    <t>KULAS, KELLY C</t>
  </si>
  <si>
    <t>SALCIDO, JOSE</t>
  </si>
  <si>
    <t>CAZARES, SERGIO</t>
  </si>
  <si>
    <t>SHAY, SANDRA</t>
  </si>
  <si>
    <t>OLVERA, RODOLFO</t>
  </si>
  <si>
    <t>ESPARZA, JESUS G</t>
  </si>
  <si>
    <t>STUBBS, GAYLA</t>
  </si>
  <si>
    <t>HADDAD, ANITA M</t>
  </si>
  <si>
    <t>SIMONS, EVA I</t>
  </si>
  <si>
    <t>GONZALEZ, ARLEEN A</t>
  </si>
  <si>
    <t>SMITH, JULIE A</t>
  </si>
  <si>
    <t>SILVA, REBECCA</t>
  </si>
  <si>
    <t>LUCERO, MONICA J</t>
  </si>
  <si>
    <t>MARTINEZ, ARTHUR L</t>
  </si>
  <si>
    <t>CONTRERAS, RUBEN R</t>
  </si>
  <si>
    <t>POLANCO, VANESSA</t>
  </si>
  <si>
    <t>WITHOLDER, WILLIAM F</t>
  </si>
  <si>
    <t>CRUZ, ADRIANA</t>
  </si>
  <si>
    <t>ROBLES, GUADALUPE A</t>
  </si>
  <si>
    <t>GONZALEZ, RAMON</t>
  </si>
  <si>
    <t>DE LA ROSA, LYDIA</t>
  </si>
  <si>
    <t>VAN HEE, THERESA</t>
  </si>
  <si>
    <t>RAMIREZ, SAMUEL</t>
  </si>
  <si>
    <t>LOZANO, MARIA M</t>
  </si>
  <si>
    <t>TARANGO, YVONNE</t>
  </si>
  <si>
    <t>RAMIREZ, RICARDO</t>
  </si>
  <si>
    <t>ACEVEDO, CARLOS M</t>
  </si>
  <si>
    <t>GONZALEZ, GRACIELA C</t>
  </si>
  <si>
    <t>NUNEZ, PASCUAL</t>
  </si>
  <si>
    <t>CALHOUN, GWYNDOLYN L</t>
  </si>
  <si>
    <t>RUIZ, SALVADOR</t>
  </si>
  <si>
    <t>SPRINGER, CATHY</t>
  </si>
  <si>
    <t>HERNANDEZ, SYLVIA</t>
  </si>
  <si>
    <t>VELASQUEZ, MARIA G</t>
  </si>
  <si>
    <t>LOPEZ, DOMINGA R</t>
  </si>
  <si>
    <t>MAYNES, JESUS M</t>
  </si>
  <si>
    <t>CARDOZA, ROBERTO</t>
  </si>
  <si>
    <t>PALACIOS, ARMANDO R</t>
  </si>
  <si>
    <t>LICON, JESUS</t>
  </si>
  <si>
    <t>PETERSON, CARLO A</t>
  </si>
  <si>
    <t>STILWELL, HAROLD W</t>
  </si>
  <si>
    <t>ORTEGA, JOSE</t>
  </si>
  <si>
    <t>PERALTA, JUAN A</t>
  </si>
  <si>
    <t>HIDALGO, LORENZA</t>
  </si>
  <si>
    <t>MOLINAR, JORGE F</t>
  </si>
  <si>
    <t>KIM, SON K</t>
  </si>
  <si>
    <t>HERNANDEZ, MARGARITO</t>
  </si>
  <si>
    <t>VALENZUELA, YVETTE</t>
  </si>
  <si>
    <t>BARBOSA, MINERVA D</t>
  </si>
  <si>
    <t>GAMEZ, ALMA M</t>
  </si>
  <si>
    <t>PEREZ, ERNESTINA</t>
  </si>
  <si>
    <t>VIDANA, MARIA A</t>
  </si>
  <si>
    <t>NAVARRO, MARIAELENA</t>
  </si>
  <si>
    <t>QUINONES, MARTHA E</t>
  </si>
  <si>
    <t>MURO, JOSE L</t>
  </si>
  <si>
    <t>ERIVES, ANTONIO</t>
  </si>
  <si>
    <t>ANGEL, JOSE R</t>
  </si>
  <si>
    <t>GOROEOFF, MICHELLE R</t>
  </si>
  <si>
    <t>TORRES, SYLVIA</t>
  </si>
  <si>
    <t>CARO, VICTOR</t>
  </si>
  <si>
    <t>DE LA TORRE, GUADALUPE</t>
  </si>
  <si>
    <t>SPENCER, RICHARD W</t>
  </si>
  <si>
    <t>BARRERAS, MARIA L</t>
  </si>
  <si>
    <t>RODRIGUEZ, JUAN</t>
  </si>
  <si>
    <t>BAXTER, KATHY L</t>
  </si>
  <si>
    <t>BACA, SELMA M</t>
  </si>
  <si>
    <t>MARTINEZ, RUBY S</t>
  </si>
  <si>
    <t>ESCAMILLA, ALFONSO</t>
  </si>
  <si>
    <t>ROMO, ANA</t>
  </si>
  <si>
    <t>OPORTO, SILVIA</t>
  </si>
  <si>
    <t>HERNANDEZ, RAFAEL J</t>
  </si>
  <si>
    <t>DEAVILA, ARTURO</t>
  </si>
  <si>
    <t>CHRISTMAS, KATHERINE</t>
  </si>
  <si>
    <t>PENA, GUADALUPE</t>
  </si>
  <si>
    <t>RUIZ, PORFIRIA</t>
  </si>
  <si>
    <t>LOPEZ, ROSE M</t>
  </si>
  <si>
    <t>BLACK, RAYMOND J</t>
  </si>
  <si>
    <t>DORADO, SHIRLEY C</t>
  </si>
  <si>
    <t>LUTH, KARL D</t>
  </si>
  <si>
    <t>FUENTES, ISRAEL</t>
  </si>
  <si>
    <t>IRIGOYEN, CHERYL A</t>
  </si>
  <si>
    <t>BOWLES, RICHARD</t>
  </si>
  <si>
    <t>CABILDO, JORGE</t>
  </si>
  <si>
    <t>OLGUIN, ISIDRO</t>
  </si>
  <si>
    <t>VICARI, LESLIE C</t>
  </si>
  <si>
    <t>MENA MANRIQUEZ, JORGE</t>
  </si>
  <si>
    <t>GUEVARA, CINDY A</t>
  </si>
  <si>
    <t>MATA, ROLAND</t>
  </si>
  <si>
    <t>ACEVEDO, SALVADOR</t>
  </si>
  <si>
    <t>FRAIRE, VIRGINIA</t>
  </si>
  <si>
    <t>SAGE, JAMES CARTER</t>
  </si>
  <si>
    <t>JOHNSON, JOSEPH S</t>
  </si>
  <si>
    <t>VILLALOBOS, MARIA DC</t>
  </si>
  <si>
    <t>QUINTELA, JENNIFER</t>
  </si>
  <si>
    <t>VILLA, BEATRIZ</t>
  </si>
  <si>
    <t>PETERS, MARIA I</t>
  </si>
  <si>
    <t>LINDSEY, DARRYL A</t>
  </si>
  <si>
    <t>MCLEOD, TRAVIS D</t>
  </si>
  <si>
    <t>SERRAO, MARTHA V</t>
  </si>
  <si>
    <t>ALMANZAR, RITA I</t>
  </si>
  <si>
    <t>GAMBOA, ERNESTO C</t>
  </si>
  <si>
    <t>RAMIREZ, MELINDA N</t>
  </si>
  <si>
    <t>URIAS, MARGARITA I</t>
  </si>
  <si>
    <t>QUINONEZ, SENAIDA</t>
  </si>
  <si>
    <t>RAYAS, ALFREDO</t>
  </si>
  <si>
    <t>GARCIA DE RODRIGUEZ, LETICIA</t>
  </si>
  <si>
    <t>STABLER, JESSICA L</t>
  </si>
  <si>
    <t>RUIZ, JUANA</t>
  </si>
  <si>
    <t>MERRICK, PAUL A</t>
  </si>
  <si>
    <t>VALE, DANA E</t>
  </si>
  <si>
    <t>GARDEA, ANTONIO R</t>
  </si>
  <si>
    <t>WOODRUFF-HERMAN, MARIA</t>
  </si>
  <si>
    <t>FIGUEROA, OLGA G</t>
  </si>
  <si>
    <t>COMPEAN, PEDRO</t>
  </si>
  <si>
    <t>GUZMAN, XOCHITL N</t>
  </si>
  <si>
    <t>GARCIA, SANDRA C</t>
  </si>
  <si>
    <t>RAMIREZ, JULIA</t>
  </si>
  <si>
    <t>MOTTER, CHERYL S</t>
  </si>
  <si>
    <t>MIRANDA DE FRANCO, ZENAIDA</t>
  </si>
  <si>
    <t>HOSEA, ROBERT E</t>
  </si>
  <si>
    <t>CARMONA, RENE</t>
  </si>
  <si>
    <t>CUELLAR, JOSE D</t>
  </si>
  <si>
    <t>HERNANDEZ, LUIS A</t>
  </si>
  <si>
    <t>MARTINEZ, VERONICA V</t>
  </si>
  <si>
    <t>WALLACE, THOMAS M</t>
  </si>
  <si>
    <t>BARRON, JESSICA</t>
  </si>
  <si>
    <t>LARSON, JANELLE</t>
  </si>
  <si>
    <t>BORREGO, NORA P</t>
  </si>
  <si>
    <t>SOTO, ASENCION P</t>
  </si>
  <si>
    <t>HARRIS, CHARLIE</t>
  </si>
  <si>
    <t>IBRAHIM, GEORGE</t>
  </si>
  <si>
    <t>NAVEJAS, MARIA D</t>
  </si>
  <si>
    <t>HERNANDEZ, JOSE</t>
  </si>
  <si>
    <t>MEDRANO, MANUEL J</t>
  </si>
  <si>
    <t>GALINDO, JOSE J</t>
  </si>
  <si>
    <t>MARTINEZ, FRANCISCO J</t>
  </si>
  <si>
    <t>TORRES, JOSE M</t>
  </si>
  <si>
    <t>ROJAS, OLGA A</t>
  </si>
  <si>
    <t>LOPEZ, CONSUELO Y</t>
  </si>
  <si>
    <t>YEMSHAW, DIANA R</t>
  </si>
  <si>
    <t>LOZOYA DE MUNOZ, EVA</t>
  </si>
  <si>
    <t>SALAZAR, MIGUEL</t>
  </si>
  <si>
    <t>HERNANDEZ, JESUS G</t>
  </si>
  <si>
    <t>SOLIS, BEATRIZ</t>
  </si>
  <si>
    <t>FORREST, STEVEN N</t>
  </si>
  <si>
    <t>RAMIREZ, KATHRYN</t>
  </si>
  <si>
    <t>PEREZ DE MANRIQUEZ, ANA L</t>
  </si>
  <si>
    <t>MERCADO, JAVIER A</t>
  </si>
  <si>
    <t>TORRES, RAMON</t>
  </si>
  <si>
    <t>MONTOYA, DANIEL</t>
  </si>
  <si>
    <t>CORRAL, EDUARDO</t>
  </si>
  <si>
    <t>RAMOS, BLANCA E</t>
  </si>
  <si>
    <t>DELGADO, HECTOR</t>
  </si>
  <si>
    <t>PENA, ANA</t>
  </si>
  <si>
    <t>MACKEY, BRIAN</t>
  </si>
  <si>
    <t>ALMANZA, HILDA</t>
  </si>
  <si>
    <t>LEDBETTER, CAROL M</t>
  </si>
  <si>
    <t>RAMOS, SANDRA</t>
  </si>
  <si>
    <t>SHORTS, CAROL</t>
  </si>
  <si>
    <t>HOOKER, THOMAS W</t>
  </si>
  <si>
    <t>TUCKER, GREGORY</t>
  </si>
  <si>
    <t>LEFEBVERE, JOSHUA R</t>
  </si>
  <si>
    <t>RAMIREZ, SOLEDAD T</t>
  </si>
  <si>
    <t>HERRERA, HENRY M</t>
  </si>
  <si>
    <t>TAYLOR, SAMUEL M</t>
  </si>
  <si>
    <t>ORANDA PEREZ, MOCTEZUMA</t>
  </si>
  <si>
    <t>ELMORE, ANTHONY</t>
  </si>
  <si>
    <t>ELMORE, JANEL</t>
  </si>
  <si>
    <t>DUARTE, SUZANNE C</t>
  </si>
  <si>
    <t>GOMEZ, MARCELO</t>
  </si>
  <si>
    <t>DE LA RIVA, LINDA N</t>
  </si>
  <si>
    <t>OSORIA, RODRIGO</t>
  </si>
  <si>
    <t>SHORES, RACHEL T</t>
  </si>
  <si>
    <t>GONZALEZ, CHARLES C</t>
  </si>
  <si>
    <t>PROSE, CAROLYN M</t>
  </si>
  <si>
    <t>MEDRANO, JACQUELINE</t>
  </si>
  <si>
    <t>MORALES, LORRAINE</t>
  </si>
  <si>
    <t>DE LA ROSA, DAVID A</t>
  </si>
  <si>
    <t>MELENDEZ, MARIA E</t>
  </si>
  <si>
    <t>CASTELLANES, RICARDO</t>
  </si>
  <si>
    <t>MUNIZ, DORA A</t>
  </si>
  <si>
    <t>CASTILLO, BELINDA</t>
  </si>
  <si>
    <t>GODFREY, WILLIAM W</t>
  </si>
  <si>
    <t>PARKER, SARAH</t>
  </si>
  <si>
    <t>TORRES, LORENA</t>
  </si>
  <si>
    <t>DE LA ROSA, ROSA I</t>
  </si>
  <si>
    <t>REVELES, MARY H</t>
  </si>
  <si>
    <t>ZAPIEN, ARCELIA A</t>
  </si>
  <si>
    <t>HENSLEY, LAURA L</t>
  </si>
  <si>
    <t>ENDOZO, REDENTOR</t>
  </si>
  <si>
    <t>CAMPA DE GAMBOA, VIRGINIA</t>
  </si>
  <si>
    <t>VAZQUEZ, SILVERIO</t>
  </si>
  <si>
    <t>BUNN, GLENNA J</t>
  </si>
  <si>
    <t>RUIZ, MARIA A</t>
  </si>
  <si>
    <t>CRAIG, JOANN L</t>
  </si>
  <si>
    <t>NAVA, ERIC N</t>
  </si>
  <si>
    <t>HEBESTREIT, CARL J</t>
  </si>
  <si>
    <t>HERNANDEZ, EULALIO</t>
  </si>
  <si>
    <t>SOTO, SARA D</t>
  </si>
  <si>
    <t>HATTON, PHILLIP</t>
  </si>
  <si>
    <t>ARELLANO, MARGARITA</t>
  </si>
  <si>
    <t>NICHELSON, PAULA W</t>
  </si>
  <si>
    <t>HARRIS, MAURICE M</t>
  </si>
  <si>
    <t>DUTCHOVER, BRIAN K</t>
  </si>
  <si>
    <t>QUEZADA, LORENZA</t>
  </si>
  <si>
    <t>FRIAS, JOHN T</t>
  </si>
  <si>
    <t>CONTRERAS, ESTELLA</t>
  </si>
  <si>
    <t>QUINTANA-GARDEA, CESAREO</t>
  </si>
  <si>
    <t>ROBLES, PATRICIA M</t>
  </si>
  <si>
    <t>CLARK, ALLISON J</t>
  </si>
  <si>
    <t>JENSEN, PAUL</t>
  </si>
  <si>
    <t>HELMS, CLINT R</t>
  </si>
  <si>
    <t>HERRERA, JUAN J</t>
  </si>
  <si>
    <t>MARTIN, BRENDA</t>
  </si>
  <si>
    <t>MEHRKENS, TYLER L</t>
  </si>
  <si>
    <t>GALLARDO, JOVANNA C</t>
  </si>
  <si>
    <t>CEJUDO, PAULA</t>
  </si>
  <si>
    <t>DIAZ, ROBERT S</t>
  </si>
  <si>
    <t>CHRISTO, HARRY</t>
  </si>
  <si>
    <t>PEREZ, CHRISTINE N</t>
  </si>
  <si>
    <t>MEADOWS, LORRAINE</t>
  </si>
  <si>
    <t>CAMACK, LEEMATTHEW C</t>
  </si>
  <si>
    <t>PACHECO, MARIA G</t>
  </si>
  <si>
    <t>ARCOS, IMELDA</t>
  </si>
  <si>
    <t>MOUCHETTE, SARAH R</t>
  </si>
  <si>
    <t>BERNAL-GURROLA, JOSEFINA</t>
  </si>
  <si>
    <t>DE LA CANO, JOSE</t>
  </si>
  <si>
    <t>YOUNG, DEANNA A</t>
  </si>
  <si>
    <t>MURDOCK, MARTHA</t>
  </si>
  <si>
    <t>CUELLAR, JOSE J</t>
  </si>
  <si>
    <t>JORDAN, MELANIE A</t>
  </si>
  <si>
    <t>BALDERRAMA, LOURDES</t>
  </si>
  <si>
    <t>VALDEZ, ENRIQUE</t>
  </si>
  <si>
    <t>SAPIEN, KATHERINE B</t>
  </si>
  <si>
    <t>KNIGHT SAPIEN, MONICA</t>
  </si>
  <si>
    <t>ONEIL, MICHAEL</t>
  </si>
  <si>
    <t>SOTO MUNOZ, PEDRO</t>
  </si>
  <si>
    <t>EDWARDS, IRENE</t>
  </si>
  <si>
    <t>ARCINIEGA, FRANCISCA</t>
  </si>
  <si>
    <t>TOVAR, MARTHA E</t>
  </si>
  <si>
    <t>MARTIN DEL CAMPO DE GUERRERO, MARIA T</t>
  </si>
  <si>
    <t>RAMIREZ, MARTHA</t>
  </si>
  <si>
    <t>JIMENEZ, ROBERT</t>
  </si>
  <si>
    <t>FRANCO, CRYSTAL</t>
  </si>
  <si>
    <t>TORRES, SERGIO</t>
  </si>
  <si>
    <t>CERVERA-OLIVAS, MARIE Y</t>
  </si>
  <si>
    <t>DAVILA, MARLA H</t>
  </si>
  <si>
    <t>HYDER, ZULEMA</t>
  </si>
  <si>
    <t>CASTANON, MINERVA</t>
  </si>
  <si>
    <t>MERAZ, ROSE</t>
  </si>
  <si>
    <t>COOK, STEVE R</t>
  </si>
  <si>
    <t>SMITH RICHARDSON, TALONNIE S</t>
  </si>
  <si>
    <t>RIVERA, ESTELA R</t>
  </si>
  <si>
    <t>MANEY, YOLANDA I</t>
  </si>
  <si>
    <t>MARTINEZ, MELISSA A</t>
  </si>
  <si>
    <t>SIQUEROS, EVANGELINA</t>
  </si>
  <si>
    <t>WHITLOCK, KHALEFAH V</t>
  </si>
  <si>
    <t>SIGALES ORNELAS, VERONICA</t>
  </si>
  <si>
    <t>SANCHEZ, REBECCA S</t>
  </si>
  <si>
    <t>TENNANT, JORDAN A</t>
  </si>
  <si>
    <t>WOHLENHAUS, SARA B</t>
  </si>
  <si>
    <t>AGUIRRE, ESTEBAN</t>
  </si>
  <si>
    <t>CARTER, BRITTANY</t>
  </si>
  <si>
    <t>MOTA, MONICA</t>
  </si>
  <si>
    <t>MORA, FELICITAS</t>
  </si>
  <si>
    <t>MENDOZA, DAISY</t>
  </si>
  <si>
    <t>BAQUERA, MANUEL</t>
  </si>
  <si>
    <t>CHAVEZ, JOSE</t>
  </si>
  <si>
    <t>BARRERAS, BLANCA E</t>
  </si>
  <si>
    <t>REED, MELISSA B</t>
  </si>
  <si>
    <t>MENDOZA, YVONNE T</t>
  </si>
  <si>
    <t>HOLDER, SEBASTIAN P</t>
  </si>
  <si>
    <t>LUCERO, STACEY M</t>
  </si>
  <si>
    <t>WOLF, TAMI</t>
  </si>
  <si>
    <t>FRANCO, LUCIANA G</t>
  </si>
  <si>
    <t>LANDRY, THOMAS</t>
  </si>
  <si>
    <t>CARREON, ARTURO</t>
  </si>
  <si>
    <t>JONES, SHERIENE N</t>
  </si>
  <si>
    <t>CHAROWSKY, CASSANDRA L</t>
  </si>
  <si>
    <t>SALAS, TERESA M</t>
  </si>
  <si>
    <t>AGUILAR, DON D</t>
  </si>
  <si>
    <t>NELSON, CYNTHIA D</t>
  </si>
  <si>
    <t>URBINA, MARIANO</t>
  </si>
  <si>
    <t>CHAMBERS, CAROL J</t>
  </si>
  <si>
    <t>EICHHORN, CATHERINE E</t>
  </si>
  <si>
    <t>BROWN, BRENDA</t>
  </si>
  <si>
    <t>LEDEZMA, JUANITA</t>
  </si>
  <si>
    <t>AGUIRRE, RICHARD</t>
  </si>
  <si>
    <t>JACQUEZ, DOMINGO</t>
  </si>
  <si>
    <t>TORLA, FLORENCE</t>
  </si>
  <si>
    <t>HERNANDEZ, ARTURO</t>
  </si>
  <si>
    <t>OLAGUEZ, BALDOMERO</t>
  </si>
  <si>
    <t>ORTEGA, JOE</t>
  </si>
  <si>
    <t>HERNANDEZ RIVERA, LETICIA M</t>
  </si>
  <si>
    <t>BARRON, MANUEL A</t>
  </si>
  <si>
    <t>PIZANA, NORMA I</t>
  </si>
  <si>
    <t>MEDINA, MARIA T</t>
  </si>
  <si>
    <t>MEZA PENA, GONZALO</t>
  </si>
  <si>
    <t>SANCHEZ, ROBERTO</t>
  </si>
  <si>
    <t>MCNEAL, GLORIA J</t>
  </si>
  <si>
    <t>SANTILLAN, ALEJANDRO</t>
  </si>
  <si>
    <t>OROZCO, CHARLOTTE</t>
  </si>
  <si>
    <t>REEVES, PIEDAD</t>
  </si>
  <si>
    <t>LUNA, RONALD</t>
  </si>
  <si>
    <t>HERNANDEZ, SUSAN</t>
  </si>
  <si>
    <t>PEDREGON, JAIME</t>
  </si>
  <si>
    <t>OROZCO, ALFONSO</t>
  </si>
  <si>
    <t>LUJAN, ELVIRA</t>
  </si>
  <si>
    <t>FLORES, SAMUEL</t>
  </si>
  <si>
    <t>CAMACHO, RUBEN</t>
  </si>
  <si>
    <t>RODRIGUEZ GUTIERREZ, ELENA</t>
  </si>
  <si>
    <t>CARPENTER, FREDRICK A</t>
  </si>
  <si>
    <t>GUEREQUE, EDUARDO</t>
  </si>
  <si>
    <t>SALCIDO, MARIA S</t>
  </si>
  <si>
    <t>TROTTIER, NANCY D</t>
  </si>
  <si>
    <t>STAFFORD, REGINALD A</t>
  </si>
  <si>
    <t>GUERECA, ELSA G</t>
  </si>
  <si>
    <t>SOLIS BARRIOS, EDGAR A</t>
  </si>
  <si>
    <t>FRANCO, HERIBERTO</t>
  </si>
  <si>
    <t>FERNANDEZ, DAVID</t>
  </si>
  <si>
    <t>FRANCO, KENIA L</t>
  </si>
  <si>
    <t>RUIZ, EDUARDO</t>
  </si>
  <si>
    <t>KITCHENS, JAMES</t>
  </si>
  <si>
    <t>MARQUEZ, DAVID</t>
  </si>
  <si>
    <t>ESTRADA, RICHARD</t>
  </si>
  <si>
    <t>FIERRO, EULALIA M</t>
  </si>
  <si>
    <t>LEWIS, JESSICA D</t>
  </si>
  <si>
    <t>VILLARREAL, PATRICIA</t>
  </si>
  <si>
    <t>SNYDER, DANIEL E</t>
  </si>
  <si>
    <t>CAMACHO, JOSE M</t>
  </si>
  <si>
    <t>RIVERA VAZQUEZ, ALBA I</t>
  </si>
  <si>
    <t>OCHOA, GLORIA E</t>
  </si>
  <si>
    <t>HERNANDEZ, TERESA</t>
  </si>
  <si>
    <t>ANDERSON, MARTHA</t>
  </si>
  <si>
    <t>JIMENEZ, SUSANA</t>
  </si>
  <si>
    <t>CASTRO, IANNETTE</t>
  </si>
  <si>
    <t>GOMEZ, ADELA</t>
  </si>
  <si>
    <t>MAYORGA, MARGARITA S</t>
  </si>
  <si>
    <t>LARA, DOLORES</t>
  </si>
  <si>
    <t>GARCIA, MARTHA</t>
  </si>
  <si>
    <t>MARTINEZ, MARIA J</t>
  </si>
  <si>
    <t>PELAYO, VIVIANA</t>
  </si>
  <si>
    <t>ALONSO, ANDRES</t>
  </si>
  <si>
    <t>SALTER, JON-MICHAEL K</t>
  </si>
  <si>
    <t>MARKOWSKI, ROBERT J</t>
  </si>
  <si>
    <t>DELGADO, CELESTINA</t>
  </si>
  <si>
    <t>MINJAREZ, FEDERICO</t>
  </si>
  <si>
    <t>TRUJILLO, ANGELINA</t>
  </si>
  <si>
    <t>TERRY, ETHAN J</t>
  </si>
  <si>
    <t>CORONADO, FERNANDO A</t>
  </si>
  <si>
    <t>GUTIERREZ, LETICIA</t>
  </si>
  <si>
    <t>GEIS, JUNE H</t>
  </si>
  <si>
    <t>MEYER, LYNETTE</t>
  </si>
  <si>
    <t>BELL, VICTORIA E</t>
  </si>
  <si>
    <t>DOMINGUEZ, MIRIAM E</t>
  </si>
  <si>
    <t>CAMARILLO, VIRGINIA M</t>
  </si>
  <si>
    <t>CONTRERAS, ELIZABETH</t>
  </si>
  <si>
    <t>HERNANDEZ, ALEXIS A</t>
  </si>
  <si>
    <t>SOTO, EVANGELINA J</t>
  </si>
  <si>
    <t>COVARUBIAS, ALBINO</t>
  </si>
  <si>
    <t>AVEYTIA, FERNANDO H</t>
  </si>
  <si>
    <t>VELEZ, JUAN J</t>
  </si>
  <si>
    <t>HERNANDEZ, RAUL M</t>
  </si>
  <si>
    <t>GARCIA DE GOMEZ, ARGELIA</t>
  </si>
  <si>
    <t>JACQUES, RAUL</t>
  </si>
  <si>
    <t>MENA, CARLA L</t>
  </si>
  <si>
    <t>TORRES RAMIREZ, CECILIA</t>
  </si>
  <si>
    <t>GONZALES, LIONARDO</t>
  </si>
  <si>
    <t>PULIDO, NORMA</t>
  </si>
  <si>
    <t>VENEGAS, MARY</t>
  </si>
  <si>
    <t>BARCENA, LYDIA L</t>
  </si>
  <si>
    <t>CUEVAS, AGUSTIN</t>
  </si>
  <si>
    <t>FALVEY, NAOMI</t>
  </si>
  <si>
    <t>QUINONEZ, LEANDRO P</t>
  </si>
  <si>
    <t>MIRANDA, JORGE A</t>
  </si>
  <si>
    <t>RIVERA, JULIE A</t>
  </si>
  <si>
    <t>MAYNES, YOLANDA M</t>
  </si>
  <si>
    <t>GARCIA, CONCETTA</t>
  </si>
  <si>
    <t>MONTALVO, CARMEN</t>
  </si>
  <si>
    <t>ARMENDARIZ, FELIPE F</t>
  </si>
  <si>
    <t>KELLEY, JUDY G</t>
  </si>
  <si>
    <t>CAMACHO LOTTI, FRANCISCO J</t>
  </si>
  <si>
    <t>REGALADO, JOSE</t>
  </si>
  <si>
    <t>VILLEGAS, GRISELDA</t>
  </si>
  <si>
    <t>PEREZ, JULIO M</t>
  </si>
  <si>
    <t>MCKENNEY, MAUREEN</t>
  </si>
  <si>
    <t>HOGAN, JOHN</t>
  </si>
  <si>
    <t>HERNANDEZ, LOURDES</t>
  </si>
  <si>
    <t>MENDOZA, LILIA</t>
  </si>
  <si>
    <t>GALINDO, CESAR</t>
  </si>
  <si>
    <t>SERRANO, OSCAR</t>
  </si>
  <si>
    <t>ROSALES, OSCAR</t>
  </si>
  <si>
    <t>SOTO, JAVIER</t>
  </si>
  <si>
    <t>HASKETT, JESSICA</t>
  </si>
  <si>
    <t>ARAGON, CECILIA</t>
  </si>
  <si>
    <t>VALADEZ, WENDY A</t>
  </si>
  <si>
    <t>GALLEGOS, ELOISA</t>
  </si>
  <si>
    <t>VAZQUEZ, ELVIRA A</t>
  </si>
  <si>
    <t>RUVALCABA, CARMEN Y</t>
  </si>
  <si>
    <t>PIERCE, ANDREW S</t>
  </si>
  <si>
    <t>FRIAS, JUAN</t>
  </si>
  <si>
    <t>CAMP, DAWN E</t>
  </si>
  <si>
    <t>ZARATE, MARIA M</t>
  </si>
  <si>
    <t>GASTON, JAMES H</t>
  </si>
  <si>
    <t>GARCIA, SANTIAGO</t>
  </si>
  <si>
    <t>ROJO, NORMA</t>
  </si>
  <si>
    <t>ZAMILPA CONTRERAS, ESTELA</t>
  </si>
  <si>
    <t>MUNOZ, NANCY</t>
  </si>
  <si>
    <t>LOZADA, JADE- MICHAEL</t>
  </si>
  <si>
    <t>STERN-GILBERT, BILLIE K</t>
  </si>
  <si>
    <t>RENTERIA, SUSANA</t>
  </si>
  <si>
    <t>QUINTANILLA, MANUEL J</t>
  </si>
  <si>
    <t>HUNT, SHARON A</t>
  </si>
  <si>
    <t>BARBOZA, GLORIA</t>
  </si>
  <si>
    <t>CAZARES, CONCEPCION</t>
  </si>
  <si>
    <t>LOPEZ, RAMONA P</t>
  </si>
  <si>
    <t>MONTALVO, MARIA D</t>
  </si>
  <si>
    <t>MARTINEZ, PAZ</t>
  </si>
  <si>
    <t>CORONA, JOSE M</t>
  </si>
  <si>
    <t>VALADEZ, CHRISTINA S</t>
  </si>
  <si>
    <t>ESCANDON, DARCI E</t>
  </si>
  <si>
    <t>MARES, ROGELIO</t>
  </si>
  <si>
    <t>CARRERA, JOSE</t>
  </si>
  <si>
    <t>MARTINEZ, MARIA E</t>
  </si>
  <si>
    <t>RIVERA OROZCO, MICHELLE L</t>
  </si>
  <si>
    <t>MARQUEZ, JOSE M</t>
  </si>
  <si>
    <t>DIAGOSTINO, NICOLAS D</t>
  </si>
  <si>
    <t>SALAZAR, RAUL</t>
  </si>
  <si>
    <t>MAIS, DENISE M</t>
  </si>
  <si>
    <t>MESTAS, JESUS</t>
  </si>
  <si>
    <t>HERNANDEZ, LUZ MARCELA</t>
  </si>
  <si>
    <t>SANCHEZ, LUIS A</t>
  </si>
  <si>
    <t>MAGALLANES, GLORIA E</t>
  </si>
  <si>
    <t>LOYA, RAMONA E</t>
  </si>
  <si>
    <t>VIZCAINO, DOLORES R</t>
  </si>
  <si>
    <t>MEDRANO DE RAYGOZA, PATRICIA</t>
  </si>
  <si>
    <t>GRAJEDA, HERMNEJILDA P</t>
  </si>
  <si>
    <t>MORALES, LORENZO A</t>
  </si>
  <si>
    <t>PADILLA, MARTHA</t>
  </si>
  <si>
    <t>ZAYAS, BENJAMIN</t>
  </si>
  <si>
    <t>MCCRANIE, ZACHORY R</t>
  </si>
  <si>
    <t>WARNOCK, TANYA R</t>
  </si>
  <si>
    <t>LEYVA, SARAH</t>
  </si>
  <si>
    <t>BERMEA, IDA H</t>
  </si>
  <si>
    <t>ADAME, MANUEL</t>
  </si>
  <si>
    <t>BUSTILLOS, MANUEL A</t>
  </si>
  <si>
    <t>MONTIJO, OFELIA M</t>
  </si>
  <si>
    <t>JOHNSEN, KATHLEEN A</t>
  </si>
  <si>
    <t>HOLGUIN, ALBINA H</t>
  </si>
  <si>
    <t>MELENDEZ, LUZ E</t>
  </si>
  <si>
    <t>SOLIS, CHARLES F</t>
  </si>
  <si>
    <t>SINGLETON, MARY H</t>
  </si>
  <si>
    <t>REYES, CARMEN I</t>
  </si>
  <si>
    <t>SIERRA, REFUGIO</t>
  </si>
  <si>
    <t>MARQUEZ, MARIA</t>
  </si>
  <si>
    <t>AVILA, MELISSA V</t>
  </si>
  <si>
    <t>GONZALEZ, MARIA Y</t>
  </si>
  <si>
    <t>DESANTOS- JORDAN, MARIA M</t>
  </si>
  <si>
    <t>CISNEROS, LUIS J</t>
  </si>
  <si>
    <t>TORRES, SANDRA</t>
  </si>
  <si>
    <t>PEREZ, DORA</t>
  </si>
  <si>
    <t>BAKER, CHRYSTAL A</t>
  </si>
  <si>
    <t>ALVARADO, GILBERTO</t>
  </si>
  <si>
    <t>DOMINGUEZ, CRISTINA A</t>
  </si>
  <si>
    <t>CARRILLO, ARMANDO</t>
  </si>
  <si>
    <t>ESPINOZA, IRMA B</t>
  </si>
  <si>
    <t>RENTERIA, ALMA</t>
  </si>
  <si>
    <t>LOYA, VICTOR M</t>
  </si>
  <si>
    <t>DORANTES, JESUS</t>
  </si>
  <si>
    <t>GARCIA, ABEL</t>
  </si>
  <si>
    <t>MORAN, LUIS B</t>
  </si>
  <si>
    <t>GRAY, DOUGLAS W</t>
  </si>
  <si>
    <t>ISIC, SILVESTER S</t>
  </si>
  <si>
    <t>LAND, MARIA D</t>
  </si>
  <si>
    <t>HENRY, FELICIA M</t>
  </si>
  <si>
    <t>OLSON, LINDA M</t>
  </si>
  <si>
    <t>GOMEZ, ORALIA</t>
  </si>
  <si>
    <t>ROZIER, LAMEKA C</t>
  </si>
  <si>
    <t>AGUIRRE, DIANA</t>
  </si>
  <si>
    <t>JORDAN, ROBERTO</t>
  </si>
  <si>
    <t>VALENTINO, KAREN J</t>
  </si>
  <si>
    <t>FORSTERLING, WILLIAM</t>
  </si>
  <si>
    <t>GONZALEZ, MICHAEL</t>
  </si>
  <si>
    <t>GEORGE, SHERYL M</t>
  </si>
  <si>
    <t>MARTIN, CHARLES B</t>
  </si>
  <si>
    <t>ROGERS, VALERIE</t>
  </si>
  <si>
    <t>GANDARA, ANTONIA S</t>
  </si>
  <si>
    <t>PONCE, JOSE E</t>
  </si>
  <si>
    <t>MARTINEZ, GUILLERMIN</t>
  </si>
  <si>
    <t>PONCE, ROSEMARY M</t>
  </si>
  <si>
    <t>MATTHEWS, JOHN C</t>
  </si>
  <si>
    <t>GARCIA, FILIBERTO</t>
  </si>
  <si>
    <t>BARAJAS, EDMUNDO</t>
  </si>
  <si>
    <t>VILLALOBOS, TOMAS V</t>
  </si>
  <si>
    <t>SAENZ, BEATRIZ</t>
  </si>
  <si>
    <t>REYES, ROSA</t>
  </si>
  <si>
    <t>DE LA RIVA, MARTHA</t>
  </si>
  <si>
    <t>LIVINGSTON, LESLIE S</t>
  </si>
  <si>
    <t>HARBER, LYNN T</t>
  </si>
  <si>
    <t>HAMMONDS, JANNICE M</t>
  </si>
  <si>
    <t>HAYDEN, EMERAL E</t>
  </si>
  <si>
    <t>BRONSON, DAVARAS</t>
  </si>
  <si>
    <t>DAVIS, SANTA M</t>
  </si>
  <si>
    <t>PRECIADO, DAVID L</t>
  </si>
  <si>
    <t>IZUNDU, CHIEMEKA S</t>
  </si>
  <si>
    <t>AVILA, GREGORIA MONTOYA</t>
  </si>
  <si>
    <t>PURLAN, DEBORAH</t>
  </si>
  <si>
    <t>MAEDA, FRANK J</t>
  </si>
  <si>
    <t>MARTINEZMALDONADO, EDWIN J</t>
  </si>
  <si>
    <t>MARTINEZ, LUIS C</t>
  </si>
  <si>
    <t>LARA, YOLANDA</t>
  </si>
  <si>
    <t>POSADA, GUILLERMO</t>
  </si>
  <si>
    <t>CONNELLY, REBECCA L</t>
  </si>
  <si>
    <t>NICHELSON, AMY B</t>
  </si>
  <si>
    <t>MORALES, GILBERTO</t>
  </si>
  <si>
    <t>FLORES, JUAN G</t>
  </si>
  <si>
    <t>CASTRO, MIGUEL M</t>
  </si>
  <si>
    <t>MANNING, DALE M</t>
  </si>
  <si>
    <t>ALMARAZ, DENISSE</t>
  </si>
  <si>
    <t>RUELAS, BEATRIZ</t>
  </si>
  <si>
    <t>STEPHENS, SHONTE</t>
  </si>
  <si>
    <t>OLSON, PATRICIA M</t>
  </si>
  <si>
    <t>SALAZAR, TRINIDAD</t>
  </si>
  <si>
    <t>HUGHES, JOHN D</t>
  </si>
  <si>
    <t>COLEMAN, DEBRA L</t>
  </si>
  <si>
    <t>LOPEZ, NICOLASA</t>
  </si>
  <si>
    <t>BAXTER, CHARLES W</t>
  </si>
  <si>
    <t>YSALDE, ROBBIE G</t>
  </si>
  <si>
    <t>REYNA, GUADALUPE</t>
  </si>
  <si>
    <t>WEIDNER, JUANITA Y</t>
  </si>
  <si>
    <t>BERRY, CHRISTINA L</t>
  </si>
  <si>
    <t>GORDINIER, ELLA E</t>
  </si>
  <si>
    <t>HAIR, JOSHUA J</t>
  </si>
  <si>
    <t>CASTRUITA, ROSA</t>
  </si>
  <si>
    <t>SMITH, DEBORAH E</t>
  </si>
  <si>
    <t>VILLALOBOS, LETICIA</t>
  </si>
  <si>
    <t>VASQUEZ, OSVALDO</t>
  </si>
  <si>
    <t>ORTEGA, DAVID R</t>
  </si>
  <si>
    <t>QUINTANA, JOHN W</t>
  </si>
  <si>
    <t>VILLEGAS, TOMAS A</t>
  </si>
  <si>
    <t>MARTINEZ, SAUL</t>
  </si>
  <si>
    <t>HART, MICHAEL M</t>
  </si>
  <si>
    <t>PUNZO, CELIA</t>
  </si>
  <si>
    <t>HERNANDEZ, ANA A</t>
  </si>
  <si>
    <t>PULIDO, MARGARITA</t>
  </si>
  <si>
    <t>SABO, ALICIA</t>
  </si>
  <si>
    <t>HOPPER, WAYNE</t>
  </si>
  <si>
    <t>KELLEY, FANNIE M</t>
  </si>
  <si>
    <t>MOHRHERR, GERTRUD</t>
  </si>
  <si>
    <t>SANCHEZ, CONCEPCION</t>
  </si>
  <si>
    <t>CERVANTES, CIRILOL</t>
  </si>
  <si>
    <t>HURTADO, MARIA J</t>
  </si>
  <si>
    <t>SUBOTER-JOHNSON, DAWN A</t>
  </si>
  <si>
    <t>ROGERS, LIZETTE</t>
  </si>
  <si>
    <t>CAMARENA, EVANGELINA</t>
  </si>
  <si>
    <t>PAYARES, BRENDA</t>
  </si>
  <si>
    <t>ESTRADA, RAUL</t>
  </si>
  <si>
    <t>GUFFEY, KRISTI</t>
  </si>
  <si>
    <t>SMITH, LINDA L</t>
  </si>
  <si>
    <t>NAJERA, MARCOS L</t>
  </si>
  <si>
    <t>CROCKETT, MARK D</t>
  </si>
  <si>
    <t>ROJO, RAMON</t>
  </si>
  <si>
    <t>SARABIA, ASHLEY</t>
  </si>
  <si>
    <t>HUGHES, WILLIAM W</t>
  </si>
  <si>
    <t>CHRISTIANSON, HEATHER N</t>
  </si>
  <si>
    <t>TORREZ, FRANK M</t>
  </si>
  <si>
    <t>ACUNA, VICTOR R</t>
  </si>
  <si>
    <t>MULLEN, PAM V</t>
  </si>
  <si>
    <t>ARIAS, IRENE</t>
  </si>
  <si>
    <t>BOEHM, THOMAS P</t>
  </si>
  <si>
    <t>MURGA, TOMAS J</t>
  </si>
  <si>
    <t>MELENDEZ, PAUL A</t>
  </si>
  <si>
    <t>GARCIA, ADRIANA</t>
  </si>
  <si>
    <t>GARCIA, MARIA F</t>
  </si>
  <si>
    <t>HERNANDEZ, CECILIA</t>
  </si>
  <si>
    <t>IBARRA, BRANDON E</t>
  </si>
  <si>
    <t>GALLARDO, RAMONA</t>
  </si>
  <si>
    <t>RANGEL, JUAN</t>
  </si>
  <si>
    <t>VILLALPANDO, BERTHA A</t>
  </si>
  <si>
    <t>ANAYA, GUADALUPE L</t>
  </si>
  <si>
    <t>TRUJILLO, EFRAIN E</t>
  </si>
  <si>
    <t>HERNANDEZ, PAULINO</t>
  </si>
  <si>
    <t>WILLIAMS, KEITH</t>
  </si>
  <si>
    <t>ISELIN, KELSIE J</t>
  </si>
  <si>
    <t>STRIPLIN, JUANITA L</t>
  </si>
  <si>
    <t>VELARDE, DANIEL</t>
  </si>
  <si>
    <t>RODRIGUEZ, ARTURO</t>
  </si>
  <si>
    <t>SANDOVAL, SYLVIA M</t>
  </si>
  <si>
    <t>CASTRO, MARIA P</t>
  </si>
  <si>
    <t>ORRANTIA, GERARDO R</t>
  </si>
  <si>
    <t>SMITH, LATASHIA K</t>
  </si>
  <si>
    <t>FIELDEN, HORACE W</t>
  </si>
  <si>
    <t>BERNAL, ROSA M</t>
  </si>
  <si>
    <t>SOTO, CECILIA T</t>
  </si>
  <si>
    <t>GUTIERREZ, LIDIA</t>
  </si>
  <si>
    <t>RODRIGUEZ, DEBORAH C</t>
  </si>
  <si>
    <t>ESCALERA, HEIDI</t>
  </si>
  <si>
    <t>BRAVO, ANA L</t>
  </si>
  <si>
    <t>VAZQUEZ, MARIA L</t>
  </si>
  <si>
    <t>GARCIA, ALEJANDRA</t>
  </si>
  <si>
    <t>CARLTON, DEANNA C</t>
  </si>
  <si>
    <t>ARMENTA, GILBERTO</t>
  </si>
  <si>
    <t>SOLIS, MARIA D</t>
  </si>
  <si>
    <t>QUEZADA-DIAMONDSTEIN, MARIA D</t>
  </si>
  <si>
    <t>MADRID, ANGELES</t>
  </si>
  <si>
    <t>CHAVEZ, MARIA I</t>
  </si>
  <si>
    <t>MELENDEZ, YVETTE</t>
  </si>
  <si>
    <t>DAVOUST, ELIZABETH A</t>
  </si>
  <si>
    <t>MAHONEY, MARY</t>
  </si>
  <si>
    <t>GOELDNER, VIRGINIA</t>
  </si>
  <si>
    <t>GUERRERO, CLAUDIA Y</t>
  </si>
  <si>
    <t>GONZALEZ, CARMEN M</t>
  </si>
  <si>
    <t>SILVA, SUSANA</t>
  </si>
  <si>
    <t>SILVA, VERONICA</t>
  </si>
  <si>
    <t>AVALOS, MARIA G</t>
  </si>
  <si>
    <t>ACOSTA, FERMIN</t>
  </si>
  <si>
    <t>SALCEDO, ANA R</t>
  </si>
  <si>
    <t>PEREZ, CARLOS A</t>
  </si>
  <si>
    <t>CORDERO, RODOLFO M</t>
  </si>
  <si>
    <t>SUMPTER, MAURICE T</t>
  </si>
  <si>
    <t>HERNANDEZ, RAFAEL</t>
  </si>
  <si>
    <t>VASQUEZ PARGA, MAGDALENA</t>
  </si>
  <si>
    <t>SALDIVAR, CRISTINA</t>
  </si>
  <si>
    <t>JUAREZ, MELISSA M</t>
  </si>
  <si>
    <t>BROWNLEE, WILBUR H</t>
  </si>
  <si>
    <t>HAGLAND, MARIA L</t>
  </si>
  <si>
    <t>HERNANDEZ, ALFRED V</t>
  </si>
  <si>
    <t>FRAUSTO, FRANCIS</t>
  </si>
  <si>
    <t>CASTORENA, JOSE R</t>
  </si>
  <si>
    <t>GARDEA, CECILIA</t>
  </si>
  <si>
    <t>GUERRA, WENDY</t>
  </si>
  <si>
    <t>GOVEA, ALEXANDRIA G</t>
  </si>
  <si>
    <t>SILVAS- PAZ, YVETTE</t>
  </si>
  <si>
    <t>MARRUFO, ESTELA</t>
  </si>
  <si>
    <t>CANGAS, BERENICE F</t>
  </si>
  <si>
    <t>FRAIRE ALVAREZ, JUANITA</t>
  </si>
  <si>
    <t>ALMENDARIZ, LORENA M</t>
  </si>
  <si>
    <t>ZARATE, RUDY C</t>
  </si>
  <si>
    <t>OAXACA, YVETTE</t>
  </si>
  <si>
    <t>RAMIREZ, LUIS C</t>
  </si>
  <si>
    <t>MORALES JUAREZ, MARTHA E</t>
  </si>
  <si>
    <t>LERMA, MARIA S</t>
  </si>
  <si>
    <t>GONZALEZ, TRINIDAD</t>
  </si>
  <si>
    <t>FLORES, ARMANDO</t>
  </si>
  <si>
    <t>GUTIERREZ, MARTHA</t>
  </si>
  <si>
    <t>BIDDLE, NANCY J</t>
  </si>
  <si>
    <t>LOPEZ ARMENDARIZ, VIRGINIA</t>
  </si>
  <si>
    <t>RAZO, RICHARD</t>
  </si>
  <si>
    <t>DUENAS, ROBERTO</t>
  </si>
  <si>
    <t>VILLA, MARIA D</t>
  </si>
  <si>
    <t>ALDAMA, MARIA D</t>
  </si>
  <si>
    <t>MIER, HECTOR A</t>
  </si>
  <si>
    <t>NUNN, CHERYL L</t>
  </si>
  <si>
    <t>MARTINEZ DE ORTIZ, MARICELA</t>
  </si>
  <si>
    <t>MOORE, REBECCA A</t>
  </si>
  <si>
    <t>ARELLANO, PATRICIA A</t>
  </si>
  <si>
    <t>FICETO, DONNA M</t>
  </si>
  <si>
    <t>RODRIGUEZ, ANTONIO</t>
  </si>
  <si>
    <t>SPANGLER, BARBARA J</t>
  </si>
  <si>
    <t>SOTO, MARIA E</t>
  </si>
  <si>
    <t>CASTILLO MARQUEZ, JOSE G</t>
  </si>
  <si>
    <t>TARANGO, RALPH JR</t>
  </si>
  <si>
    <t>AGUIRRE, MARIA A</t>
  </si>
  <si>
    <t>GARCIA REYES, MOISES</t>
  </si>
  <si>
    <t>RAMIREZ, JESUS M</t>
  </si>
  <si>
    <t>DURAN, HERMINIA C</t>
  </si>
  <si>
    <t>LUJAN, ARMANDO V</t>
  </si>
  <si>
    <t>SCHWER, ROSEMARY</t>
  </si>
  <si>
    <t>FLORES, MARIA G</t>
  </si>
  <si>
    <t>RIVAS, SALVADOR</t>
  </si>
  <si>
    <t>LEE, TAMIKKA S</t>
  </si>
  <si>
    <t>MARIN, ESPERANZA</t>
  </si>
  <si>
    <t>PORTILLO, ROBERTO</t>
  </si>
  <si>
    <t>DAVILA, MARIA E</t>
  </si>
  <si>
    <t>ROUSH, JASON A</t>
  </si>
  <si>
    <t>PRIETO, ISMAEL</t>
  </si>
  <si>
    <t>SAENZ, SELENA</t>
  </si>
  <si>
    <t>PATINO, SILVIA</t>
  </si>
  <si>
    <t>DE LA CRUZ, LIDIA F</t>
  </si>
  <si>
    <t>NEVAREZ, GUADALUPE A</t>
  </si>
  <si>
    <t>MONTERO, JUAN A</t>
  </si>
  <si>
    <t>PRENDERGAST, ELIZABETH</t>
  </si>
  <si>
    <t>MOTZ, PEGGY L</t>
  </si>
  <si>
    <t>WARREN, PATIRICIA</t>
  </si>
  <si>
    <t>TORRES, JUAN A</t>
  </si>
  <si>
    <t>CASTANEDA, JOSEFA</t>
  </si>
  <si>
    <t>YANEZ, JOSE Q</t>
  </si>
  <si>
    <t>GUTIERREZ, MARIA D</t>
  </si>
  <si>
    <t>MCGILL, MARIA E</t>
  </si>
  <si>
    <t>GUTIERREZ, ROBERTO D</t>
  </si>
  <si>
    <t>GUTIERREZ-BARRON, PABLO S</t>
  </si>
  <si>
    <t>MIRELES, JUAN A</t>
  </si>
  <si>
    <t>ORRANTIA, ARMANDO</t>
  </si>
  <si>
    <t>SANDOVAL, DOLORES F</t>
  </si>
  <si>
    <t>MARCIALESPINOSA, JUNIOR</t>
  </si>
  <si>
    <t>DATTAGE, ARIELL</t>
  </si>
  <si>
    <t>ARNOLD, JOHN P</t>
  </si>
  <si>
    <t>GARCIA, LARRY</t>
  </si>
  <si>
    <t>TOBIAS, ARLENE</t>
  </si>
  <si>
    <t>FRANCO, JUAN D</t>
  </si>
  <si>
    <t>CASTILLO, JOSE L</t>
  </si>
  <si>
    <t>DIAZ, MIGUEL</t>
  </si>
  <si>
    <t>ARVIZU, RODRIGO</t>
  </si>
  <si>
    <t>FANG ORDUNA, GENARO</t>
  </si>
  <si>
    <t>MCGLAUN, DON W</t>
  </si>
  <si>
    <t>DIAZ, EDWIN</t>
  </si>
  <si>
    <t>FOWLIE, THOMAS G</t>
  </si>
  <si>
    <t>GUEVARA, DONNA A</t>
  </si>
  <si>
    <t>ACOSTA, NORMA L</t>
  </si>
  <si>
    <t>MUNOZ, GUADALUPE</t>
  </si>
  <si>
    <t>MELENDEZ, ROSEMARY</t>
  </si>
  <si>
    <t>CRUZ, MIGUEL A</t>
  </si>
  <si>
    <t>SIPPIO-JAMES, TOREY</t>
  </si>
  <si>
    <t>DIAZ, GENOVEVA</t>
  </si>
  <si>
    <t>LOYA, DANIEL</t>
  </si>
  <si>
    <t>GURROLAREVELES, MARCO A</t>
  </si>
  <si>
    <t>QUESADA, JORGE</t>
  </si>
  <si>
    <t>FINNEN, JAMES E</t>
  </si>
  <si>
    <t>COLWELL, STEPHEN B</t>
  </si>
  <si>
    <t>PEREZ, ALMA C</t>
  </si>
  <si>
    <t>GONZALEZ, ELIA E</t>
  </si>
  <si>
    <t>LEE, MARIA M</t>
  </si>
  <si>
    <t>ARIAS, FRANCISCO</t>
  </si>
  <si>
    <t>BALDERRAMA, ROSA</t>
  </si>
  <si>
    <t>BANKS, MICHAEL A</t>
  </si>
  <si>
    <t>GONZALEZ, LUIS G</t>
  </si>
  <si>
    <t>GARCIA, LORENA M</t>
  </si>
  <si>
    <t>MADRID, MODESTO</t>
  </si>
  <si>
    <t>ALBA, LORENZO</t>
  </si>
  <si>
    <t>LAPOSA, JOHNATHAN M</t>
  </si>
  <si>
    <t>MAREZ, EMILIA</t>
  </si>
  <si>
    <t>LOPEZ, LORENA M</t>
  </si>
  <si>
    <t>DE LEON, MARIA E</t>
  </si>
  <si>
    <t>FLORES, ROBERTO</t>
  </si>
  <si>
    <t>KNIGHT, KAY-LA</t>
  </si>
  <si>
    <t>ADAME, TERESA M</t>
  </si>
  <si>
    <t>MARIN, CARLOS E</t>
  </si>
  <si>
    <t>FRANCO, SUKY</t>
  </si>
  <si>
    <t>PONCE SOLORZANO, ARMANDO</t>
  </si>
  <si>
    <t>ESPARZA, LETICIA</t>
  </si>
  <si>
    <t>ESPARZA, XAVIER A</t>
  </si>
  <si>
    <t>NAVARRO MOLINA, SAMUEL</t>
  </si>
  <si>
    <t>HARDY, KIMBERLY</t>
  </si>
  <si>
    <t>CAIN, MYRON E</t>
  </si>
  <si>
    <t>CUTRER, DIANNA S</t>
  </si>
  <si>
    <t>SMITH, CHARLES</t>
  </si>
  <si>
    <t>RODRIGUEZ, VALERIE A</t>
  </si>
  <si>
    <t>GAMILLO, NORMA</t>
  </si>
  <si>
    <t>SILVA, PRUDENCIA</t>
  </si>
  <si>
    <t>PETTEYS, SUZAN</t>
  </si>
  <si>
    <t>SARABIA, AMANDA J</t>
  </si>
  <si>
    <t>HINOJOS, LIDIA</t>
  </si>
  <si>
    <t>PINEDA, MARIA C</t>
  </si>
  <si>
    <t>GARCIA, GUADALUPE D</t>
  </si>
  <si>
    <t>RAMOS, PATRICIA</t>
  </si>
  <si>
    <t>PADILLA, MARISSA E</t>
  </si>
  <si>
    <t>CAMPOS, MARIA L</t>
  </si>
  <si>
    <t>ARIAS, GUILLERMO</t>
  </si>
  <si>
    <t>GOMEZ, VANESSA</t>
  </si>
  <si>
    <t>RUSH, ADAM C</t>
  </si>
  <si>
    <t>OLIVAS LERMA, JULIO C</t>
  </si>
  <si>
    <t>DUKES, ARLENE M</t>
  </si>
  <si>
    <t>VEGA, KEVIN J</t>
  </si>
  <si>
    <t>DOMINGUEZ, LYDIA</t>
  </si>
  <si>
    <t>BALLI, JOSEPH E</t>
  </si>
  <si>
    <t>MONTES, RAYMUNDO</t>
  </si>
  <si>
    <t>RAMIREZ, ALICIA O</t>
  </si>
  <si>
    <t>TITUS, DOLLY</t>
  </si>
  <si>
    <t>LUNA, ANGELICA</t>
  </si>
  <si>
    <t>QUINONES, OTILIA</t>
  </si>
  <si>
    <t>QUINTANA, MARIA L</t>
  </si>
  <si>
    <t>LEOS, ANNETTE</t>
  </si>
  <si>
    <t>LOPEZ GARCIA, EUGENIA</t>
  </si>
  <si>
    <t>GAMON, ROSEMARY</t>
  </si>
  <si>
    <t>QUEVEDO, MARIA</t>
  </si>
  <si>
    <t>DANCIGER, ANNA</t>
  </si>
  <si>
    <t>CURTIS, YVONNE</t>
  </si>
  <si>
    <t>RAGA, GUADALUPE</t>
  </si>
  <si>
    <t>CASTILLO, CARLOS</t>
  </si>
  <si>
    <t>ESPARZA, ROSA M</t>
  </si>
  <si>
    <t>JUEN, WILLIAM R</t>
  </si>
  <si>
    <t>CERDA, DEBRA A</t>
  </si>
  <si>
    <t>ORTIZ, DEBRA</t>
  </si>
  <si>
    <t>SALAS, JOSEPH A</t>
  </si>
  <si>
    <t>FRANCO, BRIAN M</t>
  </si>
  <si>
    <t>QUINONEZ, JAIME</t>
  </si>
  <si>
    <t>LOZANO, HERMENEGILDO J</t>
  </si>
  <si>
    <t>ROSALES, INOCENCIO</t>
  </si>
  <si>
    <t>PIZANA, URSULA O</t>
  </si>
  <si>
    <t>CALAVENNA, MARTIN G</t>
  </si>
  <si>
    <t>HARRISON, JOAN R</t>
  </si>
  <si>
    <t>COBB, SHARON I</t>
  </si>
  <si>
    <t>LEVARIO, SAUL</t>
  </si>
  <si>
    <t>JORDAN, DAVID</t>
  </si>
  <si>
    <t>NUNEZ, GUADALUPE</t>
  </si>
  <si>
    <t>MEZA, MARIA DEL CARMEN</t>
  </si>
  <si>
    <t>RUIZ, MARIA G</t>
  </si>
  <si>
    <t>THOMPSON, SHAINE N</t>
  </si>
  <si>
    <t>BELTRAN, JORGE</t>
  </si>
  <si>
    <t>CABALES, LAMBERT B</t>
  </si>
  <si>
    <t>ESPARZA, YOLANDA</t>
  </si>
  <si>
    <t>SOLTERO, MIGUEL M</t>
  </si>
  <si>
    <t>MARTINEZ, SEVERO</t>
  </si>
  <si>
    <t>HERNANDEZ, RICARDO</t>
  </si>
  <si>
    <t>ARREDONDO VEGA, J REYES</t>
  </si>
  <si>
    <t>GALLEGOS, ANGEL M</t>
  </si>
  <si>
    <t>NAVARRETE, RICARDO</t>
  </si>
  <si>
    <t>BENTON, ERMILA</t>
  </si>
  <si>
    <t>ROBLEDO, IDA M</t>
  </si>
  <si>
    <t>FULLER, CHARLES M</t>
  </si>
  <si>
    <t>SALVIDREZ, ELISA</t>
  </si>
  <si>
    <t>CISNEY, LAURA J</t>
  </si>
  <si>
    <t>BAUTISTA, ARTURO</t>
  </si>
  <si>
    <t>ESPINOZA, MARIA I</t>
  </si>
  <si>
    <t>EMERY, JOHN</t>
  </si>
  <si>
    <t>RAMOS, ELLA A</t>
  </si>
  <si>
    <t>POLANCO, LIZBETTE</t>
  </si>
  <si>
    <t>RUIZ, JANIE D</t>
  </si>
  <si>
    <t>MORALES, OMAR</t>
  </si>
  <si>
    <t>GARCIA CORONA, LAURA</t>
  </si>
  <si>
    <t>NUNEZ, ALBERTO</t>
  </si>
  <si>
    <t>SOLIS, HELGA A</t>
  </si>
  <si>
    <t>PADILLA, LILIA P</t>
  </si>
  <si>
    <t>BROOKS, ZAIMIS R</t>
  </si>
  <si>
    <t>MARQUEZ, ELVIRA</t>
  </si>
  <si>
    <t>GUTIERREZ, LILIA A</t>
  </si>
  <si>
    <t>MELENDEZ, ADRIANA J</t>
  </si>
  <si>
    <t>FRANCO, ROXANNE R</t>
  </si>
  <si>
    <t>ULLOA, MIGUEL A</t>
  </si>
  <si>
    <t>GARDNER, GARY C</t>
  </si>
  <si>
    <t>MOLINAR, YVETTE T</t>
  </si>
  <si>
    <t>GARCIA, MARGARITA</t>
  </si>
  <si>
    <t>VASQUEZ, ALYCIA Y</t>
  </si>
  <si>
    <t>GARCIA, CARMEN A</t>
  </si>
  <si>
    <t>ORTIZ, MARIA D</t>
  </si>
  <si>
    <t>ESPARZA, JOSE JR</t>
  </si>
  <si>
    <t>ELIAS, YVONNE</t>
  </si>
  <si>
    <t>RUBIO, LORENZA C</t>
  </si>
  <si>
    <t>LOPEZ, BEATRIZ</t>
  </si>
  <si>
    <t>REYES, CELIA R</t>
  </si>
  <si>
    <t>ROMAN, IVAN A</t>
  </si>
  <si>
    <t>SIMPSON, DENISE</t>
  </si>
  <si>
    <t>CENDEJAS, SUSANA E</t>
  </si>
  <si>
    <t>DURAN, SANTIAGO</t>
  </si>
  <si>
    <t>PANTOJA, CYNTHIA A</t>
  </si>
  <si>
    <t>RAMIREZ, LUZ V</t>
  </si>
  <si>
    <t>TALBOT, ROSA</t>
  </si>
  <si>
    <t>CABALLERO, MARY J</t>
  </si>
  <si>
    <t>ZAVALA, ERICA R</t>
  </si>
  <si>
    <t>ADZIMAHE, EVELYN M</t>
  </si>
  <si>
    <t>CARRILLO, ANTHONY V</t>
  </si>
  <si>
    <t>ROBLES LEYVA, RAMON</t>
  </si>
  <si>
    <t>AGUIRRE, JESUS</t>
  </si>
  <si>
    <t>CHAPMAN, RANDY R</t>
  </si>
  <si>
    <t>HOLGUIN, ROSA E</t>
  </si>
  <si>
    <t>JUAREZ, FLORENCIA</t>
  </si>
  <si>
    <t>GARCIA, DOLORES E</t>
  </si>
  <si>
    <t>PENA, RODOLFO</t>
  </si>
  <si>
    <t>BLANQUEZ, JACQUELINE</t>
  </si>
  <si>
    <t>VILLA, MELISSA C</t>
  </si>
  <si>
    <t>VEGA, CARMEN</t>
  </si>
  <si>
    <t>BECERRA, MARIA F</t>
  </si>
  <si>
    <t>CARAGON, MARIA C</t>
  </si>
  <si>
    <t>LANE, CHANTILLY N</t>
  </si>
  <si>
    <t>FLORES, JOSHUA K</t>
  </si>
  <si>
    <t>ORTIZ, MARIA Y</t>
  </si>
  <si>
    <t>GARCIA, GLORIA G</t>
  </si>
  <si>
    <t>SERRANO, MARY M</t>
  </si>
  <si>
    <t>MOLINA, CARMEN</t>
  </si>
  <si>
    <t>LUNA SANCHEZ, JOSEFINA</t>
  </si>
  <si>
    <t>DE LA ROSA, CRUZ T</t>
  </si>
  <si>
    <t>LUNA, SOURAYA</t>
  </si>
  <si>
    <t>QUINONES CARRILLO, MARIA S</t>
  </si>
  <si>
    <t>VANDENBURG, ALICE V</t>
  </si>
  <si>
    <t>BUTLER, ADAM W</t>
  </si>
  <si>
    <t>LONG, DARELL</t>
  </si>
  <si>
    <t>SANTOYO, CONSTANTINA</t>
  </si>
  <si>
    <t>LOPEZ, PAULA</t>
  </si>
  <si>
    <t>TORRES, SANTA</t>
  </si>
  <si>
    <t>MEDINA, JOSE</t>
  </si>
  <si>
    <t>SOBARZO DE BARRERA, IVONNE</t>
  </si>
  <si>
    <t>DEL CORRO, MARIA</t>
  </si>
  <si>
    <t>GAYTAN, VERONICA</t>
  </si>
  <si>
    <t>CADENA, HERMENEGILDA B</t>
  </si>
  <si>
    <t>VILLANUEVA, CARMEN</t>
  </si>
  <si>
    <t>GALLARDO, RAYMOND D</t>
  </si>
  <si>
    <t>GONZALEZ, AMALIA</t>
  </si>
  <si>
    <t>SERRANO, IMELDA V</t>
  </si>
  <si>
    <t>RODRIGUEZ, PAULA</t>
  </si>
  <si>
    <t>LASALDE, SANDRA</t>
  </si>
  <si>
    <t>PEREZ, CARMEN</t>
  </si>
  <si>
    <t>AGUILAR, IMELDA A</t>
  </si>
  <si>
    <t>WALKER, CLARA</t>
  </si>
  <si>
    <t>PADILLA, JOSE</t>
  </si>
  <si>
    <t>PLUMMER, JANET M</t>
  </si>
  <si>
    <t>SALCIDO, ESTELA</t>
  </si>
  <si>
    <t>RAMIREZ, HUMBERTO</t>
  </si>
  <si>
    <t>SALANDY, ARLENE B</t>
  </si>
  <si>
    <t>CHAVEZ, MARIA E</t>
  </si>
  <si>
    <t>MIRAMONTES, JOSE M</t>
  </si>
  <si>
    <t>GONZALEZ, ESPERANZA</t>
  </si>
  <si>
    <t>RODRIGUEZ GONZALEZ, YVETTE</t>
  </si>
  <si>
    <t>ENRIQUEZ, ROSA M</t>
  </si>
  <si>
    <t>DRAYTON, FLORA R</t>
  </si>
  <si>
    <t>COZAD-FULLER, KAREN S</t>
  </si>
  <si>
    <t>AVALOS, SYLVIA</t>
  </si>
  <si>
    <t>GRAY, ALICE</t>
  </si>
  <si>
    <t>GONZALEZ, IRMA</t>
  </si>
  <si>
    <t>FAJARDO, JORGE</t>
  </si>
  <si>
    <t>SHAND, MARVELENE M</t>
  </si>
  <si>
    <t>CHAPPELL, JONATHAN A</t>
  </si>
  <si>
    <t>GARCIA, NANCY M</t>
  </si>
  <si>
    <t>GAVALDON, BERTHA</t>
  </si>
  <si>
    <t>PATRICK, JONAS W</t>
  </si>
  <si>
    <t>OLVERA, CONCEPCION</t>
  </si>
  <si>
    <t>REYES, KATHY</t>
  </si>
  <si>
    <t>LOPEZ, FERNANDO</t>
  </si>
  <si>
    <t>TORRES, HERIBERTO</t>
  </si>
  <si>
    <t>CARRILLO, OFELIA</t>
  </si>
  <si>
    <t>VILLANUEVA, FELIPE</t>
  </si>
  <si>
    <t>CADENA, YESENIA</t>
  </si>
  <si>
    <t>ESCALANTE, MARIO LUIS JR</t>
  </si>
  <si>
    <t>ALARCON, SONIA</t>
  </si>
  <si>
    <t>GIRARD, WILLIAM PAUL</t>
  </si>
  <si>
    <t>HERNANDEZ, ARNULFO</t>
  </si>
  <si>
    <t>MARQUEZ, SAUL E</t>
  </si>
  <si>
    <t>ALBERTO, MARLENE</t>
  </si>
  <si>
    <t>PINON DE BELTRAN, GLORIA R</t>
  </si>
  <si>
    <t>GARCIA, GRACIELA</t>
  </si>
  <si>
    <t>APODACA, MARIA E</t>
  </si>
  <si>
    <t>VALDEZ, MONICA</t>
  </si>
  <si>
    <t>QUINONES, DANIEL S</t>
  </si>
  <si>
    <t>MOORE, TERESA</t>
  </si>
  <si>
    <t>WILLIAMS, CURT L</t>
  </si>
  <si>
    <t>RAMIREZ, MARIA D</t>
  </si>
  <si>
    <t>CORRAL DEL PALMA, BERTHA</t>
  </si>
  <si>
    <t>OLIVAS, GERARDO</t>
  </si>
  <si>
    <t>VACIO, GUADALUPE</t>
  </si>
  <si>
    <t>ROMERO, LETICIA</t>
  </si>
  <si>
    <t>RENTERIA, SARA L</t>
  </si>
  <si>
    <t>RODRIGUEZ, JOSE</t>
  </si>
  <si>
    <t>RODRIGUEZ, REBECCA</t>
  </si>
  <si>
    <t>GODINEZ, CARLA</t>
  </si>
  <si>
    <t>NIETO, LUZ M</t>
  </si>
  <si>
    <t>SPENCER, CHARLES</t>
  </si>
  <si>
    <t>CANO, SOTERA B</t>
  </si>
  <si>
    <t>ROGERS, STEVEN R</t>
  </si>
  <si>
    <t>LOZANO, MARIA S</t>
  </si>
  <si>
    <t>VIZCAINO, JULIA</t>
  </si>
  <si>
    <t>RAMIREZ, MARIANO</t>
  </si>
  <si>
    <t>SOSA, DORIS</t>
  </si>
  <si>
    <t>CHAVEZ, CONCEPCION P</t>
  </si>
  <si>
    <t>JIMENEZ, ADELINA J</t>
  </si>
  <si>
    <t>LOPEZ, BOBBY</t>
  </si>
  <si>
    <t>GAENZLE, GORDON</t>
  </si>
  <si>
    <t>CASTANEDA, LILIA</t>
  </si>
  <si>
    <t>MARRUFO, MARK</t>
  </si>
  <si>
    <t>GARDNER, TERSEA M</t>
  </si>
  <si>
    <t>FAVELA, JORGE</t>
  </si>
  <si>
    <t>PEREZ, BEATRICE</t>
  </si>
  <si>
    <t>JONES, EDRENA S</t>
  </si>
  <si>
    <t>PRIEMER, CARLOS G</t>
  </si>
  <si>
    <t>RAMIREZ, CECILIA</t>
  </si>
  <si>
    <t>NERIA, ELIZABETH</t>
  </si>
  <si>
    <t>ESCAJEDA, JAVIER</t>
  </si>
  <si>
    <t>PAZ, JUAN</t>
  </si>
  <si>
    <t>ABDULJABER, NAZMEYAH M</t>
  </si>
  <si>
    <t>MENDOZA AUSTIN, ELIA E</t>
  </si>
  <si>
    <t>BURROW, JUSTIN</t>
  </si>
  <si>
    <t>WALL, ANTHONY R</t>
  </si>
  <si>
    <t>WALTERS, SOCORRO P</t>
  </si>
  <si>
    <t>ALVAREZ DE LOPEZ, MAGDALENA</t>
  </si>
  <si>
    <t>MUNOZ PONCE, JOSE D</t>
  </si>
  <si>
    <t>ODIOTT, ANGEL L</t>
  </si>
  <si>
    <t>ARMENDARIZ FLORES, PRIMITIVO</t>
  </si>
  <si>
    <t>GUERRERO, JOSE LUIS</t>
  </si>
  <si>
    <t>SOLIS, JOSE LUIS</t>
  </si>
  <si>
    <t>PERRALDI, JOSE</t>
  </si>
  <si>
    <t>BESS-OBERTO, JORGE D</t>
  </si>
  <si>
    <t>BESS-OBERTO, BLANCA E</t>
  </si>
  <si>
    <t>SALAS, FERNIE</t>
  </si>
  <si>
    <t>BRAVO, MYRIAM</t>
  </si>
  <si>
    <t>SAUNDERS, DARREN E</t>
  </si>
  <si>
    <t>STANBROUGH, LEIGHTON T</t>
  </si>
  <si>
    <t>WEST, TIMOTHY M</t>
  </si>
  <si>
    <t>MCDANIEL, DANA R</t>
  </si>
  <si>
    <t>ALVARADO, SILVIA</t>
  </si>
  <si>
    <t>ELLIOTT, MARY A</t>
  </si>
  <si>
    <t>GUERECA, ANA B</t>
  </si>
  <si>
    <t>BERNAL, GILBERTO</t>
  </si>
  <si>
    <t>BUCKHALTER, JEANETTE</t>
  </si>
  <si>
    <t>VILLANUEVA, JOHANA</t>
  </si>
  <si>
    <t>BENNETT, JULES G</t>
  </si>
  <si>
    <t>GONZALEZ, DORIS</t>
  </si>
  <si>
    <t>URQUIDI, PATRICIA C</t>
  </si>
  <si>
    <t>QUINTERO, URBANO</t>
  </si>
  <si>
    <t>AMRANI, ROBERT J</t>
  </si>
  <si>
    <t>LIRA, MARTHA</t>
  </si>
  <si>
    <t>NAVARRETTE, SAMUEL D</t>
  </si>
  <si>
    <t>MELENDEZ, CATALINA</t>
  </si>
  <si>
    <t>CERECERES, YOLANDA</t>
  </si>
  <si>
    <t>FLORES, MARCELA</t>
  </si>
  <si>
    <t>MEDRANO, CORINA</t>
  </si>
  <si>
    <t>INGRAM, RUTH D</t>
  </si>
  <si>
    <t>CONTRERAS, GREGORIO G</t>
  </si>
  <si>
    <t>ALEXANDER, LEILAMAY B</t>
  </si>
  <si>
    <t>SAMANIEGO, MARY E</t>
  </si>
  <si>
    <t>RENZ, ROBERT G</t>
  </si>
  <si>
    <t>FRANCO, AURORA</t>
  </si>
  <si>
    <t>BENNETT, JULANA</t>
  </si>
  <si>
    <t>KROEGER, ROBERT L</t>
  </si>
  <si>
    <t>GOMEZ-LOZANO, JOSE</t>
  </si>
  <si>
    <t>CARMONA, HILDA</t>
  </si>
  <si>
    <t>ESQUIVEL, CECILIO</t>
  </si>
  <si>
    <t>DIAZ, FRANCISCO</t>
  </si>
  <si>
    <t>FIORE, ALBERTO</t>
  </si>
  <si>
    <t>CARRERA, MONICA</t>
  </si>
  <si>
    <t>RUBIO, JEANETTE M</t>
  </si>
  <si>
    <t>SNELL, CAROLOTTE W</t>
  </si>
  <si>
    <t>SITFUENTES, IRMA</t>
  </si>
  <si>
    <t>DAVIS, MOSES</t>
  </si>
  <si>
    <t>MANON, SERGIO A</t>
  </si>
  <si>
    <t>FUNG, MARIA S</t>
  </si>
  <si>
    <t>FERNANDEZ, JOSEPH</t>
  </si>
  <si>
    <t>GILLESPIE STEELE, YEVETTE</t>
  </si>
  <si>
    <t>MARTINEZ, EVA</t>
  </si>
  <si>
    <t>ANCHONDO, JUAN M</t>
  </si>
  <si>
    <t>GOMEZ, FABIAN</t>
  </si>
  <si>
    <t>SAENZ, ROSA</t>
  </si>
  <si>
    <t>CHAVEZ, MANUELA</t>
  </si>
  <si>
    <t>HOLGUIN, SANDRA P</t>
  </si>
  <si>
    <t>HOLGUIN, YOLANDA R</t>
  </si>
  <si>
    <t>SANDERS, CHRISTINE</t>
  </si>
  <si>
    <t>SARRATORI, GWENDOLINE M</t>
  </si>
  <si>
    <t>HERRERA, MARY G</t>
  </si>
  <si>
    <t>MARRUFO, TERESA</t>
  </si>
  <si>
    <t>TORRES, RAUL G</t>
  </si>
  <si>
    <t>GALINDO, ANITA</t>
  </si>
  <si>
    <t>BERNAL, RAMONA C</t>
  </si>
  <si>
    <t>HERNANDEZ, MARIO</t>
  </si>
  <si>
    <t>GUERRERO DE AGUIRE, MARIA</t>
  </si>
  <si>
    <t>FRANCO, PATRICIA S</t>
  </si>
  <si>
    <t>ESCOBAR, NORMA</t>
  </si>
  <si>
    <t>HAND, MICHAEL K</t>
  </si>
  <si>
    <t>GARCIA-ASTORGA, NORMA C</t>
  </si>
  <si>
    <t>RICO, JOSE O</t>
  </si>
  <si>
    <t>SANCHEZ, BARBARA R</t>
  </si>
  <si>
    <t>COUDER, JAMES S</t>
  </si>
  <si>
    <t>ACOSTA, FELIPE</t>
  </si>
  <si>
    <t>TELLES, EMILIO J</t>
  </si>
  <si>
    <t>BAZIL, OSVALDO D</t>
  </si>
  <si>
    <t>MARTINEZ, BETSABE</t>
  </si>
  <si>
    <t>CAZARES, BENIGNO</t>
  </si>
  <si>
    <t>URIAS, MONICA G</t>
  </si>
  <si>
    <t>GONZALEZ, RICARDO</t>
  </si>
  <si>
    <t>ZARATE, ANTHONY J</t>
  </si>
  <si>
    <t>HERNANDEZ, IRMA P</t>
  </si>
  <si>
    <t>ESPINOZA BETANCOURT, MARIA G</t>
  </si>
  <si>
    <t>MEDINA, SUSANA</t>
  </si>
  <si>
    <t>MENDEZ, JUAN</t>
  </si>
  <si>
    <t>NUNEZ, PETRA H</t>
  </si>
  <si>
    <t>GARDEA, CAMILA M</t>
  </si>
  <si>
    <t>RUNYAN, PATRICIA A</t>
  </si>
  <si>
    <t>RODRIGUEZ CAMPOS, YOLANDA</t>
  </si>
  <si>
    <t>BYERS, LAUREN</t>
  </si>
  <si>
    <t>BARRAGAN, JESUS M</t>
  </si>
  <si>
    <t>ISLA, ADRIANA</t>
  </si>
  <si>
    <t>OYLER, ELLA C</t>
  </si>
  <si>
    <t>DOMINGUEZ OROZCO, FELIPE D</t>
  </si>
  <si>
    <t>HERNANDEZ, FERDERICO</t>
  </si>
  <si>
    <t>HERRIMAN, GENE E</t>
  </si>
  <si>
    <t>CERA, MARISELA</t>
  </si>
  <si>
    <t>HOLGUIN, RODOLFO</t>
  </si>
  <si>
    <t>GARZA, MARIA D</t>
  </si>
  <si>
    <t>ANCHONDO, SARAH G</t>
  </si>
  <si>
    <t>SOTO MARTINEZ, GILBERTO</t>
  </si>
  <si>
    <t>QUINTANA, OSCAR</t>
  </si>
  <si>
    <t>MORENO, CARMEN</t>
  </si>
  <si>
    <t>LOPEZ, LUIS E</t>
  </si>
  <si>
    <t>BORJAS, JORGE</t>
  </si>
  <si>
    <t>LOYA, MARIO S</t>
  </si>
  <si>
    <t>RODARTE, VANESSA</t>
  </si>
  <si>
    <t>GODINA, YOLANDA</t>
  </si>
  <si>
    <t>PORRAS, JENNIFER</t>
  </si>
  <si>
    <t>SANTOS, ONEY S</t>
  </si>
  <si>
    <t>ARIAS, ANA</t>
  </si>
  <si>
    <t>COOK, SOCORRO L</t>
  </si>
  <si>
    <t>HORN, LARRY</t>
  </si>
  <si>
    <t>POPCHOKE, CHRISTOPHER L</t>
  </si>
  <si>
    <t>LAMBERTY FAJ, ROSA M</t>
  </si>
  <si>
    <t>TERRIAN, VIRGINIA M</t>
  </si>
  <si>
    <t>OCHOA, JOSE M</t>
  </si>
  <si>
    <t>QUINTANA, LAILA</t>
  </si>
  <si>
    <t>LANDERS, PRISCILLA</t>
  </si>
  <si>
    <t>VASQUEZ, GILBERT D</t>
  </si>
  <si>
    <t>KELLY, JENNIFER</t>
  </si>
  <si>
    <t>CAMARENA, SARA H</t>
  </si>
  <si>
    <t>RODRIGUEZ, MARTHA J</t>
  </si>
  <si>
    <t>KLOKEID, ANDREW T</t>
  </si>
  <si>
    <t>RICO, FRANK T</t>
  </si>
  <si>
    <t>CASTILLO, JAVIER A</t>
  </si>
  <si>
    <t>DOMINGUEZ, LEOPOLDO</t>
  </si>
  <si>
    <t>JACOBSON, DOUGLAS C</t>
  </si>
  <si>
    <t>LOZANO, TOMAS</t>
  </si>
  <si>
    <t>WOODRUFF, GLORIANNE</t>
  </si>
  <si>
    <t>TERRAZAS, MARCO B</t>
  </si>
  <si>
    <t>NYBERG, GARY E</t>
  </si>
  <si>
    <t>GOMEZ DE BALDERAS, PAULA</t>
  </si>
  <si>
    <t>HEATON, ANN M</t>
  </si>
  <si>
    <t>ALCARAZ, DONNA</t>
  </si>
  <si>
    <t>JIMENEZ, MARTA G</t>
  </si>
  <si>
    <t>HILL, THEODORE</t>
  </si>
  <si>
    <t>APODACA, CLARA</t>
  </si>
  <si>
    <t>GRANILLO, LUDOVICO</t>
  </si>
  <si>
    <t>CASTRO, MARIA V</t>
  </si>
  <si>
    <t>PEREZ, ELVIA L</t>
  </si>
  <si>
    <t>REYES, REFUGIO R</t>
  </si>
  <si>
    <t>FOUST, DELAINA J</t>
  </si>
  <si>
    <t>BAILEY, PATRICK H</t>
  </si>
  <si>
    <t>DIAZ, JOSE M</t>
  </si>
  <si>
    <t>RIOS, BLANCA C</t>
  </si>
  <si>
    <t>GONZALEZ, SERGIO</t>
  </si>
  <si>
    <t>ROBLEDO, CARLOS L</t>
  </si>
  <si>
    <t>CANCHOLA, SOCORRO</t>
  </si>
  <si>
    <t>WILLIAMS, JOHN L</t>
  </si>
  <si>
    <t>SCHUMACHER, JEANINE G</t>
  </si>
  <si>
    <t>YANEZ, ALEJANDRO</t>
  </si>
  <si>
    <t>HIPOLITO, JAVIER G</t>
  </si>
  <si>
    <t>QUINONES, JUAN M</t>
  </si>
  <si>
    <t>DANIELS, SHARRONA L</t>
  </si>
  <si>
    <t>DEIMERLY, LISA B</t>
  </si>
  <si>
    <t>PEREZ, JUVENTINO</t>
  </si>
  <si>
    <t>ROBLES, ERIKA</t>
  </si>
  <si>
    <t>OROZCO, RENE</t>
  </si>
  <si>
    <t>GILLIS, RICHARD F</t>
  </si>
  <si>
    <t>ORTEGA, CECILIA G</t>
  </si>
  <si>
    <t>RODRIGUEZ, CHRISTIAN</t>
  </si>
  <si>
    <t>KROLL, JOHN M</t>
  </si>
  <si>
    <t>MUNRO, MARI M</t>
  </si>
  <si>
    <t>PONZIO, RAUL</t>
  </si>
  <si>
    <t>GUERRERO, GUILLERMO A</t>
  </si>
  <si>
    <t>DOMINGUEZ, MARIA I</t>
  </si>
  <si>
    <t>CONTRERAS, SYLVIA</t>
  </si>
  <si>
    <t>KENNEDY, TAMMY</t>
  </si>
  <si>
    <t>JACOBES, ELIZABETH H</t>
  </si>
  <si>
    <t>BENITEZ, CONSUELO M</t>
  </si>
  <si>
    <t>CAMPOS, ROSA M</t>
  </si>
  <si>
    <t>TORRES, FRANCISCO A</t>
  </si>
  <si>
    <t>FLORES BAZIL, DIDA E</t>
  </si>
  <si>
    <t>ALVAREZ, SERGIO I</t>
  </si>
  <si>
    <t>MADRID, MARIA DEL CARMEN</t>
  </si>
  <si>
    <t>AVILA-BALBUENA, IRMA M</t>
  </si>
  <si>
    <t>HERNANDEZ, SANDRA</t>
  </si>
  <si>
    <t>MICHELLETTI, MARIA DEL REFUGIO R</t>
  </si>
  <si>
    <t>PONCE-DE MUNOZ, LETICIA</t>
  </si>
  <si>
    <t>ATTRIDGE, ROBERT D</t>
  </si>
  <si>
    <t>GAINES, JAMON</t>
  </si>
  <si>
    <t>DOMINGUEZ, ENRIQUETA D</t>
  </si>
  <si>
    <t>AVILA, FELIX</t>
  </si>
  <si>
    <t>ESPERZA, CRYSTAL</t>
  </si>
  <si>
    <t>CONEN, MARY E</t>
  </si>
  <si>
    <t>EDDY, ANITA M</t>
  </si>
  <si>
    <t>DIAZ, RAUL</t>
  </si>
  <si>
    <t>MORALES, MONICA M</t>
  </si>
  <si>
    <t>MOLINAR, ARMANDO</t>
  </si>
  <si>
    <t>OROZCO, MELVA I</t>
  </si>
  <si>
    <t>FAJARDO, RUDOLPH C</t>
  </si>
  <si>
    <t>ADEBUSOYE, BABAWANDE</t>
  </si>
  <si>
    <t>BARLOW, MARILYN</t>
  </si>
  <si>
    <t>COERT-METCALF, REINA L</t>
  </si>
  <si>
    <t>RAMOS, HILDA</t>
  </si>
  <si>
    <t>BLANCO, BEATRICE</t>
  </si>
  <si>
    <t>JONES, MARIA G</t>
  </si>
  <si>
    <t>DE LA ROSA, CECILIA</t>
  </si>
  <si>
    <t>ROMAN, NOEMI</t>
  </si>
  <si>
    <t>GUTIERREZ, AGRIPIN</t>
  </si>
  <si>
    <t>SWEED, JIMMY L</t>
  </si>
  <si>
    <t>GAMBOA, SONIA</t>
  </si>
  <si>
    <t>LEYVA, JESUS</t>
  </si>
  <si>
    <t>CARDONA, ROSALIO</t>
  </si>
  <si>
    <t>MINARD, TERRA</t>
  </si>
  <si>
    <t>GONZALES, EDUVIGES</t>
  </si>
  <si>
    <t>LOPEZ ARREOLA, CECILIA</t>
  </si>
  <si>
    <t>CASTILLO, SILVIA E</t>
  </si>
  <si>
    <t>RODRIGUEZ, FERNANDO</t>
  </si>
  <si>
    <t>EPHIVESTE, ROSA LINDA</t>
  </si>
  <si>
    <t>ACEVEDO, CARMEN</t>
  </si>
  <si>
    <t>MORALES, ROSAURA</t>
  </si>
  <si>
    <t>ALVARADO, STEPHANIE</t>
  </si>
  <si>
    <t>ACOSTA, ARIANA M</t>
  </si>
  <si>
    <t>FRAUSTO, CARMEN L</t>
  </si>
  <si>
    <t>VASQUEZ, MARIA</t>
  </si>
  <si>
    <t>BASS, CHARLES</t>
  </si>
  <si>
    <t>CARRILLO, MELISSA A</t>
  </si>
  <si>
    <t>CASARES, GLORIA</t>
  </si>
  <si>
    <t>RIOS, DENISE</t>
  </si>
  <si>
    <t>BLAIR, MARIA E</t>
  </si>
  <si>
    <t>PEREZ MONTES, HOMERO</t>
  </si>
  <si>
    <t>HERREJON, IVAN</t>
  </si>
  <si>
    <t>CORDOVA, KATHY S</t>
  </si>
  <si>
    <t>MENDEZ, SUJEY V</t>
  </si>
  <si>
    <t>JUAREZ, MARIA E</t>
  </si>
  <si>
    <t>GALAVIZ, MARTIN M</t>
  </si>
  <si>
    <t>HIDALGO, GILBERTO</t>
  </si>
  <si>
    <t>MARQUEZ, GUADALUPE</t>
  </si>
  <si>
    <t>GRIFFIN, ABIGAIL A</t>
  </si>
  <si>
    <t>SANDERSON, CAITLIN I</t>
  </si>
  <si>
    <t>DELGADO, LORETO J</t>
  </si>
  <si>
    <t>RISONSILLS, JUNE A</t>
  </si>
  <si>
    <t>CABALDON, BLANCA</t>
  </si>
  <si>
    <t>CHAVES, GEORGE J</t>
  </si>
  <si>
    <t>LUJAN, MARIA E</t>
  </si>
  <si>
    <t>STARKEY, JACK Y</t>
  </si>
  <si>
    <t>FACIO, JOSE L</t>
  </si>
  <si>
    <t>MELENDEZ, REBEKAH J</t>
  </si>
  <si>
    <t>COVARRUBIAS, LUIS A</t>
  </si>
  <si>
    <t>REYES, GUADALUPE</t>
  </si>
  <si>
    <t>TORRES, ROBERTO</t>
  </si>
  <si>
    <t>BORJES, MARIA D</t>
  </si>
  <si>
    <t>MARRERO, HECTOR J</t>
  </si>
  <si>
    <t>ARNAL, REBECCA C</t>
  </si>
  <si>
    <t>ALVAREZ, ANNETTE</t>
  </si>
  <si>
    <t>AVALOS, ABELARDO JR</t>
  </si>
  <si>
    <t>GUERRERO, GRISELDA</t>
  </si>
  <si>
    <t>DUENEZ, FERNANDO</t>
  </si>
  <si>
    <t>MARTINEZ, RUBEN</t>
  </si>
  <si>
    <t>BENAVIDEZ, ANGEL D</t>
  </si>
  <si>
    <t>MONTELONGO, ERICA</t>
  </si>
  <si>
    <t>MEDRANO, MARIA E</t>
  </si>
  <si>
    <t>SALDANA, ESPERANZA D</t>
  </si>
  <si>
    <t>VILLANUEVA, JESUS</t>
  </si>
  <si>
    <t>MONTOYA, MARTIN L</t>
  </si>
  <si>
    <t>NATIVIDAD, OLGA R</t>
  </si>
  <si>
    <t>SWEARS, KENNETH W</t>
  </si>
  <si>
    <t>SORRO, RICHARD J</t>
  </si>
  <si>
    <t>REYES, PATRICIA</t>
  </si>
  <si>
    <t>CASADO VEGA, ANA</t>
  </si>
  <si>
    <t>ABREGO, JOSE L</t>
  </si>
  <si>
    <t>CHAVEZ, YOLANDA H</t>
  </si>
  <si>
    <t>DELGADO, MARIA I</t>
  </si>
  <si>
    <t>TRIANA CEDILLO, ANA K</t>
  </si>
  <si>
    <t>ROJEDO, JUANA</t>
  </si>
  <si>
    <t>VARGAS, ANTHONY</t>
  </si>
  <si>
    <t>HERNANDEZ, LILIA</t>
  </si>
  <si>
    <t>CHAVEZ, JOSE L</t>
  </si>
  <si>
    <t>FIERRO, CELIA</t>
  </si>
  <si>
    <t>RAMIREZ, NORMA A</t>
  </si>
  <si>
    <t>MALDONADO, YOLANDA</t>
  </si>
  <si>
    <t>ACOSTA, MARY R</t>
  </si>
  <si>
    <t>DEBORA, JOSE A</t>
  </si>
  <si>
    <t>TORRES, JANNETTE</t>
  </si>
  <si>
    <t>ROMERO, SHANE</t>
  </si>
  <si>
    <t>LANDEROS, LETICIA</t>
  </si>
  <si>
    <t>MARTIS, TERESA</t>
  </si>
  <si>
    <t>MUNOZ DE OLIVAS, ANTONIA</t>
  </si>
  <si>
    <t>HERNANDEZ, ROSA E.</t>
  </si>
  <si>
    <t>ORTIZ RAMIREZ, JOSE R</t>
  </si>
  <si>
    <t>CASTANEDA, ROBERTO</t>
  </si>
  <si>
    <t>RETANA, LILIA</t>
  </si>
  <si>
    <t>REYES FACIO, JORGE</t>
  </si>
  <si>
    <t>CABATIC, ERIKA</t>
  </si>
  <si>
    <t>ANDERSON, SHEREE A</t>
  </si>
  <si>
    <t>RIVERA, ALFREDO</t>
  </si>
  <si>
    <t>ABREO, DANIEL S</t>
  </si>
  <si>
    <t>AVILA, OMAR</t>
  </si>
  <si>
    <t>WHITE, GILBERT V</t>
  </si>
  <si>
    <t>CARDOZA VARGAS, MARIA</t>
  </si>
  <si>
    <t>CUEVAS, JOSE L</t>
  </si>
  <si>
    <t>WALTERS, JESSICA P</t>
  </si>
  <si>
    <t>TARANGO, DANIEL J</t>
  </si>
  <si>
    <t>SALAZAR, RAMON C</t>
  </si>
  <si>
    <t>FLORES, JORGE H</t>
  </si>
  <si>
    <t>RODELA, MARIA DE LA LUZ</t>
  </si>
  <si>
    <t>MATHEWS, NICOLE</t>
  </si>
  <si>
    <t>ACOSTA, KATHRYN R</t>
  </si>
  <si>
    <t>GONZALEZ, GREGORIA D</t>
  </si>
  <si>
    <t>LUCERO, EDUARDO A</t>
  </si>
  <si>
    <t>TORRES, ALBERTO</t>
  </si>
  <si>
    <t>TORRES, LEONARDO</t>
  </si>
  <si>
    <t>HERNANDEZ, CORINA</t>
  </si>
  <si>
    <t>ROBLES, MARIA C</t>
  </si>
  <si>
    <t>CARROLL, EDMOND</t>
  </si>
  <si>
    <t>GALLEGOS, GUERRERO</t>
  </si>
  <si>
    <t>VILLALVA, JALEN B</t>
  </si>
  <si>
    <t>ACEVEDO, ROGELIO</t>
  </si>
  <si>
    <t>MORENO, GABRIEL A</t>
  </si>
  <si>
    <t>ZUBIA, LORENA P</t>
  </si>
  <si>
    <t>FIGUEROA, ELVA</t>
  </si>
  <si>
    <t>MC KENNA, RANDALL E</t>
  </si>
  <si>
    <t>LOPEZ, BLANCA</t>
  </si>
  <si>
    <t>ORTIZ, PERLA</t>
  </si>
  <si>
    <t>SOLIS, FELIPA</t>
  </si>
  <si>
    <t>CORRAL, ALICIA</t>
  </si>
  <si>
    <t>JONES, FRANK</t>
  </si>
  <si>
    <t>WILKINSON, PHILOMENA</t>
  </si>
  <si>
    <t>CALERO, ALMA</t>
  </si>
  <si>
    <t>TERRAZAS, SERGIO M</t>
  </si>
  <si>
    <t>BIRKELBACH, JOHN</t>
  </si>
  <si>
    <t>LARES, DELIA E</t>
  </si>
  <si>
    <t>FRAIRE, MARK</t>
  </si>
  <si>
    <t>MONTES, MARTHA E</t>
  </si>
  <si>
    <t>MIJARES, KATHERINE A</t>
  </si>
  <si>
    <t>ROMERO, ELVIA</t>
  </si>
  <si>
    <t>CAMACHO, MARIA A</t>
  </si>
  <si>
    <t>SARELLANO, GISELA</t>
  </si>
  <si>
    <t>MARTINEZ, ERIN E</t>
  </si>
  <si>
    <t>OROZCO, MARIO</t>
  </si>
  <si>
    <t>RONQUILLO, HECTOR</t>
  </si>
  <si>
    <t>REYES, MONSERRAT</t>
  </si>
  <si>
    <t>GALVAN, MARGARITA</t>
  </si>
  <si>
    <t>GIBBS, MARY E</t>
  </si>
  <si>
    <t>BRUNS, ALVIN G</t>
  </si>
  <si>
    <t>QUINTERO, FRANCISCO G</t>
  </si>
  <si>
    <t>RAMIREZ, DAVID</t>
  </si>
  <si>
    <t>RUIZ, BERTHA</t>
  </si>
  <si>
    <t>REYES, MARIA D</t>
  </si>
  <si>
    <t>MATA, ALBERTO</t>
  </si>
  <si>
    <t>ESPRAZA, ENRIQUE</t>
  </si>
  <si>
    <t>PAULSEN, GUADALUPE</t>
  </si>
  <si>
    <t>RIOS-MENDEZ, HECTOR</t>
  </si>
  <si>
    <t>GONZALEZ, CHRISTIAN J</t>
  </si>
  <si>
    <t>MENDEZ, TOMAS</t>
  </si>
  <si>
    <t>ZAMORA, MARGIE A</t>
  </si>
  <si>
    <t>ACOSTA, JOSE</t>
  </si>
  <si>
    <t>GUZMAN, ISIDRA G</t>
  </si>
  <si>
    <t>MARTINEZ, ROBERTO</t>
  </si>
  <si>
    <t>AMEZQUITA, NOHEMY</t>
  </si>
  <si>
    <t>RUBIN, SUE W</t>
  </si>
  <si>
    <t>PORRAS, MIREILLE M</t>
  </si>
  <si>
    <t>SANTIAGO BARRAZA, JULIAN</t>
  </si>
  <si>
    <t>OLVERA, LINDA</t>
  </si>
  <si>
    <t>DOYAL, CHARLES</t>
  </si>
  <si>
    <t>SANCHEZ, MARTHA A</t>
  </si>
  <si>
    <t>DELGADO, NORMA</t>
  </si>
  <si>
    <t>BRACEY, LORENZA O</t>
  </si>
  <si>
    <t>MARTINEZ, ABELARDO</t>
  </si>
  <si>
    <t>PACHECO, EMILIO</t>
  </si>
  <si>
    <t>MINJAREZ, FERNANDO</t>
  </si>
  <si>
    <t>CHAVEZ, ALFREDO</t>
  </si>
  <si>
    <t>DIAZ, BERNARD</t>
  </si>
  <si>
    <t>CHAVEZ, JULIAN</t>
  </si>
  <si>
    <t>ANAYA, ROSANNA</t>
  </si>
  <si>
    <t>NEAL, FELICIA R</t>
  </si>
  <si>
    <t>CARAVEO, MARTHA E</t>
  </si>
  <si>
    <t>PEREZ, IRMA</t>
  </si>
  <si>
    <t>YATES, ANN</t>
  </si>
  <si>
    <t>HERNANDEZ, BLANCA A</t>
  </si>
  <si>
    <t>CHARRON, ARLENE M</t>
  </si>
  <si>
    <t>PATTERSON, EVA A</t>
  </si>
  <si>
    <t>SMITH, JESSICA L</t>
  </si>
  <si>
    <t>RODRIGUEZ, RAUL</t>
  </si>
  <si>
    <t>HERNANDEZ, IGNACIO S</t>
  </si>
  <si>
    <t>GARCIA, PAULENE R</t>
  </si>
  <si>
    <t>CEJAS RIVERA, PEDRO</t>
  </si>
  <si>
    <t>CARRELL, FLOYD S</t>
  </si>
  <si>
    <t>RAMOS, RUBEN</t>
  </si>
  <si>
    <t>MARTINEZ, BERTHA A</t>
  </si>
  <si>
    <t>CARRASCO, GLORIA</t>
  </si>
  <si>
    <t>MAGDALENO NA, MARTHA</t>
  </si>
  <si>
    <t>HALOW, LAURA P</t>
  </si>
  <si>
    <t>SORIA, FERNANDO</t>
  </si>
  <si>
    <t>HERNANDEZ, BERTHA A</t>
  </si>
  <si>
    <t>FRANKY, CARMEN G</t>
  </si>
  <si>
    <t>VEGA, ANGELA S</t>
  </si>
  <si>
    <t>NAJERA, MINERVA</t>
  </si>
  <si>
    <t>MORALES, TERESA P</t>
  </si>
  <si>
    <t>FLORES, GABRIELA</t>
  </si>
  <si>
    <t>MOLINA, JUANITA M</t>
  </si>
  <si>
    <t>LUCIO, CARLOS</t>
  </si>
  <si>
    <t>MATA, JUAN A</t>
  </si>
  <si>
    <t>TORRES, FRANCISCO</t>
  </si>
  <si>
    <t>ORTIZ, BERTHA</t>
  </si>
  <si>
    <t>BARRON, LILIA</t>
  </si>
  <si>
    <t>ARMIJO, MARIA M</t>
  </si>
  <si>
    <t>PACHECO, JOSE A</t>
  </si>
  <si>
    <t>FRANCO, MARGARITA E</t>
  </si>
  <si>
    <t>SILVA, MARIO</t>
  </si>
  <si>
    <t>RUIZ, CARLOS</t>
  </si>
  <si>
    <t>ANDERSON, DIANA</t>
  </si>
  <si>
    <t>RAMIREZ, CANDELARIO</t>
  </si>
  <si>
    <t>LIZARRAGA, MARIA G</t>
  </si>
  <si>
    <t>ANTHONY, ROBIN T</t>
  </si>
  <si>
    <t>GARCIA, VICTOR</t>
  </si>
  <si>
    <t>ONTIVEROS, YVONNE</t>
  </si>
  <si>
    <t>SANCHEZ, VICTOR</t>
  </si>
  <si>
    <t>MORADO, RAYMUNDO</t>
  </si>
  <si>
    <t>GARDEA, GABRIELA</t>
  </si>
  <si>
    <t>CASTANEDA VILLEGAS, OSCAR</t>
  </si>
  <si>
    <t>UGARTE, FERNANDO</t>
  </si>
  <si>
    <t>ARZATE, MANUEL</t>
  </si>
  <si>
    <t>JACQUEZ, MARIA E</t>
  </si>
  <si>
    <t>PRATS, BLANCA N</t>
  </si>
  <si>
    <t>MARTINEZ, MARIO</t>
  </si>
  <si>
    <t>MARTINEZ, MARIA A</t>
  </si>
  <si>
    <t>MARQUEZ, LUIS R</t>
  </si>
  <si>
    <t>GADSDEN, LASHAWNA D</t>
  </si>
  <si>
    <t>SOUFLEE, MARIA D</t>
  </si>
  <si>
    <t>CARBAJAL, JESSICA V</t>
  </si>
  <si>
    <t>LERMA, MARIA</t>
  </si>
  <si>
    <t>GAUNA, ARMANDO</t>
  </si>
  <si>
    <t>SPENCER, JAMIE D</t>
  </si>
  <si>
    <t>ELIAS, JORGE L</t>
  </si>
  <si>
    <t>MONTES, NORMA L</t>
  </si>
  <si>
    <t>MANRIQUE, MICHELLE</t>
  </si>
  <si>
    <t>FRAUSTO, FERNANDO</t>
  </si>
  <si>
    <t>FELIX, MARIA A</t>
  </si>
  <si>
    <t>AUSTIN, MELISSA B</t>
  </si>
  <si>
    <t>DURAN, RICARDO</t>
  </si>
  <si>
    <t>CHESTERS, SARAH M</t>
  </si>
  <si>
    <t>DARBONNIER, PIERRE</t>
  </si>
  <si>
    <t>HERNANDEZ, YOLANDA</t>
  </si>
  <si>
    <t>HERAS, CLAUDIA VALENZUELA</t>
  </si>
  <si>
    <t>MONTES, EDNA</t>
  </si>
  <si>
    <t>SERTUCHE, FRANK</t>
  </si>
  <si>
    <t>PEREZ, MARCO</t>
  </si>
  <si>
    <t>MARTINEZ, EVANGELINA</t>
  </si>
  <si>
    <t>CIGARROA GUERRERO, YOLANDA</t>
  </si>
  <si>
    <t>LAREDO, ANA</t>
  </si>
  <si>
    <t>MCDONALD, PETER M</t>
  </si>
  <si>
    <t>OROZCO, JOSE A</t>
  </si>
  <si>
    <t>GILCHRIST, LINWOOD P</t>
  </si>
  <si>
    <t>CEVEDO, JAIME</t>
  </si>
  <si>
    <t>SALDANA, GUADALUPE</t>
  </si>
  <si>
    <t>LOPEZ, MELANIE</t>
  </si>
  <si>
    <t>HERNANDEZ, AGUSTIN</t>
  </si>
  <si>
    <t>LEYVA, FRANCISCO</t>
  </si>
  <si>
    <t>MAIO, RUDOLPH J</t>
  </si>
  <si>
    <t>TORRES DE MELENDEZ, CARMEN</t>
  </si>
  <si>
    <t>ARNAL, TORIBIA</t>
  </si>
  <si>
    <t>CEGLIO, MARY S</t>
  </si>
  <si>
    <t>COBOS, BERNABE</t>
  </si>
  <si>
    <t>MENDOZA, JACKIE</t>
  </si>
  <si>
    <t>GONZALEZ, JUAN M</t>
  </si>
  <si>
    <t>SOSA, LILIA V</t>
  </si>
  <si>
    <t>ARELLANO, ANTHONY J</t>
  </si>
  <si>
    <t>REYES, ALICIA L</t>
  </si>
  <si>
    <t>GAETZKE, BRAD S</t>
  </si>
  <si>
    <t>MUNOZ, ARTURO B</t>
  </si>
  <si>
    <t>CONTRERAS, MARIA D</t>
  </si>
  <si>
    <t>CARNES, DELILA</t>
  </si>
  <si>
    <t>GONZALEZ, ERIKA</t>
  </si>
  <si>
    <t>ARMENDARIZ, DIANA Y</t>
  </si>
  <si>
    <t>MINJARES, MARGARITA A</t>
  </si>
  <si>
    <t>O'ROUKE, THERESA</t>
  </si>
  <si>
    <t>ALMARAZ, BENITO</t>
  </si>
  <si>
    <t>BARCENA, BERTHA</t>
  </si>
  <si>
    <t>ALARCON, MARGARITA S</t>
  </si>
  <si>
    <t>CHACON, VERONICA</t>
  </si>
  <si>
    <t>QUIJAS, MARISSA Y</t>
  </si>
  <si>
    <t>OLIVAS, GILBERT</t>
  </si>
  <si>
    <t>FRANCO, VALERIA</t>
  </si>
  <si>
    <t>GONZALEZ DE MARTINEZ, MARIA R</t>
  </si>
  <si>
    <t>MORENO, SALVADOR</t>
  </si>
  <si>
    <t>RODRIGUEZ, HERMINA G</t>
  </si>
  <si>
    <t>PERALES, CARLOS F</t>
  </si>
  <si>
    <t>TOUSIGNANT, JAMES E</t>
  </si>
  <si>
    <t>RODRIGUEZ, GABRIEL</t>
  </si>
  <si>
    <t>CANDELARIA, ANTONIO</t>
  </si>
  <si>
    <t>BELMAN-GONZALEZ, NORBERTO</t>
  </si>
  <si>
    <t>AGUIRRE, RAUL</t>
  </si>
  <si>
    <t>MENESES, MIGUEL</t>
  </si>
  <si>
    <t>CARRILLO, ENRIQUE</t>
  </si>
  <si>
    <t>GOMEZ, ARON</t>
  </si>
  <si>
    <t>ALVARADO, LORENA</t>
  </si>
  <si>
    <t>FELIX, DORA R</t>
  </si>
  <si>
    <t>CANO, BRANDON</t>
  </si>
  <si>
    <t>MUNOZ, EDELMIRA L</t>
  </si>
  <si>
    <t>CERVANTES, ANTONIO</t>
  </si>
  <si>
    <t>TRAVER, MARIA T</t>
  </si>
  <si>
    <t>PADILLA, JANICE A</t>
  </si>
  <si>
    <t>TORRES SANDOVAL, ALFREDO</t>
  </si>
  <si>
    <t>DE LA CRUZ, MARIA</t>
  </si>
  <si>
    <t>BRITO, MARIA E</t>
  </si>
  <si>
    <t>BORGES, JOSEPH P</t>
  </si>
  <si>
    <t>MORENO, DAISY</t>
  </si>
  <si>
    <t>OSORIA MUNIZ, ERIC E</t>
  </si>
  <si>
    <t>DE LA ROSA, ANITA G</t>
  </si>
  <si>
    <t>IZUNDU, VIVIAN T</t>
  </si>
  <si>
    <t>ALFARO, REBECCA</t>
  </si>
  <si>
    <t>SILKER, BLUE E</t>
  </si>
  <si>
    <t>FLORES, MARIA</t>
  </si>
  <si>
    <t>PAYAN, LORENZO</t>
  </si>
  <si>
    <t>GUTIERREZ ALVARADO, ROSA M</t>
  </si>
  <si>
    <t>ACOSTA, OFELIA</t>
  </si>
  <si>
    <t>RAMIREZ, LIZETH</t>
  </si>
  <si>
    <t>CARRARA, PATRICIA</t>
  </si>
  <si>
    <t>LEGARRETA, CECILIA</t>
  </si>
  <si>
    <t>RILEY, FRANCISCA F</t>
  </si>
  <si>
    <t>HERNANDEZ, JUAN D</t>
  </si>
  <si>
    <t>CARRASCO, MICHELLE Y</t>
  </si>
  <si>
    <t>GARCIA, RAMON M</t>
  </si>
  <si>
    <t>ANTONIOU, PAUL E</t>
  </si>
  <si>
    <t>MURILLO, BENJAMIN</t>
  </si>
  <si>
    <t>MARQUEZ, JOSE D</t>
  </si>
  <si>
    <t>RAMIREZ, BEATRIZ G</t>
  </si>
  <si>
    <t>VELAZQUEZ, RUDY</t>
  </si>
  <si>
    <t>FLORES, JUAN E</t>
  </si>
  <si>
    <t>TORRES, ANGELICA V</t>
  </si>
  <si>
    <t>MARTINEZ, MA N</t>
  </si>
  <si>
    <t>BECERRA, CARLOS</t>
  </si>
  <si>
    <t>ARMENDARIZ, VERONICA</t>
  </si>
  <si>
    <t>CASTANEDA, ARCELIA</t>
  </si>
  <si>
    <t>MORALES, OFELIA</t>
  </si>
  <si>
    <t>PALAFOX, ANDREW J</t>
  </si>
  <si>
    <t>ENRIQUEZ, HECTOR M</t>
  </si>
  <si>
    <t>CARDOZA-JACQUEZ, MARIA L</t>
  </si>
  <si>
    <t>ARRIOLA, MARIA</t>
  </si>
  <si>
    <t>JOHNSON, CECILIA C</t>
  </si>
  <si>
    <t>GOMEZ HERRERA, ALEJANDRO</t>
  </si>
  <si>
    <t>LLEWELLYN, DIANA</t>
  </si>
  <si>
    <t>GALLEGOS, MARIA E</t>
  </si>
  <si>
    <t>GUERRERO, MARIA J</t>
  </si>
  <si>
    <t>KUHFAL, RONALD J</t>
  </si>
  <si>
    <t>DAVIS, WILLIAM</t>
  </si>
  <si>
    <t>WASHINGTON, HENRY L</t>
  </si>
  <si>
    <t>GONZALEZ, EDUARDO L</t>
  </si>
  <si>
    <t>MORENO, BRENDA L</t>
  </si>
  <si>
    <t>CLARK, RAY A</t>
  </si>
  <si>
    <t>LOPEZ, MATIANAE</t>
  </si>
  <si>
    <t>DELORA, BERTHA</t>
  </si>
  <si>
    <t>ZUANY, CARLOS E</t>
  </si>
  <si>
    <t>ACOSTA, OLGA</t>
  </si>
  <si>
    <t>MUNOZ, ELENA M</t>
  </si>
  <si>
    <t>GOMEZ, TOMMY R</t>
  </si>
  <si>
    <t>TORRES, ERIKA</t>
  </si>
  <si>
    <t>TOVAR, LETICIA</t>
  </si>
  <si>
    <t>TRUETT, FLORA</t>
  </si>
  <si>
    <t>TRUETT, EUGENE T</t>
  </si>
  <si>
    <t>VASQUEZ, SAUL</t>
  </si>
  <si>
    <t>SAENZ, MATTHEW O</t>
  </si>
  <si>
    <t>ORTIZ, MANUEL M</t>
  </si>
  <si>
    <t>AVALOS, MICHAELA</t>
  </si>
  <si>
    <t>BARCELEAU, MARIA C</t>
  </si>
  <si>
    <t>SUBIA, JOSEFINA J</t>
  </si>
  <si>
    <t>LOPEZ, CLEMENTE M</t>
  </si>
  <si>
    <t>SILVA, MARIA</t>
  </si>
  <si>
    <t>NAJAR, GUTEMBERG</t>
  </si>
  <si>
    <t>A DE VELASQUEZ, MANUELA</t>
  </si>
  <si>
    <t>MADRID, NANCY</t>
  </si>
  <si>
    <t>GONZALEZ, LORINA</t>
  </si>
  <si>
    <t>RAMIREZ, ISIDRO</t>
  </si>
  <si>
    <t>GARCIA, ROMUALDO</t>
  </si>
  <si>
    <t>SALINAS, GLORIA</t>
  </si>
  <si>
    <t>BITTICKS, CAROLYN</t>
  </si>
  <si>
    <t>FONTANA, ASHELEY</t>
  </si>
  <si>
    <t>VIEL, HOLGER P</t>
  </si>
  <si>
    <t>SPRAGUE, GUADALUPE</t>
  </si>
  <si>
    <t>RAMOS, MARIA G</t>
  </si>
  <si>
    <t>MURPHY, DANILO</t>
  </si>
  <si>
    <t>BARDSLEY, JOHN C</t>
  </si>
  <si>
    <t>SANTIAGO, MARIA</t>
  </si>
  <si>
    <t>CAMACHO, JUAN M</t>
  </si>
  <si>
    <t>NELSON, AUDREY A</t>
  </si>
  <si>
    <t>HOOVER, BENNY</t>
  </si>
  <si>
    <t>GOMEZ, CRUZ</t>
  </si>
  <si>
    <t>ROMERO, GLORIA</t>
  </si>
  <si>
    <t>REYES, LUZ</t>
  </si>
  <si>
    <t>MIRANDA, ROSA</t>
  </si>
  <si>
    <t>LF 9562</t>
  </si>
  <si>
    <t>CANALDA, SERGIO L</t>
  </si>
  <si>
    <t>PRN10340</t>
  </si>
  <si>
    <t>PRN10460</t>
  </si>
  <si>
    <t>PRN10714</t>
  </si>
  <si>
    <t>PRN10807</t>
  </si>
  <si>
    <t>PRN10973</t>
  </si>
  <si>
    <t>PRN10978</t>
  </si>
  <si>
    <t>PRN11055</t>
  </si>
  <si>
    <t>VERLANDER, SHARON J</t>
  </si>
  <si>
    <t>PRN11071</t>
  </si>
  <si>
    <t>PRN11073</t>
  </si>
  <si>
    <t>PRN11085</t>
  </si>
  <si>
    <t>PRN11159</t>
  </si>
  <si>
    <t>HURST, BIANCA</t>
  </si>
  <si>
    <t>PRN11341</t>
  </si>
  <si>
    <t>PRN11573</t>
  </si>
  <si>
    <t>PRN12121</t>
  </si>
  <si>
    <t>RAMIREZ, VERONICA</t>
  </si>
  <si>
    <t>PRN12161</t>
  </si>
  <si>
    <t>PRN12175</t>
  </si>
  <si>
    <t>PRN12465</t>
  </si>
  <si>
    <t>PRN12590</t>
  </si>
  <si>
    <t>PRN12773</t>
  </si>
  <si>
    <t>PRN12826</t>
  </si>
  <si>
    <t>PAZ, LILIA</t>
  </si>
  <si>
    <t>BUENO, LETICIA</t>
  </si>
  <si>
    <t>PRN12984</t>
  </si>
  <si>
    <t>PRN13083</t>
  </si>
  <si>
    <t>PRN13211</t>
  </si>
  <si>
    <t>PRN13306</t>
  </si>
  <si>
    <t>PRN13369</t>
  </si>
  <si>
    <t>PRN13463</t>
  </si>
  <si>
    <t>PRN13467</t>
  </si>
  <si>
    <t>PRN13604</t>
  </si>
  <si>
    <t>BURACZYK, STEVEN</t>
  </si>
  <si>
    <t>PRN13646</t>
  </si>
  <si>
    <t>PRN13718</t>
  </si>
  <si>
    <t>PRN13731</t>
  </si>
  <si>
    <t>PRN13732</t>
  </si>
  <si>
    <t>PRN13749</t>
  </si>
  <si>
    <t>PRN13765</t>
  </si>
  <si>
    <t>PRN13907</t>
  </si>
  <si>
    <t>PRN13926</t>
  </si>
  <si>
    <t>GUEVARA, JULIAN</t>
  </si>
  <si>
    <t>PRN13988</t>
  </si>
  <si>
    <t>GARCIA, PARIE</t>
  </si>
  <si>
    <t>PRN13996</t>
  </si>
  <si>
    <t>PRN14053</t>
  </si>
  <si>
    <t>PRN14122</t>
  </si>
  <si>
    <t>WASHINGTON, ANTHONY O</t>
  </si>
  <si>
    <t>PRN14172</t>
  </si>
  <si>
    <t>PRN14236</t>
  </si>
  <si>
    <t>PRN14239</t>
  </si>
  <si>
    <t>PRN14338</t>
  </si>
  <si>
    <t>PRN14496</t>
  </si>
  <si>
    <t>PRN14513</t>
  </si>
  <si>
    <t>PRN14521</t>
  </si>
  <si>
    <t>PRN14524</t>
  </si>
  <si>
    <t>PRN14601</t>
  </si>
  <si>
    <t>PRN14631</t>
  </si>
  <si>
    <t>PRN14707</t>
  </si>
  <si>
    <t>PRN14862</t>
  </si>
  <si>
    <t>PRN15052</t>
  </si>
  <si>
    <t>PRN15128</t>
  </si>
  <si>
    <t>PRN15157</t>
  </si>
  <si>
    <t>PRN15246</t>
  </si>
  <si>
    <t>PRN15262</t>
  </si>
  <si>
    <t>PRN15356</t>
  </si>
  <si>
    <t>PRN15379</t>
  </si>
  <si>
    <t>PRN15471</t>
  </si>
  <si>
    <t>PRN15588</t>
  </si>
  <si>
    <t>PRN15676</t>
  </si>
  <si>
    <t>PRN15678</t>
  </si>
  <si>
    <t>PRN15746</t>
  </si>
  <si>
    <t>PRN15756</t>
  </si>
  <si>
    <t>PRN15774</t>
  </si>
  <si>
    <t>PRN15797</t>
  </si>
  <si>
    <t>PRN15843</t>
  </si>
  <si>
    <t>PRN15890</t>
  </si>
  <si>
    <t>PRN15924</t>
  </si>
  <si>
    <t>PRN15940</t>
  </si>
  <si>
    <t>JENSEN, PAUL B</t>
  </si>
  <si>
    <t>PRN15977</t>
  </si>
  <si>
    <t>PRN16014</t>
  </si>
  <si>
    <t>PRN16362</t>
  </si>
  <si>
    <t>PRN16540</t>
  </si>
  <si>
    <t>OTERO, JOHN R</t>
  </si>
  <si>
    <t>PRN16614</t>
  </si>
  <si>
    <t>PRN16709</t>
  </si>
  <si>
    <t>PRN16933</t>
  </si>
  <si>
    <t>GONZALES, DORIS A</t>
  </si>
  <si>
    <t>PRN17440</t>
  </si>
  <si>
    <t>ARANDA CAMPOS, MELANI S</t>
  </si>
  <si>
    <t>PRN9160</t>
  </si>
  <si>
    <t>PRN9506</t>
  </si>
  <si>
    <t>PRN9623</t>
  </si>
  <si>
    <t>PRN9790</t>
  </si>
  <si>
    <t>WC9299</t>
  </si>
  <si>
    <t>LANKFORD, MICHAEL S</t>
  </si>
  <si>
    <t>CARRILLO, MELISSA J</t>
  </si>
  <si>
    <t>GARCIA, MARIA L</t>
  </si>
  <si>
    <t>QUINTERO, TERESA</t>
  </si>
  <si>
    <t>VELASQUEZ, RICARDO</t>
  </si>
  <si>
    <t>HEMLIN, PAMELA J</t>
  </si>
  <si>
    <t>MENDOZA, ENRIQUE</t>
  </si>
  <si>
    <t>DE MARTE, CECILIA</t>
  </si>
  <si>
    <t>RITA, WOOLLEY</t>
  </si>
  <si>
    <t>RAMIREZ, ANTONIO A</t>
  </si>
  <si>
    <t>BURTON, MARY</t>
  </si>
  <si>
    <t>PUENTES, ESTELLA</t>
  </si>
  <si>
    <t>MONTESIONOS, LORENA</t>
  </si>
  <si>
    <t>SNELL CAROLOTTE</t>
  </si>
  <si>
    <t>RAMIREZ, PATRICIA T</t>
  </si>
  <si>
    <t>PORRAS, FRANCISCO R</t>
  </si>
  <si>
    <t>SIERRA, YOLANDA</t>
  </si>
  <si>
    <t>RODRIGUEZ, LYDIA G</t>
  </si>
  <si>
    <t>CARRASCO, MANUEL J</t>
  </si>
  <si>
    <t>BENOIT, DEIRDRE</t>
  </si>
  <si>
    <t>CANO, CORINA L</t>
  </si>
  <si>
    <t>AMARO, JENNIFER</t>
  </si>
  <si>
    <t>ESPINOZA, CRYSTAL</t>
  </si>
  <si>
    <t>CHAVEZ DE MARQUEZ, OFELIA</t>
  </si>
  <si>
    <t>BIDDLE RICHARD, JACKELINE</t>
  </si>
  <si>
    <t>ARVIZO, TERESA</t>
  </si>
  <si>
    <t>TUECKMANTEL, RUDY</t>
  </si>
  <si>
    <t>MATA, MIRELLA</t>
  </si>
  <si>
    <t>SOTO, LUZ A</t>
  </si>
  <si>
    <t>ARNAL, ERNIE</t>
  </si>
  <si>
    <t>SIGALA, GABRIEL A</t>
  </si>
  <si>
    <t>POTTER, LEONOR M</t>
  </si>
  <si>
    <t>NUNEZ, MARISELA</t>
  </si>
  <si>
    <t>CASTILLO, CLAUDIA</t>
  </si>
  <si>
    <t>ORTIZ, CASSIE</t>
  </si>
  <si>
    <t>BRYAN, JOYCE E</t>
  </si>
  <si>
    <t>THOMAS, MARIE C</t>
  </si>
  <si>
    <t>LEYVA, IRMA</t>
  </si>
  <si>
    <t>CALDERON, JUAN</t>
  </si>
  <si>
    <t>ACOSTA, CHRISTINA</t>
  </si>
  <si>
    <t>MOLINA, JESUS A</t>
  </si>
  <si>
    <t>OBLINGER, TERESA</t>
  </si>
  <si>
    <t>RIOS, GLORIA F</t>
  </si>
  <si>
    <t>MASSINGILL, SANDRA</t>
  </si>
  <si>
    <t>RIOS, BERTHA</t>
  </si>
  <si>
    <t>CARRIZALES DE BURLINGAME, MARIA S</t>
  </si>
  <si>
    <t>JIMENEZ, VIRGINIA E</t>
  </si>
  <si>
    <t>FAVELA, DANIEL H</t>
  </si>
  <si>
    <t>ALVIDREZ, MARIA</t>
  </si>
  <si>
    <t>ESCOBEDO, FERNANDO</t>
  </si>
  <si>
    <t>CAPOTE, SABRINA</t>
  </si>
  <si>
    <t>VEGA, DELIA</t>
  </si>
  <si>
    <t>SANDOVAL, TERESA</t>
  </si>
  <si>
    <t>HARTNETT, EDDIE</t>
  </si>
  <si>
    <t>ZAPATA, AMANDA J</t>
  </si>
  <si>
    <t>JORDAN, FRANCISCO</t>
  </si>
  <si>
    <t>MANCINAS DE GALARZA, NAYELI</t>
  </si>
  <si>
    <t>ESTRADA, OMAR</t>
  </si>
  <si>
    <t>MUCHA, STEVEN J</t>
  </si>
  <si>
    <t>GARCIA, JOEL B</t>
  </si>
  <si>
    <t>VALENCIA, DELIA I</t>
  </si>
  <si>
    <t>URBAN, FRANCES</t>
  </si>
  <si>
    <t>LANDEROS, ERNESTO</t>
  </si>
  <si>
    <t>MOLINA, GABRIELA S</t>
  </si>
  <si>
    <t>ARANDA, ANTONIO JR</t>
  </si>
  <si>
    <t>FERNANDEZ, JORGE H</t>
  </si>
  <si>
    <t>VILLARREAL, ELSA</t>
  </si>
  <si>
    <t>GONZALEZ, JANIE M</t>
  </si>
  <si>
    <t>DODSON, NEAL O</t>
  </si>
  <si>
    <t>MADRID, ELAINE G</t>
  </si>
  <si>
    <t>MCQUADE, DIANA</t>
  </si>
  <si>
    <t>NAJERA DE MIRANDA, GLORIA</t>
  </si>
  <si>
    <t>TORRES, BEATRIZ</t>
  </si>
  <si>
    <t>JIMENEZ, LETICIA</t>
  </si>
  <si>
    <t>SHIVELY, PHILIP D</t>
  </si>
  <si>
    <t>HERNANDEZ, MARIA E</t>
  </si>
  <si>
    <t>GARCIA, MARIA DEL SOCORRO</t>
  </si>
  <si>
    <t>CISNEROS, MARIADELCARMEN</t>
  </si>
  <si>
    <t>WILBOURN, CHARLES P</t>
  </si>
  <si>
    <t>MCDANIEL, CURTIS E</t>
  </si>
  <si>
    <t>QUINONES, LUZ E</t>
  </si>
  <si>
    <t>REICHMAN, BRUCE A</t>
  </si>
  <si>
    <t>PINA, CELSA E</t>
  </si>
  <si>
    <t>REALY VASQUEZ, RICARDO</t>
  </si>
  <si>
    <t>ORTIZ, EVA A</t>
  </si>
  <si>
    <t>ESPARZA, ROSA</t>
  </si>
  <si>
    <t>OSCAR, JOSEFINA D</t>
  </si>
  <si>
    <t>FLORES, ENRIQUE R</t>
  </si>
  <si>
    <t>LEAL, ERIC</t>
  </si>
  <si>
    <t>SHIVELY, DEBORAH</t>
  </si>
  <si>
    <t>AMEZQUITA, JOSE ISMAEL R</t>
  </si>
  <si>
    <t>GONZALEZ, ADELA M</t>
  </si>
  <si>
    <t>ALFEREZ, RUBEN</t>
  </si>
  <si>
    <t>SILVAS, TOMAS M</t>
  </si>
  <si>
    <t>LUNA, CRYSTAL D</t>
  </si>
  <si>
    <t>BARCENAS SEGURA, SONIA I</t>
  </si>
  <si>
    <t>RUBINO, ANNA</t>
  </si>
  <si>
    <t>BYERS, CHRISTINA O</t>
  </si>
  <si>
    <t>RODRIGUEZ, CONSUELO</t>
  </si>
  <si>
    <t>TARIN, LUIS A</t>
  </si>
  <si>
    <t>MITCHELL, LAUREN J</t>
  </si>
  <si>
    <t>NAVARRO, RAMON</t>
  </si>
  <si>
    <t>ARTEAGA, MARIA G</t>
  </si>
  <si>
    <t>CHRISTIANSON, SANDRA V</t>
  </si>
  <si>
    <t>DOMINGUEZ, RITA</t>
  </si>
  <si>
    <t>SALAIZ, SOFIA C</t>
  </si>
  <si>
    <t>BAUTISTA, BRITANY</t>
  </si>
  <si>
    <t>FRANCO, YVONNE E</t>
  </si>
  <si>
    <t>MEJIA, AGUSTINA F</t>
  </si>
  <si>
    <t>ROSALES, ISABEL</t>
  </si>
  <si>
    <t>CASTILLO, ALBERT</t>
  </si>
  <si>
    <t>ALVARADO, GUADALUPE</t>
  </si>
  <si>
    <t>CARRERA, ADELAIDA</t>
  </si>
  <si>
    <t>JUAREZ, MARIA</t>
  </si>
  <si>
    <t>CISNEROS, JAVIER</t>
  </si>
  <si>
    <t>DOMINGUEZ, LUZ R</t>
  </si>
  <si>
    <t>RODRIGUEZ, AURORA</t>
  </si>
  <si>
    <t>SERRATO, RAYMOND</t>
  </si>
  <si>
    <t>HERNANDEZ, RICARDO J</t>
  </si>
  <si>
    <t>DOMINGUEZ, RITA Z</t>
  </si>
  <si>
    <t>ORQUIZ, LILIANA</t>
  </si>
  <si>
    <t>RODRIGUEZ FOXWORTHY, SYLVIA R</t>
  </si>
  <si>
    <t>CAMACHO, LOTTI F</t>
  </si>
  <si>
    <t>DE MARTE, CECILIA A</t>
  </si>
  <si>
    <t>MONTESINOS, LORENA</t>
  </si>
  <si>
    <t>KNIGHT, KAY-LA AYANA N</t>
  </si>
  <si>
    <t>RIVERA, JAIME J</t>
  </si>
  <si>
    <t>MELENDEZ DE DIAZ, MARIA DE JESUS</t>
  </si>
  <si>
    <t>BLANQUEZ, JACQUELINE D</t>
  </si>
  <si>
    <t>SILVA, MARIA A</t>
  </si>
  <si>
    <t>MATA, ELIZABETH</t>
  </si>
  <si>
    <t>COSSEO, IRMA</t>
  </si>
  <si>
    <t>SWITZER, JOHN</t>
  </si>
  <si>
    <t>ELLIS, PATRICIA</t>
  </si>
  <si>
    <t>SALINAS, GLORIA S</t>
  </si>
  <si>
    <t>BITTICKS, CAROLYN S</t>
  </si>
  <si>
    <t>ALVAREZ, MARISSA</t>
  </si>
  <si>
    <t>FAULKNER, HALEY</t>
  </si>
  <si>
    <t>ROBLES, BERTHA D</t>
  </si>
  <si>
    <t>RUPAS, ZACHARY</t>
  </si>
  <si>
    <t>SMITH, MONICA PATRICIA</t>
  </si>
  <si>
    <t>ALONSO, ADELA</t>
  </si>
  <si>
    <t>TORRES, LUIS</t>
  </si>
  <si>
    <t>CEJA RIVERA, PEDRO</t>
  </si>
  <si>
    <t>CORRAL, EDUARDO A</t>
  </si>
  <si>
    <t>RICO, JOSE</t>
  </si>
  <si>
    <t>ESTRADA, ALEJANDRO</t>
  </si>
  <si>
    <t>AVILA, CECILIA E</t>
  </si>
  <si>
    <t>RODRIGUEZ, SALVADOR</t>
  </si>
  <si>
    <t>STOUFFER, PEYTON</t>
  </si>
  <si>
    <t>PEREZ, ABEL</t>
  </si>
  <si>
    <t>PACHECHO, LUZ MARIA</t>
  </si>
  <si>
    <t>GODINEZ, JESUS</t>
  </si>
  <si>
    <t>MARTINEZ SOTO, BLANCA I</t>
  </si>
  <si>
    <t>KHINE, MAY</t>
  </si>
  <si>
    <t>MUNOZ, JUAN M</t>
  </si>
  <si>
    <t>MORGAN, MARTINA A</t>
  </si>
  <si>
    <t>RAMOS, KARINA</t>
  </si>
  <si>
    <t>FRANCO, VALERIA G</t>
  </si>
  <si>
    <t>LUJAN, ISMAEL</t>
  </si>
  <si>
    <t>SIQUEIROS, EVANGELINA</t>
  </si>
  <si>
    <t>WOOLLEY, RITA V</t>
  </si>
  <si>
    <t>BORGES, MARIA D</t>
  </si>
  <si>
    <t>CARRILLO, ARMANDO M</t>
  </si>
  <si>
    <t>ZUMIDO, LILIA H</t>
  </si>
  <si>
    <t>KRAWCION, PATRICIA</t>
  </si>
  <si>
    <t>AMAYA, JUAN</t>
  </si>
  <si>
    <t>MENDOZA, ROSA E</t>
  </si>
  <si>
    <t>ESQUIVEL, IRENE M</t>
  </si>
  <si>
    <t>LANDRY, NETTIE L</t>
  </si>
  <si>
    <t>AGUAYO, JOSE M</t>
  </si>
  <si>
    <t>GANDARA HERNANDEZ, RICARDO</t>
  </si>
  <si>
    <t>HERRERA, MARIA</t>
  </si>
  <si>
    <t>VALLES DE MUNOZ, MANUELA</t>
  </si>
  <si>
    <t>MACIAS, GUADALUPE</t>
  </si>
  <si>
    <t>PULIDO, MIGUEL</t>
  </si>
  <si>
    <t>COBOS RODRIGUEZ, MARTHA</t>
  </si>
  <si>
    <t>ACEVEDO, BERTHA</t>
  </si>
  <si>
    <t>ENCARNACION, STELIANA</t>
  </si>
  <si>
    <t>CASTRO, ALEJANDRA</t>
  </si>
  <si>
    <t>DE LEON DE TOVAR, MARIA E</t>
  </si>
  <si>
    <t>OROURKE, THERESA A</t>
  </si>
  <si>
    <t>ALFARO, REBECCA M</t>
  </si>
  <si>
    <t>TORRES, HERIBERTO JR</t>
  </si>
  <si>
    <t>CISNEROS, MARIA DEL CARMEN</t>
  </si>
  <si>
    <t>BLACHARD, LAILA</t>
  </si>
  <si>
    <t>GARDNER, LUZ M</t>
  </si>
  <si>
    <t>ACOSTA, GUILLERMO D</t>
  </si>
  <si>
    <t>PRN14600</t>
  </si>
  <si>
    <t>ACEVEDO, JUANA</t>
  </si>
  <si>
    <t>CARDOZA VARGAS, MARIA G</t>
  </si>
  <si>
    <t>MORENO, SALVADOR JR</t>
  </si>
  <si>
    <t>MATTHEWS, REGINALD</t>
  </si>
  <si>
    <t>SIAS, RODOLOFO R</t>
  </si>
  <si>
    <t>RISER, MARIA E</t>
  </si>
  <si>
    <t>MUNOZ MOLINAR, RAMIRO</t>
  </si>
  <si>
    <t>HERNANDEZ, KRISTOPHER</t>
  </si>
  <si>
    <t>BONNER, DONALD J</t>
  </si>
  <si>
    <t>TORRES, JESUS J</t>
  </si>
  <si>
    <t>RODRIGUEZ, MARGARET</t>
  </si>
  <si>
    <t>DEANDA, LINDA</t>
  </si>
  <si>
    <t>ANCHONDO, BLANCA L</t>
  </si>
  <si>
    <t>HUIZAR, ROSA E</t>
  </si>
  <si>
    <t>HERRERA, BLAS</t>
  </si>
  <si>
    <t>CHERENA, LUIS</t>
  </si>
  <si>
    <t>BAUGH, WILLIAM</t>
  </si>
  <si>
    <t>CHAVEZ, ALFRED</t>
  </si>
  <si>
    <t>ACEVEDO, JAIME</t>
  </si>
  <si>
    <t>VELASQUEZ, MANUELA A</t>
  </si>
  <si>
    <t>MARTINEZ, BETSABE M</t>
  </si>
  <si>
    <t>VIERA, EDWARD L</t>
  </si>
  <si>
    <t>GONZALES, ANDY</t>
  </si>
  <si>
    <t>RIVERA, ISRAEL</t>
  </si>
  <si>
    <t>ALTORAN MONTIJO, DOMINGO</t>
  </si>
  <si>
    <t>MUELA, GUSTAVO</t>
  </si>
  <si>
    <t>ORTIZ, ADRIAN</t>
  </si>
  <si>
    <t>WARREN, PATRICIA</t>
  </si>
  <si>
    <t>HUNTER, WARREN A</t>
  </si>
  <si>
    <t>PEREZ, JUVENTINO M</t>
  </si>
  <si>
    <t>LOPEZ, MATIANA E</t>
  </si>
  <si>
    <t>RIOS, DENISE A</t>
  </si>
  <si>
    <t>NIETO, LUCY M</t>
  </si>
  <si>
    <t>REYES, LUZ M</t>
  </si>
  <si>
    <t>CEJA, SALVADOR</t>
  </si>
  <si>
    <t>DOMINGUEZ, MARILYN</t>
  </si>
  <si>
    <t>ORTEGA, DOLORES O</t>
  </si>
  <si>
    <t>RIVERA HERNANDEZ, LETICIA M</t>
  </si>
  <si>
    <t>ALTORAN MONTIJO, DOMINGO G</t>
  </si>
  <si>
    <t>TEST, ESMERALDA K</t>
  </si>
  <si>
    <t>HERAS, CLAUDIA V</t>
  </si>
  <si>
    <t>MACDONALD, PETER M</t>
  </si>
  <si>
    <t>KENNEDY, TAMMY L</t>
  </si>
  <si>
    <t>LLEWELLYN, DIANA L</t>
  </si>
  <si>
    <t>MURPHY, DANILO A</t>
  </si>
  <si>
    <t>SOLIS, FELIPA E</t>
  </si>
  <si>
    <t>PRN 16803</t>
  </si>
  <si>
    <t>CARRILLO, CHRISTINA M</t>
  </si>
  <si>
    <t>LINDSEY, ROBERT</t>
  </si>
  <si>
    <t>VASQUEZ, GUADALUPE</t>
  </si>
  <si>
    <t>GURROLA, PORFIRIO</t>
  </si>
  <si>
    <t>BLANTON, PATRICIA A</t>
  </si>
  <si>
    <t>ALMODOVAR VARGAS, GONZALO</t>
  </si>
  <si>
    <t>GOMEZ, ESTHELA</t>
  </si>
  <si>
    <t>PADILLA, RAUL</t>
  </si>
  <si>
    <t>MCINTOSH, CHRISTINE L</t>
  </si>
  <si>
    <t>BRISENO, SYLVIA D</t>
  </si>
  <si>
    <t>AJTUN, YESENIA M</t>
  </si>
  <si>
    <t>TREVINO, ROBERTO</t>
  </si>
  <si>
    <t>RIOS, GRACIELA A</t>
  </si>
  <si>
    <t>DELLOSSIE, GRACIELA</t>
  </si>
  <si>
    <t>CASTANON, GUADALUPE</t>
  </si>
  <si>
    <t>JIMENEZ, ROBERTO</t>
  </si>
  <si>
    <t>ACOSTA, OFELIA V</t>
  </si>
  <si>
    <t>CARMONA, LORENA</t>
  </si>
  <si>
    <t>DIAZ-SANCHEZ, IRMA E</t>
  </si>
  <si>
    <t>VON MITTENWALD, LEANNE W</t>
  </si>
  <si>
    <t>ALEMAN, GRACIELA</t>
  </si>
  <si>
    <t>MUNN, GARRY L</t>
  </si>
  <si>
    <t>ARTECHE, YOLANDA</t>
  </si>
  <si>
    <t>SALCIDO, ROBERT</t>
  </si>
  <si>
    <t>DOMINGUEZ, ADRIAN R</t>
  </si>
  <si>
    <t>RIOS, ESPERANZA</t>
  </si>
  <si>
    <t>ESTRADA, MARCO A</t>
  </si>
  <si>
    <t>HEIRAS, LUIS R</t>
  </si>
  <si>
    <t>MULHOLLAND, DEBORAH S</t>
  </si>
  <si>
    <t>CASTRO, DANIEL</t>
  </si>
  <si>
    <t>HERRERA, LUIS M</t>
  </si>
  <si>
    <t>ACUNA, YEZIKA M</t>
  </si>
  <si>
    <t>LEOS, GLORIA</t>
  </si>
  <si>
    <t>ACENCIO, DENISE M</t>
  </si>
  <si>
    <t>ROSE, LEROY</t>
  </si>
  <si>
    <t>AKPOROTU, SIMON</t>
  </si>
  <si>
    <t>LEGARRETA, CECILIA A</t>
  </si>
  <si>
    <t>GONZALEZ, ABRAHAM</t>
  </si>
  <si>
    <t>WC 9299</t>
  </si>
  <si>
    <t>REYES, MONSERRAT M</t>
  </si>
  <si>
    <t>MATHEWS, NICOLE J</t>
  </si>
  <si>
    <t>BENOIT, DEIRDRE E</t>
  </si>
  <si>
    <t>POTTER, LEONOR</t>
  </si>
  <si>
    <t>RIOS, BERTHA R</t>
  </si>
  <si>
    <t>VEGA, DELIA H</t>
  </si>
  <si>
    <t>HARTNETT, JAMES E</t>
  </si>
  <si>
    <t>RIVAS, LUCY</t>
  </si>
  <si>
    <t>PAZ, JORGE R.</t>
  </si>
  <si>
    <t>CASTILLO, CLAUDIA E</t>
  </si>
  <si>
    <t>PULIDO-REYES, MIGUEL</t>
  </si>
  <si>
    <t>RODRIGUEZ, MARTHA C</t>
  </si>
  <si>
    <t>BAUGH, ELIZABETH</t>
  </si>
  <si>
    <t>BARNNET, ANGELA M</t>
  </si>
  <si>
    <t>ROBLES ELIAS, ANTONIO</t>
  </si>
  <si>
    <t>PUENTES, OSIRIS</t>
  </si>
  <si>
    <t>GARCIA, RICHARD</t>
  </si>
  <si>
    <t>MEDRANO, MARIA</t>
  </si>
  <si>
    <t>COE, JOHN RICHARD</t>
  </si>
  <si>
    <t>FOLMER, MELANIE A</t>
  </si>
  <si>
    <t>SOTO, SOCORRO</t>
  </si>
  <si>
    <t>VELASCO, ROSARIO</t>
  </si>
  <si>
    <t>CHEW, LUIS ENRIQUE</t>
  </si>
  <si>
    <t>ABASTA, HERIBERTO O</t>
  </si>
  <si>
    <t>SANTIESTEBAN, CARMEN</t>
  </si>
  <si>
    <t>ROBLEDO, CARLOS</t>
  </si>
  <si>
    <t>WILLIAMS, MARTHA M</t>
  </si>
  <si>
    <t>PANFILO, JAYME</t>
  </si>
  <si>
    <t>GARCIA, ROSA M</t>
  </si>
  <si>
    <t>GREEN, VALERIE A</t>
  </si>
  <si>
    <t>VELASCO, MARIA E</t>
  </si>
  <si>
    <t>MARTINEZ, PHILIP</t>
  </si>
  <si>
    <t>JAMES, CAROLYN D</t>
  </si>
  <si>
    <t>CHAVIRA, VIRGINIA B</t>
  </si>
  <si>
    <t>HENDERSON, WILYUM</t>
  </si>
  <si>
    <t>RODRIGUEZ, FERNANDA I</t>
  </si>
  <si>
    <t>FLORES, EMMA U</t>
  </si>
  <si>
    <t>CABRERA VASQUEZ, FLAVIO</t>
  </si>
  <si>
    <t>CASTANEDA, HECTOR</t>
  </si>
  <si>
    <t>DELGADO, FELICIANA</t>
  </si>
  <si>
    <t>CARRASCO, EDWARD</t>
  </si>
  <si>
    <t>SANCHEZ, RADAMES</t>
  </si>
  <si>
    <t>LIZARRAGA, MARIA</t>
  </si>
  <si>
    <t>GIRARD, WILLIAM P</t>
  </si>
  <si>
    <t>MARQUEZ, GUADALUPE G</t>
  </si>
  <si>
    <t>RODRIGUEZ, ANGIE A</t>
  </si>
  <si>
    <t>KIDD PARTRIDGE, MARY K</t>
  </si>
  <si>
    <t>PRN 17156</t>
  </si>
  <si>
    <t>MARQUEZ, RICARDO</t>
  </si>
  <si>
    <t>TORRES, JOSE O</t>
  </si>
  <si>
    <t>GONZALES, TOMAS</t>
  </si>
  <si>
    <t>RUIZ, BERTHA R</t>
  </si>
  <si>
    <t>GARCIA, ERIC R</t>
  </si>
  <si>
    <t>NIETO, FRANK R</t>
  </si>
  <si>
    <t>SAENZ, SHEILA P</t>
  </si>
  <si>
    <t>SALINAS NANCE, GISSEL</t>
  </si>
  <si>
    <t>PEREZ, JOEL</t>
  </si>
  <si>
    <t>VILLALOBOS, HECTOR</t>
  </si>
  <si>
    <t>MELENDEZ, TERESA</t>
  </si>
  <si>
    <t>NUNEZ, JUANA M</t>
  </si>
  <si>
    <t>MIRSHAMSI, JEFFRY H</t>
  </si>
  <si>
    <t>TUCKER, LAWRENCE</t>
  </si>
  <si>
    <t>CLEMENTS, DARYL W</t>
  </si>
  <si>
    <t>PRN 17962</t>
  </si>
  <si>
    <t>ACOSTA, MARLENE</t>
  </si>
  <si>
    <t>PRIMARY INSURANCE NAME</t>
  </si>
  <si>
    <t>TIME</t>
  </si>
  <si>
    <t>DATE</t>
  </si>
  <si>
    <t>MEDICARE REPLACEMENT</t>
  </si>
  <si>
    <t>AARP MEDICARE COMPLETE</t>
  </si>
  <si>
    <t>AETNA MEDICARE</t>
  </si>
  <si>
    <t>AETNA</t>
  </si>
  <si>
    <t>AMERIVANTAGE</t>
  </si>
  <si>
    <t>AMERIVANTAGE DUAL</t>
  </si>
  <si>
    <t>AETNA MEDICARE ADVANTAGE</t>
  </si>
  <si>
    <t>BCBS MEDICARE ADVANTAGE NM</t>
  </si>
  <si>
    <t>ALLWELL - SUPERIOR</t>
  </si>
  <si>
    <t>BCBS MEDICARE ADVANTAGE TX</t>
  </si>
  <si>
    <t>AMBETTER - SUPERIOR</t>
  </si>
  <si>
    <t>CLOVER INSURANCE</t>
  </si>
  <si>
    <t>AMERIGROUP</t>
  </si>
  <si>
    <t>HUMANA GOLD CHOICE NETWORK PFFS</t>
  </si>
  <si>
    <t>AMERIGROUP MEDICAID</t>
  </si>
  <si>
    <t>HUMANA GOLD PLUS HMO</t>
  </si>
  <si>
    <t>HUMANA MEDICARE PPO</t>
  </si>
  <si>
    <t>MEDICARE</t>
  </si>
  <si>
    <t>BAS - PHCS PPO</t>
  </si>
  <si>
    <t>MOLINA DUAL COMPLETE NEW MEXICO</t>
  </si>
  <si>
    <t>BCBS CENTENNIAL</t>
  </si>
  <si>
    <t>MOLINA DUAL COMPLETE TEXAS</t>
  </si>
  <si>
    <t>BCBS FEDERAL</t>
  </si>
  <si>
    <t>MOLINA MEDICARE HMO NEW MEXICO</t>
  </si>
  <si>
    <t>BCBS HEALTH SELECT</t>
  </si>
  <si>
    <t>MOLINA MEDICARE NEW MEXICO</t>
  </si>
  <si>
    <t>BCBS HIGHMARK MEDICAL</t>
  </si>
  <si>
    <t>MOLINA MEDICARE TEXAS</t>
  </si>
  <si>
    <t>BCBS HMO NM</t>
  </si>
  <si>
    <t>RAILROAD MEDICARE</t>
  </si>
  <si>
    <t>BCBS HMO TX</t>
  </si>
  <si>
    <t>UNITED HEALTH CARE DUAL</t>
  </si>
  <si>
    <t>UNITED HEALTH CARE MEDICARE</t>
  </si>
  <si>
    <t>WELLCARE HMO / PPO</t>
  </si>
  <si>
    <t>BCBS PPO NEW MEXICO</t>
  </si>
  <si>
    <t>BCBSNM PPO (BLUE CROSS BLUE SHIELD) - CLAIMS GO TO LOCAL TEXAS</t>
  </si>
  <si>
    <t>BCBSTX FEDERAL (BLUE CROSS BLUE SHIELD)</t>
  </si>
  <si>
    <t>BCBSTX HMO</t>
  </si>
  <si>
    <t>BCBSTX PPO</t>
  </si>
  <si>
    <t>BLUE CROSS MEDICARE ADVANTAGE HMO TX</t>
  </si>
  <si>
    <t>CHAMPVA</t>
  </si>
  <si>
    <t>CIGNA</t>
  </si>
  <si>
    <t>CIGNA - SOCORRO ISD</t>
  </si>
  <si>
    <t>CIGNA HEALTHSPRING</t>
  </si>
  <si>
    <t>CIGNA NALC</t>
  </si>
  <si>
    <t>CIGNA OPEN ACCESS PLAN (OAP)</t>
  </si>
  <si>
    <t>CIGNA OPEN ACCESS PPO</t>
  </si>
  <si>
    <t>EL PASO HEALTH PLAN</t>
  </si>
  <si>
    <t>EL PASO VA</t>
  </si>
  <si>
    <t>FIRST HEALTH - FIVEPOINTS BENEFIT PLANS</t>
  </si>
  <si>
    <t>FIRST HEALTH PPO / COVENTRY</t>
  </si>
  <si>
    <t>FRIDAY HEALTH PLAN</t>
  </si>
  <si>
    <t>GEHA</t>
  </si>
  <si>
    <t>HUMANA CHOICE CARE</t>
  </si>
  <si>
    <t>HUMANA EMPLOYER PPO PLUS</t>
  </si>
  <si>
    <t>HUMANA OPEN ACCESS PLAN</t>
  </si>
  <si>
    <t>INSURANCE</t>
  </si>
  <si>
    <t>MEDICAID TEXAS</t>
  </si>
  <si>
    <t>MEDICARE TEXAS</t>
  </si>
  <si>
    <t>MOLINA MARKETPLACE NEW MEXICO</t>
  </si>
  <si>
    <t>MOLINA MARKETPLACE TEXAS</t>
  </si>
  <si>
    <t>MOLINA MEDICAID STAR PLUS TEXAS</t>
  </si>
  <si>
    <t>MOLINA MEDICAID STAR TEXAS</t>
  </si>
  <si>
    <t>MOLINA MEDICAID TEXAS</t>
  </si>
  <si>
    <t>MULTIPLAN / PHCS</t>
  </si>
  <si>
    <t>NEW MEXICO MEDICAID</t>
  </si>
  <si>
    <t>PREFERRED ADMINISTRATORS</t>
  </si>
  <si>
    <t>PRESBYTERIAN HEALTH PLAN</t>
  </si>
  <si>
    <t>SELF-PAY</t>
  </si>
  <si>
    <t>SUPERIOR HEALTH PLAN</t>
  </si>
  <si>
    <t>SUPERIOR HEALTH PLAN MEDICAID</t>
  </si>
  <si>
    <t>SUPERIOR HEALTH PLAN MEDICAID STAR / STAR PLUS</t>
  </si>
  <si>
    <t>THIRD PARTY PAYER TWO - EH</t>
  </si>
  <si>
    <t>THIRD PARTY PAYER TWO - MH</t>
  </si>
  <si>
    <t>TRICARE FOR LIFE</t>
  </si>
  <si>
    <t>TRICARE PRIME</t>
  </si>
  <si>
    <t>TRICARE SELECT</t>
  </si>
  <si>
    <t>UHC CHOICE PLUS</t>
  </si>
  <si>
    <t>UHC DUAL COMPLETE</t>
  </si>
  <si>
    <t>UHC MEDICARE COMPLETE</t>
  </si>
  <si>
    <t>UHC SHARED SERVICES</t>
  </si>
  <si>
    <t>UMR</t>
  </si>
  <si>
    <t>UNITED HEALTH CARE</t>
  </si>
  <si>
    <t>UNITED HEALTH CARE CHOICE PLUS</t>
  </si>
  <si>
    <t>UNITED HEALTH CARE COMMERCIAL</t>
  </si>
  <si>
    <t>UNITED HEALTH CARE COMMUNITY PLAN</t>
  </si>
  <si>
    <t>UNITED HEALTH CARE GEHA</t>
  </si>
  <si>
    <t>UNITED HEALTH CARE MEDICAID</t>
  </si>
  <si>
    <t>UNITED HEALTHCARE - HEALTH SELECT</t>
  </si>
  <si>
    <t>USA MCO PPO</t>
  </si>
  <si>
    <t>USA MCO WC</t>
  </si>
  <si>
    <t>WC - ANTHEMS ADMINISTRATORS ONE CALL</t>
  </si>
  <si>
    <t>WC - CCMSI</t>
  </si>
  <si>
    <t>WC - CLAIMS ADMINISTRATIVE</t>
  </si>
  <si>
    <t>WC - CORVEL</t>
  </si>
  <si>
    <t>WC - DEPARTMENT OF LABOR</t>
  </si>
  <si>
    <t>WC - DONEGAL MUTUAL INSURANCE</t>
  </si>
  <si>
    <t>WC - GALLAGHER BASSETT SERVICES</t>
  </si>
  <si>
    <t>WC - HIGHLANDS INSURANCE</t>
  </si>
  <si>
    <t>WC - L ROBERTS INC. AIG AMERICAN HOME</t>
  </si>
  <si>
    <t>WC - LIBERTY MUTUAL</t>
  </si>
  <si>
    <t>WC - ODESSA ENTERPRISE</t>
  </si>
  <si>
    <t>WC - PREMIAN CLAIM SERVICE INC</t>
  </si>
  <si>
    <t>WC - SEDGWICK</t>
  </si>
  <si>
    <t>WC - SUMMIT</t>
  </si>
  <si>
    <t>WC - TEXAS PROPERTY AND CASUALTY INSURANCE GUARANTY ASSOCIATION</t>
  </si>
  <si>
    <t>WC - TRAVELERS INSURANCE</t>
  </si>
  <si>
    <t>WELLCARE OF TEXAS</t>
  </si>
  <si>
    <t>WELLCARE OF TEXAS HMO</t>
  </si>
  <si>
    <t>WELLMED</t>
  </si>
  <si>
    <t>WELLMED - AARP MEDICARE COMPLETE</t>
  </si>
  <si>
    <t>WELLMED - AMERIVANTAGE</t>
  </si>
  <si>
    <t>WELLMED - CAREFIRST</t>
  </si>
  <si>
    <t>WELLMED - CIGNA HEALTHSPRING</t>
  </si>
  <si>
    <t>WELLMED - HUMANA</t>
  </si>
  <si>
    <t>WELLMED - UHC CHRONIC COMPLETE HMO C-SNP</t>
  </si>
  <si>
    <t>WELLMED - UHC DUAL COMPLETE HMO SNP</t>
  </si>
  <si>
    <t>WELLMED - UHC DUAL COMPLETE SNP</t>
  </si>
  <si>
    <t>WESTERN SKY COMMUNITY</t>
  </si>
  <si>
    <t>WPS VA</t>
  </si>
  <si>
    <t>WPS VA - COMMUNITY CARE</t>
  </si>
  <si>
    <t>WPS VA - PC3</t>
  </si>
  <si>
    <t>UNITED HEALTH ONE - UHC CHOICEPLUS</t>
  </si>
  <si>
    <t>UNITED HEALTH CARE CHOICEPLUS</t>
  </si>
  <si>
    <t>MRNDOS</t>
  </si>
  <si>
    <t>APPT TYPE</t>
  </si>
  <si>
    <t>RESOURCE</t>
  </si>
  <si>
    <t>PROVIDER</t>
  </si>
  <si>
    <t>SCAN</t>
  </si>
  <si>
    <t>INPUT</t>
  </si>
  <si>
    <t>REPEAT</t>
  </si>
  <si>
    <t>SCANID</t>
  </si>
  <si>
    <t>UA-Provider</t>
  </si>
  <si>
    <t>LOPEZ</t>
  </si>
  <si>
    <t>UA-NWPT</t>
  </si>
  <si>
    <t>OUTUA-NWRW</t>
  </si>
  <si>
    <t>UA-Prelim</t>
  </si>
  <si>
    <t>OUTUA-FURW</t>
  </si>
  <si>
    <t>UMR - UNITED HEALTHCARE</t>
  </si>
  <si>
    <t>UA-NP</t>
  </si>
  <si>
    <t>MARTINEZ</t>
  </si>
  <si>
    <t>OUTUA-PrRW</t>
  </si>
  <si>
    <t>THOMAS</t>
  </si>
  <si>
    <t>TORRES</t>
  </si>
  <si>
    <t>WELLMED - UHC MEDICARE PPO</t>
  </si>
  <si>
    <t>OUTSA-RW</t>
  </si>
  <si>
    <t>AUXIANT - PHCS PPO</t>
  </si>
  <si>
    <t>MELENDEZ,TERESA</t>
  </si>
  <si>
    <t>VALENCIA,DELIA I</t>
  </si>
  <si>
    <t>NUNEZ,JUANA</t>
  </si>
  <si>
    <t>GONZALES,TOMAS</t>
  </si>
  <si>
    <t>VILLALOBOS,HECTOR</t>
  </si>
  <si>
    <t>SALINAS NANCE,GISSEL</t>
  </si>
  <si>
    <t>RUBIO, LORENZA</t>
  </si>
  <si>
    <t>LAMBERTY FAJ, ROSA</t>
  </si>
  <si>
    <t>PRN 16636</t>
  </si>
  <si>
    <t>KUHFAL, RONALD</t>
  </si>
  <si>
    <t>ERRATA</t>
  </si>
  <si>
    <t>MRN #</t>
  </si>
  <si>
    <t>NEW PT</t>
  </si>
  <si>
    <t>F/U PT</t>
  </si>
  <si>
    <t>PRELIM</t>
  </si>
  <si>
    <t>WC - FARMERS CLAIM</t>
  </si>
  <si>
    <t>X</t>
  </si>
  <si>
    <t>NOT CHECKED IN</t>
  </si>
  <si>
    <t>CHECKED IN 16797 INSTEAD</t>
  </si>
  <si>
    <t>DOUBLE COLLECTED</t>
  </si>
  <si>
    <t>AVG</t>
  </si>
  <si>
    <t xml:space="preserve">- </t>
  </si>
  <si>
    <t>SUM</t>
  </si>
  <si>
    <t>WRONG ECW VISIT TYPE AND STATUS &amp; WRONG DATE - CORRECTED BY DM</t>
  </si>
  <si>
    <t>LATEST DATE</t>
  </si>
  <si>
    <t>SCANNED/NOT CHECKED IN - NOT VERIFIED</t>
  </si>
  <si>
    <t>NO POC REPORT DONE</t>
  </si>
  <si>
    <t>EARLIEST DATE</t>
  </si>
  <si>
    <t>WELLMED - AARP MEDICARE COMPLETE - was changed to WELLCARE OF TEXAS HMO on DOS</t>
  </si>
  <si>
    <t>COMPLETEUA &gt; UACOLLECT - FAILED TO CHECK INSURANCE AND CHANGE APPOINTMENT TYPE</t>
  </si>
  <si>
    <t>TIMEFRAME IN DAYS</t>
  </si>
  <si>
    <t>AMBETTER - SUPERIOR - was changed to WELLMED - UHC DUAL COMPLETE SNP on DOS</t>
  </si>
  <si>
    <t>COLLECTED USING IH CUP, DOCUMENTED AS WELLMED</t>
  </si>
  <si>
    <t>LOPEZ PT. NO POC REPORT - PRELIM</t>
  </si>
  <si>
    <t>ERROR FREQ IN DAYS</t>
  </si>
  <si>
    <t>NOT MARKED AS VISIT TYPE</t>
  </si>
  <si>
    <t>REDWOOD</t>
  </si>
  <si>
    <t>OUTBOUND FORMS WRONG - DOUBLE SIDED PRINT, ONE HAS 2 PATIENTS</t>
  </si>
  <si>
    <t>WRONG ECW STATUS</t>
  </si>
  <si>
    <t>PRELIM AS UA</t>
  </si>
  <si>
    <t>ERR</t>
  </si>
  <si>
    <t>DNA COLLECTED TWICE (12/20/21)</t>
  </si>
  <si>
    <t>CHECKED IN TWICE</t>
  </si>
  <si>
    <t>-</t>
  </si>
  <si>
    <t>LUNCH W/O NOTIFYING</t>
  </si>
  <si>
    <t>OUTUA-FURW - NOT RW INSURANCE</t>
  </si>
  <si>
    <t>SCHEDULED WRONG</t>
  </si>
  <si>
    <t>COLLECTED &amp; NOT VERIFIED</t>
  </si>
  <si>
    <t>DNA COLLECTED TWICE</t>
  </si>
  <si>
    <t>CHECKED IN BUT NOT COLLECTED</t>
  </si>
  <si>
    <t>UNACCEPTABLE CONDITION OF 4 REQUISITIONS SUBMITTED</t>
  </si>
  <si>
    <t>NOT CHECKED IN CORRECTLY</t>
  </si>
  <si>
    <t>REPEATS SAME DAY CHECK IN (3) PTS</t>
  </si>
  <si>
    <t>COLLECTED AS IH - NOT SENT</t>
  </si>
  <si>
    <t>MONTH</t>
  </si>
  <si>
    <t>COUNT</t>
  </si>
  <si>
    <t>SCORE</t>
  </si>
  <si>
    <t>NORMALIZED</t>
  </si>
  <si>
    <t>ERROR FREQ (DAYS)</t>
  </si>
  <si>
    <t>SD</t>
  </si>
  <si>
    <t>Z</t>
  </si>
  <si>
    <t>*EVERY 4 DAYS THERE IS 1 MISTAKE</t>
  </si>
  <si>
    <t>JANUARY 
FROM
01/06/2022
TO
02/03/2022</t>
  </si>
  <si>
    <t>THUS AT THIS RATE, THERE'S 7 MISTAKES PER COLLECTOR ON A 28 DAY PERIOD, THUS: 1 MONTH IS</t>
  </si>
  <si>
    <t>Z SCORE</t>
  </si>
  <si>
    <t>-2Z</t>
  </si>
  <si>
    <t>-1Z</t>
  </si>
  <si>
    <t>1Z</t>
  </si>
  <si>
    <t>2Z</t>
  </si>
  <si>
    <t>COLL / ERRORS</t>
  </si>
  <si>
    <t>DAYS</t>
  </si>
  <si>
    <t>~ ANYONE BELOW A 70% IS TO BE WRITTEN UP</t>
  </si>
  <si>
    <t>OR EN ERROR FREQ BELOW</t>
  </si>
  <si>
    <t>TEAM ERRORS PER DAY</t>
  </si>
  <si>
    <t>AVERAGE</t>
  </si>
  <si>
    <t>AVERAGE ERROR FREQUENCY</t>
  </si>
  <si>
    <t>PEOPLE</t>
  </si>
  <si>
    <t>W REPET</t>
  </si>
  <si>
    <t>CH, DA</t>
  </si>
  <si>
    <t>W/O REPET</t>
  </si>
  <si>
    <t>CH, LM</t>
  </si>
  <si>
    <t>CH, LM, DA</t>
  </si>
  <si>
    <t>DM, CH</t>
  </si>
  <si>
    <t>DM, CH, DA</t>
  </si>
  <si>
    <t>DM, CH, LM</t>
  </si>
  <si>
    <t>DM, CH, LM, DA</t>
  </si>
  <si>
    <t>n!</t>
  </si>
  <si>
    <t>DM, DA</t>
  </si>
  <si>
    <t>n</t>
  </si>
  <si>
    <t>DM, LM</t>
  </si>
  <si>
    <t>r</t>
  </si>
  <si>
    <t>LM, DA</t>
  </si>
  <si>
    <t>SEX</t>
  </si>
  <si>
    <t>MOLINA</t>
  </si>
  <si>
    <t>ECW VISIT TYPE</t>
  </si>
  <si>
    <t>ECW VISIT TYPE MATCH</t>
  </si>
  <si>
    <t>✓</t>
  </si>
  <si>
    <t>F</t>
  </si>
  <si>
    <t>OUTUA-FURW : OUT UA FU Redwood</t>
  </si>
  <si>
    <t xml:space="preserve"> </t>
  </si>
  <si>
    <t>UA-Prelim : Preliminary UA Test</t>
  </si>
  <si>
    <t>MATCH</t>
  </si>
  <si>
    <t>M</t>
  </si>
  <si>
    <t>UA : Urine Analysis In House</t>
  </si>
  <si>
    <t>OUTUA-PrRW : OUT UA Prelimin Redwood</t>
  </si>
  <si>
    <t>UA-NWPT : UA New Patient</t>
  </si>
  <si>
    <t>OUTUA-NWRW : OUT UA New Redwood</t>
  </si>
  <si>
    <t>Total</t>
  </si>
  <si>
    <t>Prelim</t>
  </si>
  <si>
    <t>TIME COLLECTED</t>
  </si>
  <si>
    <t>GENDER</t>
  </si>
  <si>
    <t>NEW PATIENT</t>
  </si>
  <si>
    <t>FOLLOW UP PATIENT</t>
  </si>
  <si>
    <t>PRELIM ONLY</t>
  </si>
  <si>
    <t>swab</t>
  </si>
  <si>
    <t>x</t>
  </si>
  <si>
    <t>Lm</t>
  </si>
  <si>
    <t>SWAB</t>
  </si>
  <si>
    <t>f</t>
  </si>
  <si>
    <t>OUTSA-RW : OUT Saliva Redwood</t>
  </si>
  <si>
    <t>NO MATCH</t>
  </si>
  <si>
    <t>cambio seguro</t>
  </si>
  <si>
    <t/>
  </si>
  <si>
    <t>WALK-INS</t>
  </si>
  <si>
    <t>TOTAL UAs</t>
  </si>
  <si>
    <t>IN HOUSE</t>
  </si>
  <si>
    <t>OUTBOUND</t>
  </si>
  <si>
    <t>NEW</t>
  </si>
  <si>
    <t>F/U</t>
  </si>
  <si>
    <t>NOTE</t>
  </si>
  <si>
    <t>WAS IN HOUSE</t>
  </si>
  <si>
    <t>WAS IN HOUSE - NO SHOW/ERASED</t>
  </si>
  <si>
    <t xml:space="preserve">  </t>
  </si>
  <si>
    <t>?</t>
  </si>
  <si>
    <t>Borden-Zacour, Kristi</t>
  </si>
  <si>
    <t>lm</t>
  </si>
  <si>
    <t>molina marketplace texas</t>
  </si>
  <si>
    <t>WPS VA -  COMMUNITY CARE</t>
  </si>
  <si>
    <t>OLIVER, TIFFANY</t>
  </si>
  <si>
    <t>Arzate, Ricardo</t>
  </si>
  <si>
    <t>bcbstx ppo</t>
  </si>
  <si>
    <t>Ponce Solorzano, Armando</t>
  </si>
  <si>
    <t xml:space="preserve">Singh Victoria </t>
  </si>
  <si>
    <t xml:space="preserve">Wellmed UHC Dual Complete SNP </t>
  </si>
  <si>
    <t>Lichard, Jessy</t>
  </si>
  <si>
    <t>wps va community care</t>
  </si>
  <si>
    <t>Corella, Sylvia</t>
  </si>
  <si>
    <t>AETNA medicare Advantage</t>
  </si>
  <si>
    <t xml:space="preserve">LOERA, ELEAZAR </t>
  </si>
  <si>
    <t>PEREZ, ROSALIE</t>
  </si>
  <si>
    <t xml:space="preserve">VALENZUELA, LAURA </t>
  </si>
  <si>
    <t>UNITED HEALTH CHOICEPLUS</t>
  </si>
  <si>
    <t>PORTILLO, ,MARIA</t>
  </si>
  <si>
    <t xml:space="preserve">MATTHEWS, REGINALD </t>
  </si>
  <si>
    <t xml:space="preserve">CHERENA, LUIS </t>
  </si>
  <si>
    <t xml:space="preserve">HERRERA, BLAS </t>
  </si>
  <si>
    <t xml:space="preserve">BAUGH, WILLIAM </t>
  </si>
  <si>
    <t xml:space="preserve">ACEVEDO, JUANA </t>
  </si>
  <si>
    <t xml:space="preserve">MUNOZ MOLINAR, RAMIRO </t>
  </si>
  <si>
    <t xml:space="preserve">RAMIREZ, DAVID </t>
  </si>
  <si>
    <t>WESTERN SKY COMMUNITY CARE</t>
  </si>
  <si>
    <t xml:space="preserve">RODRIGUEZ, MARGARET </t>
  </si>
  <si>
    <t xml:space="preserve">TORRES, BEATRIZ </t>
  </si>
  <si>
    <t xml:space="preserve">ORTIZ, ADRIAN </t>
  </si>
  <si>
    <t xml:space="preserve">RIVERA, ISRAEL </t>
  </si>
  <si>
    <t xml:space="preserve">MUELA, GUSTAVO </t>
  </si>
  <si>
    <t>OUTDNA-Red</t>
  </si>
  <si>
    <t xml:space="preserve">GONZALES, ANDY </t>
  </si>
  <si>
    <t xml:space="preserve">ALVIDREZ, MARIA </t>
  </si>
  <si>
    <t xml:space="preserve">LOPEZ, ANTONIO </t>
  </si>
  <si>
    <t xml:space="preserve">BURACZYK, STEVEN </t>
  </si>
  <si>
    <t>GARCIA, YOLANDA J</t>
  </si>
  <si>
    <t xml:space="preserve">DOMINGUEZ, MARILYN </t>
  </si>
  <si>
    <t>PRN13666</t>
  </si>
  <si>
    <t>WELL CARE ELITE - PHCS</t>
  </si>
  <si>
    <t>GALLARDO MARIA</t>
  </si>
  <si>
    <t>BORREGO, NORA</t>
  </si>
  <si>
    <t>MARTINEZ, DIONEL</t>
  </si>
  <si>
    <t>WPS VA COMMUNNITY CARE</t>
  </si>
  <si>
    <t>Patterson Eva</t>
  </si>
  <si>
    <t>SILVAS ANTONIO</t>
  </si>
  <si>
    <t>Hermosillo Gloria</t>
  </si>
  <si>
    <t>Wellmed Cigna Healthspring</t>
  </si>
  <si>
    <t>MARTINEZ, DINA</t>
  </si>
  <si>
    <t>FARR, AVERY</t>
  </si>
  <si>
    <t>Hernandez Raul</t>
  </si>
  <si>
    <t>Flores Maricela</t>
  </si>
  <si>
    <t>Amerivantage</t>
  </si>
  <si>
    <t>GLASCO, STEVEN</t>
  </si>
  <si>
    <t>Cuskey Larry</t>
  </si>
  <si>
    <t>HUNT, SHARON</t>
  </si>
  <si>
    <t>AMBETTER- SUPERIOR</t>
  </si>
  <si>
    <t>MURDOCK ROBERT</t>
  </si>
  <si>
    <t>Pendelton John</t>
  </si>
  <si>
    <t>Perez Ernestina</t>
  </si>
  <si>
    <t>MARTINEZ, MELISSA, A</t>
  </si>
  <si>
    <t>Gonzalez Irma</t>
  </si>
  <si>
    <t>United Health Care</t>
  </si>
  <si>
    <t>BERGE VERNON</t>
  </si>
  <si>
    <t>GONZALEZ LIONARDO</t>
  </si>
  <si>
    <t>VALTIERRA, JOEL, J</t>
  </si>
  <si>
    <t>Ceniceros Rebecca</t>
  </si>
  <si>
    <t>ARMENDARIZ, MONSERRAT, C</t>
  </si>
  <si>
    <t>Wilson Jean</t>
  </si>
  <si>
    <t>Wellmed - AARP MEDICARE COMPLETE</t>
  </si>
  <si>
    <t>GONZALEZ VELIA</t>
  </si>
  <si>
    <t>BARRERAS, MARIA</t>
  </si>
  <si>
    <t>Ugarte Fernando</t>
  </si>
  <si>
    <t>Presbyterian Health Plan</t>
  </si>
  <si>
    <t>MUNOZ LORENZA</t>
  </si>
  <si>
    <t>OROZCO, JOSE</t>
  </si>
  <si>
    <t>MEDRANO MANUEL</t>
  </si>
  <si>
    <t>CARBAJAL ROSALINDA</t>
  </si>
  <si>
    <t>QUEST</t>
  </si>
  <si>
    <t>REQUEST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</si>
</sst>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m/d/yyyy h:mm:ss"/>
    <numFmt numFmtId="165" formatCode="mm&quot;/&quot;dd&quot;/&quot;yy"/>
    <numFmt numFmtId="166" formatCode="mm/dd/yy"/>
    <numFmt numFmtId="167" formatCode="h:mm am/pm"/>
    <numFmt numFmtId="168" formatCode="hh&quot;:&quot;mm&quot; &quot;am/pm"/>
    <numFmt numFmtId="169" formatCode="0.0"/>
    <numFmt numFmtId="170" formatCode="0.0%"/>
    <numFmt numFmtId="171" formatCode="mm&quot;/&quot;dd&quot;/&quot;yyyy"/>
    <numFmt numFmtId="172" formatCode="h&quot;:&quot;mm"/>
    <numFmt numFmtId="173" formatCode="&quot;$&quot;#,##0.00"/>
  </numFmts>
  <fonts count="22">
    <font>
      <sz val="10.0"/>
      <color rgb="FF000000"/>
      <name val="Arial"/>
    </font>
    <font>
      <color theme="1"/>
      <name val="Arial"/>
    </font>
    <font>
      <u/>
      <color rgb="FF0000FF"/>
    </font>
    <font>
      <b/>
      <sz val="8.0"/>
      <color theme="1"/>
      <name val="Arial"/>
    </font>
    <font>
      <sz val="8.0"/>
      <color theme="1"/>
      <name val="Arial"/>
    </font>
    <font>
      <b/>
      <sz val="8.0"/>
      <color rgb="FFFFFFFF"/>
      <name val="Arial"/>
    </font>
    <font/>
    <font>
      <sz val="9.0"/>
      <color theme="1"/>
      <name val="Arial"/>
    </font>
    <font>
      <b/>
      <color theme="1"/>
      <name val="Arial"/>
    </font>
    <font>
      <b/>
      <sz val="8.0"/>
      <color theme="0"/>
      <name val="Arial"/>
    </font>
    <font>
      <sz val="9.0"/>
      <color theme="0"/>
      <name val="Arial"/>
    </font>
    <font>
      <b/>
      <sz val="9.0"/>
      <color theme="1"/>
      <name val="Arial"/>
    </font>
    <font>
      <sz val="8.0"/>
      <color theme="0"/>
      <name val="Arial"/>
    </font>
    <font>
      <b/>
      <sz val="9.0"/>
      <color rgb="FFFFFFFF"/>
      <name val="Arial"/>
    </font>
    <font>
      <b/>
      <sz val="9.0"/>
      <color theme="0"/>
      <name val="Arial"/>
    </font>
    <font>
      <b/>
      <sz val="6.0"/>
      <color rgb="FFFFFFFF"/>
      <name val="Arial"/>
    </font>
    <font>
      <sz val="8.0"/>
      <color rgb="FFFFFFFF"/>
      <name val="Arial"/>
    </font>
    <font>
      <sz val="9.0"/>
      <color rgb="FFFF0000"/>
      <name val="Arial"/>
    </font>
    <font>
      <sz val="7.0"/>
      <color theme="1"/>
      <name val="Arial"/>
    </font>
    <font>
      <b/>
      <sz val="7.0"/>
      <color theme="1"/>
      <name val="Arial"/>
    </font>
    <font>
      <sz val="9.0"/>
      <color rgb="FF000000"/>
      <name val="Arial"/>
    </font>
    <font>
      <sz val="9.0"/>
      <color rgb="FF000000"/>
      <name val="Inconsolata"/>
    </font>
  </fonts>
  <fills count="2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theme="1"/>
      </patternFill>
    </fill>
    <fill>
      <patternFill patternType="solid">
        <fgColor rgb="FF4DD0E1"/>
        <bgColor rgb="FF4DD0E1"/>
      </patternFill>
    </fill>
    <fill>
      <patternFill patternType="solid">
        <fgColor rgb="FF63D297"/>
        <bgColor rgb="FF63D297"/>
      </patternFill>
    </fill>
    <fill>
      <patternFill patternType="solid">
        <fgColor rgb="FFBDBDBD"/>
        <bgColor rgb="FFBDBDBD"/>
      </patternFill>
    </fill>
    <fill>
      <patternFill patternType="solid">
        <fgColor rgb="FFF7CB4D"/>
        <bgColor rgb="FFF7CB4D"/>
      </patternFill>
    </fill>
    <fill>
      <patternFill patternType="solid">
        <fgColor rgb="FFE0F7FA"/>
        <bgColor rgb="FFE0F7FA"/>
      </patternFill>
    </fill>
    <fill>
      <patternFill patternType="solid">
        <fgColor rgb="FFE7F9EF"/>
        <bgColor rgb="FFE7F9EF"/>
      </patternFill>
    </fill>
    <fill>
      <patternFill patternType="solid">
        <fgColor rgb="FFF3F3F3"/>
        <bgColor rgb="FFF3F3F3"/>
      </patternFill>
    </fill>
    <fill>
      <patternFill patternType="solid">
        <fgColor rgb="FFFEF8E3"/>
        <bgColor rgb="FFFEF8E3"/>
      </patternFill>
    </fill>
    <fill>
      <patternFill patternType="solid">
        <fgColor rgb="FFFF0000"/>
        <bgColor rgb="FFFF0000"/>
      </patternFill>
    </fill>
    <fill>
      <patternFill patternType="solid">
        <fgColor rgb="FFFF00FF"/>
        <bgColor rgb="FFFF00FF"/>
      </patternFill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rgb="FFFFE599"/>
        <bgColor rgb="FFFFE599"/>
      </patternFill>
    </fill>
    <fill>
      <patternFill patternType="solid">
        <fgColor rgb="FFEAD1DC"/>
        <bgColor rgb="FFEAD1DC"/>
      </patternFill>
    </fill>
    <fill>
      <patternFill patternType="solid">
        <fgColor rgb="FFA4C2F4"/>
        <bgColor rgb="FFA4C2F4"/>
      </patternFill>
    </fill>
    <fill>
      <patternFill patternType="solid">
        <fgColor rgb="FFA2C4C9"/>
        <bgColor rgb="FFA2C4C9"/>
      </patternFill>
    </fill>
    <fill>
      <patternFill patternType="solid">
        <fgColor rgb="FFE06666"/>
        <bgColor rgb="FFE06666"/>
      </patternFill>
    </fill>
    <fill>
      <patternFill patternType="solid">
        <fgColor rgb="FF6AA84F"/>
        <bgColor rgb="FF6AA84F"/>
      </patternFill>
    </fill>
  </fills>
  <borders count="54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top style="thick">
        <color rgb="FF000000"/>
      </top>
      <bottom style="thick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right style="thick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top style="medium">
        <color rgb="FF000000"/>
      </top>
      <bottom style="thin">
        <color rgb="FF000000"/>
      </bottom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bottom style="thin">
        <color rgb="FFFFFFFF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</border>
    <border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32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1" fillId="2" fontId="3" numFmtId="0" xfId="0" applyAlignment="1" applyBorder="1" applyFill="1" applyFont="1">
      <alignment horizontal="left" readingOrder="0" vertical="bottom"/>
    </xf>
    <xf borderId="2" fillId="0" fontId="4" numFmtId="0" xfId="0" applyAlignment="1" applyBorder="1" applyFont="1">
      <alignment horizontal="left" vertical="bottom"/>
    </xf>
    <xf borderId="2" fillId="0" fontId="4" numFmtId="165" xfId="0" applyAlignment="1" applyBorder="1" applyFont="1" applyNumberFormat="1">
      <alignment horizontal="left" vertical="bottom"/>
    </xf>
    <xf borderId="3" fillId="3" fontId="5" numFmtId="0" xfId="0" applyAlignment="1" applyBorder="1" applyFill="1" applyFont="1">
      <alignment horizontal="left" readingOrder="0" vertical="bottom"/>
    </xf>
    <xf borderId="4" fillId="0" fontId="4" numFmtId="0" xfId="0" applyAlignment="1" applyBorder="1" applyFont="1">
      <alignment horizontal="left" vertical="bottom"/>
    </xf>
    <xf borderId="0" fillId="3" fontId="5" numFmtId="0" xfId="0" applyAlignment="1" applyFont="1">
      <alignment horizontal="left" readingOrder="0" vertical="bottom"/>
    </xf>
    <xf borderId="5" fillId="3" fontId="5" numFmtId="0" xfId="0" applyAlignment="1" applyBorder="1" applyFont="1">
      <alignment horizontal="left" readingOrder="0" vertical="bottom"/>
    </xf>
    <xf borderId="5" fillId="3" fontId="5" numFmtId="165" xfId="0" applyAlignment="1" applyBorder="1" applyFont="1" applyNumberFormat="1">
      <alignment horizontal="left" readingOrder="0" vertical="bottom"/>
    </xf>
    <xf borderId="6" fillId="0" fontId="6" numFmtId="0" xfId="0" applyBorder="1" applyFont="1"/>
    <xf borderId="7" fillId="3" fontId="5" numFmtId="0" xfId="0" applyAlignment="1" applyBorder="1" applyFont="1">
      <alignment horizontal="left" readingOrder="0" vertical="bottom"/>
    </xf>
    <xf borderId="4" fillId="0" fontId="4" numFmtId="0" xfId="0" applyAlignment="1" applyBorder="1" applyFont="1">
      <alignment horizontal="left" readingOrder="0" vertical="bottom"/>
    </xf>
    <xf borderId="2" fillId="4" fontId="4" numFmtId="164" xfId="0" applyAlignment="1" applyBorder="1" applyFill="1" applyFont="1" applyNumberFormat="1">
      <alignment horizontal="left" vertical="bottom"/>
    </xf>
    <xf borderId="8" fillId="0" fontId="4" numFmtId="0" xfId="0" applyAlignment="1" applyBorder="1" applyFont="1">
      <alignment horizontal="left" vertical="bottom"/>
    </xf>
    <xf borderId="2" fillId="4" fontId="4" numFmtId="164" xfId="0" applyAlignment="1" applyBorder="1" applyFont="1" applyNumberFormat="1">
      <alignment horizontal="left" readingOrder="0" vertical="bottom"/>
    </xf>
    <xf borderId="2" fillId="0" fontId="7" numFmtId="0" xfId="0" applyAlignment="1" applyBorder="1" applyFont="1">
      <alignment horizontal="left" readingOrder="0"/>
    </xf>
    <xf borderId="2" fillId="0" fontId="7" numFmtId="165" xfId="0" applyAlignment="1" applyBorder="1" applyFont="1" applyNumberFormat="1">
      <alignment horizontal="left" readingOrder="0"/>
    </xf>
    <xf borderId="2" fillId="0" fontId="7" numFmtId="0" xfId="0" applyBorder="1" applyFont="1"/>
    <xf borderId="2" fillId="0" fontId="7" numFmtId="0" xfId="0" applyAlignment="1" applyBorder="1" applyFont="1">
      <alignment horizontal="left" vertical="bottom"/>
    </xf>
    <xf borderId="2" fillId="0" fontId="7" numFmtId="165" xfId="0" applyAlignment="1" applyBorder="1" applyFont="1" applyNumberFormat="1">
      <alignment horizontal="left" vertical="bottom"/>
    </xf>
    <xf borderId="2" fillId="0" fontId="7" numFmtId="0" xfId="0" applyAlignment="1" applyBorder="1" applyFont="1">
      <alignment readingOrder="0"/>
    </xf>
    <xf borderId="9" fillId="0" fontId="8" numFmtId="0" xfId="0" applyAlignment="1" applyBorder="1" applyFont="1">
      <alignment readingOrder="0"/>
    </xf>
    <xf borderId="10" fillId="0" fontId="8" numFmtId="0" xfId="0" applyAlignment="1" applyBorder="1" applyFont="1">
      <alignment readingOrder="0"/>
    </xf>
    <xf borderId="11" fillId="0" fontId="8" numFmtId="0" xfId="0" applyAlignment="1" applyBorder="1" applyFont="1">
      <alignment readingOrder="0"/>
    </xf>
    <xf borderId="12" fillId="0" fontId="1" numFmtId="0" xfId="0" applyAlignment="1" applyBorder="1" applyFont="1">
      <alignment readingOrder="0" vertical="bottom"/>
    </xf>
    <xf borderId="13" fillId="0" fontId="1" numFmtId="20" xfId="0" applyAlignment="1" applyBorder="1" applyFont="1" applyNumberFormat="1">
      <alignment readingOrder="0"/>
    </xf>
    <xf borderId="14" fillId="0" fontId="1" numFmtId="166" xfId="0" applyAlignment="1" applyBorder="1" applyFont="1" applyNumberFormat="1">
      <alignment readingOrder="0"/>
    </xf>
    <xf borderId="12" fillId="0" fontId="1" numFmtId="0" xfId="0" applyAlignment="1" applyBorder="1" applyFont="1">
      <alignment readingOrder="0"/>
    </xf>
    <xf borderId="15" fillId="0" fontId="1" numFmtId="0" xfId="0" applyAlignment="1" applyBorder="1" applyFont="1">
      <alignment readingOrder="0" vertical="bottom"/>
    </xf>
    <xf borderId="16" fillId="0" fontId="1" numFmtId="20" xfId="0" applyAlignment="1" applyBorder="1" applyFont="1" applyNumberFormat="1">
      <alignment readingOrder="0"/>
    </xf>
    <xf borderId="17" fillId="0" fontId="1" numFmtId="166" xfId="0" applyAlignment="1" applyBorder="1" applyFont="1" applyNumberFormat="1">
      <alignment readingOrder="0"/>
    </xf>
    <xf borderId="15" fillId="0" fontId="1" numFmtId="0" xfId="0" applyAlignment="1" applyBorder="1" applyFont="1">
      <alignment readingOrder="0"/>
    </xf>
    <xf borderId="15" fillId="0" fontId="1" numFmtId="0" xfId="0" applyBorder="1" applyFont="1"/>
    <xf borderId="16" fillId="0" fontId="1" numFmtId="0" xfId="0" applyBorder="1" applyFont="1"/>
    <xf borderId="15" fillId="0" fontId="1" numFmtId="0" xfId="0" applyAlignment="1" applyBorder="1" applyFont="1">
      <alignment horizontal="left" readingOrder="0"/>
    </xf>
    <xf borderId="2" fillId="0" fontId="1" numFmtId="0" xfId="0" applyAlignment="1" applyBorder="1" applyFont="1">
      <alignment readingOrder="0"/>
    </xf>
    <xf borderId="18" fillId="0" fontId="1" numFmtId="0" xfId="0" applyBorder="1" applyFont="1"/>
    <xf borderId="19" fillId="0" fontId="1" numFmtId="0" xfId="0" applyBorder="1" applyFont="1"/>
    <xf borderId="2" fillId="0" fontId="3" numFmtId="0" xfId="0" applyAlignment="1" applyBorder="1" applyFont="1">
      <alignment readingOrder="0"/>
    </xf>
    <xf borderId="2" fillId="0" fontId="3" numFmtId="0" xfId="0" applyAlignment="1" applyBorder="1" applyFont="1">
      <alignment vertical="bottom"/>
    </xf>
    <xf borderId="2" fillId="0" fontId="3" numFmtId="167" xfId="0" applyAlignment="1" applyBorder="1" applyFont="1" applyNumberFormat="1">
      <alignment vertical="bottom"/>
    </xf>
    <xf borderId="2" fillId="0" fontId="3" numFmtId="166" xfId="0" applyAlignment="1" applyBorder="1" applyFont="1" applyNumberFormat="1">
      <alignment vertical="bottom"/>
    </xf>
    <xf borderId="2" fillId="0" fontId="3" numFmtId="165" xfId="0" applyAlignment="1" applyBorder="1" applyFont="1" applyNumberFormat="1">
      <alignment vertical="bottom"/>
    </xf>
    <xf borderId="2" fillId="3" fontId="4" numFmtId="0" xfId="0" applyAlignment="1" applyBorder="1" applyFont="1">
      <alignment horizontal="left"/>
    </xf>
    <xf borderId="2" fillId="0" fontId="4" numFmtId="0" xfId="0" applyAlignment="1" applyBorder="1" applyFont="1">
      <alignment horizontal="left" readingOrder="0"/>
    </xf>
    <xf borderId="2" fillId="0" fontId="4" numFmtId="167" xfId="0" applyAlignment="1" applyBorder="1" applyFont="1" applyNumberFormat="1">
      <alignment horizontal="left" readingOrder="0"/>
    </xf>
    <xf borderId="2" fillId="0" fontId="4" numFmtId="166" xfId="0" applyAlignment="1" applyBorder="1" applyFont="1" applyNumberFormat="1">
      <alignment horizontal="left" readingOrder="0"/>
    </xf>
    <xf borderId="2" fillId="0" fontId="4" numFmtId="165" xfId="0" applyAlignment="1" applyBorder="1" applyFont="1" applyNumberFormat="1">
      <alignment horizontal="left" readingOrder="0"/>
    </xf>
    <xf borderId="2" fillId="0" fontId="4" numFmtId="0" xfId="0" applyAlignment="1" applyBorder="1" applyFont="1">
      <alignment horizontal="left" vertical="bottom"/>
    </xf>
    <xf borderId="2" fillId="0" fontId="4" numFmtId="0" xfId="0" applyAlignment="1" applyBorder="1" applyFont="1">
      <alignment horizontal="left"/>
    </xf>
    <xf borderId="0" fillId="2" fontId="9" numFmtId="0" xfId="0" applyAlignment="1" applyFont="1">
      <alignment readingOrder="0"/>
    </xf>
    <xf borderId="20" fillId="5" fontId="10" numFmtId="0" xfId="0" applyAlignment="1" applyBorder="1" applyFill="1" applyFont="1">
      <alignment horizontal="center" readingOrder="0" vertical="center"/>
    </xf>
    <xf borderId="21" fillId="6" fontId="11" numFmtId="0" xfId="0" applyAlignment="1" applyBorder="1" applyFill="1" applyFont="1">
      <alignment horizontal="center" readingOrder="0" shrinkToFit="0" vertical="center" wrapText="0"/>
    </xf>
    <xf borderId="22" fillId="6" fontId="11" numFmtId="0" xfId="0" applyAlignment="1" applyBorder="1" applyFont="1">
      <alignment horizontal="center" readingOrder="0" shrinkToFit="0" vertical="center" wrapText="0"/>
    </xf>
    <xf borderId="10" fillId="6" fontId="11" numFmtId="165" xfId="0" applyAlignment="1" applyBorder="1" applyFont="1" applyNumberFormat="1">
      <alignment horizontal="center" readingOrder="0" shrinkToFit="0" vertical="center" wrapText="1"/>
    </xf>
    <xf borderId="22" fillId="7" fontId="11" numFmtId="165" xfId="0" applyAlignment="1" applyBorder="1" applyFill="1" applyFont="1" applyNumberFormat="1">
      <alignment horizontal="center" readingOrder="0" shrinkToFit="0" vertical="center" wrapText="0"/>
    </xf>
    <xf borderId="22" fillId="7" fontId="11" numFmtId="168" xfId="0" applyAlignment="1" applyBorder="1" applyFont="1" applyNumberFormat="1">
      <alignment horizontal="center" readingOrder="0" shrinkToFit="0" vertical="center" wrapText="0"/>
    </xf>
    <xf borderId="22" fillId="7" fontId="11" numFmtId="0" xfId="0" applyAlignment="1" applyBorder="1" applyFont="1">
      <alignment horizontal="center" readingOrder="0" shrinkToFit="0" vertical="center" wrapText="0"/>
    </xf>
    <xf borderId="10" fillId="7" fontId="11" numFmtId="165" xfId="0" applyAlignment="1" applyBorder="1" applyFont="1" applyNumberFormat="1">
      <alignment horizontal="center" readingOrder="0" shrinkToFit="0" vertical="center" wrapText="1"/>
    </xf>
    <xf borderId="22" fillId="8" fontId="11" numFmtId="0" xfId="0" applyAlignment="1" applyBorder="1" applyFill="1" applyFont="1">
      <alignment horizontal="center" readingOrder="0" shrinkToFit="0" vertical="center" wrapText="0"/>
    </xf>
    <xf borderId="10" fillId="8" fontId="7" numFmtId="165" xfId="0" applyAlignment="1" applyBorder="1" applyFont="1" applyNumberFormat="1">
      <alignment horizontal="center" readingOrder="0" shrinkToFit="0" vertical="center" wrapText="1"/>
    </xf>
    <xf borderId="10" fillId="9" fontId="11" numFmtId="0" xfId="0" applyAlignment="1" applyBorder="1" applyFill="1" applyFont="1">
      <alignment horizontal="center" readingOrder="0" shrinkToFit="0" vertical="center" wrapText="0"/>
    </xf>
    <xf borderId="0" fillId="0" fontId="7" numFmtId="0" xfId="0" applyAlignment="1" applyFont="1">
      <alignment horizontal="center" vertical="center"/>
    </xf>
    <xf borderId="23" fillId="5" fontId="12" numFmtId="0" xfId="0" applyAlignment="1" applyBorder="1" applyFont="1">
      <alignment horizontal="center" readingOrder="0" vertical="center"/>
    </xf>
    <xf borderId="2" fillId="5" fontId="12" numFmtId="0" xfId="0" applyAlignment="1" applyBorder="1" applyFont="1">
      <alignment horizontal="center" readingOrder="0" vertical="center"/>
    </xf>
    <xf borderId="24" fillId="4" fontId="7" numFmtId="0" xfId="0" applyAlignment="1" applyBorder="1" applyFont="1">
      <alignment horizontal="center" readingOrder="0" shrinkToFit="0" vertical="center" wrapText="1"/>
    </xf>
    <xf borderId="0" fillId="4" fontId="7" numFmtId="0" xfId="0" applyAlignment="1" applyFont="1">
      <alignment horizontal="center" readingOrder="0" shrinkToFit="0" vertical="center" wrapText="1"/>
    </xf>
    <xf borderId="25" fillId="4" fontId="7" numFmtId="165" xfId="0" applyAlignment="1" applyBorder="1" applyFont="1" applyNumberFormat="1">
      <alignment horizontal="center" readingOrder="0" shrinkToFit="0" vertical="center" wrapText="1"/>
    </xf>
    <xf borderId="24" fillId="4" fontId="7" numFmtId="165" xfId="0" applyAlignment="1" applyBorder="1" applyFont="1" applyNumberFormat="1">
      <alignment horizontal="center" readingOrder="0" shrinkToFit="0" vertical="center" wrapText="1"/>
    </xf>
    <xf borderId="0" fillId="4" fontId="7" numFmtId="168" xfId="0" applyAlignment="1" applyFont="1" applyNumberFormat="1">
      <alignment horizontal="center" readingOrder="0" shrinkToFit="0" vertical="center" wrapText="1"/>
    </xf>
    <xf borderId="0" fillId="4" fontId="7" numFmtId="0" xfId="0" applyAlignment="1" applyFont="1">
      <alignment horizontal="center" readingOrder="0" shrinkToFit="0" vertical="center" wrapText="1"/>
    </xf>
    <xf borderId="25" fillId="4" fontId="7" numFmtId="0" xfId="0" applyAlignment="1" applyBorder="1" applyFont="1">
      <alignment horizontal="center" readingOrder="0" shrinkToFit="0" vertical="center" wrapText="1"/>
    </xf>
    <xf borderId="0" fillId="4" fontId="7" numFmtId="0" xfId="0" applyAlignment="1" applyFont="1">
      <alignment horizontal="center" shrinkToFit="0" vertical="center" wrapText="1"/>
    </xf>
    <xf borderId="26" fillId="4" fontId="7" numFmtId="0" xfId="0" applyAlignment="1" applyBorder="1" applyFont="1">
      <alignment horizontal="center" readingOrder="0" shrinkToFit="0" vertical="center" wrapText="1"/>
    </xf>
    <xf borderId="0" fillId="0" fontId="7" numFmtId="0" xfId="0" applyAlignment="1" applyFont="1">
      <alignment horizontal="center" vertical="center"/>
    </xf>
    <xf borderId="27" fillId="5" fontId="12" numFmtId="0" xfId="0" applyAlignment="1" applyBorder="1" applyFont="1">
      <alignment horizontal="center" readingOrder="0" vertical="center"/>
    </xf>
    <xf borderId="24" fillId="10" fontId="7" numFmtId="0" xfId="0" applyAlignment="1" applyBorder="1" applyFill="1" applyFont="1">
      <alignment horizontal="center" readingOrder="0" shrinkToFit="0" vertical="center" wrapText="1"/>
    </xf>
    <xf borderId="0" fillId="10" fontId="7" numFmtId="0" xfId="0" applyAlignment="1" applyFont="1">
      <alignment horizontal="center" readingOrder="0" shrinkToFit="0" vertical="center" wrapText="1"/>
    </xf>
    <xf borderId="25" fillId="10" fontId="7" numFmtId="165" xfId="0" applyAlignment="1" applyBorder="1" applyFont="1" applyNumberFormat="1">
      <alignment horizontal="center" readingOrder="0" shrinkToFit="0" vertical="center" wrapText="1"/>
    </xf>
    <xf borderId="24" fillId="11" fontId="7" numFmtId="165" xfId="0" applyAlignment="1" applyBorder="1" applyFill="1" applyFont="1" applyNumberFormat="1">
      <alignment horizontal="center" readingOrder="0" shrinkToFit="0" vertical="center" wrapText="1"/>
    </xf>
    <xf borderId="0" fillId="11" fontId="7" numFmtId="168" xfId="0" applyAlignment="1" applyFont="1" applyNumberFormat="1">
      <alignment horizontal="center" readingOrder="0" shrinkToFit="0" vertical="center" wrapText="1"/>
    </xf>
    <xf borderId="0" fillId="11" fontId="7" numFmtId="0" xfId="0" applyAlignment="1" applyFont="1">
      <alignment horizontal="center" readingOrder="0" shrinkToFit="0" vertical="center" wrapText="1"/>
    </xf>
    <xf borderId="25" fillId="11" fontId="7" numFmtId="0" xfId="0" applyAlignment="1" applyBorder="1" applyFont="1">
      <alignment horizontal="center" readingOrder="0" shrinkToFit="0" vertical="center" wrapText="1"/>
    </xf>
    <xf borderId="0" fillId="12" fontId="7" numFmtId="0" xfId="0" applyAlignment="1" applyFill="1" applyFont="1">
      <alignment horizontal="center" readingOrder="0" shrinkToFit="0" vertical="center" wrapText="1"/>
    </xf>
    <xf borderId="0" fillId="12" fontId="7" numFmtId="0" xfId="0" applyAlignment="1" applyFont="1">
      <alignment horizontal="center" shrinkToFit="0" vertical="center" wrapText="1"/>
    </xf>
    <xf borderId="26" fillId="13" fontId="7" numFmtId="0" xfId="0" applyAlignment="1" applyBorder="1" applyFill="1" applyFont="1">
      <alignment horizontal="center" readingOrder="0" shrinkToFit="0" vertical="center" wrapText="1"/>
    </xf>
    <xf borderId="26" fillId="4" fontId="7" numFmtId="0" xfId="0" applyAlignment="1" applyBorder="1" applyFont="1">
      <alignment horizontal="center" readingOrder="0" shrinkToFit="0" vertical="center" wrapText="1"/>
    </xf>
    <xf borderId="25" fillId="11" fontId="7" numFmtId="0" xfId="0" applyAlignment="1" applyBorder="1" applyFont="1">
      <alignment horizontal="center" readingOrder="0" shrinkToFit="0" vertical="center" wrapText="1"/>
    </xf>
    <xf borderId="27" fillId="4" fontId="7" numFmtId="0" xfId="0" applyAlignment="1" applyBorder="1" applyFont="1">
      <alignment horizontal="center" vertical="center"/>
    </xf>
    <xf borderId="2" fillId="4" fontId="7" numFmtId="0" xfId="0" applyAlignment="1" applyBorder="1" applyFont="1">
      <alignment horizontal="center" vertical="center"/>
    </xf>
    <xf borderId="25" fillId="4" fontId="7" numFmtId="0" xfId="0" applyAlignment="1" applyBorder="1" applyFont="1">
      <alignment horizontal="center" shrinkToFit="0" vertical="center" wrapText="1"/>
    </xf>
    <xf borderId="24" fillId="5" fontId="12" numFmtId="0" xfId="0" applyAlignment="1" applyBorder="1" applyFont="1">
      <alignment horizontal="center" readingOrder="0" vertical="center"/>
    </xf>
    <xf borderId="0" fillId="5" fontId="12" numFmtId="0" xfId="0" applyAlignment="1" applyFont="1">
      <alignment horizontal="center" readingOrder="0" vertical="center"/>
    </xf>
    <xf borderId="25" fillId="11" fontId="7" numFmtId="0" xfId="0" applyAlignment="1" applyBorder="1" applyFont="1">
      <alignment horizontal="center" shrinkToFit="0" vertical="center" wrapText="1"/>
    </xf>
    <xf borderId="27" fillId="4" fontId="7" numFmtId="0" xfId="0" applyAlignment="1" applyBorder="1" applyFont="1">
      <alignment horizontal="center" vertical="center"/>
    </xf>
    <xf borderId="2" fillId="4" fontId="7" numFmtId="0" xfId="0" applyAlignment="1" applyBorder="1" applyFont="1">
      <alignment horizontal="center" vertical="center"/>
    </xf>
    <xf borderId="25" fillId="4" fontId="7" numFmtId="0" xfId="0" applyAlignment="1" applyBorder="1" applyFont="1">
      <alignment horizontal="center" readingOrder="0" shrinkToFit="0" vertical="center" wrapText="1"/>
    </xf>
    <xf borderId="27" fillId="10" fontId="7" numFmtId="0" xfId="0" applyAlignment="1" applyBorder="1" applyFont="1">
      <alignment horizontal="center" vertical="center"/>
    </xf>
    <xf borderId="2" fillId="10" fontId="7" numFmtId="0" xfId="0" applyAlignment="1" applyBorder="1" applyFont="1">
      <alignment horizontal="center" vertical="center"/>
    </xf>
    <xf borderId="26" fillId="13" fontId="7" numFmtId="0" xfId="0" applyAlignment="1" applyBorder="1" applyFont="1">
      <alignment horizontal="center" readingOrder="0" shrinkToFit="0" vertical="center" wrapText="1"/>
    </xf>
    <xf borderId="24" fillId="4" fontId="7" numFmtId="0" xfId="0" applyAlignment="1" applyBorder="1" applyFont="1">
      <alignment horizontal="center" vertical="center"/>
    </xf>
    <xf borderId="28" fillId="5" fontId="13" numFmtId="0" xfId="0" applyAlignment="1" applyBorder="1" applyFont="1">
      <alignment horizontal="center" readingOrder="0" vertical="center"/>
    </xf>
    <xf borderId="0" fillId="5" fontId="14" numFmtId="0" xfId="0" applyAlignment="1" applyFont="1">
      <alignment horizontal="center" readingOrder="0" vertical="center"/>
    </xf>
    <xf borderId="24" fillId="10" fontId="7" numFmtId="0" xfId="0" applyAlignment="1" applyBorder="1" applyFont="1">
      <alignment horizontal="center" readingOrder="0" shrinkToFit="0" vertical="center" wrapText="1"/>
    </xf>
    <xf borderId="0" fillId="11" fontId="7" numFmtId="0" xfId="0" applyAlignment="1" applyFont="1">
      <alignment horizontal="center" readingOrder="0" shrinkToFit="0" vertical="center" wrapText="1"/>
    </xf>
    <xf borderId="0" fillId="12" fontId="7" numFmtId="0" xfId="0" applyAlignment="1" applyFont="1">
      <alignment horizontal="center" readingOrder="0" shrinkToFit="0" vertical="center" wrapText="1"/>
    </xf>
    <xf borderId="8" fillId="5" fontId="15" numFmtId="0" xfId="0" applyAlignment="1" applyBorder="1" applyFont="1">
      <alignment horizontal="center" readingOrder="0" vertical="center"/>
    </xf>
    <xf borderId="29" fillId="4" fontId="6" numFmtId="0" xfId="0" applyBorder="1" applyFont="1"/>
    <xf borderId="24" fillId="4" fontId="7" numFmtId="0" xfId="0" applyAlignment="1" applyBorder="1" applyFont="1">
      <alignment horizontal="center" readingOrder="0" shrinkToFit="0" vertical="center" wrapText="1"/>
    </xf>
    <xf borderId="0" fillId="4" fontId="7" numFmtId="0" xfId="0" applyAlignment="1" applyFont="1">
      <alignment horizontal="center" readingOrder="0" vertical="center"/>
    </xf>
    <xf borderId="24" fillId="10" fontId="9" numFmtId="165" xfId="0" applyAlignment="1" applyBorder="1" applyFont="1" applyNumberFormat="1">
      <alignment horizontal="center" readingOrder="0" vertical="center"/>
    </xf>
    <xf borderId="0" fillId="5" fontId="7" numFmtId="0" xfId="0" applyAlignment="1" applyFont="1">
      <alignment horizontal="center" shrinkToFit="0" vertical="center" wrapText="1"/>
    </xf>
    <xf borderId="0" fillId="4" fontId="1" numFmtId="0" xfId="0" applyFont="1"/>
    <xf borderId="24" fillId="4" fontId="7" numFmtId="0" xfId="0" applyAlignment="1" applyBorder="1" applyFont="1">
      <alignment horizontal="center" shrinkToFit="0" vertical="center" wrapText="1"/>
    </xf>
    <xf borderId="24" fillId="10" fontId="15" numFmtId="0" xfId="0" applyAlignment="1" applyBorder="1" applyFont="1">
      <alignment horizontal="center" readingOrder="0" vertical="center"/>
    </xf>
    <xf borderId="24" fillId="5" fontId="16" numFmtId="4" xfId="0" applyAlignment="1" applyBorder="1" applyFont="1" applyNumberFormat="1">
      <alignment horizontal="center" readingOrder="0" vertical="center"/>
    </xf>
    <xf borderId="24" fillId="10" fontId="7" numFmtId="0" xfId="0" applyAlignment="1" applyBorder="1" applyFont="1">
      <alignment horizontal="center" vertical="center"/>
    </xf>
    <xf borderId="0" fillId="10" fontId="7" numFmtId="0" xfId="0" applyAlignment="1" applyFont="1">
      <alignment horizontal="center" vertical="center"/>
    </xf>
    <xf borderId="24" fillId="4" fontId="15" numFmtId="0" xfId="0" applyAlignment="1" applyBorder="1" applyFont="1">
      <alignment horizontal="center" readingOrder="0" shrinkToFit="0" vertical="center" wrapText="1"/>
    </xf>
    <xf borderId="0" fillId="14" fontId="17" numFmtId="0" xfId="0" applyAlignment="1" applyFill="1" applyFont="1">
      <alignment horizontal="center" shrinkToFit="0" vertical="center" wrapText="1"/>
    </xf>
    <xf borderId="0" fillId="14" fontId="17" numFmtId="0" xfId="0" applyAlignment="1" applyFont="1">
      <alignment horizontal="center" readingOrder="0" shrinkToFit="0" vertical="center" wrapText="1"/>
    </xf>
    <xf borderId="2" fillId="5" fontId="12" numFmtId="169" xfId="0" applyAlignment="1" applyBorder="1" applyFont="1" applyNumberFormat="1">
      <alignment horizontal="center" readingOrder="0" vertical="center"/>
    </xf>
    <xf borderId="24" fillId="10" fontId="7" numFmtId="0" xfId="0" applyAlignment="1" applyBorder="1" applyFont="1">
      <alignment horizontal="center" shrinkToFit="0" vertical="center" wrapText="1"/>
    </xf>
    <xf borderId="0" fillId="14" fontId="7" numFmtId="0" xfId="0" applyAlignment="1" applyFont="1">
      <alignment horizontal="center" shrinkToFit="0" vertical="center" wrapText="1"/>
    </xf>
    <xf borderId="0" fillId="4" fontId="7" numFmtId="0" xfId="0" applyAlignment="1" applyFont="1">
      <alignment horizontal="center" vertical="center"/>
    </xf>
    <xf borderId="24" fillId="10" fontId="7" numFmtId="0" xfId="0" applyAlignment="1" applyBorder="1" applyFont="1">
      <alignment horizontal="center" readingOrder="0" vertical="center"/>
    </xf>
    <xf borderId="0" fillId="4" fontId="7" numFmtId="165" xfId="0" applyAlignment="1" applyFont="1" applyNumberFormat="1">
      <alignment horizontal="center" readingOrder="0" shrinkToFit="0" vertical="center" wrapText="1"/>
    </xf>
    <xf borderId="0" fillId="10" fontId="7" numFmtId="0" xfId="0" applyAlignment="1" applyFont="1">
      <alignment horizontal="center" shrinkToFit="0" vertical="center" wrapText="1"/>
    </xf>
    <xf borderId="0" fillId="11" fontId="7" numFmtId="0" xfId="0" applyAlignment="1" applyFont="1">
      <alignment horizontal="center" readingOrder="0" vertical="center"/>
    </xf>
    <xf borderId="0" fillId="5" fontId="7" numFmtId="0" xfId="0" applyAlignment="1" applyFont="1">
      <alignment horizontal="center" readingOrder="0" shrinkToFit="0" vertical="center" wrapText="1"/>
    </xf>
    <xf borderId="0" fillId="11" fontId="7" numFmtId="0" xfId="0" applyAlignment="1" applyFont="1">
      <alignment horizontal="center" shrinkToFit="0" vertical="center" wrapText="1"/>
    </xf>
    <xf borderId="24" fillId="11" fontId="7" numFmtId="165" xfId="0" applyAlignment="1" applyBorder="1" applyFont="1" applyNumberFormat="1">
      <alignment horizontal="center" shrinkToFit="0" vertical="center" wrapText="1"/>
    </xf>
    <xf borderId="0" fillId="11" fontId="7" numFmtId="168" xfId="0" applyAlignment="1" applyFont="1" applyNumberFormat="1">
      <alignment horizontal="center" shrinkToFit="0" vertical="center" wrapText="1"/>
    </xf>
    <xf borderId="0" fillId="11" fontId="7" numFmtId="0" xfId="0" applyAlignment="1" applyFont="1">
      <alignment horizontal="center" shrinkToFit="0" vertical="center" wrapText="1"/>
    </xf>
    <xf borderId="26" fillId="13" fontId="7" numFmtId="0" xfId="0" applyAlignment="1" applyBorder="1" applyFont="1">
      <alignment horizontal="center" shrinkToFit="0" vertical="center" wrapText="1"/>
    </xf>
    <xf borderId="24" fillId="4" fontId="7" numFmtId="165" xfId="0" applyAlignment="1" applyBorder="1" applyFont="1" applyNumberFormat="1">
      <alignment horizontal="center" shrinkToFit="0" vertical="center" wrapText="1"/>
    </xf>
    <xf borderId="0" fillId="4" fontId="7" numFmtId="168" xfId="0" applyAlignment="1" applyFont="1" applyNumberFormat="1">
      <alignment horizontal="center" shrinkToFit="0" vertical="center" wrapText="1"/>
    </xf>
    <xf borderId="26" fillId="4" fontId="7" numFmtId="0" xfId="0" applyAlignment="1" applyBorder="1" applyFont="1">
      <alignment horizontal="center" shrinkToFit="0" vertical="center" wrapText="1"/>
    </xf>
    <xf borderId="30" fillId="10" fontId="7" numFmtId="0" xfId="0" applyAlignment="1" applyBorder="1" applyFont="1">
      <alignment horizontal="center" shrinkToFit="0" vertical="center" wrapText="1"/>
    </xf>
    <xf borderId="31" fillId="10" fontId="7" numFmtId="0" xfId="0" applyAlignment="1" applyBorder="1" applyFont="1">
      <alignment horizontal="center" readingOrder="0" shrinkToFit="0" vertical="center" wrapText="1"/>
    </xf>
    <xf borderId="32" fillId="10" fontId="7" numFmtId="165" xfId="0" applyAlignment="1" applyBorder="1" applyFont="1" applyNumberFormat="1">
      <alignment horizontal="center" readingOrder="0" shrinkToFit="0" vertical="center" wrapText="1"/>
    </xf>
    <xf borderId="30" fillId="11" fontId="7" numFmtId="165" xfId="0" applyAlignment="1" applyBorder="1" applyFont="1" applyNumberFormat="1">
      <alignment horizontal="center" shrinkToFit="0" vertical="center" wrapText="1"/>
    </xf>
    <xf borderId="31" fillId="11" fontId="7" numFmtId="168" xfId="0" applyAlignment="1" applyBorder="1" applyFont="1" applyNumberFormat="1">
      <alignment horizontal="center" shrinkToFit="0" vertical="center" wrapText="1"/>
    </xf>
    <xf borderId="31" fillId="11" fontId="7" numFmtId="0" xfId="0" applyAlignment="1" applyBorder="1" applyFont="1">
      <alignment horizontal="center" shrinkToFit="0" vertical="center" wrapText="1"/>
    </xf>
    <xf borderId="32" fillId="11" fontId="7" numFmtId="0" xfId="0" applyAlignment="1" applyBorder="1" applyFont="1">
      <alignment horizontal="center" shrinkToFit="0" vertical="center" wrapText="1"/>
    </xf>
    <xf borderId="33" fillId="13" fontId="7" numFmtId="0" xfId="0" applyAlignment="1" applyBorder="1" applyFont="1">
      <alignment horizontal="center" shrinkToFit="0" vertical="center" wrapText="1"/>
    </xf>
    <xf borderId="1" fillId="0" fontId="3" numFmtId="1" xfId="0" applyAlignment="1" applyBorder="1" applyFont="1" applyNumberFormat="1">
      <alignment horizontal="center" readingOrder="0" vertical="center"/>
    </xf>
    <xf borderId="34" fillId="0" fontId="3" numFmtId="1" xfId="0" applyAlignment="1" applyBorder="1" applyFont="1" applyNumberFormat="1">
      <alignment horizontal="center" readingOrder="0" vertical="center"/>
    </xf>
    <xf borderId="35" fillId="0" fontId="3" numFmtId="1" xfId="0" applyAlignment="1" applyBorder="1" applyFont="1" applyNumberFormat="1">
      <alignment horizontal="center" readingOrder="0" vertical="center"/>
    </xf>
    <xf borderId="36" fillId="0" fontId="3" numFmtId="1" xfId="0" applyAlignment="1" applyBorder="1" applyFont="1" applyNumberFormat="1">
      <alignment horizontal="center" readingOrder="0" vertical="center"/>
    </xf>
    <xf borderId="1" fillId="0" fontId="3" numFmtId="1" xfId="0" applyAlignment="1" applyBorder="1" applyFont="1" applyNumberFormat="1">
      <alignment horizontal="center" readingOrder="0" shrinkToFit="0" vertical="center" wrapText="1"/>
    </xf>
    <xf borderId="0" fillId="0" fontId="4" numFmtId="1" xfId="0" applyAlignment="1" applyFont="1" applyNumberFormat="1">
      <alignment vertical="center"/>
    </xf>
    <xf borderId="0" fillId="0" fontId="4" numFmtId="0" xfId="0" applyAlignment="1" applyFont="1">
      <alignment vertical="center"/>
    </xf>
    <xf borderId="37" fillId="8" fontId="12" numFmtId="0" xfId="0" applyAlignment="1" applyBorder="1" applyFont="1">
      <alignment horizontal="center" readingOrder="0" vertical="center"/>
    </xf>
    <xf borderId="38" fillId="5" fontId="12" numFmtId="0" xfId="0" applyAlignment="1" applyBorder="1" applyFont="1">
      <alignment horizontal="center" readingOrder="0" vertical="center"/>
    </xf>
    <xf borderId="39" fillId="0" fontId="6" numFmtId="0" xfId="0" applyBorder="1" applyFont="1"/>
    <xf borderId="40" fillId="0" fontId="6" numFmtId="0" xfId="0" applyBorder="1" applyFont="1"/>
    <xf borderId="0" fillId="0" fontId="18" numFmtId="0" xfId="0" applyAlignment="1" applyFont="1">
      <alignment horizontal="left" readingOrder="0" shrinkToFit="0" vertical="center" wrapText="1"/>
    </xf>
    <xf borderId="0" fillId="0" fontId="4" numFmtId="169" xfId="0" applyAlignment="1" applyFont="1" applyNumberFormat="1">
      <alignment horizontal="center" readingOrder="0" shrinkToFit="0" vertical="center" wrapText="1"/>
    </xf>
    <xf borderId="41" fillId="0" fontId="3" numFmtId="1" xfId="0" applyAlignment="1" applyBorder="1" applyFont="1" applyNumberFormat="1">
      <alignment horizontal="center" readingOrder="0" shrinkToFit="0" textRotation="0" vertical="center" wrapText="1"/>
    </xf>
    <xf borderId="42" fillId="0" fontId="4" numFmtId="1" xfId="0" applyAlignment="1" applyBorder="1" applyFont="1" applyNumberFormat="1">
      <alignment horizontal="center" vertical="center"/>
    </xf>
    <xf borderId="43" fillId="0" fontId="4" numFmtId="1" xfId="0" applyAlignment="1" applyBorder="1" applyFont="1" applyNumberFormat="1">
      <alignment horizontal="center" vertical="center"/>
    </xf>
    <xf borderId="5" fillId="0" fontId="4" numFmtId="170" xfId="0" applyAlignment="1" applyBorder="1" applyFont="1" applyNumberFormat="1">
      <alignment horizontal="center" vertical="center"/>
    </xf>
    <xf borderId="6" fillId="0" fontId="4" numFmtId="170" xfId="0" applyAlignment="1" applyBorder="1" applyFont="1" applyNumberFormat="1">
      <alignment horizontal="center" vertical="center"/>
    </xf>
    <xf borderId="42" fillId="0" fontId="4" numFmtId="169" xfId="0" applyAlignment="1" applyBorder="1" applyFont="1" applyNumberFormat="1">
      <alignment horizontal="center" shrinkToFit="0" vertical="center" wrapText="1"/>
    </xf>
    <xf borderId="37" fillId="5" fontId="12" numFmtId="0" xfId="0" applyAlignment="1" applyBorder="1" applyFont="1">
      <alignment horizontal="center" readingOrder="0" vertical="center"/>
    </xf>
    <xf borderId="41" fillId="0" fontId="6" numFmtId="0" xfId="0" applyBorder="1" applyFont="1"/>
    <xf borderId="4" fillId="0" fontId="4" numFmtId="1" xfId="0" applyAlignment="1" applyBorder="1" applyFont="1" applyNumberFormat="1">
      <alignment horizontal="center" vertical="center"/>
    </xf>
    <xf borderId="29" fillId="0" fontId="4" numFmtId="1" xfId="0" applyAlignment="1" applyBorder="1" applyFont="1" applyNumberFormat="1">
      <alignment horizontal="center" vertical="center"/>
    </xf>
    <xf borderId="2" fillId="0" fontId="4" numFmtId="170" xfId="0" applyAlignment="1" applyBorder="1" applyFont="1" applyNumberFormat="1">
      <alignment horizontal="center" vertical="center"/>
    </xf>
    <xf borderId="8" fillId="0" fontId="4" numFmtId="170" xfId="0" applyAlignment="1" applyBorder="1" applyFont="1" applyNumberFormat="1">
      <alignment horizontal="center" vertical="center"/>
    </xf>
    <xf borderId="4" fillId="0" fontId="4" numFmtId="169" xfId="0" applyAlignment="1" applyBorder="1" applyFont="1" applyNumberFormat="1">
      <alignment horizontal="center" shrinkToFit="0" vertical="center" wrapText="1"/>
    </xf>
    <xf borderId="37" fillId="5" fontId="12" numFmtId="1" xfId="0" applyAlignment="1" applyBorder="1" applyFont="1" applyNumberFormat="1">
      <alignment horizontal="center" readingOrder="0" vertical="center"/>
    </xf>
    <xf borderId="37" fillId="5" fontId="12" numFmtId="1" xfId="0" applyAlignment="1" applyBorder="1" applyFont="1" applyNumberFormat="1">
      <alignment horizontal="center" vertical="center"/>
    </xf>
    <xf borderId="37" fillId="5" fontId="16" numFmtId="1" xfId="0" applyAlignment="1" applyBorder="1" applyFont="1" applyNumberFormat="1">
      <alignment horizontal="center" readingOrder="0" vertical="center"/>
    </xf>
    <xf borderId="37" fillId="0" fontId="4" numFmtId="0" xfId="0" applyAlignment="1" applyBorder="1" applyFont="1">
      <alignment horizontal="center" readingOrder="0" vertical="center"/>
    </xf>
    <xf borderId="4" fillId="0" fontId="3" numFmtId="1" xfId="0" applyAlignment="1" applyBorder="1" applyFont="1" applyNumberFormat="1">
      <alignment horizontal="center" readingOrder="0" vertical="center"/>
    </xf>
    <xf borderId="17" fillId="0" fontId="19" numFmtId="1" xfId="0" applyAlignment="1" applyBorder="1" applyFont="1" applyNumberFormat="1">
      <alignment horizontal="center" readingOrder="0" shrinkToFit="0" vertical="center" wrapText="1"/>
    </xf>
    <xf borderId="4" fillId="0" fontId="4" numFmtId="2" xfId="0" applyAlignment="1" applyBorder="1" applyFont="1" applyNumberFormat="1">
      <alignment horizontal="center" vertical="center"/>
    </xf>
    <xf borderId="0" fillId="0" fontId="18" numFmtId="169" xfId="0" applyAlignment="1" applyFont="1" applyNumberFormat="1">
      <alignment horizontal="left" readingOrder="0" shrinkToFit="0" vertical="center" wrapText="1"/>
    </xf>
    <xf borderId="42" fillId="0" fontId="6" numFmtId="0" xfId="0" applyBorder="1" applyFont="1"/>
    <xf borderId="7" fillId="0" fontId="3" numFmtId="1" xfId="0" applyAlignment="1" applyBorder="1" applyFont="1" applyNumberFormat="1">
      <alignment horizontal="center" readingOrder="0" vertical="center"/>
    </xf>
    <xf borderId="44" fillId="0" fontId="4" numFmtId="1" xfId="0" applyAlignment="1" applyBorder="1" applyFont="1" applyNumberFormat="1">
      <alignment horizontal="center" vertical="center"/>
    </xf>
    <xf borderId="44" fillId="0" fontId="4" numFmtId="10" xfId="0" applyAlignment="1" applyBorder="1" applyFont="1" applyNumberFormat="1">
      <alignment horizontal="center" vertical="center"/>
    </xf>
    <xf borderId="7" fillId="5" fontId="4" numFmtId="1" xfId="0" applyAlignment="1" applyBorder="1" applyFont="1" applyNumberFormat="1">
      <alignment horizontal="center" vertical="center"/>
    </xf>
    <xf borderId="7" fillId="0" fontId="4" numFmtId="1" xfId="0" applyAlignment="1" applyBorder="1" applyFont="1" applyNumberFormat="1">
      <alignment horizontal="center" vertical="center"/>
    </xf>
    <xf borderId="0" fillId="0" fontId="18" numFmtId="0" xfId="0" applyAlignment="1" applyFont="1">
      <alignment horizontal="left" shrinkToFit="0" vertical="center" wrapText="1"/>
    </xf>
    <xf borderId="0" fillId="0" fontId="4" numFmtId="169" xfId="0" applyAlignment="1" applyFont="1" applyNumberFormat="1">
      <alignment horizontal="center" shrinkToFit="0" vertical="center" wrapText="1"/>
    </xf>
    <xf borderId="1" fillId="5" fontId="4" numFmtId="170" xfId="0" applyAlignment="1" applyBorder="1" applyFont="1" applyNumberFormat="1">
      <alignment horizontal="center" vertical="center"/>
    </xf>
    <xf borderId="37" fillId="5" fontId="12" numFmtId="169" xfId="0" applyAlignment="1" applyBorder="1" applyFont="1" applyNumberFormat="1">
      <alignment horizontal="center" readingOrder="0" shrinkToFit="0" vertical="center" wrapText="1"/>
    </xf>
    <xf borderId="1" fillId="0" fontId="4" numFmtId="1" xfId="0" applyAlignment="1" applyBorder="1" applyFont="1" applyNumberFormat="1">
      <alignment horizontal="center" vertical="center"/>
    </xf>
    <xf borderId="0" fillId="0" fontId="4" numFmtId="1" xfId="0" applyAlignment="1" applyFont="1" applyNumberFormat="1">
      <alignment horizontal="center" vertical="center"/>
    </xf>
    <xf borderId="0" fillId="0" fontId="4" numFmtId="1" xfId="0" applyAlignment="1" applyFont="1" applyNumberFormat="1">
      <alignment horizontal="center" shrinkToFit="0" vertical="center" wrapText="1"/>
    </xf>
    <xf borderId="2" fillId="0" fontId="4" numFmtId="1" xfId="0" applyAlignment="1" applyBorder="1" applyFont="1" applyNumberFormat="1">
      <alignment horizontal="center" readingOrder="0" vertical="center"/>
    </xf>
    <xf borderId="0" fillId="0" fontId="4" numFmtId="1" xfId="0" applyAlignment="1" applyFont="1" applyNumberFormat="1">
      <alignment shrinkToFit="0" vertical="center" wrapText="1"/>
    </xf>
    <xf borderId="0" fillId="0" fontId="4" numFmtId="0" xfId="0" applyAlignment="1" applyFont="1">
      <alignment readingOrder="0" vertical="center"/>
    </xf>
    <xf borderId="0" fillId="0" fontId="4" numFmtId="1" xfId="0" applyAlignment="1" applyFont="1" applyNumberFormat="1">
      <alignment readingOrder="0" vertical="center"/>
    </xf>
    <xf borderId="0" fillId="0" fontId="4" numFmtId="1" xfId="0" applyAlignment="1" applyFont="1" applyNumberFormat="1">
      <alignment horizontal="left" vertical="center"/>
    </xf>
    <xf borderId="0" fillId="0" fontId="4" numFmtId="0" xfId="0" applyAlignment="1" applyFont="1">
      <alignment horizontal="left" vertical="center"/>
    </xf>
    <xf borderId="0" fillId="0" fontId="4" numFmtId="0" xfId="0" applyAlignment="1" applyFont="1">
      <alignment horizontal="left" readingOrder="0" vertical="center"/>
    </xf>
    <xf borderId="2" fillId="5" fontId="13" numFmtId="0" xfId="0" applyAlignment="1" applyBorder="1" applyFont="1">
      <alignment horizontal="center" readingOrder="0" vertical="center"/>
    </xf>
    <xf borderId="45" fillId="15" fontId="13" numFmtId="0" xfId="0" applyAlignment="1" applyBorder="1" applyFill="1" applyFont="1">
      <alignment horizontal="center" readingOrder="0" vertical="center"/>
    </xf>
    <xf borderId="9" fillId="14" fontId="13" numFmtId="0" xfId="0" applyAlignment="1" applyBorder="1" applyFont="1">
      <alignment horizontal="center" readingOrder="0" shrinkToFit="0" textRotation="90" vertical="center" wrapText="1"/>
    </xf>
    <xf borderId="46" fillId="5" fontId="13" numFmtId="0" xfId="0" applyAlignment="1" applyBorder="1" applyFont="1">
      <alignment horizontal="center" readingOrder="0" vertical="center"/>
    </xf>
    <xf borderId="47" fillId="5" fontId="13" numFmtId="0" xfId="0" applyAlignment="1" applyBorder="1" applyFont="1">
      <alignment horizontal="center" readingOrder="0" shrinkToFit="0" vertical="center" wrapText="1"/>
    </xf>
    <xf borderId="47" fillId="5" fontId="13" numFmtId="0" xfId="0" applyAlignment="1" applyBorder="1" applyFont="1">
      <alignment horizontal="center" readingOrder="0" vertical="center"/>
    </xf>
    <xf borderId="48" fillId="3" fontId="13" numFmtId="0" xfId="0" applyAlignment="1" applyBorder="1" applyFont="1">
      <alignment horizontal="center" readingOrder="0" vertical="center"/>
    </xf>
    <xf borderId="48" fillId="5" fontId="13" numFmtId="0" xfId="0" applyAlignment="1" applyBorder="1" applyFont="1">
      <alignment horizontal="center" readingOrder="0" vertical="center"/>
    </xf>
    <xf borderId="2" fillId="5" fontId="13" numFmtId="0" xfId="0" applyAlignment="1" applyBorder="1" applyFont="1">
      <alignment horizontal="center" readingOrder="0" vertical="bottom"/>
    </xf>
    <xf borderId="47" fillId="3" fontId="13" numFmtId="0" xfId="0" applyAlignment="1" applyBorder="1" applyFont="1">
      <alignment horizontal="center" readingOrder="0" vertical="center"/>
    </xf>
    <xf borderId="2" fillId="4" fontId="20" numFmtId="0" xfId="0" applyBorder="1" applyFont="1"/>
    <xf borderId="17" fillId="16" fontId="7" numFmtId="0" xfId="0" applyAlignment="1" applyBorder="1" applyFill="1" applyFont="1">
      <alignment readingOrder="0"/>
    </xf>
    <xf borderId="9" fillId="4" fontId="21" numFmtId="0" xfId="0" applyAlignment="1" applyBorder="1" applyFont="1">
      <alignment horizontal="center"/>
    </xf>
    <xf borderId="29" fillId="17" fontId="7" numFmtId="165" xfId="0" applyAlignment="1" applyBorder="1" applyFill="1" applyFont="1" applyNumberFormat="1">
      <alignment readingOrder="0"/>
    </xf>
    <xf borderId="2" fillId="18" fontId="7" numFmtId="165" xfId="0" applyAlignment="1" applyBorder="1" applyFill="1" applyFont="1" applyNumberFormat="1">
      <alignment horizontal="right" readingOrder="0"/>
    </xf>
    <xf borderId="2" fillId="19" fontId="7" numFmtId="168" xfId="0" applyAlignment="1" applyBorder="1" applyFill="1" applyFont="1" applyNumberFormat="1">
      <alignment readingOrder="0"/>
    </xf>
    <xf borderId="2" fillId="20" fontId="7" numFmtId="0" xfId="0" applyAlignment="1" applyBorder="1" applyFill="1" applyFont="1">
      <alignment readingOrder="0"/>
    </xf>
    <xf borderId="2" fillId="21" fontId="7" numFmtId="0" xfId="0" applyAlignment="1" applyBorder="1" applyFill="1" applyFont="1">
      <alignment readingOrder="0"/>
    </xf>
    <xf borderId="2" fillId="22" fontId="7" numFmtId="0" xfId="0" applyAlignment="1" applyBorder="1" applyFill="1" applyFont="1">
      <alignment readingOrder="0"/>
    </xf>
    <xf borderId="2" fillId="23" fontId="7" numFmtId="0" xfId="0" applyAlignment="1" applyBorder="1" applyFill="1" applyFont="1">
      <alignment readingOrder="0"/>
    </xf>
    <xf borderId="2" fillId="12" fontId="7" numFmtId="0" xfId="0" applyAlignment="1" applyBorder="1" applyFont="1">
      <alignment readingOrder="0"/>
    </xf>
    <xf borderId="2" fillId="12" fontId="7" numFmtId="0" xfId="0" applyBorder="1" applyFont="1"/>
    <xf borderId="29" fillId="17" fontId="7" numFmtId="171" xfId="0" applyAlignment="1" applyBorder="1" applyFont="1" applyNumberFormat="1">
      <alignment readingOrder="0"/>
    </xf>
    <xf borderId="2" fillId="18" fontId="7" numFmtId="171" xfId="0" applyAlignment="1" applyBorder="1" applyFont="1" applyNumberFormat="1">
      <alignment readingOrder="0"/>
    </xf>
    <xf borderId="2" fillId="19" fontId="7" numFmtId="172" xfId="0" applyAlignment="1" applyBorder="1" applyFont="1" applyNumberFormat="1">
      <alignment readingOrder="0"/>
    </xf>
    <xf borderId="2" fillId="0" fontId="7" numFmtId="0" xfId="0" applyAlignment="1" applyBorder="1" applyFont="1">
      <alignment horizontal="center" readingOrder="0" vertical="bottom"/>
    </xf>
    <xf borderId="49" fillId="4" fontId="21" numFmtId="0" xfId="0" applyAlignment="1" applyBorder="1" applyFont="1">
      <alignment horizontal="center"/>
    </xf>
    <xf borderId="8" fillId="20" fontId="7" numFmtId="0" xfId="0" applyAlignment="1" applyBorder="1" applyFont="1">
      <alignment readingOrder="0"/>
    </xf>
    <xf borderId="11" fillId="3" fontId="7" numFmtId="0" xfId="0" applyBorder="1" applyFont="1"/>
    <xf borderId="11" fillId="3" fontId="7" numFmtId="165" xfId="0" applyBorder="1" applyFont="1" applyNumberFormat="1"/>
    <xf borderId="11" fillId="3" fontId="7" numFmtId="168" xfId="0" applyBorder="1" applyFont="1" applyNumberFormat="1"/>
    <xf borderId="31" fillId="3" fontId="7" numFmtId="0" xfId="0" applyBorder="1" applyFont="1"/>
    <xf borderId="2" fillId="0" fontId="11" numFmtId="0" xfId="0" applyAlignment="1" applyBorder="1" applyFont="1">
      <alignment horizontal="center" readingOrder="0"/>
    </xf>
    <xf borderId="2" fillId="0" fontId="11" numFmtId="0" xfId="0" applyAlignment="1" applyBorder="1" applyFont="1">
      <alignment horizontal="center"/>
    </xf>
    <xf borderId="0" fillId="3" fontId="7" numFmtId="0" xfId="0" applyFont="1"/>
    <xf borderId="0" fillId="3" fontId="7" numFmtId="0" xfId="0" applyAlignment="1" applyFont="1">
      <alignment vertical="bottom"/>
    </xf>
    <xf borderId="47" fillId="5" fontId="13" numFmtId="168" xfId="0" applyAlignment="1" applyBorder="1" applyFont="1" applyNumberFormat="1">
      <alignment horizontal="center" readingOrder="0" shrinkToFit="0" vertical="center" wrapText="1"/>
    </xf>
    <xf borderId="0" fillId="0" fontId="11" numFmtId="0" xfId="0" applyAlignment="1" applyFont="1">
      <alignment horizontal="center" vertical="center"/>
    </xf>
    <xf borderId="2" fillId="12" fontId="7" numFmtId="0" xfId="0" applyBorder="1" applyFont="1"/>
    <xf borderId="0" fillId="0" fontId="7" numFmtId="0" xfId="0" applyAlignment="1" applyFont="1">
      <alignment readingOrder="0"/>
    </xf>
    <xf borderId="0" fillId="0" fontId="7" numFmtId="0" xfId="0" applyFont="1"/>
    <xf borderId="0" fillId="0" fontId="7" numFmtId="0" xfId="0" applyAlignment="1" applyFont="1">
      <alignment readingOrder="0"/>
    </xf>
    <xf borderId="17" fillId="16" fontId="11" numFmtId="0" xfId="0" applyAlignment="1" applyBorder="1" applyFont="1">
      <alignment readingOrder="0"/>
    </xf>
    <xf borderId="50" fillId="4" fontId="21" numFmtId="0" xfId="0" applyAlignment="1" applyBorder="1" applyFont="1">
      <alignment horizontal="center"/>
    </xf>
    <xf borderId="5" fillId="4" fontId="20" numFmtId="0" xfId="0" applyBorder="1" applyFont="1"/>
    <xf borderId="14" fillId="16" fontId="7" numFmtId="0" xfId="0" applyAlignment="1" applyBorder="1" applyFont="1">
      <alignment readingOrder="0"/>
    </xf>
    <xf borderId="26" fillId="4" fontId="21" numFmtId="0" xfId="0" applyAlignment="1" applyBorder="1" applyFont="1">
      <alignment horizontal="center"/>
    </xf>
    <xf borderId="43" fillId="17" fontId="7" numFmtId="171" xfId="0" applyAlignment="1" applyBorder="1" applyFont="1" applyNumberFormat="1">
      <alignment readingOrder="0"/>
    </xf>
    <xf borderId="5" fillId="18" fontId="7" numFmtId="165" xfId="0" applyAlignment="1" applyBorder="1" applyFont="1" applyNumberFormat="1">
      <alignment horizontal="right" readingOrder="0"/>
    </xf>
    <xf borderId="5" fillId="19" fontId="7" numFmtId="168" xfId="0" applyAlignment="1" applyBorder="1" applyFont="1" applyNumberFormat="1">
      <alignment readingOrder="0"/>
    </xf>
    <xf borderId="6" fillId="20" fontId="7" numFmtId="0" xfId="0" applyAlignment="1" applyBorder="1" applyFont="1">
      <alignment readingOrder="0"/>
    </xf>
    <xf borderId="5" fillId="21" fontId="7" numFmtId="0" xfId="0" applyAlignment="1" applyBorder="1" applyFont="1">
      <alignment readingOrder="0"/>
    </xf>
    <xf borderId="43" fillId="22" fontId="7" numFmtId="0" xfId="0" applyAlignment="1" applyBorder="1" applyFont="1">
      <alignment readingOrder="0"/>
    </xf>
    <xf borderId="5" fillId="23" fontId="7" numFmtId="0" xfId="0" applyAlignment="1" applyBorder="1" applyFont="1">
      <alignment readingOrder="0"/>
    </xf>
    <xf borderId="5" fillId="12" fontId="7" numFmtId="0" xfId="0" applyBorder="1" applyFont="1"/>
    <xf borderId="5" fillId="12" fontId="7" numFmtId="0" xfId="0" applyAlignment="1" applyBorder="1" applyFont="1">
      <alignment readingOrder="0"/>
    </xf>
    <xf borderId="33" fillId="4" fontId="21" numFmtId="0" xfId="0" applyAlignment="1" applyBorder="1" applyFont="1">
      <alignment horizontal="center"/>
    </xf>
    <xf borderId="5" fillId="0" fontId="7" numFmtId="0" xfId="0" applyAlignment="1" applyBorder="1" applyFont="1">
      <alignment horizontal="center" readingOrder="0" vertical="bottom"/>
    </xf>
    <xf borderId="29" fillId="22" fontId="7" numFmtId="0" xfId="0" applyAlignment="1" applyBorder="1" applyFont="1">
      <alignment readingOrder="0"/>
    </xf>
    <xf borderId="11" fillId="3" fontId="7" numFmtId="165" xfId="0" applyAlignment="1" applyBorder="1" applyFont="1" applyNumberFormat="1">
      <alignment horizontal="right"/>
    </xf>
    <xf borderId="0" fillId="0" fontId="7" numFmtId="0" xfId="0" applyAlignment="1" applyFont="1">
      <alignment horizontal="left"/>
    </xf>
    <xf borderId="0" fillId="0" fontId="7" numFmtId="0" xfId="0" applyAlignment="1" applyFont="1">
      <alignment horizontal="left"/>
    </xf>
    <xf borderId="0" fillId="0" fontId="7" numFmtId="165" xfId="0" applyAlignment="1" applyFont="1" applyNumberFormat="1">
      <alignment horizontal="left"/>
    </xf>
    <xf borderId="0" fillId="0" fontId="7" numFmtId="168" xfId="0" applyAlignment="1" applyFont="1" applyNumberFormat="1">
      <alignment horizontal="left"/>
    </xf>
    <xf borderId="0" fillId="0" fontId="7" numFmtId="171" xfId="0" applyAlignment="1" applyFont="1" applyNumberFormat="1">
      <alignment horizontal="left"/>
    </xf>
    <xf borderId="0" fillId="0" fontId="11" numFmtId="0" xfId="0" applyFont="1"/>
    <xf borderId="0" fillId="0" fontId="7" numFmtId="0" xfId="0" applyFont="1"/>
    <xf borderId="0" fillId="0" fontId="7" numFmtId="165" xfId="0" applyFont="1" applyNumberFormat="1"/>
    <xf borderId="0" fillId="0" fontId="7" numFmtId="168" xfId="0" applyFont="1" applyNumberFormat="1"/>
    <xf borderId="0" fillId="0" fontId="7" numFmtId="171" xfId="0" applyFont="1" applyNumberFormat="1"/>
    <xf borderId="8" fillId="12" fontId="7" numFmtId="0" xfId="0" applyAlignment="1" applyBorder="1" applyFont="1">
      <alignment readingOrder="0"/>
    </xf>
    <xf borderId="51" fillId="0" fontId="11" numFmtId="0" xfId="0" applyAlignment="1" applyBorder="1" applyFont="1">
      <alignment horizontal="center" readingOrder="0"/>
    </xf>
    <xf borderId="0" fillId="0" fontId="19" numFmtId="0" xfId="0" applyAlignment="1" applyFont="1">
      <alignment horizontal="center" readingOrder="0" vertical="center"/>
    </xf>
    <xf borderId="0" fillId="0" fontId="7" numFmtId="0" xfId="0" applyAlignment="1" applyFont="1">
      <alignment horizontal="center" readingOrder="0"/>
    </xf>
    <xf borderId="0" fillId="0" fontId="7" numFmtId="0" xfId="0" applyAlignment="1" applyFont="1">
      <alignment horizontal="center"/>
    </xf>
    <xf borderId="0" fillId="0" fontId="7" numFmtId="166" xfId="0" applyAlignment="1" applyFont="1" applyNumberFormat="1">
      <alignment horizontal="center" readingOrder="0"/>
    </xf>
    <xf borderId="46" fillId="5" fontId="13" numFmtId="165" xfId="0" applyAlignment="1" applyBorder="1" applyFont="1" applyNumberFormat="1">
      <alignment horizontal="center" readingOrder="0" vertical="center"/>
    </xf>
    <xf borderId="8" fillId="5" fontId="13" numFmtId="0" xfId="0" applyAlignment="1" applyBorder="1" applyFont="1">
      <alignment horizontal="center" readingOrder="0" vertical="center"/>
    </xf>
    <xf borderId="50" fillId="5" fontId="13" numFmtId="0" xfId="0" applyAlignment="1" applyBorder="1" applyFont="1">
      <alignment horizontal="center" readingOrder="0" vertical="center"/>
    </xf>
    <xf borderId="8" fillId="4" fontId="20" numFmtId="0" xfId="0" applyAlignment="1" applyBorder="1" applyFont="1">
      <alignment readingOrder="0"/>
    </xf>
    <xf borderId="15" fillId="4" fontId="20" numFmtId="0" xfId="0" applyBorder="1" applyFont="1"/>
    <xf borderId="8" fillId="4" fontId="20" numFmtId="0" xfId="0" applyBorder="1" applyFont="1"/>
    <xf borderId="6" fillId="4" fontId="20" numFmtId="0" xfId="0" applyBorder="1" applyFont="1"/>
    <xf borderId="12" fillId="4" fontId="20" numFmtId="0" xfId="0" applyBorder="1" applyFont="1"/>
    <xf borderId="19" fillId="3" fontId="7" numFmtId="0" xfId="0" applyBorder="1" applyFont="1"/>
    <xf borderId="52" fillId="16" fontId="7" numFmtId="0" xfId="0" applyAlignment="1" applyBorder="1" applyFont="1">
      <alignment readingOrder="0"/>
    </xf>
    <xf borderId="44" fillId="17" fontId="7" numFmtId="165" xfId="0" applyAlignment="1" applyBorder="1" applyFont="1" applyNumberFormat="1">
      <alignment readingOrder="0"/>
    </xf>
    <xf borderId="53" fillId="18" fontId="7" numFmtId="165" xfId="0" applyAlignment="1" applyBorder="1" applyFont="1" applyNumberFormat="1">
      <alignment horizontal="right" readingOrder="0"/>
    </xf>
    <xf borderId="53" fillId="19" fontId="7" numFmtId="168" xfId="0" applyAlignment="1" applyBorder="1" applyFont="1" applyNumberFormat="1">
      <alignment readingOrder="0"/>
    </xf>
    <xf borderId="53" fillId="20" fontId="7" numFmtId="0" xfId="0" applyAlignment="1" applyBorder="1" applyFont="1">
      <alignment readingOrder="0"/>
    </xf>
    <xf borderId="53" fillId="21" fontId="7" numFmtId="0" xfId="0" applyAlignment="1" applyBorder="1" applyFont="1">
      <alignment readingOrder="0"/>
    </xf>
    <xf borderId="53" fillId="23" fontId="7" numFmtId="0" xfId="0" applyAlignment="1" applyBorder="1" applyFont="1">
      <alignment readingOrder="0"/>
    </xf>
    <xf borderId="53" fillId="12" fontId="7" numFmtId="0" xfId="0" applyAlignment="1" applyBorder="1" applyFont="1">
      <alignment readingOrder="0"/>
    </xf>
    <xf borderId="53" fillId="22" fontId="7" numFmtId="0" xfId="0" applyAlignment="1" applyBorder="1" applyFont="1">
      <alignment readingOrder="0"/>
    </xf>
    <xf borderId="44" fillId="17" fontId="7" numFmtId="171" xfId="0" applyAlignment="1" applyBorder="1" applyFont="1" applyNumberFormat="1">
      <alignment readingOrder="0"/>
    </xf>
    <xf borderId="53" fillId="18" fontId="7" numFmtId="171" xfId="0" applyAlignment="1" applyBorder="1" applyFont="1" applyNumberFormat="1">
      <alignment readingOrder="0"/>
    </xf>
    <xf borderId="53" fillId="19" fontId="7" numFmtId="172" xfId="0" applyAlignment="1" applyBorder="1" applyFont="1" applyNumberFormat="1">
      <alignment readingOrder="0"/>
    </xf>
    <xf borderId="53" fillId="0" fontId="7" numFmtId="0" xfId="0" applyAlignment="1" applyBorder="1" applyFont="1">
      <alignment readingOrder="0"/>
    </xf>
    <xf borderId="43" fillId="17" fontId="7" numFmtId="165" xfId="0" applyAlignment="1" applyBorder="1" applyFont="1" applyNumberFormat="1">
      <alignment readingOrder="0"/>
    </xf>
    <xf borderId="5" fillId="18" fontId="7" numFmtId="171" xfId="0" applyAlignment="1" applyBorder="1" applyFont="1" applyNumberFormat="1">
      <alignment readingOrder="0"/>
    </xf>
    <xf borderId="5" fillId="19" fontId="7" numFmtId="172" xfId="0" applyAlignment="1" applyBorder="1" applyFont="1" applyNumberFormat="1">
      <alignment readingOrder="0"/>
    </xf>
    <xf borderId="5" fillId="20" fontId="7" numFmtId="0" xfId="0" applyAlignment="1" applyBorder="1" applyFont="1">
      <alignment readingOrder="0"/>
    </xf>
    <xf borderId="5" fillId="0" fontId="7" numFmtId="0" xfId="0" applyAlignment="1" applyBorder="1" applyFont="1">
      <alignment readingOrder="0"/>
    </xf>
    <xf borderId="5" fillId="22" fontId="7" numFmtId="0" xfId="0" applyAlignment="1" applyBorder="1" applyFont="1">
      <alignment readingOrder="0"/>
    </xf>
    <xf borderId="47" fillId="5" fontId="13" numFmtId="165" xfId="0" applyAlignment="1" applyBorder="1" applyFont="1" applyNumberFormat="1">
      <alignment horizontal="center" readingOrder="0" vertical="center"/>
    </xf>
    <xf borderId="2" fillId="21" fontId="7" numFmtId="165" xfId="0" applyAlignment="1" applyBorder="1" applyFont="1" applyNumberFormat="1">
      <alignment readingOrder="0"/>
    </xf>
    <xf borderId="2" fillId="4" fontId="20" numFmtId="0" xfId="0" applyAlignment="1" applyBorder="1" applyFont="1">
      <alignment readingOrder="0"/>
    </xf>
    <xf borderId="5" fillId="4" fontId="20" numFmtId="0" xfId="0" applyAlignment="1" applyBorder="1" applyFont="1">
      <alignment readingOrder="0"/>
    </xf>
    <xf borderId="5" fillId="21" fontId="7" numFmtId="165" xfId="0" applyAlignment="1" applyBorder="1" applyFont="1" applyNumberFormat="1">
      <alignment readingOrder="0"/>
    </xf>
    <xf borderId="31" fillId="3" fontId="7" numFmtId="165" xfId="0" applyBorder="1" applyFont="1" applyNumberFormat="1"/>
    <xf borderId="2" fillId="0" fontId="7" numFmtId="0" xfId="0" applyAlignment="1" applyBorder="1" applyFont="1">
      <alignment horizontal="left"/>
    </xf>
    <xf borderId="2" fillId="0" fontId="7" numFmtId="168" xfId="0" applyAlignment="1" applyBorder="1" applyFont="1" applyNumberFormat="1">
      <alignment horizontal="left"/>
    </xf>
    <xf borderId="2" fillId="0" fontId="7" numFmtId="0" xfId="0" applyAlignment="1" applyBorder="1" applyFont="1">
      <alignment horizontal="left"/>
    </xf>
    <xf borderId="2" fillId="0" fontId="7" numFmtId="171" xfId="0" applyAlignment="1" applyBorder="1" applyFont="1" applyNumberFormat="1">
      <alignment horizontal="left"/>
    </xf>
    <xf borderId="2" fillId="0" fontId="7" numFmtId="165" xfId="0" applyAlignment="1" applyBorder="1" applyFont="1" applyNumberFormat="1">
      <alignment horizontal="left"/>
    </xf>
    <xf borderId="2" fillId="0" fontId="7" numFmtId="172" xfId="0" applyAlignment="1" applyBorder="1" applyFont="1" applyNumberFormat="1">
      <alignment horizontal="left"/>
    </xf>
    <xf borderId="2" fillId="0" fontId="11" numFmtId="0" xfId="0" applyAlignment="1" applyBorder="1" applyFont="1">
      <alignment horizontal="left" readingOrder="0"/>
    </xf>
    <xf borderId="2" fillId="0" fontId="7" numFmtId="168" xfId="0" applyAlignment="1" applyBorder="1" applyFont="1" applyNumberFormat="1">
      <alignment horizontal="left" readingOrder="0"/>
    </xf>
    <xf borderId="2" fillId="0" fontId="7" numFmtId="165" xfId="0" applyAlignment="1" applyBorder="1" applyFont="1" applyNumberFormat="1">
      <alignment horizontal="left" readingOrder="0"/>
    </xf>
    <xf borderId="0" fillId="0" fontId="7" numFmtId="173" xfId="0" applyAlignment="1" applyFont="1" applyNumberFormat="1">
      <alignment horizontal="left" readingOrder="0"/>
    </xf>
    <xf borderId="0" fillId="0" fontId="7" numFmtId="0" xfId="0" applyAlignment="1" applyFont="1">
      <alignment horizontal="left" readingOrder="0"/>
    </xf>
    <xf borderId="2" fillId="0" fontId="7" numFmtId="168" xfId="0" applyAlignment="1" applyBorder="1" applyFont="1" applyNumberFormat="1">
      <alignment horizontal="left"/>
    </xf>
    <xf borderId="2" fillId="0" fontId="7" numFmtId="165" xfId="0" applyAlignment="1" applyBorder="1" applyFont="1" applyNumberFormat="1">
      <alignment horizontal="left"/>
    </xf>
  </cellXfs>
  <cellStyles count="1">
    <cellStyle xfId="0" name="Normal" builtinId="0"/>
  </cellStyles>
  <dxfs count="33">
    <dxf>
      <font/>
      <fill>
        <patternFill patternType="solid">
          <fgColor rgb="FFB4A7D6"/>
          <bgColor rgb="FFB4A7D6"/>
        </patternFill>
      </fill>
      <border/>
    </dxf>
    <dxf>
      <font>
        <strike/>
      </font>
      <fill>
        <patternFill patternType="solid">
          <fgColor rgb="FFFF0000"/>
          <bgColor rgb="FFFF0000"/>
        </patternFill>
      </fill>
      <border/>
    </dxf>
    <dxf>
      <font>
        <b/>
        <strike/>
      </font>
      <fill>
        <patternFill patternType="solid">
          <fgColor rgb="FF9900FF"/>
          <bgColor rgb="FF9900FF"/>
        </patternFill>
      </fill>
      <border/>
    </dxf>
    <dxf>
      <font>
        <color rgb="FF000000"/>
      </font>
      <fill>
        <patternFill patternType="none"/>
      </fill>
      <border/>
    </dxf>
    <dxf>
      <font>
        <b/>
        <strike/>
        <color rgb="FF000000"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0000"/>
      </font>
      <fill>
        <patternFill patternType="none"/>
      </fill>
      <border/>
    </dxf>
    <dxf>
      <font>
        <b/>
      </font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980000"/>
          <bgColor rgb="FF980000"/>
        </patternFill>
      </fill>
      <border/>
    </dxf>
    <dxf>
      <font/>
      <fill>
        <patternFill patternType="solid">
          <fgColor rgb="FF0B5394"/>
          <bgColor rgb="FF0B5394"/>
        </patternFill>
      </fill>
      <border/>
    </dxf>
    <dxf>
      <font/>
      <fill>
        <patternFill patternType="solid">
          <fgColor rgb="FF4A86E8"/>
          <bgColor rgb="FF4A86E8"/>
        </patternFill>
      </fill>
      <border/>
    </dxf>
    <dxf>
      <font/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theme="1"/>
          <bgColor theme="1"/>
        </patternFill>
      </fill>
      <border/>
    </dxf>
    <dxf>
      <font/>
      <fill>
        <patternFill patternType="none"/>
      </fill>
      <border/>
    </dxf>
    <dxf>
      <font>
        <color theme="1"/>
      </font>
      <fill>
        <patternFill patternType="solid">
          <fgColor theme="1"/>
          <bgColor theme="1"/>
        </patternFill>
      </fill>
      <border/>
    </dxf>
    <dxf>
      <font>
        <color rgb="FF000000"/>
      </font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4285F4"/>
          <bgColor rgb="FF4285F4"/>
        </patternFill>
      </fill>
      <border/>
    </dxf>
    <dxf>
      <font/>
      <fill>
        <patternFill patternType="solid">
          <fgColor rgb="FFA4C2F4"/>
          <bgColor rgb="FFA4C2F4"/>
        </patternFill>
      </fill>
      <border/>
    </dxf>
    <dxf>
      <font/>
      <fill>
        <patternFill patternType="solid">
          <fgColor rgb="FF8E7CC3"/>
          <bgColor rgb="FF8E7CC3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>
        <color rgb="FF000000"/>
      </font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COUNTER-style">
      <tableStyleElement dxfId="30" type="headerRow"/>
      <tableStyleElement dxfId="31" type="firstRowStripe"/>
      <tableStyleElement dxfId="3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Z1000" displayName="Table_1" id="1">
  <tableColumns count="2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</tableColumns>
  <tableStyleInfo name="COUNTER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orms.gle/v2yHSZLLWjJoH1QP7" TargetMode="External"/><Relationship Id="rId2" Type="http://schemas.openxmlformats.org/officeDocument/2006/relationships/hyperlink" Target="https://forms.gle/v2yHSZLLWjJoH1QP7" TargetMode="External"/><Relationship Id="rId3" Type="http://schemas.openxmlformats.org/officeDocument/2006/relationships/hyperlink" Target="https://forms.gle/v2yHSZLLWjJoH1QP7" TargetMode="External"/><Relationship Id="rId4" Type="http://schemas.openxmlformats.org/officeDocument/2006/relationships/hyperlink" Target="https://forms.gle/twbhkG2zp9hLBRyc6" TargetMode="External"/><Relationship Id="rId5" Type="http://schemas.openxmlformats.org/officeDocument/2006/relationships/hyperlink" Target="https://forms.gle/koNd6keYfH6ucbC28" TargetMode="External"/><Relationship Id="rId6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1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0" width="21.57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44544.37656377315</v>
      </c>
      <c r="D2" s="3" t="s">
        <v>4</v>
      </c>
    </row>
    <row r="3">
      <c r="A3" s="2">
        <v>44544.40318659722</v>
      </c>
      <c r="D3" s="3" t="s">
        <v>4</v>
      </c>
    </row>
    <row r="4">
      <c r="A4" s="2">
        <v>44544.40405810185</v>
      </c>
      <c r="D4" s="3" t="s">
        <v>4</v>
      </c>
    </row>
    <row r="5">
      <c r="A5" s="2">
        <v>44544.417180069446</v>
      </c>
      <c r="B5" s="4" t="s">
        <v>5</v>
      </c>
      <c r="D5" s="4" t="s">
        <v>6</v>
      </c>
    </row>
    <row r="6">
      <c r="A6" s="2">
        <v>44544.42182773148</v>
      </c>
      <c r="B6" s="4" t="s">
        <v>5</v>
      </c>
      <c r="D6" s="4" t="s">
        <v>7</v>
      </c>
    </row>
    <row r="7">
      <c r="A7" s="2">
        <v>44544.42272107639</v>
      </c>
      <c r="B7" s="4" t="s">
        <v>5</v>
      </c>
      <c r="D7" s="4">
        <v>1.106544544E9</v>
      </c>
    </row>
    <row r="8">
      <c r="A8" s="2">
        <v>44544.439013483796</v>
      </c>
      <c r="B8" s="4" t="s">
        <v>5</v>
      </c>
      <c r="D8" s="4">
        <v>10037.0</v>
      </c>
    </row>
    <row r="9">
      <c r="A9" s="2">
        <v>44544.4407766088</v>
      </c>
      <c r="B9" s="4" t="s">
        <v>5</v>
      </c>
      <c r="D9" s="4">
        <v>10028.0</v>
      </c>
    </row>
    <row r="10">
      <c r="A10" s="2">
        <v>44544.4671415162</v>
      </c>
      <c r="B10" s="4" t="s">
        <v>5</v>
      </c>
      <c r="D10" s="4">
        <v>12345.0</v>
      </c>
    </row>
    <row r="11">
      <c r="A11" s="2">
        <v>44544.50000865741</v>
      </c>
      <c r="D11" s="3" t="s">
        <v>8</v>
      </c>
    </row>
    <row r="12">
      <c r="A12" s="2">
        <v>44544.51924418981</v>
      </c>
      <c r="B12" s="4" t="s">
        <v>5</v>
      </c>
      <c r="D12" s="4">
        <v>17502.0</v>
      </c>
    </row>
    <row r="13">
      <c r="A13" s="2">
        <v>44544.51961931713</v>
      </c>
      <c r="B13" s="4" t="s">
        <v>5</v>
      </c>
      <c r="D13" s="4">
        <v>13946.0</v>
      </c>
    </row>
    <row r="14">
      <c r="A14" s="2">
        <v>44544.52050944444</v>
      </c>
      <c r="D14" s="4">
        <v>12131.0</v>
      </c>
    </row>
    <row r="15">
      <c r="A15" s="2">
        <v>44544.527577037035</v>
      </c>
      <c r="B15" s="4" t="s">
        <v>9</v>
      </c>
      <c r="D15" s="4">
        <v>11242.0</v>
      </c>
    </row>
    <row r="16">
      <c r="A16" s="2">
        <v>44544.53195449074</v>
      </c>
      <c r="B16" s="4" t="s">
        <v>5</v>
      </c>
      <c r="D16" s="4">
        <v>11315.0</v>
      </c>
    </row>
    <row r="17">
      <c r="A17" s="2">
        <v>44544.588309004626</v>
      </c>
      <c r="B17" s="4" t="s">
        <v>5</v>
      </c>
      <c r="D17" s="4">
        <v>16125.0</v>
      </c>
    </row>
    <row r="18">
      <c r="A18" s="2">
        <v>44544.58890203704</v>
      </c>
      <c r="B18" s="4" t="s">
        <v>5</v>
      </c>
      <c r="D18" s="4">
        <v>10114.0</v>
      </c>
    </row>
    <row r="19">
      <c r="A19" s="2">
        <v>44544.590227465276</v>
      </c>
      <c r="B19" s="4" t="s">
        <v>5</v>
      </c>
      <c r="D19" s="4">
        <v>17571.0</v>
      </c>
    </row>
    <row r="20">
      <c r="A20" s="2">
        <v>44544.635139108796</v>
      </c>
      <c r="D20" s="3" t="s">
        <v>10</v>
      </c>
    </row>
    <row r="21">
      <c r="A21" s="2">
        <v>44544.72142825232</v>
      </c>
      <c r="B21" s="4" t="s">
        <v>5</v>
      </c>
      <c r="D21" s="4">
        <v>16567.0</v>
      </c>
    </row>
    <row r="22">
      <c r="A22" s="2">
        <v>44544.93996614583</v>
      </c>
      <c r="B22" s="4" t="s">
        <v>5</v>
      </c>
      <c r="D22" s="4">
        <v>10115.0</v>
      </c>
    </row>
    <row r="23">
      <c r="A23" s="2">
        <v>44544.95276869213</v>
      </c>
      <c r="B23" s="4" t="s">
        <v>5</v>
      </c>
      <c r="D23" s="4">
        <v>14985.0</v>
      </c>
    </row>
    <row r="24">
      <c r="A24" s="2">
        <v>44544.95351050926</v>
      </c>
      <c r="B24" s="4" t="s">
        <v>5</v>
      </c>
      <c r="D24" s="4">
        <v>15915.0</v>
      </c>
    </row>
    <row r="25">
      <c r="A25" s="2">
        <v>44545.42460305555</v>
      </c>
      <c r="B25" s="4" t="s">
        <v>5</v>
      </c>
      <c r="C25" s="4" t="s">
        <v>11</v>
      </c>
      <c r="D25" s="4">
        <v>15531.0</v>
      </c>
    </row>
    <row r="26">
      <c r="A26" s="2">
        <v>44545.46018519676</v>
      </c>
      <c r="B26" s="4" t="s">
        <v>5</v>
      </c>
      <c r="C26" s="4" t="s">
        <v>12</v>
      </c>
      <c r="D26" s="4">
        <v>15933.0</v>
      </c>
    </row>
    <row r="27">
      <c r="A27" s="2">
        <v>44545.46295216435</v>
      </c>
      <c r="B27" s="4" t="s">
        <v>5</v>
      </c>
      <c r="C27" s="4" t="s">
        <v>13</v>
      </c>
      <c r="D27" s="4">
        <v>10115.0</v>
      </c>
    </row>
    <row r="28">
      <c r="A28" s="2">
        <v>44545.48884871528</v>
      </c>
      <c r="B28" s="4" t="s">
        <v>5</v>
      </c>
      <c r="C28" s="4" t="s">
        <v>13</v>
      </c>
      <c r="D28" s="4">
        <v>17699.0</v>
      </c>
    </row>
    <row r="29">
      <c r="A29" s="2">
        <v>44545.48981505787</v>
      </c>
      <c r="B29" s="4" t="s">
        <v>5</v>
      </c>
      <c r="C29" s="4" t="s">
        <v>13</v>
      </c>
      <c r="D29" s="4">
        <v>17662.0</v>
      </c>
    </row>
    <row r="30">
      <c r="A30" s="2">
        <v>44545.495457129626</v>
      </c>
      <c r="B30" s="4" t="s">
        <v>5</v>
      </c>
      <c r="C30" s="4" t="s">
        <v>13</v>
      </c>
      <c r="D30" s="4">
        <v>12873.0</v>
      </c>
    </row>
    <row r="31">
      <c r="A31" s="2">
        <v>44545.49565354167</v>
      </c>
      <c r="B31" s="4" t="s">
        <v>5</v>
      </c>
      <c r="C31" s="4" t="s">
        <v>13</v>
      </c>
      <c r="D31" s="4">
        <v>13440.0</v>
      </c>
    </row>
    <row r="32">
      <c r="A32" s="2">
        <v>44545.495855104164</v>
      </c>
      <c r="B32" s="4" t="s">
        <v>5</v>
      </c>
      <c r="C32" s="4" t="s">
        <v>13</v>
      </c>
      <c r="D32" s="4">
        <v>15942.0</v>
      </c>
    </row>
    <row r="33">
      <c r="A33" s="2">
        <v>44545.49601445602</v>
      </c>
      <c r="B33" s="4" t="s">
        <v>5</v>
      </c>
      <c r="C33" s="4" t="s">
        <v>13</v>
      </c>
      <c r="D33" s="4">
        <v>9812.0</v>
      </c>
    </row>
    <row r="34">
      <c r="A34" s="2">
        <v>44545.49617263889</v>
      </c>
      <c r="B34" s="4" t="s">
        <v>5</v>
      </c>
      <c r="C34" s="4" t="s">
        <v>13</v>
      </c>
      <c r="D34" s="4">
        <v>17737.0</v>
      </c>
    </row>
    <row r="35">
      <c r="A35" s="2">
        <v>44545.49630827546</v>
      </c>
      <c r="B35" s="4" t="s">
        <v>5</v>
      </c>
      <c r="C35" s="4" t="s">
        <v>13</v>
      </c>
      <c r="D35" s="4">
        <v>17397.0</v>
      </c>
    </row>
    <row r="36">
      <c r="A36" s="2">
        <v>44545.49644953704</v>
      </c>
      <c r="B36" s="4" t="s">
        <v>5</v>
      </c>
      <c r="C36" s="4" t="s">
        <v>13</v>
      </c>
      <c r="D36" s="4">
        <v>13440.0</v>
      </c>
    </row>
    <row r="37">
      <c r="A37" s="2">
        <v>44545.49658883102</v>
      </c>
      <c r="B37" s="4" t="s">
        <v>5</v>
      </c>
      <c r="C37" s="4" t="s">
        <v>13</v>
      </c>
      <c r="D37" s="4">
        <v>12873.0</v>
      </c>
    </row>
    <row r="38">
      <c r="A38" s="2">
        <v>44545.563916886575</v>
      </c>
      <c r="B38" s="4" t="s">
        <v>5</v>
      </c>
      <c r="C38" s="4" t="s">
        <v>14</v>
      </c>
      <c r="D38" s="4">
        <v>12758.0</v>
      </c>
    </row>
    <row r="39">
      <c r="A39" s="2">
        <v>44545.564551296295</v>
      </c>
      <c r="B39" s="4" t="s">
        <v>5</v>
      </c>
      <c r="C39" s="4" t="s">
        <v>14</v>
      </c>
      <c r="D39" s="4">
        <v>14940.0</v>
      </c>
    </row>
    <row r="40">
      <c r="A40" s="2">
        <v>44545.56965563657</v>
      </c>
      <c r="B40" s="4" t="s">
        <v>5</v>
      </c>
      <c r="C40" s="4" t="s">
        <v>12</v>
      </c>
      <c r="D40" s="4">
        <v>9569.0</v>
      </c>
    </row>
    <row r="41">
      <c r="A41" s="2">
        <v>44545.57882831019</v>
      </c>
      <c r="B41" s="4" t="s">
        <v>5</v>
      </c>
      <c r="C41" s="4" t="s">
        <v>13</v>
      </c>
      <c r="D41" s="4">
        <v>13863.0</v>
      </c>
    </row>
    <row r="42">
      <c r="A42" s="2">
        <v>44545.58536578703</v>
      </c>
      <c r="B42" s="4" t="s">
        <v>5</v>
      </c>
      <c r="C42" s="4" t="s">
        <v>13</v>
      </c>
      <c r="D42" s="4">
        <v>15369.0</v>
      </c>
    </row>
    <row r="43">
      <c r="A43" s="2">
        <v>44545.59427744213</v>
      </c>
      <c r="B43" s="4" t="s">
        <v>5</v>
      </c>
      <c r="C43" s="4" t="s">
        <v>13</v>
      </c>
      <c r="D43" s="4">
        <v>17591.0</v>
      </c>
    </row>
    <row r="44">
      <c r="A44" s="2">
        <v>44545.60055935185</v>
      </c>
      <c r="B44" s="4" t="s">
        <v>5</v>
      </c>
      <c r="C44" s="4" t="s">
        <v>14</v>
      </c>
      <c r="D44" s="4">
        <v>16576.0</v>
      </c>
    </row>
    <row r="45">
      <c r="A45" s="2">
        <v>44545.60428666667</v>
      </c>
      <c r="B45" s="4" t="s">
        <v>5</v>
      </c>
      <c r="C45" s="4" t="s">
        <v>14</v>
      </c>
      <c r="D45" s="4">
        <v>16172.0</v>
      </c>
    </row>
    <row r="46">
      <c r="A46" s="2">
        <v>44545.607221921295</v>
      </c>
      <c r="B46" s="4" t="s">
        <v>5</v>
      </c>
      <c r="C46" s="4" t="s">
        <v>14</v>
      </c>
      <c r="D46" s="4">
        <v>14985.0</v>
      </c>
    </row>
    <row r="47">
      <c r="A47" s="2">
        <v>44545.62329614583</v>
      </c>
      <c r="C47" s="4" t="s">
        <v>13</v>
      </c>
      <c r="D47" s="4">
        <v>17589.0</v>
      </c>
    </row>
    <row r="48">
      <c r="A48" s="2">
        <v>44545.62564017361</v>
      </c>
      <c r="B48" s="4" t="s">
        <v>5</v>
      </c>
      <c r="C48" s="4" t="s">
        <v>15</v>
      </c>
      <c r="D48" s="4">
        <v>12071.0</v>
      </c>
    </row>
    <row r="49">
      <c r="A49" s="2">
        <v>44545.6262212037</v>
      </c>
      <c r="B49" s="4" t="s">
        <v>5</v>
      </c>
      <c r="C49" s="4" t="s">
        <v>15</v>
      </c>
      <c r="D49" s="4">
        <v>12071.0</v>
      </c>
    </row>
    <row r="50">
      <c r="A50" s="2">
        <v>44545.62657854166</v>
      </c>
      <c r="B50" s="4" t="s">
        <v>5</v>
      </c>
      <c r="C50" s="4" t="s">
        <v>14</v>
      </c>
      <c r="D50" s="4">
        <v>12253.0</v>
      </c>
    </row>
    <row r="51">
      <c r="A51" s="2">
        <v>44545.62696732639</v>
      </c>
      <c r="B51" s="4" t="s">
        <v>5</v>
      </c>
      <c r="C51" s="4" t="s">
        <v>15</v>
      </c>
      <c r="D51" s="4">
        <v>15595.0</v>
      </c>
    </row>
    <row r="52">
      <c r="A52" s="2">
        <v>44545.62734478009</v>
      </c>
      <c r="B52" s="4" t="s">
        <v>5</v>
      </c>
      <c r="C52" s="4" t="s">
        <v>15</v>
      </c>
      <c r="D52" s="4">
        <v>15595.0</v>
      </c>
    </row>
    <row r="53">
      <c r="A53" s="2">
        <v>44545.62760280093</v>
      </c>
      <c r="B53" s="4" t="s">
        <v>5</v>
      </c>
      <c r="C53" s="4" t="s">
        <v>15</v>
      </c>
      <c r="D53" s="4">
        <v>16172.0</v>
      </c>
    </row>
    <row r="54">
      <c r="A54" s="2">
        <v>44545.630669108796</v>
      </c>
      <c r="B54" s="4" t="s">
        <v>5</v>
      </c>
      <c r="C54" s="4" t="s">
        <v>14</v>
      </c>
      <c r="D54" s="4">
        <v>11870.0</v>
      </c>
    </row>
    <row r="55">
      <c r="A55" s="2">
        <v>44545.631427141205</v>
      </c>
      <c r="B55" s="4" t="s">
        <v>5</v>
      </c>
      <c r="C55" s="4" t="s">
        <v>13</v>
      </c>
      <c r="D55" s="4">
        <v>14113.0</v>
      </c>
    </row>
    <row r="56">
      <c r="A56" s="2">
        <v>44545.63187190972</v>
      </c>
      <c r="B56" s="4" t="s">
        <v>5</v>
      </c>
      <c r="C56" s="4" t="s">
        <v>13</v>
      </c>
      <c r="D56" s="4">
        <v>14113.0</v>
      </c>
    </row>
    <row r="57">
      <c r="A57" s="2">
        <v>44545.63237019676</v>
      </c>
      <c r="B57" s="4" t="s">
        <v>5</v>
      </c>
      <c r="C57" s="4" t="s">
        <v>12</v>
      </c>
      <c r="D57" s="4">
        <v>14540.0</v>
      </c>
    </row>
    <row r="58">
      <c r="A58" s="2">
        <v>44545.635351689816</v>
      </c>
      <c r="B58" s="4" t="s">
        <v>5</v>
      </c>
      <c r="C58" s="4" t="s">
        <v>14</v>
      </c>
      <c r="D58" s="4">
        <v>14889.0</v>
      </c>
    </row>
    <row r="59">
      <c r="A59" s="2">
        <v>44545.639470381946</v>
      </c>
      <c r="B59" s="4" t="s">
        <v>5</v>
      </c>
      <c r="C59" s="4" t="s">
        <v>14</v>
      </c>
      <c r="D59" s="4">
        <v>9279.0</v>
      </c>
    </row>
    <row r="60">
      <c r="A60" s="2">
        <v>44545.64975228009</v>
      </c>
      <c r="B60" s="4" t="s">
        <v>5</v>
      </c>
      <c r="C60" s="4" t="s">
        <v>14</v>
      </c>
      <c r="D60" s="4">
        <v>9707.0</v>
      </c>
    </row>
    <row r="61">
      <c r="A61" s="2">
        <v>44545.65548291667</v>
      </c>
      <c r="B61" s="4" t="s">
        <v>5</v>
      </c>
      <c r="C61" s="4" t="s">
        <v>12</v>
      </c>
      <c r="D61" s="4">
        <v>16543.0</v>
      </c>
    </row>
    <row r="62">
      <c r="A62" s="2">
        <v>44545.657165358796</v>
      </c>
      <c r="B62" s="4" t="s">
        <v>5</v>
      </c>
      <c r="C62" s="4" t="s">
        <v>14</v>
      </c>
      <c r="D62" s="4">
        <v>9457.0</v>
      </c>
    </row>
    <row r="63">
      <c r="A63" s="2">
        <v>44545.680689988425</v>
      </c>
      <c r="B63" s="4" t="s">
        <v>5</v>
      </c>
      <c r="C63" s="4" t="s">
        <v>15</v>
      </c>
      <c r="D63" s="4">
        <v>17589.0</v>
      </c>
    </row>
    <row r="64">
      <c r="A64" s="2">
        <v>44545.68094943287</v>
      </c>
      <c r="B64" s="4" t="s">
        <v>5</v>
      </c>
      <c r="C64" s="4" t="s">
        <v>15</v>
      </c>
      <c r="D64" s="4">
        <v>17589.0</v>
      </c>
    </row>
    <row r="65">
      <c r="A65" s="2">
        <v>44545.69678491898</v>
      </c>
      <c r="B65" s="4" t="s">
        <v>5</v>
      </c>
      <c r="C65" s="4" t="s">
        <v>14</v>
      </c>
      <c r="D65" s="4">
        <v>13641.0</v>
      </c>
    </row>
    <row r="66">
      <c r="A66" s="2">
        <v>44546.429299826385</v>
      </c>
      <c r="B66" s="4" t="s">
        <v>5</v>
      </c>
      <c r="C66" s="4" t="s">
        <v>14</v>
      </c>
      <c r="D66" s="4">
        <v>11449.0</v>
      </c>
    </row>
    <row r="67">
      <c r="A67" s="2">
        <v>44546.44612997685</v>
      </c>
      <c r="B67" s="4" t="s">
        <v>5</v>
      </c>
      <c r="C67" s="4" t="s">
        <v>14</v>
      </c>
      <c r="D67" s="4">
        <v>9531.0</v>
      </c>
    </row>
    <row r="68">
      <c r="A68" s="2">
        <v>44546.450869374996</v>
      </c>
      <c r="B68" s="4" t="s">
        <v>5</v>
      </c>
      <c r="C68" s="4" t="s">
        <v>15</v>
      </c>
      <c r="D68" s="4">
        <v>15426.0</v>
      </c>
    </row>
    <row r="69">
      <c r="A69" s="2">
        <v>44546.45109912037</v>
      </c>
      <c r="B69" s="4" t="s">
        <v>5</v>
      </c>
      <c r="C69" s="4" t="s">
        <v>15</v>
      </c>
      <c r="D69" s="4">
        <v>15426.0</v>
      </c>
    </row>
    <row r="70">
      <c r="A70" s="2">
        <v>44546.460988611114</v>
      </c>
      <c r="B70" s="4" t="s">
        <v>5</v>
      </c>
      <c r="C70" s="4" t="s">
        <v>14</v>
      </c>
      <c r="D70" s="4">
        <v>14174.0</v>
      </c>
    </row>
    <row r="71">
      <c r="A71" s="2">
        <v>44546.48344704861</v>
      </c>
      <c r="B71" s="4" t="s">
        <v>5</v>
      </c>
      <c r="C71" s="4" t="s">
        <v>15</v>
      </c>
      <c r="D71" s="4">
        <v>10702.0</v>
      </c>
    </row>
    <row r="72">
      <c r="A72" s="2">
        <v>44546.48368362269</v>
      </c>
      <c r="B72" s="4" t="s">
        <v>5</v>
      </c>
      <c r="C72" s="4" t="s">
        <v>15</v>
      </c>
      <c r="D72" s="4">
        <v>10702.0</v>
      </c>
    </row>
    <row r="73">
      <c r="A73" s="2">
        <v>44546.498197141205</v>
      </c>
      <c r="B73" s="4" t="s">
        <v>5</v>
      </c>
      <c r="C73" s="4" t="s">
        <v>13</v>
      </c>
      <c r="D73" s="4">
        <v>11281.0</v>
      </c>
    </row>
    <row r="74">
      <c r="A74" s="2">
        <v>44546.49844905092</v>
      </c>
      <c r="B74" s="4" t="s">
        <v>5</v>
      </c>
      <c r="C74" s="4" t="s">
        <v>13</v>
      </c>
      <c r="D74" s="4">
        <v>16456.0</v>
      </c>
    </row>
    <row r="75">
      <c r="A75" s="2">
        <v>44546.49855076389</v>
      </c>
      <c r="B75" s="4" t="s">
        <v>5</v>
      </c>
      <c r="C75" s="4" t="s">
        <v>14</v>
      </c>
      <c r="D75" s="4">
        <v>15835.0</v>
      </c>
    </row>
    <row r="76">
      <c r="A76" s="2">
        <v>44546.49866012731</v>
      </c>
      <c r="B76" s="4" t="s">
        <v>5</v>
      </c>
      <c r="C76" s="4" t="s">
        <v>13</v>
      </c>
      <c r="D76" s="4">
        <v>9976.0</v>
      </c>
    </row>
    <row r="77">
      <c r="A77" s="2">
        <v>44546.49882432871</v>
      </c>
      <c r="B77" s="4" t="s">
        <v>5</v>
      </c>
      <c r="C77" s="4" t="s">
        <v>13</v>
      </c>
      <c r="D77" s="4">
        <v>11701.0</v>
      </c>
    </row>
    <row r="78">
      <c r="A78" s="2">
        <v>44546.501808518515</v>
      </c>
      <c r="B78" s="4" t="s">
        <v>5</v>
      </c>
      <c r="C78" s="4" t="s">
        <v>13</v>
      </c>
      <c r="D78" s="4">
        <v>12204.0</v>
      </c>
    </row>
    <row r="79">
      <c r="A79" s="2">
        <v>44546.50199157407</v>
      </c>
      <c r="B79" s="4" t="s">
        <v>5</v>
      </c>
      <c r="C79" s="4" t="s">
        <v>13</v>
      </c>
      <c r="D79" s="4">
        <v>17009.0</v>
      </c>
    </row>
    <row r="80">
      <c r="A80" s="2">
        <v>44546.50215450232</v>
      </c>
      <c r="B80" s="4" t="s">
        <v>5</v>
      </c>
      <c r="C80" s="4" t="s">
        <v>13</v>
      </c>
      <c r="D80" s="4">
        <v>15485.0</v>
      </c>
    </row>
    <row r="81">
      <c r="A81" s="2">
        <v>44546.502359039354</v>
      </c>
      <c r="B81" s="4" t="s">
        <v>5</v>
      </c>
      <c r="C81" s="4" t="s">
        <v>13</v>
      </c>
      <c r="D81" s="4">
        <v>9286.0</v>
      </c>
    </row>
    <row r="82">
      <c r="A82" s="2">
        <v>44546.50265700232</v>
      </c>
      <c r="B82" s="4" t="s">
        <v>5</v>
      </c>
      <c r="C82" s="4" t="s">
        <v>13</v>
      </c>
      <c r="D82" s="4">
        <v>10395.0</v>
      </c>
    </row>
    <row r="83">
      <c r="A83" s="2">
        <v>44546.50277571759</v>
      </c>
      <c r="B83" s="4" t="s">
        <v>5</v>
      </c>
      <c r="C83" s="4" t="s">
        <v>13</v>
      </c>
      <c r="D83" s="4">
        <v>9259.0</v>
      </c>
    </row>
    <row r="84">
      <c r="A84" s="2">
        <v>44546.502974884264</v>
      </c>
      <c r="B84" s="4" t="s">
        <v>5</v>
      </c>
      <c r="C84" s="4" t="s">
        <v>13</v>
      </c>
      <c r="D84" s="4">
        <v>14187.0</v>
      </c>
    </row>
    <row r="85">
      <c r="A85" s="2">
        <v>44546.50329521991</v>
      </c>
      <c r="B85" s="4" t="s">
        <v>5</v>
      </c>
      <c r="C85" s="4" t="s">
        <v>13</v>
      </c>
      <c r="D85" s="4">
        <v>16635.0</v>
      </c>
    </row>
    <row r="86">
      <c r="A86" s="2">
        <v>44546.50340543981</v>
      </c>
      <c r="B86" s="4" t="s">
        <v>5</v>
      </c>
      <c r="C86" s="4" t="s">
        <v>13</v>
      </c>
      <c r="D86" s="4">
        <v>15466.0</v>
      </c>
    </row>
    <row r="87">
      <c r="A87" s="2">
        <v>44546.517954641204</v>
      </c>
      <c r="B87" s="4" t="s">
        <v>5</v>
      </c>
      <c r="C87" s="4" t="s">
        <v>14</v>
      </c>
      <c r="D87" s="4">
        <v>9945.0</v>
      </c>
    </row>
    <row r="88">
      <c r="A88" s="2">
        <v>44546.57088868055</v>
      </c>
      <c r="B88" s="4" t="s">
        <v>5</v>
      </c>
      <c r="C88" s="4" t="s">
        <v>14</v>
      </c>
      <c r="D88" s="4">
        <v>12675.0</v>
      </c>
    </row>
    <row r="89">
      <c r="A89" s="2">
        <v>44546.57184427083</v>
      </c>
      <c r="B89" s="4" t="s">
        <v>5</v>
      </c>
      <c r="C89" s="4" t="s">
        <v>15</v>
      </c>
      <c r="D89" s="4">
        <v>12889.0</v>
      </c>
    </row>
    <row r="90">
      <c r="A90" s="2">
        <v>44546.572179826384</v>
      </c>
      <c r="B90" s="4" t="s">
        <v>5</v>
      </c>
      <c r="C90" s="4" t="s">
        <v>15</v>
      </c>
      <c r="D90" s="4">
        <v>12889.0</v>
      </c>
    </row>
    <row r="91">
      <c r="A91" s="2">
        <v>44546.57832410879</v>
      </c>
      <c r="B91" s="4" t="s">
        <v>5</v>
      </c>
      <c r="C91" s="4" t="s">
        <v>15</v>
      </c>
      <c r="D91" s="4">
        <v>14411.0</v>
      </c>
    </row>
    <row r="92">
      <c r="A92" s="2">
        <v>44546.578523923614</v>
      </c>
      <c r="B92" s="4" t="s">
        <v>5</v>
      </c>
      <c r="C92" s="4" t="s">
        <v>15</v>
      </c>
      <c r="D92" s="4">
        <v>14411.0</v>
      </c>
    </row>
    <row r="93">
      <c r="A93" s="2">
        <v>44546.58189519676</v>
      </c>
      <c r="B93" s="4" t="s">
        <v>5</v>
      </c>
      <c r="C93" s="4" t="s">
        <v>14</v>
      </c>
      <c r="D93" s="4">
        <v>10164.0</v>
      </c>
    </row>
    <row r="94">
      <c r="A94" s="2">
        <v>44546.58565540509</v>
      </c>
      <c r="B94" s="4" t="s">
        <v>5</v>
      </c>
      <c r="C94" s="4" t="s">
        <v>13</v>
      </c>
      <c r="D94" s="4">
        <v>10338.0</v>
      </c>
    </row>
    <row r="95">
      <c r="A95" s="2">
        <v>44546.59265519676</v>
      </c>
      <c r="B95" s="4" t="s">
        <v>5</v>
      </c>
      <c r="C95" s="4" t="s">
        <v>15</v>
      </c>
      <c r="D95" s="4">
        <v>16349.0</v>
      </c>
    </row>
    <row r="96">
      <c r="A96" s="2">
        <v>44546.592929375</v>
      </c>
      <c r="B96" s="4" t="s">
        <v>5</v>
      </c>
      <c r="C96" s="4" t="s">
        <v>15</v>
      </c>
      <c r="D96" s="4">
        <v>16349.0</v>
      </c>
    </row>
    <row r="97">
      <c r="A97" s="2">
        <v>44546.59631702546</v>
      </c>
      <c r="B97" s="4" t="s">
        <v>5</v>
      </c>
      <c r="C97" s="4" t="s">
        <v>15</v>
      </c>
      <c r="D97" s="4">
        <v>11906.0</v>
      </c>
    </row>
    <row r="98">
      <c r="A98" s="2">
        <v>44546.597094791665</v>
      </c>
      <c r="B98" s="4" t="s">
        <v>5</v>
      </c>
      <c r="C98" s="4" t="s">
        <v>15</v>
      </c>
      <c r="D98" s="4">
        <v>11906.0</v>
      </c>
    </row>
    <row r="99">
      <c r="A99" s="2">
        <v>44546.59898414352</v>
      </c>
      <c r="B99" s="4" t="s">
        <v>5</v>
      </c>
      <c r="C99" s="4" t="s">
        <v>13</v>
      </c>
      <c r="D99" s="4">
        <v>10723.0</v>
      </c>
    </row>
    <row r="100">
      <c r="A100" s="2">
        <v>44546.599388055554</v>
      </c>
      <c r="B100" s="4" t="s">
        <v>5</v>
      </c>
      <c r="C100" s="4" t="s">
        <v>14</v>
      </c>
      <c r="D100" s="4">
        <v>10330.0</v>
      </c>
    </row>
    <row r="101">
      <c r="A101" s="2">
        <v>44546.60387172454</v>
      </c>
      <c r="B101" s="4" t="s">
        <v>5</v>
      </c>
      <c r="C101" s="4" t="s">
        <v>15</v>
      </c>
      <c r="D101" s="4">
        <v>15879.0</v>
      </c>
    </row>
    <row r="102">
      <c r="A102" s="2">
        <v>44546.60422940972</v>
      </c>
      <c r="B102" s="4" t="s">
        <v>5</v>
      </c>
      <c r="C102" s="4" t="s">
        <v>15</v>
      </c>
      <c r="D102" s="4">
        <v>15879.0</v>
      </c>
    </row>
    <row r="103">
      <c r="A103" s="2">
        <v>44546.60605418982</v>
      </c>
      <c r="B103" s="4" t="s">
        <v>5</v>
      </c>
      <c r="C103" s="4" t="s">
        <v>14</v>
      </c>
      <c r="D103" s="4">
        <v>14691.0</v>
      </c>
    </row>
    <row r="104">
      <c r="A104" s="2">
        <v>44546.625530405094</v>
      </c>
      <c r="B104" s="4" t="s">
        <v>5</v>
      </c>
      <c r="C104" s="4" t="s">
        <v>13</v>
      </c>
      <c r="D104" s="4">
        <v>17722.0</v>
      </c>
    </row>
    <row r="105">
      <c r="A105" s="2">
        <v>44546.62585009259</v>
      </c>
      <c r="B105" s="4" t="s">
        <v>5</v>
      </c>
      <c r="C105" s="4" t="s">
        <v>12</v>
      </c>
      <c r="D105" s="4">
        <v>13972.0</v>
      </c>
    </row>
    <row r="106">
      <c r="A106" s="2">
        <v>44546.63741539352</v>
      </c>
      <c r="B106" s="4" t="s">
        <v>5</v>
      </c>
      <c r="C106" s="4" t="s">
        <v>13</v>
      </c>
      <c r="D106" s="4">
        <v>9143.0</v>
      </c>
    </row>
    <row r="107">
      <c r="A107" s="2">
        <v>44546.63756665509</v>
      </c>
      <c r="B107" s="4" t="s">
        <v>5</v>
      </c>
      <c r="C107" s="4" t="s">
        <v>13</v>
      </c>
      <c r="D107" s="4">
        <v>17707.0</v>
      </c>
    </row>
    <row r="108">
      <c r="A108" s="2">
        <v>44546.63772195602</v>
      </c>
      <c r="B108" s="4" t="s">
        <v>5</v>
      </c>
      <c r="C108" s="4" t="s">
        <v>13</v>
      </c>
      <c r="D108" s="4">
        <v>17707.0</v>
      </c>
    </row>
    <row r="109">
      <c r="A109" s="2">
        <v>44546.637965312504</v>
      </c>
      <c r="B109" s="4" t="s">
        <v>5</v>
      </c>
      <c r="C109" s="4" t="s">
        <v>13</v>
      </c>
      <c r="D109" s="4">
        <v>17707.0</v>
      </c>
    </row>
    <row r="110">
      <c r="A110" s="2">
        <v>44546.64537371528</v>
      </c>
      <c r="B110" s="4" t="s">
        <v>5</v>
      </c>
      <c r="C110" s="4" t="s">
        <v>15</v>
      </c>
      <c r="D110" s="4">
        <v>15689.0</v>
      </c>
    </row>
    <row r="111">
      <c r="A111" s="2">
        <v>44546.64564447917</v>
      </c>
      <c r="B111" s="4" t="s">
        <v>5</v>
      </c>
      <c r="C111" s="4" t="s">
        <v>16</v>
      </c>
      <c r="D111" s="4">
        <v>15689.0</v>
      </c>
    </row>
    <row r="112">
      <c r="A112" s="2">
        <v>44546.656462025465</v>
      </c>
      <c r="B112" s="4" t="s">
        <v>5</v>
      </c>
      <c r="C112" s="4" t="s">
        <v>15</v>
      </c>
      <c r="D112" s="4">
        <v>12512.0</v>
      </c>
    </row>
    <row r="113">
      <c r="A113" s="2">
        <v>44546.65670820602</v>
      </c>
      <c r="B113" s="4" t="s">
        <v>5</v>
      </c>
      <c r="C113" s="4" t="s">
        <v>15</v>
      </c>
      <c r="D113" s="4">
        <v>12512.0</v>
      </c>
    </row>
    <row r="114">
      <c r="A114" s="2">
        <v>44546.66194925926</v>
      </c>
      <c r="B114" s="4" t="s">
        <v>5</v>
      </c>
      <c r="C114" s="4" t="s">
        <v>14</v>
      </c>
      <c r="D114" s="4">
        <v>15620.0</v>
      </c>
    </row>
    <row r="115">
      <c r="A115" s="2">
        <v>44546.66542100694</v>
      </c>
      <c r="B115" s="4" t="s">
        <v>5</v>
      </c>
      <c r="C115" s="4" t="s">
        <v>15</v>
      </c>
      <c r="D115" s="4">
        <v>15803.0</v>
      </c>
    </row>
    <row r="116">
      <c r="A116" s="2">
        <v>44546.66560155092</v>
      </c>
      <c r="B116" s="4" t="s">
        <v>5</v>
      </c>
      <c r="C116" s="4" t="s">
        <v>15</v>
      </c>
      <c r="D116" s="4">
        <v>15803.0</v>
      </c>
    </row>
    <row r="117">
      <c r="A117" s="2">
        <v>44547.37061362268</v>
      </c>
      <c r="B117" s="4" t="s">
        <v>5</v>
      </c>
      <c r="C117" s="4" t="s">
        <v>14</v>
      </c>
      <c r="D117" s="4">
        <v>15335.0</v>
      </c>
    </row>
    <row r="118">
      <c r="A118" s="2">
        <v>44547.37197604167</v>
      </c>
      <c r="B118" s="4" t="s">
        <v>5</v>
      </c>
      <c r="C118" s="4" t="s">
        <v>14</v>
      </c>
      <c r="D118" s="4">
        <v>12862.0</v>
      </c>
    </row>
    <row r="119">
      <c r="A119" s="2">
        <v>44547.372147291666</v>
      </c>
      <c r="B119" s="4" t="s">
        <v>5</v>
      </c>
      <c r="C119" s="4" t="s">
        <v>14</v>
      </c>
      <c r="D119" s="4">
        <v>15309.0</v>
      </c>
    </row>
    <row r="120">
      <c r="A120" s="2">
        <v>44547.3841744213</v>
      </c>
      <c r="B120" s="4" t="s">
        <v>5</v>
      </c>
      <c r="C120" s="4" t="s">
        <v>14</v>
      </c>
      <c r="D120" s="4">
        <v>16482.0</v>
      </c>
    </row>
    <row r="121">
      <c r="A121" s="2">
        <v>44547.38759121527</v>
      </c>
      <c r="B121" s="4" t="s">
        <v>5</v>
      </c>
      <c r="C121" s="4" t="s">
        <v>14</v>
      </c>
      <c r="D121" s="4">
        <v>12902.0</v>
      </c>
    </row>
    <row r="122">
      <c r="A122" s="2">
        <v>44547.39018032407</v>
      </c>
      <c r="B122" s="4" t="s">
        <v>5</v>
      </c>
      <c r="C122" s="4" t="s">
        <v>14</v>
      </c>
      <c r="D122" s="4">
        <v>12088.0</v>
      </c>
    </row>
    <row r="123">
      <c r="A123" s="2">
        <v>44547.41483922454</v>
      </c>
      <c r="B123" s="4" t="s">
        <v>5</v>
      </c>
      <c r="C123" s="4" t="s">
        <v>14</v>
      </c>
      <c r="D123" s="4">
        <v>15684.0</v>
      </c>
    </row>
    <row r="124">
      <c r="A124" s="2">
        <v>44547.42426384259</v>
      </c>
      <c r="B124" s="4" t="s">
        <v>5</v>
      </c>
      <c r="C124" s="4" t="s">
        <v>13</v>
      </c>
      <c r="D124" s="4">
        <v>10202.0</v>
      </c>
    </row>
    <row r="125">
      <c r="A125" s="2">
        <v>44547.440724305554</v>
      </c>
      <c r="B125" s="4" t="s">
        <v>5</v>
      </c>
      <c r="C125" s="4" t="s">
        <v>14</v>
      </c>
      <c r="D125" s="4">
        <v>16297.0</v>
      </c>
    </row>
    <row r="126">
      <c r="A126" s="2">
        <v>44547.44327430555</v>
      </c>
      <c r="B126" s="4" t="s">
        <v>5</v>
      </c>
      <c r="C126" s="4" t="s">
        <v>14</v>
      </c>
      <c r="D126" s="4">
        <v>11209.0</v>
      </c>
    </row>
    <row r="127">
      <c r="A127" s="2">
        <v>44547.4512090625</v>
      </c>
      <c r="B127" s="4" t="s">
        <v>5</v>
      </c>
      <c r="C127" s="4" t="s">
        <v>14</v>
      </c>
      <c r="D127" s="4">
        <v>10604.0</v>
      </c>
    </row>
    <row r="128">
      <c r="A128" s="2">
        <v>44547.48398981482</v>
      </c>
      <c r="B128" s="4" t="s">
        <v>5</v>
      </c>
      <c r="C128" s="4" t="s">
        <v>14</v>
      </c>
      <c r="D128" s="4">
        <v>11829.0</v>
      </c>
    </row>
    <row r="129">
      <c r="A129" s="2">
        <v>44547.48414288195</v>
      </c>
      <c r="B129" s="4" t="s">
        <v>5</v>
      </c>
      <c r="C129" s="4" t="s">
        <v>14</v>
      </c>
      <c r="D129" s="4">
        <v>16763.0</v>
      </c>
    </row>
    <row r="130">
      <c r="A130" s="2">
        <v>44547.551544016205</v>
      </c>
      <c r="B130" s="4" t="s">
        <v>5</v>
      </c>
      <c r="C130" s="4" t="s">
        <v>15</v>
      </c>
      <c r="D130" s="4">
        <v>15683.0</v>
      </c>
    </row>
    <row r="131">
      <c r="A131" s="2">
        <v>44547.55177041667</v>
      </c>
      <c r="B131" s="4" t="s">
        <v>5</v>
      </c>
      <c r="C131" s="4" t="s">
        <v>15</v>
      </c>
      <c r="D131" s="4">
        <v>15683.0</v>
      </c>
    </row>
    <row r="132">
      <c r="A132" s="2">
        <v>44547.56069331018</v>
      </c>
      <c r="B132" s="4" t="s">
        <v>5</v>
      </c>
      <c r="C132" s="4" t="s">
        <v>15</v>
      </c>
      <c r="D132" s="4">
        <v>16443.0</v>
      </c>
    </row>
    <row r="133">
      <c r="A133" s="2">
        <v>44547.56087545139</v>
      </c>
      <c r="B133" s="4" t="s">
        <v>5</v>
      </c>
      <c r="C133" s="4" t="s">
        <v>15</v>
      </c>
      <c r="D133" s="4">
        <v>16443.0</v>
      </c>
    </row>
    <row r="134">
      <c r="A134" s="2">
        <v>44547.58637917824</v>
      </c>
      <c r="B134" s="4" t="s">
        <v>5</v>
      </c>
      <c r="C134" s="4" t="s">
        <v>15</v>
      </c>
      <c r="D134" s="4">
        <v>9534.0</v>
      </c>
    </row>
    <row r="135">
      <c r="A135" s="2">
        <v>44547.586541122684</v>
      </c>
      <c r="B135" s="4" t="s">
        <v>5</v>
      </c>
      <c r="C135" s="4" t="s">
        <v>15</v>
      </c>
      <c r="D135" s="4">
        <v>9534.0</v>
      </c>
    </row>
    <row r="136">
      <c r="A136" s="2">
        <v>44547.59731173611</v>
      </c>
      <c r="B136" s="4" t="s">
        <v>5</v>
      </c>
      <c r="C136" s="4" t="s">
        <v>13</v>
      </c>
      <c r="D136" s="4">
        <v>9615.0</v>
      </c>
    </row>
    <row r="137">
      <c r="A137" s="2">
        <v>44547.59747825231</v>
      </c>
      <c r="B137" s="4" t="s">
        <v>5</v>
      </c>
      <c r="C137" s="4" t="s">
        <v>13</v>
      </c>
      <c r="D137" s="4">
        <v>9405.0</v>
      </c>
    </row>
    <row r="138">
      <c r="A138" s="2">
        <v>44547.6173799074</v>
      </c>
      <c r="B138" s="4" t="s">
        <v>5</v>
      </c>
      <c r="C138" s="4" t="s">
        <v>15</v>
      </c>
      <c r="D138" s="4">
        <v>15025.0</v>
      </c>
    </row>
    <row r="139">
      <c r="A139" s="2">
        <v>44547.61753710648</v>
      </c>
      <c r="B139" s="4" t="s">
        <v>5</v>
      </c>
      <c r="C139" s="4" t="s">
        <v>15</v>
      </c>
      <c r="D139" s="4">
        <v>15025.0</v>
      </c>
    </row>
    <row r="140">
      <c r="A140" s="2">
        <v>44547.63750689814</v>
      </c>
      <c r="B140" s="4" t="s">
        <v>5</v>
      </c>
      <c r="C140" s="4" t="s">
        <v>13</v>
      </c>
      <c r="D140" s="4">
        <v>16417.0</v>
      </c>
    </row>
    <row r="141">
      <c r="A141" s="2">
        <v>44547.63791292824</v>
      </c>
      <c r="B141" s="4" t="s">
        <v>5</v>
      </c>
      <c r="C141" s="4" t="s">
        <v>13</v>
      </c>
      <c r="D141" s="4">
        <v>16417.0</v>
      </c>
    </row>
    <row r="142">
      <c r="A142" s="2">
        <v>44547.67081887732</v>
      </c>
      <c r="B142" s="4" t="s">
        <v>5</v>
      </c>
      <c r="C142" s="4" t="s">
        <v>15</v>
      </c>
      <c r="D142" s="4">
        <v>9800.0</v>
      </c>
    </row>
    <row r="143">
      <c r="A143" s="2">
        <v>44547.67098355324</v>
      </c>
      <c r="B143" s="4" t="s">
        <v>5</v>
      </c>
      <c r="C143" s="4" t="s">
        <v>15</v>
      </c>
      <c r="D143" s="4">
        <v>9800.0</v>
      </c>
    </row>
    <row r="144">
      <c r="A144" s="2">
        <v>44550.432599618056</v>
      </c>
      <c r="B144" s="4" t="s">
        <v>5</v>
      </c>
      <c r="C144" s="4" t="s">
        <v>15</v>
      </c>
      <c r="D144" s="4">
        <v>15992.0</v>
      </c>
    </row>
    <row r="145">
      <c r="A145" s="2">
        <v>44550.43278768519</v>
      </c>
      <c r="B145" s="4" t="s">
        <v>5</v>
      </c>
      <c r="C145" s="4" t="s">
        <v>15</v>
      </c>
      <c r="D145" s="4">
        <v>15992.0</v>
      </c>
    </row>
    <row r="146">
      <c r="A146" s="2">
        <v>44550.43338016204</v>
      </c>
      <c r="B146" s="4" t="s">
        <v>5</v>
      </c>
      <c r="C146" s="4" t="s">
        <v>15</v>
      </c>
      <c r="D146" s="4">
        <v>16329.0</v>
      </c>
    </row>
    <row r="147">
      <c r="A147" s="2">
        <v>44550.43356760417</v>
      </c>
      <c r="B147" s="4" t="s">
        <v>5</v>
      </c>
      <c r="C147" s="4" t="s">
        <v>15</v>
      </c>
      <c r="D147" s="4">
        <v>16329.0</v>
      </c>
    </row>
    <row r="148">
      <c r="A148" s="2">
        <v>44550.44667559028</v>
      </c>
      <c r="B148" s="4" t="s">
        <v>5</v>
      </c>
      <c r="C148" s="4" t="s">
        <v>15</v>
      </c>
      <c r="D148" s="4">
        <v>11121.0</v>
      </c>
    </row>
    <row r="149">
      <c r="A149" s="2">
        <v>44550.44689681713</v>
      </c>
      <c r="B149" s="4" t="s">
        <v>5</v>
      </c>
      <c r="C149" s="4" t="s">
        <v>15</v>
      </c>
      <c r="D149" s="4">
        <v>11121.0</v>
      </c>
    </row>
    <row r="150">
      <c r="A150" s="2">
        <v>44550.44870194445</v>
      </c>
      <c r="B150" s="4" t="s">
        <v>5</v>
      </c>
      <c r="C150" s="4" t="s">
        <v>12</v>
      </c>
      <c r="D150" s="4">
        <v>17093.0</v>
      </c>
    </row>
    <row r="151">
      <c r="A151" s="2">
        <v>44550.44971688658</v>
      </c>
      <c r="B151" s="4" t="s">
        <v>5</v>
      </c>
      <c r="C151" s="4" t="s">
        <v>13</v>
      </c>
      <c r="D151" s="4">
        <v>17196.0</v>
      </c>
    </row>
    <row r="152">
      <c r="A152" s="2">
        <v>44550.45763038195</v>
      </c>
      <c r="B152" s="4" t="s">
        <v>5</v>
      </c>
      <c r="C152" s="4" t="s">
        <v>13</v>
      </c>
      <c r="D152" s="4">
        <v>17043.0</v>
      </c>
    </row>
    <row r="153">
      <c r="A153" s="2">
        <v>44550.46144402778</v>
      </c>
      <c r="B153" s="4" t="s">
        <v>5</v>
      </c>
      <c r="C153" s="4" t="s">
        <v>14</v>
      </c>
      <c r="D153" s="4">
        <v>13496.0</v>
      </c>
    </row>
    <row r="154">
      <c r="A154" s="2">
        <v>44550.464828055556</v>
      </c>
      <c r="B154" s="4" t="s">
        <v>5</v>
      </c>
      <c r="C154" s="4" t="s">
        <v>14</v>
      </c>
      <c r="D154" s="4">
        <v>10244.0</v>
      </c>
    </row>
    <row r="155">
      <c r="A155" s="2">
        <v>44550.46788040509</v>
      </c>
      <c r="B155" s="4" t="s">
        <v>5</v>
      </c>
      <c r="C155" s="4" t="s">
        <v>14</v>
      </c>
      <c r="D155" s="4">
        <v>17594.0</v>
      </c>
    </row>
    <row r="156">
      <c r="A156" s="2">
        <v>44550.471082187505</v>
      </c>
      <c r="B156" s="4" t="s">
        <v>5</v>
      </c>
      <c r="C156" s="4" t="s">
        <v>15</v>
      </c>
      <c r="D156" s="4">
        <v>12572.0</v>
      </c>
    </row>
    <row r="157">
      <c r="A157" s="2">
        <v>44550.48412736111</v>
      </c>
      <c r="B157" s="4" t="s">
        <v>5</v>
      </c>
      <c r="C157" s="4" t="s">
        <v>13</v>
      </c>
      <c r="D157" s="4">
        <v>17720.0</v>
      </c>
    </row>
    <row r="158">
      <c r="A158" s="2">
        <v>44550.514453842596</v>
      </c>
      <c r="B158" s="4" t="s">
        <v>5</v>
      </c>
      <c r="C158" s="4" t="s">
        <v>15</v>
      </c>
      <c r="D158" s="4">
        <v>11596.0</v>
      </c>
    </row>
    <row r="159">
      <c r="A159" s="2">
        <v>44550.51492915509</v>
      </c>
      <c r="B159" s="4" t="s">
        <v>5</v>
      </c>
      <c r="C159" s="4" t="s">
        <v>15</v>
      </c>
      <c r="D159" s="4">
        <v>11596.0</v>
      </c>
    </row>
    <row r="160">
      <c r="A160" s="2">
        <v>44550.55472428241</v>
      </c>
      <c r="B160" s="4" t="s">
        <v>5</v>
      </c>
      <c r="C160" s="4" t="s">
        <v>15</v>
      </c>
      <c r="D160" s="4">
        <v>12225.0</v>
      </c>
    </row>
    <row r="161">
      <c r="A161" s="2">
        <v>44550.55497008102</v>
      </c>
      <c r="B161" s="4" t="s">
        <v>5</v>
      </c>
      <c r="C161" s="4" t="s">
        <v>15</v>
      </c>
      <c r="D161" s="4">
        <v>12225.0</v>
      </c>
    </row>
    <row r="162">
      <c r="A162" s="2">
        <v>44550.575952280094</v>
      </c>
      <c r="B162" s="4" t="s">
        <v>5</v>
      </c>
      <c r="C162" s="4" t="s">
        <v>13</v>
      </c>
      <c r="D162" s="4">
        <v>9309.0</v>
      </c>
    </row>
    <row r="163">
      <c r="A163" s="2">
        <v>44550.59463736111</v>
      </c>
      <c r="B163" s="4" t="s">
        <v>5</v>
      </c>
      <c r="C163" s="4" t="s">
        <v>14</v>
      </c>
      <c r="D163" s="4">
        <v>9973.0</v>
      </c>
    </row>
    <row r="164">
      <c r="A164" s="2">
        <v>44550.59498206018</v>
      </c>
      <c r="B164" s="4" t="s">
        <v>5</v>
      </c>
      <c r="C164" s="4" t="s">
        <v>14</v>
      </c>
      <c r="D164" s="4">
        <v>17770.0</v>
      </c>
    </row>
    <row r="165">
      <c r="A165" s="2">
        <v>44550.601944317124</v>
      </c>
      <c r="B165" s="4" t="s">
        <v>5</v>
      </c>
      <c r="C165" s="4" t="s">
        <v>15</v>
      </c>
      <c r="D165" s="4">
        <v>10644.0</v>
      </c>
    </row>
    <row r="166">
      <c r="A166" s="2">
        <v>44550.60215247685</v>
      </c>
      <c r="B166" s="4" t="s">
        <v>5</v>
      </c>
      <c r="C166" s="4" t="s">
        <v>15</v>
      </c>
      <c r="D166" s="4">
        <v>10644.0</v>
      </c>
    </row>
    <row r="167">
      <c r="A167" s="2">
        <v>44550.60700376157</v>
      </c>
      <c r="B167" s="4" t="s">
        <v>5</v>
      </c>
      <c r="C167" s="4" t="s">
        <v>15</v>
      </c>
      <c r="D167" s="4">
        <v>17236.0</v>
      </c>
    </row>
    <row r="168">
      <c r="A168" s="2">
        <v>44550.60718763889</v>
      </c>
      <c r="B168" s="4" t="s">
        <v>5</v>
      </c>
      <c r="C168" s="4" t="s">
        <v>15</v>
      </c>
      <c r="D168" s="4">
        <v>17236.0</v>
      </c>
    </row>
    <row r="169">
      <c r="A169" s="2">
        <v>44550.62291831018</v>
      </c>
      <c r="B169" s="4" t="s">
        <v>5</v>
      </c>
      <c r="C169" s="4" t="s">
        <v>14</v>
      </c>
      <c r="D169" s="4">
        <v>14690.0</v>
      </c>
    </row>
    <row r="170">
      <c r="A170" s="2">
        <v>44550.62308994213</v>
      </c>
      <c r="B170" s="4" t="s">
        <v>5</v>
      </c>
      <c r="C170" s="4" t="s">
        <v>14</v>
      </c>
      <c r="D170" s="4">
        <v>14483.0</v>
      </c>
    </row>
    <row r="171">
      <c r="A171" s="2">
        <v>44550.62879884259</v>
      </c>
      <c r="B171" s="4" t="s">
        <v>5</v>
      </c>
      <c r="C171" s="4" t="s">
        <v>15</v>
      </c>
      <c r="D171" s="4">
        <v>12964.0</v>
      </c>
    </row>
    <row r="172">
      <c r="A172" s="2">
        <v>44550.62924047453</v>
      </c>
      <c r="B172" s="4" t="s">
        <v>5</v>
      </c>
      <c r="C172" s="4" t="s">
        <v>15</v>
      </c>
      <c r="D172" s="4">
        <v>12964.0</v>
      </c>
    </row>
    <row r="173">
      <c r="A173" s="2">
        <v>44550.649101076386</v>
      </c>
      <c r="B173" s="4" t="s">
        <v>5</v>
      </c>
      <c r="C173" s="4" t="s">
        <v>14</v>
      </c>
      <c r="D173" s="4">
        <v>14531.0</v>
      </c>
    </row>
    <row r="174">
      <c r="A174" s="2">
        <v>44551.496168645834</v>
      </c>
      <c r="B174" s="4" t="s">
        <v>5</v>
      </c>
      <c r="C174" s="4" t="s">
        <v>13</v>
      </c>
      <c r="D174" s="4">
        <v>17632.0</v>
      </c>
    </row>
    <row r="175">
      <c r="A175" s="2">
        <v>44551.496380798606</v>
      </c>
      <c r="B175" s="4" t="s">
        <v>5</v>
      </c>
      <c r="C175" s="4" t="s">
        <v>13</v>
      </c>
      <c r="D175" s="4">
        <v>17610.0</v>
      </c>
    </row>
    <row r="176">
      <c r="A176" s="2">
        <v>44551.496556134254</v>
      </c>
      <c r="B176" s="4" t="s">
        <v>5</v>
      </c>
      <c r="C176" s="4" t="s">
        <v>13</v>
      </c>
      <c r="D176" s="4">
        <v>17625.0</v>
      </c>
    </row>
    <row r="177">
      <c r="A177" s="2">
        <v>44551.49677881945</v>
      </c>
      <c r="B177" s="4" t="s">
        <v>5</v>
      </c>
      <c r="C177" s="4" t="s">
        <v>13</v>
      </c>
      <c r="D177" s="4">
        <v>17606.0</v>
      </c>
    </row>
    <row r="178">
      <c r="A178" s="2">
        <v>44551.496947430554</v>
      </c>
      <c r="B178" s="4" t="s">
        <v>5</v>
      </c>
      <c r="C178" s="4" t="s">
        <v>13</v>
      </c>
      <c r="D178" s="4">
        <v>10100.0</v>
      </c>
    </row>
    <row r="179">
      <c r="A179" s="2">
        <v>44551.49712212963</v>
      </c>
      <c r="B179" s="4" t="s">
        <v>5</v>
      </c>
      <c r="C179" s="4" t="s">
        <v>13</v>
      </c>
      <c r="D179" s="4">
        <v>17583.0</v>
      </c>
    </row>
    <row r="180">
      <c r="A180" s="2">
        <v>44551.49724927083</v>
      </c>
      <c r="B180" s="4" t="s">
        <v>5</v>
      </c>
      <c r="C180" s="4" t="s">
        <v>13</v>
      </c>
      <c r="D180" s="4">
        <v>9821.0</v>
      </c>
    </row>
    <row r="181">
      <c r="A181" s="2">
        <v>44551.497389780096</v>
      </c>
      <c r="B181" s="4" t="s">
        <v>5</v>
      </c>
      <c r="C181" s="4" t="s">
        <v>13</v>
      </c>
      <c r="D181" s="4">
        <v>17639.0</v>
      </c>
    </row>
    <row r="182">
      <c r="A182" s="2">
        <v>44551.49752467593</v>
      </c>
      <c r="B182" s="4" t="s">
        <v>5</v>
      </c>
      <c r="C182" s="4" t="s">
        <v>13</v>
      </c>
      <c r="D182" s="4">
        <v>17621.0</v>
      </c>
    </row>
    <row r="183">
      <c r="A183" s="2">
        <v>44551.49764035879</v>
      </c>
      <c r="B183" s="4" t="s">
        <v>5</v>
      </c>
      <c r="C183" s="4" t="s">
        <v>13</v>
      </c>
      <c r="D183" s="4">
        <v>17626.0</v>
      </c>
    </row>
    <row r="184">
      <c r="A184" s="2">
        <v>44551.49779645834</v>
      </c>
      <c r="B184" s="4" t="s">
        <v>5</v>
      </c>
      <c r="C184" s="4" t="s">
        <v>13</v>
      </c>
      <c r="D184" s="4">
        <v>17728.0</v>
      </c>
    </row>
    <row r="185">
      <c r="A185" s="2">
        <v>44551.497922662034</v>
      </c>
      <c r="B185" s="4" t="s">
        <v>5</v>
      </c>
      <c r="C185" s="4" t="s">
        <v>13</v>
      </c>
      <c r="D185" s="4">
        <v>17635.0</v>
      </c>
    </row>
    <row r="186">
      <c r="A186" s="2">
        <v>44551.49812137731</v>
      </c>
      <c r="B186" s="4" t="s">
        <v>5</v>
      </c>
      <c r="C186" s="4" t="s">
        <v>13</v>
      </c>
      <c r="D186" s="4">
        <v>17596.0</v>
      </c>
    </row>
    <row r="187">
      <c r="A187" s="2">
        <v>44551.548034050924</v>
      </c>
      <c r="B187" s="4" t="s">
        <v>5</v>
      </c>
      <c r="C187" s="4" t="s">
        <v>14</v>
      </c>
      <c r="D187" s="4">
        <v>9846.0</v>
      </c>
    </row>
    <row r="188">
      <c r="A188" s="2">
        <v>44551.55487982639</v>
      </c>
      <c r="B188" s="4" t="s">
        <v>5</v>
      </c>
      <c r="C188" s="4" t="s">
        <v>14</v>
      </c>
      <c r="D188" s="4">
        <v>15817.0</v>
      </c>
    </row>
    <row r="189">
      <c r="A189" s="2">
        <v>44551.556432488425</v>
      </c>
      <c r="B189" s="4" t="s">
        <v>5</v>
      </c>
      <c r="C189" s="4" t="s">
        <v>14</v>
      </c>
      <c r="D189" s="4">
        <v>14926.0</v>
      </c>
    </row>
    <row r="190">
      <c r="A190" s="2">
        <v>44551.56623976852</v>
      </c>
      <c r="B190" s="4" t="s">
        <v>5</v>
      </c>
      <c r="C190" s="4" t="s">
        <v>14</v>
      </c>
      <c r="D190" s="4">
        <v>10772.0</v>
      </c>
    </row>
    <row r="191">
      <c r="A191" s="2">
        <v>44551.56947354166</v>
      </c>
      <c r="B191" s="4" t="s">
        <v>5</v>
      </c>
      <c r="C191" s="4" t="s">
        <v>13</v>
      </c>
      <c r="D191" s="4">
        <v>17537.0</v>
      </c>
    </row>
    <row r="192">
      <c r="A192" s="2">
        <v>44551.577000254634</v>
      </c>
      <c r="B192" s="4" t="s">
        <v>5</v>
      </c>
      <c r="C192" s="4" t="s">
        <v>14</v>
      </c>
      <c r="D192" s="4">
        <v>15894.0</v>
      </c>
    </row>
    <row r="193">
      <c r="A193" s="2">
        <v>44551.57901570602</v>
      </c>
      <c r="B193" s="4" t="s">
        <v>5</v>
      </c>
      <c r="C193" s="4" t="s">
        <v>14</v>
      </c>
      <c r="D193" s="4">
        <v>11060.0</v>
      </c>
    </row>
    <row r="194">
      <c r="A194" s="2">
        <v>44551.581024444444</v>
      </c>
      <c r="B194" s="4" t="s">
        <v>5</v>
      </c>
      <c r="C194" s="4" t="s">
        <v>14</v>
      </c>
      <c r="D194" s="4">
        <v>11017.0</v>
      </c>
    </row>
    <row r="195">
      <c r="A195" s="2">
        <v>44551.583871678245</v>
      </c>
      <c r="B195" s="4" t="s">
        <v>5</v>
      </c>
      <c r="C195" s="4" t="s">
        <v>13</v>
      </c>
      <c r="D195" s="4">
        <v>11093.0</v>
      </c>
    </row>
    <row r="196">
      <c r="A196" s="2">
        <v>44551.58756326389</v>
      </c>
      <c r="B196" s="4" t="s">
        <v>5</v>
      </c>
      <c r="C196" s="4" t="s">
        <v>14</v>
      </c>
      <c r="D196" s="4">
        <v>16002.0</v>
      </c>
    </row>
    <row r="197">
      <c r="A197" s="2">
        <v>44551.59195847222</v>
      </c>
      <c r="B197" s="4" t="s">
        <v>5</v>
      </c>
      <c r="C197" s="4" t="s">
        <v>14</v>
      </c>
      <c r="D197" s="4">
        <v>15910.0</v>
      </c>
    </row>
    <row r="198">
      <c r="A198" s="2">
        <v>44551.60927693287</v>
      </c>
      <c r="B198" s="4" t="s">
        <v>5</v>
      </c>
      <c r="C198" s="4" t="s">
        <v>15</v>
      </c>
      <c r="D198" s="4">
        <v>16524.0</v>
      </c>
    </row>
    <row r="199">
      <c r="A199" s="2">
        <v>44551.60963607639</v>
      </c>
      <c r="B199" s="4" t="s">
        <v>5</v>
      </c>
      <c r="C199" s="4" t="s">
        <v>15</v>
      </c>
      <c r="D199" s="4">
        <v>16842.0</v>
      </c>
    </row>
    <row r="200">
      <c r="A200" s="2">
        <v>44551.62900365741</v>
      </c>
      <c r="B200" s="4" t="s">
        <v>5</v>
      </c>
      <c r="C200" s="4" t="s">
        <v>15</v>
      </c>
      <c r="D200" s="4">
        <v>13728.0</v>
      </c>
    </row>
    <row r="201">
      <c r="A201" s="2">
        <v>44551.652575879634</v>
      </c>
      <c r="B201" s="4" t="s">
        <v>5</v>
      </c>
      <c r="C201" s="4" t="s">
        <v>14</v>
      </c>
      <c r="D201" s="4">
        <v>11376.0</v>
      </c>
    </row>
    <row r="202">
      <c r="A202" s="2">
        <v>44552.49920356482</v>
      </c>
      <c r="B202" s="4" t="s">
        <v>5</v>
      </c>
      <c r="C202" s="4" t="s">
        <v>13</v>
      </c>
      <c r="D202" s="4">
        <v>10613.0</v>
      </c>
    </row>
    <row r="203">
      <c r="A203" s="2">
        <v>44552.499369826386</v>
      </c>
      <c r="B203" s="4" t="s">
        <v>5</v>
      </c>
      <c r="C203" s="4" t="s">
        <v>13</v>
      </c>
      <c r="D203" s="4">
        <v>9283.0</v>
      </c>
    </row>
    <row r="204">
      <c r="A204" s="2">
        <v>44552.49965075232</v>
      </c>
      <c r="B204" s="4" t="s">
        <v>5</v>
      </c>
      <c r="C204" s="4" t="s">
        <v>13</v>
      </c>
      <c r="D204" s="4">
        <v>11881.0</v>
      </c>
    </row>
    <row r="205">
      <c r="A205" s="2">
        <v>44552.49984561343</v>
      </c>
      <c r="B205" s="4" t="s">
        <v>5</v>
      </c>
      <c r="C205" s="4" t="s">
        <v>13</v>
      </c>
      <c r="D205" s="4">
        <v>9810.0</v>
      </c>
    </row>
    <row r="206">
      <c r="A206" s="2">
        <v>44552.50026722222</v>
      </c>
      <c r="B206" s="4" t="s">
        <v>5</v>
      </c>
      <c r="C206" s="4" t="s">
        <v>13</v>
      </c>
      <c r="D206" s="4">
        <v>16156.0</v>
      </c>
    </row>
    <row r="207">
      <c r="A207" s="2">
        <v>44552.500401365745</v>
      </c>
      <c r="B207" s="4" t="s">
        <v>5</v>
      </c>
      <c r="C207" s="4" t="s">
        <v>13</v>
      </c>
      <c r="D207" s="4">
        <v>17769.0</v>
      </c>
    </row>
    <row r="208">
      <c r="A208" s="2">
        <v>44552.501644814816</v>
      </c>
      <c r="B208" s="4" t="s">
        <v>5</v>
      </c>
      <c r="C208" s="4" t="s">
        <v>13</v>
      </c>
      <c r="D208" s="4">
        <v>17775.0</v>
      </c>
    </row>
    <row r="209">
      <c r="A209" s="2">
        <v>44552.54476284722</v>
      </c>
      <c r="B209" s="4" t="s">
        <v>5</v>
      </c>
      <c r="C209" s="4" t="s">
        <v>15</v>
      </c>
      <c r="D209" s="4">
        <v>15825.0</v>
      </c>
    </row>
    <row r="210">
      <c r="A210" s="2">
        <v>44552.545109004626</v>
      </c>
      <c r="B210" s="4" t="s">
        <v>5</v>
      </c>
      <c r="C210" s="4" t="s">
        <v>15</v>
      </c>
      <c r="D210" s="4">
        <v>15825.0</v>
      </c>
    </row>
    <row r="211">
      <c r="A211" s="2">
        <v>44552.55115829861</v>
      </c>
      <c r="B211" s="4" t="s">
        <v>5</v>
      </c>
      <c r="C211" s="4" t="s">
        <v>15</v>
      </c>
      <c r="D211" s="4">
        <v>11287.0</v>
      </c>
    </row>
    <row r="212">
      <c r="A212" s="2">
        <v>44552.55144292824</v>
      </c>
      <c r="B212" s="4" t="s">
        <v>5</v>
      </c>
      <c r="C212" s="4" t="s">
        <v>15</v>
      </c>
      <c r="D212" s="4">
        <v>11287.0</v>
      </c>
    </row>
    <row r="213">
      <c r="A213" s="2">
        <v>44552.564567511574</v>
      </c>
      <c r="B213" s="4" t="s">
        <v>5</v>
      </c>
      <c r="C213" s="4" t="s">
        <v>13</v>
      </c>
      <c r="D213" s="4">
        <v>16219.0</v>
      </c>
    </row>
    <row r="214">
      <c r="A214" s="2">
        <v>44552.56652230324</v>
      </c>
      <c r="B214" s="4" t="s">
        <v>5</v>
      </c>
      <c r="C214" s="4" t="s">
        <v>13</v>
      </c>
      <c r="D214" s="4">
        <v>17641.0</v>
      </c>
    </row>
    <row r="215">
      <c r="A215" s="2">
        <v>44552.569210752314</v>
      </c>
      <c r="B215" s="4" t="s">
        <v>5</v>
      </c>
      <c r="C215" s="4" t="s">
        <v>12</v>
      </c>
      <c r="D215" s="4">
        <v>15867.0</v>
      </c>
    </row>
    <row r="216">
      <c r="A216" s="2">
        <v>44552.57192366898</v>
      </c>
      <c r="B216" s="4" t="s">
        <v>5</v>
      </c>
      <c r="C216" s="4" t="s">
        <v>12</v>
      </c>
      <c r="D216" s="4">
        <v>15867.0</v>
      </c>
    </row>
    <row r="217">
      <c r="A217" s="2">
        <v>44552.57206363426</v>
      </c>
      <c r="B217" s="4" t="s">
        <v>5</v>
      </c>
      <c r="C217" s="4" t="s">
        <v>13</v>
      </c>
      <c r="D217" s="4">
        <v>17780.0</v>
      </c>
    </row>
    <row r="218">
      <c r="A218" s="2">
        <v>44552.57609594907</v>
      </c>
      <c r="B218" s="4" t="s">
        <v>5</v>
      </c>
      <c r="C218" s="4" t="s">
        <v>13</v>
      </c>
      <c r="D218" s="4">
        <v>17659.0</v>
      </c>
    </row>
    <row r="219">
      <c r="A219" s="2">
        <v>44552.58262048611</v>
      </c>
      <c r="B219" s="4" t="s">
        <v>5</v>
      </c>
      <c r="C219" s="4" t="s">
        <v>13</v>
      </c>
      <c r="D219" s="4">
        <v>17326.0</v>
      </c>
    </row>
    <row r="220">
      <c r="A220" s="2">
        <v>44552.58502409722</v>
      </c>
      <c r="B220" s="4" t="s">
        <v>5</v>
      </c>
      <c r="C220" s="4" t="s">
        <v>12</v>
      </c>
      <c r="D220" s="4">
        <v>15655.0</v>
      </c>
    </row>
    <row r="221">
      <c r="A221" s="2">
        <v>44552.61082483796</v>
      </c>
      <c r="B221" s="4" t="s">
        <v>5</v>
      </c>
      <c r="C221" s="4" t="s">
        <v>14</v>
      </c>
      <c r="D221" s="4">
        <v>16502.0</v>
      </c>
    </row>
    <row r="222">
      <c r="A222" s="2">
        <v>44552.614733553244</v>
      </c>
      <c r="B222" s="4" t="s">
        <v>5</v>
      </c>
      <c r="C222" s="4" t="s">
        <v>13</v>
      </c>
      <c r="D222" s="4">
        <v>17540.0</v>
      </c>
    </row>
    <row r="223">
      <c r="A223" s="2">
        <v>44552.61669469907</v>
      </c>
      <c r="B223" s="4" t="s">
        <v>5</v>
      </c>
      <c r="C223" s="4" t="s">
        <v>13</v>
      </c>
      <c r="D223" s="4">
        <v>15985.0</v>
      </c>
    </row>
    <row r="224">
      <c r="A224" s="2">
        <v>44552.631207060185</v>
      </c>
      <c r="B224" s="4" t="s">
        <v>5</v>
      </c>
      <c r="C224" s="4" t="s">
        <v>15</v>
      </c>
      <c r="D224" s="4">
        <v>16284.0</v>
      </c>
    </row>
    <row r="225">
      <c r="A225" s="2">
        <v>44552.63149024306</v>
      </c>
      <c r="B225" s="4" t="s">
        <v>5</v>
      </c>
      <c r="C225" s="4" t="s">
        <v>15</v>
      </c>
      <c r="D225" s="4">
        <v>16284.0</v>
      </c>
    </row>
    <row r="226">
      <c r="A226" s="2">
        <v>44552.632066736114</v>
      </c>
      <c r="B226" s="4" t="s">
        <v>5</v>
      </c>
      <c r="C226" s="4" t="s">
        <v>15</v>
      </c>
      <c r="D226" s="4">
        <v>16284.0</v>
      </c>
    </row>
    <row r="227">
      <c r="A227" s="2">
        <v>44552.63244386574</v>
      </c>
      <c r="B227" s="4" t="s">
        <v>5</v>
      </c>
      <c r="C227" s="4" t="s">
        <v>15</v>
      </c>
      <c r="D227" s="4">
        <v>16284.0</v>
      </c>
    </row>
    <row r="228">
      <c r="A228" s="2">
        <v>44552.63383319444</v>
      </c>
      <c r="B228" s="4" t="s">
        <v>5</v>
      </c>
      <c r="C228" s="4" t="s">
        <v>14</v>
      </c>
      <c r="D228" s="4">
        <v>14799.0</v>
      </c>
    </row>
    <row r="229">
      <c r="A229" s="2">
        <v>44552.6381118287</v>
      </c>
      <c r="B229" s="4" t="s">
        <v>5</v>
      </c>
      <c r="C229" s="4" t="s">
        <v>15</v>
      </c>
      <c r="D229" s="4">
        <v>15580.0</v>
      </c>
    </row>
    <row r="230">
      <c r="A230" s="2">
        <v>44552.638373043985</v>
      </c>
      <c r="B230" s="4" t="s">
        <v>5</v>
      </c>
      <c r="C230" s="4" t="s">
        <v>15</v>
      </c>
      <c r="D230" s="4">
        <v>15580.0</v>
      </c>
    </row>
    <row r="231">
      <c r="A231" s="2">
        <v>44552.638577025464</v>
      </c>
      <c r="B231" s="4" t="s">
        <v>5</v>
      </c>
      <c r="C231" s="4" t="s">
        <v>15</v>
      </c>
      <c r="D231" s="4">
        <v>15580.0</v>
      </c>
    </row>
    <row r="232">
      <c r="A232" s="2">
        <v>44552.638875856486</v>
      </c>
      <c r="B232" s="4" t="s">
        <v>5</v>
      </c>
      <c r="C232" s="4" t="s">
        <v>15</v>
      </c>
      <c r="D232" s="4">
        <v>15580.0</v>
      </c>
    </row>
    <row r="233">
      <c r="A233" s="2">
        <v>44552.63911694444</v>
      </c>
      <c r="B233" s="4" t="s">
        <v>5</v>
      </c>
      <c r="C233" s="4" t="s">
        <v>15</v>
      </c>
      <c r="D233" s="4">
        <v>15580.0</v>
      </c>
    </row>
    <row r="234">
      <c r="A234" s="2">
        <v>44552.63947974537</v>
      </c>
      <c r="B234" s="4" t="s">
        <v>5</v>
      </c>
      <c r="C234" s="4" t="s">
        <v>15</v>
      </c>
      <c r="D234" s="4">
        <v>15580.0</v>
      </c>
    </row>
    <row r="235">
      <c r="A235" s="2">
        <v>44552.653069328706</v>
      </c>
      <c r="B235" s="4" t="s">
        <v>5</v>
      </c>
      <c r="C235" s="4" t="s">
        <v>14</v>
      </c>
      <c r="D235" s="4">
        <v>13013.0</v>
      </c>
    </row>
    <row r="236">
      <c r="A236" s="2">
        <v>44552.660633946754</v>
      </c>
      <c r="B236" s="4" t="s">
        <v>5</v>
      </c>
      <c r="C236" s="4" t="s">
        <v>15</v>
      </c>
      <c r="D236" s="4">
        <v>10813.0</v>
      </c>
    </row>
    <row r="237">
      <c r="A237" s="2">
        <v>44552.6664443287</v>
      </c>
      <c r="B237" s="4" t="s">
        <v>5</v>
      </c>
      <c r="C237" s="4" t="s">
        <v>14</v>
      </c>
      <c r="D237" s="4">
        <v>14587.0</v>
      </c>
    </row>
    <row r="238">
      <c r="A238" s="2">
        <v>44552.67947239583</v>
      </c>
      <c r="B238" s="4" t="s">
        <v>5</v>
      </c>
      <c r="C238" s="4" t="s">
        <v>14</v>
      </c>
      <c r="D238" s="4">
        <v>14587.0</v>
      </c>
    </row>
    <row r="239">
      <c r="A239" s="2">
        <v>44553.534407326384</v>
      </c>
      <c r="B239" s="4" t="s">
        <v>5</v>
      </c>
      <c r="C239" s="4" t="s">
        <v>14</v>
      </c>
      <c r="D239" s="4">
        <v>14076.0</v>
      </c>
    </row>
    <row r="240">
      <c r="A240" s="2">
        <v>44553.55197597222</v>
      </c>
      <c r="B240" s="4" t="s">
        <v>5</v>
      </c>
      <c r="C240" s="4" t="s">
        <v>14</v>
      </c>
      <c r="D240" s="4">
        <v>15298.0</v>
      </c>
    </row>
    <row r="241">
      <c r="A241" s="2">
        <v>44553.558553622686</v>
      </c>
      <c r="B241" s="4" t="s">
        <v>5</v>
      </c>
      <c r="C241" s="4" t="s">
        <v>14</v>
      </c>
      <c r="D241" s="4">
        <v>15126.0</v>
      </c>
    </row>
    <row r="242">
      <c r="A242" s="2">
        <v>44553.56503168981</v>
      </c>
      <c r="B242" s="4" t="s">
        <v>5</v>
      </c>
      <c r="C242" s="4" t="s">
        <v>14</v>
      </c>
      <c r="D242" s="4">
        <v>17022.0</v>
      </c>
    </row>
    <row r="243">
      <c r="A243" s="2">
        <v>44553.5666922338</v>
      </c>
      <c r="B243" s="4" t="s">
        <v>5</v>
      </c>
      <c r="C243" s="4" t="s">
        <v>12</v>
      </c>
      <c r="D243" s="4">
        <v>10377.0</v>
      </c>
    </row>
    <row r="244">
      <c r="A244" s="2">
        <v>44553.567009363425</v>
      </c>
      <c r="B244" s="4" t="s">
        <v>5</v>
      </c>
      <c r="C244" s="4" t="s">
        <v>14</v>
      </c>
      <c r="D244" s="4">
        <v>15854.0</v>
      </c>
    </row>
    <row r="245">
      <c r="A245" s="2">
        <v>44553.56864094907</v>
      </c>
      <c r="B245" s="4" t="s">
        <v>5</v>
      </c>
      <c r="C245" s="4" t="s">
        <v>13</v>
      </c>
      <c r="D245" s="4">
        <v>9794.0</v>
      </c>
    </row>
    <row r="246">
      <c r="A246" s="2">
        <v>44553.57251050926</v>
      </c>
      <c r="B246" s="4" t="s">
        <v>5</v>
      </c>
      <c r="C246" s="4" t="s">
        <v>14</v>
      </c>
      <c r="D246" s="4">
        <v>14275.0</v>
      </c>
    </row>
    <row r="247">
      <c r="A247" s="2">
        <v>44553.59068554398</v>
      </c>
      <c r="B247" s="4" t="s">
        <v>5</v>
      </c>
      <c r="C247" s="4" t="s">
        <v>13</v>
      </c>
      <c r="D247" s="4">
        <v>17618.0</v>
      </c>
    </row>
    <row r="248">
      <c r="A248" s="2">
        <v>44553.5956566088</v>
      </c>
      <c r="B248" s="4" t="s">
        <v>5</v>
      </c>
      <c r="C248" s="4" t="s">
        <v>13</v>
      </c>
      <c r="D248" s="4">
        <v>17623.0</v>
      </c>
    </row>
    <row r="249">
      <c r="A249" s="2">
        <v>44553.59754795139</v>
      </c>
      <c r="B249" s="4" t="s">
        <v>5</v>
      </c>
      <c r="C249" s="4" t="s">
        <v>14</v>
      </c>
      <c r="D249" s="4">
        <v>14742.0</v>
      </c>
    </row>
    <row r="250">
      <c r="A250" s="2">
        <v>44553.60274665509</v>
      </c>
      <c r="B250" s="4" t="s">
        <v>5</v>
      </c>
      <c r="C250" s="4" t="s">
        <v>14</v>
      </c>
      <c r="D250" s="4">
        <v>11223.0</v>
      </c>
    </row>
    <row r="251">
      <c r="A251" s="2">
        <v>44553.60663923611</v>
      </c>
      <c r="B251" s="4" t="s">
        <v>5</v>
      </c>
      <c r="C251" s="4" t="s">
        <v>14</v>
      </c>
      <c r="D251" s="4">
        <v>11365.0</v>
      </c>
    </row>
    <row r="252">
      <c r="A252" s="2">
        <v>44553.6269103588</v>
      </c>
      <c r="B252" s="4" t="s">
        <v>5</v>
      </c>
      <c r="C252" s="4" t="s">
        <v>15</v>
      </c>
      <c r="D252" s="4">
        <v>12267.0</v>
      </c>
    </row>
    <row r="253">
      <c r="A253" s="2">
        <v>44553.64039435185</v>
      </c>
      <c r="B253" s="4" t="s">
        <v>5</v>
      </c>
      <c r="C253" s="4" t="s">
        <v>14</v>
      </c>
      <c r="D253" s="4">
        <v>14384.0</v>
      </c>
    </row>
    <row r="254">
      <c r="A254" s="2">
        <v>44553.64330950231</v>
      </c>
      <c r="B254" s="4" t="s">
        <v>5</v>
      </c>
      <c r="C254" s="4" t="s">
        <v>14</v>
      </c>
      <c r="D254" s="4">
        <v>9971.0</v>
      </c>
    </row>
    <row r="255">
      <c r="A255" s="2">
        <v>44553.64506736111</v>
      </c>
      <c r="B255" s="4" t="s">
        <v>5</v>
      </c>
      <c r="C255" s="4" t="s">
        <v>15</v>
      </c>
      <c r="D255" s="4">
        <v>15745.0</v>
      </c>
    </row>
    <row r="256">
      <c r="A256" s="2">
        <v>44553.64533262732</v>
      </c>
      <c r="B256" s="4" t="s">
        <v>5</v>
      </c>
      <c r="C256" s="4" t="s">
        <v>15</v>
      </c>
      <c r="D256" s="4">
        <v>15745.0</v>
      </c>
    </row>
    <row r="257">
      <c r="A257" s="2">
        <v>44553.64808472223</v>
      </c>
      <c r="B257" s="4" t="s">
        <v>5</v>
      </c>
      <c r="C257" s="4" t="s">
        <v>14</v>
      </c>
      <c r="D257" s="4" t="s">
        <v>17</v>
      </c>
    </row>
    <row r="258">
      <c r="A258" s="2">
        <v>44553.648683113424</v>
      </c>
      <c r="B258" s="4" t="s">
        <v>5</v>
      </c>
      <c r="C258" s="4" t="s">
        <v>14</v>
      </c>
      <c r="D258" s="4">
        <v>16514.0</v>
      </c>
    </row>
    <row r="259">
      <c r="A259" s="2">
        <v>44553.657878935184</v>
      </c>
      <c r="B259" s="4" t="s">
        <v>5</v>
      </c>
      <c r="C259" s="4" t="s">
        <v>15</v>
      </c>
      <c r="D259" s="4">
        <v>10593.0</v>
      </c>
    </row>
    <row r="260">
      <c r="A260" s="2">
        <v>44553.658136053244</v>
      </c>
      <c r="B260" s="4" t="s">
        <v>5</v>
      </c>
      <c r="C260" s="4" t="s">
        <v>15</v>
      </c>
      <c r="D260" s="4">
        <v>10593.0</v>
      </c>
    </row>
    <row r="261">
      <c r="A261" s="2">
        <v>44553.702846342596</v>
      </c>
      <c r="B261" s="4" t="s">
        <v>5</v>
      </c>
      <c r="C261" s="4" t="s">
        <v>15</v>
      </c>
      <c r="D261" s="4">
        <v>16514.0</v>
      </c>
    </row>
    <row r="262">
      <c r="A262" s="2">
        <v>44553.70307700231</v>
      </c>
      <c r="B262" s="4" t="s">
        <v>5</v>
      </c>
      <c r="C262" s="4" t="s">
        <v>15</v>
      </c>
      <c r="D262" s="4">
        <v>16514.0</v>
      </c>
    </row>
    <row r="263">
      <c r="A263" s="2">
        <v>44553.7033338426</v>
      </c>
      <c r="B263" s="4" t="s">
        <v>5</v>
      </c>
      <c r="C263" s="4" t="s">
        <v>15</v>
      </c>
      <c r="D263" s="4">
        <v>16514.0</v>
      </c>
    </row>
    <row r="264">
      <c r="A264" s="2">
        <v>44553.70373149306</v>
      </c>
      <c r="B264" s="4" t="s">
        <v>5</v>
      </c>
      <c r="C264" s="4" t="s">
        <v>15</v>
      </c>
      <c r="D264" s="4">
        <v>16514.0</v>
      </c>
    </row>
    <row r="265">
      <c r="A265" s="2">
        <v>44557.48212519676</v>
      </c>
      <c r="B265" s="4" t="s">
        <v>5</v>
      </c>
      <c r="C265" s="4" t="s">
        <v>14</v>
      </c>
      <c r="D265" s="4">
        <v>12012.0</v>
      </c>
    </row>
    <row r="266">
      <c r="A266" s="2">
        <v>44557.48251425926</v>
      </c>
      <c r="B266" s="4" t="s">
        <v>5</v>
      </c>
      <c r="C266" s="4" t="s">
        <v>14</v>
      </c>
      <c r="D266" s="4">
        <v>15737.0</v>
      </c>
    </row>
    <row r="267">
      <c r="A267" s="2">
        <v>44557.48280465278</v>
      </c>
      <c r="B267" s="4" t="s">
        <v>5</v>
      </c>
      <c r="C267" s="4" t="s">
        <v>14</v>
      </c>
      <c r="D267" s="4">
        <v>10323.0</v>
      </c>
    </row>
    <row r="268">
      <c r="A268" s="2">
        <v>44557.48312446759</v>
      </c>
      <c r="B268" s="4" t="s">
        <v>5</v>
      </c>
      <c r="C268" s="4" t="s">
        <v>14</v>
      </c>
      <c r="D268" s="4">
        <v>10941.0</v>
      </c>
    </row>
    <row r="269">
      <c r="A269" s="2">
        <v>44557.48330869213</v>
      </c>
      <c r="B269" s="4" t="s">
        <v>5</v>
      </c>
      <c r="C269" s="4" t="s">
        <v>12</v>
      </c>
      <c r="D269" s="4">
        <v>17282.0</v>
      </c>
    </row>
    <row r="270">
      <c r="A270" s="2">
        <v>44557.483402638885</v>
      </c>
      <c r="B270" s="4" t="s">
        <v>5</v>
      </c>
      <c r="C270" s="4" t="s">
        <v>14</v>
      </c>
      <c r="D270" s="4">
        <v>16478.0</v>
      </c>
    </row>
    <row r="271">
      <c r="A271" s="2">
        <v>44557.48364373842</v>
      </c>
      <c r="B271" s="4" t="s">
        <v>5</v>
      </c>
      <c r="C271" s="4" t="s">
        <v>14</v>
      </c>
      <c r="D271" s="4">
        <v>15092.0</v>
      </c>
    </row>
    <row r="272">
      <c r="A272" s="2">
        <v>44557.48410163194</v>
      </c>
      <c r="B272" s="4" t="s">
        <v>5</v>
      </c>
      <c r="C272" s="4" t="s">
        <v>14</v>
      </c>
      <c r="D272" s="4">
        <v>17318.0</v>
      </c>
    </row>
    <row r="273">
      <c r="A273" s="2">
        <v>44557.48438061343</v>
      </c>
      <c r="B273" s="4" t="s">
        <v>5</v>
      </c>
      <c r="C273" s="4" t="s">
        <v>13</v>
      </c>
      <c r="D273" s="4">
        <v>17253.0</v>
      </c>
    </row>
    <row r="274">
      <c r="A274" s="2">
        <v>44557.48441601852</v>
      </c>
      <c r="B274" s="4" t="s">
        <v>5</v>
      </c>
      <c r="C274" s="4" t="s">
        <v>14</v>
      </c>
      <c r="D274" s="4">
        <v>15948.0</v>
      </c>
    </row>
    <row r="275">
      <c r="A275" s="2">
        <v>44557.48467090278</v>
      </c>
      <c r="B275" s="4" t="s">
        <v>5</v>
      </c>
      <c r="C275" s="4" t="s">
        <v>14</v>
      </c>
      <c r="D275" s="4">
        <v>10519.0</v>
      </c>
    </row>
    <row r="276">
      <c r="A276" s="2">
        <v>44557.48482917824</v>
      </c>
      <c r="B276" s="4" t="s">
        <v>5</v>
      </c>
      <c r="C276" s="4" t="s">
        <v>12</v>
      </c>
      <c r="D276" s="4">
        <v>17669.0</v>
      </c>
    </row>
    <row r="277">
      <c r="A277" s="2">
        <v>44557.48520715278</v>
      </c>
      <c r="B277" s="4" t="s">
        <v>5</v>
      </c>
      <c r="C277" s="4" t="s">
        <v>14</v>
      </c>
      <c r="D277" s="4">
        <v>9645.0</v>
      </c>
    </row>
    <row r="278">
      <c r="A278" s="2">
        <v>44557.48551934028</v>
      </c>
      <c r="B278" s="4" t="s">
        <v>5</v>
      </c>
      <c r="C278" s="4" t="s">
        <v>14</v>
      </c>
      <c r="D278" s="4">
        <v>15665.0</v>
      </c>
    </row>
    <row r="279">
      <c r="A279" s="2">
        <v>44557.485789583334</v>
      </c>
      <c r="B279" s="4" t="s">
        <v>5</v>
      </c>
      <c r="C279" s="4" t="s">
        <v>14</v>
      </c>
      <c r="D279" s="4">
        <v>9359.0</v>
      </c>
    </row>
    <row r="280">
      <c r="A280" s="2">
        <v>44557.48606023148</v>
      </c>
      <c r="B280" s="4" t="s">
        <v>5</v>
      </c>
      <c r="C280" s="4" t="s">
        <v>14</v>
      </c>
      <c r="D280" s="4">
        <v>16000.0</v>
      </c>
    </row>
    <row r="281">
      <c r="A281" s="2">
        <v>44557.48630064815</v>
      </c>
      <c r="B281" s="4" t="s">
        <v>5</v>
      </c>
      <c r="C281" s="4" t="s">
        <v>14</v>
      </c>
      <c r="D281" s="4">
        <v>15606.0</v>
      </c>
    </row>
    <row r="282">
      <c r="A282" s="2">
        <v>44557.553863368055</v>
      </c>
      <c r="B282" s="4" t="s">
        <v>5</v>
      </c>
      <c r="C282" s="4" t="s">
        <v>14</v>
      </c>
      <c r="D282" s="4">
        <v>15412.0</v>
      </c>
    </row>
    <row r="283">
      <c r="A283" s="2">
        <v>44557.55398946759</v>
      </c>
      <c r="B283" s="4" t="s">
        <v>5</v>
      </c>
      <c r="C283" s="4" t="s">
        <v>14</v>
      </c>
      <c r="D283" s="4">
        <v>14075.0</v>
      </c>
    </row>
    <row r="284">
      <c r="A284" s="2">
        <v>44557.55480386574</v>
      </c>
      <c r="B284" s="4" t="s">
        <v>5</v>
      </c>
      <c r="C284" s="4" t="s">
        <v>14</v>
      </c>
      <c r="D284" s="4">
        <v>15412.0</v>
      </c>
    </row>
    <row r="285">
      <c r="A285" s="2">
        <v>44557.554924386575</v>
      </c>
      <c r="B285" s="4" t="s">
        <v>5</v>
      </c>
      <c r="C285" s="4" t="s">
        <v>14</v>
      </c>
      <c r="D285" s="4">
        <v>14075.0</v>
      </c>
    </row>
    <row r="286">
      <c r="A286" s="2">
        <v>44557.55845589121</v>
      </c>
      <c r="B286" s="4" t="s">
        <v>5</v>
      </c>
      <c r="C286" s="4" t="s">
        <v>14</v>
      </c>
      <c r="D286" s="4">
        <v>15591.0</v>
      </c>
    </row>
    <row r="287">
      <c r="A287" s="2">
        <v>44557.55996164352</v>
      </c>
      <c r="B287" s="4" t="s">
        <v>5</v>
      </c>
      <c r="C287" s="4" t="s">
        <v>14</v>
      </c>
      <c r="D287" s="4">
        <v>11933.0</v>
      </c>
    </row>
    <row r="288">
      <c r="A288" s="2">
        <v>44557.571541087964</v>
      </c>
      <c r="B288" s="4" t="s">
        <v>5</v>
      </c>
      <c r="C288" s="4" t="s">
        <v>14</v>
      </c>
      <c r="D288" s="4">
        <v>13488.0</v>
      </c>
    </row>
    <row r="289">
      <c r="A289" s="2">
        <v>44557.57710357639</v>
      </c>
      <c r="B289" s="4" t="s">
        <v>5</v>
      </c>
      <c r="C289" s="4" t="s">
        <v>14</v>
      </c>
      <c r="D289" s="4">
        <v>16810.0</v>
      </c>
    </row>
    <row r="290">
      <c r="A290" s="2">
        <v>44557.58388203704</v>
      </c>
      <c r="B290" s="4" t="s">
        <v>5</v>
      </c>
      <c r="C290" s="4" t="s">
        <v>14</v>
      </c>
      <c r="D290" s="4">
        <v>10047.0</v>
      </c>
    </row>
    <row r="291">
      <c r="A291" s="2">
        <v>44557.59150023149</v>
      </c>
      <c r="B291" s="4" t="s">
        <v>5</v>
      </c>
      <c r="C291" s="4" t="s">
        <v>14</v>
      </c>
      <c r="D291" s="4">
        <v>15102.0</v>
      </c>
    </row>
    <row r="292">
      <c r="A292" s="2">
        <v>44557.59205024305</v>
      </c>
      <c r="B292" s="4" t="s">
        <v>5</v>
      </c>
      <c r="C292" s="4" t="s">
        <v>13</v>
      </c>
      <c r="D292" s="4">
        <v>17787.0</v>
      </c>
    </row>
    <row r="293">
      <c r="A293" s="2">
        <v>44557.59292224537</v>
      </c>
      <c r="B293" s="4" t="s">
        <v>5</v>
      </c>
      <c r="C293" s="4" t="s">
        <v>12</v>
      </c>
      <c r="D293" s="4">
        <v>17701.0</v>
      </c>
    </row>
    <row r="294">
      <c r="A294" s="2">
        <v>44557.59372443287</v>
      </c>
      <c r="B294" s="4" t="s">
        <v>5</v>
      </c>
      <c r="C294" s="4" t="s">
        <v>14</v>
      </c>
      <c r="D294" s="4">
        <v>12459.0</v>
      </c>
    </row>
    <row r="295">
      <c r="A295" s="2">
        <v>44557.60445266204</v>
      </c>
      <c r="B295" s="4" t="s">
        <v>5</v>
      </c>
      <c r="C295" s="4" t="s">
        <v>14</v>
      </c>
      <c r="D295" s="4">
        <v>11637.0</v>
      </c>
    </row>
    <row r="296">
      <c r="A296" s="2">
        <v>44557.605122430556</v>
      </c>
      <c r="B296" s="4" t="s">
        <v>5</v>
      </c>
      <c r="C296" s="4" t="s">
        <v>14</v>
      </c>
      <c r="D296" s="4">
        <v>15520.0</v>
      </c>
    </row>
    <row r="297">
      <c r="A297" s="2">
        <v>44557.616284386575</v>
      </c>
      <c r="B297" s="4" t="s">
        <v>5</v>
      </c>
      <c r="C297" s="4" t="s">
        <v>12</v>
      </c>
      <c r="D297" s="4">
        <v>10649.0</v>
      </c>
    </row>
    <row r="298">
      <c r="A298" s="2">
        <v>44557.61704081019</v>
      </c>
      <c r="B298" s="4" t="s">
        <v>5</v>
      </c>
      <c r="C298" s="4" t="s">
        <v>13</v>
      </c>
      <c r="D298" s="4">
        <v>17696.0</v>
      </c>
    </row>
    <row r="299">
      <c r="A299" s="2">
        <v>44557.62076657407</v>
      </c>
      <c r="B299" s="4" t="s">
        <v>5</v>
      </c>
      <c r="C299" s="4" t="s">
        <v>14</v>
      </c>
      <c r="D299" s="4">
        <v>11181.0</v>
      </c>
    </row>
    <row r="300">
      <c r="A300" s="2">
        <v>44557.62843005787</v>
      </c>
      <c r="B300" s="4" t="s">
        <v>5</v>
      </c>
      <c r="C300" s="4" t="s">
        <v>14</v>
      </c>
      <c r="D300" s="4">
        <v>10623.0</v>
      </c>
    </row>
    <row r="301">
      <c r="A301" s="2">
        <v>44557.69630239584</v>
      </c>
      <c r="B301" s="4" t="s">
        <v>5</v>
      </c>
      <c r="C301" s="4" t="s">
        <v>14</v>
      </c>
      <c r="D301" s="4">
        <v>15637.0</v>
      </c>
    </row>
    <row r="302">
      <c r="A302" s="2">
        <v>44558.56408465278</v>
      </c>
      <c r="B302" s="4" t="s">
        <v>5</v>
      </c>
      <c r="C302" s="4" t="s">
        <v>14</v>
      </c>
      <c r="D302" s="4">
        <v>14356.0</v>
      </c>
    </row>
    <row r="303">
      <c r="A303" s="2">
        <v>44558.56431025463</v>
      </c>
      <c r="B303" s="4" t="s">
        <v>5</v>
      </c>
      <c r="C303" s="4" t="s">
        <v>14</v>
      </c>
      <c r="D303" s="4">
        <v>10145.0</v>
      </c>
    </row>
    <row r="304">
      <c r="A304" s="2">
        <v>44558.57246052084</v>
      </c>
      <c r="B304" s="4" t="s">
        <v>5</v>
      </c>
      <c r="C304" s="4" t="s">
        <v>14</v>
      </c>
      <c r="D304" s="4">
        <v>14486.0</v>
      </c>
    </row>
    <row r="305">
      <c r="A305" s="2">
        <v>44558.57397519676</v>
      </c>
      <c r="B305" s="4" t="s">
        <v>5</v>
      </c>
      <c r="C305" s="4" t="s">
        <v>14</v>
      </c>
      <c r="D305" s="4">
        <v>13909.0</v>
      </c>
    </row>
    <row r="306">
      <c r="A306" s="2">
        <v>44558.59201815972</v>
      </c>
      <c r="B306" s="4" t="s">
        <v>5</v>
      </c>
      <c r="C306" s="4" t="s">
        <v>14</v>
      </c>
      <c r="D306" s="4">
        <v>10416.0</v>
      </c>
    </row>
    <row r="307">
      <c r="A307" s="2">
        <v>44558.59237950231</v>
      </c>
      <c r="B307" s="4" t="s">
        <v>5</v>
      </c>
      <c r="C307" s="4" t="s">
        <v>14</v>
      </c>
      <c r="D307" s="4">
        <v>15642.0</v>
      </c>
    </row>
    <row r="308">
      <c r="A308" s="2">
        <v>44558.59307361111</v>
      </c>
      <c r="B308" s="4" t="s">
        <v>5</v>
      </c>
      <c r="C308" s="4" t="s">
        <v>14</v>
      </c>
      <c r="D308" s="4">
        <v>15706.0</v>
      </c>
    </row>
    <row r="309">
      <c r="A309" s="2">
        <v>44558.593621747685</v>
      </c>
      <c r="B309" s="4" t="s">
        <v>5</v>
      </c>
      <c r="C309" s="4" t="s">
        <v>14</v>
      </c>
      <c r="D309" s="4">
        <v>9139.0</v>
      </c>
    </row>
    <row r="310">
      <c r="A310" s="2">
        <v>44558.59662175926</v>
      </c>
      <c r="B310" s="4" t="s">
        <v>5</v>
      </c>
      <c r="C310" s="4" t="s">
        <v>14</v>
      </c>
      <c r="D310" s="4">
        <v>15519.0</v>
      </c>
    </row>
    <row r="311">
      <c r="A311" s="2">
        <v>44558.59698494213</v>
      </c>
      <c r="B311" s="4" t="s">
        <v>5</v>
      </c>
      <c r="C311" s="4" t="s">
        <v>14</v>
      </c>
      <c r="D311" s="4">
        <v>10708.0</v>
      </c>
    </row>
    <row r="312">
      <c r="A312" s="2">
        <v>44558.59728392361</v>
      </c>
      <c r="B312" s="4" t="s">
        <v>5</v>
      </c>
      <c r="C312" s="4" t="s">
        <v>14</v>
      </c>
      <c r="D312" s="4">
        <v>15907.0</v>
      </c>
    </row>
    <row r="313">
      <c r="A313" s="2">
        <v>44558.59745800926</v>
      </c>
      <c r="B313" s="4" t="s">
        <v>5</v>
      </c>
      <c r="C313" s="4" t="s">
        <v>14</v>
      </c>
      <c r="D313" s="4">
        <v>15607.0</v>
      </c>
    </row>
    <row r="314">
      <c r="A314" s="2">
        <v>44558.597796041664</v>
      </c>
      <c r="B314" s="4" t="s">
        <v>5</v>
      </c>
      <c r="C314" s="4" t="s">
        <v>14</v>
      </c>
      <c r="D314" s="4">
        <v>15584.0</v>
      </c>
    </row>
    <row r="315">
      <c r="A315" s="2">
        <v>44558.598100613424</v>
      </c>
      <c r="B315" s="4" t="s">
        <v>5</v>
      </c>
      <c r="C315" s="4" t="s">
        <v>14</v>
      </c>
      <c r="D315" s="4">
        <v>15219.0</v>
      </c>
    </row>
    <row r="316">
      <c r="A316" s="2">
        <v>44558.598434988424</v>
      </c>
      <c r="B316" s="4" t="s">
        <v>5</v>
      </c>
      <c r="C316" s="4" t="s">
        <v>14</v>
      </c>
      <c r="D316" s="4">
        <v>11152.0</v>
      </c>
    </row>
    <row r="317">
      <c r="A317" s="2">
        <v>44558.61407408565</v>
      </c>
      <c r="B317" s="4" t="s">
        <v>5</v>
      </c>
      <c r="C317" s="4" t="s">
        <v>14</v>
      </c>
      <c r="D317" s="4">
        <v>16294.0</v>
      </c>
    </row>
    <row r="318">
      <c r="A318" s="2">
        <v>44558.635147696754</v>
      </c>
      <c r="B318" s="4" t="s">
        <v>5</v>
      </c>
      <c r="C318" s="4" t="s">
        <v>13</v>
      </c>
      <c r="D318" s="4">
        <v>17773.0</v>
      </c>
    </row>
    <row r="319">
      <c r="A319" s="2">
        <v>44558.635339733795</v>
      </c>
      <c r="B319" s="4" t="s">
        <v>5</v>
      </c>
      <c r="C319" s="4" t="s">
        <v>12</v>
      </c>
      <c r="D319" s="4">
        <v>14372.0</v>
      </c>
    </row>
    <row r="320">
      <c r="A320" s="2">
        <v>44558.637816284725</v>
      </c>
      <c r="B320" s="4" t="s">
        <v>5</v>
      </c>
      <c r="C320" s="4" t="s">
        <v>14</v>
      </c>
      <c r="D320" s="4">
        <v>13956.0</v>
      </c>
    </row>
    <row r="321">
      <c r="A321" s="2">
        <v>44558.644613171295</v>
      </c>
      <c r="B321" s="4" t="s">
        <v>5</v>
      </c>
      <c r="C321" s="4" t="s">
        <v>14</v>
      </c>
      <c r="D321" s="4">
        <v>17508.0</v>
      </c>
    </row>
    <row r="322">
      <c r="A322" s="2">
        <v>44558.66000859954</v>
      </c>
      <c r="B322" s="4" t="s">
        <v>5</v>
      </c>
      <c r="C322" s="4" t="s">
        <v>14</v>
      </c>
      <c r="D322" s="4">
        <v>16731.0</v>
      </c>
    </row>
    <row r="323">
      <c r="A323" s="2">
        <v>44558.66823957176</v>
      </c>
      <c r="B323" s="4" t="s">
        <v>5</v>
      </c>
      <c r="C323" s="4" t="s">
        <v>13</v>
      </c>
      <c r="D323" s="4">
        <v>9421.0</v>
      </c>
    </row>
    <row r="324">
      <c r="A324" s="2">
        <v>44558.71091771991</v>
      </c>
      <c r="B324" s="4" t="s">
        <v>5</v>
      </c>
      <c r="C324" s="4" t="s">
        <v>14</v>
      </c>
      <c r="D324" s="4">
        <v>13348.0</v>
      </c>
    </row>
    <row r="325">
      <c r="A325" s="2">
        <v>44559.548066076386</v>
      </c>
      <c r="B325" s="4" t="s">
        <v>5</v>
      </c>
      <c r="C325" s="4" t="s">
        <v>11</v>
      </c>
      <c r="D325" s="4">
        <v>17710.0</v>
      </c>
    </row>
    <row r="326">
      <c r="A326" s="2">
        <v>44559.56734296297</v>
      </c>
      <c r="B326" s="4" t="s">
        <v>5</v>
      </c>
      <c r="C326" s="4" t="s">
        <v>14</v>
      </c>
      <c r="D326" s="4">
        <v>13299.0</v>
      </c>
    </row>
    <row r="327">
      <c r="A327" s="2">
        <v>44559.5721630787</v>
      </c>
      <c r="B327" s="4" t="s">
        <v>5</v>
      </c>
      <c r="C327" s="4" t="s">
        <v>14</v>
      </c>
      <c r="D327" s="4">
        <v>15657.0</v>
      </c>
    </row>
    <row r="328">
      <c r="A328" s="2">
        <v>44559.59795945602</v>
      </c>
      <c r="B328" s="4" t="s">
        <v>5</v>
      </c>
      <c r="C328" s="4" t="s">
        <v>14</v>
      </c>
      <c r="D328" s="4">
        <v>11433.0</v>
      </c>
    </row>
    <row r="329">
      <c r="A329" s="2">
        <v>44559.63094328703</v>
      </c>
      <c r="B329" s="4" t="s">
        <v>5</v>
      </c>
      <c r="C329" s="4" t="s">
        <v>14</v>
      </c>
      <c r="D329" s="4">
        <v>15579.0</v>
      </c>
    </row>
    <row r="330">
      <c r="A330" s="2">
        <v>44559.639426863425</v>
      </c>
      <c r="B330" s="4" t="s">
        <v>5</v>
      </c>
      <c r="C330" s="4" t="s">
        <v>14</v>
      </c>
      <c r="D330" s="4">
        <v>17710.0</v>
      </c>
    </row>
    <row r="331">
      <c r="A331" s="2">
        <v>44559.63970482639</v>
      </c>
      <c r="B331" s="4" t="s">
        <v>5</v>
      </c>
      <c r="C331" s="4" t="s">
        <v>14</v>
      </c>
      <c r="D331" s="4">
        <v>15668.0</v>
      </c>
    </row>
    <row r="332">
      <c r="A332" s="2">
        <v>44559.63991391203</v>
      </c>
      <c r="B332" s="4" t="s">
        <v>5</v>
      </c>
      <c r="C332" s="4" t="s">
        <v>14</v>
      </c>
      <c r="D332" s="4">
        <v>13853.0</v>
      </c>
    </row>
    <row r="333">
      <c r="A333" s="2">
        <v>44559.64507489583</v>
      </c>
      <c r="B333" s="4" t="s">
        <v>5</v>
      </c>
      <c r="C333" s="4" t="s">
        <v>14</v>
      </c>
      <c r="D333" s="4">
        <v>11004.0</v>
      </c>
    </row>
    <row r="334">
      <c r="A334" s="2">
        <v>44559.646294502316</v>
      </c>
      <c r="B334" s="4" t="s">
        <v>5</v>
      </c>
      <c r="C334" s="4" t="s">
        <v>14</v>
      </c>
      <c r="D334" s="4">
        <v>10718.0</v>
      </c>
    </row>
    <row r="335">
      <c r="A335" s="2">
        <v>44559.646409953704</v>
      </c>
      <c r="B335" s="4" t="s">
        <v>5</v>
      </c>
      <c r="C335" s="4" t="s">
        <v>14</v>
      </c>
      <c r="D335" s="4">
        <v>12790.0</v>
      </c>
    </row>
    <row r="336">
      <c r="A336" s="2">
        <v>44559.64778375</v>
      </c>
      <c r="B336" s="4" t="s">
        <v>5</v>
      </c>
      <c r="C336" s="4" t="s">
        <v>14</v>
      </c>
      <c r="D336" s="4">
        <v>15291.0</v>
      </c>
    </row>
    <row r="337">
      <c r="A337" s="2">
        <v>44559.64792135417</v>
      </c>
      <c r="B337" s="4" t="s">
        <v>5</v>
      </c>
      <c r="C337" s="4" t="s">
        <v>14</v>
      </c>
      <c r="D337" s="4">
        <v>11795.0</v>
      </c>
    </row>
    <row r="338">
      <c r="A338" s="2">
        <v>44559.648025347225</v>
      </c>
      <c r="B338" s="4" t="s">
        <v>5</v>
      </c>
      <c r="C338" s="4" t="s">
        <v>14</v>
      </c>
      <c r="D338" s="4">
        <v>13656.0</v>
      </c>
    </row>
    <row r="339">
      <c r="A339" s="2">
        <v>44559.64813027778</v>
      </c>
      <c r="B339" s="4" t="s">
        <v>5</v>
      </c>
      <c r="C339" s="4" t="s">
        <v>14</v>
      </c>
      <c r="D339" s="4">
        <v>14010.0</v>
      </c>
    </row>
    <row r="340">
      <c r="A340" s="2">
        <v>44559.648947685186</v>
      </c>
      <c r="B340" s="4" t="s">
        <v>5</v>
      </c>
      <c r="C340" s="4" t="s">
        <v>14</v>
      </c>
      <c r="D340" s="4">
        <v>15787.0</v>
      </c>
    </row>
    <row r="341">
      <c r="A341" s="2">
        <v>44559.65022275463</v>
      </c>
      <c r="B341" s="4" t="s">
        <v>5</v>
      </c>
      <c r="C341" s="4" t="s">
        <v>14</v>
      </c>
      <c r="D341" s="4">
        <v>16247.0</v>
      </c>
    </row>
    <row r="342">
      <c r="A342" s="2">
        <v>44559.6503612963</v>
      </c>
      <c r="B342" s="4" t="s">
        <v>5</v>
      </c>
      <c r="C342" s="4" t="s">
        <v>14</v>
      </c>
      <c r="D342" s="4">
        <v>15786.0</v>
      </c>
    </row>
    <row r="343">
      <c r="A343" s="2">
        <v>44559.65057615741</v>
      </c>
      <c r="B343" s="4" t="s">
        <v>5</v>
      </c>
      <c r="C343" s="4" t="s">
        <v>14</v>
      </c>
      <c r="D343" s="4">
        <v>14663.0</v>
      </c>
    </row>
    <row r="344">
      <c r="A344" s="2">
        <v>44559.65777476852</v>
      </c>
      <c r="B344" s="4" t="s">
        <v>5</v>
      </c>
      <c r="C344" s="4" t="s">
        <v>13</v>
      </c>
      <c r="D344" s="4">
        <v>12592.0</v>
      </c>
    </row>
    <row r="345">
      <c r="A345" s="2">
        <v>44559.657928182874</v>
      </c>
      <c r="B345" s="4" t="s">
        <v>5</v>
      </c>
      <c r="C345" s="4" t="s">
        <v>13</v>
      </c>
      <c r="D345" s="4">
        <v>10158.0</v>
      </c>
    </row>
    <row r="346">
      <c r="A346" s="2">
        <v>44559.66732854166</v>
      </c>
      <c r="B346" s="4" t="s">
        <v>5</v>
      </c>
      <c r="C346" s="4" t="s">
        <v>14</v>
      </c>
      <c r="D346" s="4">
        <v>12083.0</v>
      </c>
    </row>
    <row r="347">
      <c r="A347" s="2">
        <v>44559.66742556713</v>
      </c>
      <c r="B347" s="4" t="s">
        <v>5</v>
      </c>
      <c r="C347" s="4" t="s">
        <v>14</v>
      </c>
      <c r="D347" s="4">
        <v>13606.0</v>
      </c>
    </row>
    <row r="348">
      <c r="A348" s="2">
        <v>44559.68625747685</v>
      </c>
      <c r="B348" s="4" t="s">
        <v>5</v>
      </c>
      <c r="C348" s="4" t="s">
        <v>13</v>
      </c>
      <c r="D348" s="4">
        <v>9269.0</v>
      </c>
    </row>
    <row r="349">
      <c r="A349" s="2">
        <v>44564.57714001158</v>
      </c>
      <c r="B349" s="4" t="s">
        <v>5</v>
      </c>
      <c r="C349" s="4" t="s">
        <v>13</v>
      </c>
      <c r="D349" s="4">
        <v>17678.0</v>
      </c>
    </row>
    <row r="350">
      <c r="A350" s="2">
        <v>44564.577284722225</v>
      </c>
      <c r="B350" s="4" t="s">
        <v>5</v>
      </c>
      <c r="C350" s="4" t="s">
        <v>13</v>
      </c>
      <c r="D350" s="4">
        <v>17812.0</v>
      </c>
    </row>
    <row r="351">
      <c r="A351" s="2">
        <v>44564.577405648146</v>
      </c>
      <c r="B351" s="4" t="s">
        <v>5</v>
      </c>
      <c r="C351" s="4" t="s">
        <v>13</v>
      </c>
      <c r="D351" s="4">
        <v>17814.0</v>
      </c>
    </row>
    <row r="352">
      <c r="A352" s="2">
        <v>44564.59102920139</v>
      </c>
      <c r="B352" s="4" t="s">
        <v>5</v>
      </c>
      <c r="C352" s="4" t="s">
        <v>13</v>
      </c>
      <c r="D352" s="4">
        <v>14125.0</v>
      </c>
    </row>
    <row r="353">
      <c r="A353" s="2">
        <v>44564.59526311343</v>
      </c>
      <c r="B353" s="4" t="s">
        <v>5</v>
      </c>
      <c r="C353" s="4" t="s">
        <v>13</v>
      </c>
      <c r="D353" s="4">
        <v>15670.0</v>
      </c>
    </row>
    <row r="354">
      <c r="A354" s="2">
        <v>44564.67561868056</v>
      </c>
      <c r="B354" s="4" t="s">
        <v>5</v>
      </c>
      <c r="C354" s="4" t="s">
        <v>13</v>
      </c>
      <c r="D354" s="4">
        <v>9592.0</v>
      </c>
    </row>
  </sheetData>
  <hyperlinks>
    <hyperlink r:id="rId1" ref="D2"/>
    <hyperlink r:id="rId2" ref="D3"/>
    <hyperlink r:id="rId3" ref="D4"/>
    <hyperlink r:id="rId4" ref="D11"/>
    <hyperlink r:id="rId5" ref="D20"/>
  </hyperlinks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4.43" defaultRowHeight="15.75"/>
  <cols>
    <col customWidth="1" min="1" max="1" width="15.14"/>
    <col customWidth="1" min="2" max="2" width="10.0"/>
    <col customWidth="1" min="3" max="3" width="7.0"/>
    <col customWidth="1" min="4" max="4" width="18.57"/>
    <col customWidth="1" min="5" max="6" width="10.86"/>
  </cols>
  <sheetData>
    <row r="1" hidden="1">
      <c r="A1" s="5" t="s">
        <v>18</v>
      </c>
      <c r="B1" s="6" t="str">
        <f>ifs($A1=FALSE,"",$A1,VLOOKUP($A1,SCAN!A:D,4,0))</f>
        <v>#VALUE!</v>
      </c>
      <c r="C1" s="7" t="str">
        <f>ifs($A1, DATEVALUE($A1),$A1=FALSE,"")</f>
        <v>#VALUE!</v>
      </c>
      <c r="D1" s="8" t="s">
        <v>19</v>
      </c>
      <c r="E1" s="9" t="str">
        <f>ifs($D1="","",countif('VISIT DATA'!$A:$A,$D1)=countif(D:D,$D1),"YES",countif('VISIT DATA'!$A:$A,$D1)=0,"NO")</f>
        <v>NO</v>
      </c>
      <c r="F1" s="9" t="str">
        <f>ifs($A1=FALSE,"",$A1,VLOOKUP($A1,SCAN!A:D,3,0))</f>
        <v>#VALUE!</v>
      </c>
    </row>
    <row r="2">
      <c r="A2" s="10" t="s">
        <v>20</v>
      </c>
      <c r="B2" s="11" t="s">
        <v>21</v>
      </c>
      <c r="C2" s="12" t="s">
        <v>21</v>
      </c>
      <c r="D2" s="13"/>
      <c r="E2" s="14" t="s">
        <v>22</v>
      </c>
      <c r="F2" s="15" t="s">
        <v>23</v>
      </c>
    </row>
    <row r="3">
      <c r="A3" s="16">
        <f>IFERROR(__xludf.DUMMYFUNCTION("UNIQUE(SORTN(FILTER(SCAN!A:A,SCAN!B:B=""UA""),1,3,0,FALSE))"),44544.417180069446)</f>
        <v>44544.41718</v>
      </c>
      <c r="B3" s="6" t="str">
        <f>ifs($A3=FALSE,"",$A3,VLOOKUP($A3,SCAN!A:D,4,0))</f>
        <v>[okj</v>
      </c>
      <c r="C3" s="7">
        <f t="shared" ref="C3:C500" si="1">ifs($A3, DATEVALUE($A3),$A3=FALSE,"")</f>
        <v>44544</v>
      </c>
      <c r="D3" s="17" t="str">
        <f t="shared" ref="D3:D311" si="2">IFS($A3,$B3&amp;$C3,$A3=false,"")</f>
        <v>[okj44544</v>
      </c>
      <c r="E3" s="9" t="str">
        <f>ifs($D3="","",countif('VISIT DATA'!$A:$A,$D3)=countif(D:D,$D3),"YES",countif('VISIT DATA'!$A:$A,$D3)=0,"NO",and(countif(D:D,$D3)&gt;1,countif('VISIT DATA'!$A:$A,$D3)&gt;=1),"YES",countif('VISIT DATA'!$A:$A,$D3)=countif(D:D,$D3),"YES")</f>
        <v>NO</v>
      </c>
      <c r="F3" s="9" t="str">
        <f>ifs($A3=FALSE,"",$A3,VLOOKUP($A3,SCAN!A:D,3,0))</f>
        <v/>
      </c>
    </row>
    <row r="4">
      <c r="A4" s="16">
        <f>IFERROR(__xludf.DUMMYFUNCTION("""COMPUTED_VALUE"""),44544.42182773148)</f>
        <v>44544.42183</v>
      </c>
      <c r="B4" s="6" t="str">
        <f>ifs($A4=FALSE,"",$A4,VLOOKUP($A4,SCAN!A:D,4,0))</f>
        <v>NOTES</v>
      </c>
      <c r="C4" s="7">
        <f t="shared" si="1"/>
        <v>44544</v>
      </c>
      <c r="D4" s="17" t="str">
        <f t="shared" si="2"/>
        <v>NOTES44544</v>
      </c>
      <c r="E4" s="9" t="str">
        <f>ifs($D4="","",countif('VISIT DATA'!$A:$A,$D4)=countif(D:D,$D4),"YES",countif('VISIT DATA'!$A:$A,$D4)=0,"NO",and(countif(D:D,$D4)&gt;1,countif('VISIT DATA'!$A:$A,$D4)&gt;=1),"YES",countif('VISIT DATA'!$A:$A,$D4)=countif(D:D,$D4),"YES")</f>
        <v>NO</v>
      </c>
      <c r="F4" s="9" t="str">
        <f>ifs($A4=FALSE,"",$A4,VLOOKUP($A4,SCAN!A:D,3,0))</f>
        <v/>
      </c>
    </row>
    <row r="5">
      <c r="A5" s="18">
        <f>IFERROR(__xludf.DUMMYFUNCTION("""COMPUTED_VALUE"""),44544.42272107639)</f>
        <v>44544.42272</v>
      </c>
      <c r="B5" s="6">
        <f>ifs($A5=FALSE,"",$A5,VLOOKUP($A5,SCAN!A:D,4,0))</f>
        <v>1106544544</v>
      </c>
      <c r="C5" s="7">
        <f t="shared" si="1"/>
        <v>44544</v>
      </c>
      <c r="D5" s="17" t="str">
        <f t="shared" si="2"/>
        <v>110654454444544</v>
      </c>
      <c r="E5" s="9" t="str">
        <f>ifs($D5="","",countif('VISIT DATA'!$A:$A,$D5)=countif(D:D,$D5),"YES",countif('VISIT DATA'!$A:$A,$D5)=0,"NO",and(countif(D:D,$D5)&gt;1,countif('VISIT DATA'!$A:$A,$D5)&gt;=1),"YES",countif('VISIT DATA'!$A:$A,$D5)=countif(D:D,$D5),"YES")</f>
        <v>NO</v>
      </c>
      <c r="F5" s="9" t="str">
        <f>ifs($A5=FALSE,"",$A5,VLOOKUP($A5,SCAN!A:D,3,0))</f>
        <v/>
      </c>
    </row>
    <row r="6">
      <c r="A6" s="16">
        <f>IFERROR(__xludf.DUMMYFUNCTION("""COMPUTED_VALUE"""),44544.439013483796)</f>
        <v>44544.43901</v>
      </c>
      <c r="B6" s="6">
        <f>ifs($A6=FALSE,"",$A6,VLOOKUP($A6,SCAN!A:D,4,0))</f>
        <v>10037</v>
      </c>
      <c r="C6" s="7">
        <f t="shared" si="1"/>
        <v>44544</v>
      </c>
      <c r="D6" s="17" t="str">
        <f t="shared" si="2"/>
        <v>1003744544</v>
      </c>
      <c r="E6" s="9" t="str">
        <f>ifs($D6="","",countif('VISIT DATA'!$A:$A,$D6)=countif(D:D,$D6),"YES",countif('VISIT DATA'!$A:$A,$D6)=0,"NO",and(countif(D:D,$D6)&gt;1,countif('VISIT DATA'!$A:$A,$D6)&gt;=1),"YES",countif('VISIT DATA'!$A:$A,$D6)=countif(D:D,$D6),"YES")</f>
        <v>NO</v>
      </c>
      <c r="F6" s="9" t="str">
        <f>ifs($A6=FALSE,"",$A6,VLOOKUP($A6,SCAN!A:D,3,0))</f>
        <v/>
      </c>
    </row>
    <row r="7">
      <c r="A7" s="16">
        <f>IFERROR(__xludf.DUMMYFUNCTION("""COMPUTED_VALUE"""),44544.4407766088)</f>
        <v>44544.44078</v>
      </c>
      <c r="B7" s="6">
        <f>ifs($A7=FALSE,"",$A7,VLOOKUP($A7,SCAN!A:D,4,0))</f>
        <v>10028</v>
      </c>
      <c r="C7" s="7">
        <f t="shared" si="1"/>
        <v>44544</v>
      </c>
      <c r="D7" s="17" t="str">
        <f t="shared" si="2"/>
        <v>1002844544</v>
      </c>
      <c r="E7" s="9" t="str">
        <f>ifs($D7="","",countif('VISIT DATA'!$A:$A,$D7)=countif(D:D,$D7),"YES",countif('VISIT DATA'!$A:$A,$D7)=0,"NO",and(countif(D:D,$D7)&gt;1,countif('VISIT DATA'!$A:$A,$D7)&gt;=1),"YES",countif('VISIT DATA'!$A:$A,$D7)=countif(D:D,$D7),"YES")</f>
        <v>NO</v>
      </c>
      <c r="F7" s="9" t="str">
        <f>ifs($A7=FALSE,"",$A7,VLOOKUP($A7,SCAN!A:D,3,0))</f>
        <v/>
      </c>
    </row>
    <row r="8">
      <c r="A8" s="16">
        <f>IFERROR(__xludf.DUMMYFUNCTION("""COMPUTED_VALUE"""),44544.4671415162)</f>
        <v>44544.46714</v>
      </c>
      <c r="B8" s="6">
        <f>ifs($A8=FALSE,"",$A8,VLOOKUP($A8,SCAN!A:D,4,0))</f>
        <v>12345</v>
      </c>
      <c r="C8" s="7">
        <f t="shared" si="1"/>
        <v>44544</v>
      </c>
      <c r="D8" s="17" t="str">
        <f t="shared" si="2"/>
        <v>1234544544</v>
      </c>
      <c r="E8" s="9" t="str">
        <f>ifs($D8="","",countif('VISIT DATA'!$A:$A,$D8)=countif(D:D,$D8),"YES",countif('VISIT DATA'!$A:$A,$D8)=0,"NO",and(countif(D:D,$D8)&gt;1,countif('VISIT DATA'!$A:$A,$D8)&gt;=1),"YES",countif('VISIT DATA'!$A:$A,$D8)=countif(D:D,$D8),"YES")</f>
        <v>NO</v>
      </c>
      <c r="F8" s="9" t="str">
        <f>ifs($A8=FALSE,"",$A8,VLOOKUP($A8,SCAN!A:D,3,0))</f>
        <v/>
      </c>
    </row>
    <row r="9">
      <c r="A9" s="16">
        <f>IFERROR(__xludf.DUMMYFUNCTION("""COMPUTED_VALUE"""),44544.51924418981)</f>
        <v>44544.51924</v>
      </c>
      <c r="B9" s="6">
        <f>ifs($A9=FALSE,"",$A9,VLOOKUP($A9,SCAN!A:D,4,0))</f>
        <v>17502</v>
      </c>
      <c r="C9" s="7">
        <f t="shared" si="1"/>
        <v>44544</v>
      </c>
      <c r="D9" s="17" t="str">
        <f t="shared" si="2"/>
        <v>1750244544</v>
      </c>
      <c r="E9" s="9" t="str">
        <f>ifs($D9="","",countif('VISIT DATA'!$A:$A,$D9)=countif(D:D,$D9),"YES",countif('VISIT DATA'!$A:$A,$D9)=0,"NO",and(countif(D:D,$D9)&gt;1,countif('VISIT DATA'!$A:$A,$D9)&gt;=1),"YES",countif('VISIT DATA'!$A:$A,$D9)=countif(D:D,$D9),"YES")</f>
        <v>NO</v>
      </c>
      <c r="F9" s="9" t="str">
        <f>ifs($A9=FALSE,"",$A9,VLOOKUP($A9,SCAN!A:D,3,0))</f>
        <v/>
      </c>
    </row>
    <row r="10">
      <c r="A10" s="16">
        <f>IFERROR(__xludf.DUMMYFUNCTION("""COMPUTED_VALUE"""),44544.51961931713)</f>
        <v>44544.51962</v>
      </c>
      <c r="B10" s="6">
        <f>ifs($A10=FALSE,"",$A10,VLOOKUP($A10,SCAN!A:D,4,0))</f>
        <v>13946</v>
      </c>
      <c r="C10" s="7">
        <f t="shared" si="1"/>
        <v>44544</v>
      </c>
      <c r="D10" s="17" t="str">
        <f t="shared" si="2"/>
        <v>1394644544</v>
      </c>
      <c r="E10" s="9" t="str">
        <f>ifs($D10="","",countif('VISIT DATA'!$A:$A,$D10)=countif(D:D,$D10),"YES",countif('VISIT DATA'!$A:$A,$D10)=0,"NO",and(countif(D:D,$D10)&gt;1,countif('VISIT DATA'!$A:$A,$D10)&gt;=1),"YES",countif('VISIT DATA'!$A:$A,$D10)=countif(D:D,$D10),"YES")</f>
        <v>NO</v>
      </c>
      <c r="F10" s="9" t="str">
        <f>ifs($A10=FALSE,"",$A10,VLOOKUP($A10,SCAN!A:D,3,0))</f>
        <v/>
      </c>
    </row>
    <row r="11">
      <c r="A11" s="16">
        <f>IFERROR(__xludf.DUMMYFUNCTION("""COMPUTED_VALUE"""),44544.53195449074)</f>
        <v>44544.53195</v>
      </c>
      <c r="B11" s="6">
        <f>ifs($A11=FALSE,"",$A11,VLOOKUP($A11,SCAN!A:D,4,0))</f>
        <v>11315</v>
      </c>
      <c r="C11" s="7">
        <f t="shared" si="1"/>
        <v>44544</v>
      </c>
      <c r="D11" s="17" t="str">
        <f t="shared" si="2"/>
        <v>1131544544</v>
      </c>
      <c r="E11" s="9" t="str">
        <f>ifs($D11="","",countif('VISIT DATA'!$A:$A,$D11)=countif(D:D,$D11),"YES",countif('VISIT DATA'!$A:$A,$D11)=0,"NO",and(countif(D:D,$D11)&gt;1,countif('VISIT DATA'!$A:$A,$D11)&gt;=1),"YES",countif('VISIT DATA'!$A:$A,$D11)=countif(D:D,$D11),"YES")</f>
        <v>NO</v>
      </c>
      <c r="F11" s="9" t="str">
        <f>ifs($A11=FALSE,"",$A11,VLOOKUP($A11,SCAN!A:D,3,0))</f>
        <v/>
      </c>
    </row>
    <row r="12">
      <c r="A12" s="16">
        <f>IFERROR(__xludf.DUMMYFUNCTION("""COMPUTED_VALUE"""),44544.588309004626)</f>
        <v>44544.58831</v>
      </c>
      <c r="B12" s="6">
        <f>ifs($A12=FALSE,"",$A12,VLOOKUP($A12,SCAN!A:D,4,0))</f>
        <v>16125</v>
      </c>
      <c r="C12" s="7">
        <f t="shared" si="1"/>
        <v>44544</v>
      </c>
      <c r="D12" s="17" t="str">
        <f t="shared" si="2"/>
        <v>1612544544</v>
      </c>
      <c r="E12" s="9" t="str">
        <f>ifs($D12="","",countif('VISIT DATA'!$A:$A,$D12)=countif(D:D,$D12),"YES",countif('VISIT DATA'!$A:$A,$D12)=0,"NO",and(countif(D:D,$D12)&gt;1,countif('VISIT DATA'!$A:$A,$D12)&gt;=1),"YES",countif('VISIT DATA'!$A:$A,$D12)=countif(D:D,$D12),"YES")</f>
        <v>NO</v>
      </c>
      <c r="F12" s="9" t="str">
        <f>ifs($A12=FALSE,"",$A12,VLOOKUP($A12,SCAN!A:D,3,0))</f>
        <v/>
      </c>
    </row>
    <row r="13">
      <c r="A13" s="18">
        <f>IFERROR(__xludf.DUMMYFUNCTION("""COMPUTED_VALUE"""),44544.58890203704)</f>
        <v>44544.5889</v>
      </c>
      <c r="B13" s="6">
        <f>ifs($A13=FALSE,"",$A13,VLOOKUP($A13,SCAN!A:D,4,0))</f>
        <v>10114</v>
      </c>
      <c r="C13" s="7">
        <f t="shared" si="1"/>
        <v>44544</v>
      </c>
      <c r="D13" s="17" t="str">
        <f t="shared" si="2"/>
        <v>1011444544</v>
      </c>
      <c r="E13" s="9" t="str">
        <f>ifs($D13="","",countif('VISIT DATA'!$A:$A,$D13)=countif(D:D,$D13),"YES",countif('VISIT DATA'!$A:$A,$D13)=0,"NO",and(countif(D:D,$D13)&gt;1,countif('VISIT DATA'!$A:$A,$D13)&gt;=1),"YES",countif('VISIT DATA'!$A:$A,$D13)=countif(D:D,$D13),"YES")</f>
        <v>NO</v>
      </c>
      <c r="F13" s="9" t="str">
        <f>ifs($A13=FALSE,"",$A13,VLOOKUP($A13,SCAN!A:D,3,0))</f>
        <v/>
      </c>
    </row>
    <row r="14">
      <c r="A14" s="16">
        <f>IFERROR(__xludf.DUMMYFUNCTION("""COMPUTED_VALUE"""),44544.590227465276)</f>
        <v>44544.59023</v>
      </c>
      <c r="B14" s="6">
        <f>ifs($A14=FALSE,"",$A14,VLOOKUP($A14,SCAN!A:D,4,0))</f>
        <v>17571</v>
      </c>
      <c r="C14" s="7">
        <f t="shared" si="1"/>
        <v>44544</v>
      </c>
      <c r="D14" s="17" t="str">
        <f t="shared" si="2"/>
        <v>1757144544</v>
      </c>
      <c r="E14" s="9" t="str">
        <f>ifs($D14="","",countif('VISIT DATA'!$A:$A,$D14)=countif(D:D,$D14),"YES",countif('VISIT DATA'!$A:$A,$D14)=0,"NO",and(countif(D:D,$D14)&gt;1,countif('VISIT DATA'!$A:$A,$D14)&gt;=1),"YES",countif('VISIT DATA'!$A:$A,$D14)=countif(D:D,$D14),"YES")</f>
        <v>NO</v>
      </c>
      <c r="F14" s="9" t="str">
        <f>ifs($A14=FALSE,"",$A14,VLOOKUP($A14,SCAN!A:D,3,0))</f>
        <v/>
      </c>
    </row>
    <row r="15">
      <c r="A15" s="16">
        <f>IFERROR(__xludf.DUMMYFUNCTION("""COMPUTED_VALUE"""),44544.72142825232)</f>
        <v>44544.72143</v>
      </c>
      <c r="B15" s="6">
        <f>ifs($A15=FALSE,"",$A15,VLOOKUP($A15,SCAN!A:D,4,0))</f>
        <v>16567</v>
      </c>
      <c r="C15" s="7">
        <f t="shared" si="1"/>
        <v>44544</v>
      </c>
      <c r="D15" s="17" t="str">
        <f t="shared" si="2"/>
        <v>1656744544</v>
      </c>
      <c r="E15" s="9" t="str">
        <f>ifs($D15="","",countif('VISIT DATA'!$A:$A,$D15)=countif(D:D,$D15),"YES",countif('VISIT DATA'!$A:$A,$D15)=0,"NO",and(countif(D:D,$D15)&gt;1,countif('VISIT DATA'!$A:$A,$D15)&gt;=1),"YES",countif('VISIT DATA'!$A:$A,$D15)=countif(D:D,$D15),"YES")</f>
        <v>NO</v>
      </c>
      <c r="F15" s="9" t="str">
        <f>ifs($A15=FALSE,"",$A15,VLOOKUP($A15,SCAN!A:D,3,0))</f>
        <v/>
      </c>
    </row>
    <row r="16">
      <c r="A16" s="16">
        <f>IFERROR(__xludf.DUMMYFUNCTION("""COMPUTED_VALUE"""),44544.93996614583)</f>
        <v>44544.93997</v>
      </c>
      <c r="B16" s="6">
        <f>ifs($A16=FALSE,"",$A16,VLOOKUP($A16,SCAN!A:D,4,0))</f>
        <v>10115</v>
      </c>
      <c r="C16" s="7">
        <f t="shared" si="1"/>
        <v>44544</v>
      </c>
      <c r="D16" s="17" t="str">
        <f t="shared" si="2"/>
        <v>1011544544</v>
      </c>
      <c r="E16" s="9" t="str">
        <f>ifs($D16="","",countif('VISIT DATA'!$A:$A,$D16)=countif(D:D,$D16),"YES",countif('VISIT DATA'!$A:$A,$D16)=0,"NO",and(countif(D:D,$D16)&gt;1,countif('VISIT DATA'!$A:$A,$D16)&gt;=1),"YES",countif('VISIT DATA'!$A:$A,$D16)=countif(D:D,$D16),"YES")</f>
        <v>NO</v>
      </c>
      <c r="F16" s="9" t="str">
        <f>ifs($A16=FALSE,"",$A16,VLOOKUP($A16,SCAN!A:D,3,0))</f>
        <v/>
      </c>
    </row>
    <row r="17">
      <c r="A17" s="16">
        <f>IFERROR(__xludf.DUMMYFUNCTION("""COMPUTED_VALUE"""),44544.95276869213)</f>
        <v>44544.95277</v>
      </c>
      <c r="B17" s="6">
        <f>ifs($A17=FALSE,"",$A17,VLOOKUP($A17,SCAN!A:D,4,0))</f>
        <v>14985</v>
      </c>
      <c r="C17" s="7">
        <f t="shared" si="1"/>
        <v>44544</v>
      </c>
      <c r="D17" s="17" t="str">
        <f t="shared" si="2"/>
        <v>1498544544</v>
      </c>
      <c r="E17" s="9" t="str">
        <f>ifs($D17="","",countif('VISIT DATA'!$A:$A,$D17)=countif(D:D,$D17),"YES",countif('VISIT DATA'!$A:$A,$D17)=0,"NO",and(countif(D:D,$D17)&gt;1,countif('VISIT DATA'!$A:$A,$D17)&gt;=1),"YES",countif('VISIT DATA'!$A:$A,$D17)=countif(D:D,$D17),"YES")</f>
        <v>NO</v>
      </c>
      <c r="F17" s="9" t="str">
        <f>ifs($A17=FALSE,"",$A17,VLOOKUP($A17,SCAN!A:D,3,0))</f>
        <v/>
      </c>
    </row>
    <row r="18">
      <c r="A18" s="16">
        <f>IFERROR(__xludf.DUMMYFUNCTION("""COMPUTED_VALUE"""),44544.95351050926)</f>
        <v>44544.95351</v>
      </c>
      <c r="B18" s="6">
        <f>ifs($A18=FALSE,"",$A18,VLOOKUP($A18,SCAN!A:D,4,0))</f>
        <v>15915</v>
      </c>
      <c r="C18" s="7">
        <f t="shared" si="1"/>
        <v>44544</v>
      </c>
      <c r="D18" s="17" t="str">
        <f t="shared" si="2"/>
        <v>1591544544</v>
      </c>
      <c r="E18" s="9" t="str">
        <f>ifs($D18="","",countif('VISIT DATA'!$A:$A,$D18)=countif(D:D,$D18),"YES",countif('VISIT DATA'!$A:$A,$D18)=0,"NO",and(countif(D:D,$D18)&gt;1,countif('VISIT DATA'!$A:$A,$D18)&gt;=1),"YES",countif('VISIT DATA'!$A:$A,$D18)=countif(D:D,$D18),"YES")</f>
        <v>NO</v>
      </c>
      <c r="F18" s="9" t="str">
        <f>ifs($A18=FALSE,"",$A18,VLOOKUP($A18,SCAN!A:D,3,0))</f>
        <v/>
      </c>
    </row>
    <row r="19">
      <c r="A19" s="16">
        <f>IFERROR(__xludf.DUMMYFUNCTION("""COMPUTED_VALUE"""),44545.42460305555)</f>
        <v>44545.4246</v>
      </c>
      <c r="B19" s="6">
        <f>ifs($A19=FALSE,"",$A19,VLOOKUP($A19,SCAN!A:D,4,0))</f>
        <v>15531</v>
      </c>
      <c r="C19" s="7">
        <f t="shared" si="1"/>
        <v>44545</v>
      </c>
      <c r="D19" s="17" t="str">
        <f t="shared" si="2"/>
        <v>1553144545</v>
      </c>
      <c r="E19" s="9" t="str">
        <f>ifs($D19="","",countif('VISIT DATA'!$A:$A,$D19)=countif(D:D,$D19),"YES",countif('VISIT DATA'!$A:$A,$D19)=0,"NO",and(countif(D:D,$D19)&gt;1,countif('VISIT DATA'!$A:$A,$D19)&gt;=1),"YES",countif('VISIT DATA'!$A:$A,$D19)=countif(D:D,$D19),"YES")</f>
        <v>NO</v>
      </c>
      <c r="F19" s="9" t="str">
        <f>ifs($A19=FALSE,"",$A19,VLOOKUP($A19,SCAN!A:D,3,0))</f>
        <v>FA</v>
      </c>
    </row>
    <row r="20">
      <c r="A20" s="16">
        <f>IFERROR(__xludf.DUMMYFUNCTION("""COMPUTED_VALUE"""),44545.46018519676)</f>
        <v>44545.46019</v>
      </c>
      <c r="B20" s="6">
        <f>ifs($A20=FALSE,"",$A20,VLOOKUP($A20,SCAN!A:D,4,0))</f>
        <v>15933</v>
      </c>
      <c r="C20" s="7">
        <f t="shared" si="1"/>
        <v>44545</v>
      </c>
      <c r="D20" s="17" t="str">
        <f t="shared" si="2"/>
        <v>1593344545</v>
      </c>
      <c r="E20" s="9" t="str">
        <f>ifs($D20="","",countif('VISIT DATA'!$A:$A,$D20)=countif(D:D,$D20),"YES",countif('VISIT DATA'!$A:$A,$D20)=0,"NO",and(countif(D:D,$D20)&gt;1,countif('VISIT DATA'!$A:$A,$D20)&gt;=1),"YES",countif('VISIT DATA'!$A:$A,$D20)=countif(D:D,$D20),"YES")</f>
        <v>NO</v>
      </c>
      <c r="F20" s="9" t="str">
        <f>ifs($A20=FALSE,"",$A20,VLOOKUP($A20,SCAN!A:D,3,0))</f>
        <v>LM</v>
      </c>
    </row>
    <row r="21">
      <c r="A21" s="16">
        <f>IFERROR(__xludf.DUMMYFUNCTION("""COMPUTED_VALUE"""),44545.46295216435)</f>
        <v>44545.46295</v>
      </c>
      <c r="B21" s="6">
        <f>ifs($A21=FALSE,"",$A21,VLOOKUP($A21,SCAN!A:D,4,0))</f>
        <v>10115</v>
      </c>
      <c r="C21" s="7">
        <f t="shared" si="1"/>
        <v>44545</v>
      </c>
      <c r="D21" s="17" t="str">
        <f t="shared" si="2"/>
        <v>1011544545</v>
      </c>
      <c r="E21" s="9" t="str">
        <f>ifs($D21="","",countif('VISIT DATA'!$A:$A,$D21)=countif(D:D,$D21),"YES",countif('VISIT DATA'!$A:$A,$D21)=0,"NO",and(countif(D:D,$D21)&gt;1,countif('VISIT DATA'!$A:$A,$D21)&gt;=1),"YES",countif('VISIT DATA'!$A:$A,$D21)=countif(D:D,$D21),"YES")</f>
        <v>NO</v>
      </c>
      <c r="F21" s="9" t="str">
        <f>ifs($A21=FALSE,"",$A21,VLOOKUP($A21,SCAN!A:D,3,0))</f>
        <v>CH</v>
      </c>
    </row>
    <row r="22">
      <c r="A22" s="16">
        <f>IFERROR(__xludf.DUMMYFUNCTION("""COMPUTED_VALUE"""),44545.48884871528)</f>
        <v>44545.48885</v>
      </c>
      <c r="B22" s="6">
        <f>ifs($A22=FALSE,"",$A22,VLOOKUP($A22,SCAN!A:D,4,0))</f>
        <v>17699</v>
      </c>
      <c r="C22" s="7">
        <f t="shared" si="1"/>
        <v>44545</v>
      </c>
      <c r="D22" s="17" t="str">
        <f t="shared" si="2"/>
        <v>1769944545</v>
      </c>
      <c r="E22" s="9" t="str">
        <f>ifs($D22="","",countif('VISIT DATA'!$A:$A,$D22)=countif(D:D,$D22),"YES",countif('VISIT DATA'!$A:$A,$D22)=0,"NO",and(countif(D:D,$D22)&gt;1,countif('VISIT DATA'!$A:$A,$D22)&gt;=1),"YES",countif('VISIT DATA'!$A:$A,$D22)=countif(D:D,$D22),"YES")</f>
        <v>NO</v>
      </c>
      <c r="F22" s="9" t="str">
        <f>ifs($A22=FALSE,"",$A22,VLOOKUP($A22,SCAN!A:D,3,0))</f>
        <v>CH</v>
      </c>
    </row>
    <row r="23">
      <c r="A23" s="16">
        <f>IFERROR(__xludf.DUMMYFUNCTION("""COMPUTED_VALUE"""),44545.48981505787)</f>
        <v>44545.48982</v>
      </c>
      <c r="B23" s="6">
        <f>ifs($A23=FALSE,"",$A23,VLOOKUP($A23,SCAN!A:D,4,0))</f>
        <v>17662</v>
      </c>
      <c r="C23" s="7">
        <f t="shared" si="1"/>
        <v>44545</v>
      </c>
      <c r="D23" s="17" t="str">
        <f t="shared" si="2"/>
        <v>1766244545</v>
      </c>
      <c r="E23" s="9" t="str">
        <f>ifs($D23="","",countif('VISIT DATA'!$A:$A,$D23)=countif(D:D,$D23),"YES",countif('VISIT DATA'!$A:$A,$D23)=0,"NO",and(countif(D:D,$D23)&gt;1,countif('VISIT DATA'!$A:$A,$D23)&gt;=1),"YES",countif('VISIT DATA'!$A:$A,$D23)=countif(D:D,$D23),"YES")</f>
        <v>NO</v>
      </c>
      <c r="F23" s="9" t="str">
        <f>ifs($A23=FALSE,"",$A23,VLOOKUP($A23,SCAN!A:D,3,0))</f>
        <v>CH</v>
      </c>
    </row>
    <row r="24">
      <c r="A24" s="16">
        <f>IFERROR(__xludf.DUMMYFUNCTION("""COMPUTED_VALUE"""),44545.495457129626)</f>
        <v>44545.49546</v>
      </c>
      <c r="B24" s="6">
        <f>ifs($A24=FALSE,"",$A24,VLOOKUP($A24,SCAN!A:D,4,0))</f>
        <v>12873</v>
      </c>
      <c r="C24" s="7">
        <f t="shared" si="1"/>
        <v>44545</v>
      </c>
      <c r="D24" s="17" t="str">
        <f t="shared" si="2"/>
        <v>1287344545</v>
      </c>
      <c r="E24" s="9" t="str">
        <f>ifs($D24="","",countif('VISIT DATA'!$A:$A,$D24)=countif(D:D,$D24),"YES",countif('VISIT DATA'!$A:$A,$D24)=0,"NO",and(countif(D:D,$D24)&gt;1,countif('VISIT DATA'!$A:$A,$D24)&gt;=1),"YES",countif('VISIT DATA'!$A:$A,$D24)=countif(D:D,$D24),"YES")</f>
        <v>NO</v>
      </c>
      <c r="F24" s="9" t="str">
        <f>ifs($A24=FALSE,"",$A24,VLOOKUP($A24,SCAN!A:D,3,0))</f>
        <v>CH</v>
      </c>
    </row>
    <row r="25">
      <c r="A25" s="16">
        <f>IFERROR(__xludf.DUMMYFUNCTION("""COMPUTED_VALUE"""),44545.49565354167)</f>
        <v>44545.49565</v>
      </c>
      <c r="B25" s="6">
        <f>ifs($A25=FALSE,"",$A25,VLOOKUP($A25,SCAN!A:D,4,0))</f>
        <v>13440</v>
      </c>
      <c r="C25" s="7">
        <f t="shared" si="1"/>
        <v>44545</v>
      </c>
      <c r="D25" s="17" t="str">
        <f t="shared" si="2"/>
        <v>1344044545</v>
      </c>
      <c r="E25" s="9" t="str">
        <f>ifs($D25="","",countif('VISIT DATA'!$A:$A,$D25)=countif(D:D,$D25),"YES",countif('VISIT DATA'!$A:$A,$D25)=0,"NO",and(countif(D:D,$D25)&gt;1,countif('VISIT DATA'!$A:$A,$D25)&gt;=1),"YES",countif('VISIT DATA'!$A:$A,$D25)=countif(D:D,$D25),"YES")</f>
        <v>NO</v>
      </c>
      <c r="F25" s="9" t="str">
        <f>ifs($A25=FALSE,"",$A25,VLOOKUP($A25,SCAN!A:D,3,0))</f>
        <v>CH</v>
      </c>
    </row>
    <row r="26">
      <c r="A26" s="16">
        <f>IFERROR(__xludf.DUMMYFUNCTION("""COMPUTED_VALUE"""),44545.495855104164)</f>
        <v>44545.49586</v>
      </c>
      <c r="B26" s="6">
        <f>ifs($A26=FALSE,"",$A26,VLOOKUP($A26,SCAN!A:D,4,0))</f>
        <v>15942</v>
      </c>
      <c r="C26" s="7">
        <f t="shared" si="1"/>
        <v>44545</v>
      </c>
      <c r="D26" s="17" t="str">
        <f t="shared" si="2"/>
        <v>1594244545</v>
      </c>
      <c r="E26" s="9" t="str">
        <f>ifs($D26="","",countif('VISIT DATA'!$A:$A,$D26)=countif(D:D,$D26),"YES",countif('VISIT DATA'!$A:$A,$D26)=0,"NO",and(countif(D:D,$D26)&gt;1,countif('VISIT DATA'!$A:$A,$D26)&gt;=1),"YES",countif('VISIT DATA'!$A:$A,$D26)=countif(D:D,$D26),"YES")</f>
        <v>NO</v>
      </c>
      <c r="F26" s="9" t="str">
        <f>ifs($A26=FALSE,"",$A26,VLOOKUP($A26,SCAN!A:D,3,0))</f>
        <v>CH</v>
      </c>
    </row>
    <row r="27">
      <c r="A27" s="16">
        <f>IFERROR(__xludf.DUMMYFUNCTION("""COMPUTED_VALUE"""),44545.49601445602)</f>
        <v>44545.49601</v>
      </c>
      <c r="B27" s="6">
        <f>ifs($A27=FALSE,"",$A27,VLOOKUP($A27,SCAN!A:D,4,0))</f>
        <v>9812</v>
      </c>
      <c r="C27" s="7">
        <f t="shared" si="1"/>
        <v>44545</v>
      </c>
      <c r="D27" s="17" t="str">
        <f t="shared" si="2"/>
        <v>981244545</v>
      </c>
      <c r="E27" s="9" t="str">
        <f>ifs($D27="","",countif('VISIT DATA'!$A:$A,$D27)=countif(D:D,$D27),"YES",countif('VISIT DATA'!$A:$A,$D27)=0,"NO",and(countif(D:D,$D27)&gt;1,countif('VISIT DATA'!$A:$A,$D27)&gt;=1),"YES",countif('VISIT DATA'!$A:$A,$D27)=countif(D:D,$D27),"YES")</f>
        <v>NO</v>
      </c>
      <c r="F27" s="9" t="str">
        <f>ifs($A27=FALSE,"",$A27,VLOOKUP($A27,SCAN!A:D,3,0))</f>
        <v>CH</v>
      </c>
    </row>
    <row r="28">
      <c r="A28" s="16">
        <f>IFERROR(__xludf.DUMMYFUNCTION("""COMPUTED_VALUE"""),44545.49617263889)</f>
        <v>44545.49617</v>
      </c>
      <c r="B28" s="6">
        <f>ifs($A28=FALSE,"",$A28,VLOOKUP($A28,SCAN!A:D,4,0))</f>
        <v>17737</v>
      </c>
      <c r="C28" s="7">
        <f t="shared" si="1"/>
        <v>44545</v>
      </c>
      <c r="D28" s="17" t="str">
        <f t="shared" si="2"/>
        <v>1773744545</v>
      </c>
      <c r="E28" s="9" t="str">
        <f>ifs($D28="","",countif('VISIT DATA'!$A:$A,$D28)=countif(D:D,$D28),"YES",countif('VISIT DATA'!$A:$A,$D28)=0,"NO",and(countif(D:D,$D28)&gt;1,countif('VISIT DATA'!$A:$A,$D28)&gt;=1),"YES",countif('VISIT DATA'!$A:$A,$D28)=countif(D:D,$D28),"YES")</f>
        <v>NO</v>
      </c>
      <c r="F28" s="9" t="str">
        <f>ifs($A28=FALSE,"",$A28,VLOOKUP($A28,SCAN!A:D,3,0))</f>
        <v>CH</v>
      </c>
    </row>
    <row r="29">
      <c r="A29" s="16">
        <f>IFERROR(__xludf.DUMMYFUNCTION("""COMPUTED_VALUE"""),44545.49630827546)</f>
        <v>44545.49631</v>
      </c>
      <c r="B29" s="6">
        <f>ifs($A29=FALSE,"",$A29,VLOOKUP($A29,SCAN!A:D,4,0))</f>
        <v>17397</v>
      </c>
      <c r="C29" s="7">
        <f t="shared" si="1"/>
        <v>44545</v>
      </c>
      <c r="D29" s="17" t="str">
        <f t="shared" si="2"/>
        <v>1739744545</v>
      </c>
      <c r="E29" s="9" t="str">
        <f>ifs($D29="","",countif('VISIT DATA'!$A:$A,$D29)=countif(D:D,$D29),"YES",countif('VISIT DATA'!$A:$A,$D29)=0,"NO",and(countif(D:D,$D29)&gt;1,countif('VISIT DATA'!$A:$A,$D29)&gt;=1),"YES",countif('VISIT DATA'!$A:$A,$D29)=countif(D:D,$D29),"YES")</f>
        <v>NO</v>
      </c>
      <c r="F29" s="9" t="str">
        <f>ifs($A29=FALSE,"",$A29,VLOOKUP($A29,SCAN!A:D,3,0))</f>
        <v>CH</v>
      </c>
    </row>
    <row r="30">
      <c r="A30" s="16">
        <f>IFERROR(__xludf.DUMMYFUNCTION("""COMPUTED_VALUE"""),44545.49644953704)</f>
        <v>44545.49645</v>
      </c>
      <c r="B30" s="6">
        <f>ifs($A30=FALSE,"",$A30,VLOOKUP($A30,SCAN!A:D,4,0))</f>
        <v>13440</v>
      </c>
      <c r="C30" s="7">
        <f t="shared" si="1"/>
        <v>44545</v>
      </c>
      <c r="D30" s="17" t="str">
        <f t="shared" si="2"/>
        <v>1344044545</v>
      </c>
      <c r="E30" s="9" t="str">
        <f>ifs($D30="","",countif('VISIT DATA'!$A:$A,$D30)=countif(D:D,$D30),"YES",countif('VISIT DATA'!$A:$A,$D30)=0,"NO",and(countif(D:D,$D30)&gt;1,countif('VISIT DATA'!$A:$A,$D30)&gt;=1),"YES",countif('VISIT DATA'!$A:$A,$D30)=countif(D:D,$D30),"YES")</f>
        <v>NO</v>
      </c>
      <c r="F30" s="9" t="str">
        <f>ifs($A30=FALSE,"",$A30,VLOOKUP($A30,SCAN!A:D,3,0))</f>
        <v>CH</v>
      </c>
    </row>
    <row r="31">
      <c r="A31" s="16">
        <f>IFERROR(__xludf.DUMMYFUNCTION("""COMPUTED_VALUE"""),44545.49658883102)</f>
        <v>44545.49659</v>
      </c>
      <c r="B31" s="6">
        <f>ifs($A31=FALSE,"",$A31,VLOOKUP($A31,SCAN!A:D,4,0))</f>
        <v>12873</v>
      </c>
      <c r="C31" s="7">
        <f t="shared" si="1"/>
        <v>44545</v>
      </c>
      <c r="D31" s="17" t="str">
        <f t="shared" si="2"/>
        <v>1287344545</v>
      </c>
      <c r="E31" s="9" t="str">
        <f>ifs($D31="","",countif('VISIT DATA'!$A:$A,$D31)=countif(D:D,$D31),"YES",countif('VISIT DATA'!$A:$A,$D31)=0,"NO",and(countif(D:D,$D31)&gt;1,countif('VISIT DATA'!$A:$A,$D31)&gt;=1),"YES",countif('VISIT DATA'!$A:$A,$D31)=countif(D:D,$D31),"YES")</f>
        <v>NO</v>
      </c>
      <c r="F31" s="9" t="str">
        <f>ifs($A31=FALSE,"",$A31,VLOOKUP($A31,SCAN!A:D,3,0))</f>
        <v>CH</v>
      </c>
    </row>
    <row r="32">
      <c r="A32" s="16">
        <f>IFERROR(__xludf.DUMMYFUNCTION("""COMPUTED_VALUE"""),44545.563916886575)</f>
        <v>44545.56392</v>
      </c>
      <c r="B32" s="6">
        <f>ifs($A32=FALSE,"",$A32,VLOOKUP($A32,SCAN!A:D,4,0))</f>
        <v>12758</v>
      </c>
      <c r="C32" s="7">
        <f t="shared" si="1"/>
        <v>44545</v>
      </c>
      <c r="D32" s="17" t="str">
        <f t="shared" si="2"/>
        <v>1275844545</v>
      </c>
      <c r="E32" s="9" t="str">
        <f>ifs($D32="","",countif('VISIT DATA'!$A:$A,$D32)=countif(D:D,$D32),"YES",countif('VISIT DATA'!$A:$A,$D32)=0,"NO",and(countif(D:D,$D32)&gt;1,countif('VISIT DATA'!$A:$A,$D32)&gt;=1),"YES",countif('VISIT DATA'!$A:$A,$D32)=countif(D:D,$D32),"YES")</f>
        <v>NO</v>
      </c>
      <c r="F32" s="9" t="str">
        <f>ifs($A32=FALSE,"",$A32,VLOOKUP($A32,SCAN!A:D,3,0))</f>
        <v>DA</v>
      </c>
    </row>
    <row r="33">
      <c r="A33" s="16">
        <f>IFERROR(__xludf.DUMMYFUNCTION("""COMPUTED_VALUE"""),44545.564551296295)</f>
        <v>44545.56455</v>
      </c>
      <c r="B33" s="6">
        <f>ifs($A33=FALSE,"",$A33,VLOOKUP($A33,SCAN!A:D,4,0))</f>
        <v>14940</v>
      </c>
      <c r="C33" s="7">
        <f t="shared" si="1"/>
        <v>44545</v>
      </c>
      <c r="D33" s="17" t="str">
        <f t="shared" si="2"/>
        <v>1494044545</v>
      </c>
      <c r="E33" s="9" t="str">
        <f>ifs($D33="","",countif('VISIT DATA'!$A:$A,$D33)=countif(D:D,$D33),"YES",countif('VISIT DATA'!$A:$A,$D33)=0,"NO",and(countif(D:D,$D33)&gt;1,countif('VISIT DATA'!$A:$A,$D33)&gt;=1),"YES",countif('VISIT DATA'!$A:$A,$D33)=countif(D:D,$D33),"YES")</f>
        <v>NO</v>
      </c>
      <c r="F33" s="9" t="str">
        <f>ifs($A33=FALSE,"",$A33,VLOOKUP($A33,SCAN!A:D,3,0))</f>
        <v>DA</v>
      </c>
    </row>
    <row r="34">
      <c r="A34" s="16">
        <f>IFERROR(__xludf.DUMMYFUNCTION("""COMPUTED_VALUE"""),44545.56965563657)</f>
        <v>44545.56966</v>
      </c>
      <c r="B34" s="6">
        <f>ifs($A34=FALSE,"",$A34,VLOOKUP($A34,SCAN!A:D,4,0))</f>
        <v>9569</v>
      </c>
      <c r="C34" s="7">
        <f t="shared" si="1"/>
        <v>44545</v>
      </c>
      <c r="D34" s="17" t="str">
        <f t="shared" si="2"/>
        <v>956944545</v>
      </c>
      <c r="E34" s="9" t="str">
        <f>ifs($D34="","",countif('VISIT DATA'!$A:$A,$D34)=countif(D:D,$D34),"YES",countif('VISIT DATA'!$A:$A,$D34)=0,"NO",and(countif(D:D,$D34)&gt;1,countif('VISIT DATA'!$A:$A,$D34)&gt;=1),"YES",countif('VISIT DATA'!$A:$A,$D34)=countif(D:D,$D34),"YES")</f>
        <v>NO</v>
      </c>
      <c r="F34" s="9" t="str">
        <f>ifs($A34=FALSE,"",$A34,VLOOKUP($A34,SCAN!A:D,3,0))</f>
        <v>LM</v>
      </c>
    </row>
    <row r="35">
      <c r="A35" s="16">
        <f>IFERROR(__xludf.DUMMYFUNCTION("""COMPUTED_VALUE"""),44545.57882831019)</f>
        <v>44545.57883</v>
      </c>
      <c r="B35" s="6">
        <f>ifs($A35=FALSE,"",$A35,VLOOKUP($A35,SCAN!A:D,4,0))</f>
        <v>13863</v>
      </c>
      <c r="C35" s="7">
        <f t="shared" si="1"/>
        <v>44545</v>
      </c>
      <c r="D35" s="17" t="str">
        <f t="shared" si="2"/>
        <v>1386344545</v>
      </c>
      <c r="E35" s="9" t="str">
        <f>ifs($D35="","",countif('VISIT DATA'!$A:$A,$D35)=countif(D:D,$D35),"YES",countif('VISIT DATA'!$A:$A,$D35)=0,"NO",and(countif(D:D,$D35)&gt;1,countif('VISIT DATA'!$A:$A,$D35)&gt;=1),"YES",countif('VISIT DATA'!$A:$A,$D35)=countif(D:D,$D35),"YES")</f>
        <v>NO</v>
      </c>
      <c r="F35" s="9" t="str">
        <f>ifs($A35=FALSE,"",$A35,VLOOKUP($A35,SCAN!A:D,3,0))</f>
        <v>CH</v>
      </c>
    </row>
    <row r="36">
      <c r="A36" s="16">
        <f>IFERROR(__xludf.DUMMYFUNCTION("""COMPUTED_VALUE"""),44545.58536578703)</f>
        <v>44545.58537</v>
      </c>
      <c r="B36" s="6">
        <f>ifs($A36=FALSE,"",$A36,VLOOKUP($A36,SCAN!A:D,4,0))</f>
        <v>15369</v>
      </c>
      <c r="C36" s="7">
        <f t="shared" si="1"/>
        <v>44545</v>
      </c>
      <c r="D36" s="17" t="str">
        <f t="shared" si="2"/>
        <v>1536944545</v>
      </c>
      <c r="E36" s="9" t="str">
        <f>ifs($D36="","",countif('VISIT DATA'!$A:$A,$D36)=countif(D:D,$D36),"YES",countif('VISIT DATA'!$A:$A,$D36)=0,"NO",and(countif(D:D,$D36)&gt;1,countif('VISIT DATA'!$A:$A,$D36)&gt;=1),"YES",countif('VISIT DATA'!$A:$A,$D36)=countif(D:D,$D36),"YES")</f>
        <v>NO</v>
      </c>
      <c r="F36" s="9" t="str">
        <f>ifs($A36=FALSE,"",$A36,VLOOKUP($A36,SCAN!A:D,3,0))</f>
        <v>CH</v>
      </c>
    </row>
    <row r="37">
      <c r="A37" s="16">
        <f>IFERROR(__xludf.DUMMYFUNCTION("""COMPUTED_VALUE"""),44545.59427744213)</f>
        <v>44545.59428</v>
      </c>
      <c r="B37" s="6">
        <f>ifs($A37=FALSE,"",$A37,VLOOKUP($A37,SCAN!A:D,4,0))</f>
        <v>17591</v>
      </c>
      <c r="C37" s="7">
        <f t="shared" si="1"/>
        <v>44545</v>
      </c>
      <c r="D37" s="17" t="str">
        <f t="shared" si="2"/>
        <v>1759144545</v>
      </c>
      <c r="E37" s="9" t="str">
        <f>ifs($D37="","",countif('VISIT DATA'!$A:$A,$D37)=countif(D:D,$D37),"YES",countif('VISIT DATA'!$A:$A,$D37)=0,"NO",and(countif(D:D,$D37)&gt;1,countif('VISIT DATA'!$A:$A,$D37)&gt;=1),"YES",countif('VISIT DATA'!$A:$A,$D37)=countif(D:D,$D37),"YES")</f>
        <v>NO</v>
      </c>
      <c r="F37" s="9" t="str">
        <f>ifs($A37=FALSE,"",$A37,VLOOKUP($A37,SCAN!A:D,3,0))</f>
        <v>CH</v>
      </c>
    </row>
    <row r="38">
      <c r="A38" s="16">
        <f>IFERROR(__xludf.DUMMYFUNCTION("""COMPUTED_VALUE"""),44545.60055935185)</f>
        <v>44545.60056</v>
      </c>
      <c r="B38" s="6">
        <f>ifs($A38=FALSE,"",$A38,VLOOKUP($A38,SCAN!A:D,4,0))</f>
        <v>16576</v>
      </c>
      <c r="C38" s="7">
        <f t="shared" si="1"/>
        <v>44545</v>
      </c>
      <c r="D38" s="17" t="str">
        <f t="shared" si="2"/>
        <v>1657644545</v>
      </c>
      <c r="E38" s="9" t="str">
        <f>ifs($D38="","",countif('VISIT DATA'!$A:$A,$D38)=countif(D:D,$D38),"YES",countif('VISIT DATA'!$A:$A,$D38)=0,"NO",and(countif(D:D,$D38)&gt;1,countif('VISIT DATA'!$A:$A,$D38)&gt;=1),"YES",countif('VISIT DATA'!$A:$A,$D38)=countif(D:D,$D38),"YES")</f>
        <v>NO</v>
      </c>
      <c r="F38" s="9" t="str">
        <f>ifs($A38=FALSE,"",$A38,VLOOKUP($A38,SCAN!A:D,3,0))</f>
        <v>DA</v>
      </c>
    </row>
    <row r="39">
      <c r="A39" s="16">
        <f>IFERROR(__xludf.DUMMYFUNCTION("""COMPUTED_VALUE"""),44545.60428666667)</f>
        <v>44545.60429</v>
      </c>
      <c r="B39" s="6">
        <f>ifs($A39=FALSE,"",$A39,VLOOKUP($A39,SCAN!A:D,4,0))</f>
        <v>16172</v>
      </c>
      <c r="C39" s="7">
        <f t="shared" si="1"/>
        <v>44545</v>
      </c>
      <c r="D39" s="17" t="str">
        <f t="shared" si="2"/>
        <v>1617244545</v>
      </c>
      <c r="E39" s="9" t="str">
        <f>ifs($D39="","",countif('VISIT DATA'!$A:$A,$D39)=countif(D:D,$D39),"YES",countif('VISIT DATA'!$A:$A,$D39)=0,"NO",and(countif(D:D,$D39)&gt;1,countif('VISIT DATA'!$A:$A,$D39)&gt;=1),"YES",countif('VISIT DATA'!$A:$A,$D39)=countif(D:D,$D39),"YES")</f>
        <v>NO</v>
      </c>
      <c r="F39" s="9" t="str">
        <f>ifs($A39=FALSE,"",$A39,VLOOKUP($A39,SCAN!A:D,3,0))</f>
        <v>DA</v>
      </c>
    </row>
    <row r="40">
      <c r="A40" s="16">
        <f>IFERROR(__xludf.DUMMYFUNCTION("""COMPUTED_VALUE"""),44545.607221921295)</f>
        <v>44545.60722</v>
      </c>
      <c r="B40" s="6">
        <f>ifs($A40=FALSE,"",$A40,VLOOKUP($A40,SCAN!A:D,4,0))</f>
        <v>14985</v>
      </c>
      <c r="C40" s="7">
        <f t="shared" si="1"/>
        <v>44545</v>
      </c>
      <c r="D40" s="17" t="str">
        <f t="shared" si="2"/>
        <v>1498544545</v>
      </c>
      <c r="E40" s="9" t="str">
        <f>ifs($D40="","",countif('VISIT DATA'!$A:$A,$D40)=countif(D:D,$D40),"YES",countif('VISIT DATA'!$A:$A,$D40)=0,"NO",and(countif(D:D,$D40)&gt;1,countif('VISIT DATA'!$A:$A,$D40)&gt;=1),"YES",countif('VISIT DATA'!$A:$A,$D40)=countif(D:D,$D40),"YES")</f>
        <v>NO</v>
      </c>
      <c r="F40" s="9" t="str">
        <f>ifs($A40=FALSE,"",$A40,VLOOKUP($A40,SCAN!A:D,3,0))</f>
        <v>DA</v>
      </c>
    </row>
    <row r="41">
      <c r="A41" s="16">
        <f>IFERROR(__xludf.DUMMYFUNCTION("""COMPUTED_VALUE"""),44545.62564017361)</f>
        <v>44545.62564</v>
      </c>
      <c r="B41" s="6">
        <f>ifs($A41=FALSE,"",$A41,VLOOKUP($A41,SCAN!A:D,4,0))</f>
        <v>12071</v>
      </c>
      <c r="C41" s="7">
        <f t="shared" si="1"/>
        <v>44545</v>
      </c>
      <c r="D41" s="17" t="str">
        <f t="shared" si="2"/>
        <v>1207144545</v>
      </c>
      <c r="E41" s="9" t="str">
        <f>ifs($D41="","",countif('VISIT DATA'!$A:$A,$D41)=countif(D:D,$D41),"YES",countif('VISIT DATA'!$A:$A,$D41)=0,"NO",and(countif(D:D,$D41)&gt;1,countif('VISIT DATA'!$A:$A,$D41)&gt;=1),"YES",countif('VISIT DATA'!$A:$A,$D41)=countif(D:D,$D41),"YES")</f>
        <v>NO</v>
      </c>
      <c r="F41" s="9" t="str">
        <f>ifs($A41=FALSE,"",$A41,VLOOKUP($A41,SCAN!A:D,3,0))</f>
        <v>DM</v>
      </c>
    </row>
    <row r="42">
      <c r="A42" s="16">
        <f>IFERROR(__xludf.DUMMYFUNCTION("""COMPUTED_VALUE"""),44545.6262212037)</f>
        <v>44545.62622</v>
      </c>
      <c r="B42" s="6">
        <f>ifs($A42=FALSE,"",$A42,VLOOKUP($A42,SCAN!A:D,4,0))</f>
        <v>12071</v>
      </c>
      <c r="C42" s="7">
        <f t="shared" si="1"/>
        <v>44545</v>
      </c>
      <c r="D42" s="17" t="str">
        <f t="shared" si="2"/>
        <v>1207144545</v>
      </c>
      <c r="E42" s="9" t="str">
        <f>ifs($D42="","",countif('VISIT DATA'!$A:$A,$D42)=countif(D:D,$D42),"YES",countif('VISIT DATA'!$A:$A,$D42)=0,"NO",and(countif(D:D,$D42)&gt;1,countif('VISIT DATA'!$A:$A,$D42)&gt;=1),"YES",countif('VISIT DATA'!$A:$A,$D42)=countif(D:D,$D42),"YES")</f>
        <v>NO</v>
      </c>
      <c r="F42" s="9" t="str">
        <f>ifs($A42=FALSE,"",$A42,VLOOKUP($A42,SCAN!A:D,3,0))</f>
        <v>DM</v>
      </c>
    </row>
    <row r="43">
      <c r="A43" s="16">
        <f>IFERROR(__xludf.DUMMYFUNCTION("""COMPUTED_VALUE"""),44545.62657854166)</f>
        <v>44545.62658</v>
      </c>
      <c r="B43" s="6">
        <f>ifs($A43=FALSE,"",$A43,VLOOKUP($A43,SCAN!A:D,4,0))</f>
        <v>12253</v>
      </c>
      <c r="C43" s="7">
        <f t="shared" si="1"/>
        <v>44545</v>
      </c>
      <c r="D43" s="17" t="str">
        <f t="shared" si="2"/>
        <v>1225344545</v>
      </c>
      <c r="E43" s="9" t="str">
        <f>ifs($D43="","",countif('VISIT DATA'!$A:$A,$D43)=countif(D:D,$D43),"YES",countif('VISIT DATA'!$A:$A,$D43)=0,"NO",and(countif(D:D,$D43)&gt;1,countif('VISIT DATA'!$A:$A,$D43)&gt;=1),"YES",countif('VISIT DATA'!$A:$A,$D43)=countif(D:D,$D43),"YES")</f>
        <v>NO</v>
      </c>
      <c r="F43" s="9" t="str">
        <f>ifs($A43=FALSE,"",$A43,VLOOKUP($A43,SCAN!A:D,3,0))</f>
        <v>DA</v>
      </c>
    </row>
    <row r="44">
      <c r="A44" s="16">
        <f>IFERROR(__xludf.DUMMYFUNCTION("""COMPUTED_VALUE"""),44545.62696732639)</f>
        <v>44545.62697</v>
      </c>
      <c r="B44" s="6">
        <f>ifs($A44=FALSE,"",$A44,VLOOKUP($A44,SCAN!A:D,4,0))</f>
        <v>15595</v>
      </c>
      <c r="C44" s="7">
        <f t="shared" si="1"/>
        <v>44545</v>
      </c>
      <c r="D44" s="17" t="str">
        <f t="shared" si="2"/>
        <v>1559544545</v>
      </c>
      <c r="E44" s="9" t="str">
        <f>ifs($D44="","",countif('VISIT DATA'!$A:$A,$D44)=countif(D:D,$D44),"YES",countif('VISIT DATA'!$A:$A,$D44)=0,"NO",and(countif(D:D,$D44)&gt;1,countif('VISIT DATA'!$A:$A,$D44)&gt;=1),"YES",countif('VISIT DATA'!$A:$A,$D44)=countif(D:D,$D44),"YES")</f>
        <v>NO</v>
      </c>
      <c r="F44" s="9" t="str">
        <f>ifs($A44=FALSE,"",$A44,VLOOKUP($A44,SCAN!A:D,3,0))</f>
        <v>DM</v>
      </c>
    </row>
    <row r="45">
      <c r="A45" s="16">
        <f>IFERROR(__xludf.DUMMYFUNCTION("""COMPUTED_VALUE"""),44545.62734478009)</f>
        <v>44545.62734</v>
      </c>
      <c r="B45" s="6">
        <f>ifs($A45=FALSE,"",$A45,VLOOKUP($A45,SCAN!A:D,4,0))</f>
        <v>15595</v>
      </c>
      <c r="C45" s="7">
        <f t="shared" si="1"/>
        <v>44545</v>
      </c>
      <c r="D45" s="17" t="str">
        <f t="shared" si="2"/>
        <v>1559544545</v>
      </c>
      <c r="E45" s="9" t="str">
        <f>ifs($D45="","",countif('VISIT DATA'!$A:$A,$D45)=countif(D:D,$D45),"YES",countif('VISIT DATA'!$A:$A,$D45)=0,"NO",and(countif(D:D,$D45)&gt;1,countif('VISIT DATA'!$A:$A,$D45)&gt;=1),"YES",countif('VISIT DATA'!$A:$A,$D45)=countif(D:D,$D45),"YES")</f>
        <v>NO</v>
      </c>
      <c r="F45" s="9" t="str">
        <f>ifs($A45=FALSE,"",$A45,VLOOKUP($A45,SCAN!A:D,3,0))</f>
        <v>DM</v>
      </c>
    </row>
    <row r="46">
      <c r="A46" s="16">
        <f>IFERROR(__xludf.DUMMYFUNCTION("""COMPUTED_VALUE"""),44545.62760280093)</f>
        <v>44545.6276</v>
      </c>
      <c r="B46" s="6">
        <f>ifs($A46=FALSE,"",$A46,VLOOKUP($A46,SCAN!A:D,4,0))</f>
        <v>16172</v>
      </c>
      <c r="C46" s="7">
        <f t="shared" si="1"/>
        <v>44545</v>
      </c>
      <c r="D46" s="17" t="str">
        <f t="shared" si="2"/>
        <v>1617244545</v>
      </c>
      <c r="E46" s="9" t="str">
        <f>ifs($D46="","",countif('VISIT DATA'!$A:$A,$D46)=countif(D:D,$D46),"YES",countif('VISIT DATA'!$A:$A,$D46)=0,"NO",and(countif(D:D,$D46)&gt;1,countif('VISIT DATA'!$A:$A,$D46)&gt;=1),"YES",countif('VISIT DATA'!$A:$A,$D46)=countif(D:D,$D46),"YES")</f>
        <v>NO</v>
      </c>
      <c r="F46" s="9" t="str">
        <f>ifs($A46=FALSE,"",$A46,VLOOKUP($A46,SCAN!A:D,3,0))</f>
        <v>DM</v>
      </c>
    </row>
    <row r="47">
      <c r="A47" s="16">
        <f>IFERROR(__xludf.DUMMYFUNCTION("""COMPUTED_VALUE"""),44545.630669108796)</f>
        <v>44545.63067</v>
      </c>
      <c r="B47" s="6">
        <f>ifs($A47=FALSE,"",$A47,VLOOKUP($A47,SCAN!A:D,4,0))</f>
        <v>11870</v>
      </c>
      <c r="C47" s="7">
        <f t="shared" si="1"/>
        <v>44545</v>
      </c>
      <c r="D47" s="17" t="str">
        <f t="shared" si="2"/>
        <v>1187044545</v>
      </c>
      <c r="E47" s="9" t="str">
        <f>ifs($D47="","",countif('VISIT DATA'!$A:$A,$D47)=countif(D:D,$D47),"YES",countif('VISIT DATA'!$A:$A,$D47)=0,"NO",and(countif(D:D,$D47)&gt;1,countif('VISIT DATA'!$A:$A,$D47)&gt;=1),"YES",countif('VISIT DATA'!$A:$A,$D47)=countif(D:D,$D47),"YES")</f>
        <v>NO</v>
      </c>
      <c r="F47" s="9" t="str">
        <f>ifs($A47=FALSE,"",$A47,VLOOKUP($A47,SCAN!A:D,3,0))</f>
        <v>DA</v>
      </c>
    </row>
    <row r="48">
      <c r="A48" s="16">
        <f>IFERROR(__xludf.DUMMYFUNCTION("""COMPUTED_VALUE"""),44545.631427141205)</f>
        <v>44545.63143</v>
      </c>
      <c r="B48" s="6">
        <f>ifs($A48=FALSE,"",$A48,VLOOKUP($A48,SCAN!A:D,4,0))</f>
        <v>14113</v>
      </c>
      <c r="C48" s="7">
        <f t="shared" si="1"/>
        <v>44545</v>
      </c>
      <c r="D48" s="17" t="str">
        <f t="shared" si="2"/>
        <v>1411344545</v>
      </c>
      <c r="E48" s="9" t="str">
        <f>ifs($D48="","",countif('VISIT DATA'!$A:$A,$D48)=countif(D:D,$D48),"YES",countif('VISIT DATA'!$A:$A,$D48)=0,"NO",and(countif(D:D,$D48)&gt;1,countif('VISIT DATA'!$A:$A,$D48)&gt;=1),"YES",countif('VISIT DATA'!$A:$A,$D48)=countif(D:D,$D48),"YES")</f>
        <v>NO</v>
      </c>
      <c r="F48" s="9" t="str">
        <f>ifs($A48=FALSE,"",$A48,VLOOKUP($A48,SCAN!A:D,3,0))</f>
        <v>CH</v>
      </c>
    </row>
    <row r="49">
      <c r="A49" s="16">
        <f>IFERROR(__xludf.DUMMYFUNCTION("""COMPUTED_VALUE"""),44545.63187190972)</f>
        <v>44545.63187</v>
      </c>
      <c r="B49" s="6">
        <f>ifs($A49=FALSE,"",$A49,VLOOKUP($A49,SCAN!A:D,4,0))</f>
        <v>14113</v>
      </c>
      <c r="C49" s="7">
        <f t="shared" si="1"/>
        <v>44545</v>
      </c>
      <c r="D49" s="17" t="str">
        <f t="shared" si="2"/>
        <v>1411344545</v>
      </c>
      <c r="E49" s="9" t="str">
        <f>ifs($D49="","",countif('VISIT DATA'!$A:$A,$D49)=countif(D:D,$D49),"YES",countif('VISIT DATA'!$A:$A,$D49)=0,"NO",and(countif(D:D,$D49)&gt;1,countif('VISIT DATA'!$A:$A,$D49)&gt;=1),"YES",countif('VISIT DATA'!$A:$A,$D49)=countif(D:D,$D49),"YES")</f>
        <v>NO</v>
      </c>
      <c r="F49" s="9" t="str">
        <f>ifs($A49=FALSE,"",$A49,VLOOKUP($A49,SCAN!A:D,3,0))</f>
        <v>CH</v>
      </c>
    </row>
    <row r="50">
      <c r="A50" s="16">
        <f>IFERROR(__xludf.DUMMYFUNCTION("""COMPUTED_VALUE"""),44545.63237019676)</f>
        <v>44545.63237</v>
      </c>
      <c r="B50" s="6">
        <f>ifs($A50=FALSE,"",$A50,VLOOKUP($A50,SCAN!A:D,4,0))</f>
        <v>14540</v>
      </c>
      <c r="C50" s="7">
        <f t="shared" si="1"/>
        <v>44545</v>
      </c>
      <c r="D50" s="17" t="str">
        <f t="shared" si="2"/>
        <v>1454044545</v>
      </c>
      <c r="E50" s="9" t="str">
        <f>ifs($D50="","",countif('VISIT DATA'!$A:$A,$D50)=countif(D:D,$D50),"YES",countif('VISIT DATA'!$A:$A,$D50)=0,"NO",and(countif(D:D,$D50)&gt;1,countif('VISIT DATA'!$A:$A,$D50)&gt;=1),"YES",countif('VISIT DATA'!$A:$A,$D50)=countif(D:D,$D50),"YES")</f>
        <v>NO</v>
      </c>
      <c r="F50" s="9" t="str">
        <f>ifs($A50=FALSE,"",$A50,VLOOKUP($A50,SCAN!A:D,3,0))</f>
        <v>LM</v>
      </c>
    </row>
    <row r="51">
      <c r="A51" s="16">
        <f>IFERROR(__xludf.DUMMYFUNCTION("""COMPUTED_VALUE"""),44545.635351689816)</f>
        <v>44545.63535</v>
      </c>
      <c r="B51" s="6">
        <f>ifs($A51=FALSE,"",$A51,VLOOKUP($A51,SCAN!A:D,4,0))</f>
        <v>14889</v>
      </c>
      <c r="C51" s="7">
        <f t="shared" si="1"/>
        <v>44545</v>
      </c>
      <c r="D51" s="17" t="str">
        <f t="shared" si="2"/>
        <v>1488944545</v>
      </c>
      <c r="E51" s="9" t="str">
        <f>ifs($D51="","",countif('VISIT DATA'!$A:$A,$D51)=countif(D:D,$D51),"YES",countif('VISIT DATA'!$A:$A,$D51)=0,"NO",and(countif(D:D,$D51)&gt;1,countif('VISIT DATA'!$A:$A,$D51)&gt;=1),"YES",countif('VISIT DATA'!$A:$A,$D51)=countif(D:D,$D51),"YES")</f>
        <v>NO</v>
      </c>
      <c r="F51" s="9" t="str">
        <f>ifs($A51=FALSE,"",$A51,VLOOKUP($A51,SCAN!A:D,3,0))</f>
        <v>DA</v>
      </c>
    </row>
    <row r="52">
      <c r="A52" s="16">
        <f>IFERROR(__xludf.DUMMYFUNCTION("""COMPUTED_VALUE"""),44545.639470381946)</f>
        <v>44545.63947</v>
      </c>
      <c r="B52" s="6">
        <f>ifs($A52=FALSE,"",$A52,VLOOKUP($A52,SCAN!A:D,4,0))</f>
        <v>9279</v>
      </c>
      <c r="C52" s="7">
        <f t="shared" si="1"/>
        <v>44545</v>
      </c>
      <c r="D52" s="17" t="str">
        <f t="shared" si="2"/>
        <v>927944545</v>
      </c>
      <c r="E52" s="9" t="str">
        <f>ifs($D52="","",countif('VISIT DATA'!$A:$A,$D52)=countif(D:D,$D52),"YES",countif('VISIT DATA'!$A:$A,$D52)=0,"NO",and(countif(D:D,$D52)&gt;1,countif('VISIT DATA'!$A:$A,$D52)&gt;=1),"YES",countif('VISIT DATA'!$A:$A,$D52)=countif(D:D,$D52),"YES")</f>
        <v>NO</v>
      </c>
      <c r="F52" s="9" t="str">
        <f>ifs($A52=FALSE,"",$A52,VLOOKUP($A52,SCAN!A:D,3,0))</f>
        <v>DA</v>
      </c>
    </row>
    <row r="53">
      <c r="A53" s="16">
        <f>IFERROR(__xludf.DUMMYFUNCTION("""COMPUTED_VALUE"""),44545.64975228009)</f>
        <v>44545.64975</v>
      </c>
      <c r="B53" s="6">
        <f>ifs($A53=FALSE,"",$A53,VLOOKUP($A53,SCAN!A:D,4,0))</f>
        <v>9707</v>
      </c>
      <c r="C53" s="7">
        <f t="shared" si="1"/>
        <v>44545</v>
      </c>
      <c r="D53" s="17" t="str">
        <f t="shared" si="2"/>
        <v>970744545</v>
      </c>
      <c r="E53" s="9" t="str">
        <f>ifs($D53="","",countif('VISIT DATA'!$A:$A,$D53)=countif(D:D,$D53),"YES",countif('VISIT DATA'!$A:$A,$D53)=0,"NO",and(countif(D:D,$D53)&gt;1,countif('VISIT DATA'!$A:$A,$D53)&gt;=1),"YES",countif('VISIT DATA'!$A:$A,$D53)=countif(D:D,$D53),"YES")</f>
        <v>NO</v>
      </c>
      <c r="F53" s="9" t="str">
        <f>ifs($A53=FALSE,"",$A53,VLOOKUP($A53,SCAN!A:D,3,0))</f>
        <v>DA</v>
      </c>
    </row>
    <row r="54">
      <c r="A54" s="16">
        <f>IFERROR(__xludf.DUMMYFUNCTION("""COMPUTED_VALUE"""),44545.65548291667)</f>
        <v>44545.65548</v>
      </c>
      <c r="B54" s="6">
        <f>ifs($A54=FALSE,"",$A54,VLOOKUP($A54,SCAN!A:D,4,0))</f>
        <v>16543</v>
      </c>
      <c r="C54" s="7">
        <f t="shared" si="1"/>
        <v>44545</v>
      </c>
      <c r="D54" s="17" t="str">
        <f t="shared" si="2"/>
        <v>1654344545</v>
      </c>
      <c r="E54" s="9" t="str">
        <f>ifs($D54="","",countif('VISIT DATA'!$A:$A,$D54)=countif(D:D,$D54),"YES",countif('VISIT DATA'!$A:$A,$D54)=0,"NO",and(countif(D:D,$D54)&gt;1,countif('VISIT DATA'!$A:$A,$D54)&gt;=1),"YES",countif('VISIT DATA'!$A:$A,$D54)=countif(D:D,$D54),"YES")</f>
        <v>NO</v>
      </c>
      <c r="F54" s="9" t="str">
        <f>ifs($A54=FALSE,"",$A54,VLOOKUP($A54,SCAN!A:D,3,0))</f>
        <v>LM</v>
      </c>
    </row>
    <row r="55">
      <c r="A55" s="16">
        <f>IFERROR(__xludf.DUMMYFUNCTION("""COMPUTED_VALUE"""),44545.657165358796)</f>
        <v>44545.65717</v>
      </c>
      <c r="B55" s="6">
        <f>ifs($A55=FALSE,"",$A55,VLOOKUP($A55,SCAN!A:D,4,0))</f>
        <v>9457</v>
      </c>
      <c r="C55" s="7">
        <f t="shared" si="1"/>
        <v>44545</v>
      </c>
      <c r="D55" s="17" t="str">
        <f t="shared" si="2"/>
        <v>945744545</v>
      </c>
      <c r="E55" s="9" t="str">
        <f>ifs($D55="","",countif('VISIT DATA'!$A:$A,$D55)=countif(D:D,$D55),"YES",countif('VISIT DATA'!$A:$A,$D55)=0,"NO",and(countif(D:D,$D55)&gt;1,countif('VISIT DATA'!$A:$A,$D55)&gt;=1),"YES",countif('VISIT DATA'!$A:$A,$D55)=countif(D:D,$D55),"YES")</f>
        <v>NO</v>
      </c>
      <c r="F55" s="9" t="str">
        <f>ifs($A55=FALSE,"",$A55,VLOOKUP($A55,SCAN!A:D,3,0))</f>
        <v>DA</v>
      </c>
    </row>
    <row r="56">
      <c r="A56" s="16">
        <f>IFERROR(__xludf.DUMMYFUNCTION("""COMPUTED_VALUE"""),44545.680689988425)</f>
        <v>44545.68069</v>
      </c>
      <c r="B56" s="6">
        <f>ifs($A56=FALSE,"",$A56,VLOOKUP($A56,SCAN!A:D,4,0))</f>
        <v>17589</v>
      </c>
      <c r="C56" s="7">
        <f t="shared" si="1"/>
        <v>44545</v>
      </c>
      <c r="D56" s="17" t="str">
        <f t="shared" si="2"/>
        <v>1758944545</v>
      </c>
      <c r="E56" s="9" t="str">
        <f>ifs($D56="","",countif('VISIT DATA'!$A:$A,$D56)=countif(D:D,$D56),"YES",countif('VISIT DATA'!$A:$A,$D56)=0,"NO",and(countif(D:D,$D56)&gt;1,countif('VISIT DATA'!$A:$A,$D56)&gt;=1),"YES",countif('VISIT DATA'!$A:$A,$D56)=countif(D:D,$D56),"YES")</f>
        <v>NO</v>
      </c>
      <c r="F56" s="9" t="str">
        <f>ifs($A56=FALSE,"",$A56,VLOOKUP($A56,SCAN!A:D,3,0))</f>
        <v>DM</v>
      </c>
    </row>
    <row r="57">
      <c r="A57" s="16">
        <f>IFERROR(__xludf.DUMMYFUNCTION("""COMPUTED_VALUE"""),44545.68094943287)</f>
        <v>44545.68095</v>
      </c>
      <c r="B57" s="6">
        <f>ifs($A57=FALSE,"",$A57,VLOOKUP($A57,SCAN!A:D,4,0))</f>
        <v>17589</v>
      </c>
      <c r="C57" s="7">
        <f t="shared" si="1"/>
        <v>44545</v>
      </c>
      <c r="D57" s="17" t="str">
        <f t="shared" si="2"/>
        <v>1758944545</v>
      </c>
      <c r="E57" s="9" t="str">
        <f>ifs($D57="","",countif('VISIT DATA'!$A:$A,$D57)=countif(D:D,$D57),"YES",countif('VISIT DATA'!$A:$A,$D57)=0,"NO",and(countif(D:D,$D57)&gt;1,countif('VISIT DATA'!$A:$A,$D57)&gt;=1),"YES",countif('VISIT DATA'!$A:$A,$D57)=countif(D:D,$D57),"YES")</f>
        <v>NO</v>
      </c>
      <c r="F57" s="9" t="str">
        <f>ifs($A57=FALSE,"",$A57,VLOOKUP($A57,SCAN!A:D,3,0))</f>
        <v>DM</v>
      </c>
    </row>
    <row r="58">
      <c r="A58" s="16">
        <f>IFERROR(__xludf.DUMMYFUNCTION("""COMPUTED_VALUE"""),44545.69678491898)</f>
        <v>44545.69678</v>
      </c>
      <c r="B58" s="6">
        <f>ifs($A58=FALSE,"",$A58,VLOOKUP($A58,SCAN!A:D,4,0))</f>
        <v>13641</v>
      </c>
      <c r="C58" s="7">
        <f t="shared" si="1"/>
        <v>44545</v>
      </c>
      <c r="D58" s="17" t="str">
        <f t="shared" si="2"/>
        <v>1364144545</v>
      </c>
      <c r="E58" s="9" t="str">
        <f>ifs($D58="","",countif('VISIT DATA'!$A:$A,$D58)=countif(D:D,$D58),"YES",countif('VISIT DATA'!$A:$A,$D58)=0,"NO",and(countif(D:D,$D58)&gt;1,countif('VISIT DATA'!$A:$A,$D58)&gt;=1),"YES",countif('VISIT DATA'!$A:$A,$D58)=countif(D:D,$D58),"YES")</f>
        <v>NO</v>
      </c>
      <c r="F58" s="9" t="str">
        <f>ifs($A58=FALSE,"",$A58,VLOOKUP($A58,SCAN!A:D,3,0))</f>
        <v>DA</v>
      </c>
    </row>
    <row r="59">
      <c r="A59" s="16">
        <f>IFERROR(__xludf.DUMMYFUNCTION("""COMPUTED_VALUE"""),44546.429299826385)</f>
        <v>44546.4293</v>
      </c>
      <c r="B59" s="6">
        <f>ifs($A59=FALSE,"",$A59,VLOOKUP($A59,SCAN!A:D,4,0))</f>
        <v>11449</v>
      </c>
      <c r="C59" s="7">
        <f t="shared" si="1"/>
        <v>44546</v>
      </c>
      <c r="D59" s="17" t="str">
        <f t="shared" si="2"/>
        <v>1144944546</v>
      </c>
      <c r="E59" s="9" t="str">
        <f>ifs($D59="","",countif('VISIT DATA'!$A:$A,$D59)=countif(D:D,$D59),"YES",countif('VISIT DATA'!$A:$A,$D59)=0,"NO",and(countif(D:D,$D59)&gt;1,countif('VISIT DATA'!$A:$A,$D59)&gt;=1),"YES",countif('VISIT DATA'!$A:$A,$D59)=countif(D:D,$D59),"YES")</f>
        <v>NO</v>
      </c>
      <c r="F59" s="9" t="str">
        <f>ifs($A59=FALSE,"",$A59,VLOOKUP($A59,SCAN!A:D,3,0))</f>
        <v>DA</v>
      </c>
    </row>
    <row r="60">
      <c r="A60" s="16">
        <f>IFERROR(__xludf.DUMMYFUNCTION("""COMPUTED_VALUE"""),44546.44612997685)</f>
        <v>44546.44613</v>
      </c>
      <c r="B60" s="6">
        <f>ifs($A60=FALSE,"",$A60,VLOOKUP($A60,SCAN!A:D,4,0))</f>
        <v>9531</v>
      </c>
      <c r="C60" s="7">
        <f t="shared" si="1"/>
        <v>44546</v>
      </c>
      <c r="D60" s="17" t="str">
        <f t="shared" si="2"/>
        <v>953144546</v>
      </c>
      <c r="E60" s="9" t="str">
        <f>ifs($D60="","",countif('VISIT DATA'!$A:$A,$D60)=countif(D:D,$D60),"YES",countif('VISIT DATA'!$A:$A,$D60)=0,"NO",and(countif(D:D,$D60)&gt;1,countif('VISIT DATA'!$A:$A,$D60)&gt;=1),"YES",countif('VISIT DATA'!$A:$A,$D60)=countif(D:D,$D60),"YES")</f>
        <v>NO</v>
      </c>
      <c r="F60" s="9" t="str">
        <f>ifs($A60=FALSE,"",$A60,VLOOKUP($A60,SCAN!A:D,3,0))</f>
        <v>DA</v>
      </c>
    </row>
    <row r="61">
      <c r="A61" s="16">
        <f>IFERROR(__xludf.DUMMYFUNCTION("""COMPUTED_VALUE"""),44546.450869374996)</f>
        <v>44546.45087</v>
      </c>
      <c r="B61" s="6">
        <f>ifs($A61=FALSE,"",$A61,VLOOKUP($A61,SCAN!A:D,4,0))</f>
        <v>15426</v>
      </c>
      <c r="C61" s="7">
        <f t="shared" si="1"/>
        <v>44546</v>
      </c>
      <c r="D61" s="17" t="str">
        <f t="shared" si="2"/>
        <v>1542644546</v>
      </c>
      <c r="E61" s="9" t="str">
        <f>ifs($D61="","",countif('VISIT DATA'!$A:$A,$D61)=countif(D:D,$D61),"YES",countif('VISIT DATA'!$A:$A,$D61)=0,"NO",and(countif(D:D,$D61)&gt;1,countif('VISIT DATA'!$A:$A,$D61)&gt;=1),"YES",countif('VISIT DATA'!$A:$A,$D61)=countif(D:D,$D61),"YES")</f>
        <v>NO</v>
      </c>
      <c r="F61" s="9" t="str">
        <f>ifs($A61=FALSE,"",$A61,VLOOKUP($A61,SCAN!A:D,3,0))</f>
        <v>DM</v>
      </c>
    </row>
    <row r="62">
      <c r="A62" s="16">
        <f>IFERROR(__xludf.DUMMYFUNCTION("""COMPUTED_VALUE"""),44546.45109912037)</f>
        <v>44546.4511</v>
      </c>
      <c r="B62" s="6">
        <f>ifs($A62=FALSE,"",$A62,VLOOKUP($A62,SCAN!A:D,4,0))</f>
        <v>15426</v>
      </c>
      <c r="C62" s="7">
        <f t="shared" si="1"/>
        <v>44546</v>
      </c>
      <c r="D62" s="17" t="str">
        <f t="shared" si="2"/>
        <v>1542644546</v>
      </c>
      <c r="E62" s="9" t="str">
        <f>ifs($D62="","",countif('VISIT DATA'!$A:$A,$D62)=countif(D:D,$D62),"YES",countif('VISIT DATA'!$A:$A,$D62)=0,"NO",and(countif(D:D,$D62)&gt;1,countif('VISIT DATA'!$A:$A,$D62)&gt;=1),"YES",countif('VISIT DATA'!$A:$A,$D62)=countif(D:D,$D62),"YES")</f>
        <v>NO</v>
      </c>
      <c r="F62" s="9" t="str">
        <f>ifs($A62=FALSE,"",$A62,VLOOKUP($A62,SCAN!A:D,3,0))</f>
        <v>DM</v>
      </c>
    </row>
    <row r="63">
      <c r="A63" s="16">
        <f>IFERROR(__xludf.DUMMYFUNCTION("""COMPUTED_VALUE"""),44546.460988611114)</f>
        <v>44546.46099</v>
      </c>
      <c r="B63" s="6">
        <f>ifs($A63=FALSE,"",$A63,VLOOKUP($A63,SCAN!A:D,4,0))</f>
        <v>14174</v>
      </c>
      <c r="C63" s="7">
        <f t="shared" si="1"/>
        <v>44546</v>
      </c>
      <c r="D63" s="17" t="str">
        <f t="shared" si="2"/>
        <v>1417444546</v>
      </c>
      <c r="E63" s="9" t="str">
        <f>ifs($D63="","",countif('VISIT DATA'!$A:$A,$D63)=countif(D:D,$D63),"YES",countif('VISIT DATA'!$A:$A,$D63)=0,"NO",and(countif(D:D,$D63)&gt;1,countif('VISIT DATA'!$A:$A,$D63)&gt;=1),"YES",countif('VISIT DATA'!$A:$A,$D63)=countif(D:D,$D63),"YES")</f>
        <v>NO</v>
      </c>
      <c r="F63" s="9" t="str">
        <f>ifs($A63=FALSE,"",$A63,VLOOKUP($A63,SCAN!A:D,3,0))</f>
        <v>DA</v>
      </c>
    </row>
    <row r="64">
      <c r="A64" s="16">
        <f>IFERROR(__xludf.DUMMYFUNCTION("""COMPUTED_VALUE"""),44546.48344704861)</f>
        <v>44546.48345</v>
      </c>
      <c r="B64" s="6">
        <f>ifs($A64=FALSE,"",$A64,VLOOKUP($A64,SCAN!A:D,4,0))</f>
        <v>10702</v>
      </c>
      <c r="C64" s="7">
        <f t="shared" si="1"/>
        <v>44546</v>
      </c>
      <c r="D64" s="17" t="str">
        <f t="shared" si="2"/>
        <v>1070244546</v>
      </c>
      <c r="E64" s="9" t="str">
        <f>ifs($D64="","",countif('VISIT DATA'!$A:$A,$D64)=countif(D:D,$D64),"YES",countif('VISIT DATA'!$A:$A,$D64)=0,"NO",and(countif(D:D,$D64)&gt;1,countif('VISIT DATA'!$A:$A,$D64)&gt;=1),"YES",countif('VISIT DATA'!$A:$A,$D64)=countif(D:D,$D64),"YES")</f>
        <v>NO</v>
      </c>
      <c r="F64" s="9" t="str">
        <f>ifs($A64=FALSE,"",$A64,VLOOKUP($A64,SCAN!A:D,3,0))</f>
        <v>DM</v>
      </c>
    </row>
    <row r="65">
      <c r="A65" s="16">
        <f>IFERROR(__xludf.DUMMYFUNCTION("""COMPUTED_VALUE"""),44546.48368362269)</f>
        <v>44546.48368</v>
      </c>
      <c r="B65" s="6">
        <f>ifs($A65=FALSE,"",$A65,VLOOKUP($A65,SCAN!A:D,4,0))</f>
        <v>10702</v>
      </c>
      <c r="C65" s="7">
        <f t="shared" si="1"/>
        <v>44546</v>
      </c>
      <c r="D65" s="17" t="str">
        <f t="shared" si="2"/>
        <v>1070244546</v>
      </c>
      <c r="E65" s="9" t="str">
        <f>ifs($D65="","",countif('VISIT DATA'!$A:$A,$D65)=countif(D:D,$D65),"YES",countif('VISIT DATA'!$A:$A,$D65)=0,"NO",and(countif(D:D,$D65)&gt;1,countif('VISIT DATA'!$A:$A,$D65)&gt;=1),"YES",countif('VISIT DATA'!$A:$A,$D65)=countif(D:D,$D65),"YES")</f>
        <v>NO</v>
      </c>
      <c r="F65" s="9" t="str">
        <f>ifs($A65=FALSE,"",$A65,VLOOKUP($A65,SCAN!A:D,3,0))</f>
        <v>DM</v>
      </c>
    </row>
    <row r="66">
      <c r="A66" s="16">
        <f>IFERROR(__xludf.DUMMYFUNCTION("""COMPUTED_VALUE"""),44546.498197141205)</f>
        <v>44546.4982</v>
      </c>
      <c r="B66" s="6">
        <f>ifs($A66=FALSE,"",$A66,VLOOKUP($A66,SCAN!A:D,4,0))</f>
        <v>11281</v>
      </c>
      <c r="C66" s="7">
        <f t="shared" si="1"/>
        <v>44546</v>
      </c>
      <c r="D66" s="17" t="str">
        <f t="shared" si="2"/>
        <v>1128144546</v>
      </c>
      <c r="E66" s="9" t="str">
        <f>ifs($D66="","",countif('VISIT DATA'!$A:$A,$D66)=countif(D:D,$D66),"YES",countif('VISIT DATA'!$A:$A,$D66)=0,"NO",and(countif(D:D,$D66)&gt;1,countif('VISIT DATA'!$A:$A,$D66)&gt;=1),"YES",countif('VISIT DATA'!$A:$A,$D66)=countif(D:D,$D66),"YES")</f>
        <v>NO</v>
      </c>
      <c r="F66" s="9" t="str">
        <f>ifs($A66=FALSE,"",$A66,VLOOKUP($A66,SCAN!A:D,3,0))</f>
        <v>CH</v>
      </c>
    </row>
    <row r="67">
      <c r="A67" s="16">
        <f>IFERROR(__xludf.DUMMYFUNCTION("""COMPUTED_VALUE"""),44546.49844905092)</f>
        <v>44546.49845</v>
      </c>
      <c r="B67" s="6">
        <f>ifs($A67=FALSE,"",$A67,VLOOKUP($A67,SCAN!A:D,4,0))</f>
        <v>16456</v>
      </c>
      <c r="C67" s="7">
        <f t="shared" si="1"/>
        <v>44546</v>
      </c>
      <c r="D67" s="17" t="str">
        <f t="shared" si="2"/>
        <v>1645644546</v>
      </c>
      <c r="E67" s="9" t="str">
        <f>ifs($D67="","",countif('VISIT DATA'!$A:$A,$D67)=countif(D:D,$D67),"YES",countif('VISIT DATA'!$A:$A,$D67)=0,"NO",and(countif(D:D,$D67)&gt;1,countif('VISIT DATA'!$A:$A,$D67)&gt;=1),"YES",countif('VISIT DATA'!$A:$A,$D67)=countif(D:D,$D67),"YES")</f>
        <v>NO</v>
      </c>
      <c r="F67" s="9" t="str">
        <f>ifs($A67=FALSE,"",$A67,VLOOKUP($A67,SCAN!A:D,3,0))</f>
        <v>CH</v>
      </c>
    </row>
    <row r="68">
      <c r="A68" s="16">
        <f>IFERROR(__xludf.DUMMYFUNCTION("""COMPUTED_VALUE"""),44546.49855076389)</f>
        <v>44546.49855</v>
      </c>
      <c r="B68" s="6">
        <f>ifs($A68=FALSE,"",$A68,VLOOKUP($A68,SCAN!A:D,4,0))</f>
        <v>15835</v>
      </c>
      <c r="C68" s="7">
        <f t="shared" si="1"/>
        <v>44546</v>
      </c>
      <c r="D68" s="17" t="str">
        <f t="shared" si="2"/>
        <v>1583544546</v>
      </c>
      <c r="E68" s="9" t="str">
        <f>ifs($D68="","",countif('VISIT DATA'!$A:$A,$D68)=countif(D:D,$D68),"YES",countif('VISIT DATA'!$A:$A,$D68)=0,"NO",and(countif(D:D,$D68)&gt;1,countif('VISIT DATA'!$A:$A,$D68)&gt;=1),"YES",countif('VISIT DATA'!$A:$A,$D68)=countif(D:D,$D68),"YES")</f>
        <v>NO</v>
      </c>
      <c r="F68" s="9" t="str">
        <f>ifs($A68=FALSE,"",$A68,VLOOKUP($A68,SCAN!A:D,3,0))</f>
        <v>DA</v>
      </c>
    </row>
    <row r="69">
      <c r="A69" s="16">
        <f>IFERROR(__xludf.DUMMYFUNCTION("""COMPUTED_VALUE"""),44546.49866012731)</f>
        <v>44546.49866</v>
      </c>
      <c r="B69" s="6">
        <f>ifs($A69=FALSE,"",$A69,VLOOKUP($A69,SCAN!A:D,4,0))</f>
        <v>9976</v>
      </c>
      <c r="C69" s="7">
        <f t="shared" si="1"/>
        <v>44546</v>
      </c>
      <c r="D69" s="17" t="str">
        <f t="shared" si="2"/>
        <v>997644546</v>
      </c>
      <c r="E69" s="9" t="str">
        <f>ifs($D69="","",countif('VISIT DATA'!$A:$A,$D69)=countif(D:D,$D69),"YES",countif('VISIT DATA'!$A:$A,$D69)=0,"NO",and(countif(D:D,$D69)&gt;1,countif('VISIT DATA'!$A:$A,$D69)&gt;=1),"YES",countif('VISIT DATA'!$A:$A,$D69)=countif(D:D,$D69),"YES")</f>
        <v>NO</v>
      </c>
      <c r="F69" s="9" t="str">
        <f>ifs($A69=FALSE,"",$A69,VLOOKUP($A69,SCAN!A:D,3,0))</f>
        <v>CH</v>
      </c>
    </row>
    <row r="70">
      <c r="A70" s="16">
        <f>IFERROR(__xludf.DUMMYFUNCTION("""COMPUTED_VALUE"""),44546.49882432871)</f>
        <v>44546.49882</v>
      </c>
      <c r="B70" s="6">
        <f>ifs($A70=FALSE,"",$A70,VLOOKUP($A70,SCAN!A:D,4,0))</f>
        <v>11701</v>
      </c>
      <c r="C70" s="7">
        <f t="shared" si="1"/>
        <v>44546</v>
      </c>
      <c r="D70" s="17" t="str">
        <f t="shared" si="2"/>
        <v>1170144546</v>
      </c>
      <c r="E70" s="9" t="str">
        <f>ifs($D70="","",countif('VISIT DATA'!$A:$A,$D70)=countif(D:D,$D70),"YES",countif('VISIT DATA'!$A:$A,$D70)=0,"NO",and(countif(D:D,$D70)&gt;1,countif('VISIT DATA'!$A:$A,$D70)&gt;=1),"YES",countif('VISIT DATA'!$A:$A,$D70)=countif(D:D,$D70),"YES")</f>
        <v>NO</v>
      </c>
      <c r="F70" s="9" t="str">
        <f>ifs($A70=FALSE,"",$A70,VLOOKUP($A70,SCAN!A:D,3,0))</f>
        <v>CH</v>
      </c>
    </row>
    <row r="71">
      <c r="A71" s="16">
        <f>IFERROR(__xludf.DUMMYFUNCTION("""COMPUTED_VALUE"""),44546.501808518515)</f>
        <v>44546.50181</v>
      </c>
      <c r="B71" s="6">
        <f>ifs($A71=FALSE,"",$A71,VLOOKUP($A71,SCAN!A:D,4,0))</f>
        <v>12204</v>
      </c>
      <c r="C71" s="7">
        <f t="shared" si="1"/>
        <v>44546</v>
      </c>
      <c r="D71" s="17" t="str">
        <f t="shared" si="2"/>
        <v>1220444546</v>
      </c>
      <c r="E71" s="9" t="str">
        <f>ifs($D71="","",countif('VISIT DATA'!$A:$A,$D71)=countif(D:D,$D71),"YES",countif('VISIT DATA'!$A:$A,$D71)=0,"NO",and(countif(D:D,$D71)&gt;1,countif('VISIT DATA'!$A:$A,$D71)&gt;=1),"YES",countif('VISIT DATA'!$A:$A,$D71)=countif(D:D,$D71),"YES")</f>
        <v>NO</v>
      </c>
      <c r="F71" s="9" t="str">
        <f>ifs($A71=FALSE,"",$A71,VLOOKUP($A71,SCAN!A:D,3,0))</f>
        <v>CH</v>
      </c>
    </row>
    <row r="72">
      <c r="A72" s="16">
        <f>IFERROR(__xludf.DUMMYFUNCTION("""COMPUTED_VALUE"""),44546.50199157407)</f>
        <v>44546.50199</v>
      </c>
      <c r="B72" s="6">
        <f>ifs($A72=FALSE,"",$A72,VLOOKUP($A72,SCAN!A:D,4,0))</f>
        <v>17009</v>
      </c>
      <c r="C72" s="7">
        <f t="shared" si="1"/>
        <v>44546</v>
      </c>
      <c r="D72" s="17" t="str">
        <f t="shared" si="2"/>
        <v>1700944546</v>
      </c>
      <c r="E72" s="9" t="str">
        <f>ifs($D72="","",countif('VISIT DATA'!$A:$A,$D72)=countif(D:D,$D72),"YES",countif('VISIT DATA'!$A:$A,$D72)=0,"NO",and(countif(D:D,$D72)&gt;1,countif('VISIT DATA'!$A:$A,$D72)&gt;=1),"YES",countif('VISIT DATA'!$A:$A,$D72)=countif(D:D,$D72),"YES")</f>
        <v>NO</v>
      </c>
      <c r="F72" s="9" t="str">
        <f>ifs($A72=FALSE,"",$A72,VLOOKUP($A72,SCAN!A:D,3,0))</f>
        <v>CH</v>
      </c>
    </row>
    <row r="73">
      <c r="A73" s="16">
        <f>IFERROR(__xludf.DUMMYFUNCTION("""COMPUTED_VALUE"""),44546.50215450232)</f>
        <v>44546.50215</v>
      </c>
      <c r="B73" s="6">
        <f>ifs($A73=FALSE,"",$A73,VLOOKUP($A73,SCAN!A:D,4,0))</f>
        <v>15485</v>
      </c>
      <c r="C73" s="7">
        <f t="shared" si="1"/>
        <v>44546</v>
      </c>
      <c r="D73" s="17" t="str">
        <f t="shared" si="2"/>
        <v>1548544546</v>
      </c>
      <c r="E73" s="9" t="str">
        <f>ifs($D73="","",countif('VISIT DATA'!$A:$A,$D73)=countif(D:D,$D73),"YES",countif('VISIT DATA'!$A:$A,$D73)=0,"NO",and(countif(D:D,$D73)&gt;1,countif('VISIT DATA'!$A:$A,$D73)&gt;=1),"YES",countif('VISIT DATA'!$A:$A,$D73)=countif(D:D,$D73),"YES")</f>
        <v>NO</v>
      </c>
      <c r="F73" s="9" t="str">
        <f>ifs($A73=FALSE,"",$A73,VLOOKUP($A73,SCAN!A:D,3,0))</f>
        <v>CH</v>
      </c>
    </row>
    <row r="74">
      <c r="A74" s="16">
        <f>IFERROR(__xludf.DUMMYFUNCTION("""COMPUTED_VALUE"""),44546.502359039354)</f>
        <v>44546.50236</v>
      </c>
      <c r="B74" s="6">
        <f>ifs($A74=FALSE,"",$A74,VLOOKUP($A74,SCAN!A:D,4,0))</f>
        <v>9286</v>
      </c>
      <c r="C74" s="7">
        <f t="shared" si="1"/>
        <v>44546</v>
      </c>
      <c r="D74" s="17" t="str">
        <f t="shared" si="2"/>
        <v>928644546</v>
      </c>
      <c r="E74" s="9" t="str">
        <f>ifs($D74="","",countif('VISIT DATA'!$A:$A,$D74)=countif(D:D,$D74),"YES",countif('VISIT DATA'!$A:$A,$D74)=0,"NO",and(countif(D:D,$D74)&gt;1,countif('VISIT DATA'!$A:$A,$D74)&gt;=1),"YES",countif('VISIT DATA'!$A:$A,$D74)=countif(D:D,$D74),"YES")</f>
        <v>NO</v>
      </c>
      <c r="F74" s="9" t="str">
        <f>ifs($A74=FALSE,"",$A74,VLOOKUP($A74,SCAN!A:D,3,0))</f>
        <v>CH</v>
      </c>
    </row>
    <row r="75">
      <c r="A75" s="16">
        <f>IFERROR(__xludf.DUMMYFUNCTION("""COMPUTED_VALUE"""),44546.50265700232)</f>
        <v>44546.50266</v>
      </c>
      <c r="B75" s="6">
        <f>ifs($A75=FALSE,"",$A75,VLOOKUP($A75,SCAN!A:D,4,0))</f>
        <v>10395</v>
      </c>
      <c r="C75" s="7">
        <f t="shared" si="1"/>
        <v>44546</v>
      </c>
      <c r="D75" s="17" t="str">
        <f t="shared" si="2"/>
        <v>1039544546</v>
      </c>
      <c r="E75" s="9" t="str">
        <f>ifs($D75="","",countif('VISIT DATA'!$A:$A,$D75)=countif(D:D,$D75),"YES",countif('VISIT DATA'!$A:$A,$D75)=0,"NO",and(countif(D:D,$D75)&gt;1,countif('VISIT DATA'!$A:$A,$D75)&gt;=1),"YES",countif('VISIT DATA'!$A:$A,$D75)=countif(D:D,$D75),"YES")</f>
        <v>NO</v>
      </c>
      <c r="F75" s="9" t="str">
        <f>ifs($A75=FALSE,"",$A75,VLOOKUP($A75,SCAN!A:D,3,0))</f>
        <v>CH</v>
      </c>
    </row>
    <row r="76">
      <c r="A76" s="16">
        <f>IFERROR(__xludf.DUMMYFUNCTION("""COMPUTED_VALUE"""),44546.50277571759)</f>
        <v>44546.50278</v>
      </c>
      <c r="B76" s="6">
        <f>ifs($A76=FALSE,"",$A76,VLOOKUP($A76,SCAN!A:D,4,0))</f>
        <v>9259</v>
      </c>
      <c r="C76" s="7">
        <f t="shared" si="1"/>
        <v>44546</v>
      </c>
      <c r="D76" s="17" t="str">
        <f t="shared" si="2"/>
        <v>925944546</v>
      </c>
      <c r="E76" s="9" t="str">
        <f>ifs($D76="","",countif('VISIT DATA'!$A:$A,$D76)=countif(D:D,$D76),"YES",countif('VISIT DATA'!$A:$A,$D76)=0,"NO",and(countif(D:D,$D76)&gt;1,countif('VISIT DATA'!$A:$A,$D76)&gt;=1),"YES",countif('VISIT DATA'!$A:$A,$D76)=countif(D:D,$D76),"YES")</f>
        <v>NO</v>
      </c>
      <c r="F76" s="9" t="str">
        <f>ifs($A76=FALSE,"",$A76,VLOOKUP($A76,SCAN!A:D,3,0))</f>
        <v>CH</v>
      </c>
    </row>
    <row r="77">
      <c r="A77" s="16">
        <f>IFERROR(__xludf.DUMMYFUNCTION("""COMPUTED_VALUE"""),44546.502974884264)</f>
        <v>44546.50297</v>
      </c>
      <c r="B77" s="6">
        <f>ifs($A77=FALSE,"",$A77,VLOOKUP($A77,SCAN!A:D,4,0))</f>
        <v>14187</v>
      </c>
      <c r="C77" s="7">
        <f t="shared" si="1"/>
        <v>44546</v>
      </c>
      <c r="D77" s="17" t="str">
        <f t="shared" si="2"/>
        <v>1418744546</v>
      </c>
      <c r="E77" s="9" t="str">
        <f>ifs($D77="","",countif('VISIT DATA'!$A:$A,$D77)=countif(D:D,$D77),"YES",countif('VISIT DATA'!$A:$A,$D77)=0,"NO",and(countif(D:D,$D77)&gt;1,countif('VISIT DATA'!$A:$A,$D77)&gt;=1),"YES",countif('VISIT DATA'!$A:$A,$D77)=countif(D:D,$D77),"YES")</f>
        <v>NO</v>
      </c>
      <c r="F77" s="9" t="str">
        <f>ifs($A77=FALSE,"",$A77,VLOOKUP($A77,SCAN!A:D,3,0))</f>
        <v>CH</v>
      </c>
    </row>
    <row r="78">
      <c r="A78" s="16">
        <f>IFERROR(__xludf.DUMMYFUNCTION("""COMPUTED_VALUE"""),44546.50329521991)</f>
        <v>44546.5033</v>
      </c>
      <c r="B78" s="6">
        <f>ifs($A78=FALSE,"",$A78,VLOOKUP($A78,SCAN!A:D,4,0))</f>
        <v>16635</v>
      </c>
      <c r="C78" s="7">
        <f t="shared" si="1"/>
        <v>44546</v>
      </c>
      <c r="D78" s="17" t="str">
        <f t="shared" si="2"/>
        <v>1663544546</v>
      </c>
      <c r="E78" s="9" t="str">
        <f>ifs($D78="","",countif('VISIT DATA'!$A:$A,$D78)=countif(D:D,$D78),"YES",countif('VISIT DATA'!$A:$A,$D78)=0,"NO",and(countif(D:D,$D78)&gt;1,countif('VISIT DATA'!$A:$A,$D78)&gt;=1),"YES",countif('VISIT DATA'!$A:$A,$D78)=countif(D:D,$D78),"YES")</f>
        <v>NO</v>
      </c>
      <c r="F78" s="9" t="str">
        <f>ifs($A78=FALSE,"",$A78,VLOOKUP($A78,SCAN!A:D,3,0))</f>
        <v>CH</v>
      </c>
    </row>
    <row r="79">
      <c r="A79" s="16">
        <f>IFERROR(__xludf.DUMMYFUNCTION("""COMPUTED_VALUE"""),44546.50340543981)</f>
        <v>44546.50341</v>
      </c>
      <c r="B79" s="6">
        <f>ifs($A79=FALSE,"",$A79,VLOOKUP($A79,SCAN!A:D,4,0))</f>
        <v>15466</v>
      </c>
      <c r="C79" s="7">
        <f t="shared" si="1"/>
        <v>44546</v>
      </c>
      <c r="D79" s="17" t="str">
        <f t="shared" si="2"/>
        <v>1546644546</v>
      </c>
      <c r="E79" s="9" t="str">
        <f>ifs($D79="","",countif('VISIT DATA'!$A:$A,$D79)=countif(D:D,$D79),"YES",countif('VISIT DATA'!$A:$A,$D79)=0,"NO",and(countif(D:D,$D79)&gt;1,countif('VISIT DATA'!$A:$A,$D79)&gt;=1),"YES",countif('VISIT DATA'!$A:$A,$D79)=countif(D:D,$D79),"YES")</f>
        <v>NO</v>
      </c>
      <c r="F79" s="9" t="str">
        <f>ifs($A79=FALSE,"",$A79,VLOOKUP($A79,SCAN!A:D,3,0))</f>
        <v>CH</v>
      </c>
    </row>
    <row r="80">
      <c r="A80" s="16">
        <f>IFERROR(__xludf.DUMMYFUNCTION("""COMPUTED_VALUE"""),44546.517954641204)</f>
        <v>44546.51795</v>
      </c>
      <c r="B80" s="6">
        <f>ifs($A80=FALSE,"",$A80,VLOOKUP($A80,SCAN!A:D,4,0))</f>
        <v>9945</v>
      </c>
      <c r="C80" s="7">
        <f t="shared" si="1"/>
        <v>44546</v>
      </c>
      <c r="D80" s="17" t="str">
        <f t="shared" si="2"/>
        <v>994544546</v>
      </c>
      <c r="E80" s="9" t="str">
        <f>ifs($D80="","",countif('VISIT DATA'!$A:$A,$D80)=countif(D:D,$D80),"YES",countif('VISIT DATA'!$A:$A,$D80)=0,"NO",and(countif(D:D,$D80)&gt;1,countif('VISIT DATA'!$A:$A,$D80)&gt;=1),"YES",countif('VISIT DATA'!$A:$A,$D80)=countif(D:D,$D80),"YES")</f>
        <v>NO</v>
      </c>
      <c r="F80" s="9" t="str">
        <f>ifs($A80=FALSE,"",$A80,VLOOKUP($A80,SCAN!A:D,3,0))</f>
        <v>DA</v>
      </c>
    </row>
    <row r="81">
      <c r="A81" s="16">
        <f>IFERROR(__xludf.DUMMYFUNCTION("""COMPUTED_VALUE"""),44546.57088868055)</f>
        <v>44546.57089</v>
      </c>
      <c r="B81" s="6">
        <f>ifs($A81=FALSE,"",$A81,VLOOKUP($A81,SCAN!A:D,4,0))</f>
        <v>12675</v>
      </c>
      <c r="C81" s="7">
        <f t="shared" si="1"/>
        <v>44546</v>
      </c>
      <c r="D81" s="17" t="str">
        <f t="shared" si="2"/>
        <v>1267544546</v>
      </c>
      <c r="E81" s="9" t="str">
        <f>ifs($D81="","",countif('VISIT DATA'!$A:$A,$D81)=countif(D:D,$D81),"YES",countif('VISIT DATA'!$A:$A,$D81)=0,"NO",and(countif(D:D,$D81)&gt;1,countif('VISIT DATA'!$A:$A,$D81)&gt;=1),"YES",countif('VISIT DATA'!$A:$A,$D81)=countif(D:D,$D81),"YES")</f>
        <v>NO</v>
      </c>
      <c r="F81" s="9" t="str">
        <f>ifs($A81=FALSE,"",$A81,VLOOKUP($A81,SCAN!A:D,3,0))</f>
        <v>DA</v>
      </c>
    </row>
    <row r="82">
      <c r="A82" s="16">
        <f>IFERROR(__xludf.DUMMYFUNCTION("""COMPUTED_VALUE"""),44546.57184427083)</f>
        <v>44546.57184</v>
      </c>
      <c r="B82" s="6">
        <f>ifs($A82=FALSE,"",$A82,VLOOKUP($A82,SCAN!A:D,4,0))</f>
        <v>12889</v>
      </c>
      <c r="C82" s="7">
        <f t="shared" si="1"/>
        <v>44546</v>
      </c>
      <c r="D82" s="17" t="str">
        <f t="shared" si="2"/>
        <v>1288944546</v>
      </c>
      <c r="E82" s="9" t="str">
        <f>ifs($D82="","",countif('VISIT DATA'!$A:$A,$D82)=countif(D:D,$D82),"YES",countif('VISIT DATA'!$A:$A,$D82)=0,"NO",and(countif(D:D,$D82)&gt;1,countif('VISIT DATA'!$A:$A,$D82)&gt;=1),"YES",countif('VISIT DATA'!$A:$A,$D82)=countif(D:D,$D82),"YES")</f>
        <v>NO</v>
      </c>
      <c r="F82" s="9" t="str">
        <f>ifs($A82=FALSE,"",$A82,VLOOKUP($A82,SCAN!A:D,3,0))</f>
        <v>DM</v>
      </c>
    </row>
    <row r="83">
      <c r="A83" s="16">
        <f>IFERROR(__xludf.DUMMYFUNCTION("""COMPUTED_VALUE"""),44546.572179826384)</f>
        <v>44546.57218</v>
      </c>
      <c r="B83" s="6">
        <f>ifs($A83=FALSE,"",$A83,VLOOKUP($A83,SCAN!A:D,4,0))</f>
        <v>12889</v>
      </c>
      <c r="C83" s="7">
        <f t="shared" si="1"/>
        <v>44546</v>
      </c>
      <c r="D83" s="17" t="str">
        <f t="shared" si="2"/>
        <v>1288944546</v>
      </c>
      <c r="E83" s="9" t="str">
        <f>ifs($D83="","",countif('VISIT DATA'!$A:$A,$D83)=countif(D:D,$D83),"YES",countif('VISIT DATA'!$A:$A,$D83)=0,"NO",and(countif(D:D,$D83)&gt;1,countif('VISIT DATA'!$A:$A,$D83)&gt;=1),"YES",countif('VISIT DATA'!$A:$A,$D83)=countif(D:D,$D83),"YES")</f>
        <v>NO</v>
      </c>
      <c r="F83" s="9" t="str">
        <f>ifs($A83=FALSE,"",$A83,VLOOKUP($A83,SCAN!A:D,3,0))</f>
        <v>DM</v>
      </c>
    </row>
    <row r="84">
      <c r="A84" s="16">
        <f>IFERROR(__xludf.DUMMYFUNCTION("""COMPUTED_VALUE"""),44546.57832410879)</f>
        <v>44546.57832</v>
      </c>
      <c r="B84" s="6">
        <f>ifs($A84=FALSE,"",$A84,VLOOKUP($A84,SCAN!A:D,4,0))</f>
        <v>14411</v>
      </c>
      <c r="C84" s="7">
        <f t="shared" si="1"/>
        <v>44546</v>
      </c>
      <c r="D84" s="17" t="str">
        <f t="shared" si="2"/>
        <v>1441144546</v>
      </c>
      <c r="E84" s="9" t="str">
        <f>ifs($D84="","",countif('VISIT DATA'!$A:$A,$D84)=countif(D:D,$D84),"YES",countif('VISIT DATA'!$A:$A,$D84)=0,"NO",and(countif(D:D,$D84)&gt;1,countif('VISIT DATA'!$A:$A,$D84)&gt;=1),"YES",countif('VISIT DATA'!$A:$A,$D84)=countif(D:D,$D84),"YES")</f>
        <v>NO</v>
      </c>
      <c r="F84" s="9" t="str">
        <f>ifs($A84=FALSE,"",$A84,VLOOKUP($A84,SCAN!A:D,3,0))</f>
        <v>DM</v>
      </c>
    </row>
    <row r="85">
      <c r="A85" s="16">
        <f>IFERROR(__xludf.DUMMYFUNCTION("""COMPUTED_VALUE"""),44546.578523923614)</f>
        <v>44546.57852</v>
      </c>
      <c r="B85" s="6">
        <f>ifs($A85=FALSE,"",$A85,VLOOKUP($A85,SCAN!A:D,4,0))</f>
        <v>14411</v>
      </c>
      <c r="C85" s="7">
        <f t="shared" si="1"/>
        <v>44546</v>
      </c>
      <c r="D85" s="17" t="str">
        <f t="shared" si="2"/>
        <v>1441144546</v>
      </c>
      <c r="E85" s="9" t="str">
        <f>ifs($D85="","",countif('VISIT DATA'!$A:$A,$D85)=countif(D:D,$D85),"YES",countif('VISIT DATA'!$A:$A,$D85)=0,"NO",and(countif(D:D,$D85)&gt;1,countif('VISIT DATA'!$A:$A,$D85)&gt;=1),"YES",countif('VISIT DATA'!$A:$A,$D85)=countif(D:D,$D85),"YES")</f>
        <v>NO</v>
      </c>
      <c r="F85" s="9" t="str">
        <f>ifs($A85=FALSE,"",$A85,VLOOKUP($A85,SCAN!A:D,3,0))</f>
        <v>DM</v>
      </c>
    </row>
    <row r="86">
      <c r="A86" s="16">
        <f>IFERROR(__xludf.DUMMYFUNCTION("""COMPUTED_VALUE"""),44546.58189519676)</f>
        <v>44546.5819</v>
      </c>
      <c r="B86" s="6">
        <f>ifs($A86=FALSE,"",$A86,VLOOKUP($A86,SCAN!A:D,4,0))</f>
        <v>10164</v>
      </c>
      <c r="C86" s="7">
        <f t="shared" si="1"/>
        <v>44546</v>
      </c>
      <c r="D86" s="17" t="str">
        <f t="shared" si="2"/>
        <v>1016444546</v>
      </c>
      <c r="E86" s="9" t="str">
        <f>ifs($D86="","",countif('VISIT DATA'!$A:$A,$D86)=countif(D:D,$D86),"YES",countif('VISIT DATA'!$A:$A,$D86)=0,"NO",and(countif(D:D,$D86)&gt;1,countif('VISIT DATA'!$A:$A,$D86)&gt;=1),"YES",countif('VISIT DATA'!$A:$A,$D86)=countif(D:D,$D86),"YES")</f>
        <v>NO</v>
      </c>
      <c r="F86" s="9" t="str">
        <f>ifs($A86=FALSE,"",$A86,VLOOKUP($A86,SCAN!A:D,3,0))</f>
        <v>DA</v>
      </c>
    </row>
    <row r="87">
      <c r="A87" s="16">
        <f>IFERROR(__xludf.DUMMYFUNCTION("""COMPUTED_VALUE"""),44546.58565540509)</f>
        <v>44546.58566</v>
      </c>
      <c r="B87" s="6">
        <f>ifs($A87=FALSE,"",$A87,VLOOKUP($A87,SCAN!A:D,4,0))</f>
        <v>10338</v>
      </c>
      <c r="C87" s="7">
        <f t="shared" si="1"/>
        <v>44546</v>
      </c>
      <c r="D87" s="17" t="str">
        <f t="shared" si="2"/>
        <v>1033844546</v>
      </c>
      <c r="E87" s="9" t="str">
        <f>ifs($D87="","",countif('VISIT DATA'!$A:$A,$D87)=countif(D:D,$D87),"YES",countif('VISIT DATA'!$A:$A,$D87)=0,"NO",and(countif(D:D,$D87)&gt;1,countif('VISIT DATA'!$A:$A,$D87)&gt;=1),"YES",countif('VISIT DATA'!$A:$A,$D87)=countif(D:D,$D87),"YES")</f>
        <v>NO</v>
      </c>
      <c r="F87" s="9" t="str">
        <f>ifs($A87=FALSE,"",$A87,VLOOKUP($A87,SCAN!A:D,3,0))</f>
        <v>CH</v>
      </c>
    </row>
    <row r="88">
      <c r="A88" s="16">
        <f>IFERROR(__xludf.DUMMYFUNCTION("""COMPUTED_VALUE"""),44546.59265519676)</f>
        <v>44546.59266</v>
      </c>
      <c r="B88" s="6">
        <f>ifs($A88=FALSE,"",$A88,VLOOKUP($A88,SCAN!A:D,4,0))</f>
        <v>16349</v>
      </c>
      <c r="C88" s="7">
        <f t="shared" si="1"/>
        <v>44546</v>
      </c>
      <c r="D88" s="17" t="str">
        <f t="shared" si="2"/>
        <v>1634944546</v>
      </c>
      <c r="E88" s="9" t="str">
        <f>ifs($D88="","",countif('VISIT DATA'!$A:$A,$D88)=countif(D:D,$D88),"YES",countif('VISIT DATA'!$A:$A,$D88)=0,"NO",and(countif(D:D,$D88)&gt;1,countif('VISIT DATA'!$A:$A,$D88)&gt;=1),"YES",countif('VISIT DATA'!$A:$A,$D88)=countif(D:D,$D88),"YES")</f>
        <v>NO</v>
      </c>
      <c r="F88" s="9" t="str">
        <f>ifs($A88=FALSE,"",$A88,VLOOKUP($A88,SCAN!A:D,3,0))</f>
        <v>DM</v>
      </c>
    </row>
    <row r="89">
      <c r="A89" s="16">
        <f>IFERROR(__xludf.DUMMYFUNCTION("""COMPUTED_VALUE"""),44546.592929375)</f>
        <v>44546.59293</v>
      </c>
      <c r="B89" s="6">
        <f>ifs($A89=FALSE,"",$A89,VLOOKUP($A89,SCAN!A:D,4,0))</f>
        <v>16349</v>
      </c>
      <c r="C89" s="7">
        <f t="shared" si="1"/>
        <v>44546</v>
      </c>
      <c r="D89" s="17" t="str">
        <f t="shared" si="2"/>
        <v>1634944546</v>
      </c>
      <c r="E89" s="9" t="str">
        <f>ifs($D89="","",countif('VISIT DATA'!$A:$A,$D89)=countif(D:D,$D89),"YES",countif('VISIT DATA'!$A:$A,$D89)=0,"NO",and(countif(D:D,$D89)&gt;1,countif('VISIT DATA'!$A:$A,$D89)&gt;=1),"YES",countif('VISIT DATA'!$A:$A,$D89)=countif(D:D,$D89),"YES")</f>
        <v>NO</v>
      </c>
      <c r="F89" s="9" t="str">
        <f>ifs($A89=FALSE,"",$A89,VLOOKUP($A89,SCAN!A:D,3,0))</f>
        <v>DM</v>
      </c>
    </row>
    <row r="90">
      <c r="A90" s="16">
        <f>IFERROR(__xludf.DUMMYFUNCTION("""COMPUTED_VALUE"""),44546.59631702546)</f>
        <v>44546.59632</v>
      </c>
      <c r="B90" s="6">
        <f>ifs($A90=FALSE,"",$A90,VLOOKUP($A90,SCAN!A:D,4,0))</f>
        <v>11906</v>
      </c>
      <c r="C90" s="7">
        <f t="shared" si="1"/>
        <v>44546</v>
      </c>
      <c r="D90" s="17" t="str">
        <f t="shared" si="2"/>
        <v>1190644546</v>
      </c>
      <c r="E90" s="9" t="str">
        <f>ifs($D90="","",countif('VISIT DATA'!$A:$A,$D90)=countif(D:D,$D90),"YES",countif('VISIT DATA'!$A:$A,$D90)=0,"NO",and(countif(D:D,$D90)&gt;1,countif('VISIT DATA'!$A:$A,$D90)&gt;=1),"YES",countif('VISIT DATA'!$A:$A,$D90)=countif(D:D,$D90),"YES")</f>
        <v>NO</v>
      </c>
      <c r="F90" s="9" t="str">
        <f>ifs($A90=FALSE,"",$A90,VLOOKUP($A90,SCAN!A:D,3,0))</f>
        <v>DM</v>
      </c>
    </row>
    <row r="91">
      <c r="A91" s="16">
        <f>IFERROR(__xludf.DUMMYFUNCTION("""COMPUTED_VALUE"""),44546.597094791665)</f>
        <v>44546.59709</v>
      </c>
      <c r="B91" s="6">
        <f>ifs($A91=FALSE,"",$A91,VLOOKUP($A91,SCAN!A:D,4,0))</f>
        <v>11906</v>
      </c>
      <c r="C91" s="7">
        <f t="shared" si="1"/>
        <v>44546</v>
      </c>
      <c r="D91" s="17" t="str">
        <f t="shared" si="2"/>
        <v>1190644546</v>
      </c>
      <c r="E91" s="9" t="str">
        <f>ifs($D91="","",countif('VISIT DATA'!$A:$A,$D91)=countif(D:D,$D91),"YES",countif('VISIT DATA'!$A:$A,$D91)=0,"NO",and(countif(D:D,$D91)&gt;1,countif('VISIT DATA'!$A:$A,$D91)&gt;=1),"YES",countif('VISIT DATA'!$A:$A,$D91)=countif(D:D,$D91),"YES")</f>
        <v>NO</v>
      </c>
      <c r="F91" s="9" t="str">
        <f>ifs($A91=FALSE,"",$A91,VLOOKUP($A91,SCAN!A:D,3,0))</f>
        <v>DM</v>
      </c>
    </row>
    <row r="92">
      <c r="A92" s="16">
        <f>IFERROR(__xludf.DUMMYFUNCTION("""COMPUTED_VALUE"""),44546.59898414352)</f>
        <v>44546.59898</v>
      </c>
      <c r="B92" s="6">
        <f>ifs($A92=FALSE,"",$A92,VLOOKUP($A92,SCAN!A:D,4,0))</f>
        <v>10723</v>
      </c>
      <c r="C92" s="7">
        <f t="shared" si="1"/>
        <v>44546</v>
      </c>
      <c r="D92" s="17" t="str">
        <f t="shared" si="2"/>
        <v>1072344546</v>
      </c>
      <c r="E92" s="9" t="str">
        <f>ifs($D92="","",countif('VISIT DATA'!$A:$A,$D92)=countif(D:D,$D92),"YES",countif('VISIT DATA'!$A:$A,$D92)=0,"NO",and(countif(D:D,$D92)&gt;1,countif('VISIT DATA'!$A:$A,$D92)&gt;=1),"YES",countif('VISIT DATA'!$A:$A,$D92)=countif(D:D,$D92),"YES")</f>
        <v>NO</v>
      </c>
      <c r="F92" s="9" t="str">
        <f>ifs($A92=FALSE,"",$A92,VLOOKUP($A92,SCAN!A:D,3,0))</f>
        <v>CH</v>
      </c>
    </row>
    <row r="93">
      <c r="A93" s="16">
        <f>IFERROR(__xludf.DUMMYFUNCTION("""COMPUTED_VALUE"""),44546.599388055554)</f>
        <v>44546.59939</v>
      </c>
      <c r="B93" s="6">
        <f>ifs($A93=FALSE,"",$A93,VLOOKUP($A93,SCAN!A:D,4,0))</f>
        <v>10330</v>
      </c>
      <c r="C93" s="7">
        <f t="shared" si="1"/>
        <v>44546</v>
      </c>
      <c r="D93" s="17" t="str">
        <f t="shared" si="2"/>
        <v>1033044546</v>
      </c>
      <c r="E93" s="9" t="str">
        <f>ifs($D93="","",countif('VISIT DATA'!$A:$A,$D93)=countif(D:D,$D93),"YES",countif('VISIT DATA'!$A:$A,$D93)=0,"NO",and(countif(D:D,$D93)&gt;1,countif('VISIT DATA'!$A:$A,$D93)&gt;=1),"YES",countif('VISIT DATA'!$A:$A,$D93)=countif(D:D,$D93),"YES")</f>
        <v>NO</v>
      </c>
      <c r="F93" s="9" t="str">
        <f>ifs($A93=FALSE,"",$A93,VLOOKUP($A93,SCAN!A:D,3,0))</f>
        <v>DA</v>
      </c>
    </row>
    <row r="94">
      <c r="A94" s="16">
        <f>IFERROR(__xludf.DUMMYFUNCTION("""COMPUTED_VALUE"""),44546.60387172454)</f>
        <v>44546.60387</v>
      </c>
      <c r="B94" s="6">
        <f>ifs($A94=FALSE,"",$A94,VLOOKUP($A94,SCAN!A:D,4,0))</f>
        <v>15879</v>
      </c>
      <c r="C94" s="7">
        <f t="shared" si="1"/>
        <v>44546</v>
      </c>
      <c r="D94" s="17" t="str">
        <f t="shared" si="2"/>
        <v>1587944546</v>
      </c>
      <c r="E94" s="9" t="str">
        <f>ifs($D94="","",countif('VISIT DATA'!$A:$A,$D94)=countif(D:D,$D94),"YES",countif('VISIT DATA'!$A:$A,$D94)=0,"NO",and(countif(D:D,$D94)&gt;1,countif('VISIT DATA'!$A:$A,$D94)&gt;=1),"YES",countif('VISIT DATA'!$A:$A,$D94)=countif(D:D,$D94),"YES")</f>
        <v>NO</v>
      </c>
      <c r="F94" s="9" t="str">
        <f>ifs($A94=FALSE,"",$A94,VLOOKUP($A94,SCAN!A:D,3,0))</f>
        <v>DM</v>
      </c>
    </row>
    <row r="95">
      <c r="A95" s="16">
        <f>IFERROR(__xludf.DUMMYFUNCTION("""COMPUTED_VALUE"""),44546.60422940972)</f>
        <v>44546.60423</v>
      </c>
      <c r="B95" s="6">
        <f>ifs($A95=FALSE,"",$A95,VLOOKUP($A95,SCAN!A:D,4,0))</f>
        <v>15879</v>
      </c>
      <c r="C95" s="7">
        <f t="shared" si="1"/>
        <v>44546</v>
      </c>
      <c r="D95" s="17" t="str">
        <f t="shared" si="2"/>
        <v>1587944546</v>
      </c>
      <c r="E95" s="9" t="str">
        <f>ifs($D95="","",countif('VISIT DATA'!$A:$A,$D95)=countif(D:D,$D95),"YES",countif('VISIT DATA'!$A:$A,$D95)=0,"NO",and(countif(D:D,$D95)&gt;1,countif('VISIT DATA'!$A:$A,$D95)&gt;=1),"YES",countif('VISIT DATA'!$A:$A,$D95)=countif(D:D,$D95),"YES")</f>
        <v>NO</v>
      </c>
      <c r="F95" s="9" t="str">
        <f>ifs($A95=FALSE,"",$A95,VLOOKUP($A95,SCAN!A:D,3,0))</f>
        <v>DM</v>
      </c>
    </row>
    <row r="96">
      <c r="A96" s="16">
        <f>IFERROR(__xludf.DUMMYFUNCTION("""COMPUTED_VALUE"""),44546.60605418982)</f>
        <v>44546.60605</v>
      </c>
      <c r="B96" s="6">
        <f>ifs($A96=FALSE,"",$A96,VLOOKUP($A96,SCAN!A:D,4,0))</f>
        <v>14691</v>
      </c>
      <c r="C96" s="7">
        <f t="shared" si="1"/>
        <v>44546</v>
      </c>
      <c r="D96" s="17" t="str">
        <f t="shared" si="2"/>
        <v>1469144546</v>
      </c>
      <c r="E96" s="9" t="str">
        <f>ifs($D96="","",countif('VISIT DATA'!$A:$A,$D96)=countif(D:D,$D96),"YES",countif('VISIT DATA'!$A:$A,$D96)=0,"NO",and(countif(D:D,$D96)&gt;1,countif('VISIT DATA'!$A:$A,$D96)&gt;=1),"YES",countif('VISIT DATA'!$A:$A,$D96)=countif(D:D,$D96),"YES")</f>
        <v>NO</v>
      </c>
      <c r="F96" s="9" t="str">
        <f>ifs($A96=FALSE,"",$A96,VLOOKUP($A96,SCAN!A:D,3,0))</f>
        <v>DA</v>
      </c>
    </row>
    <row r="97">
      <c r="A97" s="16">
        <f>IFERROR(__xludf.DUMMYFUNCTION("""COMPUTED_VALUE"""),44546.625530405094)</f>
        <v>44546.62553</v>
      </c>
      <c r="B97" s="6">
        <f>ifs($A97=FALSE,"",$A97,VLOOKUP($A97,SCAN!A:D,4,0))</f>
        <v>17722</v>
      </c>
      <c r="C97" s="7">
        <f t="shared" si="1"/>
        <v>44546</v>
      </c>
      <c r="D97" s="17" t="str">
        <f t="shared" si="2"/>
        <v>1772244546</v>
      </c>
      <c r="E97" s="9" t="str">
        <f>ifs($D97="","",countif('VISIT DATA'!$A:$A,$D97)=countif(D:D,$D97),"YES",countif('VISIT DATA'!$A:$A,$D97)=0,"NO",and(countif(D:D,$D97)&gt;1,countif('VISIT DATA'!$A:$A,$D97)&gt;=1),"YES",countif('VISIT DATA'!$A:$A,$D97)=countif(D:D,$D97),"YES")</f>
        <v>NO</v>
      </c>
      <c r="F97" s="9" t="str">
        <f>ifs($A97=FALSE,"",$A97,VLOOKUP($A97,SCAN!A:D,3,0))</f>
        <v>CH</v>
      </c>
    </row>
    <row r="98">
      <c r="A98" s="16">
        <f>IFERROR(__xludf.DUMMYFUNCTION("""COMPUTED_VALUE"""),44546.62585009259)</f>
        <v>44546.62585</v>
      </c>
      <c r="B98" s="6">
        <f>ifs($A98=FALSE,"",$A98,VLOOKUP($A98,SCAN!A:D,4,0))</f>
        <v>13972</v>
      </c>
      <c r="C98" s="7">
        <f t="shared" si="1"/>
        <v>44546</v>
      </c>
      <c r="D98" s="17" t="str">
        <f t="shared" si="2"/>
        <v>1397244546</v>
      </c>
      <c r="E98" s="9" t="str">
        <f>ifs($D98="","",countif('VISIT DATA'!$A:$A,$D98)=countif(D:D,$D98),"YES",countif('VISIT DATA'!$A:$A,$D98)=0,"NO",and(countif(D:D,$D98)&gt;1,countif('VISIT DATA'!$A:$A,$D98)&gt;=1),"YES",countif('VISIT DATA'!$A:$A,$D98)=countif(D:D,$D98),"YES")</f>
        <v>NO</v>
      </c>
      <c r="F98" s="9" t="str">
        <f>ifs($A98=FALSE,"",$A98,VLOOKUP($A98,SCAN!A:D,3,0))</f>
        <v>LM</v>
      </c>
    </row>
    <row r="99">
      <c r="A99" s="16">
        <f>IFERROR(__xludf.DUMMYFUNCTION("""COMPUTED_VALUE"""),44546.63741539352)</f>
        <v>44546.63742</v>
      </c>
      <c r="B99" s="6">
        <f>ifs($A99=FALSE,"",$A99,VLOOKUP($A99,SCAN!A:D,4,0))</f>
        <v>9143</v>
      </c>
      <c r="C99" s="7">
        <f t="shared" si="1"/>
        <v>44546</v>
      </c>
      <c r="D99" s="17" t="str">
        <f t="shared" si="2"/>
        <v>914344546</v>
      </c>
      <c r="E99" s="9" t="str">
        <f>ifs($D99="","",countif('VISIT DATA'!$A:$A,$D99)=countif(D:D,$D99),"YES",countif('VISIT DATA'!$A:$A,$D99)=0,"NO",and(countif(D:D,$D99)&gt;1,countif('VISIT DATA'!$A:$A,$D99)&gt;=1),"YES",countif('VISIT DATA'!$A:$A,$D99)=countif(D:D,$D99),"YES")</f>
        <v>NO</v>
      </c>
      <c r="F99" s="9" t="str">
        <f>ifs($A99=FALSE,"",$A99,VLOOKUP($A99,SCAN!A:D,3,0))</f>
        <v>CH</v>
      </c>
    </row>
    <row r="100">
      <c r="A100" s="16">
        <f>IFERROR(__xludf.DUMMYFUNCTION("""COMPUTED_VALUE"""),44546.63756665509)</f>
        <v>44546.63757</v>
      </c>
      <c r="B100" s="6">
        <f>ifs($A100=FALSE,"",$A100,VLOOKUP($A100,SCAN!A:D,4,0))</f>
        <v>17707</v>
      </c>
      <c r="C100" s="7">
        <f t="shared" si="1"/>
        <v>44546</v>
      </c>
      <c r="D100" s="17" t="str">
        <f t="shared" si="2"/>
        <v>1770744546</v>
      </c>
      <c r="E100" s="9" t="str">
        <f>ifs($D100="","",countif('VISIT DATA'!$A:$A,$D100)=countif(D:D,$D100),"YES",countif('VISIT DATA'!$A:$A,$D100)=0,"NO",and(countif(D:D,$D100)&gt;1,countif('VISIT DATA'!$A:$A,$D100)&gt;=1),"YES",countif('VISIT DATA'!$A:$A,$D100)=countif(D:D,$D100),"YES")</f>
        <v>NO</v>
      </c>
      <c r="F100" s="9" t="str">
        <f>ifs($A100=FALSE,"",$A100,VLOOKUP($A100,SCAN!A:D,3,0))</f>
        <v>CH</v>
      </c>
    </row>
    <row r="101">
      <c r="A101" s="16">
        <f>IFERROR(__xludf.DUMMYFUNCTION("""COMPUTED_VALUE"""),44546.63772195602)</f>
        <v>44546.63772</v>
      </c>
      <c r="B101" s="6">
        <f>ifs($A101=FALSE,"",$A101,VLOOKUP($A101,SCAN!A:D,4,0))</f>
        <v>17707</v>
      </c>
      <c r="C101" s="7">
        <f t="shared" si="1"/>
        <v>44546</v>
      </c>
      <c r="D101" s="17" t="str">
        <f t="shared" si="2"/>
        <v>1770744546</v>
      </c>
      <c r="E101" s="9" t="str">
        <f>ifs($D101="","",countif('VISIT DATA'!$A:$A,$D101)=countif(D:D,$D101),"YES",countif('VISIT DATA'!$A:$A,$D101)=0,"NO",and(countif(D:D,$D101)&gt;1,countif('VISIT DATA'!$A:$A,$D101)&gt;=1),"YES",countif('VISIT DATA'!$A:$A,$D101)=countif(D:D,$D101),"YES")</f>
        <v>NO</v>
      </c>
      <c r="F101" s="9" t="str">
        <f>ifs($A101=FALSE,"",$A101,VLOOKUP($A101,SCAN!A:D,3,0))</f>
        <v>CH</v>
      </c>
    </row>
    <row r="102">
      <c r="A102" s="16">
        <f>IFERROR(__xludf.DUMMYFUNCTION("""COMPUTED_VALUE"""),44546.637965312504)</f>
        <v>44546.63797</v>
      </c>
      <c r="B102" s="6">
        <f>ifs($A102=FALSE,"",$A102,VLOOKUP($A102,SCAN!A:D,4,0))</f>
        <v>17707</v>
      </c>
      <c r="C102" s="7">
        <f t="shared" si="1"/>
        <v>44546</v>
      </c>
      <c r="D102" s="17" t="str">
        <f t="shared" si="2"/>
        <v>1770744546</v>
      </c>
      <c r="E102" s="9" t="str">
        <f>ifs($D102="","",countif('VISIT DATA'!$A:$A,$D102)=countif(D:D,$D102),"YES",countif('VISIT DATA'!$A:$A,$D102)=0,"NO",and(countif(D:D,$D102)&gt;1,countif('VISIT DATA'!$A:$A,$D102)&gt;=1),"YES",countif('VISIT DATA'!$A:$A,$D102)=countif(D:D,$D102),"YES")</f>
        <v>NO</v>
      </c>
      <c r="F102" s="9" t="str">
        <f>ifs($A102=FALSE,"",$A102,VLOOKUP($A102,SCAN!A:D,3,0))</f>
        <v>CH</v>
      </c>
    </row>
    <row r="103">
      <c r="A103" s="16">
        <f>IFERROR(__xludf.DUMMYFUNCTION("""COMPUTED_VALUE"""),44546.64537371528)</f>
        <v>44546.64537</v>
      </c>
      <c r="B103" s="6">
        <f>ifs($A103=FALSE,"",$A103,VLOOKUP($A103,SCAN!A:D,4,0))</f>
        <v>15689</v>
      </c>
      <c r="C103" s="7">
        <f t="shared" si="1"/>
        <v>44546</v>
      </c>
      <c r="D103" s="17" t="str">
        <f t="shared" si="2"/>
        <v>1568944546</v>
      </c>
      <c r="E103" s="9" t="str">
        <f>ifs($D103="","",countif('VISIT DATA'!$A:$A,$D103)=countif(D:D,$D103),"YES",countif('VISIT DATA'!$A:$A,$D103)=0,"NO",and(countif(D:D,$D103)&gt;1,countif('VISIT DATA'!$A:$A,$D103)&gt;=1),"YES",countif('VISIT DATA'!$A:$A,$D103)=countif(D:D,$D103),"YES")</f>
        <v>NO</v>
      </c>
      <c r="F103" s="9" t="str">
        <f>ifs($A103=FALSE,"",$A103,VLOOKUP($A103,SCAN!A:D,3,0))</f>
        <v>DM</v>
      </c>
    </row>
    <row r="104">
      <c r="A104" s="16">
        <f>IFERROR(__xludf.DUMMYFUNCTION("""COMPUTED_VALUE"""),44546.64564447917)</f>
        <v>44546.64564</v>
      </c>
      <c r="B104" s="6">
        <f>ifs($A104=FALSE,"",$A104,VLOOKUP($A104,SCAN!A:D,4,0))</f>
        <v>15689</v>
      </c>
      <c r="C104" s="7">
        <f t="shared" si="1"/>
        <v>44546</v>
      </c>
      <c r="D104" s="17" t="str">
        <f t="shared" si="2"/>
        <v>1568944546</v>
      </c>
      <c r="E104" s="9" t="str">
        <f>ifs($D104="","",countif('VISIT DATA'!$A:$A,$D104)=countif(D:D,$D104),"YES",countif('VISIT DATA'!$A:$A,$D104)=0,"NO",and(countif(D:D,$D104)&gt;1,countif('VISIT DATA'!$A:$A,$D104)&gt;=1),"YES",countif('VISIT DATA'!$A:$A,$D104)=countif(D:D,$D104),"YES")</f>
        <v>NO</v>
      </c>
      <c r="F104" s="9" t="str">
        <f>ifs($A104=FALSE,"",$A104,VLOOKUP($A104,SCAN!A:D,3,0))</f>
        <v>DC</v>
      </c>
    </row>
    <row r="105">
      <c r="A105" s="16">
        <f>IFERROR(__xludf.DUMMYFUNCTION("""COMPUTED_VALUE"""),44546.656462025465)</f>
        <v>44546.65646</v>
      </c>
      <c r="B105" s="6">
        <f>ifs($A105=FALSE,"",$A105,VLOOKUP($A105,SCAN!A:D,4,0))</f>
        <v>12512</v>
      </c>
      <c r="C105" s="7">
        <f t="shared" si="1"/>
        <v>44546</v>
      </c>
      <c r="D105" s="17" t="str">
        <f t="shared" si="2"/>
        <v>1251244546</v>
      </c>
      <c r="E105" s="9" t="str">
        <f>ifs($D105="","",countif('VISIT DATA'!$A:$A,$D105)=countif(D:D,$D105),"YES",countif('VISIT DATA'!$A:$A,$D105)=0,"NO",and(countif(D:D,$D105)&gt;1,countif('VISIT DATA'!$A:$A,$D105)&gt;=1),"YES",countif('VISIT DATA'!$A:$A,$D105)=countif(D:D,$D105),"YES")</f>
        <v>NO</v>
      </c>
      <c r="F105" s="9" t="str">
        <f>ifs($A105=FALSE,"",$A105,VLOOKUP($A105,SCAN!A:D,3,0))</f>
        <v>DM</v>
      </c>
    </row>
    <row r="106">
      <c r="A106" s="16">
        <f>IFERROR(__xludf.DUMMYFUNCTION("""COMPUTED_VALUE"""),44546.65670820602)</f>
        <v>44546.65671</v>
      </c>
      <c r="B106" s="6">
        <f>ifs($A106=FALSE,"",$A106,VLOOKUP($A106,SCAN!A:D,4,0))</f>
        <v>12512</v>
      </c>
      <c r="C106" s="7">
        <f t="shared" si="1"/>
        <v>44546</v>
      </c>
      <c r="D106" s="17" t="str">
        <f t="shared" si="2"/>
        <v>1251244546</v>
      </c>
      <c r="E106" s="9" t="str">
        <f>ifs($D106="","",countif('VISIT DATA'!$A:$A,$D106)=countif(D:D,$D106),"YES",countif('VISIT DATA'!$A:$A,$D106)=0,"NO",and(countif(D:D,$D106)&gt;1,countif('VISIT DATA'!$A:$A,$D106)&gt;=1),"YES",countif('VISIT DATA'!$A:$A,$D106)=countif(D:D,$D106),"YES")</f>
        <v>NO</v>
      </c>
      <c r="F106" s="9" t="str">
        <f>ifs($A106=FALSE,"",$A106,VLOOKUP($A106,SCAN!A:D,3,0))</f>
        <v>DM</v>
      </c>
    </row>
    <row r="107">
      <c r="A107" s="16">
        <f>IFERROR(__xludf.DUMMYFUNCTION("""COMPUTED_VALUE"""),44546.66194925926)</f>
        <v>44546.66195</v>
      </c>
      <c r="B107" s="6">
        <f>ifs($A107=FALSE,"",$A107,VLOOKUP($A107,SCAN!A:D,4,0))</f>
        <v>15620</v>
      </c>
      <c r="C107" s="7">
        <f t="shared" si="1"/>
        <v>44546</v>
      </c>
      <c r="D107" s="17" t="str">
        <f t="shared" si="2"/>
        <v>1562044546</v>
      </c>
      <c r="E107" s="9" t="str">
        <f>ifs($D107="","",countif('VISIT DATA'!$A:$A,$D107)=countif(D:D,$D107),"YES",countif('VISIT DATA'!$A:$A,$D107)=0,"NO",and(countif(D:D,$D107)&gt;1,countif('VISIT DATA'!$A:$A,$D107)&gt;=1),"YES",countif('VISIT DATA'!$A:$A,$D107)=countif(D:D,$D107),"YES")</f>
        <v>NO</v>
      </c>
      <c r="F107" s="9" t="str">
        <f>ifs($A107=FALSE,"",$A107,VLOOKUP($A107,SCAN!A:D,3,0))</f>
        <v>DA</v>
      </c>
    </row>
    <row r="108">
      <c r="A108" s="16">
        <f>IFERROR(__xludf.DUMMYFUNCTION("""COMPUTED_VALUE"""),44546.66542100694)</f>
        <v>44546.66542</v>
      </c>
      <c r="B108" s="6">
        <f>ifs($A108=FALSE,"",$A108,VLOOKUP($A108,SCAN!A:D,4,0))</f>
        <v>15803</v>
      </c>
      <c r="C108" s="7">
        <f t="shared" si="1"/>
        <v>44546</v>
      </c>
      <c r="D108" s="17" t="str">
        <f t="shared" si="2"/>
        <v>1580344546</v>
      </c>
      <c r="E108" s="9" t="str">
        <f>ifs($D108="","",countif('VISIT DATA'!$A:$A,$D108)=countif(D:D,$D108),"YES",countif('VISIT DATA'!$A:$A,$D108)=0,"NO",and(countif(D:D,$D108)&gt;1,countif('VISIT DATA'!$A:$A,$D108)&gt;=1),"YES",countif('VISIT DATA'!$A:$A,$D108)=countif(D:D,$D108),"YES")</f>
        <v>NO</v>
      </c>
      <c r="F108" s="9" t="str">
        <f>ifs($A108=FALSE,"",$A108,VLOOKUP($A108,SCAN!A:D,3,0))</f>
        <v>DM</v>
      </c>
    </row>
    <row r="109">
      <c r="A109" s="16">
        <f>IFERROR(__xludf.DUMMYFUNCTION("""COMPUTED_VALUE"""),44546.66560155092)</f>
        <v>44546.6656</v>
      </c>
      <c r="B109" s="6">
        <f>ifs($A109=FALSE,"",$A109,VLOOKUP($A109,SCAN!A:D,4,0))</f>
        <v>15803</v>
      </c>
      <c r="C109" s="7">
        <f t="shared" si="1"/>
        <v>44546</v>
      </c>
      <c r="D109" s="17" t="str">
        <f t="shared" si="2"/>
        <v>1580344546</v>
      </c>
      <c r="E109" s="9" t="str">
        <f>ifs($D109="","",countif('VISIT DATA'!$A:$A,$D109)=countif(D:D,$D109),"YES",countif('VISIT DATA'!$A:$A,$D109)=0,"NO",and(countif(D:D,$D109)&gt;1,countif('VISIT DATA'!$A:$A,$D109)&gt;=1),"YES",countif('VISIT DATA'!$A:$A,$D109)=countif(D:D,$D109),"YES")</f>
        <v>NO</v>
      </c>
      <c r="F109" s="9" t="str">
        <f>ifs($A109=FALSE,"",$A109,VLOOKUP($A109,SCAN!A:D,3,0))</f>
        <v>DM</v>
      </c>
    </row>
    <row r="110">
      <c r="A110" s="16">
        <f>IFERROR(__xludf.DUMMYFUNCTION("""COMPUTED_VALUE"""),44547.37061362268)</f>
        <v>44547.37061</v>
      </c>
      <c r="B110" s="6">
        <f>ifs($A110=FALSE,"",$A110,VLOOKUP($A110,SCAN!A:D,4,0))</f>
        <v>15335</v>
      </c>
      <c r="C110" s="7">
        <f t="shared" si="1"/>
        <v>44547</v>
      </c>
      <c r="D110" s="17" t="str">
        <f t="shared" si="2"/>
        <v>1533544547</v>
      </c>
      <c r="E110" s="9" t="str">
        <f>ifs($D110="","",countif('VISIT DATA'!$A:$A,$D110)=countif(D:D,$D110),"YES",countif('VISIT DATA'!$A:$A,$D110)=0,"NO",and(countif(D:D,$D110)&gt;1,countif('VISIT DATA'!$A:$A,$D110)&gt;=1),"YES",countif('VISIT DATA'!$A:$A,$D110)=countif(D:D,$D110),"YES")</f>
        <v>NO</v>
      </c>
      <c r="F110" s="9" t="str">
        <f>ifs($A110=FALSE,"",$A110,VLOOKUP($A110,SCAN!A:D,3,0))</f>
        <v>DA</v>
      </c>
    </row>
    <row r="111">
      <c r="A111" s="16">
        <f>IFERROR(__xludf.DUMMYFUNCTION("""COMPUTED_VALUE"""),44547.37197604167)</f>
        <v>44547.37198</v>
      </c>
      <c r="B111" s="6">
        <f>ifs($A111=FALSE,"",$A111,VLOOKUP($A111,SCAN!A:D,4,0))</f>
        <v>12862</v>
      </c>
      <c r="C111" s="7">
        <f t="shared" si="1"/>
        <v>44547</v>
      </c>
      <c r="D111" s="17" t="str">
        <f t="shared" si="2"/>
        <v>1286244547</v>
      </c>
      <c r="E111" s="9" t="str">
        <f>ifs($D111="","",countif('VISIT DATA'!$A:$A,$D111)=countif(D:D,$D111),"YES",countif('VISIT DATA'!$A:$A,$D111)=0,"NO",and(countif(D:D,$D111)&gt;1,countif('VISIT DATA'!$A:$A,$D111)&gt;=1),"YES",countif('VISIT DATA'!$A:$A,$D111)=countif(D:D,$D111),"YES")</f>
        <v>NO</v>
      </c>
      <c r="F111" s="9" t="str">
        <f>ifs($A111=FALSE,"",$A111,VLOOKUP($A111,SCAN!A:D,3,0))</f>
        <v>DA</v>
      </c>
    </row>
    <row r="112">
      <c r="A112" s="16">
        <f>IFERROR(__xludf.DUMMYFUNCTION("""COMPUTED_VALUE"""),44547.372147291666)</f>
        <v>44547.37215</v>
      </c>
      <c r="B112" s="6">
        <f>ifs($A112=FALSE,"",$A112,VLOOKUP($A112,SCAN!A:D,4,0))</f>
        <v>15309</v>
      </c>
      <c r="C112" s="7">
        <f t="shared" si="1"/>
        <v>44547</v>
      </c>
      <c r="D112" s="17" t="str">
        <f t="shared" si="2"/>
        <v>1530944547</v>
      </c>
      <c r="E112" s="9" t="str">
        <f>ifs($D112="","",countif('VISIT DATA'!$A:$A,$D112)=countif(D:D,$D112),"YES",countif('VISIT DATA'!$A:$A,$D112)=0,"NO",and(countif(D:D,$D112)&gt;1,countif('VISIT DATA'!$A:$A,$D112)&gt;=1),"YES",countif('VISIT DATA'!$A:$A,$D112)=countif(D:D,$D112),"YES")</f>
        <v>NO</v>
      </c>
      <c r="F112" s="9" t="str">
        <f>ifs($A112=FALSE,"",$A112,VLOOKUP($A112,SCAN!A:D,3,0))</f>
        <v>DA</v>
      </c>
    </row>
    <row r="113">
      <c r="A113" s="16">
        <f>IFERROR(__xludf.DUMMYFUNCTION("""COMPUTED_VALUE"""),44547.3841744213)</f>
        <v>44547.38417</v>
      </c>
      <c r="B113" s="6">
        <f>ifs($A113=FALSE,"",$A113,VLOOKUP($A113,SCAN!A:D,4,0))</f>
        <v>16482</v>
      </c>
      <c r="C113" s="7">
        <f t="shared" si="1"/>
        <v>44547</v>
      </c>
      <c r="D113" s="17" t="str">
        <f t="shared" si="2"/>
        <v>1648244547</v>
      </c>
      <c r="E113" s="9" t="str">
        <f>ifs($D113="","",countif('VISIT DATA'!$A:$A,$D113)=countif(D:D,$D113),"YES",countif('VISIT DATA'!$A:$A,$D113)=0,"NO",and(countif(D:D,$D113)&gt;1,countif('VISIT DATA'!$A:$A,$D113)&gt;=1),"YES",countif('VISIT DATA'!$A:$A,$D113)=countif(D:D,$D113),"YES")</f>
        <v>NO</v>
      </c>
      <c r="F113" s="9" t="str">
        <f>ifs($A113=FALSE,"",$A113,VLOOKUP($A113,SCAN!A:D,3,0))</f>
        <v>DA</v>
      </c>
    </row>
    <row r="114">
      <c r="A114" s="16">
        <f>IFERROR(__xludf.DUMMYFUNCTION("""COMPUTED_VALUE"""),44547.38759121527)</f>
        <v>44547.38759</v>
      </c>
      <c r="B114" s="6">
        <f>ifs($A114=FALSE,"",$A114,VLOOKUP($A114,SCAN!A:D,4,0))</f>
        <v>12902</v>
      </c>
      <c r="C114" s="7">
        <f t="shared" si="1"/>
        <v>44547</v>
      </c>
      <c r="D114" s="17" t="str">
        <f t="shared" si="2"/>
        <v>1290244547</v>
      </c>
      <c r="E114" s="9" t="str">
        <f>ifs($D114="","",countif('VISIT DATA'!$A:$A,$D114)=countif(D:D,$D114),"YES",countif('VISIT DATA'!$A:$A,$D114)=0,"NO",and(countif(D:D,$D114)&gt;1,countif('VISIT DATA'!$A:$A,$D114)&gt;=1),"YES",countif('VISIT DATA'!$A:$A,$D114)=countif(D:D,$D114),"YES")</f>
        <v>NO</v>
      </c>
      <c r="F114" s="9" t="str">
        <f>ifs($A114=FALSE,"",$A114,VLOOKUP($A114,SCAN!A:D,3,0))</f>
        <v>DA</v>
      </c>
    </row>
    <row r="115">
      <c r="A115" s="16">
        <f>IFERROR(__xludf.DUMMYFUNCTION("""COMPUTED_VALUE"""),44547.39018032407)</f>
        <v>44547.39018</v>
      </c>
      <c r="B115" s="6">
        <f>ifs($A115=FALSE,"",$A115,VLOOKUP($A115,SCAN!A:D,4,0))</f>
        <v>12088</v>
      </c>
      <c r="C115" s="7">
        <f t="shared" si="1"/>
        <v>44547</v>
      </c>
      <c r="D115" s="17" t="str">
        <f t="shared" si="2"/>
        <v>1208844547</v>
      </c>
      <c r="E115" s="9" t="str">
        <f>ifs($D115="","",countif('VISIT DATA'!$A:$A,$D115)=countif(D:D,$D115),"YES",countif('VISIT DATA'!$A:$A,$D115)=0,"NO",and(countif(D:D,$D115)&gt;1,countif('VISIT DATA'!$A:$A,$D115)&gt;=1),"YES",countif('VISIT DATA'!$A:$A,$D115)=countif(D:D,$D115),"YES")</f>
        <v>NO</v>
      </c>
      <c r="F115" s="9" t="str">
        <f>ifs($A115=FALSE,"",$A115,VLOOKUP($A115,SCAN!A:D,3,0))</f>
        <v>DA</v>
      </c>
    </row>
    <row r="116">
      <c r="A116" s="16">
        <f>IFERROR(__xludf.DUMMYFUNCTION("""COMPUTED_VALUE"""),44547.41483922454)</f>
        <v>44547.41484</v>
      </c>
      <c r="B116" s="6">
        <f>ifs($A116=FALSE,"",$A116,VLOOKUP($A116,SCAN!A:D,4,0))</f>
        <v>15684</v>
      </c>
      <c r="C116" s="7">
        <f t="shared" si="1"/>
        <v>44547</v>
      </c>
      <c r="D116" s="17" t="str">
        <f t="shared" si="2"/>
        <v>1568444547</v>
      </c>
      <c r="E116" s="9" t="str">
        <f>ifs($D116="","",countif('VISIT DATA'!$A:$A,$D116)=countif(D:D,$D116),"YES",countif('VISIT DATA'!$A:$A,$D116)=0,"NO",and(countif(D:D,$D116)&gt;1,countif('VISIT DATA'!$A:$A,$D116)&gt;=1),"YES",countif('VISIT DATA'!$A:$A,$D116)=countif(D:D,$D116),"YES")</f>
        <v>NO</v>
      </c>
      <c r="F116" s="9" t="str">
        <f>ifs($A116=FALSE,"",$A116,VLOOKUP($A116,SCAN!A:D,3,0))</f>
        <v>DA</v>
      </c>
    </row>
    <row r="117">
      <c r="A117" s="16">
        <f>IFERROR(__xludf.DUMMYFUNCTION("""COMPUTED_VALUE"""),44547.42426384259)</f>
        <v>44547.42426</v>
      </c>
      <c r="B117" s="6">
        <f>ifs($A117=FALSE,"",$A117,VLOOKUP($A117,SCAN!A:D,4,0))</f>
        <v>10202</v>
      </c>
      <c r="C117" s="7">
        <f t="shared" si="1"/>
        <v>44547</v>
      </c>
      <c r="D117" s="17" t="str">
        <f t="shared" si="2"/>
        <v>1020244547</v>
      </c>
      <c r="E117" s="9" t="str">
        <f>ifs($D117="","",countif('VISIT DATA'!$A:$A,$D117)=countif(D:D,$D117),"YES",countif('VISIT DATA'!$A:$A,$D117)=0,"NO",and(countif(D:D,$D117)&gt;1,countif('VISIT DATA'!$A:$A,$D117)&gt;=1),"YES",countif('VISIT DATA'!$A:$A,$D117)=countif(D:D,$D117),"YES")</f>
        <v>NO</v>
      </c>
      <c r="F117" s="9" t="str">
        <f>ifs($A117=FALSE,"",$A117,VLOOKUP($A117,SCAN!A:D,3,0))</f>
        <v>CH</v>
      </c>
    </row>
    <row r="118">
      <c r="A118" s="16">
        <f>IFERROR(__xludf.DUMMYFUNCTION("""COMPUTED_VALUE"""),44547.440724305554)</f>
        <v>44547.44072</v>
      </c>
      <c r="B118" s="6">
        <f>ifs($A118=FALSE,"",$A118,VLOOKUP($A118,SCAN!A:D,4,0))</f>
        <v>16297</v>
      </c>
      <c r="C118" s="7">
        <f t="shared" si="1"/>
        <v>44547</v>
      </c>
      <c r="D118" s="17" t="str">
        <f t="shared" si="2"/>
        <v>1629744547</v>
      </c>
      <c r="E118" s="9" t="str">
        <f>ifs($D118="","",countif('VISIT DATA'!$A:$A,$D118)=countif(D:D,$D118),"YES",countif('VISIT DATA'!$A:$A,$D118)=0,"NO",and(countif(D:D,$D118)&gt;1,countif('VISIT DATA'!$A:$A,$D118)&gt;=1),"YES",countif('VISIT DATA'!$A:$A,$D118)=countif(D:D,$D118),"YES")</f>
        <v>NO</v>
      </c>
      <c r="F118" s="9" t="str">
        <f>ifs($A118=FALSE,"",$A118,VLOOKUP($A118,SCAN!A:D,3,0))</f>
        <v>DA</v>
      </c>
    </row>
    <row r="119">
      <c r="A119" s="16">
        <f>IFERROR(__xludf.DUMMYFUNCTION("""COMPUTED_VALUE"""),44547.44327430555)</f>
        <v>44547.44327</v>
      </c>
      <c r="B119" s="6">
        <f>ifs($A119=FALSE,"",$A119,VLOOKUP($A119,SCAN!A:D,4,0))</f>
        <v>11209</v>
      </c>
      <c r="C119" s="7">
        <f t="shared" si="1"/>
        <v>44547</v>
      </c>
      <c r="D119" s="17" t="str">
        <f t="shared" si="2"/>
        <v>1120944547</v>
      </c>
      <c r="E119" s="9" t="str">
        <f>ifs($D119="","",countif('VISIT DATA'!$A:$A,$D119)=countif(D:D,$D119),"YES",countif('VISIT DATA'!$A:$A,$D119)=0,"NO",and(countif(D:D,$D119)&gt;1,countif('VISIT DATA'!$A:$A,$D119)&gt;=1),"YES",countif('VISIT DATA'!$A:$A,$D119)=countif(D:D,$D119),"YES")</f>
        <v>NO</v>
      </c>
      <c r="F119" s="9" t="str">
        <f>ifs($A119=FALSE,"",$A119,VLOOKUP($A119,SCAN!A:D,3,0))</f>
        <v>DA</v>
      </c>
    </row>
    <row r="120">
      <c r="A120" s="16">
        <f>IFERROR(__xludf.DUMMYFUNCTION("""COMPUTED_VALUE"""),44547.4512090625)</f>
        <v>44547.45121</v>
      </c>
      <c r="B120" s="6">
        <f>ifs($A120=FALSE,"",$A120,VLOOKUP($A120,SCAN!A:D,4,0))</f>
        <v>10604</v>
      </c>
      <c r="C120" s="7">
        <f t="shared" si="1"/>
        <v>44547</v>
      </c>
      <c r="D120" s="17" t="str">
        <f t="shared" si="2"/>
        <v>1060444547</v>
      </c>
      <c r="E120" s="9" t="str">
        <f>ifs($D120="","",countif('VISIT DATA'!$A:$A,$D120)=countif(D:D,$D120),"YES",countif('VISIT DATA'!$A:$A,$D120)=0,"NO",and(countif(D:D,$D120)&gt;1,countif('VISIT DATA'!$A:$A,$D120)&gt;=1),"YES",countif('VISIT DATA'!$A:$A,$D120)=countif(D:D,$D120),"YES")</f>
        <v>NO</v>
      </c>
      <c r="F120" s="9" t="str">
        <f>ifs($A120=FALSE,"",$A120,VLOOKUP($A120,SCAN!A:D,3,0))</f>
        <v>DA</v>
      </c>
    </row>
    <row r="121">
      <c r="A121" s="16">
        <f>IFERROR(__xludf.DUMMYFUNCTION("""COMPUTED_VALUE"""),44547.48398981482)</f>
        <v>44547.48399</v>
      </c>
      <c r="B121" s="6">
        <f>ifs($A121=FALSE,"",$A121,VLOOKUP($A121,SCAN!A:D,4,0))</f>
        <v>11829</v>
      </c>
      <c r="C121" s="7">
        <f t="shared" si="1"/>
        <v>44547</v>
      </c>
      <c r="D121" s="17" t="str">
        <f t="shared" si="2"/>
        <v>1182944547</v>
      </c>
      <c r="E121" s="9" t="str">
        <f>ifs($D121="","",countif('VISIT DATA'!$A:$A,$D121)=countif(D:D,$D121),"YES",countif('VISIT DATA'!$A:$A,$D121)=0,"NO",and(countif(D:D,$D121)&gt;1,countif('VISIT DATA'!$A:$A,$D121)&gt;=1),"YES",countif('VISIT DATA'!$A:$A,$D121)=countif(D:D,$D121),"YES")</f>
        <v>NO</v>
      </c>
      <c r="F121" s="9" t="str">
        <f>ifs($A121=FALSE,"",$A121,VLOOKUP($A121,SCAN!A:D,3,0))</f>
        <v>DA</v>
      </c>
    </row>
    <row r="122">
      <c r="A122" s="16">
        <f>IFERROR(__xludf.DUMMYFUNCTION("""COMPUTED_VALUE"""),44547.48414288195)</f>
        <v>44547.48414</v>
      </c>
      <c r="B122" s="6">
        <f>ifs($A122=FALSE,"",$A122,VLOOKUP($A122,SCAN!A:D,4,0))</f>
        <v>16763</v>
      </c>
      <c r="C122" s="7">
        <f t="shared" si="1"/>
        <v>44547</v>
      </c>
      <c r="D122" s="17" t="str">
        <f t="shared" si="2"/>
        <v>1676344547</v>
      </c>
      <c r="E122" s="9" t="str">
        <f>ifs($D122="","",countif('VISIT DATA'!$A:$A,$D122)=countif(D:D,$D122),"YES",countif('VISIT DATA'!$A:$A,$D122)=0,"NO",and(countif(D:D,$D122)&gt;1,countif('VISIT DATA'!$A:$A,$D122)&gt;=1),"YES",countif('VISIT DATA'!$A:$A,$D122)=countif(D:D,$D122),"YES")</f>
        <v>NO</v>
      </c>
      <c r="F122" s="9" t="str">
        <f>ifs($A122=FALSE,"",$A122,VLOOKUP($A122,SCAN!A:D,3,0))</f>
        <v>DA</v>
      </c>
    </row>
    <row r="123">
      <c r="A123" s="16">
        <f>IFERROR(__xludf.DUMMYFUNCTION("""COMPUTED_VALUE"""),44547.551544016205)</f>
        <v>44547.55154</v>
      </c>
      <c r="B123" s="6">
        <f>ifs($A123=FALSE,"",$A123,VLOOKUP($A123,SCAN!A:D,4,0))</f>
        <v>15683</v>
      </c>
      <c r="C123" s="7">
        <f t="shared" si="1"/>
        <v>44547</v>
      </c>
      <c r="D123" s="17" t="str">
        <f t="shared" si="2"/>
        <v>1568344547</v>
      </c>
      <c r="E123" s="9" t="str">
        <f>ifs($D123="","",countif('VISIT DATA'!$A:$A,$D123)=countif(D:D,$D123),"YES",countif('VISIT DATA'!$A:$A,$D123)=0,"NO",and(countif(D:D,$D123)&gt;1,countif('VISIT DATA'!$A:$A,$D123)&gt;=1),"YES",countif('VISIT DATA'!$A:$A,$D123)=countif(D:D,$D123),"YES")</f>
        <v>NO</v>
      </c>
      <c r="F123" s="9" t="str">
        <f>ifs($A123=FALSE,"",$A123,VLOOKUP($A123,SCAN!A:D,3,0))</f>
        <v>DM</v>
      </c>
    </row>
    <row r="124">
      <c r="A124" s="16">
        <f>IFERROR(__xludf.DUMMYFUNCTION("""COMPUTED_VALUE"""),44547.55177041667)</f>
        <v>44547.55177</v>
      </c>
      <c r="B124" s="6">
        <f>ifs($A124=FALSE,"",$A124,VLOOKUP($A124,SCAN!A:D,4,0))</f>
        <v>15683</v>
      </c>
      <c r="C124" s="7">
        <f t="shared" si="1"/>
        <v>44547</v>
      </c>
      <c r="D124" s="17" t="str">
        <f t="shared" si="2"/>
        <v>1568344547</v>
      </c>
      <c r="E124" s="9" t="str">
        <f>ifs($D124="","",countif('VISIT DATA'!$A:$A,$D124)=countif(D:D,$D124),"YES",countif('VISIT DATA'!$A:$A,$D124)=0,"NO",and(countif(D:D,$D124)&gt;1,countif('VISIT DATA'!$A:$A,$D124)&gt;=1),"YES",countif('VISIT DATA'!$A:$A,$D124)=countif(D:D,$D124),"YES")</f>
        <v>NO</v>
      </c>
      <c r="F124" s="9" t="str">
        <f>ifs($A124=FALSE,"",$A124,VLOOKUP($A124,SCAN!A:D,3,0))</f>
        <v>DM</v>
      </c>
    </row>
    <row r="125">
      <c r="A125" s="16">
        <f>IFERROR(__xludf.DUMMYFUNCTION("""COMPUTED_VALUE"""),44547.56069331018)</f>
        <v>44547.56069</v>
      </c>
      <c r="B125" s="6">
        <f>ifs($A125=FALSE,"",$A125,VLOOKUP($A125,SCAN!A:D,4,0))</f>
        <v>16443</v>
      </c>
      <c r="C125" s="7">
        <f t="shared" si="1"/>
        <v>44547</v>
      </c>
      <c r="D125" s="17" t="str">
        <f t="shared" si="2"/>
        <v>1644344547</v>
      </c>
      <c r="E125" s="9" t="str">
        <f>ifs($D125="","",countif('VISIT DATA'!$A:$A,$D125)=countif(D:D,$D125),"YES",countif('VISIT DATA'!$A:$A,$D125)=0,"NO",and(countif(D:D,$D125)&gt;1,countif('VISIT DATA'!$A:$A,$D125)&gt;=1),"YES",countif('VISIT DATA'!$A:$A,$D125)=countif(D:D,$D125),"YES")</f>
        <v>NO</v>
      </c>
      <c r="F125" s="9" t="str">
        <f>ifs($A125=FALSE,"",$A125,VLOOKUP($A125,SCAN!A:D,3,0))</f>
        <v>DM</v>
      </c>
    </row>
    <row r="126">
      <c r="A126" s="16">
        <f>IFERROR(__xludf.DUMMYFUNCTION("""COMPUTED_VALUE"""),44547.56087545139)</f>
        <v>44547.56088</v>
      </c>
      <c r="B126" s="6">
        <f>ifs($A126=FALSE,"",$A126,VLOOKUP($A126,SCAN!A:D,4,0))</f>
        <v>16443</v>
      </c>
      <c r="C126" s="7">
        <f t="shared" si="1"/>
        <v>44547</v>
      </c>
      <c r="D126" s="17" t="str">
        <f t="shared" si="2"/>
        <v>1644344547</v>
      </c>
      <c r="E126" s="9" t="str">
        <f>ifs($D126="","",countif('VISIT DATA'!$A:$A,$D126)=countif(D:D,$D126),"YES",countif('VISIT DATA'!$A:$A,$D126)=0,"NO",and(countif(D:D,$D126)&gt;1,countif('VISIT DATA'!$A:$A,$D126)&gt;=1),"YES",countif('VISIT DATA'!$A:$A,$D126)=countif(D:D,$D126),"YES")</f>
        <v>NO</v>
      </c>
      <c r="F126" s="9" t="str">
        <f>ifs($A126=FALSE,"",$A126,VLOOKUP($A126,SCAN!A:D,3,0))</f>
        <v>DM</v>
      </c>
    </row>
    <row r="127">
      <c r="A127" s="16">
        <f>IFERROR(__xludf.DUMMYFUNCTION("""COMPUTED_VALUE"""),44547.58637917824)</f>
        <v>44547.58638</v>
      </c>
      <c r="B127" s="6">
        <f>ifs($A127=FALSE,"",$A127,VLOOKUP($A127,SCAN!A:D,4,0))</f>
        <v>9534</v>
      </c>
      <c r="C127" s="7">
        <f t="shared" si="1"/>
        <v>44547</v>
      </c>
      <c r="D127" s="17" t="str">
        <f t="shared" si="2"/>
        <v>953444547</v>
      </c>
      <c r="E127" s="9" t="str">
        <f>ifs($D127="","",countif('VISIT DATA'!$A:$A,$D127)=countif(D:D,$D127),"YES",countif('VISIT DATA'!$A:$A,$D127)=0,"NO",and(countif(D:D,$D127)&gt;1,countif('VISIT DATA'!$A:$A,$D127)&gt;=1),"YES",countif('VISIT DATA'!$A:$A,$D127)=countif(D:D,$D127),"YES")</f>
        <v>NO</v>
      </c>
      <c r="F127" s="9" t="str">
        <f>ifs($A127=FALSE,"",$A127,VLOOKUP($A127,SCAN!A:D,3,0))</f>
        <v>DM</v>
      </c>
    </row>
    <row r="128">
      <c r="A128" s="16">
        <f>IFERROR(__xludf.DUMMYFUNCTION("""COMPUTED_VALUE"""),44547.586541122684)</f>
        <v>44547.58654</v>
      </c>
      <c r="B128" s="6">
        <f>ifs($A128=FALSE,"",$A128,VLOOKUP($A128,SCAN!A:D,4,0))</f>
        <v>9534</v>
      </c>
      <c r="C128" s="7">
        <f t="shared" si="1"/>
        <v>44547</v>
      </c>
      <c r="D128" s="17" t="str">
        <f t="shared" si="2"/>
        <v>953444547</v>
      </c>
      <c r="E128" s="9" t="str">
        <f>ifs($D128="","",countif('VISIT DATA'!$A:$A,$D128)=countif(D:D,$D128),"YES",countif('VISIT DATA'!$A:$A,$D128)=0,"NO",and(countif(D:D,$D128)&gt;1,countif('VISIT DATA'!$A:$A,$D128)&gt;=1),"YES",countif('VISIT DATA'!$A:$A,$D128)=countif(D:D,$D128),"YES")</f>
        <v>NO</v>
      </c>
      <c r="F128" s="9" t="str">
        <f>ifs($A128=FALSE,"",$A128,VLOOKUP($A128,SCAN!A:D,3,0))</f>
        <v>DM</v>
      </c>
    </row>
    <row r="129">
      <c r="A129" s="16">
        <f>IFERROR(__xludf.DUMMYFUNCTION("""COMPUTED_VALUE"""),44547.59731173611)</f>
        <v>44547.59731</v>
      </c>
      <c r="B129" s="6">
        <f>ifs($A129=FALSE,"",$A129,VLOOKUP($A129,SCAN!A:D,4,0))</f>
        <v>9615</v>
      </c>
      <c r="C129" s="7">
        <f t="shared" si="1"/>
        <v>44547</v>
      </c>
      <c r="D129" s="17" t="str">
        <f t="shared" si="2"/>
        <v>961544547</v>
      </c>
      <c r="E129" s="9" t="str">
        <f>ifs($D129="","",countif('VISIT DATA'!$A:$A,$D129)=countif(D:D,$D129),"YES",countif('VISIT DATA'!$A:$A,$D129)=0,"NO",and(countif(D:D,$D129)&gt;1,countif('VISIT DATA'!$A:$A,$D129)&gt;=1),"YES",countif('VISIT DATA'!$A:$A,$D129)=countif(D:D,$D129),"YES")</f>
        <v>NO</v>
      </c>
      <c r="F129" s="9" t="str">
        <f>ifs($A129=FALSE,"",$A129,VLOOKUP($A129,SCAN!A:D,3,0))</f>
        <v>CH</v>
      </c>
    </row>
    <row r="130">
      <c r="A130" s="16">
        <f>IFERROR(__xludf.DUMMYFUNCTION("""COMPUTED_VALUE"""),44547.59747825231)</f>
        <v>44547.59748</v>
      </c>
      <c r="B130" s="6">
        <f>ifs($A130=FALSE,"",$A130,VLOOKUP($A130,SCAN!A:D,4,0))</f>
        <v>9405</v>
      </c>
      <c r="C130" s="7">
        <f t="shared" si="1"/>
        <v>44547</v>
      </c>
      <c r="D130" s="17" t="str">
        <f t="shared" si="2"/>
        <v>940544547</v>
      </c>
      <c r="E130" s="9" t="str">
        <f>ifs($D130="","",countif('VISIT DATA'!$A:$A,$D130)=countif(D:D,$D130),"YES",countif('VISIT DATA'!$A:$A,$D130)=0,"NO",and(countif(D:D,$D130)&gt;1,countif('VISIT DATA'!$A:$A,$D130)&gt;=1),"YES",countif('VISIT DATA'!$A:$A,$D130)=countif(D:D,$D130),"YES")</f>
        <v>NO</v>
      </c>
      <c r="F130" s="9" t="str">
        <f>ifs($A130=FALSE,"",$A130,VLOOKUP($A130,SCAN!A:D,3,0))</f>
        <v>CH</v>
      </c>
    </row>
    <row r="131">
      <c r="A131" s="16">
        <f>IFERROR(__xludf.DUMMYFUNCTION("""COMPUTED_VALUE"""),44547.6173799074)</f>
        <v>44547.61738</v>
      </c>
      <c r="B131" s="6">
        <f>ifs($A131=FALSE,"",$A131,VLOOKUP($A131,SCAN!A:D,4,0))</f>
        <v>15025</v>
      </c>
      <c r="C131" s="7">
        <f t="shared" si="1"/>
        <v>44547</v>
      </c>
      <c r="D131" s="17" t="str">
        <f t="shared" si="2"/>
        <v>1502544547</v>
      </c>
      <c r="E131" s="9" t="str">
        <f>ifs($D131="","",countif('VISIT DATA'!$A:$A,$D131)=countif(D:D,$D131),"YES",countif('VISIT DATA'!$A:$A,$D131)=0,"NO",and(countif(D:D,$D131)&gt;1,countif('VISIT DATA'!$A:$A,$D131)&gt;=1),"YES",countif('VISIT DATA'!$A:$A,$D131)=countif(D:D,$D131),"YES")</f>
        <v>NO</v>
      </c>
      <c r="F131" s="9" t="str">
        <f>ifs($A131=FALSE,"",$A131,VLOOKUP($A131,SCAN!A:D,3,0))</f>
        <v>DM</v>
      </c>
    </row>
    <row r="132">
      <c r="A132" s="16">
        <f>IFERROR(__xludf.DUMMYFUNCTION("""COMPUTED_VALUE"""),44547.61753710648)</f>
        <v>44547.61754</v>
      </c>
      <c r="B132" s="6">
        <f>ifs($A132=FALSE,"",$A132,VLOOKUP($A132,SCAN!A:D,4,0))</f>
        <v>15025</v>
      </c>
      <c r="C132" s="7">
        <f t="shared" si="1"/>
        <v>44547</v>
      </c>
      <c r="D132" s="17" t="str">
        <f t="shared" si="2"/>
        <v>1502544547</v>
      </c>
      <c r="E132" s="9" t="str">
        <f>ifs($D132="","",countif('VISIT DATA'!$A:$A,$D132)=countif(D:D,$D132),"YES",countif('VISIT DATA'!$A:$A,$D132)=0,"NO",and(countif(D:D,$D132)&gt;1,countif('VISIT DATA'!$A:$A,$D132)&gt;=1),"YES",countif('VISIT DATA'!$A:$A,$D132)=countif(D:D,$D132),"YES")</f>
        <v>NO</v>
      </c>
      <c r="F132" s="9" t="str">
        <f>ifs($A132=FALSE,"",$A132,VLOOKUP($A132,SCAN!A:D,3,0))</f>
        <v>DM</v>
      </c>
    </row>
    <row r="133">
      <c r="A133" s="16">
        <f>IFERROR(__xludf.DUMMYFUNCTION("""COMPUTED_VALUE"""),44547.63750689814)</f>
        <v>44547.63751</v>
      </c>
      <c r="B133" s="6">
        <f>ifs($A133=FALSE,"",$A133,VLOOKUP($A133,SCAN!A:D,4,0))</f>
        <v>16417</v>
      </c>
      <c r="C133" s="7">
        <f t="shared" si="1"/>
        <v>44547</v>
      </c>
      <c r="D133" s="17" t="str">
        <f t="shared" si="2"/>
        <v>1641744547</v>
      </c>
      <c r="E133" s="9" t="str">
        <f>ifs($D133="","",countif('VISIT DATA'!$A:$A,$D133)=countif(D:D,$D133),"YES",countif('VISIT DATA'!$A:$A,$D133)=0,"NO",and(countif(D:D,$D133)&gt;1,countif('VISIT DATA'!$A:$A,$D133)&gt;=1),"YES",countif('VISIT DATA'!$A:$A,$D133)=countif(D:D,$D133),"YES")</f>
        <v>NO</v>
      </c>
      <c r="F133" s="9" t="str">
        <f>ifs($A133=FALSE,"",$A133,VLOOKUP($A133,SCAN!A:D,3,0))</f>
        <v>CH</v>
      </c>
    </row>
    <row r="134">
      <c r="A134" s="16">
        <f>IFERROR(__xludf.DUMMYFUNCTION("""COMPUTED_VALUE"""),44547.63791292824)</f>
        <v>44547.63791</v>
      </c>
      <c r="B134" s="6">
        <f>ifs($A134=FALSE,"",$A134,VLOOKUP($A134,SCAN!A:D,4,0))</f>
        <v>16417</v>
      </c>
      <c r="C134" s="7">
        <f t="shared" si="1"/>
        <v>44547</v>
      </c>
      <c r="D134" s="17" t="str">
        <f t="shared" si="2"/>
        <v>1641744547</v>
      </c>
      <c r="E134" s="9" t="str">
        <f>ifs($D134="","",countif('VISIT DATA'!$A:$A,$D134)=countif(D:D,$D134),"YES",countif('VISIT DATA'!$A:$A,$D134)=0,"NO",and(countif(D:D,$D134)&gt;1,countif('VISIT DATA'!$A:$A,$D134)&gt;=1),"YES",countif('VISIT DATA'!$A:$A,$D134)=countif(D:D,$D134),"YES")</f>
        <v>NO</v>
      </c>
      <c r="F134" s="9" t="str">
        <f>ifs($A134=FALSE,"",$A134,VLOOKUP($A134,SCAN!A:D,3,0))</f>
        <v>CH</v>
      </c>
    </row>
    <row r="135">
      <c r="A135" s="16">
        <f>IFERROR(__xludf.DUMMYFUNCTION("""COMPUTED_VALUE"""),44547.67081887732)</f>
        <v>44547.67082</v>
      </c>
      <c r="B135" s="6">
        <f>ifs($A135=FALSE,"",$A135,VLOOKUP($A135,SCAN!A:D,4,0))</f>
        <v>9800</v>
      </c>
      <c r="C135" s="7">
        <f t="shared" si="1"/>
        <v>44547</v>
      </c>
      <c r="D135" s="17" t="str">
        <f t="shared" si="2"/>
        <v>980044547</v>
      </c>
      <c r="E135" s="9" t="str">
        <f>ifs($D135="","",countif('VISIT DATA'!$A:$A,$D135)=countif(D:D,$D135),"YES",countif('VISIT DATA'!$A:$A,$D135)=0,"NO",and(countif(D:D,$D135)&gt;1,countif('VISIT DATA'!$A:$A,$D135)&gt;=1),"YES",countif('VISIT DATA'!$A:$A,$D135)=countif(D:D,$D135),"YES")</f>
        <v>NO</v>
      </c>
      <c r="F135" s="9" t="str">
        <f>ifs($A135=FALSE,"",$A135,VLOOKUP($A135,SCAN!A:D,3,0))</f>
        <v>DM</v>
      </c>
    </row>
    <row r="136">
      <c r="A136" s="16">
        <f>IFERROR(__xludf.DUMMYFUNCTION("""COMPUTED_VALUE"""),44547.67098355324)</f>
        <v>44547.67098</v>
      </c>
      <c r="B136" s="6">
        <f>ifs($A136=FALSE,"",$A136,VLOOKUP($A136,SCAN!A:D,4,0))</f>
        <v>9800</v>
      </c>
      <c r="C136" s="7">
        <f t="shared" si="1"/>
        <v>44547</v>
      </c>
      <c r="D136" s="17" t="str">
        <f t="shared" si="2"/>
        <v>980044547</v>
      </c>
      <c r="E136" s="9" t="str">
        <f>ifs($D136="","",countif('VISIT DATA'!$A:$A,$D136)=countif(D:D,$D136),"YES",countif('VISIT DATA'!$A:$A,$D136)=0,"NO",and(countif(D:D,$D136)&gt;1,countif('VISIT DATA'!$A:$A,$D136)&gt;=1),"YES",countif('VISIT DATA'!$A:$A,$D136)=countif(D:D,$D136),"YES")</f>
        <v>NO</v>
      </c>
      <c r="F136" s="9" t="str">
        <f>ifs($A136=FALSE,"",$A136,VLOOKUP($A136,SCAN!A:D,3,0))</f>
        <v>DM</v>
      </c>
    </row>
    <row r="137">
      <c r="A137" s="16">
        <f>IFERROR(__xludf.DUMMYFUNCTION("""COMPUTED_VALUE"""),44550.432599618056)</f>
        <v>44550.4326</v>
      </c>
      <c r="B137" s="6">
        <f>ifs($A137=FALSE,"",$A137,VLOOKUP($A137,SCAN!A:D,4,0))</f>
        <v>15992</v>
      </c>
      <c r="C137" s="7">
        <f t="shared" si="1"/>
        <v>44550</v>
      </c>
      <c r="D137" s="17" t="str">
        <f t="shared" si="2"/>
        <v>1599244550</v>
      </c>
      <c r="E137" s="9" t="str">
        <f>ifs($D137="","",countif('VISIT DATA'!$A:$A,$D137)=countif(D:D,$D137),"YES",countif('VISIT DATA'!$A:$A,$D137)=0,"NO",and(countif(D:D,$D137)&gt;1,countif('VISIT DATA'!$A:$A,$D137)&gt;=1),"YES",countif('VISIT DATA'!$A:$A,$D137)=countif(D:D,$D137),"YES")</f>
        <v>NO</v>
      </c>
      <c r="F137" s="9" t="str">
        <f>ifs($A137=FALSE,"",$A137,VLOOKUP($A137,SCAN!A:D,3,0))</f>
        <v>DM</v>
      </c>
    </row>
    <row r="138">
      <c r="A138" s="16">
        <f>IFERROR(__xludf.DUMMYFUNCTION("""COMPUTED_VALUE"""),44550.43278768519)</f>
        <v>44550.43279</v>
      </c>
      <c r="B138" s="6">
        <f>ifs($A138=FALSE,"",$A138,VLOOKUP($A138,SCAN!A:D,4,0))</f>
        <v>15992</v>
      </c>
      <c r="C138" s="7">
        <f t="shared" si="1"/>
        <v>44550</v>
      </c>
      <c r="D138" s="17" t="str">
        <f t="shared" si="2"/>
        <v>1599244550</v>
      </c>
      <c r="E138" s="9" t="str">
        <f>ifs($D138="","",countif('VISIT DATA'!$A:$A,$D138)=countif(D:D,$D138),"YES",countif('VISIT DATA'!$A:$A,$D138)=0,"NO",and(countif(D:D,$D138)&gt;1,countif('VISIT DATA'!$A:$A,$D138)&gt;=1),"YES",countif('VISIT DATA'!$A:$A,$D138)=countif(D:D,$D138),"YES")</f>
        <v>NO</v>
      </c>
      <c r="F138" s="9" t="str">
        <f>ifs($A138=FALSE,"",$A138,VLOOKUP($A138,SCAN!A:D,3,0))</f>
        <v>DM</v>
      </c>
    </row>
    <row r="139">
      <c r="A139" s="16">
        <f>IFERROR(__xludf.DUMMYFUNCTION("""COMPUTED_VALUE"""),44550.43338016204)</f>
        <v>44550.43338</v>
      </c>
      <c r="B139" s="6">
        <f>ifs($A139=FALSE,"",$A139,VLOOKUP($A139,SCAN!A:D,4,0))</f>
        <v>16329</v>
      </c>
      <c r="C139" s="7">
        <f t="shared" si="1"/>
        <v>44550</v>
      </c>
      <c r="D139" s="17" t="str">
        <f t="shared" si="2"/>
        <v>1632944550</v>
      </c>
      <c r="E139" s="9" t="str">
        <f>ifs($D139="","",countif('VISIT DATA'!$A:$A,$D139)=countif(D:D,$D139),"YES",countif('VISIT DATA'!$A:$A,$D139)=0,"NO",and(countif(D:D,$D139)&gt;1,countif('VISIT DATA'!$A:$A,$D139)&gt;=1),"YES",countif('VISIT DATA'!$A:$A,$D139)=countif(D:D,$D139),"YES")</f>
        <v>NO</v>
      </c>
      <c r="F139" s="9" t="str">
        <f>ifs($A139=FALSE,"",$A139,VLOOKUP($A139,SCAN!A:D,3,0))</f>
        <v>DM</v>
      </c>
    </row>
    <row r="140">
      <c r="A140" s="16">
        <f>IFERROR(__xludf.DUMMYFUNCTION("""COMPUTED_VALUE"""),44550.43356760417)</f>
        <v>44550.43357</v>
      </c>
      <c r="B140" s="6">
        <f>ifs($A140=FALSE,"",$A140,VLOOKUP($A140,SCAN!A:D,4,0))</f>
        <v>16329</v>
      </c>
      <c r="C140" s="7">
        <f t="shared" si="1"/>
        <v>44550</v>
      </c>
      <c r="D140" s="17" t="str">
        <f t="shared" si="2"/>
        <v>1632944550</v>
      </c>
      <c r="E140" s="9" t="str">
        <f>ifs($D140="","",countif('VISIT DATA'!$A:$A,$D140)=countif(D:D,$D140),"YES",countif('VISIT DATA'!$A:$A,$D140)=0,"NO",and(countif(D:D,$D140)&gt;1,countif('VISIT DATA'!$A:$A,$D140)&gt;=1),"YES",countif('VISIT DATA'!$A:$A,$D140)=countif(D:D,$D140),"YES")</f>
        <v>NO</v>
      </c>
      <c r="F140" s="9" t="str">
        <f>ifs($A140=FALSE,"",$A140,VLOOKUP($A140,SCAN!A:D,3,0))</f>
        <v>DM</v>
      </c>
    </row>
    <row r="141">
      <c r="A141" s="16">
        <f>IFERROR(__xludf.DUMMYFUNCTION("""COMPUTED_VALUE"""),44550.44667559028)</f>
        <v>44550.44668</v>
      </c>
      <c r="B141" s="6">
        <f>ifs($A141=FALSE,"",$A141,VLOOKUP($A141,SCAN!A:D,4,0))</f>
        <v>11121</v>
      </c>
      <c r="C141" s="7">
        <f t="shared" si="1"/>
        <v>44550</v>
      </c>
      <c r="D141" s="17" t="str">
        <f t="shared" si="2"/>
        <v>1112144550</v>
      </c>
      <c r="E141" s="9" t="str">
        <f>ifs($D141="","",countif('VISIT DATA'!$A:$A,$D141)=countif(D:D,$D141),"YES",countif('VISIT DATA'!$A:$A,$D141)=0,"NO",and(countif(D:D,$D141)&gt;1,countif('VISIT DATA'!$A:$A,$D141)&gt;=1),"YES",countif('VISIT DATA'!$A:$A,$D141)=countif(D:D,$D141),"YES")</f>
        <v>NO</v>
      </c>
      <c r="F141" s="9" t="str">
        <f>ifs($A141=FALSE,"",$A141,VLOOKUP($A141,SCAN!A:D,3,0))</f>
        <v>DM</v>
      </c>
    </row>
    <row r="142">
      <c r="A142" s="16">
        <f>IFERROR(__xludf.DUMMYFUNCTION("""COMPUTED_VALUE"""),44550.44689681713)</f>
        <v>44550.4469</v>
      </c>
      <c r="B142" s="6">
        <f>ifs($A142=FALSE,"",$A142,VLOOKUP($A142,SCAN!A:D,4,0))</f>
        <v>11121</v>
      </c>
      <c r="C142" s="7">
        <f t="shared" si="1"/>
        <v>44550</v>
      </c>
      <c r="D142" s="17" t="str">
        <f t="shared" si="2"/>
        <v>1112144550</v>
      </c>
      <c r="E142" s="9" t="str">
        <f>ifs($D142="","",countif('VISIT DATA'!$A:$A,$D142)=countif(D:D,$D142),"YES",countif('VISIT DATA'!$A:$A,$D142)=0,"NO",and(countif(D:D,$D142)&gt;1,countif('VISIT DATA'!$A:$A,$D142)&gt;=1),"YES",countif('VISIT DATA'!$A:$A,$D142)=countif(D:D,$D142),"YES")</f>
        <v>NO</v>
      </c>
      <c r="F142" s="9" t="str">
        <f>ifs($A142=FALSE,"",$A142,VLOOKUP($A142,SCAN!A:D,3,0))</f>
        <v>DM</v>
      </c>
    </row>
    <row r="143">
      <c r="A143" s="16">
        <f>IFERROR(__xludf.DUMMYFUNCTION("""COMPUTED_VALUE"""),44550.44870194445)</f>
        <v>44550.4487</v>
      </c>
      <c r="B143" s="6">
        <f>ifs($A143=FALSE,"",$A143,VLOOKUP($A143,SCAN!A:D,4,0))</f>
        <v>17093</v>
      </c>
      <c r="C143" s="7">
        <f t="shared" si="1"/>
        <v>44550</v>
      </c>
      <c r="D143" s="17" t="str">
        <f t="shared" si="2"/>
        <v>1709344550</v>
      </c>
      <c r="E143" s="9" t="str">
        <f>ifs($D143="","",countif('VISIT DATA'!$A:$A,$D143)=countif(D:D,$D143),"YES",countif('VISIT DATA'!$A:$A,$D143)=0,"NO",and(countif(D:D,$D143)&gt;1,countif('VISIT DATA'!$A:$A,$D143)&gt;=1),"YES",countif('VISIT DATA'!$A:$A,$D143)=countif(D:D,$D143),"YES")</f>
        <v>NO</v>
      </c>
      <c r="F143" s="9" t="str">
        <f>ifs($A143=FALSE,"",$A143,VLOOKUP($A143,SCAN!A:D,3,0))</f>
        <v>LM</v>
      </c>
    </row>
    <row r="144">
      <c r="A144" s="16">
        <f>IFERROR(__xludf.DUMMYFUNCTION("""COMPUTED_VALUE"""),44550.44971688658)</f>
        <v>44550.44972</v>
      </c>
      <c r="B144" s="6">
        <f>ifs($A144=FALSE,"",$A144,VLOOKUP($A144,SCAN!A:D,4,0))</f>
        <v>17196</v>
      </c>
      <c r="C144" s="7">
        <f t="shared" si="1"/>
        <v>44550</v>
      </c>
      <c r="D144" s="17" t="str">
        <f t="shared" si="2"/>
        <v>1719644550</v>
      </c>
      <c r="E144" s="9" t="str">
        <f>ifs($D144="","",countif('VISIT DATA'!$A:$A,$D144)=countif(D:D,$D144),"YES",countif('VISIT DATA'!$A:$A,$D144)=0,"NO",and(countif(D:D,$D144)&gt;1,countif('VISIT DATA'!$A:$A,$D144)&gt;=1),"YES",countif('VISIT DATA'!$A:$A,$D144)=countif(D:D,$D144),"YES")</f>
        <v>NO</v>
      </c>
      <c r="F144" s="9" t="str">
        <f>ifs($A144=FALSE,"",$A144,VLOOKUP($A144,SCAN!A:D,3,0))</f>
        <v>CH</v>
      </c>
    </row>
    <row r="145">
      <c r="A145" s="16">
        <f>IFERROR(__xludf.DUMMYFUNCTION("""COMPUTED_VALUE"""),44550.45763038195)</f>
        <v>44550.45763</v>
      </c>
      <c r="B145" s="6">
        <f>ifs($A145=FALSE,"",$A145,VLOOKUP($A145,SCAN!A:D,4,0))</f>
        <v>17043</v>
      </c>
      <c r="C145" s="7">
        <f t="shared" si="1"/>
        <v>44550</v>
      </c>
      <c r="D145" s="17" t="str">
        <f t="shared" si="2"/>
        <v>1704344550</v>
      </c>
      <c r="E145" s="9" t="str">
        <f>ifs($D145="","",countif('VISIT DATA'!$A:$A,$D145)=countif(D:D,$D145),"YES",countif('VISIT DATA'!$A:$A,$D145)=0,"NO",and(countif(D:D,$D145)&gt;1,countif('VISIT DATA'!$A:$A,$D145)&gt;=1),"YES",countif('VISIT DATA'!$A:$A,$D145)=countif(D:D,$D145),"YES")</f>
        <v>NO</v>
      </c>
      <c r="F145" s="9" t="str">
        <f>ifs($A145=FALSE,"",$A145,VLOOKUP($A145,SCAN!A:D,3,0))</f>
        <v>CH</v>
      </c>
    </row>
    <row r="146">
      <c r="A146" s="16">
        <f>IFERROR(__xludf.DUMMYFUNCTION("""COMPUTED_VALUE"""),44550.46144402778)</f>
        <v>44550.46144</v>
      </c>
      <c r="B146" s="6">
        <f>ifs($A146=FALSE,"",$A146,VLOOKUP($A146,SCAN!A:D,4,0))</f>
        <v>13496</v>
      </c>
      <c r="C146" s="7">
        <f t="shared" si="1"/>
        <v>44550</v>
      </c>
      <c r="D146" s="17" t="str">
        <f t="shared" si="2"/>
        <v>1349644550</v>
      </c>
      <c r="E146" s="9" t="str">
        <f>ifs($D146="","",countif('VISIT DATA'!$A:$A,$D146)=countif(D:D,$D146),"YES",countif('VISIT DATA'!$A:$A,$D146)=0,"NO",and(countif(D:D,$D146)&gt;1,countif('VISIT DATA'!$A:$A,$D146)&gt;=1),"YES",countif('VISIT DATA'!$A:$A,$D146)=countif(D:D,$D146),"YES")</f>
        <v>NO</v>
      </c>
      <c r="F146" s="9" t="str">
        <f>ifs($A146=FALSE,"",$A146,VLOOKUP($A146,SCAN!A:D,3,0))</f>
        <v>DA</v>
      </c>
    </row>
    <row r="147">
      <c r="A147" s="16">
        <f>IFERROR(__xludf.DUMMYFUNCTION("""COMPUTED_VALUE"""),44550.464828055556)</f>
        <v>44550.46483</v>
      </c>
      <c r="B147" s="6">
        <f>ifs($A147=FALSE,"",$A147,VLOOKUP($A147,SCAN!A:D,4,0))</f>
        <v>10244</v>
      </c>
      <c r="C147" s="7">
        <f t="shared" si="1"/>
        <v>44550</v>
      </c>
      <c r="D147" s="17" t="str">
        <f t="shared" si="2"/>
        <v>1024444550</v>
      </c>
      <c r="E147" s="9" t="str">
        <f>ifs($D147="","",countif('VISIT DATA'!$A:$A,$D147)=countif(D:D,$D147),"YES",countif('VISIT DATA'!$A:$A,$D147)=0,"NO",and(countif(D:D,$D147)&gt;1,countif('VISIT DATA'!$A:$A,$D147)&gt;=1),"YES",countif('VISIT DATA'!$A:$A,$D147)=countif(D:D,$D147),"YES")</f>
        <v>NO</v>
      </c>
      <c r="F147" s="9" t="str">
        <f>ifs($A147=FALSE,"",$A147,VLOOKUP($A147,SCAN!A:D,3,0))</f>
        <v>DA</v>
      </c>
    </row>
    <row r="148">
      <c r="A148" s="16">
        <f>IFERROR(__xludf.DUMMYFUNCTION("""COMPUTED_VALUE"""),44550.46788040509)</f>
        <v>44550.46788</v>
      </c>
      <c r="B148" s="6">
        <f>ifs($A148=FALSE,"",$A148,VLOOKUP($A148,SCAN!A:D,4,0))</f>
        <v>17594</v>
      </c>
      <c r="C148" s="7">
        <f t="shared" si="1"/>
        <v>44550</v>
      </c>
      <c r="D148" s="17" t="str">
        <f t="shared" si="2"/>
        <v>1759444550</v>
      </c>
      <c r="E148" s="9" t="str">
        <f>ifs($D148="","",countif('VISIT DATA'!$A:$A,$D148)=countif(D:D,$D148),"YES",countif('VISIT DATA'!$A:$A,$D148)=0,"NO",and(countif(D:D,$D148)&gt;1,countif('VISIT DATA'!$A:$A,$D148)&gt;=1),"YES",countif('VISIT DATA'!$A:$A,$D148)=countif(D:D,$D148),"YES")</f>
        <v>NO</v>
      </c>
      <c r="F148" s="9" t="str">
        <f>ifs($A148=FALSE,"",$A148,VLOOKUP($A148,SCAN!A:D,3,0))</f>
        <v>DA</v>
      </c>
    </row>
    <row r="149">
      <c r="A149" s="16">
        <f>IFERROR(__xludf.DUMMYFUNCTION("""COMPUTED_VALUE"""),44550.471082187505)</f>
        <v>44550.47108</v>
      </c>
      <c r="B149" s="6">
        <f>ifs($A149=FALSE,"",$A149,VLOOKUP($A149,SCAN!A:D,4,0))</f>
        <v>12572</v>
      </c>
      <c r="C149" s="7">
        <f t="shared" si="1"/>
        <v>44550</v>
      </c>
      <c r="D149" s="17" t="str">
        <f t="shared" si="2"/>
        <v>1257244550</v>
      </c>
      <c r="E149" s="9" t="str">
        <f>ifs($D149="","",countif('VISIT DATA'!$A:$A,$D149)=countif(D:D,$D149),"YES",countif('VISIT DATA'!$A:$A,$D149)=0,"NO",and(countif(D:D,$D149)&gt;1,countif('VISIT DATA'!$A:$A,$D149)&gt;=1),"YES",countif('VISIT DATA'!$A:$A,$D149)=countif(D:D,$D149),"YES")</f>
        <v>NO</v>
      </c>
      <c r="F149" s="9" t="str">
        <f>ifs($A149=FALSE,"",$A149,VLOOKUP($A149,SCAN!A:D,3,0))</f>
        <v>DM</v>
      </c>
    </row>
    <row r="150">
      <c r="A150" s="16">
        <f>IFERROR(__xludf.DUMMYFUNCTION("""COMPUTED_VALUE"""),44550.48412736111)</f>
        <v>44550.48413</v>
      </c>
      <c r="B150" s="6">
        <f>ifs($A150=FALSE,"",$A150,VLOOKUP($A150,SCAN!A:D,4,0))</f>
        <v>17720</v>
      </c>
      <c r="C150" s="7">
        <f t="shared" si="1"/>
        <v>44550</v>
      </c>
      <c r="D150" s="17" t="str">
        <f t="shared" si="2"/>
        <v>1772044550</v>
      </c>
      <c r="E150" s="9" t="str">
        <f>ifs($D150="","",countif('VISIT DATA'!$A:$A,$D150)=countif(D:D,$D150),"YES",countif('VISIT DATA'!$A:$A,$D150)=0,"NO",and(countif(D:D,$D150)&gt;1,countif('VISIT DATA'!$A:$A,$D150)&gt;=1),"YES",countif('VISIT DATA'!$A:$A,$D150)=countif(D:D,$D150),"YES")</f>
        <v>NO</v>
      </c>
      <c r="F150" s="9" t="str">
        <f>ifs($A150=FALSE,"",$A150,VLOOKUP($A150,SCAN!A:D,3,0))</f>
        <v>CH</v>
      </c>
    </row>
    <row r="151">
      <c r="A151" s="16">
        <f>IFERROR(__xludf.DUMMYFUNCTION("""COMPUTED_VALUE"""),44550.514453842596)</f>
        <v>44550.51445</v>
      </c>
      <c r="B151" s="6">
        <f>ifs($A151=FALSE,"",$A151,VLOOKUP($A151,SCAN!A:D,4,0))</f>
        <v>11596</v>
      </c>
      <c r="C151" s="7">
        <f t="shared" si="1"/>
        <v>44550</v>
      </c>
      <c r="D151" s="17" t="str">
        <f t="shared" si="2"/>
        <v>1159644550</v>
      </c>
      <c r="E151" s="9" t="str">
        <f>ifs($D151="","",countif('VISIT DATA'!$A:$A,$D151)=countif(D:D,$D151),"YES",countif('VISIT DATA'!$A:$A,$D151)=0,"NO",and(countif(D:D,$D151)&gt;1,countif('VISIT DATA'!$A:$A,$D151)&gt;=1),"YES",countif('VISIT DATA'!$A:$A,$D151)=countif(D:D,$D151),"YES")</f>
        <v>NO</v>
      </c>
      <c r="F151" s="9" t="str">
        <f>ifs($A151=FALSE,"",$A151,VLOOKUP($A151,SCAN!A:D,3,0))</f>
        <v>DM</v>
      </c>
    </row>
    <row r="152">
      <c r="A152" s="16">
        <f>IFERROR(__xludf.DUMMYFUNCTION("""COMPUTED_VALUE"""),44550.51492915509)</f>
        <v>44550.51493</v>
      </c>
      <c r="B152" s="6">
        <f>ifs($A152=FALSE,"",$A152,VLOOKUP($A152,SCAN!A:D,4,0))</f>
        <v>11596</v>
      </c>
      <c r="C152" s="7">
        <f t="shared" si="1"/>
        <v>44550</v>
      </c>
      <c r="D152" s="17" t="str">
        <f t="shared" si="2"/>
        <v>1159644550</v>
      </c>
      <c r="E152" s="9" t="str">
        <f>ifs($D152="","",countif('VISIT DATA'!$A:$A,$D152)=countif(D:D,$D152),"YES",countif('VISIT DATA'!$A:$A,$D152)=0,"NO",and(countif(D:D,$D152)&gt;1,countif('VISIT DATA'!$A:$A,$D152)&gt;=1),"YES",countif('VISIT DATA'!$A:$A,$D152)=countif(D:D,$D152),"YES")</f>
        <v>NO</v>
      </c>
      <c r="F152" s="9" t="str">
        <f>ifs($A152=FALSE,"",$A152,VLOOKUP($A152,SCAN!A:D,3,0))</f>
        <v>DM</v>
      </c>
    </row>
    <row r="153">
      <c r="A153" s="16">
        <f>IFERROR(__xludf.DUMMYFUNCTION("""COMPUTED_VALUE"""),44550.55472428241)</f>
        <v>44550.55472</v>
      </c>
      <c r="B153" s="6">
        <f>ifs($A153=FALSE,"",$A153,VLOOKUP($A153,SCAN!A:D,4,0))</f>
        <v>12225</v>
      </c>
      <c r="C153" s="7">
        <f t="shared" si="1"/>
        <v>44550</v>
      </c>
      <c r="D153" s="17" t="str">
        <f t="shared" si="2"/>
        <v>1222544550</v>
      </c>
      <c r="E153" s="9" t="str">
        <f>ifs($D153="","",countif('VISIT DATA'!$A:$A,$D153)=countif(D:D,$D153),"YES",countif('VISIT DATA'!$A:$A,$D153)=0,"NO",and(countif(D:D,$D153)&gt;1,countif('VISIT DATA'!$A:$A,$D153)&gt;=1),"YES",countif('VISIT DATA'!$A:$A,$D153)=countif(D:D,$D153),"YES")</f>
        <v>NO</v>
      </c>
      <c r="F153" s="9" t="str">
        <f>ifs($A153=FALSE,"",$A153,VLOOKUP($A153,SCAN!A:D,3,0))</f>
        <v>DM</v>
      </c>
    </row>
    <row r="154">
      <c r="A154" s="16">
        <f>IFERROR(__xludf.DUMMYFUNCTION("""COMPUTED_VALUE"""),44550.55497008102)</f>
        <v>44550.55497</v>
      </c>
      <c r="B154" s="6">
        <f>ifs($A154=FALSE,"",$A154,VLOOKUP($A154,SCAN!A:D,4,0))</f>
        <v>12225</v>
      </c>
      <c r="C154" s="7">
        <f t="shared" si="1"/>
        <v>44550</v>
      </c>
      <c r="D154" s="17" t="str">
        <f t="shared" si="2"/>
        <v>1222544550</v>
      </c>
      <c r="E154" s="9" t="str">
        <f>ifs($D154="","",countif('VISIT DATA'!$A:$A,$D154)=countif(D:D,$D154),"YES",countif('VISIT DATA'!$A:$A,$D154)=0,"NO",and(countif(D:D,$D154)&gt;1,countif('VISIT DATA'!$A:$A,$D154)&gt;=1),"YES",countif('VISIT DATA'!$A:$A,$D154)=countif(D:D,$D154),"YES")</f>
        <v>NO</v>
      </c>
      <c r="F154" s="9" t="str">
        <f>ifs($A154=FALSE,"",$A154,VLOOKUP($A154,SCAN!A:D,3,0))</f>
        <v>DM</v>
      </c>
    </row>
    <row r="155">
      <c r="A155" s="16">
        <f>IFERROR(__xludf.DUMMYFUNCTION("""COMPUTED_VALUE"""),44550.575952280094)</f>
        <v>44550.57595</v>
      </c>
      <c r="B155" s="6">
        <f>ifs($A155=FALSE,"",$A155,VLOOKUP($A155,SCAN!A:D,4,0))</f>
        <v>9309</v>
      </c>
      <c r="C155" s="7">
        <f t="shared" si="1"/>
        <v>44550</v>
      </c>
      <c r="D155" s="17" t="str">
        <f t="shared" si="2"/>
        <v>930944550</v>
      </c>
      <c r="E155" s="9" t="str">
        <f>ifs($D155="","",countif('VISIT DATA'!$A:$A,$D155)=countif(D:D,$D155),"YES",countif('VISIT DATA'!$A:$A,$D155)=0,"NO",and(countif(D:D,$D155)&gt;1,countif('VISIT DATA'!$A:$A,$D155)&gt;=1),"YES",countif('VISIT DATA'!$A:$A,$D155)=countif(D:D,$D155),"YES")</f>
        <v>NO</v>
      </c>
      <c r="F155" s="9" t="str">
        <f>ifs($A155=FALSE,"",$A155,VLOOKUP($A155,SCAN!A:D,3,0))</f>
        <v>CH</v>
      </c>
    </row>
    <row r="156">
      <c r="A156" s="16">
        <f>IFERROR(__xludf.DUMMYFUNCTION("""COMPUTED_VALUE"""),44550.59463736111)</f>
        <v>44550.59464</v>
      </c>
      <c r="B156" s="6">
        <f>ifs($A156=FALSE,"",$A156,VLOOKUP($A156,SCAN!A:D,4,0))</f>
        <v>9973</v>
      </c>
      <c r="C156" s="7">
        <f t="shared" si="1"/>
        <v>44550</v>
      </c>
      <c r="D156" s="17" t="str">
        <f t="shared" si="2"/>
        <v>997344550</v>
      </c>
      <c r="E156" s="9" t="str">
        <f>ifs($D156="","",countif('VISIT DATA'!$A:$A,$D156)=countif(D:D,$D156),"YES",countif('VISIT DATA'!$A:$A,$D156)=0,"NO",and(countif(D:D,$D156)&gt;1,countif('VISIT DATA'!$A:$A,$D156)&gt;=1),"YES",countif('VISIT DATA'!$A:$A,$D156)=countif(D:D,$D156),"YES")</f>
        <v>NO</v>
      </c>
      <c r="F156" s="9" t="str">
        <f>ifs($A156=FALSE,"",$A156,VLOOKUP($A156,SCAN!A:D,3,0))</f>
        <v>DA</v>
      </c>
    </row>
    <row r="157">
      <c r="A157" s="16">
        <f>IFERROR(__xludf.DUMMYFUNCTION("""COMPUTED_VALUE"""),44550.59498206018)</f>
        <v>44550.59498</v>
      </c>
      <c r="B157" s="6">
        <f>ifs($A157=FALSE,"",$A157,VLOOKUP($A157,SCAN!A:D,4,0))</f>
        <v>17770</v>
      </c>
      <c r="C157" s="7">
        <f t="shared" si="1"/>
        <v>44550</v>
      </c>
      <c r="D157" s="17" t="str">
        <f t="shared" si="2"/>
        <v>1777044550</v>
      </c>
      <c r="E157" s="9" t="str">
        <f>ifs($D157="","",countif('VISIT DATA'!$A:$A,$D157)=countif(D:D,$D157),"YES",countif('VISIT DATA'!$A:$A,$D157)=0,"NO",and(countif(D:D,$D157)&gt;1,countif('VISIT DATA'!$A:$A,$D157)&gt;=1),"YES",countif('VISIT DATA'!$A:$A,$D157)=countif(D:D,$D157),"YES")</f>
        <v>NO</v>
      </c>
      <c r="F157" s="9" t="str">
        <f>ifs($A157=FALSE,"",$A157,VLOOKUP($A157,SCAN!A:D,3,0))</f>
        <v>DA</v>
      </c>
    </row>
    <row r="158">
      <c r="A158" s="16">
        <f>IFERROR(__xludf.DUMMYFUNCTION("""COMPUTED_VALUE"""),44550.601944317124)</f>
        <v>44550.60194</v>
      </c>
      <c r="B158" s="6">
        <f>ifs($A158=FALSE,"",$A158,VLOOKUP($A158,SCAN!A:D,4,0))</f>
        <v>10644</v>
      </c>
      <c r="C158" s="7">
        <f t="shared" si="1"/>
        <v>44550</v>
      </c>
      <c r="D158" s="17" t="str">
        <f t="shared" si="2"/>
        <v>1064444550</v>
      </c>
      <c r="E158" s="9" t="str">
        <f>ifs($D158="","",countif('VISIT DATA'!$A:$A,$D158)=countif(D:D,$D158),"YES",countif('VISIT DATA'!$A:$A,$D158)=0,"NO",and(countif(D:D,$D158)&gt;1,countif('VISIT DATA'!$A:$A,$D158)&gt;=1),"YES",countif('VISIT DATA'!$A:$A,$D158)=countif(D:D,$D158),"YES")</f>
        <v>NO</v>
      </c>
      <c r="F158" s="9" t="str">
        <f>ifs($A158=FALSE,"",$A158,VLOOKUP($A158,SCAN!A:D,3,0))</f>
        <v>DM</v>
      </c>
    </row>
    <row r="159">
      <c r="A159" s="16">
        <f>IFERROR(__xludf.DUMMYFUNCTION("""COMPUTED_VALUE"""),44550.60215247685)</f>
        <v>44550.60215</v>
      </c>
      <c r="B159" s="6">
        <f>ifs($A159=FALSE,"",$A159,VLOOKUP($A159,SCAN!A:D,4,0))</f>
        <v>10644</v>
      </c>
      <c r="C159" s="7">
        <f t="shared" si="1"/>
        <v>44550</v>
      </c>
      <c r="D159" s="17" t="str">
        <f t="shared" si="2"/>
        <v>1064444550</v>
      </c>
      <c r="E159" s="9" t="str">
        <f>ifs($D159="","",countif('VISIT DATA'!$A:$A,$D159)=countif(D:D,$D159),"YES",countif('VISIT DATA'!$A:$A,$D159)=0,"NO",and(countif(D:D,$D159)&gt;1,countif('VISIT DATA'!$A:$A,$D159)&gt;=1),"YES",countif('VISIT DATA'!$A:$A,$D159)=countif(D:D,$D159),"YES")</f>
        <v>NO</v>
      </c>
      <c r="F159" s="9" t="str">
        <f>ifs($A159=FALSE,"",$A159,VLOOKUP($A159,SCAN!A:D,3,0))</f>
        <v>DM</v>
      </c>
    </row>
    <row r="160">
      <c r="A160" s="16">
        <f>IFERROR(__xludf.DUMMYFUNCTION("""COMPUTED_VALUE"""),44550.60700376157)</f>
        <v>44550.607</v>
      </c>
      <c r="B160" s="6">
        <f>ifs($A160=FALSE,"",$A160,VLOOKUP($A160,SCAN!A:D,4,0))</f>
        <v>17236</v>
      </c>
      <c r="C160" s="7">
        <f t="shared" si="1"/>
        <v>44550</v>
      </c>
      <c r="D160" s="17" t="str">
        <f t="shared" si="2"/>
        <v>1723644550</v>
      </c>
      <c r="E160" s="9" t="str">
        <f>ifs($D160="","",countif('VISIT DATA'!$A:$A,$D160)=countif(D:D,$D160),"YES",countif('VISIT DATA'!$A:$A,$D160)=0,"NO",and(countif(D:D,$D160)&gt;1,countif('VISIT DATA'!$A:$A,$D160)&gt;=1),"YES",countif('VISIT DATA'!$A:$A,$D160)=countif(D:D,$D160),"YES")</f>
        <v>NO</v>
      </c>
      <c r="F160" s="9" t="str">
        <f>ifs($A160=FALSE,"",$A160,VLOOKUP($A160,SCAN!A:D,3,0))</f>
        <v>DM</v>
      </c>
    </row>
    <row r="161">
      <c r="A161" s="16">
        <f>IFERROR(__xludf.DUMMYFUNCTION("""COMPUTED_VALUE"""),44550.60718763889)</f>
        <v>44550.60719</v>
      </c>
      <c r="B161" s="6">
        <f>ifs($A161=FALSE,"",$A161,VLOOKUP($A161,SCAN!A:D,4,0))</f>
        <v>17236</v>
      </c>
      <c r="C161" s="7">
        <f t="shared" si="1"/>
        <v>44550</v>
      </c>
      <c r="D161" s="17" t="str">
        <f t="shared" si="2"/>
        <v>1723644550</v>
      </c>
      <c r="E161" s="9" t="str">
        <f>ifs($D161="","",countif('VISIT DATA'!$A:$A,$D161)=countif(D:D,$D161),"YES",countif('VISIT DATA'!$A:$A,$D161)=0,"NO",and(countif(D:D,$D161)&gt;1,countif('VISIT DATA'!$A:$A,$D161)&gt;=1),"YES",countif('VISIT DATA'!$A:$A,$D161)=countif(D:D,$D161),"YES")</f>
        <v>NO</v>
      </c>
      <c r="F161" s="9" t="str">
        <f>ifs($A161=FALSE,"",$A161,VLOOKUP($A161,SCAN!A:D,3,0))</f>
        <v>DM</v>
      </c>
    </row>
    <row r="162">
      <c r="A162" s="16">
        <f>IFERROR(__xludf.DUMMYFUNCTION("""COMPUTED_VALUE"""),44550.62291831018)</f>
        <v>44550.62292</v>
      </c>
      <c r="B162" s="6">
        <f>ifs($A162=FALSE,"",$A162,VLOOKUP($A162,SCAN!A:D,4,0))</f>
        <v>14690</v>
      </c>
      <c r="C162" s="7">
        <f t="shared" si="1"/>
        <v>44550</v>
      </c>
      <c r="D162" s="17" t="str">
        <f t="shared" si="2"/>
        <v>1469044550</v>
      </c>
      <c r="E162" s="9" t="str">
        <f>ifs($D162="","",countif('VISIT DATA'!$A:$A,$D162)=countif(D:D,$D162),"YES",countif('VISIT DATA'!$A:$A,$D162)=0,"NO",and(countif(D:D,$D162)&gt;1,countif('VISIT DATA'!$A:$A,$D162)&gt;=1),"YES",countif('VISIT DATA'!$A:$A,$D162)=countif(D:D,$D162),"YES")</f>
        <v>NO</v>
      </c>
      <c r="F162" s="9" t="str">
        <f>ifs($A162=FALSE,"",$A162,VLOOKUP($A162,SCAN!A:D,3,0))</f>
        <v>DA</v>
      </c>
    </row>
    <row r="163">
      <c r="A163" s="16">
        <f>IFERROR(__xludf.DUMMYFUNCTION("""COMPUTED_VALUE"""),44550.62308994213)</f>
        <v>44550.62309</v>
      </c>
      <c r="B163" s="6">
        <f>ifs($A163=FALSE,"",$A163,VLOOKUP($A163,SCAN!A:D,4,0))</f>
        <v>14483</v>
      </c>
      <c r="C163" s="7">
        <f t="shared" si="1"/>
        <v>44550</v>
      </c>
      <c r="D163" s="17" t="str">
        <f t="shared" si="2"/>
        <v>1448344550</v>
      </c>
      <c r="E163" s="9" t="str">
        <f>ifs($D163="","",countif('VISIT DATA'!$A:$A,$D163)=countif(D:D,$D163),"YES",countif('VISIT DATA'!$A:$A,$D163)=0,"NO",and(countif(D:D,$D163)&gt;1,countif('VISIT DATA'!$A:$A,$D163)&gt;=1),"YES",countif('VISIT DATA'!$A:$A,$D163)=countif(D:D,$D163),"YES")</f>
        <v>NO</v>
      </c>
      <c r="F163" s="9" t="str">
        <f>ifs($A163=FALSE,"",$A163,VLOOKUP($A163,SCAN!A:D,3,0))</f>
        <v>DA</v>
      </c>
    </row>
    <row r="164">
      <c r="A164" s="16">
        <f>IFERROR(__xludf.DUMMYFUNCTION("""COMPUTED_VALUE"""),44550.62879884259)</f>
        <v>44550.6288</v>
      </c>
      <c r="B164" s="6">
        <f>ifs($A164=FALSE,"",$A164,VLOOKUP($A164,SCAN!A:D,4,0))</f>
        <v>12964</v>
      </c>
      <c r="C164" s="7">
        <f t="shared" si="1"/>
        <v>44550</v>
      </c>
      <c r="D164" s="17" t="str">
        <f t="shared" si="2"/>
        <v>1296444550</v>
      </c>
      <c r="E164" s="9" t="str">
        <f>ifs($D164="","",countif('VISIT DATA'!$A:$A,$D164)=countif(D:D,$D164),"YES",countif('VISIT DATA'!$A:$A,$D164)=0,"NO",and(countif(D:D,$D164)&gt;1,countif('VISIT DATA'!$A:$A,$D164)&gt;=1),"YES",countif('VISIT DATA'!$A:$A,$D164)=countif(D:D,$D164),"YES")</f>
        <v>NO</v>
      </c>
      <c r="F164" s="9" t="str">
        <f>ifs($A164=FALSE,"",$A164,VLOOKUP($A164,SCAN!A:D,3,0))</f>
        <v>DM</v>
      </c>
    </row>
    <row r="165">
      <c r="A165" s="16">
        <f>IFERROR(__xludf.DUMMYFUNCTION("""COMPUTED_VALUE"""),44550.62924047453)</f>
        <v>44550.62924</v>
      </c>
      <c r="B165" s="6">
        <f>ifs($A165=FALSE,"",$A165,VLOOKUP($A165,SCAN!A:D,4,0))</f>
        <v>12964</v>
      </c>
      <c r="C165" s="7">
        <f t="shared" si="1"/>
        <v>44550</v>
      </c>
      <c r="D165" s="17" t="str">
        <f t="shared" si="2"/>
        <v>1296444550</v>
      </c>
      <c r="E165" s="9" t="str">
        <f>ifs($D165="","",countif('VISIT DATA'!$A:$A,$D165)=countif(D:D,$D165),"YES",countif('VISIT DATA'!$A:$A,$D165)=0,"NO",and(countif(D:D,$D165)&gt;1,countif('VISIT DATA'!$A:$A,$D165)&gt;=1),"YES",countif('VISIT DATA'!$A:$A,$D165)=countif(D:D,$D165),"YES")</f>
        <v>NO</v>
      </c>
      <c r="F165" s="9" t="str">
        <f>ifs($A165=FALSE,"",$A165,VLOOKUP($A165,SCAN!A:D,3,0))</f>
        <v>DM</v>
      </c>
    </row>
    <row r="166">
      <c r="A166" s="16">
        <f>IFERROR(__xludf.DUMMYFUNCTION("""COMPUTED_VALUE"""),44550.649101076386)</f>
        <v>44550.6491</v>
      </c>
      <c r="B166" s="6">
        <f>ifs($A166=FALSE,"",$A166,VLOOKUP($A166,SCAN!A:D,4,0))</f>
        <v>14531</v>
      </c>
      <c r="C166" s="7">
        <f t="shared" si="1"/>
        <v>44550</v>
      </c>
      <c r="D166" s="17" t="str">
        <f t="shared" si="2"/>
        <v>1453144550</v>
      </c>
      <c r="E166" s="9" t="str">
        <f>ifs($D166="","",countif('VISIT DATA'!$A:$A,$D166)=countif(D:D,$D166),"YES",countif('VISIT DATA'!$A:$A,$D166)=0,"NO",and(countif(D:D,$D166)&gt;1,countif('VISIT DATA'!$A:$A,$D166)&gt;=1),"YES",countif('VISIT DATA'!$A:$A,$D166)=countif(D:D,$D166),"YES")</f>
        <v>NO</v>
      </c>
      <c r="F166" s="9" t="str">
        <f>ifs($A166=FALSE,"",$A166,VLOOKUP($A166,SCAN!A:D,3,0))</f>
        <v>DA</v>
      </c>
    </row>
    <row r="167">
      <c r="A167" s="16">
        <f>IFERROR(__xludf.DUMMYFUNCTION("""COMPUTED_VALUE"""),44551.496168645834)</f>
        <v>44551.49617</v>
      </c>
      <c r="B167" s="6">
        <f>ifs($A167=FALSE,"",$A167,VLOOKUP($A167,SCAN!A:D,4,0))</f>
        <v>17632</v>
      </c>
      <c r="C167" s="7">
        <f t="shared" si="1"/>
        <v>44551</v>
      </c>
      <c r="D167" s="17" t="str">
        <f t="shared" si="2"/>
        <v>1763244551</v>
      </c>
      <c r="E167" s="9" t="str">
        <f>ifs($D167="","",countif('VISIT DATA'!$A:$A,$D167)=countif(D:D,$D167),"YES",countif('VISIT DATA'!$A:$A,$D167)=0,"NO",and(countif(D:D,$D167)&gt;1,countif('VISIT DATA'!$A:$A,$D167)&gt;=1),"YES",countif('VISIT DATA'!$A:$A,$D167)=countif(D:D,$D167),"YES")</f>
        <v>NO</v>
      </c>
      <c r="F167" s="9" t="str">
        <f>ifs($A167=FALSE,"",$A167,VLOOKUP($A167,SCAN!A:D,3,0))</f>
        <v>CH</v>
      </c>
    </row>
    <row r="168">
      <c r="A168" s="16">
        <f>IFERROR(__xludf.DUMMYFUNCTION("""COMPUTED_VALUE"""),44551.496380798606)</f>
        <v>44551.49638</v>
      </c>
      <c r="B168" s="6">
        <f>ifs($A168=FALSE,"",$A168,VLOOKUP($A168,SCAN!A:D,4,0))</f>
        <v>17610</v>
      </c>
      <c r="C168" s="7">
        <f t="shared" si="1"/>
        <v>44551</v>
      </c>
      <c r="D168" s="17" t="str">
        <f t="shared" si="2"/>
        <v>1761044551</v>
      </c>
      <c r="E168" s="9" t="str">
        <f>ifs($D168="","",countif('VISIT DATA'!$A:$A,$D168)=countif(D:D,$D168),"YES",countif('VISIT DATA'!$A:$A,$D168)=0,"NO",and(countif(D:D,$D168)&gt;1,countif('VISIT DATA'!$A:$A,$D168)&gt;=1),"YES",countif('VISIT DATA'!$A:$A,$D168)=countif(D:D,$D168),"YES")</f>
        <v>NO</v>
      </c>
      <c r="F168" s="9" t="str">
        <f>ifs($A168=FALSE,"",$A168,VLOOKUP($A168,SCAN!A:D,3,0))</f>
        <v>CH</v>
      </c>
    </row>
    <row r="169">
      <c r="A169" s="16">
        <f>IFERROR(__xludf.DUMMYFUNCTION("""COMPUTED_VALUE"""),44551.496556134254)</f>
        <v>44551.49656</v>
      </c>
      <c r="B169" s="6">
        <f>ifs($A169=FALSE,"",$A169,VLOOKUP($A169,SCAN!A:D,4,0))</f>
        <v>17625</v>
      </c>
      <c r="C169" s="7">
        <f t="shared" si="1"/>
        <v>44551</v>
      </c>
      <c r="D169" s="17" t="str">
        <f t="shared" si="2"/>
        <v>1762544551</v>
      </c>
      <c r="E169" s="9" t="str">
        <f>ifs($D169="","",countif('VISIT DATA'!$A:$A,$D169)=countif(D:D,$D169),"YES",countif('VISIT DATA'!$A:$A,$D169)=0,"NO",and(countif(D:D,$D169)&gt;1,countif('VISIT DATA'!$A:$A,$D169)&gt;=1),"YES",countif('VISIT DATA'!$A:$A,$D169)=countif(D:D,$D169),"YES")</f>
        <v>NO</v>
      </c>
      <c r="F169" s="9" t="str">
        <f>ifs($A169=FALSE,"",$A169,VLOOKUP($A169,SCAN!A:D,3,0))</f>
        <v>CH</v>
      </c>
    </row>
    <row r="170">
      <c r="A170" s="16">
        <f>IFERROR(__xludf.DUMMYFUNCTION("""COMPUTED_VALUE"""),44551.49677881945)</f>
        <v>44551.49678</v>
      </c>
      <c r="B170" s="6">
        <f>ifs($A170=FALSE,"",$A170,VLOOKUP($A170,SCAN!A:D,4,0))</f>
        <v>17606</v>
      </c>
      <c r="C170" s="7">
        <f t="shared" si="1"/>
        <v>44551</v>
      </c>
      <c r="D170" s="17" t="str">
        <f t="shared" si="2"/>
        <v>1760644551</v>
      </c>
      <c r="E170" s="9" t="str">
        <f>ifs($D170="","",countif('VISIT DATA'!$A:$A,$D170)=countif(D:D,$D170),"YES",countif('VISIT DATA'!$A:$A,$D170)=0,"NO",and(countif(D:D,$D170)&gt;1,countif('VISIT DATA'!$A:$A,$D170)&gt;=1),"YES",countif('VISIT DATA'!$A:$A,$D170)=countif(D:D,$D170),"YES")</f>
        <v>NO</v>
      </c>
      <c r="F170" s="9" t="str">
        <f>ifs($A170=FALSE,"",$A170,VLOOKUP($A170,SCAN!A:D,3,0))</f>
        <v>CH</v>
      </c>
    </row>
    <row r="171">
      <c r="A171" s="16">
        <f>IFERROR(__xludf.DUMMYFUNCTION("""COMPUTED_VALUE"""),44551.496947430554)</f>
        <v>44551.49695</v>
      </c>
      <c r="B171" s="6">
        <f>ifs($A171=FALSE,"",$A171,VLOOKUP($A171,SCAN!A:D,4,0))</f>
        <v>10100</v>
      </c>
      <c r="C171" s="7">
        <f t="shared" si="1"/>
        <v>44551</v>
      </c>
      <c r="D171" s="17" t="str">
        <f t="shared" si="2"/>
        <v>1010044551</v>
      </c>
      <c r="E171" s="9" t="str">
        <f>ifs($D171="","",countif('VISIT DATA'!$A:$A,$D171)=countif(D:D,$D171),"YES",countif('VISIT DATA'!$A:$A,$D171)=0,"NO",and(countif(D:D,$D171)&gt;1,countif('VISIT DATA'!$A:$A,$D171)&gt;=1),"YES",countif('VISIT DATA'!$A:$A,$D171)=countif(D:D,$D171),"YES")</f>
        <v>NO</v>
      </c>
      <c r="F171" s="9" t="str">
        <f>ifs($A171=FALSE,"",$A171,VLOOKUP($A171,SCAN!A:D,3,0))</f>
        <v>CH</v>
      </c>
    </row>
    <row r="172">
      <c r="A172" s="16">
        <f>IFERROR(__xludf.DUMMYFUNCTION("""COMPUTED_VALUE"""),44551.49712212963)</f>
        <v>44551.49712</v>
      </c>
      <c r="B172" s="6">
        <f>ifs($A172=FALSE,"",$A172,VLOOKUP($A172,SCAN!A:D,4,0))</f>
        <v>17583</v>
      </c>
      <c r="C172" s="7">
        <f t="shared" si="1"/>
        <v>44551</v>
      </c>
      <c r="D172" s="17" t="str">
        <f t="shared" si="2"/>
        <v>1758344551</v>
      </c>
      <c r="E172" s="9" t="str">
        <f>ifs($D172="","",countif('VISIT DATA'!$A:$A,$D172)=countif(D:D,$D172),"YES",countif('VISIT DATA'!$A:$A,$D172)=0,"NO",and(countif(D:D,$D172)&gt;1,countif('VISIT DATA'!$A:$A,$D172)&gt;=1),"YES",countif('VISIT DATA'!$A:$A,$D172)=countif(D:D,$D172),"YES")</f>
        <v>NO</v>
      </c>
      <c r="F172" s="9" t="str">
        <f>ifs($A172=FALSE,"",$A172,VLOOKUP($A172,SCAN!A:D,3,0))</f>
        <v>CH</v>
      </c>
    </row>
    <row r="173">
      <c r="A173" s="16">
        <f>IFERROR(__xludf.DUMMYFUNCTION("""COMPUTED_VALUE"""),44551.49724927083)</f>
        <v>44551.49725</v>
      </c>
      <c r="B173" s="6">
        <f>ifs($A173=FALSE,"",$A173,VLOOKUP($A173,SCAN!A:D,4,0))</f>
        <v>9821</v>
      </c>
      <c r="C173" s="7">
        <f t="shared" si="1"/>
        <v>44551</v>
      </c>
      <c r="D173" s="17" t="str">
        <f t="shared" si="2"/>
        <v>982144551</v>
      </c>
      <c r="E173" s="9" t="str">
        <f>ifs($D173="","",countif('VISIT DATA'!$A:$A,$D173)=countif(D:D,$D173),"YES",countif('VISIT DATA'!$A:$A,$D173)=0,"NO",and(countif(D:D,$D173)&gt;1,countif('VISIT DATA'!$A:$A,$D173)&gt;=1),"YES",countif('VISIT DATA'!$A:$A,$D173)=countif(D:D,$D173),"YES")</f>
        <v>NO</v>
      </c>
      <c r="F173" s="9" t="str">
        <f>ifs($A173=FALSE,"",$A173,VLOOKUP($A173,SCAN!A:D,3,0))</f>
        <v>CH</v>
      </c>
    </row>
    <row r="174">
      <c r="A174" s="16">
        <f>IFERROR(__xludf.DUMMYFUNCTION("""COMPUTED_VALUE"""),44551.497389780096)</f>
        <v>44551.49739</v>
      </c>
      <c r="B174" s="6">
        <f>ifs($A174=FALSE,"",$A174,VLOOKUP($A174,SCAN!A:D,4,0))</f>
        <v>17639</v>
      </c>
      <c r="C174" s="7">
        <f t="shared" si="1"/>
        <v>44551</v>
      </c>
      <c r="D174" s="17" t="str">
        <f t="shared" si="2"/>
        <v>1763944551</v>
      </c>
      <c r="E174" s="9" t="str">
        <f>ifs($D174="","",countif('VISIT DATA'!$A:$A,$D174)=countif(D:D,$D174),"YES",countif('VISIT DATA'!$A:$A,$D174)=0,"NO",and(countif(D:D,$D174)&gt;1,countif('VISIT DATA'!$A:$A,$D174)&gt;=1),"YES",countif('VISIT DATA'!$A:$A,$D174)=countif(D:D,$D174),"YES")</f>
        <v>NO</v>
      </c>
      <c r="F174" s="9" t="str">
        <f>ifs($A174=FALSE,"",$A174,VLOOKUP($A174,SCAN!A:D,3,0))</f>
        <v>CH</v>
      </c>
    </row>
    <row r="175">
      <c r="A175" s="16">
        <f>IFERROR(__xludf.DUMMYFUNCTION("""COMPUTED_VALUE"""),44551.49752467593)</f>
        <v>44551.49752</v>
      </c>
      <c r="B175" s="6">
        <f>ifs($A175=FALSE,"",$A175,VLOOKUP($A175,SCAN!A:D,4,0))</f>
        <v>17621</v>
      </c>
      <c r="C175" s="7">
        <f t="shared" si="1"/>
        <v>44551</v>
      </c>
      <c r="D175" s="17" t="str">
        <f t="shared" si="2"/>
        <v>1762144551</v>
      </c>
      <c r="E175" s="9" t="str">
        <f>ifs($D175="","",countif('VISIT DATA'!$A:$A,$D175)=countif(D:D,$D175),"YES",countif('VISIT DATA'!$A:$A,$D175)=0,"NO",and(countif(D:D,$D175)&gt;1,countif('VISIT DATA'!$A:$A,$D175)&gt;=1),"YES",countif('VISIT DATA'!$A:$A,$D175)=countif(D:D,$D175),"YES")</f>
        <v>NO</v>
      </c>
      <c r="F175" s="9" t="str">
        <f>ifs($A175=FALSE,"",$A175,VLOOKUP($A175,SCAN!A:D,3,0))</f>
        <v>CH</v>
      </c>
    </row>
    <row r="176">
      <c r="A176" s="16">
        <f>IFERROR(__xludf.DUMMYFUNCTION("""COMPUTED_VALUE"""),44551.49764035879)</f>
        <v>44551.49764</v>
      </c>
      <c r="B176" s="6">
        <f>ifs($A176=FALSE,"",$A176,VLOOKUP($A176,SCAN!A:D,4,0))</f>
        <v>17626</v>
      </c>
      <c r="C176" s="7">
        <f t="shared" si="1"/>
        <v>44551</v>
      </c>
      <c r="D176" s="17" t="str">
        <f t="shared" si="2"/>
        <v>1762644551</v>
      </c>
      <c r="E176" s="9" t="str">
        <f>ifs($D176="","",countif('VISIT DATA'!$A:$A,$D176)=countif(D:D,$D176),"YES",countif('VISIT DATA'!$A:$A,$D176)=0,"NO",and(countif(D:D,$D176)&gt;1,countif('VISIT DATA'!$A:$A,$D176)&gt;=1),"YES",countif('VISIT DATA'!$A:$A,$D176)=countif(D:D,$D176),"YES")</f>
        <v>NO</v>
      </c>
      <c r="F176" s="9" t="str">
        <f>ifs($A176=FALSE,"",$A176,VLOOKUP($A176,SCAN!A:D,3,0))</f>
        <v>CH</v>
      </c>
    </row>
    <row r="177">
      <c r="A177" s="16">
        <f>IFERROR(__xludf.DUMMYFUNCTION("""COMPUTED_VALUE"""),44551.49779645834)</f>
        <v>44551.4978</v>
      </c>
      <c r="B177" s="6">
        <f>ifs($A177=FALSE,"",$A177,VLOOKUP($A177,SCAN!A:D,4,0))</f>
        <v>17728</v>
      </c>
      <c r="C177" s="7">
        <f t="shared" si="1"/>
        <v>44551</v>
      </c>
      <c r="D177" s="17" t="str">
        <f t="shared" si="2"/>
        <v>1772844551</v>
      </c>
      <c r="E177" s="9" t="str">
        <f>ifs($D177="","",countif('VISIT DATA'!$A:$A,$D177)=countif(D:D,$D177),"YES",countif('VISIT DATA'!$A:$A,$D177)=0,"NO",and(countif(D:D,$D177)&gt;1,countif('VISIT DATA'!$A:$A,$D177)&gt;=1),"YES",countif('VISIT DATA'!$A:$A,$D177)=countif(D:D,$D177),"YES")</f>
        <v>NO</v>
      </c>
      <c r="F177" s="9" t="str">
        <f>ifs($A177=FALSE,"",$A177,VLOOKUP($A177,SCAN!A:D,3,0))</f>
        <v>CH</v>
      </c>
    </row>
    <row r="178">
      <c r="A178" s="16">
        <f>IFERROR(__xludf.DUMMYFUNCTION("""COMPUTED_VALUE"""),44551.497922662034)</f>
        <v>44551.49792</v>
      </c>
      <c r="B178" s="6">
        <f>ifs($A178=FALSE,"",$A178,VLOOKUP($A178,SCAN!A:D,4,0))</f>
        <v>17635</v>
      </c>
      <c r="C178" s="7">
        <f t="shared" si="1"/>
        <v>44551</v>
      </c>
      <c r="D178" s="17" t="str">
        <f t="shared" si="2"/>
        <v>1763544551</v>
      </c>
      <c r="E178" s="9" t="str">
        <f>ifs($D178="","",countif('VISIT DATA'!$A:$A,$D178)=countif(D:D,$D178),"YES",countif('VISIT DATA'!$A:$A,$D178)=0,"NO",and(countif(D:D,$D178)&gt;1,countif('VISIT DATA'!$A:$A,$D178)&gt;=1),"YES",countif('VISIT DATA'!$A:$A,$D178)=countif(D:D,$D178),"YES")</f>
        <v>NO</v>
      </c>
      <c r="F178" s="9" t="str">
        <f>ifs($A178=FALSE,"",$A178,VLOOKUP($A178,SCAN!A:D,3,0))</f>
        <v>CH</v>
      </c>
    </row>
    <row r="179">
      <c r="A179" s="16">
        <f>IFERROR(__xludf.DUMMYFUNCTION("""COMPUTED_VALUE"""),44551.49812137731)</f>
        <v>44551.49812</v>
      </c>
      <c r="B179" s="6">
        <f>ifs($A179=FALSE,"",$A179,VLOOKUP($A179,SCAN!A:D,4,0))</f>
        <v>17596</v>
      </c>
      <c r="C179" s="7">
        <f t="shared" si="1"/>
        <v>44551</v>
      </c>
      <c r="D179" s="17" t="str">
        <f t="shared" si="2"/>
        <v>1759644551</v>
      </c>
      <c r="E179" s="9" t="str">
        <f>ifs($D179="","",countif('VISIT DATA'!$A:$A,$D179)=countif(D:D,$D179),"YES",countif('VISIT DATA'!$A:$A,$D179)=0,"NO",and(countif(D:D,$D179)&gt;1,countif('VISIT DATA'!$A:$A,$D179)&gt;=1),"YES",countif('VISIT DATA'!$A:$A,$D179)=countif(D:D,$D179),"YES")</f>
        <v>NO</v>
      </c>
      <c r="F179" s="9" t="str">
        <f>ifs($A179=FALSE,"",$A179,VLOOKUP($A179,SCAN!A:D,3,0))</f>
        <v>CH</v>
      </c>
    </row>
    <row r="180">
      <c r="A180" s="16">
        <f>IFERROR(__xludf.DUMMYFUNCTION("""COMPUTED_VALUE"""),44551.548034050924)</f>
        <v>44551.54803</v>
      </c>
      <c r="B180" s="6">
        <f>ifs($A180=FALSE,"",$A180,VLOOKUP($A180,SCAN!A:D,4,0))</f>
        <v>9846</v>
      </c>
      <c r="C180" s="7">
        <f t="shared" si="1"/>
        <v>44551</v>
      </c>
      <c r="D180" s="17" t="str">
        <f t="shared" si="2"/>
        <v>984644551</v>
      </c>
      <c r="E180" s="9" t="str">
        <f>ifs($D180="","",countif('VISIT DATA'!$A:$A,$D180)=countif(D:D,$D180),"YES",countif('VISIT DATA'!$A:$A,$D180)=0,"NO",and(countif(D:D,$D180)&gt;1,countif('VISIT DATA'!$A:$A,$D180)&gt;=1),"YES",countif('VISIT DATA'!$A:$A,$D180)=countif(D:D,$D180),"YES")</f>
        <v>NO</v>
      </c>
      <c r="F180" s="9" t="str">
        <f>ifs($A180=FALSE,"",$A180,VLOOKUP($A180,SCAN!A:D,3,0))</f>
        <v>DA</v>
      </c>
    </row>
    <row r="181">
      <c r="A181" s="16">
        <f>IFERROR(__xludf.DUMMYFUNCTION("""COMPUTED_VALUE"""),44551.55487982639)</f>
        <v>44551.55488</v>
      </c>
      <c r="B181" s="6">
        <f>ifs($A181=FALSE,"",$A181,VLOOKUP($A181,SCAN!A:D,4,0))</f>
        <v>15817</v>
      </c>
      <c r="C181" s="7">
        <f t="shared" si="1"/>
        <v>44551</v>
      </c>
      <c r="D181" s="17" t="str">
        <f t="shared" si="2"/>
        <v>1581744551</v>
      </c>
      <c r="E181" s="9" t="str">
        <f>ifs($D181="","",countif('VISIT DATA'!$A:$A,$D181)=countif(D:D,$D181),"YES",countif('VISIT DATA'!$A:$A,$D181)=0,"NO",and(countif(D:D,$D181)&gt;1,countif('VISIT DATA'!$A:$A,$D181)&gt;=1),"YES",countif('VISIT DATA'!$A:$A,$D181)=countif(D:D,$D181),"YES")</f>
        <v>NO</v>
      </c>
      <c r="F181" s="9" t="str">
        <f>ifs($A181=FALSE,"",$A181,VLOOKUP($A181,SCAN!A:D,3,0))</f>
        <v>DA</v>
      </c>
    </row>
    <row r="182">
      <c r="A182" s="16">
        <f>IFERROR(__xludf.DUMMYFUNCTION("""COMPUTED_VALUE"""),44551.556432488425)</f>
        <v>44551.55643</v>
      </c>
      <c r="B182" s="6">
        <f>ifs($A182=FALSE,"",$A182,VLOOKUP($A182,SCAN!A:D,4,0))</f>
        <v>14926</v>
      </c>
      <c r="C182" s="7">
        <f t="shared" si="1"/>
        <v>44551</v>
      </c>
      <c r="D182" s="17" t="str">
        <f t="shared" si="2"/>
        <v>1492644551</v>
      </c>
      <c r="E182" s="9" t="str">
        <f>ifs($D182="","",countif('VISIT DATA'!$A:$A,$D182)=countif(D:D,$D182),"YES",countif('VISIT DATA'!$A:$A,$D182)=0,"NO",and(countif(D:D,$D182)&gt;1,countif('VISIT DATA'!$A:$A,$D182)&gt;=1),"YES",countif('VISIT DATA'!$A:$A,$D182)=countif(D:D,$D182),"YES")</f>
        <v>NO</v>
      </c>
      <c r="F182" s="9" t="str">
        <f>ifs($A182=FALSE,"",$A182,VLOOKUP($A182,SCAN!A:D,3,0))</f>
        <v>DA</v>
      </c>
    </row>
    <row r="183">
      <c r="A183" s="16">
        <f>IFERROR(__xludf.DUMMYFUNCTION("""COMPUTED_VALUE"""),44551.56623976852)</f>
        <v>44551.56624</v>
      </c>
      <c r="B183" s="6">
        <f>ifs($A183=FALSE,"",$A183,VLOOKUP($A183,SCAN!A:D,4,0))</f>
        <v>10772</v>
      </c>
      <c r="C183" s="7">
        <f t="shared" si="1"/>
        <v>44551</v>
      </c>
      <c r="D183" s="17" t="str">
        <f t="shared" si="2"/>
        <v>1077244551</v>
      </c>
      <c r="E183" s="9" t="str">
        <f>ifs($D183="","",countif('VISIT DATA'!$A:$A,$D183)=countif(D:D,$D183),"YES",countif('VISIT DATA'!$A:$A,$D183)=0,"NO",and(countif(D:D,$D183)&gt;1,countif('VISIT DATA'!$A:$A,$D183)&gt;=1),"YES",countif('VISIT DATA'!$A:$A,$D183)=countif(D:D,$D183),"YES")</f>
        <v>NO</v>
      </c>
      <c r="F183" s="9" t="str">
        <f>ifs($A183=FALSE,"",$A183,VLOOKUP($A183,SCAN!A:D,3,0))</f>
        <v>DA</v>
      </c>
    </row>
    <row r="184">
      <c r="A184" s="16">
        <f>IFERROR(__xludf.DUMMYFUNCTION("""COMPUTED_VALUE"""),44551.56947354166)</f>
        <v>44551.56947</v>
      </c>
      <c r="B184" s="6">
        <f>ifs($A184=FALSE,"",$A184,VLOOKUP($A184,SCAN!A:D,4,0))</f>
        <v>17537</v>
      </c>
      <c r="C184" s="7">
        <f t="shared" si="1"/>
        <v>44551</v>
      </c>
      <c r="D184" s="17" t="str">
        <f t="shared" si="2"/>
        <v>1753744551</v>
      </c>
      <c r="E184" s="9" t="str">
        <f>ifs($D184="","",countif('VISIT DATA'!$A:$A,$D184)=countif(D:D,$D184),"YES",countif('VISIT DATA'!$A:$A,$D184)=0,"NO",and(countif(D:D,$D184)&gt;1,countif('VISIT DATA'!$A:$A,$D184)&gt;=1),"YES",countif('VISIT DATA'!$A:$A,$D184)=countif(D:D,$D184),"YES")</f>
        <v>NO</v>
      </c>
      <c r="F184" s="9" t="str">
        <f>ifs($A184=FALSE,"",$A184,VLOOKUP($A184,SCAN!A:D,3,0))</f>
        <v>CH</v>
      </c>
    </row>
    <row r="185">
      <c r="A185" s="16">
        <f>IFERROR(__xludf.DUMMYFUNCTION("""COMPUTED_VALUE"""),44551.577000254634)</f>
        <v>44551.577</v>
      </c>
      <c r="B185" s="6">
        <f>ifs($A185=FALSE,"",$A185,VLOOKUP($A185,SCAN!A:D,4,0))</f>
        <v>15894</v>
      </c>
      <c r="C185" s="7">
        <f t="shared" si="1"/>
        <v>44551</v>
      </c>
      <c r="D185" s="17" t="str">
        <f t="shared" si="2"/>
        <v>1589444551</v>
      </c>
      <c r="E185" s="9" t="str">
        <f>ifs($D185="","",countif('VISIT DATA'!$A:$A,$D185)=countif(D:D,$D185),"YES",countif('VISIT DATA'!$A:$A,$D185)=0,"NO",and(countif(D:D,$D185)&gt;1,countif('VISIT DATA'!$A:$A,$D185)&gt;=1),"YES",countif('VISIT DATA'!$A:$A,$D185)=countif(D:D,$D185),"YES")</f>
        <v>NO</v>
      </c>
      <c r="F185" s="9" t="str">
        <f>ifs($A185=FALSE,"",$A185,VLOOKUP($A185,SCAN!A:D,3,0))</f>
        <v>DA</v>
      </c>
    </row>
    <row r="186">
      <c r="A186" s="16">
        <f>IFERROR(__xludf.DUMMYFUNCTION("""COMPUTED_VALUE"""),44551.57901570602)</f>
        <v>44551.57902</v>
      </c>
      <c r="B186" s="6">
        <f>ifs($A186=FALSE,"",$A186,VLOOKUP($A186,SCAN!A:D,4,0))</f>
        <v>11060</v>
      </c>
      <c r="C186" s="7">
        <f t="shared" si="1"/>
        <v>44551</v>
      </c>
      <c r="D186" s="17" t="str">
        <f t="shared" si="2"/>
        <v>1106044551</v>
      </c>
      <c r="E186" s="9" t="str">
        <f>ifs($D186="","",countif('VISIT DATA'!$A:$A,$D186)=countif(D:D,$D186),"YES",countif('VISIT DATA'!$A:$A,$D186)=0,"NO",and(countif(D:D,$D186)&gt;1,countif('VISIT DATA'!$A:$A,$D186)&gt;=1),"YES",countif('VISIT DATA'!$A:$A,$D186)=countif(D:D,$D186),"YES")</f>
        <v>NO</v>
      </c>
      <c r="F186" s="9" t="str">
        <f>ifs($A186=FALSE,"",$A186,VLOOKUP($A186,SCAN!A:D,3,0))</f>
        <v>DA</v>
      </c>
    </row>
    <row r="187">
      <c r="A187" s="16">
        <f>IFERROR(__xludf.DUMMYFUNCTION("""COMPUTED_VALUE"""),44551.581024444444)</f>
        <v>44551.58102</v>
      </c>
      <c r="B187" s="6">
        <f>ifs($A187=FALSE,"",$A187,VLOOKUP($A187,SCAN!A:D,4,0))</f>
        <v>11017</v>
      </c>
      <c r="C187" s="7">
        <f t="shared" si="1"/>
        <v>44551</v>
      </c>
      <c r="D187" s="17" t="str">
        <f t="shared" si="2"/>
        <v>1101744551</v>
      </c>
      <c r="E187" s="9" t="str">
        <f>ifs($D187="","",countif('VISIT DATA'!$A:$A,$D187)=countif(D:D,$D187),"YES",countif('VISIT DATA'!$A:$A,$D187)=0,"NO",and(countif(D:D,$D187)&gt;1,countif('VISIT DATA'!$A:$A,$D187)&gt;=1),"YES",countif('VISIT DATA'!$A:$A,$D187)=countif(D:D,$D187),"YES")</f>
        <v>NO</v>
      </c>
      <c r="F187" s="9" t="str">
        <f>ifs($A187=FALSE,"",$A187,VLOOKUP($A187,SCAN!A:D,3,0))</f>
        <v>DA</v>
      </c>
    </row>
    <row r="188">
      <c r="A188" s="16">
        <f>IFERROR(__xludf.DUMMYFUNCTION("""COMPUTED_VALUE"""),44551.583871678245)</f>
        <v>44551.58387</v>
      </c>
      <c r="B188" s="6">
        <f>ifs($A188=FALSE,"",$A188,VLOOKUP($A188,SCAN!A:D,4,0))</f>
        <v>11093</v>
      </c>
      <c r="C188" s="7">
        <f t="shared" si="1"/>
        <v>44551</v>
      </c>
      <c r="D188" s="17" t="str">
        <f t="shared" si="2"/>
        <v>1109344551</v>
      </c>
      <c r="E188" s="9" t="str">
        <f>ifs($D188="","",countif('VISIT DATA'!$A:$A,$D188)=countif(D:D,$D188),"YES",countif('VISIT DATA'!$A:$A,$D188)=0,"NO",and(countif(D:D,$D188)&gt;1,countif('VISIT DATA'!$A:$A,$D188)&gt;=1),"YES",countif('VISIT DATA'!$A:$A,$D188)=countif(D:D,$D188),"YES")</f>
        <v>NO</v>
      </c>
      <c r="F188" s="9" t="str">
        <f>ifs($A188=FALSE,"",$A188,VLOOKUP($A188,SCAN!A:D,3,0))</f>
        <v>CH</v>
      </c>
    </row>
    <row r="189">
      <c r="A189" s="16">
        <f>IFERROR(__xludf.DUMMYFUNCTION("""COMPUTED_VALUE"""),44551.58756326389)</f>
        <v>44551.58756</v>
      </c>
      <c r="B189" s="6">
        <f>ifs($A189=FALSE,"",$A189,VLOOKUP($A189,SCAN!A:D,4,0))</f>
        <v>16002</v>
      </c>
      <c r="C189" s="7">
        <f t="shared" si="1"/>
        <v>44551</v>
      </c>
      <c r="D189" s="17" t="str">
        <f t="shared" si="2"/>
        <v>1600244551</v>
      </c>
      <c r="E189" s="9" t="str">
        <f>ifs($D189="","",countif('VISIT DATA'!$A:$A,$D189)=countif(D:D,$D189),"YES",countif('VISIT DATA'!$A:$A,$D189)=0,"NO",and(countif(D:D,$D189)&gt;1,countif('VISIT DATA'!$A:$A,$D189)&gt;=1),"YES",countif('VISIT DATA'!$A:$A,$D189)=countif(D:D,$D189),"YES")</f>
        <v>NO</v>
      </c>
      <c r="F189" s="9" t="str">
        <f>ifs($A189=FALSE,"",$A189,VLOOKUP($A189,SCAN!A:D,3,0))</f>
        <v>DA</v>
      </c>
    </row>
    <row r="190">
      <c r="A190" s="16">
        <f>IFERROR(__xludf.DUMMYFUNCTION("""COMPUTED_VALUE"""),44551.59195847222)</f>
        <v>44551.59196</v>
      </c>
      <c r="B190" s="6">
        <f>ifs($A190=FALSE,"",$A190,VLOOKUP($A190,SCAN!A:D,4,0))</f>
        <v>15910</v>
      </c>
      <c r="C190" s="7">
        <f t="shared" si="1"/>
        <v>44551</v>
      </c>
      <c r="D190" s="17" t="str">
        <f t="shared" si="2"/>
        <v>1591044551</v>
      </c>
      <c r="E190" s="9" t="str">
        <f>ifs($D190="","",countif('VISIT DATA'!$A:$A,$D190)=countif(D:D,$D190),"YES",countif('VISIT DATA'!$A:$A,$D190)=0,"NO",and(countif(D:D,$D190)&gt;1,countif('VISIT DATA'!$A:$A,$D190)&gt;=1),"YES",countif('VISIT DATA'!$A:$A,$D190)=countif(D:D,$D190),"YES")</f>
        <v>NO</v>
      </c>
      <c r="F190" s="9" t="str">
        <f>ifs($A190=FALSE,"",$A190,VLOOKUP($A190,SCAN!A:D,3,0))</f>
        <v>DA</v>
      </c>
    </row>
    <row r="191">
      <c r="A191" s="16">
        <f>IFERROR(__xludf.DUMMYFUNCTION("""COMPUTED_VALUE"""),44551.60927693287)</f>
        <v>44551.60928</v>
      </c>
      <c r="B191" s="6">
        <f>ifs($A191=FALSE,"",$A191,VLOOKUP($A191,SCAN!A:D,4,0))</f>
        <v>16524</v>
      </c>
      <c r="C191" s="7">
        <f t="shared" si="1"/>
        <v>44551</v>
      </c>
      <c r="D191" s="17" t="str">
        <f t="shared" si="2"/>
        <v>1652444551</v>
      </c>
      <c r="E191" s="9" t="str">
        <f>ifs($D191="","",countif('VISIT DATA'!$A:$A,$D191)=countif(D:D,$D191),"YES",countif('VISIT DATA'!$A:$A,$D191)=0,"NO",and(countif(D:D,$D191)&gt;1,countif('VISIT DATA'!$A:$A,$D191)&gt;=1),"YES",countif('VISIT DATA'!$A:$A,$D191)=countif(D:D,$D191),"YES")</f>
        <v>NO</v>
      </c>
      <c r="F191" s="9" t="str">
        <f>ifs($A191=FALSE,"",$A191,VLOOKUP($A191,SCAN!A:D,3,0))</f>
        <v>DM</v>
      </c>
    </row>
    <row r="192">
      <c r="A192" s="16">
        <f>IFERROR(__xludf.DUMMYFUNCTION("""COMPUTED_VALUE"""),44551.60963607639)</f>
        <v>44551.60964</v>
      </c>
      <c r="B192" s="6">
        <f>ifs($A192=FALSE,"",$A192,VLOOKUP($A192,SCAN!A:D,4,0))</f>
        <v>16842</v>
      </c>
      <c r="C192" s="7">
        <f t="shared" si="1"/>
        <v>44551</v>
      </c>
      <c r="D192" s="17" t="str">
        <f t="shared" si="2"/>
        <v>1684244551</v>
      </c>
      <c r="E192" s="9" t="str">
        <f>ifs($D192="","",countif('VISIT DATA'!$A:$A,$D192)=countif(D:D,$D192),"YES",countif('VISIT DATA'!$A:$A,$D192)=0,"NO",and(countif(D:D,$D192)&gt;1,countif('VISIT DATA'!$A:$A,$D192)&gt;=1),"YES",countif('VISIT DATA'!$A:$A,$D192)=countif(D:D,$D192),"YES")</f>
        <v>NO</v>
      </c>
      <c r="F192" s="9" t="str">
        <f>ifs($A192=FALSE,"",$A192,VLOOKUP($A192,SCAN!A:D,3,0))</f>
        <v>DM</v>
      </c>
    </row>
    <row r="193">
      <c r="A193" s="16">
        <f>IFERROR(__xludf.DUMMYFUNCTION("""COMPUTED_VALUE"""),44551.62900365741)</f>
        <v>44551.629</v>
      </c>
      <c r="B193" s="6">
        <f>ifs($A193=FALSE,"",$A193,VLOOKUP($A193,SCAN!A:D,4,0))</f>
        <v>13728</v>
      </c>
      <c r="C193" s="7">
        <f t="shared" si="1"/>
        <v>44551</v>
      </c>
      <c r="D193" s="17" t="str">
        <f t="shared" si="2"/>
        <v>1372844551</v>
      </c>
      <c r="E193" s="9" t="str">
        <f>ifs($D193="","",countif('VISIT DATA'!$A:$A,$D193)=countif(D:D,$D193),"YES",countif('VISIT DATA'!$A:$A,$D193)=0,"NO",and(countif(D:D,$D193)&gt;1,countif('VISIT DATA'!$A:$A,$D193)&gt;=1),"YES",countif('VISIT DATA'!$A:$A,$D193)=countif(D:D,$D193),"YES")</f>
        <v>NO</v>
      </c>
      <c r="F193" s="9" t="str">
        <f>ifs($A193=FALSE,"",$A193,VLOOKUP($A193,SCAN!A:D,3,0))</f>
        <v>DM</v>
      </c>
    </row>
    <row r="194">
      <c r="A194" s="16">
        <f>IFERROR(__xludf.DUMMYFUNCTION("""COMPUTED_VALUE"""),44551.652575879634)</f>
        <v>44551.65258</v>
      </c>
      <c r="B194" s="6">
        <f>ifs($A194=FALSE,"",$A194,VLOOKUP($A194,SCAN!A:D,4,0))</f>
        <v>11376</v>
      </c>
      <c r="C194" s="7">
        <f t="shared" si="1"/>
        <v>44551</v>
      </c>
      <c r="D194" s="17" t="str">
        <f t="shared" si="2"/>
        <v>1137644551</v>
      </c>
      <c r="E194" s="9" t="str">
        <f>ifs($D194="","",countif('VISIT DATA'!$A:$A,$D194)=countif(D:D,$D194),"YES",countif('VISIT DATA'!$A:$A,$D194)=0,"NO",and(countif(D:D,$D194)&gt;1,countif('VISIT DATA'!$A:$A,$D194)&gt;=1),"YES",countif('VISIT DATA'!$A:$A,$D194)=countif(D:D,$D194),"YES")</f>
        <v>NO</v>
      </c>
      <c r="F194" s="9" t="str">
        <f>ifs($A194=FALSE,"",$A194,VLOOKUP($A194,SCAN!A:D,3,0))</f>
        <v>DA</v>
      </c>
    </row>
    <row r="195">
      <c r="A195" s="16">
        <f>IFERROR(__xludf.DUMMYFUNCTION("""COMPUTED_VALUE"""),44552.49920356482)</f>
        <v>44552.4992</v>
      </c>
      <c r="B195" s="6">
        <f>ifs($A195=FALSE,"",$A195,VLOOKUP($A195,SCAN!A:D,4,0))</f>
        <v>10613</v>
      </c>
      <c r="C195" s="7">
        <f t="shared" si="1"/>
        <v>44552</v>
      </c>
      <c r="D195" s="17" t="str">
        <f t="shared" si="2"/>
        <v>1061344552</v>
      </c>
      <c r="E195" s="9" t="str">
        <f>ifs($D195="","",countif('VISIT DATA'!$A:$A,$D195)=countif(D:D,$D195),"YES",countif('VISIT DATA'!$A:$A,$D195)=0,"NO",and(countif(D:D,$D195)&gt;1,countif('VISIT DATA'!$A:$A,$D195)&gt;=1),"YES",countif('VISIT DATA'!$A:$A,$D195)=countif(D:D,$D195),"YES")</f>
        <v>NO</v>
      </c>
      <c r="F195" s="9" t="str">
        <f>ifs($A195=FALSE,"",$A195,VLOOKUP($A195,SCAN!A:D,3,0))</f>
        <v>CH</v>
      </c>
    </row>
    <row r="196">
      <c r="A196" s="16">
        <f>IFERROR(__xludf.DUMMYFUNCTION("""COMPUTED_VALUE"""),44552.499369826386)</f>
        <v>44552.49937</v>
      </c>
      <c r="B196" s="6">
        <f>ifs($A196=FALSE,"",$A196,VLOOKUP($A196,SCAN!A:D,4,0))</f>
        <v>9283</v>
      </c>
      <c r="C196" s="7">
        <f t="shared" si="1"/>
        <v>44552</v>
      </c>
      <c r="D196" s="17" t="str">
        <f t="shared" si="2"/>
        <v>928344552</v>
      </c>
      <c r="E196" s="9" t="str">
        <f>ifs($D196="","",countif('VISIT DATA'!$A:$A,$D196)=countif(D:D,$D196),"YES",countif('VISIT DATA'!$A:$A,$D196)=0,"NO",and(countif(D:D,$D196)&gt;1,countif('VISIT DATA'!$A:$A,$D196)&gt;=1),"YES",countif('VISIT DATA'!$A:$A,$D196)=countif(D:D,$D196),"YES")</f>
        <v>NO</v>
      </c>
      <c r="F196" s="9" t="str">
        <f>ifs($A196=FALSE,"",$A196,VLOOKUP($A196,SCAN!A:D,3,0))</f>
        <v>CH</v>
      </c>
    </row>
    <row r="197">
      <c r="A197" s="16">
        <f>IFERROR(__xludf.DUMMYFUNCTION("""COMPUTED_VALUE"""),44552.49965075232)</f>
        <v>44552.49965</v>
      </c>
      <c r="B197" s="6">
        <f>ifs($A197=FALSE,"",$A197,VLOOKUP($A197,SCAN!A:D,4,0))</f>
        <v>11881</v>
      </c>
      <c r="C197" s="7">
        <f t="shared" si="1"/>
        <v>44552</v>
      </c>
      <c r="D197" s="17" t="str">
        <f t="shared" si="2"/>
        <v>1188144552</v>
      </c>
      <c r="E197" s="9" t="str">
        <f>ifs($D197="","",countif('VISIT DATA'!$A:$A,$D197)=countif(D:D,$D197),"YES",countif('VISIT DATA'!$A:$A,$D197)=0,"NO",and(countif(D:D,$D197)&gt;1,countif('VISIT DATA'!$A:$A,$D197)&gt;=1),"YES",countif('VISIT DATA'!$A:$A,$D197)=countif(D:D,$D197),"YES")</f>
        <v>NO</v>
      </c>
      <c r="F197" s="9" t="str">
        <f>ifs($A197=FALSE,"",$A197,VLOOKUP($A197,SCAN!A:D,3,0))</f>
        <v>CH</v>
      </c>
    </row>
    <row r="198">
      <c r="A198" s="16">
        <f>IFERROR(__xludf.DUMMYFUNCTION("""COMPUTED_VALUE"""),44552.49984561343)</f>
        <v>44552.49985</v>
      </c>
      <c r="B198" s="6">
        <f>ifs($A198=FALSE,"",$A198,VLOOKUP($A198,SCAN!A:D,4,0))</f>
        <v>9810</v>
      </c>
      <c r="C198" s="7">
        <f t="shared" si="1"/>
        <v>44552</v>
      </c>
      <c r="D198" s="17" t="str">
        <f t="shared" si="2"/>
        <v>981044552</v>
      </c>
      <c r="E198" s="9" t="str">
        <f>ifs($D198="","",countif('VISIT DATA'!$A:$A,$D198)=countif(D:D,$D198),"YES",countif('VISIT DATA'!$A:$A,$D198)=0,"NO",and(countif(D:D,$D198)&gt;1,countif('VISIT DATA'!$A:$A,$D198)&gt;=1),"YES",countif('VISIT DATA'!$A:$A,$D198)=countif(D:D,$D198),"YES")</f>
        <v>NO</v>
      </c>
      <c r="F198" s="9" t="str">
        <f>ifs($A198=FALSE,"",$A198,VLOOKUP($A198,SCAN!A:D,3,0))</f>
        <v>CH</v>
      </c>
    </row>
    <row r="199">
      <c r="A199" s="16">
        <f>IFERROR(__xludf.DUMMYFUNCTION("""COMPUTED_VALUE"""),44552.50026722222)</f>
        <v>44552.50027</v>
      </c>
      <c r="B199" s="6">
        <f>ifs($A199=FALSE,"",$A199,VLOOKUP($A199,SCAN!A:D,4,0))</f>
        <v>16156</v>
      </c>
      <c r="C199" s="7">
        <f t="shared" si="1"/>
        <v>44552</v>
      </c>
      <c r="D199" s="17" t="str">
        <f t="shared" si="2"/>
        <v>1615644552</v>
      </c>
      <c r="E199" s="9" t="str">
        <f>ifs($D199="","",countif('VISIT DATA'!$A:$A,$D199)=countif(D:D,$D199),"YES",countif('VISIT DATA'!$A:$A,$D199)=0,"NO",and(countif(D:D,$D199)&gt;1,countif('VISIT DATA'!$A:$A,$D199)&gt;=1),"YES",countif('VISIT DATA'!$A:$A,$D199)=countif(D:D,$D199),"YES")</f>
        <v>NO</v>
      </c>
      <c r="F199" s="9" t="str">
        <f>ifs($A199=FALSE,"",$A199,VLOOKUP($A199,SCAN!A:D,3,0))</f>
        <v>CH</v>
      </c>
    </row>
    <row r="200">
      <c r="A200" s="16">
        <f>IFERROR(__xludf.DUMMYFUNCTION("""COMPUTED_VALUE"""),44552.500401365745)</f>
        <v>44552.5004</v>
      </c>
      <c r="B200" s="6">
        <f>ifs($A200=FALSE,"",$A200,VLOOKUP($A200,SCAN!A:D,4,0))</f>
        <v>17769</v>
      </c>
      <c r="C200" s="7">
        <f t="shared" si="1"/>
        <v>44552</v>
      </c>
      <c r="D200" s="17" t="str">
        <f t="shared" si="2"/>
        <v>1776944552</v>
      </c>
      <c r="E200" s="9" t="str">
        <f>ifs($D200="","",countif('VISIT DATA'!$A:$A,$D200)=countif(D:D,$D200),"YES",countif('VISIT DATA'!$A:$A,$D200)=0,"NO",and(countif(D:D,$D200)&gt;1,countif('VISIT DATA'!$A:$A,$D200)&gt;=1),"YES",countif('VISIT DATA'!$A:$A,$D200)=countif(D:D,$D200),"YES")</f>
        <v>NO</v>
      </c>
      <c r="F200" s="9" t="str">
        <f>ifs($A200=FALSE,"",$A200,VLOOKUP($A200,SCAN!A:D,3,0))</f>
        <v>CH</v>
      </c>
    </row>
    <row r="201">
      <c r="A201" s="16">
        <f>IFERROR(__xludf.DUMMYFUNCTION("""COMPUTED_VALUE"""),44552.501644814816)</f>
        <v>44552.50164</v>
      </c>
      <c r="B201" s="6">
        <f>ifs($A201=FALSE,"",$A201,VLOOKUP($A201,SCAN!A:D,4,0))</f>
        <v>17775</v>
      </c>
      <c r="C201" s="7">
        <f t="shared" si="1"/>
        <v>44552</v>
      </c>
      <c r="D201" s="17" t="str">
        <f t="shared" si="2"/>
        <v>1777544552</v>
      </c>
      <c r="E201" s="9" t="str">
        <f>ifs($D201="","",countif('VISIT DATA'!$A:$A,$D201)=countif(D:D,$D201),"YES",countif('VISIT DATA'!$A:$A,$D201)=0,"NO",and(countif(D:D,$D201)&gt;1,countif('VISIT DATA'!$A:$A,$D201)&gt;=1),"YES",countif('VISIT DATA'!$A:$A,$D201)=countif(D:D,$D201),"YES")</f>
        <v>NO</v>
      </c>
      <c r="F201" s="9" t="str">
        <f>ifs($A201=FALSE,"",$A201,VLOOKUP($A201,SCAN!A:D,3,0))</f>
        <v>CH</v>
      </c>
    </row>
    <row r="202">
      <c r="A202" s="16">
        <f>IFERROR(__xludf.DUMMYFUNCTION("""COMPUTED_VALUE"""),44552.54476284722)</f>
        <v>44552.54476</v>
      </c>
      <c r="B202" s="6">
        <f>ifs($A202=FALSE,"",$A202,VLOOKUP($A202,SCAN!A:D,4,0))</f>
        <v>15825</v>
      </c>
      <c r="C202" s="7">
        <f t="shared" si="1"/>
        <v>44552</v>
      </c>
      <c r="D202" s="17" t="str">
        <f t="shared" si="2"/>
        <v>1582544552</v>
      </c>
      <c r="E202" s="9" t="str">
        <f>ifs($D202="","",countif('VISIT DATA'!$A:$A,$D202)=countif(D:D,$D202),"YES",countif('VISIT DATA'!$A:$A,$D202)=0,"NO",and(countif(D:D,$D202)&gt;1,countif('VISIT DATA'!$A:$A,$D202)&gt;=1),"YES",countif('VISIT DATA'!$A:$A,$D202)=countif(D:D,$D202),"YES")</f>
        <v>NO</v>
      </c>
      <c r="F202" s="9" t="str">
        <f>ifs($A202=FALSE,"",$A202,VLOOKUP($A202,SCAN!A:D,3,0))</f>
        <v>DM</v>
      </c>
    </row>
    <row r="203">
      <c r="A203" s="16">
        <f>IFERROR(__xludf.DUMMYFUNCTION("""COMPUTED_VALUE"""),44552.545109004626)</f>
        <v>44552.54511</v>
      </c>
      <c r="B203" s="6">
        <f>ifs($A203=FALSE,"",$A203,VLOOKUP($A203,SCAN!A:D,4,0))</f>
        <v>15825</v>
      </c>
      <c r="C203" s="7">
        <f t="shared" si="1"/>
        <v>44552</v>
      </c>
      <c r="D203" s="17" t="str">
        <f t="shared" si="2"/>
        <v>1582544552</v>
      </c>
      <c r="E203" s="9" t="str">
        <f>ifs($D203="","",countif('VISIT DATA'!$A:$A,$D203)=countif(D:D,$D203),"YES",countif('VISIT DATA'!$A:$A,$D203)=0,"NO",and(countif(D:D,$D203)&gt;1,countif('VISIT DATA'!$A:$A,$D203)&gt;=1),"YES",countif('VISIT DATA'!$A:$A,$D203)=countif(D:D,$D203),"YES")</f>
        <v>NO</v>
      </c>
      <c r="F203" s="9" t="str">
        <f>ifs($A203=FALSE,"",$A203,VLOOKUP($A203,SCAN!A:D,3,0))</f>
        <v>DM</v>
      </c>
    </row>
    <row r="204">
      <c r="A204" s="16">
        <f>IFERROR(__xludf.DUMMYFUNCTION("""COMPUTED_VALUE"""),44552.55115829861)</f>
        <v>44552.55116</v>
      </c>
      <c r="B204" s="6">
        <f>ifs($A204=FALSE,"",$A204,VLOOKUP($A204,SCAN!A:D,4,0))</f>
        <v>11287</v>
      </c>
      <c r="C204" s="7">
        <f t="shared" si="1"/>
        <v>44552</v>
      </c>
      <c r="D204" s="17" t="str">
        <f t="shared" si="2"/>
        <v>1128744552</v>
      </c>
      <c r="E204" s="9" t="str">
        <f>ifs($D204="","",countif('VISIT DATA'!$A:$A,$D204)=countif(D:D,$D204),"YES",countif('VISIT DATA'!$A:$A,$D204)=0,"NO",and(countif(D:D,$D204)&gt;1,countif('VISIT DATA'!$A:$A,$D204)&gt;=1),"YES",countif('VISIT DATA'!$A:$A,$D204)=countif(D:D,$D204),"YES")</f>
        <v>NO</v>
      </c>
      <c r="F204" s="9" t="str">
        <f>ifs($A204=FALSE,"",$A204,VLOOKUP($A204,SCAN!A:D,3,0))</f>
        <v>DM</v>
      </c>
    </row>
    <row r="205">
      <c r="A205" s="16">
        <f>IFERROR(__xludf.DUMMYFUNCTION("""COMPUTED_VALUE"""),44552.55144292824)</f>
        <v>44552.55144</v>
      </c>
      <c r="B205" s="6">
        <f>ifs($A205=FALSE,"",$A205,VLOOKUP($A205,SCAN!A:D,4,0))</f>
        <v>11287</v>
      </c>
      <c r="C205" s="7">
        <f t="shared" si="1"/>
        <v>44552</v>
      </c>
      <c r="D205" s="17" t="str">
        <f t="shared" si="2"/>
        <v>1128744552</v>
      </c>
      <c r="E205" s="9" t="str">
        <f>ifs($D205="","",countif('VISIT DATA'!$A:$A,$D205)=countif(D:D,$D205),"YES",countif('VISIT DATA'!$A:$A,$D205)=0,"NO",and(countif(D:D,$D205)&gt;1,countif('VISIT DATA'!$A:$A,$D205)&gt;=1),"YES",countif('VISIT DATA'!$A:$A,$D205)=countif(D:D,$D205),"YES")</f>
        <v>NO</v>
      </c>
      <c r="F205" s="9" t="str">
        <f>ifs($A205=FALSE,"",$A205,VLOOKUP($A205,SCAN!A:D,3,0))</f>
        <v>DM</v>
      </c>
    </row>
    <row r="206">
      <c r="A206" s="16">
        <f>IFERROR(__xludf.DUMMYFUNCTION("""COMPUTED_VALUE"""),44552.564567511574)</f>
        <v>44552.56457</v>
      </c>
      <c r="B206" s="6">
        <f>ifs($A206=FALSE,"",$A206,VLOOKUP($A206,SCAN!A:D,4,0))</f>
        <v>16219</v>
      </c>
      <c r="C206" s="7">
        <f t="shared" si="1"/>
        <v>44552</v>
      </c>
      <c r="D206" s="17" t="str">
        <f t="shared" si="2"/>
        <v>1621944552</v>
      </c>
      <c r="E206" s="9" t="str">
        <f>ifs($D206="","",countif('VISIT DATA'!$A:$A,$D206)=countif(D:D,$D206),"YES",countif('VISIT DATA'!$A:$A,$D206)=0,"NO",and(countif(D:D,$D206)&gt;1,countif('VISIT DATA'!$A:$A,$D206)&gt;=1),"YES",countif('VISIT DATA'!$A:$A,$D206)=countif(D:D,$D206),"YES")</f>
        <v>NO</v>
      </c>
      <c r="F206" s="9" t="str">
        <f>ifs($A206=FALSE,"",$A206,VLOOKUP($A206,SCAN!A:D,3,0))</f>
        <v>CH</v>
      </c>
    </row>
    <row r="207">
      <c r="A207" s="16">
        <f>IFERROR(__xludf.DUMMYFUNCTION("""COMPUTED_VALUE"""),44552.56652230324)</f>
        <v>44552.56652</v>
      </c>
      <c r="B207" s="6">
        <f>ifs($A207=FALSE,"",$A207,VLOOKUP($A207,SCAN!A:D,4,0))</f>
        <v>17641</v>
      </c>
      <c r="C207" s="7">
        <f t="shared" si="1"/>
        <v>44552</v>
      </c>
      <c r="D207" s="17" t="str">
        <f t="shared" si="2"/>
        <v>1764144552</v>
      </c>
      <c r="E207" s="9" t="str">
        <f>ifs($D207="","",countif('VISIT DATA'!$A:$A,$D207)=countif(D:D,$D207),"YES",countif('VISIT DATA'!$A:$A,$D207)=0,"NO",and(countif(D:D,$D207)&gt;1,countif('VISIT DATA'!$A:$A,$D207)&gt;=1),"YES",countif('VISIT DATA'!$A:$A,$D207)=countif(D:D,$D207),"YES")</f>
        <v>NO</v>
      </c>
      <c r="F207" s="9" t="str">
        <f>ifs($A207=FALSE,"",$A207,VLOOKUP($A207,SCAN!A:D,3,0))</f>
        <v>CH</v>
      </c>
    </row>
    <row r="208">
      <c r="A208" s="16">
        <f>IFERROR(__xludf.DUMMYFUNCTION("""COMPUTED_VALUE"""),44552.569210752314)</f>
        <v>44552.56921</v>
      </c>
      <c r="B208" s="6">
        <f>ifs($A208=FALSE,"",$A208,VLOOKUP($A208,SCAN!A:D,4,0))</f>
        <v>15867</v>
      </c>
      <c r="C208" s="7">
        <f t="shared" si="1"/>
        <v>44552</v>
      </c>
      <c r="D208" s="17" t="str">
        <f t="shared" si="2"/>
        <v>1586744552</v>
      </c>
      <c r="E208" s="9" t="str">
        <f>ifs($D208="","",countif('VISIT DATA'!$A:$A,$D208)=countif(D:D,$D208),"YES",countif('VISIT DATA'!$A:$A,$D208)=0,"NO",and(countif(D:D,$D208)&gt;1,countif('VISIT DATA'!$A:$A,$D208)&gt;=1),"YES",countif('VISIT DATA'!$A:$A,$D208)=countif(D:D,$D208),"YES")</f>
        <v>NO</v>
      </c>
      <c r="F208" s="9" t="str">
        <f>ifs($A208=FALSE,"",$A208,VLOOKUP($A208,SCAN!A:D,3,0))</f>
        <v>LM</v>
      </c>
    </row>
    <row r="209">
      <c r="A209" s="16">
        <f>IFERROR(__xludf.DUMMYFUNCTION("""COMPUTED_VALUE"""),44552.57192366898)</f>
        <v>44552.57192</v>
      </c>
      <c r="B209" s="6">
        <f>ifs($A209=FALSE,"",$A209,VLOOKUP($A209,SCAN!A:D,4,0))</f>
        <v>15867</v>
      </c>
      <c r="C209" s="7">
        <f t="shared" si="1"/>
        <v>44552</v>
      </c>
      <c r="D209" s="17" t="str">
        <f t="shared" si="2"/>
        <v>1586744552</v>
      </c>
      <c r="E209" s="9" t="str">
        <f>ifs($D209="","",countif('VISIT DATA'!$A:$A,$D209)=countif(D:D,$D209),"YES",countif('VISIT DATA'!$A:$A,$D209)=0,"NO",and(countif(D:D,$D209)&gt;1,countif('VISIT DATA'!$A:$A,$D209)&gt;=1),"YES",countif('VISIT DATA'!$A:$A,$D209)=countif(D:D,$D209),"YES")</f>
        <v>NO</v>
      </c>
      <c r="F209" s="9" t="str">
        <f>ifs($A209=FALSE,"",$A209,VLOOKUP($A209,SCAN!A:D,3,0))</f>
        <v>LM</v>
      </c>
    </row>
    <row r="210">
      <c r="A210" s="16">
        <f>IFERROR(__xludf.DUMMYFUNCTION("""COMPUTED_VALUE"""),44552.57206363426)</f>
        <v>44552.57206</v>
      </c>
      <c r="B210" s="6">
        <f>ifs($A210=FALSE,"",$A210,VLOOKUP($A210,SCAN!A:D,4,0))</f>
        <v>17780</v>
      </c>
      <c r="C210" s="7">
        <f t="shared" si="1"/>
        <v>44552</v>
      </c>
      <c r="D210" s="17" t="str">
        <f t="shared" si="2"/>
        <v>1778044552</v>
      </c>
      <c r="E210" s="9" t="str">
        <f>ifs($D210="","",countif('VISIT DATA'!$A:$A,$D210)=countif(D:D,$D210),"YES",countif('VISIT DATA'!$A:$A,$D210)=0,"NO",and(countif(D:D,$D210)&gt;1,countif('VISIT DATA'!$A:$A,$D210)&gt;=1),"YES",countif('VISIT DATA'!$A:$A,$D210)=countif(D:D,$D210),"YES")</f>
        <v>NO</v>
      </c>
      <c r="F210" s="9" t="str">
        <f>ifs($A210=FALSE,"",$A210,VLOOKUP($A210,SCAN!A:D,3,0))</f>
        <v>CH</v>
      </c>
    </row>
    <row r="211">
      <c r="A211" s="16">
        <f>IFERROR(__xludf.DUMMYFUNCTION("""COMPUTED_VALUE"""),44552.57609594907)</f>
        <v>44552.5761</v>
      </c>
      <c r="B211" s="6">
        <f>ifs($A211=FALSE,"",$A211,VLOOKUP($A211,SCAN!A:D,4,0))</f>
        <v>17659</v>
      </c>
      <c r="C211" s="7">
        <f t="shared" si="1"/>
        <v>44552</v>
      </c>
      <c r="D211" s="17" t="str">
        <f t="shared" si="2"/>
        <v>1765944552</v>
      </c>
      <c r="E211" s="9" t="str">
        <f>ifs($D211="","",countif('VISIT DATA'!$A:$A,$D211)=countif(D:D,$D211),"YES",countif('VISIT DATA'!$A:$A,$D211)=0,"NO",and(countif(D:D,$D211)&gt;1,countif('VISIT DATA'!$A:$A,$D211)&gt;=1),"YES",countif('VISIT DATA'!$A:$A,$D211)=countif(D:D,$D211),"YES")</f>
        <v>NO</v>
      </c>
      <c r="F211" s="9" t="str">
        <f>ifs($A211=FALSE,"",$A211,VLOOKUP($A211,SCAN!A:D,3,0))</f>
        <v>CH</v>
      </c>
    </row>
    <row r="212">
      <c r="A212" s="16">
        <f>IFERROR(__xludf.DUMMYFUNCTION("""COMPUTED_VALUE"""),44552.58262048611)</f>
        <v>44552.58262</v>
      </c>
      <c r="B212" s="6">
        <f>ifs($A212=FALSE,"",$A212,VLOOKUP($A212,SCAN!A:D,4,0))</f>
        <v>17326</v>
      </c>
      <c r="C212" s="7">
        <f t="shared" si="1"/>
        <v>44552</v>
      </c>
      <c r="D212" s="17" t="str">
        <f t="shared" si="2"/>
        <v>1732644552</v>
      </c>
      <c r="E212" s="9" t="str">
        <f>ifs($D212="","",countif('VISIT DATA'!$A:$A,$D212)=countif(D:D,$D212),"YES",countif('VISIT DATA'!$A:$A,$D212)=0,"NO",and(countif(D:D,$D212)&gt;1,countif('VISIT DATA'!$A:$A,$D212)&gt;=1),"YES",countif('VISIT DATA'!$A:$A,$D212)=countif(D:D,$D212),"YES")</f>
        <v>NO</v>
      </c>
      <c r="F212" s="9" t="str">
        <f>ifs($A212=FALSE,"",$A212,VLOOKUP($A212,SCAN!A:D,3,0))</f>
        <v>CH</v>
      </c>
    </row>
    <row r="213">
      <c r="A213" s="16">
        <f>IFERROR(__xludf.DUMMYFUNCTION("""COMPUTED_VALUE"""),44552.58502409722)</f>
        <v>44552.58502</v>
      </c>
      <c r="B213" s="6">
        <f>ifs($A213=FALSE,"",$A213,VLOOKUP($A213,SCAN!A:D,4,0))</f>
        <v>15655</v>
      </c>
      <c r="C213" s="7">
        <f t="shared" si="1"/>
        <v>44552</v>
      </c>
      <c r="D213" s="17" t="str">
        <f t="shared" si="2"/>
        <v>1565544552</v>
      </c>
      <c r="E213" s="9" t="str">
        <f>ifs($D213="","",countif('VISIT DATA'!$A:$A,$D213)=countif(D:D,$D213),"YES",countif('VISIT DATA'!$A:$A,$D213)=0,"NO",and(countif(D:D,$D213)&gt;1,countif('VISIT DATA'!$A:$A,$D213)&gt;=1),"YES",countif('VISIT DATA'!$A:$A,$D213)=countif(D:D,$D213),"YES")</f>
        <v>NO</v>
      </c>
      <c r="F213" s="9" t="str">
        <f>ifs($A213=FALSE,"",$A213,VLOOKUP($A213,SCAN!A:D,3,0))</f>
        <v>LM</v>
      </c>
    </row>
    <row r="214">
      <c r="A214" s="16">
        <f>IFERROR(__xludf.DUMMYFUNCTION("""COMPUTED_VALUE"""),44552.61082483796)</f>
        <v>44552.61082</v>
      </c>
      <c r="B214" s="6">
        <f>ifs($A214=FALSE,"",$A214,VLOOKUP($A214,SCAN!A:D,4,0))</f>
        <v>16502</v>
      </c>
      <c r="C214" s="7">
        <f t="shared" si="1"/>
        <v>44552</v>
      </c>
      <c r="D214" s="17" t="str">
        <f t="shared" si="2"/>
        <v>1650244552</v>
      </c>
      <c r="E214" s="9" t="str">
        <f>ifs($D214="","",countif('VISIT DATA'!$A:$A,$D214)=countif(D:D,$D214),"YES",countif('VISIT DATA'!$A:$A,$D214)=0,"NO",and(countif(D:D,$D214)&gt;1,countif('VISIT DATA'!$A:$A,$D214)&gt;=1),"YES",countif('VISIT DATA'!$A:$A,$D214)=countif(D:D,$D214),"YES")</f>
        <v>NO</v>
      </c>
      <c r="F214" s="9" t="str">
        <f>ifs($A214=FALSE,"",$A214,VLOOKUP($A214,SCAN!A:D,3,0))</f>
        <v>DA</v>
      </c>
    </row>
    <row r="215">
      <c r="A215" s="16">
        <f>IFERROR(__xludf.DUMMYFUNCTION("""COMPUTED_VALUE"""),44552.614733553244)</f>
        <v>44552.61473</v>
      </c>
      <c r="B215" s="6">
        <f>ifs($A215=FALSE,"",$A215,VLOOKUP($A215,SCAN!A:D,4,0))</f>
        <v>17540</v>
      </c>
      <c r="C215" s="7">
        <f t="shared" si="1"/>
        <v>44552</v>
      </c>
      <c r="D215" s="17" t="str">
        <f t="shared" si="2"/>
        <v>1754044552</v>
      </c>
      <c r="E215" s="9" t="str">
        <f>ifs($D215="","",countif('VISIT DATA'!$A:$A,$D215)=countif(D:D,$D215),"YES",countif('VISIT DATA'!$A:$A,$D215)=0,"NO",and(countif(D:D,$D215)&gt;1,countif('VISIT DATA'!$A:$A,$D215)&gt;=1),"YES",countif('VISIT DATA'!$A:$A,$D215)=countif(D:D,$D215),"YES")</f>
        <v>NO</v>
      </c>
      <c r="F215" s="9" t="str">
        <f>ifs($A215=FALSE,"",$A215,VLOOKUP($A215,SCAN!A:D,3,0))</f>
        <v>CH</v>
      </c>
    </row>
    <row r="216">
      <c r="A216" s="16">
        <f>IFERROR(__xludf.DUMMYFUNCTION("""COMPUTED_VALUE"""),44552.61669469907)</f>
        <v>44552.61669</v>
      </c>
      <c r="B216" s="6">
        <f>ifs($A216=FALSE,"",$A216,VLOOKUP($A216,SCAN!A:D,4,0))</f>
        <v>15985</v>
      </c>
      <c r="C216" s="7">
        <f t="shared" si="1"/>
        <v>44552</v>
      </c>
      <c r="D216" s="17" t="str">
        <f t="shared" si="2"/>
        <v>1598544552</v>
      </c>
      <c r="E216" s="9" t="str">
        <f>ifs($D216="","",countif('VISIT DATA'!$A:$A,$D216)=countif(D:D,$D216),"YES",countif('VISIT DATA'!$A:$A,$D216)=0,"NO",and(countif(D:D,$D216)&gt;1,countif('VISIT DATA'!$A:$A,$D216)&gt;=1),"YES",countif('VISIT DATA'!$A:$A,$D216)=countif(D:D,$D216),"YES")</f>
        <v>NO</v>
      </c>
      <c r="F216" s="9" t="str">
        <f>ifs($A216=FALSE,"",$A216,VLOOKUP($A216,SCAN!A:D,3,0))</f>
        <v>CH</v>
      </c>
    </row>
    <row r="217">
      <c r="A217" s="16">
        <f>IFERROR(__xludf.DUMMYFUNCTION("""COMPUTED_VALUE"""),44552.631207060185)</f>
        <v>44552.63121</v>
      </c>
      <c r="B217" s="6">
        <f>ifs($A217=FALSE,"",$A217,VLOOKUP($A217,SCAN!A:D,4,0))</f>
        <v>16284</v>
      </c>
      <c r="C217" s="7">
        <f t="shared" si="1"/>
        <v>44552</v>
      </c>
      <c r="D217" s="17" t="str">
        <f t="shared" si="2"/>
        <v>1628444552</v>
      </c>
      <c r="E217" s="9" t="str">
        <f>ifs($D217="","",countif('VISIT DATA'!$A:$A,$D217)=countif(D:D,$D217),"YES",countif('VISIT DATA'!$A:$A,$D217)=0,"NO",and(countif(D:D,$D217)&gt;1,countif('VISIT DATA'!$A:$A,$D217)&gt;=1),"YES",countif('VISIT DATA'!$A:$A,$D217)=countif(D:D,$D217),"YES")</f>
        <v>NO</v>
      </c>
      <c r="F217" s="9" t="str">
        <f>ifs($A217=FALSE,"",$A217,VLOOKUP($A217,SCAN!A:D,3,0))</f>
        <v>DM</v>
      </c>
    </row>
    <row r="218">
      <c r="A218" s="16">
        <f>IFERROR(__xludf.DUMMYFUNCTION("""COMPUTED_VALUE"""),44552.63149024306)</f>
        <v>44552.63149</v>
      </c>
      <c r="B218" s="6">
        <f>ifs($A218=FALSE,"",$A218,VLOOKUP($A218,SCAN!A:D,4,0))</f>
        <v>16284</v>
      </c>
      <c r="C218" s="7">
        <f t="shared" si="1"/>
        <v>44552</v>
      </c>
      <c r="D218" s="17" t="str">
        <f t="shared" si="2"/>
        <v>1628444552</v>
      </c>
      <c r="E218" s="9" t="str">
        <f>ifs($D218="","",countif('VISIT DATA'!$A:$A,$D218)=countif(D:D,$D218),"YES",countif('VISIT DATA'!$A:$A,$D218)=0,"NO",and(countif(D:D,$D218)&gt;1,countif('VISIT DATA'!$A:$A,$D218)&gt;=1),"YES",countif('VISIT DATA'!$A:$A,$D218)=countif(D:D,$D218),"YES")</f>
        <v>NO</v>
      </c>
      <c r="F218" s="9" t="str">
        <f>ifs($A218=FALSE,"",$A218,VLOOKUP($A218,SCAN!A:D,3,0))</f>
        <v>DM</v>
      </c>
    </row>
    <row r="219">
      <c r="A219" s="16">
        <f>IFERROR(__xludf.DUMMYFUNCTION("""COMPUTED_VALUE"""),44552.632066736114)</f>
        <v>44552.63207</v>
      </c>
      <c r="B219" s="6">
        <f>ifs($A219=FALSE,"",$A219,VLOOKUP($A219,SCAN!A:D,4,0))</f>
        <v>16284</v>
      </c>
      <c r="C219" s="7">
        <f t="shared" si="1"/>
        <v>44552</v>
      </c>
      <c r="D219" s="17" t="str">
        <f t="shared" si="2"/>
        <v>1628444552</v>
      </c>
      <c r="E219" s="9" t="str">
        <f>ifs($D219="","",countif('VISIT DATA'!$A:$A,$D219)=countif(D:D,$D219),"YES",countif('VISIT DATA'!$A:$A,$D219)=0,"NO",and(countif(D:D,$D219)&gt;1,countif('VISIT DATA'!$A:$A,$D219)&gt;=1),"YES",countif('VISIT DATA'!$A:$A,$D219)=countif(D:D,$D219),"YES")</f>
        <v>NO</v>
      </c>
      <c r="F219" s="9" t="str">
        <f>ifs($A219=FALSE,"",$A219,VLOOKUP($A219,SCAN!A:D,3,0))</f>
        <v>DM</v>
      </c>
    </row>
    <row r="220">
      <c r="A220" s="16">
        <f>IFERROR(__xludf.DUMMYFUNCTION("""COMPUTED_VALUE"""),44552.63244386574)</f>
        <v>44552.63244</v>
      </c>
      <c r="B220" s="6">
        <f>ifs($A220=FALSE,"",$A220,VLOOKUP($A220,SCAN!A:D,4,0))</f>
        <v>16284</v>
      </c>
      <c r="C220" s="7">
        <f t="shared" si="1"/>
        <v>44552</v>
      </c>
      <c r="D220" s="17" t="str">
        <f t="shared" si="2"/>
        <v>1628444552</v>
      </c>
      <c r="E220" s="9" t="str">
        <f>ifs($D220="","",countif('VISIT DATA'!$A:$A,$D220)=countif(D:D,$D220),"YES",countif('VISIT DATA'!$A:$A,$D220)=0,"NO",and(countif(D:D,$D220)&gt;1,countif('VISIT DATA'!$A:$A,$D220)&gt;=1),"YES",countif('VISIT DATA'!$A:$A,$D220)=countif(D:D,$D220),"YES")</f>
        <v>NO</v>
      </c>
      <c r="F220" s="9" t="str">
        <f>ifs($A220=FALSE,"",$A220,VLOOKUP($A220,SCAN!A:D,3,0))</f>
        <v>DM</v>
      </c>
    </row>
    <row r="221">
      <c r="A221" s="16">
        <f>IFERROR(__xludf.DUMMYFUNCTION("""COMPUTED_VALUE"""),44552.63383319444)</f>
        <v>44552.63383</v>
      </c>
      <c r="B221" s="6">
        <f>ifs($A221=FALSE,"",$A221,VLOOKUP($A221,SCAN!A:D,4,0))</f>
        <v>14799</v>
      </c>
      <c r="C221" s="7">
        <f t="shared" si="1"/>
        <v>44552</v>
      </c>
      <c r="D221" s="17" t="str">
        <f t="shared" si="2"/>
        <v>1479944552</v>
      </c>
      <c r="E221" s="9" t="str">
        <f>ifs($D221="","",countif('VISIT DATA'!$A:$A,$D221)=countif(D:D,$D221),"YES",countif('VISIT DATA'!$A:$A,$D221)=0,"NO",and(countif(D:D,$D221)&gt;1,countif('VISIT DATA'!$A:$A,$D221)&gt;=1),"YES",countif('VISIT DATA'!$A:$A,$D221)=countif(D:D,$D221),"YES")</f>
        <v>NO</v>
      </c>
      <c r="F221" s="9" t="str">
        <f>ifs($A221=FALSE,"",$A221,VLOOKUP($A221,SCAN!A:D,3,0))</f>
        <v>DA</v>
      </c>
    </row>
    <row r="222">
      <c r="A222" s="16">
        <f>IFERROR(__xludf.DUMMYFUNCTION("""COMPUTED_VALUE"""),44552.6381118287)</f>
        <v>44552.63811</v>
      </c>
      <c r="B222" s="6">
        <f>ifs($A222=FALSE,"",$A222,VLOOKUP($A222,SCAN!A:D,4,0))</f>
        <v>15580</v>
      </c>
      <c r="C222" s="7">
        <f t="shared" si="1"/>
        <v>44552</v>
      </c>
      <c r="D222" s="17" t="str">
        <f t="shared" si="2"/>
        <v>1558044552</v>
      </c>
      <c r="E222" s="9" t="str">
        <f>ifs($D222="","",countif('VISIT DATA'!$A:$A,$D222)=countif(D:D,$D222),"YES",countif('VISIT DATA'!$A:$A,$D222)=0,"NO",and(countif(D:D,$D222)&gt;1,countif('VISIT DATA'!$A:$A,$D222)&gt;=1),"YES",countif('VISIT DATA'!$A:$A,$D222)=countif(D:D,$D222),"YES")</f>
        <v>NO</v>
      </c>
      <c r="F222" s="9" t="str">
        <f>ifs($A222=FALSE,"",$A222,VLOOKUP($A222,SCAN!A:D,3,0))</f>
        <v>DM</v>
      </c>
    </row>
    <row r="223">
      <c r="A223" s="16">
        <f>IFERROR(__xludf.DUMMYFUNCTION("""COMPUTED_VALUE"""),44552.638373043985)</f>
        <v>44552.63837</v>
      </c>
      <c r="B223" s="6">
        <f>ifs($A223=FALSE,"",$A223,VLOOKUP($A223,SCAN!A:D,4,0))</f>
        <v>15580</v>
      </c>
      <c r="C223" s="7">
        <f t="shared" si="1"/>
        <v>44552</v>
      </c>
      <c r="D223" s="17" t="str">
        <f t="shared" si="2"/>
        <v>1558044552</v>
      </c>
      <c r="E223" s="9" t="str">
        <f>ifs($D223="","",countif('VISIT DATA'!$A:$A,$D223)=countif(D:D,$D223),"YES",countif('VISIT DATA'!$A:$A,$D223)=0,"NO",and(countif(D:D,$D223)&gt;1,countif('VISIT DATA'!$A:$A,$D223)&gt;=1),"YES",countif('VISIT DATA'!$A:$A,$D223)=countif(D:D,$D223),"YES")</f>
        <v>NO</v>
      </c>
      <c r="F223" s="9" t="str">
        <f>ifs($A223=FALSE,"",$A223,VLOOKUP($A223,SCAN!A:D,3,0))</f>
        <v>DM</v>
      </c>
    </row>
    <row r="224">
      <c r="A224" s="16">
        <f>IFERROR(__xludf.DUMMYFUNCTION("""COMPUTED_VALUE"""),44552.638577025464)</f>
        <v>44552.63858</v>
      </c>
      <c r="B224" s="6">
        <f>ifs($A224=FALSE,"",$A224,VLOOKUP($A224,SCAN!A:D,4,0))</f>
        <v>15580</v>
      </c>
      <c r="C224" s="7">
        <f t="shared" si="1"/>
        <v>44552</v>
      </c>
      <c r="D224" s="17" t="str">
        <f t="shared" si="2"/>
        <v>1558044552</v>
      </c>
      <c r="E224" s="9" t="str">
        <f>ifs($D224="","",countif('VISIT DATA'!$A:$A,$D224)=countif(D:D,$D224),"YES",countif('VISIT DATA'!$A:$A,$D224)=0,"NO",and(countif(D:D,$D224)&gt;1,countif('VISIT DATA'!$A:$A,$D224)&gt;=1),"YES",countif('VISIT DATA'!$A:$A,$D224)=countif(D:D,$D224),"YES")</f>
        <v>NO</v>
      </c>
      <c r="F224" s="9" t="str">
        <f>ifs($A224=FALSE,"",$A224,VLOOKUP($A224,SCAN!A:D,3,0))</f>
        <v>DM</v>
      </c>
    </row>
    <row r="225">
      <c r="A225" s="16">
        <f>IFERROR(__xludf.DUMMYFUNCTION("""COMPUTED_VALUE"""),44552.638875856486)</f>
        <v>44552.63888</v>
      </c>
      <c r="B225" s="6">
        <f>ifs($A225=FALSE,"",$A225,VLOOKUP($A225,SCAN!A:D,4,0))</f>
        <v>15580</v>
      </c>
      <c r="C225" s="7">
        <f t="shared" si="1"/>
        <v>44552</v>
      </c>
      <c r="D225" s="17" t="str">
        <f t="shared" si="2"/>
        <v>1558044552</v>
      </c>
      <c r="E225" s="9" t="str">
        <f>ifs($D225="","",countif('VISIT DATA'!$A:$A,$D225)=countif(D:D,$D225),"YES",countif('VISIT DATA'!$A:$A,$D225)=0,"NO",and(countif(D:D,$D225)&gt;1,countif('VISIT DATA'!$A:$A,$D225)&gt;=1),"YES",countif('VISIT DATA'!$A:$A,$D225)=countif(D:D,$D225),"YES")</f>
        <v>NO</v>
      </c>
      <c r="F225" s="9" t="str">
        <f>ifs($A225=FALSE,"",$A225,VLOOKUP($A225,SCAN!A:D,3,0))</f>
        <v>DM</v>
      </c>
    </row>
    <row r="226">
      <c r="A226" s="16">
        <f>IFERROR(__xludf.DUMMYFUNCTION("""COMPUTED_VALUE"""),44552.63911694444)</f>
        <v>44552.63912</v>
      </c>
      <c r="B226" s="6">
        <f>ifs($A226=FALSE,"",$A226,VLOOKUP($A226,SCAN!A:D,4,0))</f>
        <v>15580</v>
      </c>
      <c r="C226" s="7">
        <f t="shared" si="1"/>
        <v>44552</v>
      </c>
      <c r="D226" s="17" t="str">
        <f t="shared" si="2"/>
        <v>1558044552</v>
      </c>
      <c r="E226" s="9" t="str">
        <f>ifs($D226="","",countif('VISIT DATA'!$A:$A,$D226)=countif(D:D,$D226),"YES",countif('VISIT DATA'!$A:$A,$D226)=0,"NO",and(countif(D:D,$D226)&gt;1,countif('VISIT DATA'!$A:$A,$D226)&gt;=1),"YES",countif('VISIT DATA'!$A:$A,$D226)=countif(D:D,$D226),"YES")</f>
        <v>NO</v>
      </c>
      <c r="F226" s="9" t="str">
        <f>ifs($A226=FALSE,"",$A226,VLOOKUP($A226,SCAN!A:D,3,0))</f>
        <v>DM</v>
      </c>
    </row>
    <row r="227">
      <c r="A227" s="16">
        <f>IFERROR(__xludf.DUMMYFUNCTION("""COMPUTED_VALUE"""),44552.63947974537)</f>
        <v>44552.63948</v>
      </c>
      <c r="B227" s="6">
        <f>ifs($A227=FALSE,"",$A227,VLOOKUP($A227,SCAN!A:D,4,0))</f>
        <v>15580</v>
      </c>
      <c r="C227" s="7">
        <f t="shared" si="1"/>
        <v>44552</v>
      </c>
      <c r="D227" s="17" t="str">
        <f t="shared" si="2"/>
        <v>1558044552</v>
      </c>
      <c r="E227" s="9" t="str">
        <f>ifs($D227="","",countif('VISIT DATA'!$A:$A,$D227)=countif(D:D,$D227),"YES",countif('VISIT DATA'!$A:$A,$D227)=0,"NO",and(countif(D:D,$D227)&gt;1,countif('VISIT DATA'!$A:$A,$D227)&gt;=1),"YES",countif('VISIT DATA'!$A:$A,$D227)=countif(D:D,$D227),"YES")</f>
        <v>NO</v>
      </c>
      <c r="F227" s="9" t="str">
        <f>ifs($A227=FALSE,"",$A227,VLOOKUP($A227,SCAN!A:D,3,0))</f>
        <v>DM</v>
      </c>
    </row>
    <row r="228">
      <c r="A228" s="16">
        <f>IFERROR(__xludf.DUMMYFUNCTION("""COMPUTED_VALUE"""),44552.653069328706)</f>
        <v>44552.65307</v>
      </c>
      <c r="B228" s="6">
        <f>ifs($A228=FALSE,"",$A228,VLOOKUP($A228,SCAN!A:D,4,0))</f>
        <v>13013</v>
      </c>
      <c r="C228" s="7">
        <f t="shared" si="1"/>
        <v>44552</v>
      </c>
      <c r="D228" s="17" t="str">
        <f t="shared" si="2"/>
        <v>1301344552</v>
      </c>
      <c r="E228" s="9" t="str">
        <f>ifs($D228="","",countif('VISIT DATA'!$A:$A,$D228)=countif(D:D,$D228),"YES",countif('VISIT DATA'!$A:$A,$D228)=0,"NO",and(countif(D:D,$D228)&gt;1,countif('VISIT DATA'!$A:$A,$D228)&gt;=1),"YES",countif('VISIT DATA'!$A:$A,$D228)=countif(D:D,$D228),"YES")</f>
        <v>NO</v>
      </c>
      <c r="F228" s="9" t="str">
        <f>ifs($A228=FALSE,"",$A228,VLOOKUP($A228,SCAN!A:D,3,0))</f>
        <v>DA</v>
      </c>
    </row>
    <row r="229">
      <c r="A229" s="16">
        <f>IFERROR(__xludf.DUMMYFUNCTION("""COMPUTED_VALUE"""),44552.660633946754)</f>
        <v>44552.66063</v>
      </c>
      <c r="B229" s="6">
        <f>ifs($A229=FALSE,"",$A229,VLOOKUP($A229,SCAN!A:D,4,0))</f>
        <v>10813</v>
      </c>
      <c r="C229" s="7">
        <f t="shared" si="1"/>
        <v>44552</v>
      </c>
      <c r="D229" s="17" t="str">
        <f t="shared" si="2"/>
        <v>1081344552</v>
      </c>
      <c r="E229" s="9" t="str">
        <f>ifs($D229="","",countif('VISIT DATA'!$A:$A,$D229)=countif(D:D,$D229),"YES",countif('VISIT DATA'!$A:$A,$D229)=0,"NO",and(countif(D:D,$D229)&gt;1,countif('VISIT DATA'!$A:$A,$D229)&gt;=1),"YES",countif('VISIT DATA'!$A:$A,$D229)=countif(D:D,$D229),"YES")</f>
        <v>NO</v>
      </c>
      <c r="F229" s="9" t="str">
        <f>ifs($A229=FALSE,"",$A229,VLOOKUP($A229,SCAN!A:D,3,0))</f>
        <v>DM</v>
      </c>
    </row>
    <row r="230">
      <c r="A230" s="16">
        <f>IFERROR(__xludf.DUMMYFUNCTION("""COMPUTED_VALUE"""),44552.6664443287)</f>
        <v>44552.66644</v>
      </c>
      <c r="B230" s="6">
        <f>ifs($A230=FALSE,"",$A230,VLOOKUP($A230,SCAN!A:D,4,0))</f>
        <v>14587</v>
      </c>
      <c r="C230" s="7">
        <f t="shared" si="1"/>
        <v>44552</v>
      </c>
      <c r="D230" s="17" t="str">
        <f t="shared" si="2"/>
        <v>1458744552</v>
      </c>
      <c r="E230" s="9" t="str">
        <f>ifs($D230="","",countif('VISIT DATA'!$A:$A,$D230)=countif(D:D,$D230),"YES",countif('VISIT DATA'!$A:$A,$D230)=0,"NO",and(countif(D:D,$D230)&gt;1,countif('VISIT DATA'!$A:$A,$D230)&gt;=1),"YES",countif('VISIT DATA'!$A:$A,$D230)=countif(D:D,$D230),"YES")</f>
        <v>NO</v>
      </c>
      <c r="F230" s="9" t="str">
        <f>ifs($A230=FALSE,"",$A230,VLOOKUP($A230,SCAN!A:D,3,0))</f>
        <v>DA</v>
      </c>
    </row>
    <row r="231">
      <c r="A231" s="16">
        <f>IFERROR(__xludf.DUMMYFUNCTION("""COMPUTED_VALUE"""),44552.67947239583)</f>
        <v>44552.67947</v>
      </c>
      <c r="B231" s="6">
        <f>ifs($A231=FALSE,"",$A231,VLOOKUP($A231,SCAN!A:D,4,0))</f>
        <v>14587</v>
      </c>
      <c r="C231" s="7">
        <f t="shared" si="1"/>
        <v>44552</v>
      </c>
      <c r="D231" s="17" t="str">
        <f t="shared" si="2"/>
        <v>1458744552</v>
      </c>
      <c r="E231" s="9" t="str">
        <f>ifs($D231="","",countif('VISIT DATA'!$A:$A,$D231)=countif(D:D,$D231),"YES",countif('VISIT DATA'!$A:$A,$D231)=0,"NO",and(countif(D:D,$D231)&gt;1,countif('VISIT DATA'!$A:$A,$D231)&gt;=1),"YES",countif('VISIT DATA'!$A:$A,$D231)=countif(D:D,$D231),"YES")</f>
        <v>NO</v>
      </c>
      <c r="F231" s="9" t="str">
        <f>ifs($A231=FALSE,"",$A231,VLOOKUP($A231,SCAN!A:D,3,0))</f>
        <v>DA</v>
      </c>
    </row>
    <row r="232">
      <c r="A232" s="16">
        <f>IFERROR(__xludf.DUMMYFUNCTION("""COMPUTED_VALUE"""),44553.534407326384)</f>
        <v>44553.53441</v>
      </c>
      <c r="B232" s="6">
        <f>ifs($A232=FALSE,"",$A232,VLOOKUP($A232,SCAN!A:D,4,0))</f>
        <v>14076</v>
      </c>
      <c r="C232" s="7">
        <f t="shared" si="1"/>
        <v>44553</v>
      </c>
      <c r="D232" s="17" t="str">
        <f t="shared" si="2"/>
        <v>1407644553</v>
      </c>
      <c r="E232" s="9" t="str">
        <f>ifs($D232="","",countif('VISIT DATA'!$A:$A,$D232)=countif(D:D,$D232),"YES",countif('VISIT DATA'!$A:$A,$D232)=0,"NO",and(countif(D:D,$D232)&gt;1,countif('VISIT DATA'!$A:$A,$D232)&gt;=1),"YES",countif('VISIT DATA'!$A:$A,$D232)=countif(D:D,$D232),"YES")</f>
        <v>NO</v>
      </c>
      <c r="F232" s="9" t="str">
        <f>ifs($A232=FALSE,"",$A232,VLOOKUP($A232,SCAN!A:D,3,0))</f>
        <v>DA</v>
      </c>
    </row>
    <row r="233">
      <c r="A233" s="16">
        <f>IFERROR(__xludf.DUMMYFUNCTION("""COMPUTED_VALUE"""),44553.55197597222)</f>
        <v>44553.55198</v>
      </c>
      <c r="B233" s="6">
        <f>ifs($A233=FALSE,"",$A233,VLOOKUP($A233,SCAN!A:D,4,0))</f>
        <v>15298</v>
      </c>
      <c r="C233" s="7">
        <f t="shared" si="1"/>
        <v>44553</v>
      </c>
      <c r="D233" s="17" t="str">
        <f t="shared" si="2"/>
        <v>1529844553</v>
      </c>
      <c r="E233" s="9" t="str">
        <f>ifs($D233="","",countif('VISIT DATA'!$A:$A,$D233)=countif(D:D,$D233),"YES",countif('VISIT DATA'!$A:$A,$D233)=0,"NO",and(countif(D:D,$D233)&gt;1,countif('VISIT DATA'!$A:$A,$D233)&gt;=1),"YES",countif('VISIT DATA'!$A:$A,$D233)=countif(D:D,$D233),"YES")</f>
        <v>NO</v>
      </c>
      <c r="F233" s="9" t="str">
        <f>ifs($A233=FALSE,"",$A233,VLOOKUP($A233,SCAN!A:D,3,0))</f>
        <v>DA</v>
      </c>
    </row>
    <row r="234">
      <c r="A234" s="16">
        <f>IFERROR(__xludf.DUMMYFUNCTION("""COMPUTED_VALUE"""),44553.558553622686)</f>
        <v>44553.55855</v>
      </c>
      <c r="B234" s="6">
        <f>ifs($A234=FALSE,"",$A234,VLOOKUP($A234,SCAN!A:D,4,0))</f>
        <v>15126</v>
      </c>
      <c r="C234" s="7">
        <f t="shared" si="1"/>
        <v>44553</v>
      </c>
      <c r="D234" s="17" t="str">
        <f t="shared" si="2"/>
        <v>1512644553</v>
      </c>
      <c r="E234" s="9" t="str">
        <f>ifs($D234="","",countif('VISIT DATA'!$A:$A,$D234)=countif(D:D,$D234),"YES",countif('VISIT DATA'!$A:$A,$D234)=0,"NO",and(countif(D:D,$D234)&gt;1,countif('VISIT DATA'!$A:$A,$D234)&gt;=1),"YES",countif('VISIT DATA'!$A:$A,$D234)=countif(D:D,$D234),"YES")</f>
        <v>NO</v>
      </c>
      <c r="F234" s="9" t="str">
        <f>ifs($A234=FALSE,"",$A234,VLOOKUP($A234,SCAN!A:D,3,0))</f>
        <v>DA</v>
      </c>
    </row>
    <row r="235">
      <c r="A235" s="16">
        <f>IFERROR(__xludf.DUMMYFUNCTION("""COMPUTED_VALUE"""),44553.56503168981)</f>
        <v>44553.56503</v>
      </c>
      <c r="B235" s="6">
        <f>ifs($A235=FALSE,"",$A235,VLOOKUP($A235,SCAN!A:D,4,0))</f>
        <v>17022</v>
      </c>
      <c r="C235" s="7">
        <f t="shared" si="1"/>
        <v>44553</v>
      </c>
      <c r="D235" s="17" t="str">
        <f t="shared" si="2"/>
        <v>1702244553</v>
      </c>
      <c r="E235" s="9" t="str">
        <f>ifs($D235="","",countif('VISIT DATA'!$A:$A,$D235)=countif(D:D,$D235),"YES",countif('VISIT DATA'!$A:$A,$D235)=0,"NO",and(countif(D:D,$D235)&gt;1,countif('VISIT DATA'!$A:$A,$D235)&gt;=1),"YES",countif('VISIT DATA'!$A:$A,$D235)=countif(D:D,$D235),"YES")</f>
        <v>NO</v>
      </c>
      <c r="F235" s="9" t="str">
        <f>ifs($A235=FALSE,"",$A235,VLOOKUP($A235,SCAN!A:D,3,0))</f>
        <v>DA</v>
      </c>
    </row>
    <row r="236">
      <c r="A236" s="16">
        <f>IFERROR(__xludf.DUMMYFUNCTION("""COMPUTED_VALUE"""),44553.5666922338)</f>
        <v>44553.56669</v>
      </c>
      <c r="B236" s="6">
        <f>ifs($A236=FALSE,"",$A236,VLOOKUP($A236,SCAN!A:D,4,0))</f>
        <v>10377</v>
      </c>
      <c r="C236" s="7">
        <f t="shared" si="1"/>
        <v>44553</v>
      </c>
      <c r="D236" s="17" t="str">
        <f t="shared" si="2"/>
        <v>1037744553</v>
      </c>
      <c r="E236" s="9" t="str">
        <f>ifs($D236="","",countif('VISIT DATA'!$A:$A,$D236)=countif(D:D,$D236),"YES",countif('VISIT DATA'!$A:$A,$D236)=0,"NO",and(countif(D:D,$D236)&gt;1,countif('VISIT DATA'!$A:$A,$D236)&gt;=1),"YES",countif('VISIT DATA'!$A:$A,$D236)=countif(D:D,$D236),"YES")</f>
        <v>NO</v>
      </c>
      <c r="F236" s="9" t="str">
        <f>ifs($A236=FALSE,"",$A236,VLOOKUP($A236,SCAN!A:D,3,0))</f>
        <v>LM</v>
      </c>
    </row>
    <row r="237">
      <c r="A237" s="16">
        <f>IFERROR(__xludf.DUMMYFUNCTION("""COMPUTED_VALUE"""),44553.567009363425)</f>
        <v>44553.56701</v>
      </c>
      <c r="B237" s="6">
        <f>ifs($A237=FALSE,"",$A237,VLOOKUP($A237,SCAN!A:D,4,0))</f>
        <v>15854</v>
      </c>
      <c r="C237" s="7">
        <f t="shared" si="1"/>
        <v>44553</v>
      </c>
      <c r="D237" s="17" t="str">
        <f t="shared" si="2"/>
        <v>1585444553</v>
      </c>
      <c r="E237" s="9" t="str">
        <f>ifs($D237="","",countif('VISIT DATA'!$A:$A,$D237)=countif(D:D,$D237),"YES",countif('VISIT DATA'!$A:$A,$D237)=0,"NO",and(countif(D:D,$D237)&gt;1,countif('VISIT DATA'!$A:$A,$D237)&gt;=1),"YES",countif('VISIT DATA'!$A:$A,$D237)=countif(D:D,$D237),"YES")</f>
        <v>NO</v>
      </c>
      <c r="F237" s="9" t="str">
        <f>ifs($A237=FALSE,"",$A237,VLOOKUP($A237,SCAN!A:D,3,0))</f>
        <v>DA</v>
      </c>
    </row>
    <row r="238">
      <c r="A238" s="16">
        <f>IFERROR(__xludf.DUMMYFUNCTION("""COMPUTED_VALUE"""),44553.56864094907)</f>
        <v>44553.56864</v>
      </c>
      <c r="B238" s="6">
        <f>ifs($A238=FALSE,"",$A238,VLOOKUP($A238,SCAN!A:D,4,0))</f>
        <v>9794</v>
      </c>
      <c r="C238" s="7">
        <f t="shared" si="1"/>
        <v>44553</v>
      </c>
      <c r="D238" s="17" t="str">
        <f t="shared" si="2"/>
        <v>979444553</v>
      </c>
      <c r="E238" s="9" t="str">
        <f>ifs($D238="","",countif('VISIT DATA'!$A:$A,$D238)=countif(D:D,$D238),"YES",countif('VISIT DATA'!$A:$A,$D238)=0,"NO",and(countif(D:D,$D238)&gt;1,countif('VISIT DATA'!$A:$A,$D238)&gt;=1),"YES",countif('VISIT DATA'!$A:$A,$D238)=countif(D:D,$D238),"YES")</f>
        <v>NO</v>
      </c>
      <c r="F238" s="9" t="str">
        <f>ifs($A238=FALSE,"",$A238,VLOOKUP($A238,SCAN!A:D,3,0))</f>
        <v>CH</v>
      </c>
    </row>
    <row r="239">
      <c r="A239" s="16">
        <f>IFERROR(__xludf.DUMMYFUNCTION("""COMPUTED_VALUE"""),44553.57251050926)</f>
        <v>44553.57251</v>
      </c>
      <c r="B239" s="6">
        <f>ifs($A239=FALSE,"",$A239,VLOOKUP($A239,SCAN!A:D,4,0))</f>
        <v>14275</v>
      </c>
      <c r="C239" s="7">
        <f t="shared" si="1"/>
        <v>44553</v>
      </c>
      <c r="D239" s="17" t="str">
        <f t="shared" si="2"/>
        <v>1427544553</v>
      </c>
      <c r="E239" s="9" t="str">
        <f>ifs($D239="","",countif('VISIT DATA'!$A:$A,$D239)=countif(D:D,$D239),"YES",countif('VISIT DATA'!$A:$A,$D239)=0,"NO",and(countif(D:D,$D239)&gt;1,countif('VISIT DATA'!$A:$A,$D239)&gt;=1),"YES",countif('VISIT DATA'!$A:$A,$D239)=countif(D:D,$D239),"YES")</f>
        <v>NO</v>
      </c>
      <c r="F239" s="9" t="str">
        <f>ifs($A239=FALSE,"",$A239,VLOOKUP($A239,SCAN!A:D,3,0))</f>
        <v>DA</v>
      </c>
    </row>
    <row r="240">
      <c r="A240" s="16">
        <f>IFERROR(__xludf.DUMMYFUNCTION("""COMPUTED_VALUE"""),44553.59068554398)</f>
        <v>44553.59069</v>
      </c>
      <c r="B240" s="6">
        <f>ifs($A240=FALSE,"",$A240,VLOOKUP($A240,SCAN!A:D,4,0))</f>
        <v>17618</v>
      </c>
      <c r="C240" s="7">
        <f t="shared" si="1"/>
        <v>44553</v>
      </c>
      <c r="D240" s="17" t="str">
        <f t="shared" si="2"/>
        <v>1761844553</v>
      </c>
      <c r="E240" s="9" t="str">
        <f>ifs($D240="","",countif('VISIT DATA'!$A:$A,$D240)=countif(D:D,$D240),"YES",countif('VISIT DATA'!$A:$A,$D240)=0,"NO",and(countif(D:D,$D240)&gt;1,countif('VISIT DATA'!$A:$A,$D240)&gt;=1),"YES",countif('VISIT DATA'!$A:$A,$D240)=countif(D:D,$D240),"YES")</f>
        <v>NO</v>
      </c>
      <c r="F240" s="9" t="str">
        <f>ifs($A240=FALSE,"",$A240,VLOOKUP($A240,SCAN!A:D,3,0))</f>
        <v>CH</v>
      </c>
    </row>
    <row r="241">
      <c r="A241" s="16">
        <f>IFERROR(__xludf.DUMMYFUNCTION("""COMPUTED_VALUE"""),44553.5956566088)</f>
        <v>44553.59566</v>
      </c>
      <c r="B241" s="6">
        <f>ifs($A241=FALSE,"",$A241,VLOOKUP($A241,SCAN!A:D,4,0))</f>
        <v>17623</v>
      </c>
      <c r="C241" s="7">
        <f t="shared" si="1"/>
        <v>44553</v>
      </c>
      <c r="D241" s="17" t="str">
        <f t="shared" si="2"/>
        <v>1762344553</v>
      </c>
      <c r="E241" s="9" t="str">
        <f>ifs($D241="","",countif('VISIT DATA'!$A:$A,$D241)=countif(D:D,$D241),"YES",countif('VISIT DATA'!$A:$A,$D241)=0,"NO",and(countif(D:D,$D241)&gt;1,countif('VISIT DATA'!$A:$A,$D241)&gt;=1),"YES",countif('VISIT DATA'!$A:$A,$D241)=countif(D:D,$D241),"YES")</f>
        <v>NO</v>
      </c>
      <c r="F241" s="9" t="str">
        <f>ifs($A241=FALSE,"",$A241,VLOOKUP($A241,SCAN!A:D,3,0))</f>
        <v>CH</v>
      </c>
    </row>
    <row r="242">
      <c r="A242" s="16">
        <f>IFERROR(__xludf.DUMMYFUNCTION("""COMPUTED_VALUE"""),44553.59754795139)</f>
        <v>44553.59755</v>
      </c>
      <c r="B242" s="6">
        <f>ifs($A242=FALSE,"",$A242,VLOOKUP($A242,SCAN!A:D,4,0))</f>
        <v>14742</v>
      </c>
      <c r="C242" s="7">
        <f t="shared" si="1"/>
        <v>44553</v>
      </c>
      <c r="D242" s="17" t="str">
        <f t="shared" si="2"/>
        <v>1474244553</v>
      </c>
      <c r="E242" s="9" t="str">
        <f>ifs($D242="","",countif('VISIT DATA'!$A:$A,$D242)=countif(D:D,$D242),"YES",countif('VISIT DATA'!$A:$A,$D242)=0,"NO",and(countif(D:D,$D242)&gt;1,countif('VISIT DATA'!$A:$A,$D242)&gt;=1),"YES",countif('VISIT DATA'!$A:$A,$D242)=countif(D:D,$D242),"YES")</f>
        <v>NO</v>
      </c>
      <c r="F242" s="9" t="str">
        <f>ifs($A242=FALSE,"",$A242,VLOOKUP($A242,SCAN!A:D,3,0))</f>
        <v>DA</v>
      </c>
    </row>
    <row r="243">
      <c r="A243" s="16">
        <f>IFERROR(__xludf.DUMMYFUNCTION("""COMPUTED_VALUE"""),44553.60274665509)</f>
        <v>44553.60275</v>
      </c>
      <c r="B243" s="6">
        <f>ifs($A243=FALSE,"",$A243,VLOOKUP($A243,SCAN!A:D,4,0))</f>
        <v>11223</v>
      </c>
      <c r="C243" s="7">
        <f t="shared" si="1"/>
        <v>44553</v>
      </c>
      <c r="D243" s="17" t="str">
        <f t="shared" si="2"/>
        <v>1122344553</v>
      </c>
      <c r="E243" s="9" t="str">
        <f>ifs($D243="","",countif('VISIT DATA'!$A:$A,$D243)=countif(D:D,$D243),"YES",countif('VISIT DATA'!$A:$A,$D243)=0,"NO",and(countif(D:D,$D243)&gt;1,countif('VISIT DATA'!$A:$A,$D243)&gt;=1),"YES",countif('VISIT DATA'!$A:$A,$D243)=countif(D:D,$D243),"YES")</f>
        <v>NO</v>
      </c>
      <c r="F243" s="9" t="str">
        <f>ifs($A243=FALSE,"",$A243,VLOOKUP($A243,SCAN!A:D,3,0))</f>
        <v>DA</v>
      </c>
    </row>
    <row r="244">
      <c r="A244" s="16">
        <f>IFERROR(__xludf.DUMMYFUNCTION("""COMPUTED_VALUE"""),44553.60663923611)</f>
        <v>44553.60664</v>
      </c>
      <c r="B244" s="6">
        <f>ifs($A244=FALSE,"",$A244,VLOOKUP($A244,SCAN!A:D,4,0))</f>
        <v>11365</v>
      </c>
      <c r="C244" s="7">
        <f t="shared" si="1"/>
        <v>44553</v>
      </c>
      <c r="D244" s="17" t="str">
        <f t="shared" si="2"/>
        <v>1136544553</v>
      </c>
      <c r="E244" s="9" t="str">
        <f>ifs($D244="","",countif('VISIT DATA'!$A:$A,$D244)=countif(D:D,$D244),"YES",countif('VISIT DATA'!$A:$A,$D244)=0,"NO",and(countif(D:D,$D244)&gt;1,countif('VISIT DATA'!$A:$A,$D244)&gt;=1),"YES",countif('VISIT DATA'!$A:$A,$D244)=countif(D:D,$D244),"YES")</f>
        <v>NO</v>
      </c>
      <c r="F244" s="9" t="str">
        <f>ifs($A244=FALSE,"",$A244,VLOOKUP($A244,SCAN!A:D,3,0))</f>
        <v>DA</v>
      </c>
    </row>
    <row r="245">
      <c r="A245" s="16">
        <f>IFERROR(__xludf.DUMMYFUNCTION("""COMPUTED_VALUE"""),44553.6269103588)</f>
        <v>44553.62691</v>
      </c>
      <c r="B245" s="6">
        <f>ifs($A245=FALSE,"",$A245,VLOOKUP($A245,SCAN!A:D,4,0))</f>
        <v>12267</v>
      </c>
      <c r="C245" s="7">
        <f t="shared" si="1"/>
        <v>44553</v>
      </c>
      <c r="D245" s="17" t="str">
        <f t="shared" si="2"/>
        <v>1226744553</v>
      </c>
      <c r="E245" s="9" t="str">
        <f>ifs($D245="","",countif('VISIT DATA'!$A:$A,$D245)=countif(D:D,$D245),"YES",countif('VISIT DATA'!$A:$A,$D245)=0,"NO",and(countif(D:D,$D245)&gt;1,countif('VISIT DATA'!$A:$A,$D245)&gt;=1),"YES",countif('VISIT DATA'!$A:$A,$D245)=countif(D:D,$D245),"YES")</f>
        <v>NO</v>
      </c>
      <c r="F245" s="9" t="str">
        <f>ifs($A245=FALSE,"",$A245,VLOOKUP($A245,SCAN!A:D,3,0))</f>
        <v>DM</v>
      </c>
    </row>
    <row r="246">
      <c r="A246" s="16">
        <f>IFERROR(__xludf.DUMMYFUNCTION("""COMPUTED_VALUE"""),44553.64039435185)</f>
        <v>44553.64039</v>
      </c>
      <c r="B246" s="6">
        <f>ifs($A246=FALSE,"",$A246,VLOOKUP($A246,SCAN!A:D,4,0))</f>
        <v>14384</v>
      </c>
      <c r="C246" s="7">
        <f t="shared" si="1"/>
        <v>44553</v>
      </c>
      <c r="D246" s="17" t="str">
        <f t="shared" si="2"/>
        <v>1438444553</v>
      </c>
      <c r="E246" s="9" t="str">
        <f>ifs($D246="","",countif('VISIT DATA'!$A:$A,$D246)=countif(D:D,$D246),"YES",countif('VISIT DATA'!$A:$A,$D246)=0,"NO",and(countif(D:D,$D246)&gt;1,countif('VISIT DATA'!$A:$A,$D246)&gt;=1),"YES",countif('VISIT DATA'!$A:$A,$D246)=countif(D:D,$D246),"YES")</f>
        <v>NO</v>
      </c>
      <c r="F246" s="9" t="str">
        <f>ifs($A246=FALSE,"",$A246,VLOOKUP($A246,SCAN!A:D,3,0))</f>
        <v>DA</v>
      </c>
    </row>
    <row r="247">
      <c r="A247" s="16">
        <f>IFERROR(__xludf.DUMMYFUNCTION("""COMPUTED_VALUE"""),44553.64330950231)</f>
        <v>44553.64331</v>
      </c>
      <c r="B247" s="6">
        <f>ifs($A247=FALSE,"",$A247,VLOOKUP($A247,SCAN!A:D,4,0))</f>
        <v>9971</v>
      </c>
      <c r="C247" s="7">
        <f t="shared" si="1"/>
        <v>44553</v>
      </c>
      <c r="D247" s="17" t="str">
        <f t="shared" si="2"/>
        <v>997144553</v>
      </c>
      <c r="E247" s="9" t="str">
        <f>ifs($D247="","",countif('VISIT DATA'!$A:$A,$D247)=countif(D:D,$D247),"YES",countif('VISIT DATA'!$A:$A,$D247)=0,"NO",and(countif(D:D,$D247)&gt;1,countif('VISIT DATA'!$A:$A,$D247)&gt;=1),"YES",countif('VISIT DATA'!$A:$A,$D247)=countif(D:D,$D247),"YES")</f>
        <v>NO</v>
      </c>
      <c r="F247" s="9" t="str">
        <f>ifs($A247=FALSE,"",$A247,VLOOKUP($A247,SCAN!A:D,3,0))</f>
        <v>DA</v>
      </c>
    </row>
    <row r="248">
      <c r="A248" s="16">
        <f>IFERROR(__xludf.DUMMYFUNCTION("""COMPUTED_VALUE"""),44553.64506736111)</f>
        <v>44553.64507</v>
      </c>
      <c r="B248" s="6">
        <f>ifs($A248=FALSE,"",$A248,VLOOKUP($A248,SCAN!A:D,4,0))</f>
        <v>15745</v>
      </c>
      <c r="C248" s="7">
        <f t="shared" si="1"/>
        <v>44553</v>
      </c>
      <c r="D248" s="17" t="str">
        <f t="shared" si="2"/>
        <v>1574544553</v>
      </c>
      <c r="E248" s="9" t="str">
        <f>ifs($D248="","",countif('VISIT DATA'!$A:$A,$D248)=countif(D:D,$D248),"YES",countif('VISIT DATA'!$A:$A,$D248)=0,"NO",and(countif(D:D,$D248)&gt;1,countif('VISIT DATA'!$A:$A,$D248)&gt;=1),"YES",countif('VISIT DATA'!$A:$A,$D248)=countif(D:D,$D248),"YES")</f>
        <v>NO</v>
      </c>
      <c r="F248" s="9" t="str">
        <f>ifs($A248=FALSE,"",$A248,VLOOKUP($A248,SCAN!A:D,3,0))</f>
        <v>DM</v>
      </c>
    </row>
    <row r="249">
      <c r="A249" s="16">
        <f>IFERROR(__xludf.DUMMYFUNCTION("""COMPUTED_VALUE"""),44553.64533262732)</f>
        <v>44553.64533</v>
      </c>
      <c r="B249" s="6">
        <f>ifs($A249=FALSE,"",$A249,VLOOKUP($A249,SCAN!A:D,4,0))</f>
        <v>15745</v>
      </c>
      <c r="C249" s="7">
        <f t="shared" si="1"/>
        <v>44553</v>
      </c>
      <c r="D249" s="17" t="str">
        <f t="shared" si="2"/>
        <v>1574544553</v>
      </c>
      <c r="E249" s="9" t="str">
        <f>ifs($D249="","",countif('VISIT DATA'!$A:$A,$D249)=countif(D:D,$D249),"YES",countif('VISIT DATA'!$A:$A,$D249)=0,"NO",and(countif(D:D,$D249)&gt;1,countif('VISIT DATA'!$A:$A,$D249)&gt;=1),"YES",countif('VISIT DATA'!$A:$A,$D249)=countif(D:D,$D249),"YES")</f>
        <v>NO</v>
      </c>
      <c r="F249" s="9" t="str">
        <f>ifs($A249=FALSE,"",$A249,VLOOKUP($A249,SCAN!A:D,3,0))</f>
        <v>DM</v>
      </c>
    </row>
    <row r="250">
      <c r="A250" s="16">
        <f>IFERROR(__xludf.DUMMYFUNCTION("""COMPUTED_VALUE"""),44553.64808472223)</f>
        <v>44553.64808</v>
      </c>
      <c r="B250" s="6" t="str">
        <f>ifs($A250=FALSE,"",$A250,VLOOKUP($A250,SCAN!A:D,4,0))</f>
        <v>PRN12928</v>
      </c>
      <c r="C250" s="7">
        <f t="shared" si="1"/>
        <v>44553</v>
      </c>
      <c r="D250" s="17" t="str">
        <f t="shared" si="2"/>
        <v>PRN1292844553</v>
      </c>
      <c r="E250" s="9" t="str">
        <f>ifs($D250="","",countif('VISIT DATA'!$A:$A,$D250)=countif(D:D,$D250),"YES",countif('VISIT DATA'!$A:$A,$D250)=0,"NO",and(countif(D:D,$D250)&gt;1,countif('VISIT DATA'!$A:$A,$D250)&gt;=1),"YES",countif('VISIT DATA'!$A:$A,$D250)=countif(D:D,$D250),"YES")</f>
        <v>NO</v>
      </c>
      <c r="F250" s="9" t="str">
        <f>ifs($A250=FALSE,"",$A250,VLOOKUP($A250,SCAN!A:D,3,0))</f>
        <v>DA</v>
      </c>
    </row>
    <row r="251">
      <c r="A251" s="16">
        <f>IFERROR(__xludf.DUMMYFUNCTION("""COMPUTED_VALUE"""),44553.648683113424)</f>
        <v>44553.64868</v>
      </c>
      <c r="B251" s="6">
        <f>ifs($A251=FALSE,"",$A251,VLOOKUP($A251,SCAN!A:D,4,0))</f>
        <v>16514</v>
      </c>
      <c r="C251" s="7">
        <f t="shared" si="1"/>
        <v>44553</v>
      </c>
      <c r="D251" s="17" t="str">
        <f t="shared" si="2"/>
        <v>1651444553</v>
      </c>
      <c r="E251" s="9" t="str">
        <f>ifs($D251="","",countif('VISIT DATA'!$A:$A,$D251)=countif(D:D,$D251),"YES",countif('VISIT DATA'!$A:$A,$D251)=0,"NO",and(countif(D:D,$D251)&gt;1,countif('VISIT DATA'!$A:$A,$D251)&gt;=1),"YES",countif('VISIT DATA'!$A:$A,$D251)=countif(D:D,$D251),"YES")</f>
        <v>NO</v>
      </c>
      <c r="F251" s="9" t="str">
        <f>ifs($A251=FALSE,"",$A251,VLOOKUP($A251,SCAN!A:D,3,0))</f>
        <v>DA</v>
      </c>
    </row>
    <row r="252">
      <c r="A252" s="16">
        <f>IFERROR(__xludf.DUMMYFUNCTION("""COMPUTED_VALUE"""),44553.657878935184)</f>
        <v>44553.65788</v>
      </c>
      <c r="B252" s="6">
        <f>ifs($A252=FALSE,"",$A252,VLOOKUP($A252,SCAN!A:D,4,0))</f>
        <v>10593</v>
      </c>
      <c r="C252" s="7">
        <f t="shared" si="1"/>
        <v>44553</v>
      </c>
      <c r="D252" s="17" t="str">
        <f t="shared" si="2"/>
        <v>1059344553</v>
      </c>
      <c r="E252" s="9" t="str">
        <f>ifs($D252="","",countif('VISIT DATA'!$A:$A,$D252)=countif(D:D,$D252),"YES",countif('VISIT DATA'!$A:$A,$D252)=0,"NO",and(countif(D:D,$D252)&gt;1,countif('VISIT DATA'!$A:$A,$D252)&gt;=1),"YES",countif('VISIT DATA'!$A:$A,$D252)=countif(D:D,$D252),"YES")</f>
        <v>NO</v>
      </c>
      <c r="F252" s="9" t="str">
        <f>ifs($A252=FALSE,"",$A252,VLOOKUP($A252,SCAN!A:D,3,0))</f>
        <v>DM</v>
      </c>
    </row>
    <row r="253">
      <c r="A253" s="16">
        <f>IFERROR(__xludf.DUMMYFUNCTION("""COMPUTED_VALUE"""),44553.658136053244)</f>
        <v>44553.65814</v>
      </c>
      <c r="B253" s="6">
        <f>ifs($A253=FALSE,"",$A253,VLOOKUP($A253,SCAN!A:D,4,0))</f>
        <v>10593</v>
      </c>
      <c r="C253" s="7">
        <f t="shared" si="1"/>
        <v>44553</v>
      </c>
      <c r="D253" s="17" t="str">
        <f t="shared" si="2"/>
        <v>1059344553</v>
      </c>
      <c r="E253" s="9" t="str">
        <f>ifs($D253="","",countif('VISIT DATA'!$A:$A,$D253)=countif(D:D,$D253),"YES",countif('VISIT DATA'!$A:$A,$D253)=0,"NO",and(countif(D:D,$D253)&gt;1,countif('VISIT DATA'!$A:$A,$D253)&gt;=1),"YES",countif('VISIT DATA'!$A:$A,$D253)=countif(D:D,$D253),"YES")</f>
        <v>NO</v>
      </c>
      <c r="F253" s="9" t="str">
        <f>ifs($A253=FALSE,"",$A253,VLOOKUP($A253,SCAN!A:D,3,0))</f>
        <v>DM</v>
      </c>
    </row>
    <row r="254">
      <c r="A254" s="16">
        <f>IFERROR(__xludf.DUMMYFUNCTION("""COMPUTED_VALUE"""),44553.702846342596)</f>
        <v>44553.70285</v>
      </c>
      <c r="B254" s="6">
        <f>ifs($A254=FALSE,"",$A254,VLOOKUP($A254,SCAN!A:D,4,0))</f>
        <v>16514</v>
      </c>
      <c r="C254" s="7">
        <f t="shared" si="1"/>
        <v>44553</v>
      </c>
      <c r="D254" s="17" t="str">
        <f t="shared" si="2"/>
        <v>1651444553</v>
      </c>
      <c r="E254" s="9" t="str">
        <f>ifs($D254="","",countif('VISIT DATA'!$A:$A,$D254)=countif(D:D,$D254),"YES",countif('VISIT DATA'!$A:$A,$D254)=0,"NO",and(countif(D:D,$D254)&gt;1,countif('VISIT DATA'!$A:$A,$D254)&gt;=1),"YES",countif('VISIT DATA'!$A:$A,$D254)=countif(D:D,$D254),"YES")</f>
        <v>NO</v>
      </c>
      <c r="F254" s="9" t="str">
        <f>ifs($A254=FALSE,"",$A254,VLOOKUP($A254,SCAN!A:D,3,0))</f>
        <v>DM</v>
      </c>
    </row>
    <row r="255">
      <c r="A255" s="16">
        <f>IFERROR(__xludf.DUMMYFUNCTION("""COMPUTED_VALUE"""),44553.70307700231)</f>
        <v>44553.70308</v>
      </c>
      <c r="B255" s="6">
        <f>ifs($A255=FALSE,"",$A255,VLOOKUP($A255,SCAN!A:D,4,0))</f>
        <v>16514</v>
      </c>
      <c r="C255" s="7">
        <f t="shared" si="1"/>
        <v>44553</v>
      </c>
      <c r="D255" s="17" t="str">
        <f t="shared" si="2"/>
        <v>1651444553</v>
      </c>
      <c r="E255" s="9" t="str">
        <f>ifs($D255="","",countif('VISIT DATA'!$A:$A,$D255)=countif(D:D,$D255),"YES",countif('VISIT DATA'!$A:$A,$D255)=0,"NO",and(countif(D:D,$D255)&gt;1,countif('VISIT DATA'!$A:$A,$D255)&gt;=1),"YES",countif('VISIT DATA'!$A:$A,$D255)=countif(D:D,$D255),"YES")</f>
        <v>NO</v>
      </c>
      <c r="F255" s="9" t="str">
        <f>ifs($A255=FALSE,"",$A255,VLOOKUP($A255,SCAN!A:D,3,0))</f>
        <v>DM</v>
      </c>
    </row>
    <row r="256">
      <c r="A256" s="16">
        <f>IFERROR(__xludf.DUMMYFUNCTION("""COMPUTED_VALUE"""),44553.7033338426)</f>
        <v>44553.70333</v>
      </c>
      <c r="B256" s="6">
        <f>ifs($A256=FALSE,"",$A256,VLOOKUP($A256,SCAN!A:D,4,0))</f>
        <v>16514</v>
      </c>
      <c r="C256" s="7">
        <f t="shared" si="1"/>
        <v>44553</v>
      </c>
      <c r="D256" s="17" t="str">
        <f t="shared" si="2"/>
        <v>1651444553</v>
      </c>
      <c r="E256" s="9" t="str">
        <f>ifs($D256="","",countif('VISIT DATA'!$A:$A,$D256)=countif(D:D,$D256),"YES",countif('VISIT DATA'!$A:$A,$D256)=0,"NO",and(countif(D:D,$D256)&gt;1,countif('VISIT DATA'!$A:$A,$D256)&gt;=1),"YES",countif('VISIT DATA'!$A:$A,$D256)=countif(D:D,$D256),"YES")</f>
        <v>NO</v>
      </c>
      <c r="F256" s="9" t="str">
        <f>ifs($A256=FALSE,"",$A256,VLOOKUP($A256,SCAN!A:D,3,0))</f>
        <v>DM</v>
      </c>
    </row>
    <row r="257">
      <c r="A257" s="16">
        <f>IFERROR(__xludf.DUMMYFUNCTION("""COMPUTED_VALUE"""),44553.70373149306)</f>
        <v>44553.70373</v>
      </c>
      <c r="B257" s="6">
        <f>ifs($A257=FALSE,"",$A257,VLOOKUP($A257,SCAN!A:D,4,0))</f>
        <v>16514</v>
      </c>
      <c r="C257" s="7">
        <f t="shared" si="1"/>
        <v>44553</v>
      </c>
      <c r="D257" s="17" t="str">
        <f t="shared" si="2"/>
        <v>1651444553</v>
      </c>
      <c r="E257" s="9" t="str">
        <f>ifs($D257="","",countif('VISIT DATA'!$A:$A,$D257)=countif(D:D,$D257),"YES",countif('VISIT DATA'!$A:$A,$D257)=0,"NO",and(countif(D:D,$D257)&gt;1,countif('VISIT DATA'!$A:$A,$D257)&gt;=1),"YES",countif('VISIT DATA'!$A:$A,$D257)=countif(D:D,$D257),"YES")</f>
        <v>NO</v>
      </c>
      <c r="F257" s="9" t="str">
        <f>ifs($A257=FALSE,"",$A257,VLOOKUP($A257,SCAN!A:D,3,0))</f>
        <v>DM</v>
      </c>
    </row>
    <row r="258">
      <c r="A258" s="16">
        <f>IFERROR(__xludf.DUMMYFUNCTION("""COMPUTED_VALUE"""),44557.48212519676)</f>
        <v>44557.48213</v>
      </c>
      <c r="B258" s="6">
        <f>ifs($A258=FALSE,"",$A258,VLOOKUP($A258,SCAN!A:D,4,0))</f>
        <v>12012</v>
      </c>
      <c r="C258" s="7">
        <f t="shared" si="1"/>
        <v>44557</v>
      </c>
      <c r="D258" s="17" t="str">
        <f t="shared" si="2"/>
        <v>1201244557</v>
      </c>
      <c r="E258" s="9" t="str">
        <f>ifs($D258="","",countif('VISIT DATA'!$A:$A,$D258)=countif(D:D,$D258),"YES",countif('VISIT DATA'!$A:$A,$D258)=0,"NO",and(countif(D:D,$D258)&gt;1,countif('VISIT DATA'!$A:$A,$D258)&gt;=1),"YES",countif('VISIT DATA'!$A:$A,$D258)=countif(D:D,$D258),"YES")</f>
        <v>NO</v>
      </c>
      <c r="F258" s="9" t="str">
        <f>ifs($A258=FALSE,"",$A258,VLOOKUP($A258,SCAN!A:D,3,0))</f>
        <v>DA</v>
      </c>
    </row>
    <row r="259">
      <c r="A259" s="16">
        <f>IFERROR(__xludf.DUMMYFUNCTION("""COMPUTED_VALUE"""),44557.48251425926)</f>
        <v>44557.48251</v>
      </c>
      <c r="B259" s="6">
        <f>ifs($A259=FALSE,"",$A259,VLOOKUP($A259,SCAN!A:D,4,0))</f>
        <v>15737</v>
      </c>
      <c r="C259" s="7">
        <f t="shared" si="1"/>
        <v>44557</v>
      </c>
      <c r="D259" s="17" t="str">
        <f t="shared" si="2"/>
        <v>1573744557</v>
      </c>
      <c r="E259" s="9" t="str">
        <f>ifs($D259="","",countif('VISIT DATA'!$A:$A,$D259)=countif(D:D,$D259),"YES",countif('VISIT DATA'!$A:$A,$D259)=0,"NO",and(countif(D:D,$D259)&gt;1,countif('VISIT DATA'!$A:$A,$D259)&gt;=1),"YES",countif('VISIT DATA'!$A:$A,$D259)=countif(D:D,$D259),"YES")</f>
        <v>NO</v>
      </c>
      <c r="F259" s="9" t="str">
        <f>ifs($A259=FALSE,"",$A259,VLOOKUP($A259,SCAN!A:D,3,0))</f>
        <v>DA</v>
      </c>
    </row>
    <row r="260">
      <c r="A260" s="16">
        <f>IFERROR(__xludf.DUMMYFUNCTION("""COMPUTED_VALUE"""),44557.48280465278)</f>
        <v>44557.4828</v>
      </c>
      <c r="B260" s="6">
        <f>ifs($A260=FALSE,"",$A260,VLOOKUP($A260,SCAN!A:D,4,0))</f>
        <v>10323</v>
      </c>
      <c r="C260" s="7">
        <f t="shared" si="1"/>
        <v>44557</v>
      </c>
      <c r="D260" s="17" t="str">
        <f t="shared" si="2"/>
        <v>1032344557</v>
      </c>
      <c r="E260" s="9" t="str">
        <f>ifs($D260="","",countif('VISIT DATA'!$A:$A,$D260)=countif(D:D,$D260),"YES",countif('VISIT DATA'!$A:$A,$D260)=0,"NO",and(countif(D:D,$D260)&gt;1,countif('VISIT DATA'!$A:$A,$D260)&gt;=1),"YES",countif('VISIT DATA'!$A:$A,$D260)=countif(D:D,$D260),"YES")</f>
        <v>NO</v>
      </c>
      <c r="F260" s="9" t="str">
        <f>ifs($A260=FALSE,"",$A260,VLOOKUP($A260,SCAN!A:D,3,0))</f>
        <v>DA</v>
      </c>
    </row>
    <row r="261">
      <c r="A261" s="16">
        <f>IFERROR(__xludf.DUMMYFUNCTION("""COMPUTED_VALUE"""),44557.48312446759)</f>
        <v>44557.48312</v>
      </c>
      <c r="B261" s="6">
        <f>ifs($A261=FALSE,"",$A261,VLOOKUP($A261,SCAN!A:D,4,0))</f>
        <v>10941</v>
      </c>
      <c r="C261" s="7">
        <f t="shared" si="1"/>
        <v>44557</v>
      </c>
      <c r="D261" s="17" t="str">
        <f t="shared" si="2"/>
        <v>1094144557</v>
      </c>
      <c r="E261" s="9" t="str">
        <f>ifs($D261="","",countif('VISIT DATA'!$A:$A,$D261)=countif(D:D,$D261),"YES",countif('VISIT DATA'!$A:$A,$D261)=0,"NO",and(countif(D:D,$D261)&gt;1,countif('VISIT DATA'!$A:$A,$D261)&gt;=1),"YES",countif('VISIT DATA'!$A:$A,$D261)=countif(D:D,$D261),"YES")</f>
        <v>NO</v>
      </c>
      <c r="F261" s="9" t="str">
        <f>ifs($A261=FALSE,"",$A261,VLOOKUP($A261,SCAN!A:D,3,0))</f>
        <v>DA</v>
      </c>
    </row>
    <row r="262">
      <c r="A262" s="16">
        <f>IFERROR(__xludf.DUMMYFUNCTION("""COMPUTED_VALUE"""),44557.48330869213)</f>
        <v>44557.48331</v>
      </c>
      <c r="B262" s="6">
        <f>ifs($A262=FALSE,"",$A262,VLOOKUP($A262,SCAN!A:D,4,0))</f>
        <v>17282</v>
      </c>
      <c r="C262" s="7">
        <f t="shared" si="1"/>
        <v>44557</v>
      </c>
      <c r="D262" s="17" t="str">
        <f t="shared" si="2"/>
        <v>1728244557</v>
      </c>
      <c r="E262" s="9" t="str">
        <f>ifs($D262="","",countif('VISIT DATA'!$A:$A,$D262)=countif(D:D,$D262),"YES",countif('VISIT DATA'!$A:$A,$D262)=0,"NO",and(countif(D:D,$D262)&gt;1,countif('VISIT DATA'!$A:$A,$D262)&gt;=1),"YES",countif('VISIT DATA'!$A:$A,$D262)=countif(D:D,$D262),"YES")</f>
        <v>NO</v>
      </c>
      <c r="F262" s="9" t="str">
        <f>ifs($A262=FALSE,"",$A262,VLOOKUP($A262,SCAN!A:D,3,0))</f>
        <v>LM</v>
      </c>
    </row>
    <row r="263">
      <c r="A263" s="16">
        <f>IFERROR(__xludf.DUMMYFUNCTION("""COMPUTED_VALUE"""),44557.483402638885)</f>
        <v>44557.4834</v>
      </c>
      <c r="B263" s="6">
        <f>ifs($A263=FALSE,"",$A263,VLOOKUP($A263,SCAN!A:D,4,0))</f>
        <v>16478</v>
      </c>
      <c r="C263" s="7">
        <f t="shared" si="1"/>
        <v>44557</v>
      </c>
      <c r="D263" s="17" t="str">
        <f t="shared" si="2"/>
        <v>1647844557</v>
      </c>
      <c r="E263" s="9" t="str">
        <f>ifs($D263="","",countif('VISIT DATA'!$A:$A,$D263)=countif(D:D,$D263),"YES",countif('VISIT DATA'!$A:$A,$D263)=0,"NO",and(countif(D:D,$D263)&gt;1,countif('VISIT DATA'!$A:$A,$D263)&gt;=1),"YES",countif('VISIT DATA'!$A:$A,$D263)=countif(D:D,$D263),"YES")</f>
        <v>NO</v>
      </c>
      <c r="F263" s="9" t="str">
        <f>ifs($A263=FALSE,"",$A263,VLOOKUP($A263,SCAN!A:D,3,0))</f>
        <v>DA</v>
      </c>
    </row>
    <row r="264">
      <c r="A264" s="16">
        <f>IFERROR(__xludf.DUMMYFUNCTION("""COMPUTED_VALUE"""),44557.48364373842)</f>
        <v>44557.48364</v>
      </c>
      <c r="B264" s="6">
        <f>ifs($A264=FALSE,"",$A264,VLOOKUP($A264,SCAN!A:D,4,0))</f>
        <v>15092</v>
      </c>
      <c r="C264" s="7">
        <f t="shared" si="1"/>
        <v>44557</v>
      </c>
      <c r="D264" s="17" t="str">
        <f t="shared" si="2"/>
        <v>1509244557</v>
      </c>
      <c r="E264" s="9" t="str">
        <f>ifs($D264="","",countif('VISIT DATA'!$A:$A,$D264)=countif(D:D,$D264),"YES",countif('VISIT DATA'!$A:$A,$D264)=0,"NO",and(countif(D:D,$D264)&gt;1,countif('VISIT DATA'!$A:$A,$D264)&gt;=1),"YES",countif('VISIT DATA'!$A:$A,$D264)=countif(D:D,$D264),"YES")</f>
        <v>NO</v>
      </c>
      <c r="F264" s="9" t="str">
        <f>ifs($A264=FALSE,"",$A264,VLOOKUP($A264,SCAN!A:D,3,0))</f>
        <v>DA</v>
      </c>
    </row>
    <row r="265">
      <c r="A265" s="16">
        <f>IFERROR(__xludf.DUMMYFUNCTION("""COMPUTED_VALUE"""),44557.48410163194)</f>
        <v>44557.4841</v>
      </c>
      <c r="B265" s="6">
        <f>ifs($A265=FALSE,"",$A265,VLOOKUP($A265,SCAN!A:D,4,0))</f>
        <v>17318</v>
      </c>
      <c r="C265" s="7">
        <f t="shared" si="1"/>
        <v>44557</v>
      </c>
      <c r="D265" s="17" t="str">
        <f t="shared" si="2"/>
        <v>1731844557</v>
      </c>
      <c r="E265" s="9" t="str">
        <f>ifs($D265="","",countif('VISIT DATA'!$A:$A,$D265)=countif(D:D,$D265),"YES",countif('VISIT DATA'!$A:$A,$D265)=0,"NO",and(countif(D:D,$D265)&gt;1,countif('VISIT DATA'!$A:$A,$D265)&gt;=1),"YES",countif('VISIT DATA'!$A:$A,$D265)=countif(D:D,$D265),"YES")</f>
        <v>NO</v>
      </c>
      <c r="F265" s="9" t="str">
        <f>ifs($A265=FALSE,"",$A265,VLOOKUP($A265,SCAN!A:D,3,0))</f>
        <v>DA</v>
      </c>
    </row>
    <row r="266">
      <c r="A266" s="16">
        <f>IFERROR(__xludf.DUMMYFUNCTION("""COMPUTED_VALUE"""),44557.48438061343)</f>
        <v>44557.48438</v>
      </c>
      <c r="B266" s="6">
        <f>ifs($A266=FALSE,"",$A266,VLOOKUP($A266,SCAN!A:D,4,0))</f>
        <v>17253</v>
      </c>
      <c r="C266" s="7">
        <f t="shared" si="1"/>
        <v>44557</v>
      </c>
      <c r="D266" s="17" t="str">
        <f t="shared" si="2"/>
        <v>1725344557</v>
      </c>
      <c r="E266" s="9" t="str">
        <f>ifs($D266="","",countif('VISIT DATA'!$A:$A,$D266)=countif(D:D,$D266),"YES",countif('VISIT DATA'!$A:$A,$D266)=0,"NO",and(countif(D:D,$D266)&gt;1,countif('VISIT DATA'!$A:$A,$D266)&gt;=1),"YES",countif('VISIT DATA'!$A:$A,$D266)=countif(D:D,$D266),"YES")</f>
        <v>NO</v>
      </c>
      <c r="F266" s="9" t="str">
        <f>ifs($A266=FALSE,"",$A266,VLOOKUP($A266,SCAN!A:D,3,0))</f>
        <v>CH</v>
      </c>
    </row>
    <row r="267">
      <c r="A267" s="16">
        <f>IFERROR(__xludf.DUMMYFUNCTION("""COMPUTED_VALUE"""),44557.48441601852)</f>
        <v>44557.48442</v>
      </c>
      <c r="B267" s="6">
        <f>ifs($A267=FALSE,"",$A267,VLOOKUP($A267,SCAN!A:D,4,0))</f>
        <v>15948</v>
      </c>
      <c r="C267" s="7">
        <f t="shared" si="1"/>
        <v>44557</v>
      </c>
      <c r="D267" s="17" t="str">
        <f t="shared" si="2"/>
        <v>1594844557</v>
      </c>
      <c r="E267" s="9" t="str">
        <f>ifs($D267="","",countif('VISIT DATA'!$A:$A,$D267)=countif(D:D,$D267),"YES",countif('VISIT DATA'!$A:$A,$D267)=0,"NO",and(countif(D:D,$D267)&gt;1,countif('VISIT DATA'!$A:$A,$D267)&gt;=1),"YES",countif('VISIT DATA'!$A:$A,$D267)=countif(D:D,$D267),"YES")</f>
        <v>NO</v>
      </c>
      <c r="F267" s="9" t="str">
        <f>ifs($A267=FALSE,"",$A267,VLOOKUP($A267,SCAN!A:D,3,0))</f>
        <v>DA</v>
      </c>
    </row>
    <row r="268">
      <c r="A268" s="16">
        <f>IFERROR(__xludf.DUMMYFUNCTION("""COMPUTED_VALUE"""),44557.48467090278)</f>
        <v>44557.48467</v>
      </c>
      <c r="B268" s="6">
        <f>ifs($A268=FALSE,"",$A268,VLOOKUP($A268,SCAN!A:D,4,0))</f>
        <v>10519</v>
      </c>
      <c r="C268" s="7">
        <f t="shared" si="1"/>
        <v>44557</v>
      </c>
      <c r="D268" s="17" t="str">
        <f t="shared" si="2"/>
        <v>1051944557</v>
      </c>
      <c r="E268" s="9" t="str">
        <f>ifs($D268="","",countif('VISIT DATA'!$A:$A,$D268)=countif(D:D,$D268),"YES",countif('VISIT DATA'!$A:$A,$D268)=0,"NO",and(countif(D:D,$D268)&gt;1,countif('VISIT DATA'!$A:$A,$D268)&gt;=1),"YES",countif('VISIT DATA'!$A:$A,$D268)=countif(D:D,$D268),"YES")</f>
        <v>NO</v>
      </c>
      <c r="F268" s="9" t="str">
        <f>ifs($A268=FALSE,"",$A268,VLOOKUP($A268,SCAN!A:D,3,0))</f>
        <v>DA</v>
      </c>
    </row>
    <row r="269">
      <c r="A269" s="16">
        <f>IFERROR(__xludf.DUMMYFUNCTION("""COMPUTED_VALUE"""),44557.48482917824)</f>
        <v>44557.48483</v>
      </c>
      <c r="B269" s="6">
        <f>ifs($A269=FALSE,"",$A269,VLOOKUP($A269,SCAN!A:D,4,0))</f>
        <v>17669</v>
      </c>
      <c r="C269" s="7">
        <f t="shared" si="1"/>
        <v>44557</v>
      </c>
      <c r="D269" s="17" t="str">
        <f t="shared" si="2"/>
        <v>1766944557</v>
      </c>
      <c r="E269" s="9" t="str">
        <f>ifs($D269="","",countif('VISIT DATA'!$A:$A,$D269)=countif(D:D,$D269),"YES",countif('VISIT DATA'!$A:$A,$D269)=0,"NO",and(countif(D:D,$D269)&gt;1,countif('VISIT DATA'!$A:$A,$D269)&gt;=1),"YES",countif('VISIT DATA'!$A:$A,$D269)=countif(D:D,$D269),"YES")</f>
        <v>NO</v>
      </c>
      <c r="F269" s="9" t="str">
        <f>ifs($A269=FALSE,"",$A269,VLOOKUP($A269,SCAN!A:D,3,0))</f>
        <v>LM</v>
      </c>
    </row>
    <row r="270">
      <c r="A270" s="16">
        <f>IFERROR(__xludf.DUMMYFUNCTION("""COMPUTED_VALUE"""),44557.48520715278)</f>
        <v>44557.48521</v>
      </c>
      <c r="B270" s="6">
        <f>ifs($A270=FALSE,"",$A270,VLOOKUP($A270,SCAN!A:D,4,0))</f>
        <v>9645</v>
      </c>
      <c r="C270" s="7">
        <f t="shared" si="1"/>
        <v>44557</v>
      </c>
      <c r="D270" s="17" t="str">
        <f t="shared" si="2"/>
        <v>964544557</v>
      </c>
      <c r="E270" s="9" t="str">
        <f>ifs($D270="","",countif('VISIT DATA'!$A:$A,$D270)=countif(D:D,$D270),"YES",countif('VISIT DATA'!$A:$A,$D270)=0,"NO",and(countif(D:D,$D270)&gt;1,countif('VISIT DATA'!$A:$A,$D270)&gt;=1),"YES",countif('VISIT DATA'!$A:$A,$D270)=countif(D:D,$D270),"YES")</f>
        <v>NO</v>
      </c>
      <c r="F270" s="9" t="str">
        <f>ifs($A270=FALSE,"",$A270,VLOOKUP($A270,SCAN!A:D,3,0))</f>
        <v>DA</v>
      </c>
    </row>
    <row r="271">
      <c r="A271" s="16">
        <f>IFERROR(__xludf.DUMMYFUNCTION("""COMPUTED_VALUE"""),44557.48551934028)</f>
        <v>44557.48552</v>
      </c>
      <c r="B271" s="6">
        <f>ifs($A271=FALSE,"",$A271,VLOOKUP($A271,SCAN!A:D,4,0))</f>
        <v>15665</v>
      </c>
      <c r="C271" s="7">
        <f t="shared" si="1"/>
        <v>44557</v>
      </c>
      <c r="D271" s="17" t="str">
        <f t="shared" si="2"/>
        <v>1566544557</v>
      </c>
      <c r="E271" s="9" t="str">
        <f>ifs($D271="","",countif('VISIT DATA'!$A:$A,$D271)=countif(D:D,$D271),"YES",countif('VISIT DATA'!$A:$A,$D271)=0,"NO",and(countif(D:D,$D271)&gt;1,countif('VISIT DATA'!$A:$A,$D271)&gt;=1),"YES",countif('VISIT DATA'!$A:$A,$D271)=countif(D:D,$D271),"YES")</f>
        <v>NO</v>
      </c>
      <c r="F271" s="9" t="str">
        <f>ifs($A271=FALSE,"",$A271,VLOOKUP($A271,SCAN!A:D,3,0))</f>
        <v>DA</v>
      </c>
    </row>
    <row r="272">
      <c r="A272" s="16">
        <f>IFERROR(__xludf.DUMMYFUNCTION("""COMPUTED_VALUE"""),44557.485789583334)</f>
        <v>44557.48579</v>
      </c>
      <c r="B272" s="6">
        <f>ifs($A272=FALSE,"",$A272,VLOOKUP($A272,SCAN!A:D,4,0))</f>
        <v>9359</v>
      </c>
      <c r="C272" s="7">
        <f t="shared" si="1"/>
        <v>44557</v>
      </c>
      <c r="D272" s="17" t="str">
        <f t="shared" si="2"/>
        <v>935944557</v>
      </c>
      <c r="E272" s="9" t="str">
        <f>ifs($D272="","",countif('VISIT DATA'!$A:$A,$D272)=countif(D:D,$D272),"YES",countif('VISIT DATA'!$A:$A,$D272)=0,"NO",and(countif(D:D,$D272)&gt;1,countif('VISIT DATA'!$A:$A,$D272)&gt;=1),"YES",countif('VISIT DATA'!$A:$A,$D272)=countif(D:D,$D272),"YES")</f>
        <v>NO</v>
      </c>
      <c r="F272" s="9" t="str">
        <f>ifs($A272=FALSE,"",$A272,VLOOKUP($A272,SCAN!A:D,3,0))</f>
        <v>DA</v>
      </c>
    </row>
    <row r="273">
      <c r="A273" s="16">
        <f>IFERROR(__xludf.DUMMYFUNCTION("""COMPUTED_VALUE"""),44557.48606023148)</f>
        <v>44557.48606</v>
      </c>
      <c r="B273" s="6">
        <f>ifs($A273=FALSE,"",$A273,VLOOKUP($A273,SCAN!A:D,4,0))</f>
        <v>16000</v>
      </c>
      <c r="C273" s="7">
        <f t="shared" si="1"/>
        <v>44557</v>
      </c>
      <c r="D273" s="17" t="str">
        <f t="shared" si="2"/>
        <v>1600044557</v>
      </c>
      <c r="E273" s="9" t="str">
        <f>ifs($D273="","",countif('VISIT DATA'!$A:$A,$D273)=countif(D:D,$D273),"YES",countif('VISIT DATA'!$A:$A,$D273)=0,"NO",and(countif(D:D,$D273)&gt;1,countif('VISIT DATA'!$A:$A,$D273)&gt;=1),"YES",countif('VISIT DATA'!$A:$A,$D273)=countif(D:D,$D273),"YES")</f>
        <v>NO</v>
      </c>
      <c r="F273" s="9" t="str">
        <f>ifs($A273=FALSE,"",$A273,VLOOKUP($A273,SCAN!A:D,3,0))</f>
        <v>DA</v>
      </c>
    </row>
    <row r="274">
      <c r="A274" s="16">
        <f>IFERROR(__xludf.DUMMYFUNCTION("""COMPUTED_VALUE"""),44557.48630064815)</f>
        <v>44557.4863</v>
      </c>
      <c r="B274" s="6">
        <f>ifs($A274=FALSE,"",$A274,VLOOKUP($A274,SCAN!A:D,4,0))</f>
        <v>15606</v>
      </c>
      <c r="C274" s="7">
        <f t="shared" si="1"/>
        <v>44557</v>
      </c>
      <c r="D274" s="17" t="str">
        <f t="shared" si="2"/>
        <v>1560644557</v>
      </c>
      <c r="E274" s="9" t="str">
        <f>ifs($D274="","",countif('VISIT DATA'!$A:$A,$D274)=countif(D:D,$D274),"YES",countif('VISIT DATA'!$A:$A,$D274)=0,"NO",and(countif(D:D,$D274)&gt;1,countif('VISIT DATA'!$A:$A,$D274)&gt;=1),"YES",countif('VISIT DATA'!$A:$A,$D274)=countif(D:D,$D274),"YES")</f>
        <v>NO</v>
      </c>
      <c r="F274" s="9" t="str">
        <f>ifs($A274=FALSE,"",$A274,VLOOKUP($A274,SCAN!A:D,3,0))</f>
        <v>DA</v>
      </c>
    </row>
    <row r="275">
      <c r="A275" s="16">
        <f>IFERROR(__xludf.DUMMYFUNCTION("""COMPUTED_VALUE"""),44557.553863368055)</f>
        <v>44557.55386</v>
      </c>
      <c r="B275" s="6">
        <f>ifs($A275=FALSE,"",$A275,VLOOKUP($A275,SCAN!A:D,4,0))</f>
        <v>15412</v>
      </c>
      <c r="C275" s="7">
        <f t="shared" si="1"/>
        <v>44557</v>
      </c>
      <c r="D275" s="17" t="str">
        <f t="shared" si="2"/>
        <v>1541244557</v>
      </c>
      <c r="E275" s="9" t="str">
        <f>ifs($D275="","",countif('VISIT DATA'!$A:$A,$D275)=countif(D:D,$D275),"YES",countif('VISIT DATA'!$A:$A,$D275)=0,"NO",and(countif(D:D,$D275)&gt;1,countif('VISIT DATA'!$A:$A,$D275)&gt;=1),"YES",countif('VISIT DATA'!$A:$A,$D275)=countif(D:D,$D275),"YES")</f>
        <v>NO</v>
      </c>
      <c r="F275" s="9" t="str">
        <f>ifs($A275=FALSE,"",$A275,VLOOKUP($A275,SCAN!A:D,3,0))</f>
        <v>DA</v>
      </c>
    </row>
    <row r="276">
      <c r="A276" s="16">
        <f>IFERROR(__xludf.DUMMYFUNCTION("""COMPUTED_VALUE"""),44557.55398946759)</f>
        <v>44557.55399</v>
      </c>
      <c r="B276" s="6">
        <f>ifs($A276=FALSE,"",$A276,VLOOKUP($A276,SCAN!A:D,4,0))</f>
        <v>14075</v>
      </c>
      <c r="C276" s="7">
        <f t="shared" si="1"/>
        <v>44557</v>
      </c>
      <c r="D276" s="17" t="str">
        <f t="shared" si="2"/>
        <v>1407544557</v>
      </c>
      <c r="E276" s="9" t="str">
        <f>ifs($D276="","",countif('VISIT DATA'!$A:$A,$D276)=countif(D:D,$D276),"YES",countif('VISIT DATA'!$A:$A,$D276)=0,"NO",and(countif(D:D,$D276)&gt;1,countif('VISIT DATA'!$A:$A,$D276)&gt;=1),"YES",countif('VISIT DATA'!$A:$A,$D276)=countif(D:D,$D276),"YES")</f>
        <v>NO</v>
      </c>
      <c r="F276" s="9" t="str">
        <f>ifs($A276=FALSE,"",$A276,VLOOKUP($A276,SCAN!A:D,3,0))</f>
        <v>DA</v>
      </c>
    </row>
    <row r="277">
      <c r="A277" s="16">
        <f>IFERROR(__xludf.DUMMYFUNCTION("""COMPUTED_VALUE"""),44557.55480386574)</f>
        <v>44557.5548</v>
      </c>
      <c r="B277" s="6">
        <f>ifs($A277=FALSE,"",$A277,VLOOKUP($A277,SCAN!A:D,4,0))</f>
        <v>15412</v>
      </c>
      <c r="C277" s="7">
        <f t="shared" si="1"/>
        <v>44557</v>
      </c>
      <c r="D277" s="17" t="str">
        <f t="shared" si="2"/>
        <v>1541244557</v>
      </c>
      <c r="E277" s="9" t="str">
        <f>ifs($D277="","",countif('VISIT DATA'!$A:$A,$D277)=countif(D:D,$D277),"YES",countif('VISIT DATA'!$A:$A,$D277)=0,"NO",and(countif(D:D,$D277)&gt;1,countif('VISIT DATA'!$A:$A,$D277)&gt;=1),"YES",countif('VISIT DATA'!$A:$A,$D277)=countif(D:D,$D277),"YES")</f>
        <v>NO</v>
      </c>
      <c r="F277" s="9" t="str">
        <f>ifs($A277=FALSE,"",$A277,VLOOKUP($A277,SCAN!A:D,3,0))</f>
        <v>DA</v>
      </c>
    </row>
    <row r="278">
      <c r="A278" s="16">
        <f>IFERROR(__xludf.DUMMYFUNCTION("""COMPUTED_VALUE"""),44557.554924386575)</f>
        <v>44557.55492</v>
      </c>
      <c r="B278" s="6">
        <f>ifs($A278=FALSE,"",$A278,VLOOKUP($A278,SCAN!A:D,4,0))</f>
        <v>14075</v>
      </c>
      <c r="C278" s="7">
        <f t="shared" si="1"/>
        <v>44557</v>
      </c>
      <c r="D278" s="17" t="str">
        <f t="shared" si="2"/>
        <v>1407544557</v>
      </c>
      <c r="E278" s="9" t="str">
        <f>ifs($D278="","",countif('VISIT DATA'!$A:$A,$D278)=countif(D:D,$D278),"YES",countif('VISIT DATA'!$A:$A,$D278)=0,"NO",and(countif(D:D,$D278)&gt;1,countif('VISIT DATA'!$A:$A,$D278)&gt;=1),"YES",countif('VISIT DATA'!$A:$A,$D278)=countif(D:D,$D278),"YES")</f>
        <v>NO</v>
      </c>
      <c r="F278" s="9" t="str">
        <f>ifs($A278=FALSE,"",$A278,VLOOKUP($A278,SCAN!A:D,3,0))</f>
        <v>DA</v>
      </c>
    </row>
    <row r="279">
      <c r="A279" s="16">
        <f>IFERROR(__xludf.DUMMYFUNCTION("""COMPUTED_VALUE"""),44557.55845589121)</f>
        <v>44557.55846</v>
      </c>
      <c r="B279" s="6">
        <f>ifs($A279=FALSE,"",$A279,VLOOKUP($A279,SCAN!A:D,4,0))</f>
        <v>15591</v>
      </c>
      <c r="C279" s="7">
        <f t="shared" si="1"/>
        <v>44557</v>
      </c>
      <c r="D279" s="17" t="str">
        <f t="shared" si="2"/>
        <v>1559144557</v>
      </c>
      <c r="E279" s="9" t="str">
        <f>ifs($D279="","",countif('VISIT DATA'!$A:$A,$D279)=countif(D:D,$D279),"YES",countif('VISIT DATA'!$A:$A,$D279)=0,"NO",and(countif(D:D,$D279)&gt;1,countif('VISIT DATA'!$A:$A,$D279)&gt;=1),"YES",countif('VISIT DATA'!$A:$A,$D279)=countif(D:D,$D279),"YES")</f>
        <v>NO</v>
      </c>
      <c r="F279" s="9" t="str">
        <f>ifs($A279=FALSE,"",$A279,VLOOKUP($A279,SCAN!A:D,3,0))</f>
        <v>DA</v>
      </c>
    </row>
    <row r="280">
      <c r="A280" s="16">
        <f>IFERROR(__xludf.DUMMYFUNCTION("""COMPUTED_VALUE"""),44557.55996164352)</f>
        <v>44557.55996</v>
      </c>
      <c r="B280" s="6">
        <f>ifs($A280=FALSE,"",$A280,VLOOKUP($A280,SCAN!A:D,4,0))</f>
        <v>11933</v>
      </c>
      <c r="C280" s="7">
        <f t="shared" si="1"/>
        <v>44557</v>
      </c>
      <c r="D280" s="17" t="str">
        <f t="shared" si="2"/>
        <v>1193344557</v>
      </c>
      <c r="E280" s="9" t="str">
        <f>ifs($D280="","",countif('VISIT DATA'!$A:$A,$D280)=countif(D:D,$D280),"YES",countif('VISIT DATA'!$A:$A,$D280)=0,"NO",and(countif(D:D,$D280)&gt;1,countif('VISIT DATA'!$A:$A,$D280)&gt;=1),"YES",countif('VISIT DATA'!$A:$A,$D280)=countif(D:D,$D280),"YES")</f>
        <v>NO</v>
      </c>
      <c r="F280" s="9" t="str">
        <f>ifs($A280=FALSE,"",$A280,VLOOKUP($A280,SCAN!A:D,3,0))</f>
        <v>DA</v>
      </c>
    </row>
    <row r="281">
      <c r="A281" s="16">
        <f>IFERROR(__xludf.DUMMYFUNCTION("""COMPUTED_VALUE"""),44557.571541087964)</f>
        <v>44557.57154</v>
      </c>
      <c r="B281" s="6">
        <f>ifs($A281=FALSE,"",$A281,VLOOKUP($A281,SCAN!A:D,4,0))</f>
        <v>13488</v>
      </c>
      <c r="C281" s="7">
        <f t="shared" si="1"/>
        <v>44557</v>
      </c>
      <c r="D281" s="17" t="str">
        <f t="shared" si="2"/>
        <v>1348844557</v>
      </c>
      <c r="E281" s="9" t="str">
        <f>ifs($D281="","",countif('VISIT DATA'!$A:$A,$D281)=countif(D:D,$D281),"YES",countif('VISIT DATA'!$A:$A,$D281)=0,"NO",and(countif(D:D,$D281)&gt;1,countif('VISIT DATA'!$A:$A,$D281)&gt;=1),"YES",countif('VISIT DATA'!$A:$A,$D281)=countif(D:D,$D281),"YES")</f>
        <v>NO</v>
      </c>
      <c r="F281" s="9" t="str">
        <f>ifs($A281=FALSE,"",$A281,VLOOKUP($A281,SCAN!A:D,3,0))</f>
        <v>DA</v>
      </c>
    </row>
    <row r="282">
      <c r="A282" s="16">
        <f>IFERROR(__xludf.DUMMYFUNCTION("""COMPUTED_VALUE"""),44557.57710357639)</f>
        <v>44557.5771</v>
      </c>
      <c r="B282" s="6">
        <f>ifs($A282=FALSE,"",$A282,VLOOKUP($A282,SCAN!A:D,4,0))</f>
        <v>16810</v>
      </c>
      <c r="C282" s="7">
        <f t="shared" si="1"/>
        <v>44557</v>
      </c>
      <c r="D282" s="17" t="str">
        <f t="shared" si="2"/>
        <v>1681044557</v>
      </c>
      <c r="E282" s="9" t="str">
        <f>ifs($D282="","",countif('VISIT DATA'!$A:$A,$D282)=countif(D:D,$D282),"YES",countif('VISIT DATA'!$A:$A,$D282)=0,"NO",and(countif(D:D,$D282)&gt;1,countif('VISIT DATA'!$A:$A,$D282)&gt;=1),"YES",countif('VISIT DATA'!$A:$A,$D282)=countif(D:D,$D282),"YES")</f>
        <v>NO</v>
      </c>
      <c r="F282" s="9" t="str">
        <f>ifs($A282=FALSE,"",$A282,VLOOKUP($A282,SCAN!A:D,3,0))</f>
        <v>DA</v>
      </c>
    </row>
    <row r="283">
      <c r="A283" s="16">
        <f>IFERROR(__xludf.DUMMYFUNCTION("""COMPUTED_VALUE"""),44557.58388203704)</f>
        <v>44557.58388</v>
      </c>
      <c r="B283" s="6">
        <f>ifs($A283=FALSE,"",$A283,VLOOKUP($A283,SCAN!A:D,4,0))</f>
        <v>10047</v>
      </c>
      <c r="C283" s="7">
        <f t="shared" si="1"/>
        <v>44557</v>
      </c>
      <c r="D283" s="17" t="str">
        <f t="shared" si="2"/>
        <v>1004744557</v>
      </c>
      <c r="E283" s="9" t="str">
        <f>ifs($D283="","",countif('VISIT DATA'!$A:$A,$D283)=countif(D:D,$D283),"YES",countif('VISIT DATA'!$A:$A,$D283)=0,"NO",and(countif(D:D,$D283)&gt;1,countif('VISIT DATA'!$A:$A,$D283)&gt;=1),"YES",countif('VISIT DATA'!$A:$A,$D283)=countif(D:D,$D283),"YES")</f>
        <v>NO</v>
      </c>
      <c r="F283" s="9" t="str">
        <f>ifs($A283=FALSE,"",$A283,VLOOKUP($A283,SCAN!A:D,3,0))</f>
        <v>DA</v>
      </c>
    </row>
    <row r="284">
      <c r="A284" s="16">
        <f>IFERROR(__xludf.DUMMYFUNCTION("""COMPUTED_VALUE"""),44557.59150023149)</f>
        <v>44557.5915</v>
      </c>
      <c r="B284" s="6">
        <f>ifs($A284=FALSE,"",$A284,VLOOKUP($A284,SCAN!A:D,4,0))</f>
        <v>15102</v>
      </c>
      <c r="C284" s="7">
        <f t="shared" si="1"/>
        <v>44557</v>
      </c>
      <c r="D284" s="17" t="str">
        <f t="shared" si="2"/>
        <v>1510244557</v>
      </c>
      <c r="E284" s="9" t="str">
        <f>ifs($D284="","",countif('VISIT DATA'!$A:$A,$D284)=countif(D:D,$D284),"YES",countif('VISIT DATA'!$A:$A,$D284)=0,"NO",and(countif(D:D,$D284)&gt;1,countif('VISIT DATA'!$A:$A,$D284)&gt;=1),"YES",countif('VISIT DATA'!$A:$A,$D284)=countif(D:D,$D284),"YES")</f>
        <v>NO</v>
      </c>
      <c r="F284" s="9" t="str">
        <f>ifs($A284=FALSE,"",$A284,VLOOKUP($A284,SCAN!A:D,3,0))</f>
        <v>DA</v>
      </c>
    </row>
    <row r="285">
      <c r="A285" s="16">
        <f>IFERROR(__xludf.DUMMYFUNCTION("""COMPUTED_VALUE"""),44557.59205024305)</f>
        <v>44557.59205</v>
      </c>
      <c r="B285" s="6">
        <f>ifs($A285=FALSE,"",$A285,VLOOKUP($A285,SCAN!A:D,4,0))</f>
        <v>17787</v>
      </c>
      <c r="C285" s="7">
        <f t="shared" si="1"/>
        <v>44557</v>
      </c>
      <c r="D285" s="17" t="str">
        <f t="shared" si="2"/>
        <v>1778744557</v>
      </c>
      <c r="E285" s="9" t="str">
        <f>ifs($D285="","",countif('VISIT DATA'!$A:$A,$D285)=countif(D:D,$D285),"YES",countif('VISIT DATA'!$A:$A,$D285)=0,"NO",and(countif(D:D,$D285)&gt;1,countif('VISIT DATA'!$A:$A,$D285)&gt;=1),"YES",countif('VISIT DATA'!$A:$A,$D285)=countif(D:D,$D285),"YES")</f>
        <v>NO</v>
      </c>
      <c r="F285" s="9" t="str">
        <f>ifs($A285=FALSE,"",$A285,VLOOKUP($A285,SCAN!A:D,3,0))</f>
        <v>CH</v>
      </c>
    </row>
    <row r="286">
      <c r="A286" s="16">
        <f>IFERROR(__xludf.DUMMYFUNCTION("""COMPUTED_VALUE"""),44557.59292224537)</f>
        <v>44557.59292</v>
      </c>
      <c r="B286" s="6">
        <f>ifs($A286=FALSE,"",$A286,VLOOKUP($A286,SCAN!A:D,4,0))</f>
        <v>17701</v>
      </c>
      <c r="C286" s="7">
        <f t="shared" si="1"/>
        <v>44557</v>
      </c>
      <c r="D286" s="17" t="str">
        <f t="shared" si="2"/>
        <v>1770144557</v>
      </c>
      <c r="E286" s="9" t="str">
        <f>ifs($D286="","",countif('VISIT DATA'!$A:$A,$D286)=countif(D:D,$D286),"YES",countif('VISIT DATA'!$A:$A,$D286)=0,"NO",and(countif(D:D,$D286)&gt;1,countif('VISIT DATA'!$A:$A,$D286)&gt;=1),"YES",countif('VISIT DATA'!$A:$A,$D286)=countif(D:D,$D286),"YES")</f>
        <v>NO</v>
      </c>
      <c r="F286" s="9" t="str">
        <f>ifs($A286=FALSE,"",$A286,VLOOKUP($A286,SCAN!A:D,3,0))</f>
        <v>LM</v>
      </c>
    </row>
    <row r="287">
      <c r="A287" s="16">
        <f>IFERROR(__xludf.DUMMYFUNCTION("""COMPUTED_VALUE"""),44557.59372443287)</f>
        <v>44557.59372</v>
      </c>
      <c r="B287" s="6">
        <f>ifs($A287=FALSE,"",$A287,VLOOKUP($A287,SCAN!A:D,4,0))</f>
        <v>12459</v>
      </c>
      <c r="C287" s="7">
        <f t="shared" si="1"/>
        <v>44557</v>
      </c>
      <c r="D287" s="17" t="str">
        <f t="shared" si="2"/>
        <v>1245944557</v>
      </c>
      <c r="E287" s="9" t="str">
        <f>ifs($D287="","",countif('VISIT DATA'!$A:$A,$D287)=countif(D:D,$D287),"YES",countif('VISIT DATA'!$A:$A,$D287)=0,"NO",and(countif(D:D,$D287)&gt;1,countif('VISIT DATA'!$A:$A,$D287)&gt;=1),"YES",countif('VISIT DATA'!$A:$A,$D287)=countif(D:D,$D287),"YES")</f>
        <v>NO</v>
      </c>
      <c r="F287" s="9" t="str">
        <f>ifs($A287=FALSE,"",$A287,VLOOKUP($A287,SCAN!A:D,3,0))</f>
        <v>DA</v>
      </c>
    </row>
    <row r="288">
      <c r="A288" s="16">
        <f>IFERROR(__xludf.DUMMYFUNCTION("""COMPUTED_VALUE"""),44557.60445266204)</f>
        <v>44557.60445</v>
      </c>
      <c r="B288" s="6">
        <f>ifs($A288=FALSE,"",$A288,VLOOKUP($A288,SCAN!A:D,4,0))</f>
        <v>11637</v>
      </c>
      <c r="C288" s="7">
        <f t="shared" si="1"/>
        <v>44557</v>
      </c>
      <c r="D288" s="17" t="str">
        <f t="shared" si="2"/>
        <v>1163744557</v>
      </c>
      <c r="E288" s="9" t="str">
        <f>ifs($D288="","",countif('VISIT DATA'!$A:$A,$D288)=countif(D:D,$D288),"YES",countif('VISIT DATA'!$A:$A,$D288)=0,"NO",and(countif(D:D,$D288)&gt;1,countif('VISIT DATA'!$A:$A,$D288)&gt;=1),"YES",countif('VISIT DATA'!$A:$A,$D288)=countif(D:D,$D288),"YES")</f>
        <v>NO</v>
      </c>
      <c r="F288" s="9" t="str">
        <f>ifs($A288=FALSE,"",$A288,VLOOKUP($A288,SCAN!A:D,3,0))</f>
        <v>DA</v>
      </c>
    </row>
    <row r="289">
      <c r="A289" s="16">
        <f>IFERROR(__xludf.DUMMYFUNCTION("""COMPUTED_VALUE"""),44557.605122430556)</f>
        <v>44557.60512</v>
      </c>
      <c r="B289" s="6">
        <f>ifs($A289=FALSE,"",$A289,VLOOKUP($A289,SCAN!A:D,4,0))</f>
        <v>15520</v>
      </c>
      <c r="C289" s="7">
        <f t="shared" si="1"/>
        <v>44557</v>
      </c>
      <c r="D289" s="17" t="str">
        <f t="shared" si="2"/>
        <v>1552044557</v>
      </c>
      <c r="E289" s="9" t="str">
        <f>ifs($D289="","",countif('VISIT DATA'!$A:$A,$D289)=countif(D:D,$D289),"YES",countif('VISIT DATA'!$A:$A,$D289)=0,"NO",and(countif(D:D,$D289)&gt;1,countif('VISIT DATA'!$A:$A,$D289)&gt;=1),"YES",countif('VISIT DATA'!$A:$A,$D289)=countif(D:D,$D289),"YES")</f>
        <v>NO</v>
      </c>
      <c r="F289" s="9" t="str">
        <f>ifs($A289=FALSE,"",$A289,VLOOKUP($A289,SCAN!A:D,3,0))</f>
        <v>DA</v>
      </c>
    </row>
    <row r="290">
      <c r="A290" s="16">
        <f>IFERROR(__xludf.DUMMYFUNCTION("""COMPUTED_VALUE"""),44557.616284386575)</f>
        <v>44557.61628</v>
      </c>
      <c r="B290" s="6">
        <f>ifs($A290=FALSE,"",$A290,VLOOKUP($A290,SCAN!A:D,4,0))</f>
        <v>10649</v>
      </c>
      <c r="C290" s="7">
        <f t="shared" si="1"/>
        <v>44557</v>
      </c>
      <c r="D290" s="17" t="str">
        <f t="shared" si="2"/>
        <v>1064944557</v>
      </c>
      <c r="E290" s="9" t="str">
        <f>ifs($D290="","",countif('VISIT DATA'!$A:$A,$D290)=countif(D:D,$D290),"YES",countif('VISIT DATA'!$A:$A,$D290)=0,"NO",and(countif(D:D,$D290)&gt;1,countif('VISIT DATA'!$A:$A,$D290)&gt;=1),"YES",countif('VISIT DATA'!$A:$A,$D290)=countif(D:D,$D290),"YES")</f>
        <v>NO</v>
      </c>
      <c r="F290" s="9" t="str">
        <f>ifs($A290=FALSE,"",$A290,VLOOKUP($A290,SCAN!A:D,3,0))</f>
        <v>LM</v>
      </c>
    </row>
    <row r="291">
      <c r="A291" s="16">
        <f>IFERROR(__xludf.DUMMYFUNCTION("""COMPUTED_VALUE"""),44557.61704081019)</f>
        <v>44557.61704</v>
      </c>
      <c r="B291" s="6">
        <f>ifs($A291=FALSE,"",$A291,VLOOKUP($A291,SCAN!A:D,4,0))</f>
        <v>17696</v>
      </c>
      <c r="C291" s="7">
        <f t="shared" si="1"/>
        <v>44557</v>
      </c>
      <c r="D291" s="17" t="str">
        <f t="shared" si="2"/>
        <v>1769644557</v>
      </c>
      <c r="E291" s="9" t="str">
        <f>ifs($D291="","",countif('VISIT DATA'!$A:$A,$D291)=countif(D:D,$D291),"YES",countif('VISIT DATA'!$A:$A,$D291)=0,"NO",and(countif(D:D,$D291)&gt;1,countif('VISIT DATA'!$A:$A,$D291)&gt;=1),"YES",countif('VISIT DATA'!$A:$A,$D291)=countif(D:D,$D291),"YES")</f>
        <v>NO</v>
      </c>
      <c r="F291" s="9" t="str">
        <f>ifs($A291=FALSE,"",$A291,VLOOKUP($A291,SCAN!A:D,3,0))</f>
        <v>CH</v>
      </c>
    </row>
    <row r="292">
      <c r="A292" s="16">
        <f>IFERROR(__xludf.DUMMYFUNCTION("""COMPUTED_VALUE"""),44557.62076657407)</f>
        <v>44557.62077</v>
      </c>
      <c r="B292" s="6">
        <f>ifs($A292=FALSE,"",$A292,VLOOKUP($A292,SCAN!A:D,4,0))</f>
        <v>11181</v>
      </c>
      <c r="C292" s="7">
        <f t="shared" si="1"/>
        <v>44557</v>
      </c>
      <c r="D292" s="17" t="str">
        <f t="shared" si="2"/>
        <v>1118144557</v>
      </c>
      <c r="E292" s="9" t="str">
        <f>ifs($D292="","",countif('VISIT DATA'!$A:$A,$D292)=countif(D:D,$D292),"YES",countif('VISIT DATA'!$A:$A,$D292)=0,"NO",and(countif(D:D,$D292)&gt;1,countif('VISIT DATA'!$A:$A,$D292)&gt;=1),"YES",countif('VISIT DATA'!$A:$A,$D292)=countif(D:D,$D292),"YES")</f>
        <v>NO</v>
      </c>
      <c r="F292" s="9" t="str">
        <f>ifs($A292=FALSE,"",$A292,VLOOKUP($A292,SCAN!A:D,3,0))</f>
        <v>DA</v>
      </c>
    </row>
    <row r="293">
      <c r="A293" s="16">
        <f>IFERROR(__xludf.DUMMYFUNCTION("""COMPUTED_VALUE"""),44557.62843005787)</f>
        <v>44557.62843</v>
      </c>
      <c r="B293" s="6">
        <f>ifs($A293=FALSE,"",$A293,VLOOKUP($A293,SCAN!A:D,4,0))</f>
        <v>10623</v>
      </c>
      <c r="C293" s="7">
        <f t="shared" si="1"/>
        <v>44557</v>
      </c>
      <c r="D293" s="17" t="str">
        <f t="shared" si="2"/>
        <v>1062344557</v>
      </c>
      <c r="E293" s="9" t="str">
        <f>ifs($D293="","",countif('VISIT DATA'!$A:$A,$D293)=countif(D:D,$D293),"YES",countif('VISIT DATA'!$A:$A,$D293)=0,"NO",and(countif(D:D,$D293)&gt;1,countif('VISIT DATA'!$A:$A,$D293)&gt;=1),"YES",countif('VISIT DATA'!$A:$A,$D293)=countif(D:D,$D293),"YES")</f>
        <v>NO</v>
      </c>
      <c r="F293" s="9" t="str">
        <f>ifs($A293=FALSE,"",$A293,VLOOKUP($A293,SCAN!A:D,3,0))</f>
        <v>DA</v>
      </c>
    </row>
    <row r="294">
      <c r="A294" s="16">
        <f>IFERROR(__xludf.DUMMYFUNCTION("""COMPUTED_VALUE"""),44557.69630239584)</f>
        <v>44557.6963</v>
      </c>
      <c r="B294" s="6">
        <f>ifs($A294=FALSE,"",$A294,VLOOKUP($A294,SCAN!A:D,4,0))</f>
        <v>15637</v>
      </c>
      <c r="C294" s="7">
        <f t="shared" si="1"/>
        <v>44557</v>
      </c>
      <c r="D294" s="17" t="str">
        <f t="shared" si="2"/>
        <v>1563744557</v>
      </c>
      <c r="E294" s="9" t="str">
        <f>ifs($D294="","",countif('VISIT DATA'!$A:$A,$D294)=countif(D:D,$D294),"YES",countif('VISIT DATA'!$A:$A,$D294)=0,"NO",and(countif(D:D,$D294)&gt;1,countif('VISIT DATA'!$A:$A,$D294)&gt;=1),"YES",countif('VISIT DATA'!$A:$A,$D294)=countif(D:D,$D294),"YES")</f>
        <v>NO</v>
      </c>
      <c r="F294" s="9" t="str">
        <f>ifs($A294=FALSE,"",$A294,VLOOKUP($A294,SCAN!A:D,3,0))</f>
        <v>DA</v>
      </c>
    </row>
    <row r="295">
      <c r="A295" s="16">
        <f>IFERROR(__xludf.DUMMYFUNCTION("""COMPUTED_VALUE"""),44558.56408465278)</f>
        <v>44558.56408</v>
      </c>
      <c r="B295" s="6">
        <f>ifs($A295=FALSE,"",$A295,VLOOKUP($A295,SCAN!A:D,4,0))</f>
        <v>14356</v>
      </c>
      <c r="C295" s="7">
        <f t="shared" si="1"/>
        <v>44558</v>
      </c>
      <c r="D295" s="17" t="str">
        <f t="shared" si="2"/>
        <v>1435644558</v>
      </c>
      <c r="E295" s="9" t="str">
        <f>ifs($D295="","",countif('VISIT DATA'!$A:$A,$D295)=countif(D:D,$D295),"YES",countif('VISIT DATA'!$A:$A,$D295)=0,"NO",and(countif(D:D,$D295)&gt;1,countif('VISIT DATA'!$A:$A,$D295)&gt;=1),"YES",countif('VISIT DATA'!$A:$A,$D295)=countif(D:D,$D295),"YES")</f>
        <v>NO</v>
      </c>
      <c r="F295" s="9" t="str">
        <f>ifs($A295=FALSE,"",$A295,VLOOKUP($A295,SCAN!A:D,3,0))</f>
        <v>DA</v>
      </c>
    </row>
    <row r="296">
      <c r="A296" s="16">
        <f>IFERROR(__xludf.DUMMYFUNCTION("""COMPUTED_VALUE"""),44558.56431025463)</f>
        <v>44558.56431</v>
      </c>
      <c r="B296" s="6">
        <f>ifs($A296=FALSE,"",$A296,VLOOKUP($A296,SCAN!A:D,4,0))</f>
        <v>10145</v>
      </c>
      <c r="C296" s="7">
        <f t="shared" si="1"/>
        <v>44558</v>
      </c>
      <c r="D296" s="17" t="str">
        <f t="shared" si="2"/>
        <v>1014544558</v>
      </c>
      <c r="E296" s="9" t="str">
        <f>ifs($D296="","",countif('VISIT DATA'!$A:$A,$D296)=countif(D:D,$D296),"YES",countif('VISIT DATA'!$A:$A,$D296)=0,"NO",and(countif(D:D,$D296)&gt;1,countif('VISIT DATA'!$A:$A,$D296)&gt;=1),"YES",countif('VISIT DATA'!$A:$A,$D296)=countif(D:D,$D296),"YES")</f>
        <v>NO</v>
      </c>
      <c r="F296" s="9" t="str">
        <f>ifs($A296=FALSE,"",$A296,VLOOKUP($A296,SCAN!A:D,3,0))</f>
        <v>DA</v>
      </c>
    </row>
    <row r="297">
      <c r="A297" s="16">
        <f>IFERROR(__xludf.DUMMYFUNCTION("""COMPUTED_VALUE"""),44558.57246052084)</f>
        <v>44558.57246</v>
      </c>
      <c r="B297" s="6">
        <f>ifs($A297=FALSE,"",$A297,VLOOKUP($A297,SCAN!A:D,4,0))</f>
        <v>14486</v>
      </c>
      <c r="C297" s="7">
        <f t="shared" si="1"/>
        <v>44558</v>
      </c>
      <c r="D297" s="17" t="str">
        <f t="shared" si="2"/>
        <v>1448644558</v>
      </c>
      <c r="E297" s="9" t="str">
        <f>ifs($D297="","",countif('VISIT DATA'!$A:$A,$D297)=countif(D:D,$D297),"YES",countif('VISIT DATA'!$A:$A,$D297)=0,"NO",and(countif(D:D,$D297)&gt;1,countif('VISIT DATA'!$A:$A,$D297)&gt;=1),"YES",countif('VISIT DATA'!$A:$A,$D297)=countif(D:D,$D297),"YES")</f>
        <v>NO</v>
      </c>
      <c r="F297" s="9" t="str">
        <f>ifs($A297=FALSE,"",$A297,VLOOKUP($A297,SCAN!A:D,3,0))</f>
        <v>DA</v>
      </c>
    </row>
    <row r="298">
      <c r="A298" s="16">
        <f>IFERROR(__xludf.DUMMYFUNCTION("""COMPUTED_VALUE"""),44558.57397519676)</f>
        <v>44558.57398</v>
      </c>
      <c r="B298" s="6">
        <f>ifs($A298=FALSE,"",$A298,VLOOKUP($A298,SCAN!A:D,4,0))</f>
        <v>13909</v>
      </c>
      <c r="C298" s="7">
        <f t="shared" si="1"/>
        <v>44558</v>
      </c>
      <c r="D298" s="17" t="str">
        <f t="shared" si="2"/>
        <v>1390944558</v>
      </c>
      <c r="E298" s="9" t="str">
        <f>ifs($D298="","",countif('VISIT DATA'!$A:$A,$D298)=countif(D:D,$D298),"YES",countif('VISIT DATA'!$A:$A,$D298)=0,"NO",and(countif(D:D,$D298)&gt;1,countif('VISIT DATA'!$A:$A,$D298)&gt;=1),"YES",countif('VISIT DATA'!$A:$A,$D298)=countif(D:D,$D298),"YES")</f>
        <v>NO</v>
      </c>
      <c r="F298" s="9" t="str">
        <f>ifs($A298=FALSE,"",$A298,VLOOKUP($A298,SCAN!A:D,3,0))</f>
        <v>DA</v>
      </c>
    </row>
    <row r="299">
      <c r="A299" s="16">
        <f>IFERROR(__xludf.DUMMYFUNCTION("""COMPUTED_VALUE"""),44558.59201815972)</f>
        <v>44558.59202</v>
      </c>
      <c r="B299" s="6">
        <f>ifs($A299=FALSE,"",$A299,VLOOKUP($A299,SCAN!A:D,4,0))</f>
        <v>10416</v>
      </c>
      <c r="C299" s="7">
        <f t="shared" si="1"/>
        <v>44558</v>
      </c>
      <c r="D299" s="17" t="str">
        <f t="shared" si="2"/>
        <v>1041644558</v>
      </c>
      <c r="E299" s="9" t="str">
        <f>ifs($D299="","",countif('VISIT DATA'!$A:$A,$D299)=countif(D:D,$D299),"YES",countif('VISIT DATA'!$A:$A,$D299)=0,"NO",and(countif(D:D,$D299)&gt;1,countif('VISIT DATA'!$A:$A,$D299)&gt;=1),"YES",countif('VISIT DATA'!$A:$A,$D299)=countif(D:D,$D299),"YES")</f>
        <v>NO</v>
      </c>
      <c r="F299" s="9" t="str">
        <f>ifs($A299=FALSE,"",$A299,VLOOKUP($A299,SCAN!A:D,3,0))</f>
        <v>DA</v>
      </c>
    </row>
    <row r="300">
      <c r="A300" s="16">
        <f>IFERROR(__xludf.DUMMYFUNCTION("""COMPUTED_VALUE"""),44558.59237950231)</f>
        <v>44558.59238</v>
      </c>
      <c r="B300" s="6">
        <f>ifs($A300=FALSE,"",$A300,VLOOKUP($A300,SCAN!A:D,4,0))</f>
        <v>15642</v>
      </c>
      <c r="C300" s="7">
        <f t="shared" si="1"/>
        <v>44558</v>
      </c>
      <c r="D300" s="17" t="str">
        <f t="shared" si="2"/>
        <v>1564244558</v>
      </c>
      <c r="E300" s="9" t="str">
        <f>ifs($D300="","",countif('VISIT DATA'!$A:$A,$D300)=countif(D:D,$D300),"YES",countif('VISIT DATA'!$A:$A,$D300)=0,"NO",and(countif(D:D,$D300)&gt;1,countif('VISIT DATA'!$A:$A,$D300)&gt;=1),"YES",countif('VISIT DATA'!$A:$A,$D300)=countif(D:D,$D300),"YES")</f>
        <v>NO</v>
      </c>
      <c r="F300" s="9" t="str">
        <f>ifs($A300=FALSE,"",$A300,VLOOKUP($A300,SCAN!A:D,3,0))</f>
        <v>DA</v>
      </c>
    </row>
    <row r="301">
      <c r="A301" s="16">
        <f>IFERROR(__xludf.DUMMYFUNCTION("""COMPUTED_VALUE"""),44558.59307361111)</f>
        <v>44558.59307</v>
      </c>
      <c r="B301" s="6">
        <f>ifs($A301=FALSE,"",$A301,VLOOKUP($A301,SCAN!A:D,4,0))</f>
        <v>15706</v>
      </c>
      <c r="C301" s="7">
        <f t="shared" si="1"/>
        <v>44558</v>
      </c>
      <c r="D301" s="17" t="str">
        <f t="shared" si="2"/>
        <v>1570644558</v>
      </c>
      <c r="E301" s="9" t="str">
        <f>ifs($D301="","",countif('VISIT DATA'!$A:$A,$D301)=countif(D:D,$D301),"YES",countif('VISIT DATA'!$A:$A,$D301)=0,"NO",and(countif(D:D,$D301)&gt;1,countif('VISIT DATA'!$A:$A,$D301)&gt;=1),"YES",countif('VISIT DATA'!$A:$A,$D301)=countif(D:D,$D301),"YES")</f>
        <v>NO</v>
      </c>
      <c r="F301" s="9" t="str">
        <f>ifs($A301=FALSE,"",$A301,VLOOKUP($A301,SCAN!A:D,3,0))</f>
        <v>DA</v>
      </c>
    </row>
    <row r="302">
      <c r="A302" s="16">
        <f>IFERROR(__xludf.DUMMYFUNCTION("""COMPUTED_VALUE"""),44558.593621747685)</f>
        <v>44558.59362</v>
      </c>
      <c r="B302" s="6">
        <f>ifs($A302=FALSE,"",$A302,VLOOKUP($A302,SCAN!A:D,4,0))</f>
        <v>9139</v>
      </c>
      <c r="C302" s="7">
        <f t="shared" si="1"/>
        <v>44558</v>
      </c>
      <c r="D302" s="17" t="str">
        <f t="shared" si="2"/>
        <v>913944558</v>
      </c>
      <c r="E302" s="9" t="str">
        <f>ifs($D302="","",countif('VISIT DATA'!$A:$A,$D302)=countif(D:D,$D302),"YES",countif('VISIT DATA'!$A:$A,$D302)=0,"NO",and(countif(D:D,$D302)&gt;1,countif('VISIT DATA'!$A:$A,$D302)&gt;=1),"YES",countif('VISIT DATA'!$A:$A,$D302)=countif(D:D,$D302),"YES")</f>
        <v>NO</v>
      </c>
      <c r="F302" s="9" t="str">
        <f>ifs($A302=FALSE,"",$A302,VLOOKUP($A302,SCAN!A:D,3,0))</f>
        <v>DA</v>
      </c>
    </row>
    <row r="303">
      <c r="A303" s="16">
        <f>IFERROR(__xludf.DUMMYFUNCTION("""COMPUTED_VALUE"""),44558.59662175926)</f>
        <v>44558.59662</v>
      </c>
      <c r="B303" s="6">
        <f>ifs($A303=FALSE,"",$A303,VLOOKUP($A303,SCAN!A:D,4,0))</f>
        <v>15519</v>
      </c>
      <c r="C303" s="7">
        <f t="shared" si="1"/>
        <v>44558</v>
      </c>
      <c r="D303" s="17" t="str">
        <f t="shared" si="2"/>
        <v>1551944558</v>
      </c>
      <c r="E303" s="9" t="str">
        <f>ifs($D303="","",countif('VISIT DATA'!$A:$A,$D303)=countif(D:D,$D303),"YES",countif('VISIT DATA'!$A:$A,$D303)=0,"NO",and(countif(D:D,$D303)&gt;1,countif('VISIT DATA'!$A:$A,$D303)&gt;=1),"YES",countif('VISIT DATA'!$A:$A,$D303)=countif(D:D,$D303),"YES")</f>
        <v>NO</v>
      </c>
      <c r="F303" s="9" t="str">
        <f>ifs($A303=FALSE,"",$A303,VLOOKUP($A303,SCAN!A:D,3,0))</f>
        <v>DA</v>
      </c>
    </row>
    <row r="304">
      <c r="A304" s="16">
        <f>IFERROR(__xludf.DUMMYFUNCTION("""COMPUTED_VALUE"""),44558.59698494213)</f>
        <v>44558.59698</v>
      </c>
      <c r="B304" s="6">
        <f>ifs($A304=FALSE,"",$A304,VLOOKUP($A304,SCAN!A:D,4,0))</f>
        <v>10708</v>
      </c>
      <c r="C304" s="7">
        <f t="shared" si="1"/>
        <v>44558</v>
      </c>
      <c r="D304" s="17" t="str">
        <f t="shared" si="2"/>
        <v>1070844558</v>
      </c>
      <c r="E304" s="9" t="str">
        <f>ifs($D304="","",countif('VISIT DATA'!$A:$A,$D304)=countif(D:D,$D304),"YES",countif('VISIT DATA'!$A:$A,$D304)=0,"NO",and(countif(D:D,$D304)&gt;1,countif('VISIT DATA'!$A:$A,$D304)&gt;=1),"YES",countif('VISIT DATA'!$A:$A,$D304)=countif(D:D,$D304),"YES")</f>
        <v>NO</v>
      </c>
      <c r="F304" s="9" t="str">
        <f>ifs($A304=FALSE,"",$A304,VLOOKUP($A304,SCAN!A:D,3,0))</f>
        <v>DA</v>
      </c>
    </row>
    <row r="305">
      <c r="A305" s="16">
        <f>IFERROR(__xludf.DUMMYFUNCTION("""COMPUTED_VALUE"""),44558.59728392361)</f>
        <v>44558.59728</v>
      </c>
      <c r="B305" s="6">
        <f>ifs($A305=FALSE,"",$A305,VLOOKUP($A305,SCAN!A:D,4,0))</f>
        <v>15907</v>
      </c>
      <c r="C305" s="7">
        <f t="shared" si="1"/>
        <v>44558</v>
      </c>
      <c r="D305" s="17" t="str">
        <f t="shared" si="2"/>
        <v>1590744558</v>
      </c>
      <c r="E305" s="9" t="str">
        <f>ifs($D305="","",countif('VISIT DATA'!$A:$A,$D305)=countif(D:D,$D305),"YES",countif('VISIT DATA'!$A:$A,$D305)=0,"NO",and(countif(D:D,$D305)&gt;1,countif('VISIT DATA'!$A:$A,$D305)&gt;=1),"YES",countif('VISIT DATA'!$A:$A,$D305)=countif(D:D,$D305),"YES")</f>
        <v>NO</v>
      </c>
      <c r="F305" s="9" t="str">
        <f>ifs($A305=FALSE,"",$A305,VLOOKUP($A305,SCAN!A:D,3,0))</f>
        <v>DA</v>
      </c>
    </row>
    <row r="306">
      <c r="A306" s="16">
        <f>IFERROR(__xludf.DUMMYFUNCTION("""COMPUTED_VALUE"""),44558.59745800926)</f>
        <v>44558.59746</v>
      </c>
      <c r="B306" s="6">
        <f>ifs($A306=FALSE,"",$A306,VLOOKUP($A306,SCAN!A:D,4,0))</f>
        <v>15607</v>
      </c>
      <c r="C306" s="7">
        <f t="shared" si="1"/>
        <v>44558</v>
      </c>
      <c r="D306" s="17" t="str">
        <f t="shared" si="2"/>
        <v>1560744558</v>
      </c>
      <c r="E306" s="9" t="str">
        <f>ifs($D306="","",countif('VISIT DATA'!$A:$A,$D306)=countif(D:D,$D306),"YES",countif('VISIT DATA'!$A:$A,$D306)=0,"NO",and(countif(D:D,$D306)&gt;1,countif('VISIT DATA'!$A:$A,$D306)&gt;=1),"YES",countif('VISIT DATA'!$A:$A,$D306)=countif(D:D,$D306),"YES")</f>
        <v>NO</v>
      </c>
      <c r="F306" s="9" t="str">
        <f>ifs($A306=FALSE,"",$A306,VLOOKUP($A306,SCAN!A:D,3,0))</f>
        <v>DA</v>
      </c>
    </row>
    <row r="307">
      <c r="A307" s="16">
        <f>IFERROR(__xludf.DUMMYFUNCTION("""COMPUTED_VALUE"""),44558.597796041664)</f>
        <v>44558.5978</v>
      </c>
      <c r="B307" s="6">
        <f>ifs($A307=FALSE,"",$A307,VLOOKUP($A307,SCAN!A:D,4,0))</f>
        <v>15584</v>
      </c>
      <c r="C307" s="7">
        <f t="shared" si="1"/>
        <v>44558</v>
      </c>
      <c r="D307" s="17" t="str">
        <f t="shared" si="2"/>
        <v>1558444558</v>
      </c>
      <c r="E307" s="9" t="str">
        <f>ifs($D307="","",countif('VISIT DATA'!$A:$A,$D307)=countif(D:D,$D307),"YES",countif('VISIT DATA'!$A:$A,$D307)=0,"NO",and(countif(D:D,$D307)&gt;1,countif('VISIT DATA'!$A:$A,$D307)&gt;=1),"YES",countif('VISIT DATA'!$A:$A,$D307)=countif(D:D,$D307),"YES")</f>
        <v>NO</v>
      </c>
      <c r="F307" s="9" t="str">
        <f>ifs($A307=FALSE,"",$A307,VLOOKUP($A307,SCAN!A:D,3,0))</f>
        <v>DA</v>
      </c>
    </row>
    <row r="308">
      <c r="A308" s="16">
        <f>IFERROR(__xludf.DUMMYFUNCTION("""COMPUTED_VALUE"""),44558.598100613424)</f>
        <v>44558.5981</v>
      </c>
      <c r="B308" s="6">
        <f>ifs($A308=FALSE,"",$A308,VLOOKUP($A308,SCAN!A:D,4,0))</f>
        <v>15219</v>
      </c>
      <c r="C308" s="7">
        <f t="shared" si="1"/>
        <v>44558</v>
      </c>
      <c r="D308" s="17" t="str">
        <f t="shared" si="2"/>
        <v>1521944558</v>
      </c>
      <c r="E308" s="9" t="str">
        <f>ifs($D308="","",countif('VISIT DATA'!$A:$A,$D308)=countif(D:D,$D308),"YES",countif('VISIT DATA'!$A:$A,$D308)=0,"NO",and(countif(D:D,$D308)&gt;1,countif('VISIT DATA'!$A:$A,$D308)&gt;=1),"YES",countif('VISIT DATA'!$A:$A,$D308)=countif(D:D,$D308),"YES")</f>
        <v>NO</v>
      </c>
      <c r="F308" s="9" t="str">
        <f>ifs($A308=FALSE,"",$A308,VLOOKUP($A308,SCAN!A:D,3,0))</f>
        <v>DA</v>
      </c>
    </row>
    <row r="309">
      <c r="A309" s="16">
        <f>IFERROR(__xludf.DUMMYFUNCTION("""COMPUTED_VALUE"""),44558.598434988424)</f>
        <v>44558.59843</v>
      </c>
      <c r="B309" s="6">
        <f>ifs($A309=FALSE,"",$A309,VLOOKUP($A309,SCAN!A:D,4,0))</f>
        <v>11152</v>
      </c>
      <c r="C309" s="7">
        <f t="shared" si="1"/>
        <v>44558</v>
      </c>
      <c r="D309" s="17" t="str">
        <f t="shared" si="2"/>
        <v>1115244558</v>
      </c>
      <c r="E309" s="9" t="str">
        <f>ifs($D309="","",countif('VISIT DATA'!$A:$A,$D309)=countif(D:D,$D309),"YES",countif('VISIT DATA'!$A:$A,$D309)=0,"NO",and(countif(D:D,$D309)&gt;1,countif('VISIT DATA'!$A:$A,$D309)&gt;=1),"YES",countif('VISIT DATA'!$A:$A,$D309)=countif(D:D,$D309),"YES")</f>
        <v>NO</v>
      </c>
      <c r="F309" s="9" t="str">
        <f>ifs($A309=FALSE,"",$A309,VLOOKUP($A309,SCAN!A:D,3,0))</f>
        <v>DA</v>
      </c>
    </row>
    <row r="310">
      <c r="A310" s="16">
        <f>IFERROR(__xludf.DUMMYFUNCTION("""COMPUTED_VALUE"""),44558.61407408565)</f>
        <v>44558.61407</v>
      </c>
      <c r="B310" s="6">
        <f>ifs($A310=FALSE,"",$A310,VLOOKUP($A310,SCAN!A:D,4,0))</f>
        <v>16294</v>
      </c>
      <c r="C310" s="7">
        <f t="shared" si="1"/>
        <v>44558</v>
      </c>
      <c r="D310" s="17" t="str">
        <f t="shared" si="2"/>
        <v>1629444558</v>
      </c>
      <c r="E310" s="9" t="str">
        <f>ifs($D310="","",countif('VISIT DATA'!$A:$A,$D310)=countif(D:D,$D310),"YES",countif('VISIT DATA'!$A:$A,$D310)=0,"NO",and(countif(D:D,$D310)&gt;1,countif('VISIT DATA'!$A:$A,$D310)&gt;=1),"YES",countif('VISIT DATA'!$A:$A,$D310)=countif(D:D,$D310),"YES")</f>
        <v>NO</v>
      </c>
      <c r="F310" s="9" t="str">
        <f>ifs($A310=FALSE,"",$A310,VLOOKUP($A310,SCAN!A:D,3,0))</f>
        <v>DA</v>
      </c>
    </row>
    <row r="311">
      <c r="A311" s="16">
        <f>IFERROR(__xludf.DUMMYFUNCTION("""COMPUTED_VALUE"""),44558.635147696754)</f>
        <v>44558.63515</v>
      </c>
      <c r="B311" s="6">
        <f>ifs($A311=FALSE,"",$A311,VLOOKUP($A311,SCAN!A:D,4,0))</f>
        <v>17773</v>
      </c>
      <c r="C311" s="7">
        <f t="shared" si="1"/>
        <v>44558</v>
      </c>
      <c r="D311" s="17" t="str">
        <f t="shared" si="2"/>
        <v>1777344558</v>
      </c>
      <c r="E311" s="9" t="str">
        <f>ifs($D311="","",countif('VISIT DATA'!$A:$A,$D311)=countif(D:D,$D311),"YES",countif('VISIT DATA'!$A:$A,$D311)=0,"NO",and(countif(D:D,$D311)&gt;1,countif('VISIT DATA'!$A:$A,$D311)&gt;=1),"YES",countif('VISIT DATA'!$A:$A,$D311)=countif(D:D,$D311),"YES")</f>
        <v>NO</v>
      </c>
      <c r="F311" s="9" t="str">
        <f>ifs($A311=FALSE,"",$A311,VLOOKUP($A311,SCAN!A:D,3,0))</f>
        <v>CH</v>
      </c>
    </row>
    <row r="312">
      <c r="A312" s="16">
        <f>IFERROR(__xludf.DUMMYFUNCTION("""COMPUTED_VALUE"""),44558.635339733795)</f>
        <v>44558.63534</v>
      </c>
      <c r="B312" s="6">
        <f>ifs($A312=FALSE,"",$A312,VLOOKUP($A312,SCAN!A:D,4,0))</f>
        <v>14372</v>
      </c>
      <c r="C312" s="7">
        <f t="shared" si="1"/>
        <v>44558</v>
      </c>
      <c r="D312" s="17"/>
      <c r="E312" s="9"/>
      <c r="F312" s="9" t="str">
        <f>ifs($A312=FALSE,"",$A312,VLOOKUP($A312,SCAN!A:D,3,0))</f>
        <v>LM</v>
      </c>
    </row>
    <row r="313">
      <c r="A313" s="16">
        <f>IFERROR(__xludf.DUMMYFUNCTION("""COMPUTED_VALUE"""),44558.637816284725)</f>
        <v>44558.63782</v>
      </c>
      <c r="B313" s="6">
        <f>ifs($A313=FALSE,"",$A313,VLOOKUP($A313,SCAN!A:D,4,0))</f>
        <v>13956</v>
      </c>
      <c r="C313" s="7">
        <f t="shared" si="1"/>
        <v>44558</v>
      </c>
      <c r="D313" s="17"/>
      <c r="E313" s="9"/>
      <c r="F313" s="9" t="str">
        <f>ifs($A313=FALSE,"",$A313,VLOOKUP($A313,SCAN!A:D,3,0))</f>
        <v>DA</v>
      </c>
    </row>
    <row r="314">
      <c r="A314" s="16">
        <f>IFERROR(__xludf.DUMMYFUNCTION("""COMPUTED_VALUE"""),44558.644613171295)</f>
        <v>44558.64461</v>
      </c>
      <c r="B314" s="6">
        <f>ifs($A314=FALSE,"",$A314,VLOOKUP($A314,SCAN!A:D,4,0))</f>
        <v>17508</v>
      </c>
      <c r="C314" s="7">
        <f t="shared" si="1"/>
        <v>44558</v>
      </c>
      <c r="D314" s="17"/>
      <c r="E314" s="9"/>
      <c r="F314" s="9" t="str">
        <f>ifs($A314=FALSE,"",$A314,VLOOKUP($A314,SCAN!A:D,3,0))</f>
        <v>DA</v>
      </c>
    </row>
    <row r="315">
      <c r="A315" s="16">
        <f>IFERROR(__xludf.DUMMYFUNCTION("""COMPUTED_VALUE"""),44558.66000859954)</f>
        <v>44558.66001</v>
      </c>
      <c r="B315" s="6">
        <f>ifs($A315=FALSE,"",$A315,VLOOKUP($A315,SCAN!A:D,4,0))</f>
        <v>16731</v>
      </c>
      <c r="C315" s="7">
        <f t="shared" si="1"/>
        <v>44558</v>
      </c>
      <c r="D315" s="17"/>
      <c r="E315" s="9"/>
      <c r="F315" s="9" t="str">
        <f>ifs($A315=FALSE,"",$A315,VLOOKUP($A315,SCAN!A:D,3,0))</f>
        <v>DA</v>
      </c>
    </row>
    <row r="316">
      <c r="A316" s="16">
        <f>IFERROR(__xludf.DUMMYFUNCTION("""COMPUTED_VALUE"""),44558.66823957176)</f>
        <v>44558.66824</v>
      </c>
      <c r="B316" s="6">
        <f>ifs($A316=FALSE,"",$A316,VLOOKUP($A316,SCAN!A:D,4,0))</f>
        <v>9421</v>
      </c>
      <c r="C316" s="7">
        <f t="shared" si="1"/>
        <v>44558</v>
      </c>
      <c r="D316" s="17" t="str">
        <f t="shared" ref="D316:D500" si="3">IFS($A316,$B316&amp;$C316,$A316=false,"")</f>
        <v>942144558</v>
      </c>
      <c r="E316" s="9" t="str">
        <f>ifs($D316="","",countif('VISIT DATA'!$A:$A,$D316)=countif(D:D,$D316),"YES",countif('VISIT DATA'!$A:$A,$D316)=0,"NO",and(countif(D:D,$D316)&gt;1,countif('VISIT DATA'!$A:$A,$D316)&gt;=1),"YES",countif('VISIT DATA'!$A:$A,$D316)=countif(D:D,$D316),"YES")</f>
        <v>NO</v>
      </c>
      <c r="F316" s="9" t="str">
        <f>ifs($A316=FALSE,"",$A316,VLOOKUP($A316,SCAN!A:D,3,0))</f>
        <v>CH</v>
      </c>
    </row>
    <row r="317">
      <c r="A317" s="16">
        <f>IFERROR(__xludf.DUMMYFUNCTION("""COMPUTED_VALUE"""),44558.71091771991)</f>
        <v>44558.71092</v>
      </c>
      <c r="B317" s="6">
        <f>ifs($A317=FALSE,"",$A317,VLOOKUP($A317,SCAN!A:D,4,0))</f>
        <v>13348</v>
      </c>
      <c r="C317" s="7">
        <f t="shared" si="1"/>
        <v>44558</v>
      </c>
      <c r="D317" s="17" t="str">
        <f t="shared" si="3"/>
        <v>1334844558</v>
      </c>
      <c r="E317" s="9" t="str">
        <f>ifs($D317="","",countif('VISIT DATA'!$A:$A,$D317)=countif(D:D,$D317),"YES",countif('VISIT DATA'!$A:$A,$D317)=0,"NO",and(countif(D:D,$D317)&gt;1,countif('VISIT DATA'!$A:$A,$D317)&gt;=1),"YES",countif('VISIT DATA'!$A:$A,$D317)=countif(D:D,$D317),"YES")</f>
        <v>NO</v>
      </c>
      <c r="F317" s="9" t="str">
        <f>ifs($A317=FALSE,"",$A317,VLOOKUP($A317,SCAN!A:D,3,0))</f>
        <v>DA</v>
      </c>
    </row>
    <row r="318">
      <c r="A318" s="16">
        <f>IFERROR(__xludf.DUMMYFUNCTION("""COMPUTED_VALUE"""),44559.548066076386)</f>
        <v>44559.54807</v>
      </c>
      <c r="B318" s="6">
        <f>ifs($A318=FALSE,"",$A318,VLOOKUP($A318,SCAN!A:D,4,0))</f>
        <v>17710</v>
      </c>
      <c r="C318" s="7">
        <f t="shared" si="1"/>
        <v>44559</v>
      </c>
      <c r="D318" s="17" t="str">
        <f t="shared" si="3"/>
        <v>1771044559</v>
      </c>
      <c r="E318" s="9" t="str">
        <f>ifs($D318="","",countif('VISIT DATA'!$A:$A,$D318)=countif(D:D,$D318),"YES",countif('VISIT DATA'!$A:$A,$D318)=0,"NO",and(countif(D:D,$D318)&gt;1,countif('VISIT DATA'!$A:$A,$D318)&gt;=1),"YES",countif('VISIT DATA'!$A:$A,$D318)=countif(D:D,$D318),"YES")</f>
        <v>NO</v>
      </c>
      <c r="F318" s="9" t="str">
        <f>ifs($A318=FALSE,"",$A318,VLOOKUP($A318,SCAN!A:D,3,0))</f>
        <v>FA</v>
      </c>
    </row>
    <row r="319">
      <c r="A319" s="16">
        <f>IFERROR(__xludf.DUMMYFUNCTION("""COMPUTED_VALUE"""),44559.56734296297)</f>
        <v>44559.56734</v>
      </c>
      <c r="B319" s="6">
        <f>ifs($A319=FALSE,"",$A319,VLOOKUP($A319,SCAN!A:D,4,0))</f>
        <v>13299</v>
      </c>
      <c r="C319" s="7">
        <f t="shared" si="1"/>
        <v>44559</v>
      </c>
      <c r="D319" s="17" t="str">
        <f t="shared" si="3"/>
        <v>1329944559</v>
      </c>
      <c r="E319" s="9" t="str">
        <f>ifs($D319="","",countif('VISIT DATA'!$A:$A,$D319)=countif(D:D,$D319),"YES",countif('VISIT DATA'!$A:$A,$D319)=0,"NO",and(countif(D:D,$D319)&gt;1,countif('VISIT DATA'!$A:$A,$D319)&gt;=1),"YES",countif('VISIT DATA'!$A:$A,$D319)=countif(D:D,$D319),"YES")</f>
        <v>NO</v>
      </c>
      <c r="F319" s="9" t="str">
        <f>ifs($A319=FALSE,"",$A319,VLOOKUP($A319,SCAN!A:D,3,0))</f>
        <v>DA</v>
      </c>
    </row>
    <row r="320">
      <c r="A320" s="16">
        <f>IFERROR(__xludf.DUMMYFUNCTION("""COMPUTED_VALUE"""),44559.5721630787)</f>
        <v>44559.57216</v>
      </c>
      <c r="B320" s="6">
        <f>ifs($A320=FALSE,"",$A320,VLOOKUP($A320,SCAN!A:D,4,0))</f>
        <v>15657</v>
      </c>
      <c r="C320" s="7">
        <f t="shared" si="1"/>
        <v>44559</v>
      </c>
      <c r="D320" s="17" t="str">
        <f t="shared" si="3"/>
        <v>1565744559</v>
      </c>
      <c r="E320" s="9" t="str">
        <f>ifs($D320="","",countif('VISIT DATA'!$A:$A,$D320)=countif(D:D,$D320),"YES",countif('VISIT DATA'!$A:$A,$D320)=0,"NO",and(countif(D:D,$D320)&gt;1,countif('VISIT DATA'!$A:$A,$D320)&gt;=1),"YES",countif('VISIT DATA'!$A:$A,$D320)=countif(D:D,$D320),"YES")</f>
        <v>NO</v>
      </c>
      <c r="F320" s="9" t="str">
        <f>ifs($A320=FALSE,"",$A320,VLOOKUP($A320,SCAN!A:D,3,0))</f>
        <v>DA</v>
      </c>
    </row>
    <row r="321">
      <c r="A321" s="16">
        <f>IFERROR(__xludf.DUMMYFUNCTION("""COMPUTED_VALUE"""),44559.59795945602)</f>
        <v>44559.59796</v>
      </c>
      <c r="B321" s="6">
        <f>ifs($A321=FALSE,"",$A321,VLOOKUP($A321,SCAN!A:D,4,0))</f>
        <v>11433</v>
      </c>
      <c r="C321" s="7">
        <f t="shared" si="1"/>
        <v>44559</v>
      </c>
      <c r="D321" s="17" t="str">
        <f t="shared" si="3"/>
        <v>1143344559</v>
      </c>
      <c r="E321" s="9" t="str">
        <f>ifs($D321="","",countif('VISIT DATA'!$A:$A,$D321)=countif(D:D,$D321),"YES",countif('VISIT DATA'!$A:$A,$D321)=0,"NO",and(countif(D:D,$D321)&gt;1,countif('VISIT DATA'!$A:$A,$D321)&gt;=1),"YES",countif('VISIT DATA'!$A:$A,$D321)=countif(D:D,$D321),"YES")</f>
        <v>NO</v>
      </c>
      <c r="F321" s="9" t="str">
        <f>ifs($A321=FALSE,"",$A321,VLOOKUP($A321,SCAN!A:D,3,0))</f>
        <v>DA</v>
      </c>
    </row>
    <row r="322">
      <c r="A322" s="16">
        <f>IFERROR(__xludf.DUMMYFUNCTION("""COMPUTED_VALUE"""),44559.63094328703)</f>
        <v>44559.63094</v>
      </c>
      <c r="B322" s="6">
        <f>ifs($A322=FALSE,"",$A322,VLOOKUP($A322,SCAN!A:D,4,0))</f>
        <v>15579</v>
      </c>
      <c r="C322" s="7">
        <f t="shared" si="1"/>
        <v>44559</v>
      </c>
      <c r="D322" s="17" t="str">
        <f t="shared" si="3"/>
        <v>1557944559</v>
      </c>
      <c r="E322" s="9" t="str">
        <f>ifs($D322="","",countif('VISIT DATA'!$A:$A,$D322)=countif(D:D,$D322),"YES",countif('VISIT DATA'!$A:$A,$D322)=0,"NO",and(countif(D:D,$D322)&gt;1,countif('VISIT DATA'!$A:$A,$D322)&gt;=1),"YES",countif('VISIT DATA'!$A:$A,$D322)=countif(D:D,$D322),"YES")</f>
        <v>NO</v>
      </c>
      <c r="F322" s="9" t="str">
        <f>ifs($A322=FALSE,"",$A322,VLOOKUP($A322,SCAN!A:D,3,0))</f>
        <v>DA</v>
      </c>
    </row>
    <row r="323">
      <c r="A323" s="16">
        <f>IFERROR(__xludf.DUMMYFUNCTION("""COMPUTED_VALUE"""),44559.639426863425)</f>
        <v>44559.63943</v>
      </c>
      <c r="B323" s="6">
        <f>ifs($A323=FALSE,"",$A323,VLOOKUP($A323,SCAN!A:D,4,0))</f>
        <v>17710</v>
      </c>
      <c r="C323" s="7">
        <f t="shared" si="1"/>
        <v>44559</v>
      </c>
      <c r="D323" s="17" t="str">
        <f t="shared" si="3"/>
        <v>1771044559</v>
      </c>
      <c r="E323" s="9" t="str">
        <f>ifs($D323="","",countif('VISIT DATA'!$A:$A,$D323)=countif(D:D,$D323),"YES",countif('VISIT DATA'!$A:$A,$D323)=0,"NO",and(countif(D:D,$D323)&gt;1,countif('VISIT DATA'!$A:$A,$D323)&gt;=1),"YES",countif('VISIT DATA'!$A:$A,$D323)=countif(D:D,$D323),"YES")</f>
        <v>NO</v>
      </c>
      <c r="F323" s="9" t="str">
        <f>ifs($A323=FALSE,"",$A323,VLOOKUP($A323,SCAN!A:D,3,0))</f>
        <v>DA</v>
      </c>
    </row>
    <row r="324">
      <c r="A324" s="16">
        <f>IFERROR(__xludf.DUMMYFUNCTION("""COMPUTED_VALUE"""),44559.63970482639)</f>
        <v>44559.6397</v>
      </c>
      <c r="B324" s="6">
        <f>ifs($A324=FALSE,"",$A324,VLOOKUP($A324,SCAN!A:D,4,0))</f>
        <v>15668</v>
      </c>
      <c r="C324" s="7">
        <f t="shared" si="1"/>
        <v>44559</v>
      </c>
      <c r="D324" s="17" t="str">
        <f t="shared" si="3"/>
        <v>1566844559</v>
      </c>
      <c r="E324" s="9" t="str">
        <f>ifs($D324="","",countif('VISIT DATA'!$A:$A,$D324)=countif(D:D,$D324),"YES",countif('VISIT DATA'!$A:$A,$D324)=0,"NO",and(countif(D:D,$D324)&gt;1,countif('VISIT DATA'!$A:$A,$D324)&gt;=1),"YES",countif('VISIT DATA'!$A:$A,$D324)=countif(D:D,$D324),"YES")</f>
        <v>NO</v>
      </c>
      <c r="F324" s="9" t="str">
        <f>ifs($A324=FALSE,"",$A324,VLOOKUP($A324,SCAN!A:D,3,0))</f>
        <v>DA</v>
      </c>
    </row>
    <row r="325">
      <c r="A325" s="16">
        <f>IFERROR(__xludf.DUMMYFUNCTION("""COMPUTED_VALUE"""),44559.63991391203)</f>
        <v>44559.63991</v>
      </c>
      <c r="B325" s="6">
        <f>ifs($A325=FALSE,"",$A325,VLOOKUP($A325,SCAN!A:D,4,0))</f>
        <v>13853</v>
      </c>
      <c r="C325" s="7">
        <f t="shared" si="1"/>
        <v>44559</v>
      </c>
      <c r="D325" s="17" t="str">
        <f t="shared" si="3"/>
        <v>1385344559</v>
      </c>
      <c r="E325" s="9" t="str">
        <f>ifs($D325="","",countif('VISIT DATA'!$A:$A,$D325)=countif(D:D,$D325),"YES",countif('VISIT DATA'!$A:$A,$D325)=0,"NO",and(countif(D:D,$D325)&gt;1,countif('VISIT DATA'!$A:$A,$D325)&gt;=1),"YES",countif('VISIT DATA'!$A:$A,$D325)=countif(D:D,$D325),"YES")</f>
        <v>NO</v>
      </c>
      <c r="F325" s="9" t="str">
        <f>ifs($A325=FALSE,"",$A325,VLOOKUP($A325,SCAN!A:D,3,0))</f>
        <v>DA</v>
      </c>
    </row>
    <row r="326">
      <c r="A326" s="16">
        <f>IFERROR(__xludf.DUMMYFUNCTION("""COMPUTED_VALUE"""),44559.64507489583)</f>
        <v>44559.64507</v>
      </c>
      <c r="B326" s="6">
        <f>ifs($A326=FALSE,"",$A326,VLOOKUP($A326,SCAN!A:D,4,0))</f>
        <v>11004</v>
      </c>
      <c r="C326" s="7">
        <f t="shared" si="1"/>
        <v>44559</v>
      </c>
      <c r="D326" s="17" t="str">
        <f t="shared" si="3"/>
        <v>1100444559</v>
      </c>
      <c r="E326" s="9" t="str">
        <f>ifs($D326="","",countif('VISIT DATA'!$A:$A,$D326)=countif(D:D,$D326),"YES",countif('VISIT DATA'!$A:$A,$D326)=0,"NO",and(countif(D:D,$D326)&gt;1,countif('VISIT DATA'!$A:$A,$D326)&gt;=1),"YES",countif('VISIT DATA'!$A:$A,$D326)=countif(D:D,$D326),"YES")</f>
        <v>NO</v>
      </c>
      <c r="F326" s="9" t="str">
        <f>ifs($A326=FALSE,"",$A326,VLOOKUP($A326,SCAN!A:D,3,0))</f>
        <v>DA</v>
      </c>
    </row>
    <row r="327">
      <c r="A327" s="16">
        <f>IFERROR(__xludf.DUMMYFUNCTION("""COMPUTED_VALUE"""),44559.646294502316)</f>
        <v>44559.64629</v>
      </c>
      <c r="B327" s="6">
        <f>ifs($A327=FALSE,"",$A327,VLOOKUP($A327,SCAN!A:D,4,0))</f>
        <v>10718</v>
      </c>
      <c r="C327" s="7">
        <f t="shared" si="1"/>
        <v>44559</v>
      </c>
      <c r="D327" s="17" t="str">
        <f t="shared" si="3"/>
        <v>1071844559</v>
      </c>
      <c r="E327" s="9" t="str">
        <f>ifs($D327="","",countif('VISIT DATA'!$A:$A,$D327)=countif(D:D,$D327),"YES",countif('VISIT DATA'!$A:$A,$D327)=0,"NO",and(countif(D:D,$D327)&gt;1,countif('VISIT DATA'!$A:$A,$D327)&gt;=1),"YES",countif('VISIT DATA'!$A:$A,$D327)=countif(D:D,$D327),"YES")</f>
        <v>NO</v>
      </c>
      <c r="F327" s="9" t="str">
        <f>ifs($A327=FALSE,"",$A327,VLOOKUP($A327,SCAN!A:D,3,0))</f>
        <v>DA</v>
      </c>
    </row>
    <row r="328">
      <c r="A328" s="16">
        <f>IFERROR(__xludf.DUMMYFUNCTION("""COMPUTED_VALUE"""),44559.646409953704)</f>
        <v>44559.64641</v>
      </c>
      <c r="B328" s="6">
        <f>ifs($A328=FALSE,"",$A328,VLOOKUP($A328,SCAN!A:D,4,0))</f>
        <v>12790</v>
      </c>
      <c r="C328" s="7">
        <f t="shared" si="1"/>
        <v>44559</v>
      </c>
      <c r="D328" s="17" t="str">
        <f t="shared" si="3"/>
        <v>1279044559</v>
      </c>
      <c r="E328" s="9" t="str">
        <f>ifs($D328="","",countif('VISIT DATA'!$A:$A,$D328)=countif(D:D,$D328),"YES",countif('VISIT DATA'!$A:$A,$D328)=0,"NO",and(countif(D:D,$D328)&gt;1,countif('VISIT DATA'!$A:$A,$D328)&gt;=1),"YES",countif('VISIT DATA'!$A:$A,$D328)=countif(D:D,$D328),"YES")</f>
        <v>NO</v>
      </c>
      <c r="F328" s="9" t="str">
        <f>ifs($A328=FALSE,"",$A328,VLOOKUP($A328,SCAN!A:D,3,0))</f>
        <v>DA</v>
      </c>
    </row>
    <row r="329">
      <c r="A329" s="16">
        <f>IFERROR(__xludf.DUMMYFUNCTION("""COMPUTED_VALUE"""),44559.64778375)</f>
        <v>44559.64778</v>
      </c>
      <c r="B329" s="6">
        <f>ifs($A329=FALSE,"",$A329,VLOOKUP($A329,SCAN!A:D,4,0))</f>
        <v>15291</v>
      </c>
      <c r="C329" s="7">
        <f t="shared" si="1"/>
        <v>44559</v>
      </c>
      <c r="D329" s="17" t="str">
        <f t="shared" si="3"/>
        <v>1529144559</v>
      </c>
      <c r="E329" s="9" t="str">
        <f>ifs($D329="","",countif('VISIT DATA'!$A:$A,$D329)=countif(D:D,$D329),"YES",countif('VISIT DATA'!$A:$A,$D329)=0,"NO",and(countif(D:D,$D329)&gt;1,countif('VISIT DATA'!$A:$A,$D329)&gt;=1),"YES",countif('VISIT DATA'!$A:$A,$D329)=countif(D:D,$D329),"YES")</f>
        <v>NO</v>
      </c>
      <c r="F329" s="9" t="str">
        <f>ifs($A329=FALSE,"",$A329,VLOOKUP($A329,SCAN!A:D,3,0))</f>
        <v>DA</v>
      </c>
    </row>
    <row r="330">
      <c r="A330" s="16">
        <f>IFERROR(__xludf.DUMMYFUNCTION("""COMPUTED_VALUE"""),44559.64792135417)</f>
        <v>44559.64792</v>
      </c>
      <c r="B330" s="6">
        <f>ifs($A330=FALSE,"",$A330,VLOOKUP($A330,SCAN!A:D,4,0))</f>
        <v>11795</v>
      </c>
      <c r="C330" s="7">
        <f t="shared" si="1"/>
        <v>44559</v>
      </c>
      <c r="D330" s="17" t="str">
        <f t="shared" si="3"/>
        <v>1179544559</v>
      </c>
      <c r="E330" s="9" t="str">
        <f>ifs($D330="","",countif('VISIT DATA'!$A:$A,$D330)=countif(D:D,$D330),"YES",countif('VISIT DATA'!$A:$A,$D330)=0,"NO",and(countif(D:D,$D330)&gt;1,countif('VISIT DATA'!$A:$A,$D330)&gt;=1),"YES",countif('VISIT DATA'!$A:$A,$D330)=countif(D:D,$D330),"YES")</f>
        <v>NO</v>
      </c>
      <c r="F330" s="9" t="str">
        <f>ifs($A330=FALSE,"",$A330,VLOOKUP($A330,SCAN!A:D,3,0))</f>
        <v>DA</v>
      </c>
    </row>
    <row r="331">
      <c r="A331" s="16">
        <f>IFERROR(__xludf.DUMMYFUNCTION("""COMPUTED_VALUE"""),44559.648025347225)</f>
        <v>44559.64803</v>
      </c>
      <c r="B331" s="6">
        <f>ifs($A331=FALSE,"",$A331,VLOOKUP($A331,SCAN!A:D,4,0))</f>
        <v>13656</v>
      </c>
      <c r="C331" s="7">
        <f t="shared" si="1"/>
        <v>44559</v>
      </c>
      <c r="D331" s="17" t="str">
        <f t="shared" si="3"/>
        <v>1365644559</v>
      </c>
      <c r="E331" s="9" t="str">
        <f>ifs($D331="","",countif('VISIT DATA'!$A:$A,$D331)=countif(D:D,$D331),"YES",countif('VISIT DATA'!$A:$A,$D331)=0,"NO",and(countif(D:D,$D331)&gt;1,countif('VISIT DATA'!$A:$A,$D331)&gt;=1),"YES",countif('VISIT DATA'!$A:$A,$D331)=countif(D:D,$D331),"YES")</f>
        <v>NO</v>
      </c>
      <c r="F331" s="9" t="str">
        <f>ifs($A331=FALSE,"",$A331,VLOOKUP($A331,SCAN!A:D,3,0))</f>
        <v>DA</v>
      </c>
    </row>
    <row r="332">
      <c r="A332" s="16">
        <f>IFERROR(__xludf.DUMMYFUNCTION("""COMPUTED_VALUE"""),44559.64813027778)</f>
        <v>44559.64813</v>
      </c>
      <c r="B332" s="6">
        <f>ifs($A332=FALSE,"",$A332,VLOOKUP($A332,SCAN!A:D,4,0))</f>
        <v>14010</v>
      </c>
      <c r="C332" s="7">
        <f t="shared" si="1"/>
        <v>44559</v>
      </c>
      <c r="D332" s="17" t="str">
        <f t="shared" si="3"/>
        <v>1401044559</v>
      </c>
      <c r="E332" s="9" t="str">
        <f>ifs($D332="","",countif('VISIT DATA'!$A:$A,$D332)=countif(D:D,$D332),"YES",countif('VISIT DATA'!$A:$A,$D332)=0,"NO",and(countif(D:D,$D332)&gt;1,countif('VISIT DATA'!$A:$A,$D332)&gt;=1),"YES",countif('VISIT DATA'!$A:$A,$D332)=countif(D:D,$D332),"YES")</f>
        <v>NO</v>
      </c>
      <c r="F332" s="9" t="str">
        <f>ifs($A332=FALSE,"",$A332,VLOOKUP($A332,SCAN!A:D,3,0))</f>
        <v>DA</v>
      </c>
    </row>
    <row r="333">
      <c r="A333" s="16">
        <f>IFERROR(__xludf.DUMMYFUNCTION("""COMPUTED_VALUE"""),44559.648947685186)</f>
        <v>44559.64895</v>
      </c>
      <c r="B333" s="6">
        <f>ifs($A333=FALSE,"",$A333,VLOOKUP($A333,SCAN!A:D,4,0))</f>
        <v>15787</v>
      </c>
      <c r="C333" s="7">
        <f t="shared" si="1"/>
        <v>44559</v>
      </c>
      <c r="D333" s="17" t="str">
        <f t="shared" si="3"/>
        <v>1578744559</v>
      </c>
      <c r="E333" s="9" t="str">
        <f>ifs($D333="","",countif('VISIT DATA'!$A:$A,$D333)=countif(D:D,$D333),"YES",countif('VISIT DATA'!$A:$A,$D333)=0,"NO",and(countif(D:D,$D333)&gt;1,countif('VISIT DATA'!$A:$A,$D333)&gt;=1),"YES",countif('VISIT DATA'!$A:$A,$D333)=countif(D:D,$D333),"YES")</f>
        <v>NO</v>
      </c>
      <c r="F333" s="9" t="str">
        <f>ifs($A333=FALSE,"",$A333,VLOOKUP($A333,SCAN!A:D,3,0))</f>
        <v>DA</v>
      </c>
    </row>
    <row r="334">
      <c r="A334" s="16">
        <f>IFERROR(__xludf.DUMMYFUNCTION("""COMPUTED_VALUE"""),44559.65022275463)</f>
        <v>44559.65022</v>
      </c>
      <c r="B334" s="6">
        <f>ifs($A334=FALSE,"",$A334,VLOOKUP($A334,SCAN!A:D,4,0))</f>
        <v>16247</v>
      </c>
      <c r="C334" s="7">
        <f t="shared" si="1"/>
        <v>44559</v>
      </c>
      <c r="D334" s="17" t="str">
        <f t="shared" si="3"/>
        <v>1624744559</v>
      </c>
      <c r="E334" s="9" t="str">
        <f>ifs($D334="","",countif('VISIT DATA'!$A:$A,$D334)=countif(D:D,$D334),"YES",countif('VISIT DATA'!$A:$A,$D334)=0,"NO",and(countif(D:D,$D334)&gt;1,countif('VISIT DATA'!$A:$A,$D334)&gt;=1),"YES",countif('VISIT DATA'!$A:$A,$D334)=countif(D:D,$D334),"YES")</f>
        <v>NO</v>
      </c>
      <c r="F334" s="9" t="str">
        <f>ifs($A334=FALSE,"",$A334,VLOOKUP($A334,SCAN!A:D,3,0))</f>
        <v>DA</v>
      </c>
    </row>
    <row r="335">
      <c r="A335" s="16">
        <f>IFERROR(__xludf.DUMMYFUNCTION("""COMPUTED_VALUE"""),44559.6503612963)</f>
        <v>44559.65036</v>
      </c>
      <c r="B335" s="6">
        <f>ifs($A335=FALSE,"",$A335,VLOOKUP($A335,SCAN!A:D,4,0))</f>
        <v>15786</v>
      </c>
      <c r="C335" s="7">
        <f t="shared" si="1"/>
        <v>44559</v>
      </c>
      <c r="D335" s="17" t="str">
        <f t="shared" si="3"/>
        <v>1578644559</v>
      </c>
      <c r="E335" s="9" t="str">
        <f>ifs($D335="","",countif('VISIT DATA'!$A:$A,$D335)=countif(D:D,$D335),"YES",countif('VISIT DATA'!$A:$A,$D335)=0,"NO",and(countif(D:D,$D335)&gt;1,countif('VISIT DATA'!$A:$A,$D335)&gt;=1),"YES",countif('VISIT DATA'!$A:$A,$D335)=countif(D:D,$D335),"YES")</f>
        <v>NO</v>
      </c>
      <c r="F335" s="9" t="str">
        <f>ifs($A335=FALSE,"",$A335,VLOOKUP($A335,SCAN!A:D,3,0))</f>
        <v>DA</v>
      </c>
    </row>
    <row r="336">
      <c r="A336" s="16">
        <f>IFERROR(__xludf.DUMMYFUNCTION("""COMPUTED_VALUE"""),44559.65057615741)</f>
        <v>44559.65058</v>
      </c>
      <c r="B336" s="6">
        <f>ifs($A336=FALSE,"",$A336,VLOOKUP($A336,SCAN!A:D,4,0))</f>
        <v>14663</v>
      </c>
      <c r="C336" s="7">
        <f t="shared" si="1"/>
        <v>44559</v>
      </c>
      <c r="D336" s="17" t="str">
        <f t="shared" si="3"/>
        <v>1466344559</v>
      </c>
      <c r="E336" s="9" t="str">
        <f>ifs($D336="","",countif('VISIT DATA'!$A:$A,$D336)=countif(D:D,$D336),"YES",countif('VISIT DATA'!$A:$A,$D336)=0,"NO",and(countif(D:D,$D336)&gt;1,countif('VISIT DATA'!$A:$A,$D336)&gt;=1),"YES",countif('VISIT DATA'!$A:$A,$D336)=countif(D:D,$D336),"YES")</f>
        <v>NO</v>
      </c>
      <c r="F336" s="9" t="str">
        <f>ifs($A336=FALSE,"",$A336,VLOOKUP($A336,SCAN!A:D,3,0))</f>
        <v>DA</v>
      </c>
    </row>
    <row r="337">
      <c r="A337" s="16">
        <f>IFERROR(__xludf.DUMMYFUNCTION("""COMPUTED_VALUE"""),44559.65777476852)</f>
        <v>44559.65777</v>
      </c>
      <c r="B337" s="6">
        <f>ifs($A337=FALSE,"",$A337,VLOOKUP($A337,SCAN!A:D,4,0))</f>
        <v>12592</v>
      </c>
      <c r="C337" s="7">
        <f t="shared" si="1"/>
        <v>44559</v>
      </c>
      <c r="D337" s="17" t="str">
        <f t="shared" si="3"/>
        <v>1259244559</v>
      </c>
      <c r="E337" s="9" t="str">
        <f>ifs($D337="","",countif('VISIT DATA'!$A:$A,$D337)=countif(D:D,$D337),"YES",countif('VISIT DATA'!$A:$A,$D337)=0,"NO",and(countif(D:D,$D337)&gt;1,countif('VISIT DATA'!$A:$A,$D337)&gt;=1),"YES",countif('VISIT DATA'!$A:$A,$D337)=countif(D:D,$D337),"YES")</f>
        <v>NO</v>
      </c>
      <c r="F337" s="9" t="str">
        <f>ifs($A337=FALSE,"",$A337,VLOOKUP($A337,SCAN!A:D,3,0))</f>
        <v>CH</v>
      </c>
    </row>
    <row r="338">
      <c r="A338" s="16">
        <f>IFERROR(__xludf.DUMMYFUNCTION("""COMPUTED_VALUE"""),44559.657928182874)</f>
        <v>44559.65793</v>
      </c>
      <c r="B338" s="6">
        <f>ifs($A338=FALSE,"",$A338,VLOOKUP($A338,SCAN!A:D,4,0))</f>
        <v>10158</v>
      </c>
      <c r="C338" s="7">
        <f t="shared" si="1"/>
        <v>44559</v>
      </c>
      <c r="D338" s="17" t="str">
        <f t="shared" si="3"/>
        <v>1015844559</v>
      </c>
      <c r="E338" s="9" t="str">
        <f>ifs($D338="","",countif('VISIT DATA'!$A:$A,$D338)=countif(D:D,$D338),"YES",countif('VISIT DATA'!$A:$A,$D338)=0,"NO",and(countif(D:D,$D338)&gt;1,countif('VISIT DATA'!$A:$A,$D338)&gt;=1),"YES",countif('VISIT DATA'!$A:$A,$D338)=countif(D:D,$D338),"YES")</f>
        <v>NO</v>
      </c>
      <c r="F338" s="9" t="str">
        <f>ifs($A338=FALSE,"",$A338,VLOOKUP($A338,SCAN!A:D,3,0))</f>
        <v>CH</v>
      </c>
    </row>
    <row r="339">
      <c r="A339" s="16">
        <f>IFERROR(__xludf.DUMMYFUNCTION("""COMPUTED_VALUE"""),44559.66732854166)</f>
        <v>44559.66733</v>
      </c>
      <c r="B339" s="6">
        <f>ifs($A339=FALSE,"",$A339,VLOOKUP($A339,SCAN!A:D,4,0))</f>
        <v>12083</v>
      </c>
      <c r="C339" s="7">
        <f t="shared" si="1"/>
        <v>44559</v>
      </c>
      <c r="D339" s="17" t="str">
        <f t="shared" si="3"/>
        <v>1208344559</v>
      </c>
      <c r="E339" s="9" t="str">
        <f>ifs($D339="","",countif('VISIT DATA'!$A:$A,$D339)=countif(D:D,$D339),"YES",countif('VISIT DATA'!$A:$A,$D339)=0,"NO",and(countif(D:D,$D339)&gt;1,countif('VISIT DATA'!$A:$A,$D339)&gt;=1),"YES",countif('VISIT DATA'!$A:$A,$D339)=countif(D:D,$D339),"YES")</f>
        <v>NO</v>
      </c>
      <c r="F339" s="9" t="str">
        <f>ifs($A339=FALSE,"",$A339,VLOOKUP($A339,SCAN!A:D,3,0))</f>
        <v>DA</v>
      </c>
    </row>
    <row r="340">
      <c r="A340" s="16">
        <f>IFERROR(__xludf.DUMMYFUNCTION("""COMPUTED_VALUE"""),44559.66742556713)</f>
        <v>44559.66743</v>
      </c>
      <c r="B340" s="6">
        <f>ifs($A340=FALSE,"",$A340,VLOOKUP($A340,SCAN!A:D,4,0))</f>
        <v>13606</v>
      </c>
      <c r="C340" s="7">
        <f t="shared" si="1"/>
        <v>44559</v>
      </c>
      <c r="D340" s="17" t="str">
        <f t="shared" si="3"/>
        <v>1360644559</v>
      </c>
      <c r="E340" s="9" t="str">
        <f>ifs($D340="","",countif('VISIT DATA'!$A:$A,$D340)=countif(D:D,$D340),"YES",countif('VISIT DATA'!$A:$A,$D340)=0,"NO",and(countif(D:D,$D340)&gt;1,countif('VISIT DATA'!$A:$A,$D340)&gt;=1),"YES",countif('VISIT DATA'!$A:$A,$D340)=countif(D:D,$D340),"YES")</f>
        <v>NO</v>
      </c>
      <c r="F340" s="9" t="str">
        <f>ifs($A340=FALSE,"",$A340,VLOOKUP($A340,SCAN!A:D,3,0))</f>
        <v>DA</v>
      </c>
    </row>
    <row r="341">
      <c r="A341" s="16">
        <f>IFERROR(__xludf.DUMMYFUNCTION("""COMPUTED_VALUE"""),44559.68625747685)</f>
        <v>44559.68626</v>
      </c>
      <c r="B341" s="6">
        <f>ifs($A341=FALSE,"",$A341,VLOOKUP($A341,SCAN!A:D,4,0))</f>
        <v>9269</v>
      </c>
      <c r="C341" s="7">
        <f t="shared" si="1"/>
        <v>44559</v>
      </c>
      <c r="D341" s="17" t="str">
        <f t="shared" si="3"/>
        <v>926944559</v>
      </c>
      <c r="E341" s="9" t="str">
        <f>ifs($D341="","",countif('VISIT DATA'!$A:$A,$D341)=countif(D:D,$D341),"YES",countif('VISIT DATA'!$A:$A,$D341)=0,"NO",and(countif(D:D,$D341)&gt;1,countif('VISIT DATA'!$A:$A,$D341)&gt;=1),"YES",countif('VISIT DATA'!$A:$A,$D341)=countif(D:D,$D341),"YES")</f>
        <v>NO</v>
      </c>
      <c r="F341" s="9" t="str">
        <f>ifs($A341=FALSE,"",$A341,VLOOKUP($A341,SCAN!A:D,3,0))</f>
        <v>CH</v>
      </c>
    </row>
    <row r="342">
      <c r="A342" s="16">
        <f>IFERROR(__xludf.DUMMYFUNCTION("""COMPUTED_VALUE"""),44564.57714001158)</f>
        <v>44564.57714</v>
      </c>
      <c r="B342" s="6">
        <f>ifs($A342=FALSE,"",$A342,VLOOKUP($A342,SCAN!A:D,4,0))</f>
        <v>17678</v>
      </c>
      <c r="C342" s="7">
        <f t="shared" si="1"/>
        <v>44564</v>
      </c>
      <c r="D342" s="17" t="str">
        <f t="shared" si="3"/>
        <v>1767844564</v>
      </c>
      <c r="E342" s="9" t="str">
        <f>ifs($D342="","",countif('VISIT DATA'!$A:$A,$D342)=countif(D:D,$D342),"YES",countif('VISIT DATA'!$A:$A,$D342)=0,"NO",and(countif(D:D,$D342)&gt;1,countif('VISIT DATA'!$A:$A,$D342)&gt;=1),"YES",countif('VISIT DATA'!$A:$A,$D342)=countif(D:D,$D342),"YES")</f>
        <v>YES</v>
      </c>
      <c r="F342" s="9" t="str">
        <f>ifs($A342=FALSE,"",$A342,VLOOKUP($A342,SCAN!A:D,3,0))</f>
        <v>CH</v>
      </c>
    </row>
    <row r="343">
      <c r="A343" s="16">
        <f>IFERROR(__xludf.DUMMYFUNCTION("""COMPUTED_VALUE"""),44564.577284722225)</f>
        <v>44564.57728</v>
      </c>
      <c r="B343" s="6">
        <f>ifs($A343=FALSE,"",$A343,VLOOKUP($A343,SCAN!A:D,4,0))</f>
        <v>17812</v>
      </c>
      <c r="C343" s="7">
        <f t="shared" si="1"/>
        <v>44564</v>
      </c>
      <c r="D343" s="17" t="str">
        <f t="shared" si="3"/>
        <v>1781244564</v>
      </c>
      <c r="E343" s="9" t="str">
        <f>ifs($D343="","",countif('VISIT DATA'!$A:$A,$D343)=countif(D:D,$D343),"YES",countif('VISIT DATA'!$A:$A,$D343)=0,"NO",and(countif(D:D,$D343)&gt;1,countif('VISIT DATA'!$A:$A,$D343)&gt;=1),"YES",countif('VISIT DATA'!$A:$A,$D343)=countif(D:D,$D343),"YES")</f>
        <v>YES</v>
      </c>
      <c r="F343" s="9" t="str">
        <f>ifs($A343=FALSE,"",$A343,VLOOKUP($A343,SCAN!A:D,3,0))</f>
        <v>CH</v>
      </c>
    </row>
    <row r="344">
      <c r="A344" s="16">
        <f>IFERROR(__xludf.DUMMYFUNCTION("""COMPUTED_VALUE"""),44564.577405648146)</f>
        <v>44564.57741</v>
      </c>
      <c r="B344" s="6">
        <f>ifs($A344=FALSE,"",$A344,VLOOKUP($A344,SCAN!A:D,4,0))</f>
        <v>17814</v>
      </c>
      <c r="C344" s="7">
        <f t="shared" si="1"/>
        <v>44564</v>
      </c>
      <c r="D344" s="17" t="str">
        <f t="shared" si="3"/>
        <v>1781444564</v>
      </c>
      <c r="E344" s="9" t="str">
        <f>ifs($D344="","",countif('VISIT DATA'!$A:$A,$D344)=countif(D:D,$D344),"YES",countif('VISIT DATA'!$A:$A,$D344)=0,"NO",and(countif(D:D,$D344)&gt;1,countif('VISIT DATA'!$A:$A,$D344)&gt;=1),"YES",countif('VISIT DATA'!$A:$A,$D344)=countif(D:D,$D344),"YES")</f>
        <v>YES</v>
      </c>
      <c r="F344" s="9" t="str">
        <f>ifs($A344=FALSE,"",$A344,VLOOKUP($A344,SCAN!A:D,3,0))</f>
        <v>CH</v>
      </c>
    </row>
    <row r="345">
      <c r="A345" s="16">
        <f>IFERROR(__xludf.DUMMYFUNCTION("""COMPUTED_VALUE"""),44564.59102920139)</f>
        <v>44564.59103</v>
      </c>
      <c r="B345" s="6">
        <f>ifs($A345=FALSE,"",$A345,VLOOKUP($A345,SCAN!A:D,4,0))</f>
        <v>14125</v>
      </c>
      <c r="C345" s="7">
        <f t="shared" si="1"/>
        <v>44564</v>
      </c>
      <c r="D345" s="17" t="str">
        <f t="shared" si="3"/>
        <v>1412544564</v>
      </c>
      <c r="E345" s="9" t="str">
        <f>ifs($D345="","",countif('VISIT DATA'!$A:$A,$D345)=countif(D:D,$D345),"YES",countif('VISIT DATA'!$A:$A,$D345)=0,"NO",and(countif(D:D,$D345)&gt;1,countif('VISIT DATA'!$A:$A,$D345)&gt;=1),"YES",countif('VISIT DATA'!$A:$A,$D345)=countif(D:D,$D345),"YES")</f>
        <v>YES</v>
      </c>
      <c r="F345" s="9" t="str">
        <f>ifs($A345=FALSE,"",$A345,VLOOKUP($A345,SCAN!A:D,3,0))</f>
        <v>CH</v>
      </c>
    </row>
    <row r="346">
      <c r="A346" s="16">
        <f>IFERROR(__xludf.DUMMYFUNCTION("""COMPUTED_VALUE"""),44564.59526311343)</f>
        <v>44564.59526</v>
      </c>
      <c r="B346" s="6">
        <f>ifs($A346=FALSE,"",$A346,VLOOKUP($A346,SCAN!A:D,4,0))</f>
        <v>15670</v>
      </c>
      <c r="C346" s="7">
        <f t="shared" si="1"/>
        <v>44564</v>
      </c>
      <c r="D346" s="17" t="str">
        <f t="shared" si="3"/>
        <v>1567044564</v>
      </c>
      <c r="E346" s="9" t="str">
        <f>ifs($D346="","",countif('VISIT DATA'!$A:$A,$D346)=countif(D:D,$D346),"YES",countif('VISIT DATA'!$A:$A,$D346)=0,"NO",and(countif(D:D,$D346)&gt;1,countif('VISIT DATA'!$A:$A,$D346)&gt;=1),"YES",countif('VISIT DATA'!$A:$A,$D346)=countif(D:D,$D346),"YES")</f>
        <v>YES</v>
      </c>
      <c r="F346" s="9" t="str">
        <f>ifs($A346=FALSE,"",$A346,VLOOKUP($A346,SCAN!A:D,3,0))</f>
        <v>CH</v>
      </c>
    </row>
    <row r="347">
      <c r="A347" s="16">
        <f>IFERROR(__xludf.DUMMYFUNCTION("""COMPUTED_VALUE"""),44564.67561868056)</f>
        <v>44564.67562</v>
      </c>
      <c r="B347" s="6">
        <f>ifs($A347=FALSE,"",$A347,VLOOKUP($A347,SCAN!A:D,4,0))</f>
        <v>9592</v>
      </c>
      <c r="C347" s="7">
        <f t="shared" si="1"/>
        <v>44564</v>
      </c>
      <c r="D347" s="17" t="str">
        <f t="shared" si="3"/>
        <v>959244564</v>
      </c>
      <c r="E347" s="9" t="str">
        <f>ifs($D347="","",countif('VISIT DATA'!$A:$A,$D347)=countif(D:D,$D347),"YES",countif('VISIT DATA'!$A:$A,$D347)=0,"NO",and(countif(D:D,$D347)&gt;1,countif('VISIT DATA'!$A:$A,$D347)&gt;=1),"YES",countif('VISIT DATA'!$A:$A,$D347)=countif(D:D,$D347),"YES")</f>
        <v>YES</v>
      </c>
      <c r="F347" s="9" t="str">
        <f>ifs($A347=FALSE,"",$A347,VLOOKUP($A347,SCAN!A:D,3,0))</f>
        <v>CH</v>
      </c>
    </row>
    <row r="348">
      <c r="A348" s="16"/>
      <c r="B348" s="6" t="str">
        <f>ifs($A348=FALSE,"",$A348,VLOOKUP($A348,SCAN!A:D,4,0))</f>
        <v/>
      </c>
      <c r="C348" s="7" t="str">
        <f t="shared" si="1"/>
        <v/>
      </c>
      <c r="D348" s="17" t="str">
        <f t="shared" si="3"/>
        <v/>
      </c>
      <c r="E348" s="9" t="str">
        <f>ifs($D348="","",countif('VISIT DATA'!$A:$A,$D348)=countif(D:D,$D348),"YES",countif('VISIT DATA'!$A:$A,$D348)=0,"NO",and(countif(D:D,$D348)&gt;1,countif('VISIT DATA'!$A:$A,$D348)&gt;=1),"YES",countif('VISIT DATA'!$A:$A,$D348)=countif(D:D,$D348),"YES")</f>
        <v/>
      </c>
      <c r="F348" s="9" t="str">
        <f>ifs($A348=FALSE,"",$A348,VLOOKUP($A348,SCAN!A:D,3,0))</f>
        <v/>
      </c>
    </row>
    <row r="349">
      <c r="A349" s="16"/>
      <c r="B349" s="6" t="str">
        <f>ifs($A349=FALSE,"",$A349,VLOOKUP($A349,SCAN!A:D,4,0))</f>
        <v/>
      </c>
      <c r="C349" s="7" t="str">
        <f t="shared" si="1"/>
        <v/>
      </c>
      <c r="D349" s="17" t="str">
        <f t="shared" si="3"/>
        <v/>
      </c>
      <c r="E349" s="9" t="str">
        <f>ifs($D349="","",countif('VISIT DATA'!$A:$A,$D349)=countif(D:D,$D349),"YES",countif('VISIT DATA'!$A:$A,$D349)=0,"NO",and(countif(D:D,$D349)&gt;1,countif('VISIT DATA'!$A:$A,$D349)&gt;=1),"YES",countif('VISIT DATA'!$A:$A,$D349)=countif(D:D,$D349),"YES")</f>
        <v/>
      </c>
      <c r="F349" s="9" t="str">
        <f>ifs($A349=FALSE,"",$A349,VLOOKUP($A349,SCAN!A:D,3,0))</f>
        <v/>
      </c>
    </row>
    <row r="350">
      <c r="A350" s="16"/>
      <c r="B350" s="6" t="str">
        <f>ifs($A350=FALSE,"",$A350,VLOOKUP($A350,SCAN!A:D,4,0))</f>
        <v/>
      </c>
      <c r="C350" s="7" t="str">
        <f t="shared" si="1"/>
        <v/>
      </c>
      <c r="D350" s="17" t="str">
        <f t="shared" si="3"/>
        <v/>
      </c>
      <c r="E350" s="9" t="str">
        <f>ifs($D350="","",countif('VISIT DATA'!$A:$A,$D350)=countif(D:D,$D350),"YES",countif('VISIT DATA'!$A:$A,$D350)=0,"NO",and(countif(D:D,$D350)&gt;1,countif('VISIT DATA'!$A:$A,$D350)&gt;=1),"YES",countif('VISIT DATA'!$A:$A,$D350)=countif(D:D,$D350),"YES")</f>
        <v/>
      </c>
      <c r="F350" s="9" t="str">
        <f>ifs($A350=FALSE,"",$A350,VLOOKUP($A350,SCAN!A:D,3,0))</f>
        <v/>
      </c>
    </row>
    <row r="351">
      <c r="A351" s="16"/>
      <c r="B351" s="6" t="str">
        <f>ifs($A351=FALSE,"",$A351,VLOOKUP($A351,SCAN!A:D,4,0))</f>
        <v/>
      </c>
      <c r="C351" s="7" t="str">
        <f t="shared" si="1"/>
        <v/>
      </c>
      <c r="D351" s="17" t="str">
        <f t="shared" si="3"/>
        <v/>
      </c>
      <c r="E351" s="9" t="str">
        <f>ifs($D351="","",countif('VISIT DATA'!$A:$A,$D351)=countif(D:D,$D351),"YES",countif('VISIT DATA'!$A:$A,$D351)=0,"NO",and(countif(D:D,$D351)&gt;1,countif('VISIT DATA'!$A:$A,$D351)&gt;=1),"YES",countif('VISIT DATA'!$A:$A,$D351)=countif(D:D,$D351),"YES")</f>
        <v/>
      </c>
      <c r="F351" s="9" t="str">
        <f>ifs($A351=FALSE,"",$A351,VLOOKUP($A351,SCAN!A:D,3,0))</f>
        <v/>
      </c>
    </row>
    <row r="352">
      <c r="A352" s="16"/>
      <c r="B352" s="6" t="str">
        <f>ifs($A352=FALSE,"",$A352,VLOOKUP($A352,SCAN!A:D,4,0))</f>
        <v/>
      </c>
      <c r="C352" s="7" t="str">
        <f t="shared" si="1"/>
        <v/>
      </c>
      <c r="D352" s="17" t="str">
        <f t="shared" si="3"/>
        <v/>
      </c>
      <c r="E352" s="9" t="str">
        <f>ifs($D352="","",countif('VISIT DATA'!$A:$A,$D352)=countif(D:D,$D352),"YES",countif('VISIT DATA'!$A:$A,$D352)=0,"NO",and(countif(D:D,$D352)&gt;1,countif('VISIT DATA'!$A:$A,$D352)&gt;=1),"YES",countif('VISIT DATA'!$A:$A,$D352)=countif(D:D,$D352),"YES")</f>
        <v/>
      </c>
      <c r="F352" s="9" t="str">
        <f>ifs($A352=FALSE,"",$A352,VLOOKUP($A352,SCAN!A:D,3,0))</f>
        <v/>
      </c>
    </row>
    <row r="353">
      <c r="A353" s="16"/>
      <c r="B353" s="6" t="str">
        <f>ifs($A353=FALSE,"",$A353,VLOOKUP($A353,SCAN!A:D,4,0))</f>
        <v/>
      </c>
      <c r="C353" s="7" t="str">
        <f t="shared" si="1"/>
        <v/>
      </c>
      <c r="D353" s="17" t="str">
        <f t="shared" si="3"/>
        <v/>
      </c>
      <c r="E353" s="9" t="str">
        <f>ifs($D353="","",countif('VISIT DATA'!$A:$A,$D353)=countif(D:D,$D353),"YES",countif('VISIT DATA'!$A:$A,$D353)=0,"NO",and(countif(D:D,$D353)&gt;1,countif('VISIT DATA'!$A:$A,$D353)&gt;=1),"YES",countif('VISIT DATA'!$A:$A,$D353)=countif(D:D,$D353),"YES")</f>
        <v/>
      </c>
      <c r="F353" s="9" t="str">
        <f>ifs($A353=FALSE,"",$A353,VLOOKUP($A353,SCAN!A:D,3,0))</f>
        <v/>
      </c>
    </row>
    <row r="354">
      <c r="A354" s="16"/>
      <c r="B354" s="6" t="str">
        <f>ifs($A354=FALSE,"",$A354,VLOOKUP($A354,SCAN!A:D,4,0))</f>
        <v/>
      </c>
      <c r="C354" s="7" t="str">
        <f t="shared" si="1"/>
        <v/>
      </c>
      <c r="D354" s="17" t="str">
        <f t="shared" si="3"/>
        <v/>
      </c>
      <c r="E354" s="9" t="str">
        <f>ifs($D354="","",countif('VISIT DATA'!$A:$A,$D354)=countif(D:D,$D354),"YES",countif('VISIT DATA'!$A:$A,$D354)=0,"NO",and(countif(D:D,$D354)&gt;1,countif('VISIT DATA'!$A:$A,$D354)&gt;=1),"YES",countif('VISIT DATA'!$A:$A,$D354)=countif(D:D,$D354),"YES")</f>
        <v/>
      </c>
      <c r="F354" s="9" t="str">
        <f>ifs($A354=FALSE,"",$A354,VLOOKUP($A354,SCAN!A:D,3,0))</f>
        <v/>
      </c>
    </row>
    <row r="355">
      <c r="A355" s="16"/>
      <c r="B355" s="6" t="str">
        <f>ifs($A355=FALSE,"",$A355,VLOOKUP($A355,SCAN!A:D,4,0))</f>
        <v/>
      </c>
      <c r="C355" s="7" t="str">
        <f t="shared" si="1"/>
        <v/>
      </c>
      <c r="D355" s="17" t="str">
        <f t="shared" si="3"/>
        <v/>
      </c>
      <c r="E355" s="9" t="str">
        <f>ifs($D355="","",countif('VISIT DATA'!$A:$A,$D355)=countif(D:D,$D355),"YES",countif('VISIT DATA'!$A:$A,$D355)=0,"NO",and(countif(D:D,$D355)&gt;1,countif('VISIT DATA'!$A:$A,$D355)&gt;=1),"YES",countif('VISIT DATA'!$A:$A,$D355)=countif(D:D,$D355),"YES")</f>
        <v/>
      </c>
      <c r="F355" s="9" t="str">
        <f>ifs($A355=FALSE,"",$A355,VLOOKUP($A355,SCAN!A:D,3,0))</f>
        <v/>
      </c>
    </row>
    <row r="356">
      <c r="A356" s="16"/>
      <c r="B356" s="6" t="str">
        <f>ifs($A356=FALSE,"",$A356,VLOOKUP($A356,SCAN!A:D,4,0))</f>
        <v/>
      </c>
      <c r="C356" s="7" t="str">
        <f t="shared" si="1"/>
        <v/>
      </c>
      <c r="D356" s="17" t="str">
        <f t="shared" si="3"/>
        <v/>
      </c>
      <c r="E356" s="9" t="str">
        <f>ifs($D356="","",countif('VISIT DATA'!$A:$A,$D356)=countif(D:D,$D356),"YES",countif('VISIT DATA'!$A:$A,$D356)=0,"NO",and(countif(D:D,$D356)&gt;1,countif('VISIT DATA'!$A:$A,$D356)&gt;=1),"YES",countif('VISIT DATA'!$A:$A,$D356)=countif(D:D,$D356),"YES")</f>
        <v/>
      </c>
      <c r="F356" s="9" t="str">
        <f>ifs($A356=FALSE,"",$A356,VLOOKUP($A356,SCAN!A:D,3,0))</f>
        <v/>
      </c>
    </row>
    <row r="357">
      <c r="A357" s="16"/>
      <c r="B357" s="6" t="str">
        <f>ifs($A357=FALSE,"",$A357,VLOOKUP($A357,SCAN!A:D,4,0))</f>
        <v/>
      </c>
      <c r="C357" s="7" t="str">
        <f t="shared" si="1"/>
        <v/>
      </c>
      <c r="D357" s="17" t="str">
        <f t="shared" si="3"/>
        <v/>
      </c>
      <c r="E357" s="9" t="str">
        <f>ifs($D357="","",countif('VISIT DATA'!$A:$A,$D357)=countif(D:D,$D357),"YES",countif('VISIT DATA'!$A:$A,$D357)=0,"NO",and(countif(D:D,$D357)&gt;1,countif('VISIT DATA'!$A:$A,$D357)&gt;=1),"YES",countif('VISIT DATA'!$A:$A,$D357)=countif(D:D,$D357),"YES")</f>
        <v/>
      </c>
      <c r="F357" s="9" t="str">
        <f>ifs($A357=FALSE,"",$A357,VLOOKUP($A357,SCAN!A:D,3,0))</f>
        <v/>
      </c>
    </row>
    <row r="358">
      <c r="A358" s="16"/>
      <c r="B358" s="6" t="str">
        <f>ifs($A358=FALSE,"",$A358,VLOOKUP($A358,SCAN!A:D,4,0))</f>
        <v/>
      </c>
      <c r="C358" s="7" t="str">
        <f t="shared" si="1"/>
        <v/>
      </c>
      <c r="D358" s="17" t="str">
        <f t="shared" si="3"/>
        <v/>
      </c>
      <c r="E358" s="9" t="str">
        <f>ifs($D358="","",countif('VISIT DATA'!$A:$A,$D358)=countif(D:D,$D358),"YES",countif('VISIT DATA'!$A:$A,$D358)=0,"NO",and(countif(D:D,$D358)&gt;1,countif('VISIT DATA'!$A:$A,$D358)&gt;=1),"YES",countif('VISIT DATA'!$A:$A,$D358)=countif(D:D,$D358),"YES")</f>
        <v/>
      </c>
      <c r="F358" s="9" t="str">
        <f>ifs($A358=FALSE,"",$A358,VLOOKUP($A358,SCAN!A:D,3,0))</f>
        <v/>
      </c>
    </row>
    <row r="359">
      <c r="A359" s="16"/>
      <c r="B359" s="6" t="str">
        <f>ifs($A359=FALSE,"",$A359,VLOOKUP($A359,SCAN!A:D,4,0))</f>
        <v/>
      </c>
      <c r="C359" s="7" t="str">
        <f t="shared" si="1"/>
        <v/>
      </c>
      <c r="D359" s="17" t="str">
        <f t="shared" si="3"/>
        <v/>
      </c>
      <c r="E359" s="9" t="str">
        <f>ifs($D359="","",countif('VISIT DATA'!$A:$A,$D359)=countif(D:D,$D359),"YES",countif('VISIT DATA'!$A:$A,$D359)=0,"NO",and(countif(D:D,$D359)&gt;1,countif('VISIT DATA'!$A:$A,$D359)&gt;=1),"YES",countif('VISIT DATA'!$A:$A,$D359)=countif(D:D,$D359),"YES")</f>
        <v/>
      </c>
      <c r="F359" s="9" t="str">
        <f>ifs($A359=FALSE,"",$A359,VLOOKUP($A359,SCAN!A:D,3,0))</f>
        <v/>
      </c>
    </row>
    <row r="360">
      <c r="A360" s="16"/>
      <c r="B360" s="6" t="str">
        <f>ifs($A360=FALSE,"",$A360,VLOOKUP($A360,SCAN!A:D,4,0))</f>
        <v/>
      </c>
      <c r="C360" s="7" t="str">
        <f t="shared" si="1"/>
        <v/>
      </c>
      <c r="D360" s="17" t="str">
        <f t="shared" si="3"/>
        <v/>
      </c>
      <c r="E360" s="9" t="str">
        <f>ifs($D360="","",countif('VISIT DATA'!$A:$A,$D360)=countif(D:D,$D360),"YES",countif('VISIT DATA'!$A:$A,$D360)=0,"NO",and(countif(D:D,$D360)&gt;1,countif('VISIT DATA'!$A:$A,$D360)&gt;=1),"YES",countif('VISIT DATA'!$A:$A,$D360)=countif(D:D,$D360),"YES")</f>
        <v/>
      </c>
      <c r="F360" s="9" t="str">
        <f>ifs($A360=FALSE,"",$A360,VLOOKUP($A360,SCAN!A:D,3,0))</f>
        <v/>
      </c>
    </row>
    <row r="361">
      <c r="A361" s="16"/>
      <c r="B361" s="6" t="str">
        <f>ifs($A361=FALSE,"",$A361,VLOOKUP($A361,SCAN!A:D,4,0))</f>
        <v/>
      </c>
      <c r="C361" s="7" t="str">
        <f t="shared" si="1"/>
        <v/>
      </c>
      <c r="D361" s="17" t="str">
        <f t="shared" si="3"/>
        <v/>
      </c>
      <c r="E361" s="9" t="str">
        <f>ifs($D361="","",countif('VISIT DATA'!$A:$A,$D361)=countif(D:D,$D361),"YES",countif('VISIT DATA'!$A:$A,$D361)=0,"NO",and(countif(D:D,$D361)&gt;1,countif('VISIT DATA'!$A:$A,$D361)&gt;=1),"YES",countif('VISIT DATA'!$A:$A,$D361)=countif(D:D,$D361),"YES")</f>
        <v/>
      </c>
      <c r="F361" s="9" t="str">
        <f>ifs($A361=FALSE,"",$A361,VLOOKUP($A361,SCAN!A:D,3,0))</f>
        <v/>
      </c>
    </row>
    <row r="362">
      <c r="A362" s="16"/>
      <c r="B362" s="6" t="str">
        <f>ifs($A362=FALSE,"",$A362,VLOOKUP($A362,SCAN!A:D,4,0))</f>
        <v/>
      </c>
      <c r="C362" s="7" t="str">
        <f t="shared" si="1"/>
        <v/>
      </c>
      <c r="D362" s="17" t="str">
        <f t="shared" si="3"/>
        <v/>
      </c>
      <c r="E362" s="9" t="str">
        <f>ifs($D362="","",countif('VISIT DATA'!$A:$A,$D362)=countif(D:D,$D362),"YES",countif('VISIT DATA'!$A:$A,$D362)=0,"NO",and(countif(D:D,$D362)&gt;1,countif('VISIT DATA'!$A:$A,$D362)&gt;=1),"YES",countif('VISIT DATA'!$A:$A,$D362)=countif(D:D,$D362),"YES")</f>
        <v/>
      </c>
      <c r="F362" s="9" t="str">
        <f>ifs($A362=FALSE,"",$A362,VLOOKUP($A362,SCAN!A:D,3,0))</f>
        <v/>
      </c>
    </row>
    <row r="363">
      <c r="A363" s="16"/>
      <c r="B363" s="6" t="str">
        <f>ifs($A363=FALSE,"",$A363,VLOOKUP($A363,SCAN!A:D,4,0))</f>
        <v/>
      </c>
      <c r="C363" s="7" t="str">
        <f t="shared" si="1"/>
        <v/>
      </c>
      <c r="D363" s="17" t="str">
        <f t="shared" si="3"/>
        <v/>
      </c>
      <c r="E363" s="9" t="str">
        <f>ifs($D363="","",countif('VISIT DATA'!$A:$A,$D363)=countif(D:D,$D363),"YES",countif('VISIT DATA'!$A:$A,$D363)=0,"NO",and(countif(D:D,$D363)&gt;1,countif('VISIT DATA'!$A:$A,$D363)&gt;=1),"YES",countif('VISIT DATA'!$A:$A,$D363)=countif(D:D,$D363),"YES")</f>
        <v/>
      </c>
      <c r="F363" s="9" t="str">
        <f>ifs($A363=FALSE,"",$A363,VLOOKUP($A363,SCAN!A:D,3,0))</f>
        <v/>
      </c>
    </row>
    <row r="364">
      <c r="A364" s="16"/>
      <c r="B364" s="6" t="str">
        <f>ifs($A364=FALSE,"",$A364,VLOOKUP($A364,SCAN!A:D,4,0))</f>
        <v/>
      </c>
      <c r="C364" s="7" t="str">
        <f t="shared" si="1"/>
        <v/>
      </c>
      <c r="D364" s="17" t="str">
        <f t="shared" si="3"/>
        <v/>
      </c>
      <c r="E364" s="9" t="str">
        <f>ifs($D364="","",countif('VISIT DATA'!$A:$A,$D364)=countif(D:D,$D364),"YES",countif('VISIT DATA'!$A:$A,$D364)=0,"NO",and(countif(D:D,$D364)&gt;1,countif('VISIT DATA'!$A:$A,$D364)&gt;=1),"YES",countif('VISIT DATA'!$A:$A,$D364)=countif(D:D,$D364),"YES")</f>
        <v/>
      </c>
      <c r="F364" s="9" t="str">
        <f>ifs($A364=FALSE,"",$A364,VLOOKUP($A364,SCAN!A:D,3,0))</f>
        <v/>
      </c>
    </row>
    <row r="365">
      <c r="A365" s="16"/>
      <c r="B365" s="6" t="str">
        <f>ifs($A365=FALSE,"",$A365,VLOOKUP($A365,SCAN!A:D,4,0))</f>
        <v/>
      </c>
      <c r="C365" s="7" t="str">
        <f t="shared" si="1"/>
        <v/>
      </c>
      <c r="D365" s="17" t="str">
        <f t="shared" si="3"/>
        <v/>
      </c>
      <c r="E365" s="9" t="str">
        <f>ifs($D365="","",countif('VISIT DATA'!$A:$A,$D365)=countif(D:D,$D365),"YES",countif('VISIT DATA'!$A:$A,$D365)=0,"NO",and(countif(D:D,$D365)&gt;1,countif('VISIT DATA'!$A:$A,$D365)&gt;=1),"YES",countif('VISIT DATA'!$A:$A,$D365)=countif(D:D,$D365),"YES")</f>
        <v/>
      </c>
      <c r="F365" s="9" t="str">
        <f>ifs($A365=FALSE,"",$A365,VLOOKUP($A365,SCAN!A:D,3,0))</f>
        <v/>
      </c>
    </row>
    <row r="366">
      <c r="A366" s="16"/>
      <c r="B366" s="6" t="str">
        <f>ifs($A366=FALSE,"",$A366,VLOOKUP($A366,SCAN!A:D,4,0))</f>
        <v/>
      </c>
      <c r="C366" s="7" t="str">
        <f t="shared" si="1"/>
        <v/>
      </c>
      <c r="D366" s="17" t="str">
        <f t="shared" si="3"/>
        <v/>
      </c>
      <c r="E366" s="9" t="str">
        <f>ifs($D366="","",countif('VISIT DATA'!$A:$A,$D366)=countif(D:D,$D366),"YES",countif('VISIT DATA'!$A:$A,$D366)=0,"NO",and(countif(D:D,$D366)&gt;1,countif('VISIT DATA'!$A:$A,$D366)&gt;=1),"YES",countif('VISIT DATA'!$A:$A,$D366)=countif(D:D,$D366),"YES")</f>
        <v/>
      </c>
      <c r="F366" s="9" t="str">
        <f>ifs($A366=FALSE,"",$A366,VLOOKUP($A366,SCAN!A:D,3,0))</f>
        <v/>
      </c>
    </row>
    <row r="367">
      <c r="A367" s="16"/>
      <c r="B367" s="6" t="str">
        <f>ifs($A367=FALSE,"",$A367,VLOOKUP($A367,SCAN!A:D,4,0))</f>
        <v/>
      </c>
      <c r="C367" s="7" t="str">
        <f t="shared" si="1"/>
        <v/>
      </c>
      <c r="D367" s="17" t="str">
        <f t="shared" si="3"/>
        <v/>
      </c>
      <c r="E367" s="9" t="str">
        <f>ifs($D367="","",countif('VISIT DATA'!$A:$A,$D367)=countif(D:D,$D367),"YES",countif('VISIT DATA'!$A:$A,$D367)=0,"NO",and(countif(D:D,$D367)&gt;1,countif('VISIT DATA'!$A:$A,$D367)&gt;=1),"YES",countif('VISIT DATA'!$A:$A,$D367)=countif(D:D,$D367),"YES")</f>
        <v/>
      </c>
      <c r="F367" s="9" t="str">
        <f>ifs($A367=FALSE,"",$A367,VLOOKUP($A367,SCAN!A:D,3,0))</f>
        <v/>
      </c>
    </row>
    <row r="368">
      <c r="A368" s="16"/>
      <c r="B368" s="6" t="str">
        <f>ifs($A368=FALSE,"",$A368,VLOOKUP($A368,SCAN!A:D,4,0))</f>
        <v/>
      </c>
      <c r="C368" s="7" t="str">
        <f t="shared" si="1"/>
        <v/>
      </c>
      <c r="D368" s="17" t="str">
        <f t="shared" si="3"/>
        <v/>
      </c>
      <c r="E368" s="9" t="str">
        <f>ifs($D368="","",countif('VISIT DATA'!$A:$A,$D368)=countif(D:D,$D368),"YES",countif('VISIT DATA'!$A:$A,$D368)=0,"NO",and(countif(D:D,$D368)&gt;1,countif('VISIT DATA'!$A:$A,$D368)&gt;=1),"YES",countif('VISIT DATA'!$A:$A,$D368)=countif(D:D,$D368),"YES")</f>
        <v/>
      </c>
      <c r="F368" s="9" t="str">
        <f>ifs($A368=FALSE,"",$A368,VLOOKUP($A368,SCAN!A:D,3,0))</f>
        <v/>
      </c>
    </row>
    <row r="369">
      <c r="A369" s="16"/>
      <c r="B369" s="6" t="str">
        <f>ifs($A369=FALSE,"",$A369,VLOOKUP($A369,SCAN!A:D,4,0))</f>
        <v/>
      </c>
      <c r="C369" s="7" t="str">
        <f t="shared" si="1"/>
        <v/>
      </c>
      <c r="D369" s="17" t="str">
        <f t="shared" si="3"/>
        <v/>
      </c>
      <c r="E369" s="9" t="str">
        <f>ifs($D369="","",countif('VISIT DATA'!$A:$A,$D369)=countif(D:D,$D369),"YES",countif('VISIT DATA'!$A:$A,$D369)=0,"NO",and(countif(D:D,$D369)&gt;1,countif('VISIT DATA'!$A:$A,$D369)&gt;=1),"YES",countif('VISIT DATA'!$A:$A,$D369)=countif(D:D,$D369),"YES")</f>
        <v/>
      </c>
      <c r="F369" s="9" t="str">
        <f>ifs($A369=FALSE,"",$A369,VLOOKUP($A369,SCAN!A:D,3,0))</f>
        <v/>
      </c>
    </row>
    <row r="370">
      <c r="A370" s="16"/>
      <c r="B370" s="6" t="str">
        <f>ifs($A370=FALSE,"",$A370,VLOOKUP($A370,SCAN!A:D,4,0))</f>
        <v/>
      </c>
      <c r="C370" s="7" t="str">
        <f t="shared" si="1"/>
        <v/>
      </c>
      <c r="D370" s="17" t="str">
        <f t="shared" si="3"/>
        <v/>
      </c>
      <c r="E370" s="9" t="str">
        <f>ifs($D370="","",countif('VISIT DATA'!$A:$A,$D370)=countif(D:D,$D370),"YES",countif('VISIT DATA'!$A:$A,$D370)=0,"NO",and(countif(D:D,$D370)&gt;1,countif('VISIT DATA'!$A:$A,$D370)&gt;=1),"YES",countif('VISIT DATA'!$A:$A,$D370)=countif(D:D,$D370),"YES")</f>
        <v/>
      </c>
      <c r="F370" s="9" t="str">
        <f>ifs($A370=FALSE,"",$A370,VLOOKUP($A370,SCAN!A:D,3,0))</f>
        <v/>
      </c>
    </row>
    <row r="371">
      <c r="A371" s="16"/>
      <c r="B371" s="6" t="str">
        <f>ifs($A371=FALSE,"",$A371,VLOOKUP($A371,SCAN!A:D,4,0))</f>
        <v/>
      </c>
      <c r="C371" s="7" t="str">
        <f t="shared" si="1"/>
        <v/>
      </c>
      <c r="D371" s="17" t="str">
        <f t="shared" si="3"/>
        <v/>
      </c>
      <c r="E371" s="9" t="str">
        <f>ifs($D371="","",countif('VISIT DATA'!$A:$A,$D371)=countif(D:D,$D371),"YES",countif('VISIT DATA'!$A:$A,$D371)=0,"NO",and(countif(D:D,$D371)&gt;1,countif('VISIT DATA'!$A:$A,$D371)&gt;=1),"YES",countif('VISIT DATA'!$A:$A,$D371)=countif(D:D,$D371),"YES")</f>
        <v/>
      </c>
      <c r="F371" s="9" t="str">
        <f>ifs($A371=FALSE,"",$A371,VLOOKUP($A371,SCAN!A:D,3,0))</f>
        <v/>
      </c>
    </row>
    <row r="372">
      <c r="A372" s="16"/>
      <c r="B372" s="6" t="str">
        <f>ifs($A372=FALSE,"",$A372,VLOOKUP($A372,SCAN!A:D,4,0))</f>
        <v/>
      </c>
      <c r="C372" s="7" t="str">
        <f t="shared" si="1"/>
        <v/>
      </c>
      <c r="D372" s="17" t="str">
        <f t="shared" si="3"/>
        <v/>
      </c>
      <c r="E372" s="9" t="str">
        <f>ifs($D372="","",countif('VISIT DATA'!$A:$A,$D372)=countif(D:D,$D372),"YES",countif('VISIT DATA'!$A:$A,$D372)=0,"NO",and(countif(D:D,$D372)&gt;1,countif('VISIT DATA'!$A:$A,$D372)&gt;=1),"YES",countif('VISIT DATA'!$A:$A,$D372)=countif(D:D,$D372),"YES")</f>
        <v/>
      </c>
      <c r="F372" s="9" t="str">
        <f>ifs($A372=FALSE,"",$A372,VLOOKUP($A372,SCAN!A:D,3,0))</f>
        <v/>
      </c>
    </row>
    <row r="373">
      <c r="A373" s="16"/>
      <c r="B373" s="6" t="str">
        <f>ifs($A373=FALSE,"",$A373,VLOOKUP($A373,SCAN!A:D,4,0))</f>
        <v/>
      </c>
      <c r="C373" s="7" t="str">
        <f t="shared" si="1"/>
        <v/>
      </c>
      <c r="D373" s="17" t="str">
        <f t="shared" si="3"/>
        <v/>
      </c>
      <c r="E373" s="9" t="str">
        <f>ifs($D373="","",countif('VISIT DATA'!$A:$A,$D373)=countif(D:D,$D373),"YES",countif('VISIT DATA'!$A:$A,$D373)=0,"NO",and(countif(D:D,$D373)&gt;1,countif('VISIT DATA'!$A:$A,$D373)&gt;=1),"YES",countif('VISIT DATA'!$A:$A,$D373)=countif(D:D,$D373),"YES")</f>
        <v/>
      </c>
      <c r="F373" s="9" t="str">
        <f>ifs($A373=FALSE,"",$A373,VLOOKUP($A373,SCAN!A:D,3,0))</f>
        <v/>
      </c>
    </row>
    <row r="374">
      <c r="A374" s="16"/>
      <c r="B374" s="6" t="str">
        <f>ifs($A374=FALSE,"",$A374,VLOOKUP($A374,SCAN!A:D,4,0))</f>
        <v/>
      </c>
      <c r="C374" s="7" t="str">
        <f t="shared" si="1"/>
        <v/>
      </c>
      <c r="D374" s="17" t="str">
        <f t="shared" si="3"/>
        <v/>
      </c>
      <c r="E374" s="9" t="str">
        <f>ifs($D374="","",countif('VISIT DATA'!$A:$A,$D374)=countif(D:D,$D374),"YES",countif('VISIT DATA'!$A:$A,$D374)=0,"NO",and(countif(D:D,$D374)&gt;1,countif('VISIT DATA'!$A:$A,$D374)&gt;=1),"YES",countif('VISIT DATA'!$A:$A,$D374)=countif(D:D,$D374),"YES")</f>
        <v/>
      </c>
      <c r="F374" s="9" t="str">
        <f>ifs($A374=FALSE,"",$A374,VLOOKUP($A374,SCAN!A:D,3,0))</f>
        <v/>
      </c>
    </row>
    <row r="375">
      <c r="A375" s="16"/>
      <c r="B375" s="6" t="str">
        <f>ifs($A375=FALSE,"",$A375,VLOOKUP($A375,SCAN!A:D,4,0))</f>
        <v/>
      </c>
      <c r="C375" s="7" t="str">
        <f t="shared" si="1"/>
        <v/>
      </c>
      <c r="D375" s="17" t="str">
        <f t="shared" si="3"/>
        <v/>
      </c>
      <c r="E375" s="9" t="str">
        <f>ifs($D375="","",countif('VISIT DATA'!$A:$A,$D375)=countif(D:D,$D375),"YES",countif('VISIT DATA'!$A:$A,$D375)=0,"NO",and(countif(D:D,$D375)&gt;1,countif('VISIT DATA'!$A:$A,$D375)&gt;=1),"YES",countif('VISIT DATA'!$A:$A,$D375)=countif(D:D,$D375),"YES")</f>
        <v/>
      </c>
      <c r="F375" s="9" t="str">
        <f>ifs($A375=FALSE,"",$A375,VLOOKUP($A375,SCAN!A:D,3,0))</f>
        <v/>
      </c>
    </row>
    <row r="376">
      <c r="A376" s="16"/>
      <c r="B376" s="6" t="str">
        <f>ifs($A376=FALSE,"",$A376,VLOOKUP($A376,SCAN!A:D,4,0))</f>
        <v/>
      </c>
      <c r="C376" s="7" t="str">
        <f t="shared" si="1"/>
        <v/>
      </c>
      <c r="D376" s="17" t="str">
        <f t="shared" si="3"/>
        <v/>
      </c>
      <c r="E376" s="9" t="str">
        <f>ifs($D376="","",countif('VISIT DATA'!$A:$A,$D376)=countif(D:D,$D376),"YES",countif('VISIT DATA'!$A:$A,$D376)=0,"NO",and(countif(D:D,$D376)&gt;1,countif('VISIT DATA'!$A:$A,$D376)&gt;=1),"YES",countif('VISIT DATA'!$A:$A,$D376)=countif(D:D,$D376),"YES")</f>
        <v/>
      </c>
      <c r="F376" s="9" t="str">
        <f>ifs($A376=FALSE,"",$A376,VLOOKUP($A376,SCAN!A:D,3,0))</f>
        <v/>
      </c>
    </row>
    <row r="377">
      <c r="A377" s="16"/>
      <c r="B377" s="6" t="str">
        <f>ifs($A377=FALSE,"",$A377,VLOOKUP($A377,SCAN!A:D,4,0))</f>
        <v/>
      </c>
      <c r="C377" s="7" t="str">
        <f t="shared" si="1"/>
        <v/>
      </c>
      <c r="D377" s="17" t="str">
        <f t="shared" si="3"/>
        <v/>
      </c>
      <c r="E377" s="9" t="str">
        <f>ifs($D377="","",countif('VISIT DATA'!$A:$A,$D377)=countif(D:D,$D377),"YES",countif('VISIT DATA'!$A:$A,$D377)=0,"NO",and(countif(D:D,$D377)&gt;1,countif('VISIT DATA'!$A:$A,$D377)&gt;=1),"YES",countif('VISIT DATA'!$A:$A,$D377)=countif(D:D,$D377),"YES")</f>
        <v/>
      </c>
      <c r="F377" s="9" t="str">
        <f>ifs($A377=FALSE,"",$A377,VLOOKUP($A377,SCAN!A:D,3,0))</f>
        <v/>
      </c>
    </row>
    <row r="378">
      <c r="A378" s="16"/>
      <c r="B378" s="6" t="str">
        <f>ifs($A378=FALSE,"",$A378,VLOOKUP($A378,SCAN!A:D,4,0))</f>
        <v/>
      </c>
      <c r="C378" s="7" t="str">
        <f t="shared" si="1"/>
        <v/>
      </c>
      <c r="D378" s="17" t="str">
        <f t="shared" si="3"/>
        <v/>
      </c>
      <c r="E378" s="9" t="str">
        <f>ifs($D378="","",countif('VISIT DATA'!$A:$A,$D378)=countif(D:D,$D378),"YES",countif('VISIT DATA'!$A:$A,$D378)=0,"NO",and(countif(D:D,$D378)&gt;1,countif('VISIT DATA'!$A:$A,$D378)&gt;=1),"YES",countif('VISIT DATA'!$A:$A,$D378)=countif(D:D,$D378),"YES")</f>
        <v/>
      </c>
      <c r="F378" s="9" t="str">
        <f>ifs($A378=FALSE,"",$A378,VLOOKUP($A378,SCAN!A:D,3,0))</f>
        <v/>
      </c>
    </row>
    <row r="379">
      <c r="A379" s="16"/>
      <c r="B379" s="6" t="str">
        <f>ifs($A379=FALSE,"",$A379,VLOOKUP($A379,SCAN!A:D,4,0))</f>
        <v/>
      </c>
      <c r="C379" s="7" t="str">
        <f t="shared" si="1"/>
        <v/>
      </c>
      <c r="D379" s="17" t="str">
        <f t="shared" si="3"/>
        <v/>
      </c>
      <c r="E379" s="9" t="str">
        <f>ifs($D379="","",countif('VISIT DATA'!$A:$A,$D379)=countif(D:D,$D379),"YES",countif('VISIT DATA'!$A:$A,$D379)=0,"NO",and(countif(D:D,$D379)&gt;1,countif('VISIT DATA'!$A:$A,$D379)&gt;=1),"YES",countif('VISIT DATA'!$A:$A,$D379)=countif(D:D,$D379),"YES")</f>
        <v/>
      </c>
      <c r="F379" s="9" t="str">
        <f>ifs($A379=FALSE,"",$A379,VLOOKUP($A379,SCAN!A:D,3,0))</f>
        <v/>
      </c>
    </row>
    <row r="380">
      <c r="A380" s="16"/>
      <c r="B380" s="6" t="str">
        <f>ifs($A380=FALSE,"",$A380,VLOOKUP($A380,SCAN!A:D,4,0))</f>
        <v/>
      </c>
      <c r="C380" s="7" t="str">
        <f t="shared" si="1"/>
        <v/>
      </c>
      <c r="D380" s="17" t="str">
        <f t="shared" si="3"/>
        <v/>
      </c>
      <c r="E380" s="9" t="str">
        <f>ifs($D380="","",countif('VISIT DATA'!$A:$A,$D380)=countif(D:D,$D380),"YES",countif('VISIT DATA'!$A:$A,$D380)=0,"NO",and(countif(D:D,$D380)&gt;1,countif('VISIT DATA'!$A:$A,$D380)&gt;=1),"YES",countif('VISIT DATA'!$A:$A,$D380)=countif(D:D,$D380),"YES")</f>
        <v/>
      </c>
      <c r="F380" s="9" t="str">
        <f>ifs($A380=FALSE,"",$A380,VLOOKUP($A380,SCAN!A:D,3,0))</f>
        <v/>
      </c>
    </row>
    <row r="381">
      <c r="A381" s="16"/>
      <c r="B381" s="6" t="str">
        <f>ifs($A381=FALSE,"",$A381,VLOOKUP($A381,SCAN!A:D,4,0))</f>
        <v/>
      </c>
      <c r="C381" s="7" t="str">
        <f t="shared" si="1"/>
        <v/>
      </c>
      <c r="D381" s="17" t="str">
        <f t="shared" si="3"/>
        <v/>
      </c>
      <c r="E381" s="9" t="str">
        <f>ifs($D381="","",countif('VISIT DATA'!$A:$A,$D381)=countif(D:D,$D381),"YES",countif('VISIT DATA'!$A:$A,$D381)=0,"NO",and(countif(D:D,$D381)&gt;1,countif('VISIT DATA'!$A:$A,$D381)&gt;=1),"YES",countif('VISIT DATA'!$A:$A,$D381)=countif(D:D,$D381),"YES")</f>
        <v/>
      </c>
      <c r="F381" s="9" t="str">
        <f>ifs($A381=FALSE,"",$A381,VLOOKUP($A381,SCAN!A:D,3,0))</f>
        <v/>
      </c>
    </row>
    <row r="382">
      <c r="A382" s="16"/>
      <c r="B382" s="6" t="str">
        <f>ifs($A382=FALSE,"",$A382,VLOOKUP($A382,SCAN!A:D,4,0))</f>
        <v/>
      </c>
      <c r="C382" s="7" t="str">
        <f t="shared" si="1"/>
        <v/>
      </c>
      <c r="D382" s="17" t="str">
        <f t="shared" si="3"/>
        <v/>
      </c>
      <c r="E382" s="9" t="str">
        <f>ifs($D382="","",countif('VISIT DATA'!$A:$A,$D382)=countif(D:D,$D382),"YES",countif('VISIT DATA'!$A:$A,$D382)=0,"NO",and(countif(D:D,$D382)&gt;1,countif('VISIT DATA'!$A:$A,$D382)&gt;=1),"YES",countif('VISIT DATA'!$A:$A,$D382)=countif(D:D,$D382),"YES")</f>
        <v/>
      </c>
      <c r="F382" s="9" t="str">
        <f>ifs($A382=FALSE,"",$A382,VLOOKUP($A382,SCAN!A:D,3,0))</f>
        <v/>
      </c>
    </row>
    <row r="383">
      <c r="A383" s="16"/>
      <c r="B383" s="6" t="str">
        <f>ifs($A383=FALSE,"",$A383,VLOOKUP($A383,SCAN!A:D,4,0))</f>
        <v/>
      </c>
      <c r="C383" s="7" t="str">
        <f t="shared" si="1"/>
        <v/>
      </c>
      <c r="D383" s="17" t="str">
        <f t="shared" si="3"/>
        <v/>
      </c>
      <c r="E383" s="9" t="str">
        <f>ifs($D383="","",countif('VISIT DATA'!$A:$A,$D383)=countif(D:D,$D383),"YES",countif('VISIT DATA'!$A:$A,$D383)=0,"NO",and(countif(D:D,$D383)&gt;1,countif('VISIT DATA'!$A:$A,$D383)&gt;=1),"YES",countif('VISIT DATA'!$A:$A,$D383)=countif(D:D,$D383),"YES")</f>
        <v/>
      </c>
      <c r="F383" s="9" t="str">
        <f>ifs($A383=FALSE,"",$A383,VLOOKUP($A383,SCAN!A:D,3,0))</f>
        <v/>
      </c>
    </row>
    <row r="384">
      <c r="A384" s="16"/>
      <c r="B384" s="6" t="str">
        <f>ifs($A384=FALSE,"",$A384,VLOOKUP($A384,SCAN!A:D,4,0))</f>
        <v/>
      </c>
      <c r="C384" s="7" t="str">
        <f t="shared" si="1"/>
        <v/>
      </c>
      <c r="D384" s="17" t="str">
        <f t="shared" si="3"/>
        <v/>
      </c>
      <c r="E384" s="9" t="str">
        <f>ifs($D384="","",countif('VISIT DATA'!$A:$A,$D384)=countif(D:D,$D384),"YES",countif('VISIT DATA'!$A:$A,$D384)=0,"NO",and(countif(D:D,$D384)&gt;1,countif('VISIT DATA'!$A:$A,$D384)&gt;=1),"YES",countif('VISIT DATA'!$A:$A,$D384)=countif(D:D,$D384),"YES")</f>
        <v/>
      </c>
      <c r="F384" s="9" t="str">
        <f>ifs($A384=FALSE,"",$A384,VLOOKUP($A384,SCAN!A:D,3,0))</f>
        <v/>
      </c>
    </row>
    <row r="385">
      <c r="A385" s="16"/>
      <c r="B385" s="6" t="str">
        <f>ifs($A385=FALSE,"",$A385,VLOOKUP($A385,SCAN!A:D,4,0))</f>
        <v/>
      </c>
      <c r="C385" s="7" t="str">
        <f t="shared" si="1"/>
        <v/>
      </c>
      <c r="D385" s="17" t="str">
        <f t="shared" si="3"/>
        <v/>
      </c>
      <c r="E385" s="9" t="str">
        <f>ifs($D385="","",countif('VISIT DATA'!$A:$A,$D385)=countif(D:D,$D385),"YES",countif('VISIT DATA'!$A:$A,$D385)=0,"NO",and(countif(D:D,$D385)&gt;1,countif('VISIT DATA'!$A:$A,$D385)&gt;=1),"YES",countif('VISIT DATA'!$A:$A,$D385)=countif(D:D,$D385),"YES")</f>
        <v/>
      </c>
      <c r="F385" s="9" t="str">
        <f>ifs($A385=FALSE,"",$A385,VLOOKUP($A385,SCAN!A:D,3,0))</f>
        <v/>
      </c>
    </row>
    <row r="386">
      <c r="A386" s="16"/>
      <c r="B386" s="6" t="str">
        <f>ifs($A386=FALSE,"",$A386,VLOOKUP($A386,SCAN!A:D,4,0))</f>
        <v/>
      </c>
      <c r="C386" s="7" t="str">
        <f t="shared" si="1"/>
        <v/>
      </c>
      <c r="D386" s="17" t="str">
        <f t="shared" si="3"/>
        <v/>
      </c>
      <c r="E386" s="9" t="str">
        <f>ifs($D386="","",countif('VISIT DATA'!$A:$A,$D386)=countif(D:D,$D386),"YES",countif('VISIT DATA'!$A:$A,$D386)=0,"NO",and(countif(D:D,$D386)&gt;1,countif('VISIT DATA'!$A:$A,$D386)&gt;=1),"YES",countif('VISIT DATA'!$A:$A,$D386)=countif(D:D,$D386),"YES")</f>
        <v/>
      </c>
      <c r="F386" s="9" t="str">
        <f>ifs($A386=FALSE,"",$A386,VLOOKUP($A386,SCAN!A:D,3,0))</f>
        <v/>
      </c>
    </row>
    <row r="387">
      <c r="A387" s="16"/>
      <c r="B387" s="6" t="str">
        <f>ifs($A387=FALSE,"",$A387,VLOOKUP($A387,SCAN!A:D,4,0))</f>
        <v/>
      </c>
      <c r="C387" s="7" t="str">
        <f t="shared" si="1"/>
        <v/>
      </c>
      <c r="D387" s="17" t="str">
        <f t="shared" si="3"/>
        <v/>
      </c>
      <c r="E387" s="9" t="str">
        <f>ifs($D387="","",countif('VISIT DATA'!$A:$A,$D387)=countif(D:D,$D387),"YES",countif('VISIT DATA'!$A:$A,$D387)=0,"NO",and(countif(D:D,$D387)&gt;1,countif('VISIT DATA'!$A:$A,$D387)&gt;=1),"YES",countif('VISIT DATA'!$A:$A,$D387)=countif(D:D,$D387),"YES")</f>
        <v/>
      </c>
      <c r="F387" s="9" t="str">
        <f>ifs($A387=FALSE,"",$A387,VLOOKUP($A387,SCAN!A:D,3,0))</f>
        <v/>
      </c>
    </row>
    <row r="388">
      <c r="A388" s="16"/>
      <c r="B388" s="6" t="str">
        <f>ifs($A388=FALSE,"",$A388,VLOOKUP($A388,SCAN!A:D,4,0))</f>
        <v/>
      </c>
      <c r="C388" s="7" t="str">
        <f t="shared" si="1"/>
        <v/>
      </c>
      <c r="D388" s="17" t="str">
        <f t="shared" si="3"/>
        <v/>
      </c>
      <c r="E388" s="9" t="str">
        <f>ifs($D388="","",countif('VISIT DATA'!$A:$A,$D388)=countif(D:D,$D388),"YES",countif('VISIT DATA'!$A:$A,$D388)=0,"NO",and(countif(D:D,$D388)&gt;1,countif('VISIT DATA'!$A:$A,$D388)&gt;=1),"YES",countif('VISIT DATA'!$A:$A,$D388)=countif(D:D,$D388),"YES")</f>
        <v/>
      </c>
      <c r="F388" s="9" t="str">
        <f>ifs($A388=FALSE,"",$A388,VLOOKUP($A388,SCAN!A:D,3,0))</f>
        <v/>
      </c>
    </row>
    <row r="389">
      <c r="A389" s="16"/>
      <c r="B389" s="6" t="str">
        <f>ifs($A389=FALSE,"",$A389,VLOOKUP($A389,SCAN!A:D,4,0))</f>
        <v/>
      </c>
      <c r="C389" s="7" t="str">
        <f t="shared" si="1"/>
        <v/>
      </c>
      <c r="D389" s="17" t="str">
        <f t="shared" si="3"/>
        <v/>
      </c>
      <c r="E389" s="9" t="str">
        <f>ifs($D389="","",countif('VISIT DATA'!$A:$A,$D389)=countif(D:D,$D389),"YES",countif('VISIT DATA'!$A:$A,$D389)=0,"NO",and(countif(D:D,$D389)&gt;1,countif('VISIT DATA'!$A:$A,$D389)&gt;=1),"YES",countif('VISIT DATA'!$A:$A,$D389)=countif(D:D,$D389),"YES")</f>
        <v/>
      </c>
      <c r="F389" s="9" t="str">
        <f>ifs($A389=FALSE,"",$A389,VLOOKUP($A389,SCAN!A:D,3,0))</f>
        <v/>
      </c>
    </row>
    <row r="390">
      <c r="A390" s="16"/>
      <c r="B390" s="6" t="str">
        <f>ifs($A390=FALSE,"",$A390,VLOOKUP($A390,SCAN!A:D,4,0))</f>
        <v/>
      </c>
      <c r="C390" s="7" t="str">
        <f t="shared" si="1"/>
        <v/>
      </c>
      <c r="D390" s="17" t="str">
        <f t="shared" si="3"/>
        <v/>
      </c>
      <c r="E390" s="9" t="str">
        <f>ifs($D390="","",countif('VISIT DATA'!$A:$A,$D390)=countif(D:D,$D390),"YES",countif('VISIT DATA'!$A:$A,$D390)=0,"NO",and(countif(D:D,$D390)&gt;1,countif('VISIT DATA'!$A:$A,$D390)&gt;=1),"YES",countif('VISIT DATA'!$A:$A,$D390)=countif(D:D,$D390),"YES")</f>
        <v/>
      </c>
      <c r="F390" s="9" t="str">
        <f>ifs($A390=FALSE,"",$A390,VLOOKUP($A390,SCAN!A:D,3,0))</f>
        <v/>
      </c>
    </row>
    <row r="391">
      <c r="A391" s="16"/>
      <c r="B391" s="6" t="str">
        <f>ifs($A391=FALSE,"",$A391,VLOOKUP($A391,SCAN!A:D,4,0))</f>
        <v/>
      </c>
      <c r="C391" s="7" t="str">
        <f t="shared" si="1"/>
        <v/>
      </c>
      <c r="D391" s="17" t="str">
        <f t="shared" si="3"/>
        <v/>
      </c>
      <c r="E391" s="9" t="str">
        <f>ifs($D391="","",countif('VISIT DATA'!$A:$A,$D391)=countif(D:D,$D391),"YES",countif('VISIT DATA'!$A:$A,$D391)=0,"NO",and(countif(D:D,$D391)&gt;1,countif('VISIT DATA'!$A:$A,$D391)&gt;=1),"YES",countif('VISIT DATA'!$A:$A,$D391)=countif(D:D,$D391),"YES")</f>
        <v/>
      </c>
      <c r="F391" s="9" t="str">
        <f>ifs($A391=FALSE,"",$A391,VLOOKUP($A391,SCAN!A:D,3,0))</f>
        <v/>
      </c>
    </row>
    <row r="392">
      <c r="A392" s="16"/>
      <c r="B392" s="6" t="str">
        <f>ifs($A392=FALSE,"",$A392,VLOOKUP($A392,SCAN!A:D,4,0))</f>
        <v/>
      </c>
      <c r="C392" s="7" t="str">
        <f t="shared" si="1"/>
        <v/>
      </c>
      <c r="D392" s="17" t="str">
        <f t="shared" si="3"/>
        <v/>
      </c>
      <c r="E392" s="9" t="str">
        <f>ifs($D392="","",countif('VISIT DATA'!$A:$A,$D392)=countif(D:D,$D392),"YES",countif('VISIT DATA'!$A:$A,$D392)=0,"NO",and(countif(D:D,$D392)&gt;1,countif('VISIT DATA'!$A:$A,$D392)&gt;=1),"YES",countif('VISIT DATA'!$A:$A,$D392)=countif(D:D,$D392),"YES")</f>
        <v/>
      </c>
      <c r="F392" s="9" t="str">
        <f>ifs($A392=FALSE,"",$A392,VLOOKUP($A392,SCAN!A:D,3,0))</f>
        <v/>
      </c>
    </row>
    <row r="393">
      <c r="A393" s="16"/>
      <c r="B393" s="6" t="str">
        <f>ifs($A393=FALSE,"",$A393,VLOOKUP($A393,SCAN!A:D,4,0))</f>
        <v/>
      </c>
      <c r="C393" s="7" t="str">
        <f t="shared" si="1"/>
        <v/>
      </c>
      <c r="D393" s="17" t="str">
        <f t="shared" si="3"/>
        <v/>
      </c>
      <c r="E393" s="9" t="str">
        <f>ifs($D393="","",countif('VISIT DATA'!$A:$A,$D393)=countif(D:D,$D393),"YES",countif('VISIT DATA'!$A:$A,$D393)=0,"NO",and(countif(D:D,$D393)&gt;1,countif('VISIT DATA'!$A:$A,$D393)&gt;=1),"YES",countif('VISIT DATA'!$A:$A,$D393)=countif(D:D,$D393),"YES")</f>
        <v/>
      </c>
      <c r="F393" s="9" t="str">
        <f>ifs($A393=FALSE,"",$A393,VLOOKUP($A393,SCAN!A:D,3,0))</f>
        <v/>
      </c>
    </row>
    <row r="394">
      <c r="A394" s="16"/>
      <c r="B394" s="6" t="str">
        <f>ifs($A394=FALSE,"",$A394,VLOOKUP($A394,SCAN!A:D,4,0))</f>
        <v/>
      </c>
      <c r="C394" s="7" t="str">
        <f t="shared" si="1"/>
        <v/>
      </c>
      <c r="D394" s="17" t="str">
        <f t="shared" si="3"/>
        <v/>
      </c>
      <c r="E394" s="9" t="str">
        <f>ifs($D394="","",countif('VISIT DATA'!$A:$A,$D394)=countif(D:D,$D394),"YES",countif('VISIT DATA'!$A:$A,$D394)=0,"NO",and(countif(D:D,$D394)&gt;1,countif('VISIT DATA'!$A:$A,$D394)&gt;=1),"YES",countif('VISIT DATA'!$A:$A,$D394)=countif(D:D,$D394),"YES")</f>
        <v/>
      </c>
      <c r="F394" s="9" t="str">
        <f>ifs($A394=FALSE,"",$A394,VLOOKUP($A394,SCAN!A:D,3,0))</f>
        <v/>
      </c>
    </row>
    <row r="395">
      <c r="A395" s="16"/>
      <c r="B395" s="6" t="str">
        <f>ifs($A395=FALSE,"",$A395,VLOOKUP($A395,SCAN!A:D,4,0))</f>
        <v/>
      </c>
      <c r="C395" s="7" t="str">
        <f t="shared" si="1"/>
        <v/>
      </c>
      <c r="D395" s="17" t="str">
        <f t="shared" si="3"/>
        <v/>
      </c>
      <c r="E395" s="9" t="str">
        <f>ifs($D395="","",countif('VISIT DATA'!$A:$A,$D395)=countif(D:D,$D395),"YES",countif('VISIT DATA'!$A:$A,$D395)=0,"NO",and(countif(D:D,$D395)&gt;1,countif('VISIT DATA'!$A:$A,$D395)&gt;=1),"YES",countif('VISIT DATA'!$A:$A,$D395)=countif(D:D,$D395),"YES")</f>
        <v/>
      </c>
      <c r="F395" s="9" t="str">
        <f>ifs($A395=FALSE,"",$A395,VLOOKUP($A395,SCAN!A:D,3,0))</f>
        <v/>
      </c>
    </row>
    <row r="396">
      <c r="A396" s="16"/>
      <c r="B396" s="6" t="str">
        <f>ifs($A396=FALSE,"",$A396,VLOOKUP($A396,SCAN!A:D,4,0))</f>
        <v/>
      </c>
      <c r="C396" s="7" t="str">
        <f t="shared" si="1"/>
        <v/>
      </c>
      <c r="D396" s="17" t="str">
        <f t="shared" si="3"/>
        <v/>
      </c>
      <c r="E396" s="9" t="str">
        <f>ifs($D396="","",countif('VISIT DATA'!$A:$A,$D396)=countif(D:D,$D396),"YES",countif('VISIT DATA'!$A:$A,$D396)=0,"NO",and(countif(D:D,$D396)&gt;1,countif('VISIT DATA'!$A:$A,$D396)&gt;=1),"YES",countif('VISIT DATA'!$A:$A,$D396)=countif(D:D,$D396),"YES")</f>
        <v/>
      </c>
      <c r="F396" s="9" t="str">
        <f>ifs($A396=FALSE,"",$A396,VLOOKUP($A396,SCAN!A:D,3,0))</f>
        <v/>
      </c>
    </row>
    <row r="397">
      <c r="A397" s="16"/>
      <c r="B397" s="6" t="str">
        <f>ifs($A397=FALSE,"",$A397,VLOOKUP($A397,SCAN!A:D,4,0))</f>
        <v/>
      </c>
      <c r="C397" s="7" t="str">
        <f t="shared" si="1"/>
        <v/>
      </c>
      <c r="D397" s="17" t="str">
        <f t="shared" si="3"/>
        <v/>
      </c>
      <c r="E397" s="9" t="str">
        <f>ifs($D397="","",countif('VISIT DATA'!$A:$A,$D397)=countif(D:D,$D397),"YES",countif('VISIT DATA'!$A:$A,$D397)=0,"NO",and(countif(D:D,$D397)&gt;1,countif('VISIT DATA'!$A:$A,$D397)&gt;=1),"YES",countif('VISIT DATA'!$A:$A,$D397)=countif(D:D,$D397),"YES")</f>
        <v/>
      </c>
      <c r="F397" s="9" t="str">
        <f>ifs($A397=FALSE,"",$A397,VLOOKUP($A397,SCAN!A:D,3,0))</f>
        <v/>
      </c>
    </row>
    <row r="398">
      <c r="A398" s="16"/>
      <c r="B398" s="6" t="str">
        <f>ifs($A398=FALSE,"",$A398,VLOOKUP($A398,SCAN!A:D,4,0))</f>
        <v/>
      </c>
      <c r="C398" s="7" t="str">
        <f t="shared" si="1"/>
        <v/>
      </c>
      <c r="D398" s="17" t="str">
        <f t="shared" si="3"/>
        <v/>
      </c>
      <c r="E398" s="9" t="str">
        <f>ifs($D398="","",countif('VISIT DATA'!$A:$A,$D398)=countif(D:D,$D398),"YES",countif('VISIT DATA'!$A:$A,$D398)=0,"NO",and(countif(D:D,$D398)&gt;1,countif('VISIT DATA'!$A:$A,$D398)&gt;=1),"YES",countif('VISIT DATA'!$A:$A,$D398)=countif(D:D,$D398),"YES")</f>
        <v/>
      </c>
      <c r="F398" s="9" t="str">
        <f>ifs($A398=FALSE,"",$A398,VLOOKUP($A398,SCAN!A:D,3,0))</f>
        <v/>
      </c>
    </row>
    <row r="399">
      <c r="A399" s="16"/>
      <c r="B399" s="6" t="str">
        <f>ifs($A399=FALSE,"",$A399,VLOOKUP($A399,SCAN!A:D,4,0))</f>
        <v/>
      </c>
      <c r="C399" s="7" t="str">
        <f t="shared" si="1"/>
        <v/>
      </c>
      <c r="D399" s="17" t="str">
        <f t="shared" si="3"/>
        <v/>
      </c>
      <c r="E399" s="9" t="str">
        <f>ifs($D399="","",countif('VISIT DATA'!$A:$A,$D399)=countif(D:D,$D399),"YES",countif('VISIT DATA'!$A:$A,$D399)=0,"NO",and(countif(D:D,$D399)&gt;1,countif('VISIT DATA'!$A:$A,$D399)&gt;=1),"YES",countif('VISIT DATA'!$A:$A,$D399)=countif(D:D,$D399),"YES")</f>
        <v/>
      </c>
      <c r="F399" s="9" t="str">
        <f>ifs($A399=FALSE,"",$A399,VLOOKUP($A399,SCAN!A:D,3,0))</f>
        <v/>
      </c>
    </row>
    <row r="400">
      <c r="A400" s="16"/>
      <c r="B400" s="6" t="str">
        <f>ifs($A400=FALSE,"",$A400,VLOOKUP($A400,SCAN!A:D,4,0))</f>
        <v/>
      </c>
      <c r="C400" s="7" t="str">
        <f t="shared" si="1"/>
        <v/>
      </c>
      <c r="D400" s="17" t="str">
        <f t="shared" si="3"/>
        <v/>
      </c>
      <c r="E400" s="9" t="str">
        <f>ifs($D400="","",countif('VISIT DATA'!$A:$A,$D400)=countif(D:D,$D400),"YES",countif('VISIT DATA'!$A:$A,$D400)=0,"NO",and(countif(D:D,$D400)&gt;1,countif('VISIT DATA'!$A:$A,$D400)&gt;=1),"YES",countif('VISIT DATA'!$A:$A,$D400)=countif(D:D,$D400),"YES")</f>
        <v/>
      </c>
      <c r="F400" s="9" t="str">
        <f>ifs($A400=FALSE,"",$A400,VLOOKUP($A400,SCAN!A:D,3,0))</f>
        <v/>
      </c>
    </row>
    <row r="401">
      <c r="A401" s="16"/>
      <c r="B401" s="6" t="str">
        <f>ifs($A401=FALSE,"",$A401,VLOOKUP($A401,SCAN!A:D,4,0))</f>
        <v/>
      </c>
      <c r="C401" s="7" t="str">
        <f t="shared" si="1"/>
        <v/>
      </c>
      <c r="D401" s="17" t="str">
        <f t="shared" si="3"/>
        <v/>
      </c>
      <c r="E401" s="9" t="str">
        <f>ifs($D401="","",countif('VISIT DATA'!$A:$A,$D401)=countif(D:D,$D401),"YES",countif('VISIT DATA'!$A:$A,$D401)=0,"NO",and(countif(D:D,$D401)&gt;1,countif('VISIT DATA'!$A:$A,$D401)&gt;=1),"YES",countif('VISIT DATA'!$A:$A,$D401)=countif(D:D,$D401),"YES")</f>
        <v/>
      </c>
      <c r="F401" s="9" t="str">
        <f>ifs($A401=FALSE,"",$A401,VLOOKUP($A401,SCAN!A:D,3,0))</f>
        <v/>
      </c>
    </row>
    <row r="402">
      <c r="A402" s="16"/>
      <c r="B402" s="6" t="str">
        <f>ifs($A402=FALSE,"",$A402,VLOOKUP($A402,SCAN!A:D,4,0))</f>
        <v/>
      </c>
      <c r="C402" s="7" t="str">
        <f t="shared" si="1"/>
        <v/>
      </c>
      <c r="D402" s="17" t="str">
        <f t="shared" si="3"/>
        <v/>
      </c>
      <c r="E402" s="9" t="str">
        <f>ifs($D402="","",countif('VISIT DATA'!$A:$A,$D402)=countif(D:D,$D402),"YES",countif('VISIT DATA'!$A:$A,$D402)=0,"NO",and(countif(D:D,$D402)&gt;1,countif('VISIT DATA'!$A:$A,$D402)&gt;=1),"YES",countif('VISIT DATA'!$A:$A,$D402)=countif(D:D,$D402),"YES")</f>
        <v/>
      </c>
      <c r="F402" s="9" t="str">
        <f>ifs($A402=FALSE,"",$A402,VLOOKUP($A402,SCAN!A:D,3,0))</f>
        <v/>
      </c>
    </row>
    <row r="403">
      <c r="A403" s="16"/>
      <c r="B403" s="6" t="str">
        <f>ifs($A403=FALSE,"",$A403,VLOOKUP($A403,SCAN!A:D,4,0))</f>
        <v/>
      </c>
      <c r="C403" s="7" t="str">
        <f t="shared" si="1"/>
        <v/>
      </c>
      <c r="D403" s="17" t="str">
        <f t="shared" si="3"/>
        <v/>
      </c>
      <c r="E403" s="9" t="str">
        <f>ifs($D403="","",countif('VISIT DATA'!$A:$A,$D403)=countif(D:D,$D403),"YES",countif('VISIT DATA'!$A:$A,$D403)=0,"NO",and(countif(D:D,$D403)&gt;1,countif('VISIT DATA'!$A:$A,$D403)&gt;=1),"YES",countif('VISIT DATA'!$A:$A,$D403)=countif(D:D,$D403),"YES")</f>
        <v/>
      </c>
      <c r="F403" s="9" t="str">
        <f>ifs($A403=FALSE,"",$A403,VLOOKUP($A403,SCAN!A:D,3,0))</f>
        <v/>
      </c>
    </row>
    <row r="404">
      <c r="A404" s="16"/>
      <c r="B404" s="6" t="str">
        <f>ifs($A404=FALSE,"",$A404,VLOOKUP($A404,SCAN!A:D,4,0))</f>
        <v/>
      </c>
      <c r="C404" s="7" t="str">
        <f t="shared" si="1"/>
        <v/>
      </c>
      <c r="D404" s="17" t="str">
        <f t="shared" si="3"/>
        <v/>
      </c>
      <c r="E404" s="9" t="str">
        <f>ifs($D404="","",countif('VISIT DATA'!$A:$A,$D404)=countif(D:D,$D404),"YES",countif('VISIT DATA'!$A:$A,$D404)=0,"NO",and(countif(D:D,$D404)&gt;1,countif('VISIT DATA'!$A:$A,$D404)&gt;=1),"YES",countif('VISIT DATA'!$A:$A,$D404)=countif(D:D,$D404),"YES")</f>
        <v/>
      </c>
      <c r="F404" s="9" t="str">
        <f>ifs($A404=FALSE,"",$A404,VLOOKUP($A404,SCAN!A:D,3,0))</f>
        <v/>
      </c>
    </row>
    <row r="405">
      <c r="A405" s="16"/>
      <c r="B405" s="6" t="str">
        <f>ifs($A405=FALSE,"",$A405,VLOOKUP($A405,SCAN!A:D,4,0))</f>
        <v/>
      </c>
      <c r="C405" s="7" t="str">
        <f t="shared" si="1"/>
        <v/>
      </c>
      <c r="D405" s="17" t="str">
        <f t="shared" si="3"/>
        <v/>
      </c>
      <c r="E405" s="9" t="str">
        <f>ifs($D405="","",countif('VISIT DATA'!$A:$A,$D405)=countif(D:D,$D405),"YES",countif('VISIT DATA'!$A:$A,$D405)=0,"NO",and(countif(D:D,$D405)&gt;1,countif('VISIT DATA'!$A:$A,$D405)&gt;=1),"YES",countif('VISIT DATA'!$A:$A,$D405)=countif(D:D,$D405),"YES")</f>
        <v/>
      </c>
      <c r="F405" s="9" t="str">
        <f>ifs($A405=FALSE,"",$A405,VLOOKUP($A405,SCAN!A:D,3,0))</f>
        <v/>
      </c>
    </row>
    <row r="406">
      <c r="A406" s="16"/>
      <c r="B406" s="6" t="str">
        <f>ifs($A406=FALSE,"",$A406,VLOOKUP($A406,SCAN!A:D,4,0))</f>
        <v/>
      </c>
      <c r="C406" s="7" t="str">
        <f t="shared" si="1"/>
        <v/>
      </c>
      <c r="D406" s="17" t="str">
        <f t="shared" si="3"/>
        <v/>
      </c>
      <c r="E406" s="9" t="str">
        <f>ifs($D406="","",countif('VISIT DATA'!$A:$A,$D406)=countif(D:D,$D406),"YES",countif('VISIT DATA'!$A:$A,$D406)=0,"NO",and(countif(D:D,$D406)&gt;1,countif('VISIT DATA'!$A:$A,$D406)&gt;=1),"YES",countif('VISIT DATA'!$A:$A,$D406)=countif(D:D,$D406),"YES")</f>
        <v/>
      </c>
      <c r="F406" s="9" t="str">
        <f>ifs($A406=FALSE,"",$A406,VLOOKUP($A406,SCAN!A:D,3,0))</f>
        <v/>
      </c>
    </row>
    <row r="407">
      <c r="A407" s="16"/>
      <c r="B407" s="6" t="str">
        <f>ifs($A407=FALSE,"",$A407,VLOOKUP($A407,SCAN!A:D,4,0))</f>
        <v/>
      </c>
      <c r="C407" s="7" t="str">
        <f t="shared" si="1"/>
        <v/>
      </c>
      <c r="D407" s="17" t="str">
        <f t="shared" si="3"/>
        <v/>
      </c>
      <c r="E407" s="9" t="str">
        <f>ifs($D407="","",countif('VISIT DATA'!$A:$A,$D407)=countif(D:D,$D407),"YES",countif('VISIT DATA'!$A:$A,$D407)=0,"NO",and(countif(D:D,$D407)&gt;1,countif('VISIT DATA'!$A:$A,$D407)&gt;=1),"YES",countif('VISIT DATA'!$A:$A,$D407)=countif(D:D,$D407),"YES")</f>
        <v/>
      </c>
      <c r="F407" s="9" t="str">
        <f>ifs($A407=FALSE,"",$A407,VLOOKUP($A407,SCAN!A:D,3,0))</f>
        <v/>
      </c>
    </row>
    <row r="408">
      <c r="A408" s="16"/>
      <c r="B408" s="6" t="str">
        <f>ifs($A408=FALSE,"",$A408,VLOOKUP($A408,SCAN!A:D,4,0))</f>
        <v/>
      </c>
      <c r="C408" s="7" t="str">
        <f t="shared" si="1"/>
        <v/>
      </c>
      <c r="D408" s="17" t="str">
        <f t="shared" si="3"/>
        <v/>
      </c>
      <c r="E408" s="9" t="str">
        <f>ifs($D408="","",countif('VISIT DATA'!$A:$A,$D408)=countif(D:D,$D408),"YES",countif('VISIT DATA'!$A:$A,$D408)=0,"NO",and(countif(D:D,$D408)&gt;1,countif('VISIT DATA'!$A:$A,$D408)&gt;=1),"YES",countif('VISIT DATA'!$A:$A,$D408)=countif(D:D,$D408),"YES")</f>
        <v/>
      </c>
      <c r="F408" s="9" t="str">
        <f>ifs($A408=FALSE,"",$A408,VLOOKUP($A408,SCAN!A:D,3,0))</f>
        <v/>
      </c>
    </row>
    <row r="409">
      <c r="A409" s="16"/>
      <c r="B409" s="6" t="str">
        <f>ifs($A409=FALSE,"",$A409,VLOOKUP($A409,SCAN!A:D,4,0))</f>
        <v/>
      </c>
      <c r="C409" s="7" t="str">
        <f t="shared" si="1"/>
        <v/>
      </c>
      <c r="D409" s="17" t="str">
        <f t="shared" si="3"/>
        <v/>
      </c>
      <c r="E409" s="9" t="str">
        <f>ifs($D409="","",countif('VISIT DATA'!$A:$A,$D409)=countif(D:D,$D409),"YES",countif('VISIT DATA'!$A:$A,$D409)=0,"NO",and(countif(D:D,$D409)&gt;1,countif('VISIT DATA'!$A:$A,$D409)&gt;=1),"YES",countif('VISIT DATA'!$A:$A,$D409)=countif(D:D,$D409),"YES")</f>
        <v/>
      </c>
      <c r="F409" s="9" t="str">
        <f>ifs($A409=FALSE,"",$A409,VLOOKUP($A409,SCAN!A:D,3,0))</f>
        <v/>
      </c>
    </row>
    <row r="410">
      <c r="A410" s="16"/>
      <c r="B410" s="6" t="str">
        <f>ifs($A410=FALSE,"",$A410,VLOOKUP($A410,SCAN!A:D,4,0))</f>
        <v/>
      </c>
      <c r="C410" s="7" t="str">
        <f t="shared" si="1"/>
        <v/>
      </c>
      <c r="D410" s="17" t="str">
        <f t="shared" si="3"/>
        <v/>
      </c>
      <c r="E410" s="9" t="str">
        <f>ifs($D410="","",countif('VISIT DATA'!$A:$A,$D410)=countif(D:D,$D410),"YES",countif('VISIT DATA'!$A:$A,$D410)=0,"NO",and(countif(D:D,$D410)&gt;1,countif('VISIT DATA'!$A:$A,$D410)&gt;=1),"YES",countif('VISIT DATA'!$A:$A,$D410)=countif(D:D,$D410),"YES")</f>
        <v/>
      </c>
      <c r="F410" s="9" t="str">
        <f>ifs($A410=FALSE,"",$A410,VLOOKUP($A410,SCAN!A:D,3,0))</f>
        <v/>
      </c>
    </row>
    <row r="411">
      <c r="A411" s="16"/>
      <c r="B411" s="6" t="str">
        <f>ifs($A411=FALSE,"",$A411,VLOOKUP($A411,SCAN!A:D,4,0))</f>
        <v/>
      </c>
      <c r="C411" s="7" t="str">
        <f t="shared" si="1"/>
        <v/>
      </c>
      <c r="D411" s="17" t="str">
        <f t="shared" si="3"/>
        <v/>
      </c>
      <c r="E411" s="9" t="str">
        <f>ifs($D411="","",countif('VISIT DATA'!$A:$A,$D411)=countif(D:D,$D411),"YES",countif('VISIT DATA'!$A:$A,$D411)=0,"NO",and(countif(D:D,$D411)&gt;1,countif('VISIT DATA'!$A:$A,$D411)&gt;=1),"YES",countif('VISIT DATA'!$A:$A,$D411)=countif(D:D,$D411),"YES")</f>
        <v/>
      </c>
      <c r="F411" s="9" t="str">
        <f>ifs($A411=FALSE,"",$A411,VLOOKUP($A411,SCAN!A:D,3,0))</f>
        <v/>
      </c>
    </row>
    <row r="412">
      <c r="A412" s="16"/>
      <c r="B412" s="6" t="str">
        <f>ifs($A412=FALSE,"",$A412,VLOOKUP($A412,SCAN!A:D,4,0))</f>
        <v/>
      </c>
      <c r="C412" s="7" t="str">
        <f t="shared" si="1"/>
        <v/>
      </c>
      <c r="D412" s="17" t="str">
        <f t="shared" si="3"/>
        <v/>
      </c>
      <c r="E412" s="9" t="str">
        <f>ifs($D412="","",countif('VISIT DATA'!$A:$A,$D412)=countif(D:D,$D412),"YES",countif('VISIT DATA'!$A:$A,$D412)=0,"NO",and(countif(D:D,$D412)&gt;1,countif('VISIT DATA'!$A:$A,$D412)&gt;=1),"YES",countif('VISIT DATA'!$A:$A,$D412)=countif(D:D,$D412),"YES")</f>
        <v/>
      </c>
      <c r="F412" s="9" t="str">
        <f>ifs($A412=FALSE,"",$A412,VLOOKUP($A412,SCAN!A:D,3,0))</f>
        <v/>
      </c>
    </row>
    <row r="413">
      <c r="A413" s="16"/>
      <c r="B413" s="6" t="str">
        <f>ifs($A413=FALSE,"",$A413,VLOOKUP($A413,SCAN!A:D,4,0))</f>
        <v/>
      </c>
      <c r="C413" s="7" t="str">
        <f t="shared" si="1"/>
        <v/>
      </c>
      <c r="D413" s="17" t="str">
        <f t="shared" si="3"/>
        <v/>
      </c>
      <c r="E413" s="9" t="str">
        <f>ifs($D413="","",countif('VISIT DATA'!$A:$A,$D413)=countif(D:D,$D413),"YES",countif('VISIT DATA'!$A:$A,$D413)=0,"NO",and(countif(D:D,$D413)&gt;1,countif('VISIT DATA'!$A:$A,$D413)&gt;=1),"YES",countif('VISIT DATA'!$A:$A,$D413)=countif(D:D,$D413),"YES")</f>
        <v/>
      </c>
      <c r="F413" s="9" t="str">
        <f>ifs($A413=FALSE,"",$A413,VLOOKUP($A413,SCAN!A:D,3,0))</f>
        <v/>
      </c>
    </row>
    <row r="414">
      <c r="A414" s="16"/>
      <c r="B414" s="6" t="str">
        <f>ifs($A414=FALSE,"",$A414,VLOOKUP($A414,SCAN!A:D,4,0))</f>
        <v/>
      </c>
      <c r="C414" s="7" t="str">
        <f t="shared" si="1"/>
        <v/>
      </c>
      <c r="D414" s="17" t="str">
        <f t="shared" si="3"/>
        <v/>
      </c>
      <c r="E414" s="9" t="str">
        <f>ifs($D414="","",countif('VISIT DATA'!$A:$A,$D414)=countif(D:D,$D414),"YES",countif('VISIT DATA'!$A:$A,$D414)=0,"NO",and(countif(D:D,$D414)&gt;1,countif('VISIT DATA'!$A:$A,$D414)&gt;=1),"YES",countif('VISIT DATA'!$A:$A,$D414)=countif(D:D,$D414),"YES")</f>
        <v/>
      </c>
      <c r="F414" s="9" t="str">
        <f>ifs($A414=FALSE,"",$A414,VLOOKUP($A414,SCAN!A:D,3,0))</f>
        <v/>
      </c>
    </row>
    <row r="415">
      <c r="A415" s="16"/>
      <c r="B415" s="6" t="str">
        <f>ifs($A415=FALSE,"",$A415,VLOOKUP($A415,SCAN!A:D,4,0))</f>
        <v/>
      </c>
      <c r="C415" s="7" t="str">
        <f t="shared" si="1"/>
        <v/>
      </c>
      <c r="D415" s="17" t="str">
        <f t="shared" si="3"/>
        <v/>
      </c>
      <c r="E415" s="9" t="str">
        <f>ifs($D415="","",countif('VISIT DATA'!$A:$A,$D415)=countif(D:D,$D415),"YES",countif('VISIT DATA'!$A:$A,$D415)=0,"NO",and(countif(D:D,$D415)&gt;1,countif('VISIT DATA'!$A:$A,$D415)&gt;=1),"YES",countif('VISIT DATA'!$A:$A,$D415)=countif(D:D,$D415),"YES")</f>
        <v/>
      </c>
      <c r="F415" s="9" t="str">
        <f>ifs($A415=FALSE,"",$A415,VLOOKUP($A415,SCAN!A:D,3,0))</f>
        <v/>
      </c>
    </row>
    <row r="416">
      <c r="A416" s="16"/>
      <c r="B416" s="6" t="str">
        <f>ifs($A416=FALSE,"",$A416,VLOOKUP($A416,SCAN!A:D,4,0))</f>
        <v/>
      </c>
      <c r="C416" s="7" t="str">
        <f t="shared" si="1"/>
        <v/>
      </c>
      <c r="D416" s="17" t="str">
        <f t="shared" si="3"/>
        <v/>
      </c>
      <c r="E416" s="9" t="str">
        <f>ifs($D416="","",countif('VISIT DATA'!$A:$A,$D416)=countif(D:D,$D416),"YES",countif('VISIT DATA'!$A:$A,$D416)=0,"NO",and(countif(D:D,$D416)&gt;1,countif('VISIT DATA'!$A:$A,$D416)&gt;=1),"YES",countif('VISIT DATA'!$A:$A,$D416)=countif(D:D,$D416),"YES")</f>
        <v/>
      </c>
      <c r="F416" s="9" t="str">
        <f>ifs($A416=FALSE,"",$A416,VLOOKUP($A416,SCAN!A:D,3,0))</f>
        <v/>
      </c>
    </row>
    <row r="417">
      <c r="A417" s="16"/>
      <c r="B417" s="6" t="str">
        <f>ifs($A417=FALSE,"",$A417,VLOOKUP($A417,SCAN!A:D,4,0))</f>
        <v/>
      </c>
      <c r="C417" s="7" t="str">
        <f t="shared" si="1"/>
        <v/>
      </c>
      <c r="D417" s="17" t="str">
        <f t="shared" si="3"/>
        <v/>
      </c>
      <c r="E417" s="9" t="str">
        <f>ifs($D417="","",countif('VISIT DATA'!$A:$A,$D417)=countif(D:D,$D417),"YES",countif('VISIT DATA'!$A:$A,$D417)=0,"NO",and(countif(D:D,$D417)&gt;1,countif('VISIT DATA'!$A:$A,$D417)&gt;=1),"YES",countif('VISIT DATA'!$A:$A,$D417)=countif(D:D,$D417),"YES")</f>
        <v/>
      </c>
      <c r="F417" s="9" t="str">
        <f>ifs($A417=FALSE,"",$A417,VLOOKUP($A417,SCAN!A:D,3,0))</f>
        <v/>
      </c>
    </row>
    <row r="418">
      <c r="A418" s="16"/>
      <c r="B418" s="6" t="str">
        <f>ifs($A418=FALSE,"",$A418,VLOOKUP($A418,SCAN!A:D,4,0))</f>
        <v/>
      </c>
      <c r="C418" s="7" t="str">
        <f t="shared" si="1"/>
        <v/>
      </c>
      <c r="D418" s="17" t="str">
        <f t="shared" si="3"/>
        <v/>
      </c>
      <c r="E418" s="9" t="str">
        <f>ifs($D418="","",countif('VISIT DATA'!$A:$A,$D418)=countif(D:D,$D418),"YES",countif('VISIT DATA'!$A:$A,$D418)=0,"NO",and(countif(D:D,$D418)&gt;1,countif('VISIT DATA'!$A:$A,$D418)&gt;=1),"YES",countif('VISIT DATA'!$A:$A,$D418)=countif(D:D,$D418),"YES")</f>
        <v/>
      </c>
      <c r="F418" s="9" t="str">
        <f>ifs($A418=FALSE,"",$A418,VLOOKUP($A418,SCAN!A:D,3,0))</f>
        <v/>
      </c>
    </row>
    <row r="419">
      <c r="A419" s="16"/>
      <c r="B419" s="6" t="str">
        <f>ifs($A419=FALSE,"",$A419,VLOOKUP($A419,SCAN!A:D,4,0))</f>
        <v/>
      </c>
      <c r="C419" s="7" t="str">
        <f t="shared" si="1"/>
        <v/>
      </c>
      <c r="D419" s="17" t="str">
        <f t="shared" si="3"/>
        <v/>
      </c>
      <c r="E419" s="9" t="str">
        <f>ifs($D419="","",countif('VISIT DATA'!$A:$A,$D419)=countif(D:D,$D419),"YES",countif('VISIT DATA'!$A:$A,$D419)=0,"NO",and(countif(D:D,$D419)&gt;1,countif('VISIT DATA'!$A:$A,$D419)&gt;=1),"YES",countif('VISIT DATA'!$A:$A,$D419)=countif(D:D,$D419),"YES")</f>
        <v/>
      </c>
      <c r="F419" s="9" t="str">
        <f>ifs($A419=FALSE,"",$A419,VLOOKUP($A419,SCAN!A:D,3,0))</f>
        <v/>
      </c>
    </row>
    <row r="420">
      <c r="A420" s="16"/>
      <c r="B420" s="6" t="str">
        <f>ifs($A420=FALSE,"",$A420,VLOOKUP($A420,SCAN!A:D,4,0))</f>
        <v/>
      </c>
      <c r="C420" s="7" t="str">
        <f t="shared" si="1"/>
        <v/>
      </c>
      <c r="D420" s="17" t="str">
        <f t="shared" si="3"/>
        <v/>
      </c>
      <c r="E420" s="9" t="str">
        <f>ifs($D420="","",countif('VISIT DATA'!$A:$A,$D420)=countif(D:D,$D420),"YES",countif('VISIT DATA'!$A:$A,$D420)=0,"NO",and(countif(D:D,$D420)&gt;1,countif('VISIT DATA'!$A:$A,$D420)&gt;=1),"YES",countif('VISIT DATA'!$A:$A,$D420)=countif(D:D,$D420),"YES")</f>
        <v/>
      </c>
      <c r="F420" s="9" t="str">
        <f>ifs($A420=FALSE,"",$A420,VLOOKUP($A420,SCAN!A:D,3,0))</f>
        <v/>
      </c>
    </row>
    <row r="421">
      <c r="A421" s="16"/>
      <c r="B421" s="6" t="str">
        <f>ifs($A421=FALSE,"",$A421,VLOOKUP($A421,SCAN!A:D,4,0))</f>
        <v/>
      </c>
      <c r="C421" s="7" t="str">
        <f t="shared" si="1"/>
        <v/>
      </c>
      <c r="D421" s="17" t="str">
        <f t="shared" si="3"/>
        <v/>
      </c>
      <c r="E421" s="9" t="str">
        <f>ifs($D421="","",countif('VISIT DATA'!$A:$A,$D421)=countif(D:D,$D421),"YES",countif('VISIT DATA'!$A:$A,$D421)=0,"NO",and(countif(D:D,$D421)&gt;1,countif('VISIT DATA'!$A:$A,$D421)&gt;=1),"YES",countif('VISIT DATA'!$A:$A,$D421)=countif(D:D,$D421),"YES")</f>
        <v/>
      </c>
      <c r="F421" s="9" t="str">
        <f>ifs($A421=FALSE,"",$A421,VLOOKUP($A421,SCAN!A:D,3,0))</f>
        <v/>
      </c>
    </row>
    <row r="422">
      <c r="A422" s="16"/>
      <c r="B422" s="6" t="str">
        <f>ifs($A422=FALSE,"",$A422,VLOOKUP($A422,SCAN!A:D,4,0))</f>
        <v/>
      </c>
      <c r="C422" s="7" t="str">
        <f t="shared" si="1"/>
        <v/>
      </c>
      <c r="D422" s="17" t="str">
        <f t="shared" si="3"/>
        <v/>
      </c>
      <c r="E422" s="9" t="str">
        <f>ifs($D422="","",countif('VISIT DATA'!$A:$A,$D422)=countif(D:D,$D422),"YES",countif('VISIT DATA'!$A:$A,$D422)=0,"NO",and(countif(D:D,$D422)&gt;1,countif('VISIT DATA'!$A:$A,$D422)&gt;=1),"YES",countif('VISIT DATA'!$A:$A,$D422)=countif(D:D,$D422),"YES")</f>
        <v/>
      </c>
      <c r="F422" s="9" t="str">
        <f>ifs($A422=FALSE,"",$A422,VLOOKUP($A422,SCAN!A:D,3,0))</f>
        <v/>
      </c>
    </row>
    <row r="423">
      <c r="A423" s="16"/>
      <c r="B423" s="6" t="str">
        <f>ifs($A423=FALSE,"",$A423,VLOOKUP($A423,SCAN!A:D,4,0))</f>
        <v/>
      </c>
      <c r="C423" s="7" t="str">
        <f t="shared" si="1"/>
        <v/>
      </c>
      <c r="D423" s="17" t="str">
        <f t="shared" si="3"/>
        <v/>
      </c>
      <c r="E423" s="9" t="str">
        <f>ifs($D423="","",countif('VISIT DATA'!$A:$A,$D423)=countif(D:D,$D423),"YES",countif('VISIT DATA'!$A:$A,$D423)=0,"NO",and(countif(D:D,$D423)&gt;1,countif('VISIT DATA'!$A:$A,$D423)&gt;=1),"YES",countif('VISIT DATA'!$A:$A,$D423)=countif(D:D,$D423),"YES")</f>
        <v/>
      </c>
      <c r="F423" s="9" t="str">
        <f>ifs($A423=FALSE,"",$A423,VLOOKUP($A423,SCAN!A:D,3,0))</f>
        <v/>
      </c>
    </row>
    <row r="424">
      <c r="A424" s="16"/>
      <c r="B424" s="6" t="str">
        <f>ifs($A424=FALSE,"",$A424,VLOOKUP($A424,SCAN!A:D,4,0))</f>
        <v/>
      </c>
      <c r="C424" s="7" t="str">
        <f t="shared" si="1"/>
        <v/>
      </c>
      <c r="D424" s="17" t="str">
        <f t="shared" si="3"/>
        <v/>
      </c>
      <c r="E424" s="9" t="str">
        <f>ifs($D424="","",countif('VISIT DATA'!$A:$A,$D424)=countif(D:D,$D424),"YES",countif('VISIT DATA'!$A:$A,$D424)=0,"NO",and(countif(D:D,$D424)&gt;1,countif('VISIT DATA'!$A:$A,$D424)&gt;=1),"YES",countif('VISIT DATA'!$A:$A,$D424)=countif(D:D,$D424),"YES")</f>
        <v/>
      </c>
      <c r="F424" s="9" t="str">
        <f>ifs($A424=FALSE,"",$A424,VLOOKUP($A424,SCAN!A:D,3,0))</f>
        <v/>
      </c>
    </row>
    <row r="425">
      <c r="A425" s="16"/>
      <c r="B425" s="6" t="str">
        <f>ifs($A425=FALSE,"",$A425,VLOOKUP($A425,SCAN!A:D,4,0))</f>
        <v/>
      </c>
      <c r="C425" s="7" t="str">
        <f t="shared" si="1"/>
        <v/>
      </c>
      <c r="D425" s="17" t="str">
        <f t="shared" si="3"/>
        <v/>
      </c>
      <c r="E425" s="9" t="str">
        <f>ifs($D425="","",countif('VISIT DATA'!$A:$A,$D425)=countif(D:D,$D425),"YES",countif('VISIT DATA'!$A:$A,$D425)=0,"NO",and(countif(D:D,$D425)&gt;1,countif('VISIT DATA'!$A:$A,$D425)&gt;=1),"YES",countif('VISIT DATA'!$A:$A,$D425)=countif(D:D,$D425),"YES")</f>
        <v/>
      </c>
      <c r="F425" s="9" t="str">
        <f>ifs($A425=FALSE,"",$A425,VLOOKUP($A425,SCAN!A:D,3,0))</f>
        <v/>
      </c>
    </row>
    <row r="426">
      <c r="A426" s="16"/>
      <c r="B426" s="6" t="str">
        <f>ifs($A426=FALSE,"",$A426,VLOOKUP($A426,SCAN!A:D,4,0))</f>
        <v/>
      </c>
      <c r="C426" s="7" t="str">
        <f t="shared" si="1"/>
        <v/>
      </c>
      <c r="D426" s="17" t="str">
        <f t="shared" si="3"/>
        <v/>
      </c>
      <c r="E426" s="9" t="str">
        <f>ifs($D426="","",countif('VISIT DATA'!$A:$A,$D426)=countif(D:D,$D426),"YES",countif('VISIT DATA'!$A:$A,$D426)=0,"NO",and(countif(D:D,$D426)&gt;1,countif('VISIT DATA'!$A:$A,$D426)&gt;=1),"YES",countif('VISIT DATA'!$A:$A,$D426)=countif(D:D,$D426),"YES")</f>
        <v/>
      </c>
      <c r="F426" s="9" t="str">
        <f>ifs($A426=FALSE,"",$A426,VLOOKUP($A426,SCAN!A:D,3,0))</f>
        <v/>
      </c>
    </row>
    <row r="427">
      <c r="A427" s="16"/>
      <c r="B427" s="6" t="str">
        <f>ifs($A427=FALSE,"",$A427,VLOOKUP($A427,SCAN!A:D,4,0))</f>
        <v/>
      </c>
      <c r="C427" s="7" t="str">
        <f t="shared" si="1"/>
        <v/>
      </c>
      <c r="D427" s="17" t="str">
        <f t="shared" si="3"/>
        <v/>
      </c>
      <c r="E427" s="9" t="str">
        <f>ifs($D427="","",countif('VISIT DATA'!$A:$A,$D427)=countif(D:D,$D427),"YES",countif('VISIT DATA'!$A:$A,$D427)=0,"NO",and(countif(D:D,$D427)&gt;1,countif('VISIT DATA'!$A:$A,$D427)&gt;=1),"YES",countif('VISIT DATA'!$A:$A,$D427)=countif(D:D,$D427),"YES")</f>
        <v/>
      </c>
      <c r="F427" s="9" t="str">
        <f>ifs($A427=FALSE,"",$A427,VLOOKUP($A427,SCAN!A:D,3,0))</f>
        <v/>
      </c>
    </row>
    <row r="428">
      <c r="A428" s="16"/>
      <c r="B428" s="6" t="str">
        <f>ifs($A428=FALSE,"",$A428,VLOOKUP($A428,SCAN!A:D,4,0))</f>
        <v/>
      </c>
      <c r="C428" s="7" t="str">
        <f t="shared" si="1"/>
        <v/>
      </c>
      <c r="D428" s="17" t="str">
        <f t="shared" si="3"/>
        <v/>
      </c>
      <c r="E428" s="9" t="str">
        <f>ifs($D428="","",countif('VISIT DATA'!$A:$A,$D428)=countif(D:D,$D428),"YES",countif('VISIT DATA'!$A:$A,$D428)=0,"NO",and(countif(D:D,$D428)&gt;1,countif('VISIT DATA'!$A:$A,$D428)&gt;=1),"YES",countif('VISIT DATA'!$A:$A,$D428)=countif(D:D,$D428),"YES")</f>
        <v/>
      </c>
      <c r="F428" s="9" t="str">
        <f>ifs($A428=FALSE,"",$A428,VLOOKUP($A428,SCAN!A:D,3,0))</f>
        <v/>
      </c>
    </row>
    <row r="429">
      <c r="A429" s="16"/>
      <c r="B429" s="6" t="str">
        <f>ifs($A429=FALSE,"",$A429,VLOOKUP($A429,SCAN!A:D,4,0))</f>
        <v/>
      </c>
      <c r="C429" s="7" t="str">
        <f t="shared" si="1"/>
        <v/>
      </c>
      <c r="D429" s="17" t="str">
        <f t="shared" si="3"/>
        <v/>
      </c>
      <c r="E429" s="9" t="str">
        <f>ifs($D429="","",countif('VISIT DATA'!$A:$A,$D429)=countif(D:D,$D429),"YES",countif('VISIT DATA'!$A:$A,$D429)=0,"NO",and(countif(D:D,$D429)&gt;1,countif('VISIT DATA'!$A:$A,$D429)&gt;=1),"YES",countif('VISIT DATA'!$A:$A,$D429)=countif(D:D,$D429),"YES")</f>
        <v/>
      </c>
      <c r="F429" s="9" t="str">
        <f>ifs($A429=FALSE,"",$A429,VLOOKUP($A429,SCAN!A:D,3,0))</f>
        <v/>
      </c>
    </row>
    <row r="430">
      <c r="A430" s="16"/>
      <c r="B430" s="6" t="str">
        <f>ifs($A430=FALSE,"",$A430,VLOOKUP($A430,SCAN!A:D,4,0))</f>
        <v/>
      </c>
      <c r="C430" s="7" t="str">
        <f t="shared" si="1"/>
        <v/>
      </c>
      <c r="D430" s="17" t="str">
        <f t="shared" si="3"/>
        <v/>
      </c>
      <c r="E430" s="9" t="str">
        <f>ifs($D430="","",countif('VISIT DATA'!$A:$A,$D430)=countif(D:D,$D430),"YES",countif('VISIT DATA'!$A:$A,$D430)=0,"NO",and(countif(D:D,$D430)&gt;1,countif('VISIT DATA'!$A:$A,$D430)&gt;=1),"YES",countif('VISIT DATA'!$A:$A,$D430)=countif(D:D,$D430),"YES")</f>
        <v/>
      </c>
      <c r="F430" s="9" t="str">
        <f>ifs($A430=FALSE,"",$A430,VLOOKUP($A430,SCAN!A:D,3,0))</f>
        <v/>
      </c>
    </row>
    <row r="431">
      <c r="A431" s="16"/>
      <c r="B431" s="6" t="str">
        <f>ifs($A431=FALSE,"",$A431,VLOOKUP($A431,SCAN!A:D,4,0))</f>
        <v/>
      </c>
      <c r="C431" s="7" t="str">
        <f t="shared" si="1"/>
        <v/>
      </c>
      <c r="D431" s="17" t="str">
        <f t="shared" si="3"/>
        <v/>
      </c>
      <c r="E431" s="9" t="str">
        <f>ifs($D431="","",countif('VISIT DATA'!$A:$A,$D431)=countif(D:D,$D431),"YES",countif('VISIT DATA'!$A:$A,$D431)=0,"NO",and(countif(D:D,$D431)&gt;1,countif('VISIT DATA'!$A:$A,$D431)&gt;=1),"YES",countif('VISIT DATA'!$A:$A,$D431)=countif(D:D,$D431),"YES")</f>
        <v/>
      </c>
      <c r="F431" s="9" t="str">
        <f>ifs($A431=FALSE,"",$A431,VLOOKUP($A431,SCAN!A:D,3,0))</f>
        <v/>
      </c>
    </row>
    <row r="432">
      <c r="A432" s="16"/>
      <c r="B432" s="6" t="str">
        <f>ifs($A432=FALSE,"",$A432,VLOOKUP($A432,SCAN!A:D,4,0))</f>
        <v/>
      </c>
      <c r="C432" s="7" t="str">
        <f t="shared" si="1"/>
        <v/>
      </c>
      <c r="D432" s="17" t="str">
        <f t="shared" si="3"/>
        <v/>
      </c>
      <c r="E432" s="9" t="str">
        <f>ifs($D432="","",countif('VISIT DATA'!$A:$A,$D432)=countif(D:D,$D432),"YES",countif('VISIT DATA'!$A:$A,$D432)=0,"NO",and(countif(D:D,$D432)&gt;1,countif('VISIT DATA'!$A:$A,$D432)&gt;=1),"YES",countif('VISIT DATA'!$A:$A,$D432)=countif(D:D,$D432),"YES")</f>
        <v/>
      </c>
      <c r="F432" s="9" t="str">
        <f>ifs($A432=FALSE,"",$A432,VLOOKUP($A432,SCAN!A:D,3,0))</f>
        <v/>
      </c>
    </row>
    <row r="433">
      <c r="A433" s="16"/>
      <c r="B433" s="6" t="str">
        <f>ifs($A433=FALSE,"",$A433,VLOOKUP($A433,SCAN!A:D,4,0))</f>
        <v/>
      </c>
      <c r="C433" s="7" t="str">
        <f t="shared" si="1"/>
        <v/>
      </c>
      <c r="D433" s="17" t="str">
        <f t="shared" si="3"/>
        <v/>
      </c>
      <c r="E433" s="9" t="str">
        <f>ifs($D433="","",countif('VISIT DATA'!$A:$A,$D433)=countif(D:D,$D433),"YES",countif('VISIT DATA'!$A:$A,$D433)=0,"NO",and(countif(D:D,$D433)&gt;1,countif('VISIT DATA'!$A:$A,$D433)&gt;=1),"YES",countif('VISIT DATA'!$A:$A,$D433)=countif(D:D,$D433),"YES")</f>
        <v/>
      </c>
      <c r="F433" s="9" t="str">
        <f>ifs($A433=FALSE,"",$A433,VLOOKUP($A433,SCAN!A:D,3,0))</f>
        <v/>
      </c>
    </row>
    <row r="434">
      <c r="A434" s="16"/>
      <c r="B434" s="6" t="str">
        <f>ifs($A434=FALSE,"",$A434,VLOOKUP($A434,SCAN!A:D,4,0))</f>
        <v/>
      </c>
      <c r="C434" s="7" t="str">
        <f t="shared" si="1"/>
        <v/>
      </c>
      <c r="D434" s="17" t="str">
        <f t="shared" si="3"/>
        <v/>
      </c>
      <c r="E434" s="9" t="str">
        <f>ifs($D434="","",countif('VISIT DATA'!$A:$A,$D434)=countif(D:D,$D434),"YES",countif('VISIT DATA'!$A:$A,$D434)=0,"NO",and(countif(D:D,$D434)&gt;1,countif('VISIT DATA'!$A:$A,$D434)&gt;=1),"YES",countif('VISIT DATA'!$A:$A,$D434)=countif(D:D,$D434),"YES")</f>
        <v/>
      </c>
      <c r="F434" s="9" t="str">
        <f>ifs($A434=FALSE,"",$A434,VLOOKUP($A434,SCAN!A:D,3,0))</f>
        <v/>
      </c>
    </row>
    <row r="435">
      <c r="A435" s="16"/>
      <c r="B435" s="6" t="str">
        <f>ifs($A435=FALSE,"",$A435,VLOOKUP($A435,SCAN!A:D,4,0))</f>
        <v/>
      </c>
      <c r="C435" s="7" t="str">
        <f t="shared" si="1"/>
        <v/>
      </c>
      <c r="D435" s="17" t="str">
        <f t="shared" si="3"/>
        <v/>
      </c>
      <c r="E435" s="9" t="str">
        <f>ifs($D435="","",countif('VISIT DATA'!$A:$A,$D435)=countif(D:D,$D435),"YES",countif('VISIT DATA'!$A:$A,$D435)=0,"NO",and(countif(D:D,$D435)&gt;1,countif('VISIT DATA'!$A:$A,$D435)&gt;=1),"YES",countif('VISIT DATA'!$A:$A,$D435)=countif(D:D,$D435),"YES")</f>
        <v/>
      </c>
      <c r="F435" s="9" t="str">
        <f>ifs($A435=FALSE,"",$A435,VLOOKUP($A435,SCAN!A:D,3,0))</f>
        <v/>
      </c>
    </row>
    <row r="436">
      <c r="A436" s="16"/>
      <c r="B436" s="6" t="str">
        <f>ifs($A436=FALSE,"",$A436,VLOOKUP($A436,SCAN!A:D,4,0))</f>
        <v/>
      </c>
      <c r="C436" s="7" t="str">
        <f t="shared" si="1"/>
        <v/>
      </c>
      <c r="D436" s="17" t="str">
        <f t="shared" si="3"/>
        <v/>
      </c>
      <c r="E436" s="9" t="str">
        <f>ifs($D436="","",countif('VISIT DATA'!$A:$A,$D436)=countif(D:D,$D436),"YES",countif('VISIT DATA'!$A:$A,$D436)=0,"NO",and(countif(D:D,$D436)&gt;1,countif('VISIT DATA'!$A:$A,$D436)&gt;=1),"YES",countif('VISIT DATA'!$A:$A,$D436)=countif(D:D,$D436),"YES")</f>
        <v/>
      </c>
      <c r="F436" s="9" t="str">
        <f>ifs($A436=FALSE,"",$A436,VLOOKUP($A436,SCAN!A:D,3,0))</f>
        <v/>
      </c>
    </row>
    <row r="437">
      <c r="A437" s="16"/>
      <c r="B437" s="6" t="str">
        <f>ifs($A437=FALSE,"",$A437,VLOOKUP($A437,SCAN!A:D,4,0))</f>
        <v/>
      </c>
      <c r="C437" s="7" t="str">
        <f t="shared" si="1"/>
        <v/>
      </c>
      <c r="D437" s="17" t="str">
        <f t="shared" si="3"/>
        <v/>
      </c>
      <c r="E437" s="9" t="str">
        <f>ifs($D437="","",countif('VISIT DATA'!$A:$A,$D437)=countif(D:D,$D437),"YES",countif('VISIT DATA'!$A:$A,$D437)=0,"NO",and(countif(D:D,$D437)&gt;1,countif('VISIT DATA'!$A:$A,$D437)&gt;=1),"YES",countif('VISIT DATA'!$A:$A,$D437)=countif(D:D,$D437),"YES")</f>
        <v/>
      </c>
      <c r="F437" s="9" t="str">
        <f>ifs($A437=FALSE,"",$A437,VLOOKUP($A437,SCAN!A:D,3,0))</f>
        <v/>
      </c>
    </row>
    <row r="438">
      <c r="A438" s="16"/>
      <c r="B438" s="6" t="str">
        <f>ifs($A438=FALSE,"",$A438,VLOOKUP($A438,SCAN!A:D,4,0))</f>
        <v/>
      </c>
      <c r="C438" s="7" t="str">
        <f t="shared" si="1"/>
        <v/>
      </c>
      <c r="D438" s="17" t="str">
        <f t="shared" si="3"/>
        <v/>
      </c>
      <c r="E438" s="9" t="str">
        <f>ifs($D438="","",countif('VISIT DATA'!$A:$A,$D438)=countif(D:D,$D438),"YES",countif('VISIT DATA'!$A:$A,$D438)=0,"NO",and(countif(D:D,$D438)&gt;1,countif('VISIT DATA'!$A:$A,$D438)&gt;=1),"YES",countif('VISIT DATA'!$A:$A,$D438)=countif(D:D,$D438),"YES")</f>
        <v/>
      </c>
      <c r="F438" s="9" t="str">
        <f>ifs($A438=FALSE,"",$A438,VLOOKUP($A438,SCAN!A:D,3,0))</f>
        <v/>
      </c>
    </row>
    <row r="439">
      <c r="A439" s="16"/>
      <c r="B439" s="6" t="str">
        <f>ifs($A439=FALSE,"",$A439,VLOOKUP($A439,SCAN!A:D,4,0))</f>
        <v/>
      </c>
      <c r="C439" s="7" t="str">
        <f t="shared" si="1"/>
        <v/>
      </c>
      <c r="D439" s="17" t="str">
        <f t="shared" si="3"/>
        <v/>
      </c>
      <c r="E439" s="9" t="str">
        <f>ifs($D439="","",countif('VISIT DATA'!$A:$A,$D439)=countif(D:D,$D439),"YES",countif('VISIT DATA'!$A:$A,$D439)=0,"NO",and(countif(D:D,$D439)&gt;1,countif('VISIT DATA'!$A:$A,$D439)&gt;=1),"YES",countif('VISIT DATA'!$A:$A,$D439)=countif(D:D,$D439),"YES")</f>
        <v/>
      </c>
      <c r="F439" s="9" t="str">
        <f>ifs($A439=FALSE,"",$A439,VLOOKUP($A439,SCAN!A:D,3,0))</f>
        <v/>
      </c>
    </row>
    <row r="440">
      <c r="A440" s="16"/>
      <c r="B440" s="6" t="str">
        <f>ifs($A440=FALSE,"",$A440,VLOOKUP($A440,SCAN!A:D,4,0))</f>
        <v/>
      </c>
      <c r="C440" s="7" t="str">
        <f t="shared" si="1"/>
        <v/>
      </c>
      <c r="D440" s="17" t="str">
        <f t="shared" si="3"/>
        <v/>
      </c>
      <c r="E440" s="9" t="str">
        <f>ifs($D440="","",countif('VISIT DATA'!$A:$A,$D440)=countif(D:D,$D440),"YES",countif('VISIT DATA'!$A:$A,$D440)=0,"NO",and(countif(D:D,$D440)&gt;1,countif('VISIT DATA'!$A:$A,$D440)&gt;=1),"YES",countif('VISIT DATA'!$A:$A,$D440)=countif(D:D,$D440),"YES")</f>
        <v/>
      </c>
      <c r="F440" s="9" t="str">
        <f>ifs($A440=FALSE,"",$A440,VLOOKUP($A440,SCAN!A:D,3,0))</f>
        <v/>
      </c>
    </row>
    <row r="441">
      <c r="A441" s="16"/>
      <c r="B441" s="6" t="str">
        <f>ifs($A441=FALSE,"",$A441,VLOOKUP($A441,SCAN!A:D,4,0))</f>
        <v/>
      </c>
      <c r="C441" s="7" t="str">
        <f t="shared" si="1"/>
        <v/>
      </c>
      <c r="D441" s="17" t="str">
        <f t="shared" si="3"/>
        <v/>
      </c>
      <c r="E441" s="9" t="str">
        <f>ifs($D441="","",countif('VISIT DATA'!$A:$A,$D441)=countif(D:D,$D441),"YES",countif('VISIT DATA'!$A:$A,$D441)=0,"NO",and(countif(D:D,$D441)&gt;1,countif('VISIT DATA'!$A:$A,$D441)&gt;=1),"YES",countif('VISIT DATA'!$A:$A,$D441)=countif(D:D,$D441),"YES")</f>
        <v/>
      </c>
      <c r="F441" s="9" t="str">
        <f>ifs($A441=FALSE,"",$A441,VLOOKUP($A441,SCAN!A:D,3,0))</f>
        <v/>
      </c>
    </row>
    <row r="442">
      <c r="A442" s="16"/>
      <c r="B442" s="6" t="str">
        <f>ifs($A442=FALSE,"",$A442,VLOOKUP($A442,SCAN!A:D,4,0))</f>
        <v/>
      </c>
      <c r="C442" s="7" t="str">
        <f t="shared" si="1"/>
        <v/>
      </c>
      <c r="D442" s="17" t="str">
        <f t="shared" si="3"/>
        <v/>
      </c>
      <c r="E442" s="9" t="str">
        <f>ifs($D442="","",countif('VISIT DATA'!$A:$A,$D442)=countif(D:D,$D442),"YES",countif('VISIT DATA'!$A:$A,$D442)=0,"NO",and(countif(D:D,$D442)&gt;1,countif('VISIT DATA'!$A:$A,$D442)&gt;=1),"YES",countif('VISIT DATA'!$A:$A,$D442)=countif(D:D,$D442),"YES")</f>
        <v/>
      </c>
      <c r="F442" s="9" t="str">
        <f>ifs($A442=FALSE,"",$A442,VLOOKUP($A442,SCAN!A:D,3,0))</f>
        <v/>
      </c>
    </row>
    <row r="443">
      <c r="A443" s="16"/>
      <c r="B443" s="6" t="str">
        <f>ifs($A443=FALSE,"",$A443,VLOOKUP($A443,SCAN!A:D,4,0))</f>
        <v/>
      </c>
      <c r="C443" s="7" t="str">
        <f t="shared" si="1"/>
        <v/>
      </c>
      <c r="D443" s="17" t="str">
        <f t="shared" si="3"/>
        <v/>
      </c>
      <c r="E443" s="9" t="str">
        <f>ifs($D443="","",countif('VISIT DATA'!$A:$A,$D443)=countif(D:D,$D443),"YES",countif('VISIT DATA'!$A:$A,$D443)=0,"NO",and(countif(D:D,$D443)&gt;1,countif('VISIT DATA'!$A:$A,$D443)&gt;=1),"YES",countif('VISIT DATA'!$A:$A,$D443)=countif(D:D,$D443),"YES")</f>
        <v/>
      </c>
      <c r="F443" s="9" t="str">
        <f>ifs($A443=FALSE,"",$A443,VLOOKUP($A443,SCAN!A:D,3,0))</f>
        <v/>
      </c>
    </row>
    <row r="444">
      <c r="A444" s="16"/>
      <c r="B444" s="6" t="str">
        <f>ifs($A444=FALSE,"",$A444,VLOOKUP($A444,SCAN!A:D,4,0))</f>
        <v/>
      </c>
      <c r="C444" s="7" t="str">
        <f t="shared" si="1"/>
        <v/>
      </c>
      <c r="D444" s="17" t="str">
        <f t="shared" si="3"/>
        <v/>
      </c>
      <c r="E444" s="9" t="str">
        <f>ifs($D444="","",countif('VISIT DATA'!$A:$A,$D444)=countif(D:D,$D444),"YES",countif('VISIT DATA'!$A:$A,$D444)=0,"NO",and(countif(D:D,$D444)&gt;1,countif('VISIT DATA'!$A:$A,$D444)&gt;=1),"YES",countif('VISIT DATA'!$A:$A,$D444)=countif(D:D,$D444),"YES")</f>
        <v/>
      </c>
      <c r="F444" s="9" t="str">
        <f>ifs($A444=FALSE,"",$A444,VLOOKUP($A444,SCAN!A:D,3,0))</f>
        <v/>
      </c>
    </row>
    <row r="445">
      <c r="A445" s="16"/>
      <c r="B445" s="6" t="str">
        <f>ifs($A445=FALSE,"",$A445,VLOOKUP($A445,SCAN!A:D,4,0))</f>
        <v/>
      </c>
      <c r="C445" s="7" t="str">
        <f t="shared" si="1"/>
        <v/>
      </c>
      <c r="D445" s="17" t="str">
        <f t="shared" si="3"/>
        <v/>
      </c>
      <c r="E445" s="9" t="str">
        <f>ifs($D445="","",countif('VISIT DATA'!$A:$A,$D445)=countif(D:D,$D445),"YES",countif('VISIT DATA'!$A:$A,$D445)=0,"NO",and(countif(D:D,$D445)&gt;1,countif('VISIT DATA'!$A:$A,$D445)&gt;=1),"YES",countif('VISIT DATA'!$A:$A,$D445)=countif(D:D,$D445),"YES")</f>
        <v/>
      </c>
      <c r="F445" s="9" t="str">
        <f>ifs($A445=FALSE,"",$A445,VLOOKUP($A445,SCAN!A:D,3,0))</f>
        <v/>
      </c>
    </row>
    <row r="446">
      <c r="A446" s="16"/>
      <c r="B446" s="6" t="str">
        <f>ifs($A446=FALSE,"",$A446,VLOOKUP($A446,SCAN!A:D,4,0))</f>
        <v/>
      </c>
      <c r="C446" s="7" t="str">
        <f t="shared" si="1"/>
        <v/>
      </c>
      <c r="D446" s="17" t="str">
        <f t="shared" si="3"/>
        <v/>
      </c>
      <c r="E446" s="9" t="str">
        <f>ifs($D446="","",countif('VISIT DATA'!$A:$A,$D446)=countif(D:D,$D446),"YES",countif('VISIT DATA'!$A:$A,$D446)=0,"NO",and(countif(D:D,$D446)&gt;1,countif('VISIT DATA'!$A:$A,$D446)&gt;=1),"YES",countif('VISIT DATA'!$A:$A,$D446)=countif(D:D,$D446),"YES")</f>
        <v/>
      </c>
      <c r="F446" s="9" t="str">
        <f>ifs($A446=FALSE,"",$A446,VLOOKUP($A446,SCAN!A:D,3,0))</f>
        <v/>
      </c>
    </row>
    <row r="447">
      <c r="A447" s="16"/>
      <c r="B447" s="6" t="str">
        <f>ifs($A447=FALSE,"",$A447,VLOOKUP($A447,SCAN!A:D,4,0))</f>
        <v/>
      </c>
      <c r="C447" s="7" t="str">
        <f t="shared" si="1"/>
        <v/>
      </c>
      <c r="D447" s="17" t="str">
        <f t="shared" si="3"/>
        <v/>
      </c>
      <c r="E447" s="9" t="str">
        <f>ifs($D447="","",countif('VISIT DATA'!$A:$A,$D447)=countif(D:D,$D447),"YES",countif('VISIT DATA'!$A:$A,$D447)=0,"NO",and(countif(D:D,$D447)&gt;1,countif('VISIT DATA'!$A:$A,$D447)&gt;=1),"YES",countif('VISIT DATA'!$A:$A,$D447)=countif(D:D,$D447),"YES")</f>
        <v/>
      </c>
      <c r="F447" s="9" t="str">
        <f>ifs($A447=FALSE,"",$A447,VLOOKUP($A447,SCAN!A:D,3,0))</f>
        <v/>
      </c>
    </row>
    <row r="448">
      <c r="A448" s="16"/>
      <c r="B448" s="6" t="str">
        <f>ifs($A448=FALSE,"",$A448,VLOOKUP($A448,SCAN!A:D,4,0))</f>
        <v/>
      </c>
      <c r="C448" s="7" t="str">
        <f t="shared" si="1"/>
        <v/>
      </c>
      <c r="D448" s="17" t="str">
        <f t="shared" si="3"/>
        <v/>
      </c>
      <c r="E448" s="9" t="str">
        <f>ifs($D448="","",countif('VISIT DATA'!$A:$A,$D448)=countif(D:D,$D448),"YES",countif('VISIT DATA'!$A:$A,$D448)=0,"NO",and(countif(D:D,$D448)&gt;1,countif('VISIT DATA'!$A:$A,$D448)&gt;=1),"YES",countif('VISIT DATA'!$A:$A,$D448)=countif(D:D,$D448),"YES")</f>
        <v/>
      </c>
      <c r="F448" s="9" t="str">
        <f>ifs($A448=FALSE,"",$A448,VLOOKUP($A448,SCAN!A:D,3,0))</f>
        <v/>
      </c>
    </row>
    <row r="449">
      <c r="A449" s="16"/>
      <c r="B449" s="6" t="str">
        <f>ifs($A449=FALSE,"",$A449,VLOOKUP($A449,SCAN!A:D,4,0))</f>
        <v/>
      </c>
      <c r="C449" s="7" t="str">
        <f t="shared" si="1"/>
        <v/>
      </c>
      <c r="D449" s="17" t="str">
        <f t="shared" si="3"/>
        <v/>
      </c>
      <c r="E449" s="9" t="str">
        <f>ifs($D449="","",countif('VISIT DATA'!$A:$A,$D449)=countif(D:D,$D449),"YES",countif('VISIT DATA'!$A:$A,$D449)=0,"NO",and(countif(D:D,$D449)&gt;1,countif('VISIT DATA'!$A:$A,$D449)&gt;=1),"YES",countif('VISIT DATA'!$A:$A,$D449)=countif(D:D,$D449),"YES")</f>
        <v/>
      </c>
      <c r="F449" s="9" t="str">
        <f>ifs($A449=FALSE,"",$A449,VLOOKUP($A449,SCAN!A:D,3,0))</f>
        <v/>
      </c>
    </row>
    <row r="450">
      <c r="A450" s="16"/>
      <c r="B450" s="6" t="str">
        <f>ifs($A450=FALSE,"",$A450,VLOOKUP($A450,SCAN!A:D,4,0))</f>
        <v/>
      </c>
      <c r="C450" s="7" t="str">
        <f t="shared" si="1"/>
        <v/>
      </c>
      <c r="D450" s="17" t="str">
        <f t="shared" si="3"/>
        <v/>
      </c>
      <c r="E450" s="9" t="str">
        <f>ifs($D450="","",countif('VISIT DATA'!$A:$A,$D450)=countif(D:D,$D450),"YES",countif('VISIT DATA'!$A:$A,$D450)=0,"NO",and(countif(D:D,$D450)&gt;1,countif('VISIT DATA'!$A:$A,$D450)&gt;=1),"YES",countif('VISIT DATA'!$A:$A,$D450)=countif(D:D,$D450),"YES")</f>
        <v/>
      </c>
      <c r="F450" s="9" t="str">
        <f>ifs($A450=FALSE,"",$A450,VLOOKUP($A450,SCAN!A:D,3,0))</f>
        <v/>
      </c>
    </row>
    <row r="451">
      <c r="A451" s="16"/>
      <c r="B451" s="6" t="str">
        <f>ifs($A451=FALSE,"",$A451,VLOOKUP($A451,SCAN!A:D,4,0))</f>
        <v/>
      </c>
      <c r="C451" s="7" t="str">
        <f t="shared" si="1"/>
        <v/>
      </c>
      <c r="D451" s="17" t="str">
        <f t="shared" si="3"/>
        <v/>
      </c>
      <c r="E451" s="9" t="str">
        <f>ifs($D451="","",countif('VISIT DATA'!$A:$A,$D451)=countif(D:D,$D451),"YES",countif('VISIT DATA'!$A:$A,$D451)=0,"NO",and(countif(D:D,$D451)&gt;1,countif('VISIT DATA'!$A:$A,$D451)&gt;=1),"YES",countif('VISIT DATA'!$A:$A,$D451)=countif(D:D,$D451),"YES")</f>
        <v/>
      </c>
      <c r="F451" s="9" t="str">
        <f>ifs($A451=FALSE,"",$A451,VLOOKUP($A451,SCAN!A:D,3,0))</f>
        <v/>
      </c>
    </row>
    <row r="452">
      <c r="A452" s="16"/>
      <c r="B452" s="6" t="str">
        <f>ifs($A452=FALSE,"",$A452,VLOOKUP($A452,SCAN!A:D,4,0))</f>
        <v/>
      </c>
      <c r="C452" s="7" t="str">
        <f t="shared" si="1"/>
        <v/>
      </c>
      <c r="D452" s="17" t="str">
        <f t="shared" si="3"/>
        <v/>
      </c>
      <c r="E452" s="9" t="str">
        <f>ifs($D452="","",countif('VISIT DATA'!$A:$A,$D452)=countif(D:D,$D452),"YES",countif('VISIT DATA'!$A:$A,$D452)=0,"NO",and(countif(D:D,$D452)&gt;1,countif('VISIT DATA'!$A:$A,$D452)&gt;=1),"YES",countif('VISIT DATA'!$A:$A,$D452)=countif(D:D,$D452),"YES")</f>
        <v/>
      </c>
      <c r="F452" s="9" t="str">
        <f>ifs($A452=FALSE,"",$A452,VLOOKUP($A452,SCAN!A:D,3,0))</f>
        <v/>
      </c>
    </row>
    <row r="453">
      <c r="A453" s="16"/>
      <c r="B453" s="6" t="str">
        <f>ifs($A453=FALSE,"",$A453,VLOOKUP($A453,SCAN!A:D,4,0))</f>
        <v/>
      </c>
      <c r="C453" s="7" t="str">
        <f t="shared" si="1"/>
        <v/>
      </c>
      <c r="D453" s="17" t="str">
        <f t="shared" si="3"/>
        <v/>
      </c>
      <c r="E453" s="9" t="str">
        <f>ifs($D453="","",countif('VISIT DATA'!$A:$A,$D453)=countif(D:D,$D453),"YES",countif('VISIT DATA'!$A:$A,$D453)=0,"NO",and(countif(D:D,$D453)&gt;1,countif('VISIT DATA'!$A:$A,$D453)&gt;=1),"YES",countif('VISIT DATA'!$A:$A,$D453)=countif(D:D,$D453),"YES")</f>
        <v/>
      </c>
      <c r="F453" s="9" t="str">
        <f>ifs($A453=FALSE,"",$A453,VLOOKUP($A453,SCAN!A:D,3,0))</f>
        <v/>
      </c>
    </row>
    <row r="454">
      <c r="A454" s="16"/>
      <c r="B454" s="6" t="str">
        <f>ifs($A454=FALSE,"",$A454,VLOOKUP($A454,SCAN!A:D,4,0))</f>
        <v/>
      </c>
      <c r="C454" s="7" t="str">
        <f t="shared" si="1"/>
        <v/>
      </c>
      <c r="D454" s="17" t="str">
        <f t="shared" si="3"/>
        <v/>
      </c>
      <c r="E454" s="9" t="str">
        <f>ifs($D454="","",countif('VISIT DATA'!$A:$A,$D454)=countif(D:D,$D454),"YES",countif('VISIT DATA'!$A:$A,$D454)=0,"NO",and(countif(D:D,$D454)&gt;1,countif('VISIT DATA'!$A:$A,$D454)&gt;=1),"YES",countif('VISIT DATA'!$A:$A,$D454)=countif(D:D,$D454),"YES")</f>
        <v/>
      </c>
      <c r="F454" s="9" t="str">
        <f>ifs($A454=FALSE,"",$A454,VLOOKUP($A454,SCAN!A:D,3,0))</f>
        <v/>
      </c>
    </row>
    <row r="455">
      <c r="A455" s="16"/>
      <c r="B455" s="6" t="str">
        <f>ifs($A455=FALSE,"",$A455,VLOOKUP($A455,SCAN!A:D,4,0))</f>
        <v/>
      </c>
      <c r="C455" s="7" t="str">
        <f t="shared" si="1"/>
        <v/>
      </c>
      <c r="D455" s="17" t="str">
        <f t="shared" si="3"/>
        <v/>
      </c>
      <c r="E455" s="9" t="str">
        <f>ifs($D455="","",countif('VISIT DATA'!$A:$A,$D455)=countif(D:D,$D455),"YES",countif('VISIT DATA'!$A:$A,$D455)=0,"NO",and(countif(D:D,$D455)&gt;1,countif('VISIT DATA'!$A:$A,$D455)&gt;=1),"YES",countif('VISIT DATA'!$A:$A,$D455)=countif(D:D,$D455),"YES")</f>
        <v/>
      </c>
      <c r="F455" s="9" t="str">
        <f>ifs($A455=FALSE,"",$A455,VLOOKUP($A455,SCAN!A:D,3,0))</f>
        <v/>
      </c>
    </row>
    <row r="456">
      <c r="A456" s="16"/>
      <c r="B456" s="6" t="str">
        <f>ifs($A456=FALSE,"",$A456,VLOOKUP($A456,SCAN!A:D,4,0))</f>
        <v/>
      </c>
      <c r="C456" s="7" t="str">
        <f t="shared" si="1"/>
        <v/>
      </c>
      <c r="D456" s="17" t="str">
        <f t="shared" si="3"/>
        <v/>
      </c>
      <c r="E456" s="9" t="str">
        <f>ifs($D456="","",countif('VISIT DATA'!$A:$A,$D456)=countif(D:D,$D456),"YES",countif('VISIT DATA'!$A:$A,$D456)=0,"NO",and(countif(D:D,$D456)&gt;1,countif('VISIT DATA'!$A:$A,$D456)&gt;=1),"YES",countif('VISIT DATA'!$A:$A,$D456)=countif(D:D,$D456),"YES")</f>
        <v/>
      </c>
      <c r="F456" s="9" t="str">
        <f>ifs($A456=FALSE,"",$A456,VLOOKUP($A456,SCAN!A:D,3,0))</f>
        <v/>
      </c>
    </row>
    <row r="457">
      <c r="A457" s="16"/>
      <c r="B457" s="6" t="str">
        <f>ifs($A457=FALSE,"",$A457,VLOOKUP($A457,SCAN!A:D,4,0))</f>
        <v/>
      </c>
      <c r="C457" s="7" t="str">
        <f t="shared" si="1"/>
        <v/>
      </c>
      <c r="D457" s="17" t="str">
        <f t="shared" si="3"/>
        <v/>
      </c>
      <c r="E457" s="9" t="str">
        <f>ifs($D457="","",countif('VISIT DATA'!$A:$A,$D457)=countif(D:D,$D457),"YES",countif('VISIT DATA'!$A:$A,$D457)=0,"NO",and(countif(D:D,$D457)&gt;1,countif('VISIT DATA'!$A:$A,$D457)&gt;=1),"YES",countif('VISIT DATA'!$A:$A,$D457)=countif(D:D,$D457),"YES")</f>
        <v/>
      </c>
      <c r="F457" s="9" t="str">
        <f>ifs($A457=FALSE,"",$A457,VLOOKUP($A457,SCAN!A:D,3,0))</f>
        <v/>
      </c>
    </row>
    <row r="458">
      <c r="A458" s="16"/>
      <c r="B458" s="6" t="str">
        <f>ifs($A458=FALSE,"",$A458,VLOOKUP($A458,SCAN!A:D,4,0))</f>
        <v/>
      </c>
      <c r="C458" s="7" t="str">
        <f t="shared" si="1"/>
        <v/>
      </c>
      <c r="D458" s="17" t="str">
        <f t="shared" si="3"/>
        <v/>
      </c>
      <c r="E458" s="9" t="str">
        <f>ifs($D458="","",countif('VISIT DATA'!$A:$A,$D458)=countif(D:D,$D458),"YES",countif('VISIT DATA'!$A:$A,$D458)=0,"NO",and(countif(D:D,$D458)&gt;1,countif('VISIT DATA'!$A:$A,$D458)&gt;=1),"YES",countif('VISIT DATA'!$A:$A,$D458)=countif(D:D,$D458),"YES")</f>
        <v/>
      </c>
      <c r="F458" s="9" t="str">
        <f>ifs($A458=FALSE,"",$A458,VLOOKUP($A458,SCAN!A:D,3,0))</f>
        <v/>
      </c>
    </row>
    <row r="459">
      <c r="A459" s="16"/>
      <c r="B459" s="6" t="str">
        <f>ifs($A459=FALSE,"",$A459,VLOOKUP($A459,SCAN!A:D,4,0))</f>
        <v/>
      </c>
      <c r="C459" s="7" t="str">
        <f t="shared" si="1"/>
        <v/>
      </c>
      <c r="D459" s="17" t="str">
        <f t="shared" si="3"/>
        <v/>
      </c>
      <c r="E459" s="9" t="str">
        <f>ifs($D459="","",countif('VISIT DATA'!$A:$A,$D459)=countif(D:D,$D459),"YES",countif('VISIT DATA'!$A:$A,$D459)=0,"NO",and(countif(D:D,$D459)&gt;1,countif('VISIT DATA'!$A:$A,$D459)&gt;=1),"YES",countif('VISIT DATA'!$A:$A,$D459)=countif(D:D,$D459),"YES")</f>
        <v/>
      </c>
      <c r="F459" s="9" t="str">
        <f>ifs($A459=FALSE,"",$A459,VLOOKUP($A459,SCAN!A:D,3,0))</f>
        <v/>
      </c>
    </row>
    <row r="460">
      <c r="A460" s="16"/>
      <c r="B460" s="6" t="str">
        <f>ifs($A460=FALSE,"",$A460,VLOOKUP($A460,SCAN!A:D,4,0))</f>
        <v/>
      </c>
      <c r="C460" s="7" t="str">
        <f t="shared" si="1"/>
        <v/>
      </c>
      <c r="D460" s="17" t="str">
        <f t="shared" si="3"/>
        <v/>
      </c>
      <c r="E460" s="9" t="str">
        <f>ifs($D460="","",countif('VISIT DATA'!$A:$A,$D460)=countif(D:D,$D460),"YES",countif('VISIT DATA'!$A:$A,$D460)=0,"NO",and(countif(D:D,$D460)&gt;1,countif('VISIT DATA'!$A:$A,$D460)&gt;=1),"YES",countif('VISIT DATA'!$A:$A,$D460)=countif(D:D,$D460),"YES")</f>
        <v/>
      </c>
      <c r="F460" s="9" t="str">
        <f>ifs($A460=FALSE,"",$A460,VLOOKUP($A460,SCAN!A:D,3,0))</f>
        <v/>
      </c>
    </row>
    <row r="461">
      <c r="A461" s="16"/>
      <c r="B461" s="6" t="str">
        <f>ifs($A461=FALSE,"",$A461,VLOOKUP($A461,SCAN!A:D,4,0))</f>
        <v/>
      </c>
      <c r="C461" s="7" t="str">
        <f t="shared" si="1"/>
        <v/>
      </c>
      <c r="D461" s="17" t="str">
        <f t="shared" si="3"/>
        <v/>
      </c>
      <c r="E461" s="9" t="str">
        <f>ifs($D461="","",countif('VISIT DATA'!$A:$A,$D461)=countif(D:D,$D461),"YES",countif('VISIT DATA'!$A:$A,$D461)=0,"NO",and(countif(D:D,$D461)&gt;1,countif('VISIT DATA'!$A:$A,$D461)&gt;=1),"YES",countif('VISIT DATA'!$A:$A,$D461)=countif(D:D,$D461),"YES")</f>
        <v/>
      </c>
      <c r="F461" s="9" t="str">
        <f>ifs($A461=FALSE,"",$A461,VLOOKUP($A461,SCAN!A:D,3,0))</f>
        <v/>
      </c>
    </row>
    <row r="462">
      <c r="A462" s="16"/>
      <c r="B462" s="6" t="str">
        <f>ifs($A462=FALSE,"",$A462,VLOOKUP($A462,SCAN!A:D,4,0))</f>
        <v/>
      </c>
      <c r="C462" s="7" t="str">
        <f t="shared" si="1"/>
        <v/>
      </c>
      <c r="D462" s="17" t="str">
        <f t="shared" si="3"/>
        <v/>
      </c>
      <c r="E462" s="9" t="str">
        <f>ifs($D462="","",countif('VISIT DATA'!$A:$A,$D462)=countif(D:D,$D462),"YES",countif('VISIT DATA'!$A:$A,$D462)=0,"NO",and(countif(D:D,$D462)&gt;1,countif('VISIT DATA'!$A:$A,$D462)&gt;=1),"YES",countif('VISIT DATA'!$A:$A,$D462)=countif(D:D,$D462),"YES")</f>
        <v/>
      </c>
      <c r="F462" s="9" t="str">
        <f>ifs($A462=FALSE,"",$A462,VLOOKUP($A462,SCAN!A:D,3,0))</f>
        <v/>
      </c>
    </row>
    <row r="463">
      <c r="A463" s="16"/>
      <c r="B463" s="6" t="str">
        <f>ifs($A463=FALSE,"",$A463,VLOOKUP($A463,SCAN!A:D,4,0))</f>
        <v/>
      </c>
      <c r="C463" s="7" t="str">
        <f t="shared" si="1"/>
        <v/>
      </c>
      <c r="D463" s="17" t="str">
        <f t="shared" si="3"/>
        <v/>
      </c>
      <c r="E463" s="9" t="str">
        <f>ifs($D463="","",countif('VISIT DATA'!$A:$A,$D463)=countif(D:D,$D463),"YES",countif('VISIT DATA'!$A:$A,$D463)=0,"NO",and(countif(D:D,$D463)&gt;1,countif('VISIT DATA'!$A:$A,$D463)&gt;=1),"YES",countif('VISIT DATA'!$A:$A,$D463)=countif(D:D,$D463),"YES")</f>
        <v/>
      </c>
      <c r="F463" s="9" t="str">
        <f>ifs($A463=FALSE,"",$A463,VLOOKUP($A463,SCAN!A:D,3,0))</f>
        <v/>
      </c>
    </row>
    <row r="464">
      <c r="A464" s="16"/>
      <c r="B464" s="6" t="str">
        <f>ifs($A464=FALSE,"",$A464,VLOOKUP($A464,SCAN!A:D,4,0))</f>
        <v/>
      </c>
      <c r="C464" s="7" t="str">
        <f t="shared" si="1"/>
        <v/>
      </c>
      <c r="D464" s="17" t="str">
        <f t="shared" si="3"/>
        <v/>
      </c>
      <c r="E464" s="9" t="str">
        <f>ifs($D464="","",countif('VISIT DATA'!$A:$A,$D464)=countif(D:D,$D464),"YES",countif('VISIT DATA'!$A:$A,$D464)=0,"NO",and(countif(D:D,$D464)&gt;1,countif('VISIT DATA'!$A:$A,$D464)&gt;=1),"YES",countif('VISIT DATA'!$A:$A,$D464)=countif(D:D,$D464),"YES")</f>
        <v/>
      </c>
      <c r="F464" s="9" t="str">
        <f>ifs($A464=FALSE,"",$A464,VLOOKUP($A464,SCAN!A:D,3,0))</f>
        <v/>
      </c>
    </row>
    <row r="465">
      <c r="A465" s="16"/>
      <c r="B465" s="6" t="str">
        <f>ifs($A465=FALSE,"",$A465,VLOOKUP($A465,SCAN!A:D,4,0))</f>
        <v/>
      </c>
      <c r="C465" s="7" t="str">
        <f t="shared" si="1"/>
        <v/>
      </c>
      <c r="D465" s="17" t="str">
        <f t="shared" si="3"/>
        <v/>
      </c>
      <c r="E465" s="9" t="str">
        <f>ifs($D465="","",countif('VISIT DATA'!$A:$A,$D465)=countif(D:D,$D465),"YES",countif('VISIT DATA'!$A:$A,$D465)=0,"NO",and(countif(D:D,$D465)&gt;1,countif('VISIT DATA'!$A:$A,$D465)&gt;=1),"YES",countif('VISIT DATA'!$A:$A,$D465)=countif(D:D,$D465),"YES")</f>
        <v/>
      </c>
      <c r="F465" s="9" t="str">
        <f>ifs($A465=FALSE,"",$A465,VLOOKUP($A465,SCAN!A:D,3,0))</f>
        <v/>
      </c>
    </row>
    <row r="466">
      <c r="A466" s="16"/>
      <c r="B466" s="6" t="str">
        <f>ifs($A466=FALSE,"",$A466,VLOOKUP($A466,SCAN!A:D,4,0))</f>
        <v/>
      </c>
      <c r="C466" s="7" t="str">
        <f t="shared" si="1"/>
        <v/>
      </c>
      <c r="D466" s="17" t="str">
        <f t="shared" si="3"/>
        <v/>
      </c>
      <c r="E466" s="9" t="str">
        <f>ifs($D466="","",countif('VISIT DATA'!$A:$A,$D466)=countif(D:D,$D466),"YES",countif('VISIT DATA'!$A:$A,$D466)=0,"NO",and(countif(D:D,$D466)&gt;1,countif('VISIT DATA'!$A:$A,$D466)&gt;=1),"YES",countif('VISIT DATA'!$A:$A,$D466)=countif(D:D,$D466),"YES")</f>
        <v/>
      </c>
      <c r="F466" s="9" t="str">
        <f>ifs($A466=FALSE,"",$A466,VLOOKUP($A466,SCAN!A:D,3,0))</f>
        <v/>
      </c>
    </row>
    <row r="467">
      <c r="A467" s="16"/>
      <c r="B467" s="6" t="str">
        <f>ifs($A467=FALSE,"",$A467,VLOOKUP($A467,SCAN!A:D,4,0))</f>
        <v/>
      </c>
      <c r="C467" s="7" t="str">
        <f t="shared" si="1"/>
        <v/>
      </c>
      <c r="D467" s="17" t="str">
        <f t="shared" si="3"/>
        <v/>
      </c>
      <c r="E467" s="9" t="str">
        <f>ifs($D467="","",countif('VISIT DATA'!$A:$A,$D467)=countif(D:D,$D467),"YES",countif('VISIT DATA'!$A:$A,$D467)=0,"NO",and(countif(D:D,$D467)&gt;1,countif('VISIT DATA'!$A:$A,$D467)&gt;=1),"YES",countif('VISIT DATA'!$A:$A,$D467)=countif(D:D,$D467),"YES")</f>
        <v/>
      </c>
      <c r="F467" s="9" t="str">
        <f>ifs($A467=FALSE,"",$A467,VLOOKUP($A467,SCAN!A:D,3,0))</f>
        <v/>
      </c>
    </row>
    <row r="468">
      <c r="A468" s="16"/>
      <c r="B468" s="6" t="str">
        <f>ifs($A468=FALSE,"",$A468,VLOOKUP($A468,SCAN!A:D,4,0))</f>
        <v/>
      </c>
      <c r="C468" s="7" t="str">
        <f t="shared" si="1"/>
        <v/>
      </c>
      <c r="D468" s="17" t="str">
        <f t="shared" si="3"/>
        <v/>
      </c>
      <c r="E468" s="9" t="str">
        <f>ifs($D468="","",countif('VISIT DATA'!$A:$A,$D468)=countif(D:D,$D468),"YES",countif('VISIT DATA'!$A:$A,$D468)=0,"NO",and(countif(D:D,$D468)&gt;1,countif('VISIT DATA'!$A:$A,$D468)&gt;=1),"YES",countif('VISIT DATA'!$A:$A,$D468)=countif(D:D,$D468),"YES")</f>
        <v/>
      </c>
      <c r="F468" s="9" t="str">
        <f>ifs($A468=FALSE,"",$A468,VLOOKUP($A468,SCAN!A:D,3,0))</f>
        <v/>
      </c>
    </row>
    <row r="469">
      <c r="A469" s="16"/>
      <c r="B469" s="6" t="str">
        <f>ifs($A469=FALSE,"",$A469,VLOOKUP($A469,SCAN!A:D,4,0))</f>
        <v/>
      </c>
      <c r="C469" s="7" t="str">
        <f t="shared" si="1"/>
        <v/>
      </c>
      <c r="D469" s="17" t="str">
        <f t="shared" si="3"/>
        <v/>
      </c>
      <c r="E469" s="9" t="str">
        <f>ifs($D469="","",countif('VISIT DATA'!$A:$A,$D469)=countif(D:D,$D469),"YES",countif('VISIT DATA'!$A:$A,$D469)=0,"NO",and(countif(D:D,$D469)&gt;1,countif('VISIT DATA'!$A:$A,$D469)&gt;=1),"YES",countif('VISIT DATA'!$A:$A,$D469)=countif(D:D,$D469),"YES")</f>
        <v/>
      </c>
      <c r="F469" s="9" t="str">
        <f>ifs($A469=FALSE,"",$A469,VLOOKUP($A469,SCAN!A:D,3,0))</f>
        <v/>
      </c>
    </row>
    <row r="470">
      <c r="A470" s="16"/>
      <c r="B470" s="6" t="str">
        <f>ifs($A470=FALSE,"",$A470,VLOOKUP($A470,SCAN!A:D,4,0))</f>
        <v/>
      </c>
      <c r="C470" s="7" t="str">
        <f t="shared" si="1"/>
        <v/>
      </c>
      <c r="D470" s="17" t="str">
        <f t="shared" si="3"/>
        <v/>
      </c>
      <c r="E470" s="9" t="str">
        <f>ifs($D470="","",countif('VISIT DATA'!$A:$A,$D470)=countif(D:D,$D470),"YES",countif('VISIT DATA'!$A:$A,$D470)=0,"NO",and(countif(D:D,$D470)&gt;1,countif('VISIT DATA'!$A:$A,$D470)&gt;=1),"YES",countif('VISIT DATA'!$A:$A,$D470)=countif(D:D,$D470),"YES")</f>
        <v/>
      </c>
      <c r="F470" s="9" t="str">
        <f>ifs($A470=FALSE,"",$A470,VLOOKUP($A470,SCAN!A:D,3,0))</f>
        <v/>
      </c>
    </row>
    <row r="471">
      <c r="A471" s="16"/>
      <c r="B471" s="6" t="str">
        <f>ifs($A471=FALSE,"",$A471,VLOOKUP($A471,SCAN!A:D,4,0))</f>
        <v/>
      </c>
      <c r="C471" s="7" t="str">
        <f t="shared" si="1"/>
        <v/>
      </c>
      <c r="D471" s="17" t="str">
        <f t="shared" si="3"/>
        <v/>
      </c>
      <c r="E471" s="9" t="str">
        <f>ifs($D471="","",countif('VISIT DATA'!$A:$A,$D471)=countif(D:D,$D471),"YES",countif('VISIT DATA'!$A:$A,$D471)=0,"NO",and(countif(D:D,$D471)&gt;1,countif('VISIT DATA'!$A:$A,$D471)&gt;=1),"YES",countif('VISIT DATA'!$A:$A,$D471)=countif(D:D,$D471),"YES")</f>
        <v/>
      </c>
      <c r="F471" s="9" t="str">
        <f>ifs($A471=FALSE,"",$A471,VLOOKUP($A471,SCAN!A:D,3,0))</f>
        <v/>
      </c>
    </row>
    <row r="472">
      <c r="A472" s="16"/>
      <c r="B472" s="6" t="str">
        <f>ifs($A472=FALSE,"",$A472,VLOOKUP($A472,SCAN!A:D,4,0))</f>
        <v/>
      </c>
      <c r="C472" s="7" t="str">
        <f t="shared" si="1"/>
        <v/>
      </c>
      <c r="D472" s="17" t="str">
        <f t="shared" si="3"/>
        <v/>
      </c>
      <c r="E472" s="9" t="str">
        <f>ifs($D472="","",countif('VISIT DATA'!$A:$A,$D472)=countif(D:D,$D472),"YES",countif('VISIT DATA'!$A:$A,$D472)=0,"NO",and(countif(D:D,$D472)&gt;1,countif('VISIT DATA'!$A:$A,$D472)&gt;=1),"YES",countif('VISIT DATA'!$A:$A,$D472)=countif(D:D,$D472),"YES")</f>
        <v/>
      </c>
      <c r="F472" s="9" t="str">
        <f>ifs($A472=FALSE,"",$A472,VLOOKUP($A472,SCAN!A:D,3,0))</f>
        <v/>
      </c>
    </row>
    <row r="473">
      <c r="A473" s="16"/>
      <c r="B473" s="6" t="str">
        <f>ifs($A473=FALSE,"",$A473,VLOOKUP($A473,SCAN!A:D,4,0))</f>
        <v/>
      </c>
      <c r="C473" s="7" t="str">
        <f t="shared" si="1"/>
        <v/>
      </c>
      <c r="D473" s="17" t="str">
        <f t="shared" si="3"/>
        <v/>
      </c>
      <c r="E473" s="9" t="str">
        <f>ifs($D473="","",countif('VISIT DATA'!$A:$A,$D473)=countif(D:D,$D473),"YES",countif('VISIT DATA'!$A:$A,$D473)=0,"NO",and(countif(D:D,$D473)&gt;1,countif('VISIT DATA'!$A:$A,$D473)&gt;=1),"YES",countif('VISIT DATA'!$A:$A,$D473)=countif(D:D,$D473),"YES")</f>
        <v/>
      </c>
      <c r="F473" s="9" t="str">
        <f>ifs($A473=FALSE,"",$A473,VLOOKUP($A473,SCAN!A:D,3,0))</f>
        <v/>
      </c>
    </row>
    <row r="474">
      <c r="A474" s="16"/>
      <c r="B474" s="6" t="str">
        <f>ifs($A474=FALSE,"",$A474,VLOOKUP($A474,SCAN!A:D,4,0))</f>
        <v/>
      </c>
      <c r="C474" s="7" t="str">
        <f t="shared" si="1"/>
        <v/>
      </c>
      <c r="D474" s="17" t="str">
        <f t="shared" si="3"/>
        <v/>
      </c>
      <c r="E474" s="9" t="str">
        <f>ifs($D474="","",countif('VISIT DATA'!$A:$A,$D474)=countif(D:D,$D474),"YES",countif('VISIT DATA'!$A:$A,$D474)=0,"NO",and(countif(D:D,$D474)&gt;1,countif('VISIT DATA'!$A:$A,$D474)&gt;=1),"YES",countif('VISIT DATA'!$A:$A,$D474)=countif(D:D,$D474),"YES")</f>
        <v/>
      </c>
      <c r="F474" s="9" t="str">
        <f>ifs($A474=FALSE,"",$A474,VLOOKUP($A474,SCAN!A:D,3,0))</f>
        <v/>
      </c>
    </row>
    <row r="475">
      <c r="A475" s="16"/>
      <c r="B475" s="6" t="str">
        <f>ifs($A475=FALSE,"",$A475,VLOOKUP($A475,SCAN!A:D,4,0))</f>
        <v/>
      </c>
      <c r="C475" s="7" t="str">
        <f t="shared" si="1"/>
        <v/>
      </c>
      <c r="D475" s="17" t="str">
        <f t="shared" si="3"/>
        <v/>
      </c>
      <c r="E475" s="9" t="str">
        <f>ifs($D475="","",countif('VISIT DATA'!$A:$A,$D475)=countif(D:D,$D475),"YES",countif('VISIT DATA'!$A:$A,$D475)=0,"NO",and(countif(D:D,$D475)&gt;1,countif('VISIT DATA'!$A:$A,$D475)&gt;=1),"YES",countif('VISIT DATA'!$A:$A,$D475)=countif(D:D,$D475),"YES")</f>
        <v/>
      </c>
      <c r="F475" s="9" t="str">
        <f>ifs($A475=FALSE,"",$A475,VLOOKUP($A475,SCAN!A:D,3,0))</f>
        <v/>
      </c>
    </row>
    <row r="476">
      <c r="A476" s="16"/>
      <c r="B476" s="6" t="str">
        <f>ifs($A476=FALSE,"",$A476,VLOOKUP($A476,SCAN!A:D,4,0))</f>
        <v/>
      </c>
      <c r="C476" s="7" t="str">
        <f t="shared" si="1"/>
        <v/>
      </c>
      <c r="D476" s="17" t="str">
        <f t="shared" si="3"/>
        <v/>
      </c>
      <c r="E476" s="9" t="str">
        <f>ifs($D476="","",countif('VISIT DATA'!$A:$A,$D476)=countif(D:D,$D476),"YES",countif('VISIT DATA'!$A:$A,$D476)=0,"NO",and(countif(D:D,$D476)&gt;1,countif('VISIT DATA'!$A:$A,$D476)&gt;=1),"YES",countif('VISIT DATA'!$A:$A,$D476)=countif(D:D,$D476),"YES")</f>
        <v/>
      </c>
      <c r="F476" s="9" t="str">
        <f>ifs($A476=FALSE,"",$A476,VLOOKUP($A476,SCAN!A:D,3,0))</f>
        <v/>
      </c>
    </row>
    <row r="477">
      <c r="A477" s="16"/>
      <c r="B477" s="6" t="str">
        <f>ifs($A477=FALSE,"",$A477,VLOOKUP($A477,SCAN!A:D,4,0))</f>
        <v/>
      </c>
      <c r="C477" s="7" t="str">
        <f t="shared" si="1"/>
        <v/>
      </c>
      <c r="D477" s="17" t="str">
        <f t="shared" si="3"/>
        <v/>
      </c>
      <c r="E477" s="9" t="str">
        <f>ifs($D477="","",countif('VISIT DATA'!$A:$A,$D477)=countif(D:D,$D477),"YES",countif('VISIT DATA'!$A:$A,$D477)=0,"NO",and(countif(D:D,$D477)&gt;1,countif('VISIT DATA'!$A:$A,$D477)&gt;=1),"YES",countif('VISIT DATA'!$A:$A,$D477)=countif(D:D,$D477),"YES")</f>
        <v/>
      </c>
      <c r="F477" s="9" t="str">
        <f>ifs($A477=FALSE,"",$A477,VLOOKUP($A477,SCAN!A:D,3,0))</f>
        <v/>
      </c>
    </row>
    <row r="478">
      <c r="A478" s="16"/>
      <c r="B478" s="6" t="str">
        <f>ifs($A478=FALSE,"",$A478,VLOOKUP($A478,SCAN!A:D,4,0))</f>
        <v/>
      </c>
      <c r="C478" s="7" t="str">
        <f t="shared" si="1"/>
        <v/>
      </c>
      <c r="D478" s="17" t="str">
        <f t="shared" si="3"/>
        <v/>
      </c>
      <c r="E478" s="9" t="str">
        <f>ifs($D478="","",countif('VISIT DATA'!$A:$A,$D478)=countif(D:D,$D478),"YES",countif('VISIT DATA'!$A:$A,$D478)=0,"NO",and(countif(D:D,$D478)&gt;1,countif('VISIT DATA'!$A:$A,$D478)&gt;=1),"YES",countif('VISIT DATA'!$A:$A,$D478)=countif(D:D,$D478),"YES")</f>
        <v/>
      </c>
      <c r="F478" s="9" t="str">
        <f>ifs($A478=FALSE,"",$A478,VLOOKUP($A478,SCAN!A:D,3,0))</f>
        <v/>
      </c>
    </row>
    <row r="479">
      <c r="A479" s="16"/>
      <c r="B479" s="6" t="str">
        <f>ifs($A479=FALSE,"",$A479,VLOOKUP($A479,SCAN!A:D,4,0))</f>
        <v/>
      </c>
      <c r="C479" s="7" t="str">
        <f t="shared" si="1"/>
        <v/>
      </c>
      <c r="D479" s="17" t="str">
        <f t="shared" si="3"/>
        <v/>
      </c>
      <c r="E479" s="9" t="str">
        <f>ifs($D479="","",countif('VISIT DATA'!$A:$A,$D479)=countif(D:D,$D479),"YES",countif('VISIT DATA'!$A:$A,$D479)=0,"NO",and(countif(D:D,$D479)&gt;1,countif('VISIT DATA'!$A:$A,$D479)&gt;=1),"YES",countif('VISIT DATA'!$A:$A,$D479)=countif(D:D,$D479),"YES")</f>
        <v/>
      </c>
      <c r="F479" s="9" t="str">
        <f>ifs($A479=FALSE,"",$A479,VLOOKUP($A479,SCAN!A:D,3,0))</f>
        <v/>
      </c>
    </row>
    <row r="480">
      <c r="A480" s="16"/>
      <c r="B480" s="6" t="str">
        <f>ifs($A480=FALSE,"",$A480,VLOOKUP($A480,SCAN!A:D,4,0))</f>
        <v/>
      </c>
      <c r="C480" s="7" t="str">
        <f t="shared" si="1"/>
        <v/>
      </c>
      <c r="D480" s="17" t="str">
        <f t="shared" si="3"/>
        <v/>
      </c>
      <c r="E480" s="9" t="str">
        <f>ifs($D480="","",countif('VISIT DATA'!$A:$A,$D480)=countif(D:D,$D480),"YES",countif('VISIT DATA'!$A:$A,$D480)=0,"NO",and(countif(D:D,$D480)&gt;1,countif('VISIT DATA'!$A:$A,$D480)&gt;=1),"YES",countif('VISIT DATA'!$A:$A,$D480)=countif(D:D,$D480),"YES")</f>
        <v/>
      </c>
      <c r="F480" s="9" t="str">
        <f>ifs($A480=FALSE,"",$A480,VLOOKUP($A480,SCAN!A:D,3,0))</f>
        <v/>
      </c>
    </row>
    <row r="481">
      <c r="A481" s="16"/>
      <c r="B481" s="6" t="str">
        <f>ifs($A481=FALSE,"",$A481,VLOOKUP($A481,SCAN!A:D,4,0))</f>
        <v/>
      </c>
      <c r="C481" s="7" t="str">
        <f t="shared" si="1"/>
        <v/>
      </c>
      <c r="D481" s="17" t="str">
        <f t="shared" si="3"/>
        <v/>
      </c>
      <c r="E481" s="9" t="str">
        <f>ifs($D481="","",countif('VISIT DATA'!$A:$A,$D481)=countif(D:D,$D481),"YES",countif('VISIT DATA'!$A:$A,$D481)=0,"NO",and(countif(D:D,$D481)&gt;1,countif('VISIT DATA'!$A:$A,$D481)&gt;=1),"YES",countif('VISIT DATA'!$A:$A,$D481)=countif(D:D,$D481),"YES")</f>
        <v/>
      </c>
      <c r="F481" s="9" t="str">
        <f>ifs($A481=FALSE,"",$A481,VLOOKUP($A481,SCAN!A:D,3,0))</f>
        <v/>
      </c>
    </row>
    <row r="482">
      <c r="A482" s="16"/>
      <c r="B482" s="6" t="str">
        <f>ifs($A482=FALSE,"",$A482,VLOOKUP($A482,SCAN!A:D,4,0))</f>
        <v/>
      </c>
      <c r="C482" s="7" t="str">
        <f t="shared" si="1"/>
        <v/>
      </c>
      <c r="D482" s="17" t="str">
        <f t="shared" si="3"/>
        <v/>
      </c>
      <c r="E482" s="9" t="str">
        <f>ifs($D482="","",countif('VISIT DATA'!$A:$A,$D482)=countif(D:D,$D482),"YES",countif('VISIT DATA'!$A:$A,$D482)=0,"NO",and(countif(D:D,$D482)&gt;1,countif('VISIT DATA'!$A:$A,$D482)&gt;=1),"YES",countif('VISIT DATA'!$A:$A,$D482)=countif(D:D,$D482),"YES")</f>
        <v/>
      </c>
      <c r="F482" s="9" t="str">
        <f>ifs($A482=FALSE,"",$A482,VLOOKUP($A482,SCAN!A:D,3,0))</f>
        <v/>
      </c>
    </row>
    <row r="483">
      <c r="A483" s="16"/>
      <c r="B483" s="6" t="str">
        <f>ifs($A483=FALSE,"",$A483,VLOOKUP($A483,SCAN!A:D,4,0))</f>
        <v/>
      </c>
      <c r="C483" s="7" t="str">
        <f t="shared" si="1"/>
        <v/>
      </c>
      <c r="D483" s="17" t="str">
        <f t="shared" si="3"/>
        <v/>
      </c>
      <c r="E483" s="9" t="str">
        <f>ifs($D483="","",countif('VISIT DATA'!$A:$A,$D483)=countif(D:D,$D483),"YES",countif('VISIT DATA'!$A:$A,$D483)=0,"NO",and(countif(D:D,$D483)&gt;1,countif('VISIT DATA'!$A:$A,$D483)&gt;=1),"YES",countif('VISIT DATA'!$A:$A,$D483)=countif(D:D,$D483),"YES")</f>
        <v/>
      </c>
      <c r="F483" s="9" t="str">
        <f>ifs($A483=FALSE,"",$A483,VLOOKUP($A483,SCAN!A:D,3,0))</f>
        <v/>
      </c>
    </row>
    <row r="484">
      <c r="A484" s="16"/>
      <c r="B484" s="6" t="str">
        <f>ifs($A484=FALSE,"",$A484,VLOOKUP($A484,SCAN!A:D,4,0))</f>
        <v/>
      </c>
      <c r="C484" s="7" t="str">
        <f t="shared" si="1"/>
        <v/>
      </c>
      <c r="D484" s="17" t="str">
        <f t="shared" si="3"/>
        <v/>
      </c>
      <c r="E484" s="9" t="str">
        <f>ifs($D484="","",countif('VISIT DATA'!$A:$A,$D484)=countif(D:D,$D484),"YES",countif('VISIT DATA'!$A:$A,$D484)=0,"NO",and(countif(D:D,$D484)&gt;1,countif('VISIT DATA'!$A:$A,$D484)&gt;=1),"YES",countif('VISIT DATA'!$A:$A,$D484)=countif(D:D,$D484),"YES")</f>
        <v/>
      </c>
      <c r="F484" s="9" t="str">
        <f>ifs($A484=FALSE,"",$A484,VLOOKUP($A484,SCAN!A:D,3,0))</f>
        <v/>
      </c>
    </row>
    <row r="485">
      <c r="A485" s="16"/>
      <c r="B485" s="6" t="str">
        <f>ifs($A485=FALSE,"",$A485,VLOOKUP($A485,SCAN!A:D,4,0))</f>
        <v/>
      </c>
      <c r="C485" s="7" t="str">
        <f t="shared" si="1"/>
        <v/>
      </c>
      <c r="D485" s="17" t="str">
        <f t="shared" si="3"/>
        <v/>
      </c>
      <c r="E485" s="9" t="str">
        <f>ifs($D485="","",countif('VISIT DATA'!$A:$A,$D485)=countif(D:D,$D485),"YES",countif('VISIT DATA'!$A:$A,$D485)=0,"NO",and(countif(D:D,$D485)&gt;1,countif('VISIT DATA'!$A:$A,$D485)&gt;=1),"YES",countif('VISIT DATA'!$A:$A,$D485)=countif(D:D,$D485),"YES")</f>
        <v/>
      </c>
      <c r="F485" s="9" t="str">
        <f>ifs($A485=FALSE,"",$A485,VLOOKUP($A485,SCAN!A:D,3,0))</f>
        <v/>
      </c>
    </row>
    <row r="486">
      <c r="A486" s="16"/>
      <c r="B486" s="6" t="str">
        <f>ifs($A486=FALSE,"",$A486,VLOOKUP($A486,SCAN!A:D,4,0))</f>
        <v/>
      </c>
      <c r="C486" s="7" t="str">
        <f t="shared" si="1"/>
        <v/>
      </c>
      <c r="D486" s="17" t="str">
        <f t="shared" si="3"/>
        <v/>
      </c>
      <c r="E486" s="9" t="str">
        <f>ifs($D486="","",countif('VISIT DATA'!$A:$A,$D486)=countif(D:D,$D486),"YES",countif('VISIT DATA'!$A:$A,$D486)=0,"NO",and(countif(D:D,$D486)&gt;1,countif('VISIT DATA'!$A:$A,$D486)&gt;=1),"YES",countif('VISIT DATA'!$A:$A,$D486)=countif(D:D,$D486),"YES")</f>
        <v/>
      </c>
      <c r="F486" s="9" t="str">
        <f>ifs($A486=FALSE,"",$A486,VLOOKUP($A486,SCAN!A:D,3,0))</f>
        <v/>
      </c>
    </row>
    <row r="487">
      <c r="A487" s="16"/>
      <c r="B487" s="6" t="str">
        <f>ifs($A487=FALSE,"",$A487,VLOOKUP($A487,SCAN!A:D,4,0))</f>
        <v/>
      </c>
      <c r="C487" s="7" t="str">
        <f t="shared" si="1"/>
        <v/>
      </c>
      <c r="D487" s="17" t="str">
        <f t="shared" si="3"/>
        <v/>
      </c>
      <c r="E487" s="9" t="str">
        <f>ifs($D487="","",countif('VISIT DATA'!$A:$A,$D487)=countif(D:D,$D487),"YES",countif('VISIT DATA'!$A:$A,$D487)=0,"NO",and(countif(D:D,$D487)&gt;1,countif('VISIT DATA'!$A:$A,$D487)&gt;=1),"YES",countif('VISIT DATA'!$A:$A,$D487)=countif(D:D,$D487),"YES")</f>
        <v/>
      </c>
      <c r="F487" s="9" t="str">
        <f>ifs($A487=FALSE,"",$A487,VLOOKUP($A487,SCAN!A:D,3,0))</f>
        <v/>
      </c>
    </row>
    <row r="488">
      <c r="A488" s="16"/>
      <c r="B488" s="6" t="str">
        <f>ifs($A488=FALSE,"",$A488,VLOOKUP($A488,SCAN!A:D,4,0))</f>
        <v/>
      </c>
      <c r="C488" s="7" t="str">
        <f t="shared" si="1"/>
        <v/>
      </c>
      <c r="D488" s="17" t="str">
        <f t="shared" si="3"/>
        <v/>
      </c>
      <c r="E488" s="9" t="str">
        <f>ifs($D488="","",countif('VISIT DATA'!$A:$A,$D488)=countif(D:D,$D488),"YES",countif('VISIT DATA'!$A:$A,$D488)=0,"NO",and(countif(D:D,$D488)&gt;1,countif('VISIT DATA'!$A:$A,$D488)&gt;=1),"YES",countif('VISIT DATA'!$A:$A,$D488)=countif(D:D,$D488),"YES")</f>
        <v/>
      </c>
      <c r="F488" s="9" t="str">
        <f>ifs($A488=FALSE,"",$A488,VLOOKUP($A488,SCAN!A:D,3,0))</f>
        <v/>
      </c>
    </row>
    <row r="489">
      <c r="A489" s="16"/>
      <c r="B489" s="6" t="str">
        <f>ifs($A489=FALSE,"",$A489,VLOOKUP($A489,SCAN!A:D,4,0))</f>
        <v/>
      </c>
      <c r="C489" s="7" t="str">
        <f t="shared" si="1"/>
        <v/>
      </c>
      <c r="D489" s="17" t="str">
        <f t="shared" si="3"/>
        <v/>
      </c>
      <c r="E489" s="9" t="str">
        <f>ifs($D489="","",countif('VISIT DATA'!$A:$A,$D489)=countif(D:D,$D489),"YES",countif('VISIT DATA'!$A:$A,$D489)=0,"NO",and(countif(D:D,$D489)&gt;1,countif('VISIT DATA'!$A:$A,$D489)&gt;=1),"YES",countif('VISIT DATA'!$A:$A,$D489)=countif(D:D,$D489),"YES")</f>
        <v/>
      </c>
      <c r="F489" s="9" t="str">
        <f>ifs($A489=FALSE,"",$A489,VLOOKUP($A489,SCAN!A:D,3,0))</f>
        <v/>
      </c>
    </row>
    <row r="490">
      <c r="A490" s="16"/>
      <c r="B490" s="6" t="str">
        <f>ifs($A490=FALSE,"",$A490,VLOOKUP($A490,SCAN!A:D,4,0))</f>
        <v/>
      </c>
      <c r="C490" s="7" t="str">
        <f t="shared" si="1"/>
        <v/>
      </c>
      <c r="D490" s="17" t="str">
        <f t="shared" si="3"/>
        <v/>
      </c>
      <c r="E490" s="9" t="str">
        <f>ifs($D490="","",countif('VISIT DATA'!$A:$A,$D490)=countif(D:D,$D490),"YES",countif('VISIT DATA'!$A:$A,$D490)=0,"NO",and(countif(D:D,$D490)&gt;1,countif('VISIT DATA'!$A:$A,$D490)&gt;=1),"YES",countif('VISIT DATA'!$A:$A,$D490)=countif(D:D,$D490),"YES")</f>
        <v/>
      </c>
      <c r="F490" s="9" t="str">
        <f>ifs($A490=FALSE,"",$A490,VLOOKUP($A490,SCAN!A:D,3,0))</f>
        <v/>
      </c>
    </row>
    <row r="491">
      <c r="A491" s="16"/>
      <c r="B491" s="6" t="str">
        <f>ifs($A491=FALSE,"",$A491,VLOOKUP($A491,SCAN!A:D,4,0))</f>
        <v/>
      </c>
      <c r="C491" s="7" t="str">
        <f t="shared" si="1"/>
        <v/>
      </c>
      <c r="D491" s="17" t="str">
        <f t="shared" si="3"/>
        <v/>
      </c>
      <c r="E491" s="9" t="str">
        <f>ifs($D491="","",countif('VISIT DATA'!$A:$A,$D491)=countif(D:D,$D491),"YES",countif('VISIT DATA'!$A:$A,$D491)=0,"NO",and(countif(D:D,$D491)&gt;1,countif('VISIT DATA'!$A:$A,$D491)&gt;=1),"YES",countif('VISIT DATA'!$A:$A,$D491)=countif(D:D,$D491),"YES")</f>
        <v/>
      </c>
      <c r="F491" s="9" t="str">
        <f>ifs($A491=FALSE,"",$A491,VLOOKUP($A491,SCAN!A:D,3,0))</f>
        <v/>
      </c>
    </row>
    <row r="492">
      <c r="A492" s="16"/>
      <c r="B492" s="6" t="str">
        <f>ifs($A492=FALSE,"",$A492,VLOOKUP($A492,SCAN!A:D,4,0))</f>
        <v/>
      </c>
      <c r="C492" s="7" t="str">
        <f t="shared" si="1"/>
        <v/>
      </c>
      <c r="D492" s="17" t="str">
        <f t="shared" si="3"/>
        <v/>
      </c>
      <c r="E492" s="9" t="str">
        <f>ifs($D492="","",countif('VISIT DATA'!$A:$A,$D492)=countif(D:D,$D492),"YES",countif('VISIT DATA'!$A:$A,$D492)=0,"NO",and(countif(D:D,$D492)&gt;1,countif('VISIT DATA'!$A:$A,$D492)&gt;=1),"YES",countif('VISIT DATA'!$A:$A,$D492)=countif(D:D,$D492),"YES")</f>
        <v/>
      </c>
      <c r="F492" s="9" t="str">
        <f>ifs($A492=FALSE,"",$A492,VLOOKUP($A492,SCAN!A:D,3,0))</f>
        <v/>
      </c>
    </row>
    <row r="493">
      <c r="A493" s="16"/>
      <c r="B493" s="6" t="str">
        <f>ifs($A493=FALSE,"",$A493,VLOOKUP($A493,SCAN!A:D,4,0))</f>
        <v/>
      </c>
      <c r="C493" s="7" t="str">
        <f t="shared" si="1"/>
        <v/>
      </c>
      <c r="D493" s="17" t="str">
        <f t="shared" si="3"/>
        <v/>
      </c>
      <c r="E493" s="9" t="str">
        <f>ifs($D493="","",countif('VISIT DATA'!$A:$A,$D493)=countif(D:D,$D493),"YES",countif('VISIT DATA'!$A:$A,$D493)=0,"NO",and(countif(D:D,$D493)&gt;1,countif('VISIT DATA'!$A:$A,$D493)&gt;=1),"YES",countif('VISIT DATA'!$A:$A,$D493)=countif(D:D,$D493),"YES")</f>
        <v/>
      </c>
      <c r="F493" s="9" t="str">
        <f>ifs($A493=FALSE,"",$A493,VLOOKUP($A493,SCAN!A:D,3,0))</f>
        <v/>
      </c>
    </row>
    <row r="494">
      <c r="A494" s="16"/>
      <c r="B494" s="6" t="str">
        <f>ifs($A494=FALSE,"",$A494,VLOOKUP($A494,SCAN!A:D,4,0))</f>
        <v/>
      </c>
      <c r="C494" s="7" t="str">
        <f t="shared" si="1"/>
        <v/>
      </c>
      <c r="D494" s="17" t="str">
        <f t="shared" si="3"/>
        <v/>
      </c>
      <c r="E494" s="9" t="str">
        <f>ifs($D494="","",countif('VISIT DATA'!$A:$A,$D494)=countif(D:D,$D494),"YES",countif('VISIT DATA'!$A:$A,$D494)=0,"NO",and(countif(D:D,$D494)&gt;1,countif('VISIT DATA'!$A:$A,$D494)&gt;=1),"YES",countif('VISIT DATA'!$A:$A,$D494)=countif(D:D,$D494),"YES")</f>
        <v/>
      </c>
      <c r="F494" s="9" t="str">
        <f>ifs($A494=FALSE,"",$A494,VLOOKUP($A494,SCAN!A:D,3,0))</f>
        <v/>
      </c>
    </row>
    <row r="495">
      <c r="A495" s="16"/>
      <c r="B495" s="6" t="str">
        <f>ifs($A495=FALSE,"",$A495,VLOOKUP($A495,SCAN!A:D,4,0))</f>
        <v/>
      </c>
      <c r="C495" s="7" t="str">
        <f t="shared" si="1"/>
        <v/>
      </c>
      <c r="D495" s="17" t="str">
        <f t="shared" si="3"/>
        <v/>
      </c>
      <c r="E495" s="9" t="str">
        <f>ifs($D495="","",countif('VISIT DATA'!$A:$A,$D495)=countif(D:D,$D495),"YES",countif('VISIT DATA'!$A:$A,$D495)=0,"NO",and(countif(D:D,$D495)&gt;1,countif('VISIT DATA'!$A:$A,$D495)&gt;=1),"YES",countif('VISIT DATA'!$A:$A,$D495)=countif(D:D,$D495),"YES")</f>
        <v/>
      </c>
      <c r="F495" s="9" t="str">
        <f>ifs($A495=FALSE,"",$A495,VLOOKUP($A495,SCAN!A:D,3,0))</f>
        <v/>
      </c>
    </row>
    <row r="496">
      <c r="A496" s="16"/>
      <c r="B496" s="6" t="str">
        <f>ifs($A496=FALSE,"",$A496,VLOOKUP($A496,SCAN!A:D,4,0))</f>
        <v/>
      </c>
      <c r="C496" s="7" t="str">
        <f t="shared" si="1"/>
        <v/>
      </c>
      <c r="D496" s="17" t="str">
        <f t="shared" si="3"/>
        <v/>
      </c>
      <c r="E496" s="9" t="str">
        <f>ifs($D496="","",countif('VISIT DATA'!$A:$A,$D496)=countif(D:D,$D496),"YES",countif('VISIT DATA'!$A:$A,$D496)=0,"NO",and(countif(D:D,$D496)&gt;1,countif('VISIT DATA'!$A:$A,$D496)&gt;=1),"YES",countif('VISIT DATA'!$A:$A,$D496)=countif(D:D,$D496),"YES")</f>
        <v/>
      </c>
      <c r="F496" s="9" t="str">
        <f>ifs($A496=FALSE,"",$A496,VLOOKUP($A496,SCAN!A:D,3,0))</f>
        <v/>
      </c>
    </row>
    <row r="497">
      <c r="A497" s="16"/>
      <c r="B497" s="6" t="str">
        <f>ifs($A497=FALSE,"",$A497,VLOOKUP($A497,SCAN!A:D,4,0))</f>
        <v/>
      </c>
      <c r="C497" s="7" t="str">
        <f t="shared" si="1"/>
        <v/>
      </c>
      <c r="D497" s="17" t="str">
        <f t="shared" si="3"/>
        <v/>
      </c>
      <c r="E497" s="9" t="str">
        <f>ifs($D497="","",countif('VISIT DATA'!$A:$A,$D497)=countif(D:D,$D497),"YES",countif('VISIT DATA'!$A:$A,$D497)=0,"NO",and(countif(D:D,$D497)&gt;1,countif('VISIT DATA'!$A:$A,$D497)&gt;=1),"YES",countif('VISIT DATA'!$A:$A,$D497)=countif(D:D,$D497),"YES")</f>
        <v/>
      </c>
      <c r="F497" s="9" t="str">
        <f>ifs($A497=FALSE,"",$A497,VLOOKUP($A497,SCAN!A:D,3,0))</f>
        <v/>
      </c>
    </row>
    <row r="498">
      <c r="A498" s="16"/>
      <c r="B498" s="6" t="str">
        <f>ifs($A498=FALSE,"",$A498,VLOOKUP($A498,SCAN!A:D,4,0))</f>
        <v/>
      </c>
      <c r="C498" s="7" t="str">
        <f t="shared" si="1"/>
        <v/>
      </c>
      <c r="D498" s="17" t="str">
        <f t="shared" si="3"/>
        <v/>
      </c>
      <c r="E498" s="9" t="str">
        <f>ifs($D498="","",countif('VISIT DATA'!$A:$A,$D498)=countif(D:D,$D498),"YES",countif('VISIT DATA'!$A:$A,$D498)=0,"NO",and(countif(D:D,$D498)&gt;1,countif('VISIT DATA'!$A:$A,$D498)&gt;=1),"YES",countif('VISIT DATA'!$A:$A,$D498)=countif(D:D,$D498),"YES")</f>
        <v/>
      </c>
      <c r="F498" s="9" t="str">
        <f>ifs($A498=FALSE,"",$A498,VLOOKUP($A498,SCAN!A:D,3,0))</f>
        <v/>
      </c>
    </row>
    <row r="499">
      <c r="A499" s="16"/>
      <c r="B499" s="6" t="str">
        <f>ifs($A499=FALSE,"",$A499,VLOOKUP($A499,SCAN!A:D,4,0))</f>
        <v/>
      </c>
      <c r="C499" s="7" t="str">
        <f t="shared" si="1"/>
        <v/>
      </c>
      <c r="D499" s="17" t="str">
        <f t="shared" si="3"/>
        <v/>
      </c>
      <c r="E499" s="9" t="str">
        <f>ifs($D499="","",countif('VISIT DATA'!$A:$A,$D499)=countif(D:D,$D499),"YES",countif('VISIT DATA'!$A:$A,$D499)=0,"NO",and(countif(D:D,$D499)&gt;1,countif('VISIT DATA'!$A:$A,$D499)&gt;=1),"YES",countif('VISIT DATA'!$A:$A,$D499)=countif(D:D,$D499),"YES")</f>
        <v/>
      </c>
      <c r="F499" s="9" t="str">
        <f>ifs($A499=FALSE,"",$A499,VLOOKUP($A499,SCAN!A:D,3,0))</f>
        <v/>
      </c>
    </row>
    <row r="500">
      <c r="A500" s="16"/>
      <c r="B500" s="6" t="str">
        <f>ifs($A500=FALSE,"",$A500,VLOOKUP($A500,SCAN!A:D,4,0))</f>
        <v/>
      </c>
      <c r="C500" s="7" t="str">
        <f t="shared" si="1"/>
        <v/>
      </c>
      <c r="D500" s="17" t="str">
        <f t="shared" si="3"/>
        <v/>
      </c>
      <c r="E500" s="9" t="str">
        <f>ifs($D500="","",countif('VISIT DATA'!$A:$A,$D500)=countif(D:D,$D500),"YES",countif('VISIT DATA'!$A:$A,$D500)=0,"NO",and(countif(D:D,$D500)&gt;1,countif('VISIT DATA'!$A:$A,$D500)&gt;=1),"YES",countif('VISIT DATA'!$A:$A,$D500)=countif(D:D,$D500),"YES")</f>
        <v/>
      </c>
      <c r="F500" s="9" t="str">
        <f>ifs($A500=FALSE,"",$A500,VLOOKUP($A500,SCAN!A:D,3,0))</f>
        <v/>
      </c>
    </row>
  </sheetData>
  <mergeCells count="1">
    <mergeCell ref="D1:D2"/>
  </mergeCells>
  <conditionalFormatting sqref="A3:A500">
    <cfRule type="notContainsBlanks" dxfId="0" priority="1">
      <formula>LEN(TRIM(A3))&gt;0</formula>
    </cfRule>
  </conditionalFormatting>
  <conditionalFormatting sqref="B1:C500 E1:F500 A2:A500 D2:D500">
    <cfRule type="expression" dxfId="1" priority="2">
      <formula>$E1="NO"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11.0"/>
    <col customWidth="1" min="2" max="2" width="43.57"/>
    <col customWidth="1" min="3" max="5" width="11.0"/>
    <col customWidth="1" min="6" max="6" width="17.14"/>
  </cols>
  <sheetData>
    <row r="1">
      <c r="A1" s="19" t="s">
        <v>20</v>
      </c>
      <c r="B1" s="19" t="s">
        <v>24</v>
      </c>
      <c r="C1" s="20" t="s">
        <v>25</v>
      </c>
      <c r="D1" s="19" t="s">
        <v>24</v>
      </c>
      <c r="E1" s="19" t="s">
        <v>20</v>
      </c>
      <c r="F1" s="21"/>
    </row>
    <row r="2">
      <c r="A2" s="19">
        <v>9136.0</v>
      </c>
      <c r="B2" s="19" t="s">
        <v>26</v>
      </c>
      <c r="C2" s="20">
        <v>20601.0</v>
      </c>
      <c r="D2" s="19" t="str">
        <f t="shared" ref="D2:D6100" si="1">IF((countif($B$2:$B6316,$B2)&gt;1),"Repeat"," ")</f>
        <v>Repeat</v>
      </c>
      <c r="E2" s="19" t="str">
        <f t="shared" ref="E2:E6100" si="2">IF((countif($A$2:$A6316,$A2)&gt;1),"Repeat"," ")</f>
        <v>Repeat</v>
      </c>
      <c r="F2" s="21" t="s">
        <v>27</v>
      </c>
    </row>
    <row r="3">
      <c r="A3" s="19">
        <v>9139.0</v>
      </c>
      <c r="B3" s="19" t="s">
        <v>28</v>
      </c>
      <c r="C3" s="20">
        <v>20702.0</v>
      </c>
      <c r="D3" s="19" t="str">
        <f t="shared" si="1"/>
        <v> </v>
      </c>
      <c r="E3" s="19" t="str">
        <f t="shared" si="2"/>
        <v> </v>
      </c>
      <c r="F3" s="21" t="s">
        <v>29</v>
      </c>
    </row>
    <row r="4">
      <c r="A4" s="19">
        <v>9141.0</v>
      </c>
      <c r="B4" s="19" t="s">
        <v>30</v>
      </c>
      <c r="C4" s="20">
        <v>30758.0</v>
      </c>
      <c r="D4" s="19" t="str">
        <f t="shared" si="1"/>
        <v>Repeat</v>
      </c>
      <c r="E4" s="19" t="str">
        <f t="shared" si="2"/>
        <v>Repeat</v>
      </c>
      <c r="F4" s="21" t="s">
        <v>31</v>
      </c>
    </row>
    <row r="5">
      <c r="A5" s="19">
        <v>9143.0</v>
      </c>
      <c r="B5" s="19" t="s">
        <v>32</v>
      </c>
      <c r="C5" s="20">
        <v>12955.0</v>
      </c>
      <c r="D5" s="19" t="str">
        <f t="shared" si="1"/>
        <v> </v>
      </c>
      <c r="E5" s="19" t="str">
        <f t="shared" si="2"/>
        <v> </v>
      </c>
      <c r="F5" s="21" t="s">
        <v>33</v>
      </c>
    </row>
    <row r="6">
      <c r="A6" s="19">
        <v>9144.0</v>
      </c>
      <c r="B6" s="19" t="s">
        <v>34</v>
      </c>
      <c r="C6" s="20">
        <v>19782.0</v>
      </c>
      <c r="D6" s="19" t="str">
        <f t="shared" si="1"/>
        <v> </v>
      </c>
      <c r="E6" s="19" t="str">
        <f t="shared" si="2"/>
        <v> </v>
      </c>
      <c r="F6" s="21" t="s">
        <v>35</v>
      </c>
    </row>
    <row r="7">
      <c r="A7" s="19">
        <v>9151.0</v>
      </c>
      <c r="B7" s="19" t="s">
        <v>36</v>
      </c>
      <c r="C7" s="20">
        <v>23307.0</v>
      </c>
      <c r="D7" s="19" t="str">
        <f t="shared" si="1"/>
        <v> </v>
      </c>
      <c r="E7" s="19" t="str">
        <f t="shared" si="2"/>
        <v> </v>
      </c>
      <c r="F7" s="21" t="s">
        <v>37</v>
      </c>
    </row>
    <row r="8">
      <c r="A8" s="19">
        <v>9153.0</v>
      </c>
      <c r="B8" s="19" t="s">
        <v>38</v>
      </c>
      <c r="C8" s="20">
        <v>24623.0</v>
      </c>
      <c r="D8" s="19" t="str">
        <f t="shared" si="1"/>
        <v>Repeat</v>
      </c>
      <c r="E8" s="19" t="str">
        <f t="shared" si="2"/>
        <v>Repeat</v>
      </c>
      <c r="F8" s="21" t="s">
        <v>39</v>
      </c>
    </row>
    <row r="9">
      <c r="A9" s="19">
        <v>9157.0</v>
      </c>
      <c r="B9" s="19" t="s">
        <v>40</v>
      </c>
      <c r="C9" s="20">
        <v>21649.0</v>
      </c>
      <c r="D9" s="19" t="str">
        <f t="shared" si="1"/>
        <v> </v>
      </c>
      <c r="E9" s="19" t="str">
        <f t="shared" si="2"/>
        <v> </v>
      </c>
      <c r="F9" s="21" t="s">
        <v>41</v>
      </c>
    </row>
    <row r="10">
      <c r="A10" s="19">
        <v>9158.0</v>
      </c>
      <c r="B10" s="19" t="s">
        <v>42</v>
      </c>
      <c r="C10" s="20">
        <v>29032.0</v>
      </c>
      <c r="D10" s="19" t="str">
        <f t="shared" si="1"/>
        <v>Repeat</v>
      </c>
      <c r="E10" s="19" t="str">
        <f t="shared" si="2"/>
        <v>Repeat</v>
      </c>
      <c r="F10" s="21" t="s">
        <v>43</v>
      </c>
    </row>
    <row r="11">
      <c r="A11" s="19">
        <v>9160.0</v>
      </c>
      <c r="B11" s="19" t="s">
        <v>44</v>
      </c>
      <c r="C11" s="20">
        <v>19653.0</v>
      </c>
      <c r="D11" s="19" t="str">
        <f t="shared" si="1"/>
        <v>Repeat</v>
      </c>
      <c r="E11" s="19" t="str">
        <f t="shared" si="2"/>
        <v> </v>
      </c>
      <c r="F11" s="21" t="s">
        <v>45</v>
      </c>
    </row>
    <row r="12">
      <c r="A12" s="19">
        <v>9161.0</v>
      </c>
      <c r="B12" s="19" t="s">
        <v>46</v>
      </c>
      <c r="C12" s="20">
        <v>20868.0</v>
      </c>
      <c r="D12" s="19" t="str">
        <f t="shared" si="1"/>
        <v> </v>
      </c>
      <c r="E12" s="19" t="str">
        <f t="shared" si="2"/>
        <v> </v>
      </c>
      <c r="F12" s="21" t="s">
        <v>47</v>
      </c>
    </row>
    <row r="13">
      <c r="A13" s="19">
        <v>9163.0</v>
      </c>
      <c r="B13" s="19" t="s">
        <v>48</v>
      </c>
      <c r="C13" s="20">
        <v>17275.0</v>
      </c>
      <c r="D13" s="19" t="str">
        <f t="shared" si="1"/>
        <v>Repeat</v>
      </c>
      <c r="E13" s="19" t="str">
        <f t="shared" si="2"/>
        <v>Repeat</v>
      </c>
      <c r="F13" s="21" t="s">
        <v>49</v>
      </c>
    </row>
    <row r="14">
      <c r="A14" s="19">
        <v>9164.0</v>
      </c>
      <c r="B14" s="19" t="s">
        <v>50</v>
      </c>
      <c r="C14" s="20">
        <v>12175.0</v>
      </c>
      <c r="D14" s="19" t="str">
        <f t="shared" si="1"/>
        <v> </v>
      </c>
      <c r="E14" s="19" t="str">
        <f t="shared" si="2"/>
        <v> </v>
      </c>
      <c r="F14" s="21"/>
    </row>
    <row r="15">
      <c r="A15" s="19">
        <v>9165.0</v>
      </c>
      <c r="B15" s="19" t="s">
        <v>51</v>
      </c>
      <c r="C15" s="20">
        <v>29909.0</v>
      </c>
      <c r="D15" s="19" t="str">
        <f t="shared" si="1"/>
        <v> </v>
      </c>
      <c r="E15" s="19" t="str">
        <f t="shared" si="2"/>
        <v> </v>
      </c>
      <c r="F15" s="21"/>
    </row>
    <row r="16">
      <c r="A16" s="19">
        <v>9167.0</v>
      </c>
      <c r="B16" s="19" t="s">
        <v>52</v>
      </c>
      <c r="C16" s="20">
        <v>10664.0</v>
      </c>
      <c r="D16" s="19" t="str">
        <f t="shared" si="1"/>
        <v> </v>
      </c>
      <c r="E16" s="19" t="str">
        <f t="shared" si="2"/>
        <v> </v>
      </c>
      <c r="F16" s="21"/>
    </row>
    <row r="17">
      <c r="A17" s="19">
        <v>9169.0</v>
      </c>
      <c r="B17" s="19" t="s">
        <v>53</v>
      </c>
      <c r="C17" s="20">
        <v>16745.0</v>
      </c>
      <c r="D17" s="19" t="str">
        <f t="shared" si="1"/>
        <v> </v>
      </c>
      <c r="E17" s="19" t="str">
        <f t="shared" si="2"/>
        <v> </v>
      </c>
      <c r="F17" s="21"/>
    </row>
    <row r="18">
      <c r="A18" s="19">
        <v>9170.0</v>
      </c>
      <c r="B18" s="19" t="s">
        <v>54</v>
      </c>
      <c r="C18" s="20">
        <v>18503.0</v>
      </c>
      <c r="D18" s="19" t="str">
        <f t="shared" si="1"/>
        <v> </v>
      </c>
      <c r="E18" s="19" t="str">
        <f t="shared" si="2"/>
        <v> </v>
      </c>
      <c r="F18" s="21"/>
    </row>
    <row r="19">
      <c r="A19" s="19">
        <v>9171.0</v>
      </c>
      <c r="B19" s="19" t="s">
        <v>55</v>
      </c>
      <c r="C19" s="20">
        <v>20896.0</v>
      </c>
      <c r="D19" s="19" t="str">
        <f t="shared" si="1"/>
        <v> </v>
      </c>
      <c r="E19" s="19" t="str">
        <f t="shared" si="2"/>
        <v> </v>
      </c>
      <c r="F19" s="21"/>
    </row>
    <row r="20">
      <c r="A20" s="19">
        <v>9172.0</v>
      </c>
      <c r="B20" s="19" t="s">
        <v>56</v>
      </c>
      <c r="C20" s="20">
        <v>21800.0</v>
      </c>
      <c r="D20" s="19" t="str">
        <f t="shared" si="1"/>
        <v> </v>
      </c>
      <c r="E20" s="19" t="str">
        <f t="shared" si="2"/>
        <v> </v>
      </c>
      <c r="F20" s="21"/>
    </row>
    <row r="21">
      <c r="A21" s="19">
        <v>9174.0</v>
      </c>
      <c r="B21" s="19" t="s">
        <v>57</v>
      </c>
      <c r="C21" s="20">
        <v>19192.0</v>
      </c>
      <c r="D21" s="19" t="str">
        <f t="shared" si="1"/>
        <v> </v>
      </c>
      <c r="E21" s="19" t="str">
        <f t="shared" si="2"/>
        <v> </v>
      </c>
      <c r="F21" s="21"/>
    </row>
    <row r="22">
      <c r="A22" s="19">
        <v>9175.0</v>
      </c>
      <c r="B22" s="19" t="s">
        <v>58</v>
      </c>
      <c r="C22" s="20">
        <v>22322.0</v>
      </c>
      <c r="D22" s="19" t="str">
        <f t="shared" si="1"/>
        <v> </v>
      </c>
      <c r="E22" s="19" t="str">
        <f t="shared" si="2"/>
        <v> </v>
      </c>
      <c r="F22" s="21"/>
    </row>
    <row r="23">
      <c r="A23" s="19">
        <v>9176.0</v>
      </c>
      <c r="B23" s="19" t="s">
        <v>59</v>
      </c>
      <c r="C23" s="20">
        <v>17667.0</v>
      </c>
      <c r="D23" s="19" t="str">
        <f t="shared" si="1"/>
        <v> </v>
      </c>
      <c r="E23" s="19" t="str">
        <f t="shared" si="2"/>
        <v> </v>
      </c>
      <c r="F23" s="21"/>
    </row>
    <row r="24">
      <c r="A24" s="19">
        <v>9178.0</v>
      </c>
      <c r="B24" s="19" t="s">
        <v>60</v>
      </c>
      <c r="C24" s="20">
        <v>15039.0</v>
      </c>
      <c r="D24" s="19" t="str">
        <f t="shared" si="1"/>
        <v> </v>
      </c>
      <c r="E24" s="19" t="str">
        <f t="shared" si="2"/>
        <v> </v>
      </c>
      <c r="F24" s="21"/>
    </row>
    <row r="25">
      <c r="A25" s="19">
        <v>9179.0</v>
      </c>
      <c r="B25" s="19" t="s">
        <v>61</v>
      </c>
      <c r="C25" s="20">
        <v>13358.0</v>
      </c>
      <c r="D25" s="19" t="str">
        <f t="shared" si="1"/>
        <v> </v>
      </c>
      <c r="E25" s="19" t="str">
        <f t="shared" si="2"/>
        <v> </v>
      </c>
      <c r="F25" s="21"/>
    </row>
    <row r="26">
      <c r="A26" s="19">
        <v>9181.0</v>
      </c>
      <c r="B26" s="19" t="s">
        <v>62</v>
      </c>
      <c r="C26" s="20">
        <v>23232.0</v>
      </c>
      <c r="D26" s="19" t="str">
        <f t="shared" si="1"/>
        <v> </v>
      </c>
      <c r="E26" s="19" t="str">
        <f t="shared" si="2"/>
        <v> </v>
      </c>
      <c r="F26" s="21"/>
    </row>
    <row r="27">
      <c r="A27" s="19">
        <v>9182.0</v>
      </c>
      <c r="B27" s="19" t="s">
        <v>63</v>
      </c>
      <c r="C27" s="20">
        <v>25713.0</v>
      </c>
      <c r="D27" s="19" t="str">
        <f t="shared" si="1"/>
        <v> </v>
      </c>
      <c r="E27" s="19" t="str">
        <f t="shared" si="2"/>
        <v> </v>
      </c>
      <c r="F27" s="21"/>
    </row>
    <row r="28">
      <c r="A28" s="19">
        <v>9184.0</v>
      </c>
      <c r="B28" s="19" t="s">
        <v>64</v>
      </c>
      <c r="C28" s="20">
        <v>13792.0</v>
      </c>
      <c r="D28" s="19" t="str">
        <f t="shared" si="1"/>
        <v> </v>
      </c>
      <c r="E28" s="19" t="str">
        <f t="shared" si="2"/>
        <v> </v>
      </c>
      <c r="F28" s="21"/>
    </row>
    <row r="29">
      <c r="A29" s="19">
        <v>9185.0</v>
      </c>
      <c r="B29" s="19" t="s">
        <v>65</v>
      </c>
      <c r="C29" s="20">
        <v>28921.0</v>
      </c>
      <c r="D29" s="19" t="str">
        <f t="shared" si="1"/>
        <v> </v>
      </c>
      <c r="E29" s="19" t="str">
        <f t="shared" si="2"/>
        <v> </v>
      </c>
      <c r="F29" s="21"/>
    </row>
    <row r="30">
      <c r="A30" s="19">
        <v>9187.0</v>
      </c>
      <c r="B30" s="19" t="s">
        <v>66</v>
      </c>
      <c r="C30" s="20">
        <v>21033.0</v>
      </c>
      <c r="D30" s="19" t="str">
        <f t="shared" si="1"/>
        <v> </v>
      </c>
      <c r="E30" s="19" t="str">
        <f t="shared" si="2"/>
        <v> </v>
      </c>
      <c r="F30" s="21"/>
    </row>
    <row r="31">
      <c r="A31" s="19">
        <v>9191.0</v>
      </c>
      <c r="B31" s="19" t="s">
        <v>67</v>
      </c>
      <c r="C31" s="20">
        <v>20615.0</v>
      </c>
      <c r="D31" s="19" t="str">
        <f t="shared" si="1"/>
        <v> </v>
      </c>
      <c r="E31" s="19" t="str">
        <f t="shared" si="2"/>
        <v> </v>
      </c>
      <c r="F31" s="21"/>
    </row>
    <row r="32">
      <c r="A32" s="19">
        <v>9193.0</v>
      </c>
      <c r="B32" s="19" t="s">
        <v>68</v>
      </c>
      <c r="C32" s="20">
        <v>18632.0</v>
      </c>
      <c r="D32" s="19" t="str">
        <f t="shared" si="1"/>
        <v> </v>
      </c>
      <c r="E32" s="19" t="str">
        <f t="shared" si="2"/>
        <v> </v>
      </c>
      <c r="F32" s="21"/>
    </row>
    <row r="33">
      <c r="A33" s="19">
        <v>9194.0</v>
      </c>
      <c r="B33" s="19" t="s">
        <v>69</v>
      </c>
      <c r="C33" s="20">
        <v>21494.0</v>
      </c>
      <c r="D33" s="19" t="str">
        <f t="shared" si="1"/>
        <v> </v>
      </c>
      <c r="E33" s="19" t="str">
        <f t="shared" si="2"/>
        <v> </v>
      </c>
      <c r="F33" s="21"/>
    </row>
    <row r="34">
      <c r="A34" s="19">
        <v>9196.0</v>
      </c>
      <c r="B34" s="19" t="s">
        <v>70</v>
      </c>
      <c r="C34" s="20">
        <v>13411.0</v>
      </c>
      <c r="D34" s="19" t="str">
        <f t="shared" si="1"/>
        <v> </v>
      </c>
      <c r="E34" s="19" t="str">
        <f t="shared" si="2"/>
        <v> </v>
      </c>
      <c r="F34" s="21"/>
    </row>
    <row r="35">
      <c r="A35" s="19">
        <v>9197.0</v>
      </c>
      <c r="B35" s="19" t="s">
        <v>71</v>
      </c>
      <c r="C35" s="20">
        <v>17375.0</v>
      </c>
      <c r="D35" s="19" t="str">
        <f t="shared" si="1"/>
        <v> </v>
      </c>
      <c r="E35" s="19" t="str">
        <f t="shared" si="2"/>
        <v> </v>
      </c>
      <c r="F35" s="21"/>
    </row>
    <row r="36">
      <c r="A36" s="19">
        <v>9198.0</v>
      </c>
      <c r="B36" s="19" t="s">
        <v>72</v>
      </c>
      <c r="C36" s="20">
        <v>19646.0</v>
      </c>
      <c r="D36" s="19" t="str">
        <f t="shared" si="1"/>
        <v> </v>
      </c>
      <c r="E36" s="19" t="str">
        <f t="shared" si="2"/>
        <v> </v>
      </c>
      <c r="F36" s="21"/>
    </row>
    <row r="37">
      <c r="A37" s="19">
        <v>9199.0</v>
      </c>
      <c r="B37" s="19" t="s">
        <v>73</v>
      </c>
      <c r="C37" s="20">
        <v>17981.0</v>
      </c>
      <c r="D37" s="19" t="str">
        <f t="shared" si="1"/>
        <v> </v>
      </c>
      <c r="E37" s="19" t="str">
        <f t="shared" si="2"/>
        <v> </v>
      </c>
      <c r="F37" s="21"/>
    </row>
    <row r="38">
      <c r="A38" s="19">
        <v>9203.0</v>
      </c>
      <c r="B38" s="19" t="s">
        <v>74</v>
      </c>
      <c r="C38" s="20">
        <v>28029.0</v>
      </c>
      <c r="D38" s="19" t="str">
        <f t="shared" si="1"/>
        <v> </v>
      </c>
      <c r="E38" s="19" t="str">
        <f t="shared" si="2"/>
        <v> </v>
      </c>
      <c r="F38" s="21"/>
    </row>
    <row r="39">
      <c r="A39" s="19">
        <v>9204.0</v>
      </c>
      <c r="B39" s="19" t="s">
        <v>75</v>
      </c>
      <c r="C39" s="20">
        <v>22400.0</v>
      </c>
      <c r="D39" s="19" t="str">
        <f t="shared" si="1"/>
        <v> </v>
      </c>
      <c r="E39" s="19" t="str">
        <f t="shared" si="2"/>
        <v> </v>
      </c>
      <c r="F39" s="21"/>
    </row>
    <row r="40">
      <c r="A40" s="19">
        <v>9206.0</v>
      </c>
      <c r="B40" s="19" t="s">
        <v>76</v>
      </c>
      <c r="C40" s="20">
        <v>22779.0</v>
      </c>
      <c r="D40" s="19" t="str">
        <f t="shared" si="1"/>
        <v> </v>
      </c>
      <c r="E40" s="19" t="str">
        <f t="shared" si="2"/>
        <v> </v>
      </c>
      <c r="F40" s="21"/>
    </row>
    <row r="41">
      <c r="A41" s="19">
        <v>9208.0</v>
      </c>
      <c r="B41" s="19" t="s">
        <v>77</v>
      </c>
      <c r="C41" s="20">
        <v>21408.0</v>
      </c>
      <c r="D41" s="19" t="str">
        <f t="shared" si="1"/>
        <v> </v>
      </c>
      <c r="E41" s="19" t="str">
        <f t="shared" si="2"/>
        <v> </v>
      </c>
      <c r="F41" s="21"/>
    </row>
    <row r="42">
      <c r="A42" s="19">
        <v>9209.0</v>
      </c>
      <c r="B42" s="19" t="s">
        <v>78</v>
      </c>
      <c r="C42" s="20">
        <v>20421.0</v>
      </c>
      <c r="D42" s="19" t="str">
        <f t="shared" si="1"/>
        <v> </v>
      </c>
      <c r="E42" s="19" t="str">
        <f t="shared" si="2"/>
        <v> </v>
      </c>
      <c r="F42" s="21"/>
    </row>
    <row r="43">
      <c r="A43" s="19">
        <v>9210.0</v>
      </c>
      <c r="B43" s="19" t="s">
        <v>79</v>
      </c>
      <c r="C43" s="20">
        <v>9983.0</v>
      </c>
      <c r="D43" s="19" t="str">
        <f t="shared" si="1"/>
        <v> </v>
      </c>
      <c r="E43" s="19" t="str">
        <f t="shared" si="2"/>
        <v> </v>
      </c>
      <c r="F43" s="21"/>
    </row>
    <row r="44">
      <c r="A44" s="19">
        <v>9211.0</v>
      </c>
      <c r="B44" s="19" t="s">
        <v>80</v>
      </c>
      <c r="C44" s="20">
        <v>13066.0</v>
      </c>
      <c r="D44" s="19" t="str">
        <f t="shared" si="1"/>
        <v> </v>
      </c>
      <c r="E44" s="19" t="str">
        <f t="shared" si="2"/>
        <v> </v>
      </c>
      <c r="F44" s="21"/>
    </row>
    <row r="45">
      <c r="A45" s="19">
        <v>9212.0</v>
      </c>
      <c r="B45" s="19" t="s">
        <v>81</v>
      </c>
      <c r="C45" s="20">
        <v>18834.0</v>
      </c>
      <c r="D45" s="19" t="str">
        <f t="shared" si="1"/>
        <v> </v>
      </c>
      <c r="E45" s="19" t="str">
        <f t="shared" si="2"/>
        <v> </v>
      </c>
      <c r="F45" s="21"/>
    </row>
    <row r="46">
      <c r="A46" s="19">
        <v>9213.0</v>
      </c>
      <c r="B46" s="19" t="s">
        <v>82</v>
      </c>
      <c r="C46" s="20">
        <v>21844.0</v>
      </c>
      <c r="D46" s="19" t="str">
        <f t="shared" si="1"/>
        <v> </v>
      </c>
      <c r="E46" s="19" t="str">
        <f t="shared" si="2"/>
        <v> </v>
      </c>
      <c r="F46" s="21"/>
    </row>
    <row r="47">
      <c r="A47" s="19">
        <v>9214.0</v>
      </c>
      <c r="B47" s="19" t="s">
        <v>83</v>
      </c>
      <c r="C47" s="20">
        <v>20158.0</v>
      </c>
      <c r="D47" s="19" t="str">
        <f t="shared" si="1"/>
        <v> </v>
      </c>
      <c r="E47" s="19" t="str">
        <f t="shared" si="2"/>
        <v> </v>
      </c>
      <c r="F47" s="21"/>
    </row>
    <row r="48">
      <c r="A48" s="19">
        <v>9216.0</v>
      </c>
      <c r="B48" s="19" t="s">
        <v>84</v>
      </c>
      <c r="C48" s="20">
        <v>15976.0</v>
      </c>
      <c r="D48" s="19" t="str">
        <f t="shared" si="1"/>
        <v> </v>
      </c>
      <c r="E48" s="19" t="str">
        <f t="shared" si="2"/>
        <v> </v>
      </c>
      <c r="F48" s="21"/>
    </row>
    <row r="49">
      <c r="A49" s="19">
        <v>9217.0</v>
      </c>
      <c r="B49" s="19" t="s">
        <v>85</v>
      </c>
      <c r="C49" s="20">
        <v>12461.0</v>
      </c>
      <c r="D49" s="19" t="str">
        <f t="shared" si="1"/>
        <v> </v>
      </c>
      <c r="E49" s="19" t="str">
        <f t="shared" si="2"/>
        <v> </v>
      </c>
      <c r="F49" s="21"/>
    </row>
    <row r="50">
      <c r="A50" s="19">
        <v>9218.0</v>
      </c>
      <c r="B50" s="19" t="s">
        <v>86</v>
      </c>
      <c r="C50" s="20">
        <v>25746.0</v>
      </c>
      <c r="D50" s="19" t="str">
        <f t="shared" si="1"/>
        <v> </v>
      </c>
      <c r="E50" s="19" t="str">
        <f t="shared" si="2"/>
        <v> </v>
      </c>
      <c r="F50" s="21"/>
    </row>
    <row r="51">
      <c r="A51" s="19">
        <v>9219.0</v>
      </c>
      <c r="B51" s="19" t="s">
        <v>87</v>
      </c>
      <c r="C51" s="20">
        <v>21522.0</v>
      </c>
      <c r="D51" s="19" t="str">
        <f t="shared" si="1"/>
        <v> </v>
      </c>
      <c r="E51" s="19" t="str">
        <f t="shared" si="2"/>
        <v> </v>
      </c>
      <c r="F51" s="21"/>
    </row>
    <row r="52">
      <c r="A52" s="19">
        <v>9220.0</v>
      </c>
      <c r="B52" s="19" t="s">
        <v>88</v>
      </c>
      <c r="C52" s="20">
        <v>17546.0</v>
      </c>
      <c r="D52" s="19" t="str">
        <f t="shared" si="1"/>
        <v> </v>
      </c>
      <c r="E52" s="19" t="str">
        <f t="shared" si="2"/>
        <v> </v>
      </c>
      <c r="F52" s="21"/>
    </row>
    <row r="53">
      <c r="A53" s="19">
        <v>9222.0</v>
      </c>
      <c r="B53" s="19" t="s">
        <v>89</v>
      </c>
      <c r="C53" s="20">
        <v>19683.0</v>
      </c>
      <c r="D53" s="19" t="str">
        <f t="shared" si="1"/>
        <v> </v>
      </c>
      <c r="E53" s="19" t="str">
        <f t="shared" si="2"/>
        <v> </v>
      </c>
      <c r="F53" s="21"/>
    </row>
    <row r="54">
      <c r="A54" s="19">
        <v>9225.0</v>
      </c>
      <c r="B54" s="19" t="s">
        <v>90</v>
      </c>
      <c r="C54" s="20">
        <v>26685.0</v>
      </c>
      <c r="D54" s="19" t="str">
        <f t="shared" si="1"/>
        <v> </v>
      </c>
      <c r="E54" s="19" t="str">
        <f t="shared" si="2"/>
        <v> </v>
      </c>
      <c r="F54" s="21"/>
    </row>
    <row r="55">
      <c r="A55" s="19">
        <v>9226.0</v>
      </c>
      <c r="B55" s="19" t="s">
        <v>91</v>
      </c>
      <c r="C55" s="20">
        <v>27651.0</v>
      </c>
      <c r="D55" s="19" t="str">
        <f t="shared" si="1"/>
        <v> </v>
      </c>
      <c r="E55" s="19" t="str">
        <f t="shared" si="2"/>
        <v> </v>
      </c>
      <c r="F55" s="21"/>
    </row>
    <row r="56">
      <c r="A56" s="19">
        <v>9227.0</v>
      </c>
      <c r="B56" s="19" t="s">
        <v>92</v>
      </c>
      <c r="C56" s="20">
        <v>21258.0</v>
      </c>
      <c r="D56" s="19" t="str">
        <f t="shared" si="1"/>
        <v> </v>
      </c>
      <c r="E56" s="19" t="str">
        <f t="shared" si="2"/>
        <v> </v>
      </c>
      <c r="F56" s="21"/>
    </row>
    <row r="57">
      <c r="A57" s="19">
        <v>9228.0</v>
      </c>
      <c r="B57" s="19" t="s">
        <v>93</v>
      </c>
      <c r="C57" s="20">
        <v>22348.0</v>
      </c>
      <c r="D57" s="19" t="str">
        <f t="shared" si="1"/>
        <v> </v>
      </c>
      <c r="E57" s="19" t="str">
        <f t="shared" si="2"/>
        <v> </v>
      </c>
      <c r="F57" s="21"/>
    </row>
    <row r="58">
      <c r="A58" s="19">
        <v>9229.0</v>
      </c>
      <c r="B58" s="19" t="s">
        <v>94</v>
      </c>
      <c r="C58" s="20">
        <v>17887.0</v>
      </c>
      <c r="D58" s="19" t="str">
        <f t="shared" si="1"/>
        <v> </v>
      </c>
      <c r="E58" s="19" t="str">
        <f t="shared" si="2"/>
        <v> </v>
      </c>
      <c r="F58" s="21"/>
    </row>
    <row r="59">
      <c r="A59" s="19">
        <v>9231.0</v>
      </c>
      <c r="B59" s="19" t="s">
        <v>95</v>
      </c>
      <c r="C59" s="20">
        <v>27888.0</v>
      </c>
      <c r="D59" s="19" t="str">
        <f t="shared" si="1"/>
        <v> </v>
      </c>
      <c r="E59" s="19" t="str">
        <f t="shared" si="2"/>
        <v> </v>
      </c>
      <c r="F59" s="21"/>
    </row>
    <row r="60">
      <c r="A60" s="19">
        <v>9232.0</v>
      </c>
      <c r="B60" s="19" t="s">
        <v>96</v>
      </c>
      <c r="C60" s="20">
        <v>25104.0</v>
      </c>
      <c r="D60" s="19" t="str">
        <f t="shared" si="1"/>
        <v> </v>
      </c>
      <c r="E60" s="19" t="str">
        <f t="shared" si="2"/>
        <v> </v>
      </c>
      <c r="F60" s="21"/>
    </row>
    <row r="61">
      <c r="A61" s="19">
        <v>9234.0</v>
      </c>
      <c r="B61" s="19" t="s">
        <v>97</v>
      </c>
      <c r="C61" s="20">
        <v>13340.0</v>
      </c>
      <c r="D61" s="19" t="str">
        <f t="shared" si="1"/>
        <v> </v>
      </c>
      <c r="E61" s="19" t="str">
        <f t="shared" si="2"/>
        <v> </v>
      </c>
      <c r="F61" s="21"/>
    </row>
    <row r="62">
      <c r="A62" s="19">
        <v>9235.0</v>
      </c>
      <c r="B62" s="19" t="s">
        <v>98</v>
      </c>
      <c r="C62" s="20">
        <v>17976.0</v>
      </c>
      <c r="D62" s="19" t="str">
        <f t="shared" si="1"/>
        <v> </v>
      </c>
      <c r="E62" s="19" t="str">
        <f t="shared" si="2"/>
        <v> </v>
      </c>
      <c r="F62" s="21"/>
    </row>
    <row r="63">
      <c r="A63" s="19">
        <v>9237.0</v>
      </c>
      <c r="B63" s="19" t="s">
        <v>99</v>
      </c>
      <c r="C63" s="20">
        <v>16916.0</v>
      </c>
      <c r="D63" s="19" t="str">
        <f t="shared" si="1"/>
        <v> </v>
      </c>
      <c r="E63" s="19" t="str">
        <f t="shared" si="2"/>
        <v> </v>
      </c>
      <c r="F63" s="21"/>
    </row>
    <row r="64">
      <c r="A64" s="19">
        <v>9239.0</v>
      </c>
      <c r="B64" s="19" t="s">
        <v>100</v>
      </c>
      <c r="C64" s="20">
        <v>17941.0</v>
      </c>
      <c r="D64" s="19" t="str">
        <f t="shared" si="1"/>
        <v> </v>
      </c>
      <c r="E64" s="19" t="str">
        <f t="shared" si="2"/>
        <v> </v>
      </c>
      <c r="F64" s="21"/>
    </row>
    <row r="65">
      <c r="A65" s="19">
        <v>9241.0</v>
      </c>
      <c r="B65" s="19" t="s">
        <v>101</v>
      </c>
      <c r="C65" s="20">
        <v>23211.0</v>
      </c>
      <c r="D65" s="19" t="str">
        <f t="shared" si="1"/>
        <v> </v>
      </c>
      <c r="E65" s="19" t="str">
        <f t="shared" si="2"/>
        <v> </v>
      </c>
      <c r="F65" s="21"/>
    </row>
    <row r="66">
      <c r="A66" s="19">
        <v>9242.0</v>
      </c>
      <c r="B66" s="19" t="s">
        <v>102</v>
      </c>
      <c r="C66" s="20">
        <v>20485.0</v>
      </c>
      <c r="D66" s="19" t="str">
        <f t="shared" si="1"/>
        <v> </v>
      </c>
      <c r="E66" s="19" t="str">
        <f t="shared" si="2"/>
        <v> </v>
      </c>
      <c r="F66" s="21"/>
    </row>
    <row r="67">
      <c r="A67" s="19">
        <v>9244.0</v>
      </c>
      <c r="B67" s="19" t="s">
        <v>103</v>
      </c>
      <c r="C67" s="20">
        <v>30083.0</v>
      </c>
      <c r="D67" s="19" t="str">
        <f t="shared" si="1"/>
        <v> </v>
      </c>
      <c r="E67" s="19" t="str">
        <f t="shared" si="2"/>
        <v> </v>
      </c>
      <c r="F67" s="21"/>
    </row>
    <row r="68">
      <c r="A68" s="19">
        <v>9245.0</v>
      </c>
      <c r="B68" s="19" t="s">
        <v>104</v>
      </c>
      <c r="C68" s="20">
        <v>16580.0</v>
      </c>
      <c r="D68" s="19" t="str">
        <f t="shared" si="1"/>
        <v> </v>
      </c>
      <c r="E68" s="19" t="str">
        <f t="shared" si="2"/>
        <v> </v>
      </c>
      <c r="F68" s="21"/>
    </row>
    <row r="69">
      <c r="A69" s="19">
        <v>9246.0</v>
      </c>
      <c r="B69" s="19" t="s">
        <v>105</v>
      </c>
      <c r="C69" s="20">
        <v>26567.0</v>
      </c>
      <c r="D69" s="19" t="str">
        <f t="shared" si="1"/>
        <v> </v>
      </c>
      <c r="E69" s="19" t="str">
        <f t="shared" si="2"/>
        <v> </v>
      </c>
      <c r="F69" s="21"/>
    </row>
    <row r="70">
      <c r="A70" s="19">
        <v>9247.0</v>
      </c>
      <c r="B70" s="19" t="s">
        <v>106</v>
      </c>
      <c r="C70" s="20">
        <v>18444.0</v>
      </c>
      <c r="D70" s="19" t="str">
        <f t="shared" si="1"/>
        <v> </v>
      </c>
      <c r="E70" s="19" t="str">
        <f t="shared" si="2"/>
        <v> </v>
      </c>
      <c r="F70" s="21"/>
    </row>
    <row r="71">
      <c r="A71" s="19">
        <v>9248.0</v>
      </c>
      <c r="B71" s="19" t="s">
        <v>107</v>
      </c>
      <c r="C71" s="20">
        <v>21239.0</v>
      </c>
      <c r="D71" s="19" t="str">
        <f t="shared" si="1"/>
        <v> </v>
      </c>
      <c r="E71" s="19" t="str">
        <f t="shared" si="2"/>
        <v> </v>
      </c>
      <c r="F71" s="21"/>
    </row>
    <row r="72">
      <c r="A72" s="19">
        <v>9249.0</v>
      </c>
      <c r="B72" s="19" t="s">
        <v>108</v>
      </c>
      <c r="C72" s="20">
        <v>17102.0</v>
      </c>
      <c r="D72" s="19" t="str">
        <f t="shared" si="1"/>
        <v> </v>
      </c>
      <c r="E72" s="19" t="str">
        <f t="shared" si="2"/>
        <v> </v>
      </c>
      <c r="F72" s="21"/>
    </row>
    <row r="73">
      <c r="A73" s="19">
        <v>9251.0</v>
      </c>
      <c r="B73" s="19" t="s">
        <v>109</v>
      </c>
      <c r="C73" s="20">
        <v>19415.0</v>
      </c>
      <c r="D73" s="19" t="str">
        <f t="shared" si="1"/>
        <v> </v>
      </c>
      <c r="E73" s="19" t="str">
        <f t="shared" si="2"/>
        <v> </v>
      </c>
      <c r="F73" s="21"/>
    </row>
    <row r="74">
      <c r="A74" s="19">
        <v>9253.0</v>
      </c>
      <c r="B74" s="19" t="s">
        <v>110</v>
      </c>
      <c r="C74" s="20">
        <v>22636.0</v>
      </c>
      <c r="D74" s="19" t="str">
        <f t="shared" si="1"/>
        <v> </v>
      </c>
      <c r="E74" s="19" t="str">
        <f t="shared" si="2"/>
        <v> </v>
      </c>
      <c r="F74" s="21"/>
    </row>
    <row r="75">
      <c r="A75" s="19">
        <v>9254.0</v>
      </c>
      <c r="B75" s="19" t="s">
        <v>111</v>
      </c>
      <c r="C75" s="20">
        <v>22042.0</v>
      </c>
      <c r="D75" s="19" t="str">
        <f t="shared" si="1"/>
        <v> </v>
      </c>
      <c r="E75" s="19" t="str">
        <f t="shared" si="2"/>
        <v> </v>
      </c>
      <c r="F75" s="21"/>
    </row>
    <row r="76">
      <c r="A76" s="19">
        <v>9255.0</v>
      </c>
      <c r="B76" s="19" t="s">
        <v>112</v>
      </c>
      <c r="C76" s="20">
        <v>19519.0</v>
      </c>
      <c r="D76" s="19" t="str">
        <f t="shared" si="1"/>
        <v> </v>
      </c>
      <c r="E76" s="19" t="str">
        <f t="shared" si="2"/>
        <v> </v>
      </c>
      <c r="F76" s="21"/>
    </row>
    <row r="77">
      <c r="A77" s="19">
        <v>9256.0</v>
      </c>
      <c r="B77" s="19" t="s">
        <v>113</v>
      </c>
      <c r="C77" s="20">
        <v>22557.0</v>
      </c>
      <c r="D77" s="19" t="str">
        <f t="shared" si="1"/>
        <v> </v>
      </c>
      <c r="E77" s="19" t="str">
        <f t="shared" si="2"/>
        <v> </v>
      </c>
      <c r="F77" s="21"/>
    </row>
    <row r="78">
      <c r="A78" s="19">
        <v>9257.0</v>
      </c>
      <c r="B78" s="19" t="s">
        <v>114</v>
      </c>
      <c r="C78" s="20">
        <v>30336.0</v>
      </c>
      <c r="D78" s="19" t="str">
        <f t="shared" si="1"/>
        <v> </v>
      </c>
      <c r="E78" s="19" t="str">
        <f t="shared" si="2"/>
        <v> </v>
      </c>
      <c r="F78" s="21"/>
    </row>
    <row r="79">
      <c r="A79" s="19">
        <v>9258.0</v>
      </c>
      <c r="B79" s="19" t="s">
        <v>115</v>
      </c>
      <c r="C79" s="20">
        <v>23677.0</v>
      </c>
      <c r="D79" s="19" t="str">
        <f t="shared" si="1"/>
        <v> </v>
      </c>
      <c r="E79" s="19" t="str">
        <f t="shared" si="2"/>
        <v> </v>
      </c>
      <c r="F79" s="21"/>
    </row>
    <row r="80">
      <c r="A80" s="19">
        <v>9259.0</v>
      </c>
      <c r="B80" s="19" t="s">
        <v>116</v>
      </c>
      <c r="C80" s="20">
        <v>23278.0</v>
      </c>
      <c r="D80" s="19" t="str">
        <f t="shared" si="1"/>
        <v> </v>
      </c>
      <c r="E80" s="19" t="str">
        <f t="shared" si="2"/>
        <v> </v>
      </c>
      <c r="F80" s="21"/>
    </row>
    <row r="81">
      <c r="A81" s="19">
        <v>9260.0</v>
      </c>
      <c r="B81" s="19" t="s">
        <v>117</v>
      </c>
      <c r="C81" s="20">
        <v>18558.0</v>
      </c>
      <c r="D81" s="19" t="str">
        <f t="shared" si="1"/>
        <v> </v>
      </c>
      <c r="E81" s="19" t="str">
        <f t="shared" si="2"/>
        <v> </v>
      </c>
      <c r="F81" s="21"/>
    </row>
    <row r="82">
      <c r="A82" s="19">
        <v>9261.0</v>
      </c>
      <c r="B82" s="19" t="s">
        <v>118</v>
      </c>
      <c r="C82" s="20">
        <v>23148.0</v>
      </c>
      <c r="D82" s="19" t="str">
        <f t="shared" si="1"/>
        <v> </v>
      </c>
      <c r="E82" s="19" t="str">
        <f t="shared" si="2"/>
        <v> </v>
      </c>
      <c r="F82" s="21"/>
    </row>
    <row r="83">
      <c r="A83" s="19">
        <v>9263.0</v>
      </c>
      <c r="B83" s="19" t="s">
        <v>119</v>
      </c>
      <c r="C83" s="20">
        <v>14169.0</v>
      </c>
      <c r="D83" s="19" t="str">
        <f t="shared" si="1"/>
        <v> </v>
      </c>
      <c r="E83" s="19" t="str">
        <f t="shared" si="2"/>
        <v> </v>
      </c>
      <c r="F83" s="21"/>
    </row>
    <row r="84">
      <c r="A84" s="19">
        <v>9264.0</v>
      </c>
      <c r="B84" s="19" t="s">
        <v>120</v>
      </c>
      <c r="C84" s="20">
        <v>16291.0</v>
      </c>
      <c r="D84" s="19" t="str">
        <f t="shared" si="1"/>
        <v> </v>
      </c>
      <c r="E84" s="19" t="str">
        <f t="shared" si="2"/>
        <v> </v>
      </c>
      <c r="F84" s="21"/>
    </row>
    <row r="85">
      <c r="A85" s="19">
        <v>9265.0</v>
      </c>
      <c r="B85" s="19" t="s">
        <v>121</v>
      </c>
      <c r="C85" s="20">
        <v>22971.0</v>
      </c>
      <c r="D85" s="19" t="str">
        <f t="shared" si="1"/>
        <v> </v>
      </c>
      <c r="E85" s="19" t="str">
        <f t="shared" si="2"/>
        <v> </v>
      </c>
      <c r="F85" s="21"/>
    </row>
    <row r="86">
      <c r="A86" s="19">
        <v>9266.0</v>
      </c>
      <c r="B86" s="19" t="s">
        <v>122</v>
      </c>
      <c r="C86" s="20">
        <v>23100.0</v>
      </c>
      <c r="D86" s="19" t="str">
        <f t="shared" si="1"/>
        <v> </v>
      </c>
      <c r="E86" s="19" t="str">
        <f t="shared" si="2"/>
        <v> </v>
      </c>
      <c r="F86" s="21"/>
    </row>
    <row r="87">
      <c r="A87" s="19">
        <v>9269.0</v>
      </c>
      <c r="B87" s="19" t="s">
        <v>123</v>
      </c>
      <c r="C87" s="20">
        <v>22102.0</v>
      </c>
      <c r="D87" s="19" t="str">
        <f t="shared" si="1"/>
        <v> </v>
      </c>
      <c r="E87" s="19" t="str">
        <f t="shared" si="2"/>
        <v> </v>
      </c>
      <c r="F87" s="21"/>
    </row>
    <row r="88">
      <c r="A88" s="19">
        <v>9270.0</v>
      </c>
      <c r="B88" s="19" t="s">
        <v>124</v>
      </c>
      <c r="C88" s="20">
        <v>17815.0</v>
      </c>
      <c r="D88" s="19" t="str">
        <f t="shared" si="1"/>
        <v> </v>
      </c>
      <c r="E88" s="19" t="str">
        <f t="shared" si="2"/>
        <v> </v>
      </c>
      <c r="F88" s="21"/>
    </row>
    <row r="89">
      <c r="A89" s="19">
        <v>9271.0</v>
      </c>
      <c r="B89" s="19" t="s">
        <v>125</v>
      </c>
      <c r="C89" s="20">
        <v>24708.0</v>
      </c>
      <c r="D89" s="19" t="str">
        <f t="shared" si="1"/>
        <v> </v>
      </c>
      <c r="E89" s="19" t="str">
        <f t="shared" si="2"/>
        <v> </v>
      </c>
      <c r="F89" s="21"/>
    </row>
    <row r="90">
      <c r="A90" s="19">
        <v>9272.0</v>
      </c>
      <c r="B90" s="19" t="s">
        <v>126</v>
      </c>
      <c r="C90" s="20">
        <v>28059.0</v>
      </c>
      <c r="D90" s="19" t="str">
        <f t="shared" si="1"/>
        <v> </v>
      </c>
      <c r="E90" s="19" t="str">
        <f t="shared" si="2"/>
        <v> </v>
      </c>
      <c r="F90" s="21"/>
    </row>
    <row r="91">
      <c r="A91" s="19">
        <v>9273.0</v>
      </c>
      <c r="B91" s="19" t="s">
        <v>127</v>
      </c>
      <c r="C91" s="20">
        <v>32428.0</v>
      </c>
      <c r="D91" s="19" t="str">
        <f t="shared" si="1"/>
        <v> </v>
      </c>
      <c r="E91" s="19" t="str">
        <f t="shared" si="2"/>
        <v> </v>
      </c>
      <c r="F91" s="21"/>
    </row>
    <row r="92">
      <c r="A92" s="19">
        <v>9277.0</v>
      </c>
      <c r="B92" s="19" t="s">
        <v>128</v>
      </c>
      <c r="C92" s="20">
        <v>24442.0</v>
      </c>
      <c r="D92" s="19" t="str">
        <f t="shared" si="1"/>
        <v> </v>
      </c>
      <c r="E92" s="19" t="str">
        <f t="shared" si="2"/>
        <v> </v>
      </c>
      <c r="F92" s="21"/>
    </row>
    <row r="93">
      <c r="A93" s="19">
        <v>9278.0</v>
      </c>
      <c r="B93" s="19" t="s">
        <v>129</v>
      </c>
      <c r="C93" s="20">
        <v>24413.0</v>
      </c>
      <c r="D93" s="19" t="str">
        <f t="shared" si="1"/>
        <v> </v>
      </c>
      <c r="E93" s="19" t="str">
        <f t="shared" si="2"/>
        <v> </v>
      </c>
      <c r="F93" s="21"/>
    </row>
    <row r="94">
      <c r="A94" s="19">
        <v>9279.0</v>
      </c>
      <c r="B94" s="19" t="s">
        <v>130</v>
      </c>
      <c r="C94" s="20">
        <v>25997.0</v>
      </c>
      <c r="D94" s="19" t="str">
        <f t="shared" si="1"/>
        <v> </v>
      </c>
      <c r="E94" s="19" t="str">
        <f t="shared" si="2"/>
        <v> </v>
      </c>
      <c r="F94" s="21"/>
    </row>
    <row r="95">
      <c r="A95" s="19">
        <v>9283.0</v>
      </c>
      <c r="B95" s="19" t="s">
        <v>131</v>
      </c>
      <c r="C95" s="20">
        <v>20483.0</v>
      </c>
      <c r="D95" s="19" t="str">
        <f t="shared" si="1"/>
        <v> </v>
      </c>
      <c r="E95" s="19" t="str">
        <f t="shared" si="2"/>
        <v> </v>
      </c>
      <c r="F95" s="21"/>
    </row>
    <row r="96">
      <c r="A96" s="19">
        <v>9284.0</v>
      </c>
      <c r="B96" s="19" t="s">
        <v>132</v>
      </c>
      <c r="C96" s="20">
        <v>12876.0</v>
      </c>
      <c r="D96" s="19" t="str">
        <f t="shared" si="1"/>
        <v> </v>
      </c>
      <c r="E96" s="19" t="str">
        <f t="shared" si="2"/>
        <v> </v>
      </c>
      <c r="F96" s="21"/>
    </row>
    <row r="97">
      <c r="A97" s="19">
        <v>9286.0</v>
      </c>
      <c r="B97" s="19" t="s">
        <v>133</v>
      </c>
      <c r="C97" s="20">
        <v>14829.0</v>
      </c>
      <c r="D97" s="19" t="str">
        <f t="shared" si="1"/>
        <v> </v>
      </c>
      <c r="E97" s="19" t="str">
        <f t="shared" si="2"/>
        <v> </v>
      </c>
      <c r="F97" s="21"/>
    </row>
    <row r="98">
      <c r="A98" s="19">
        <v>9292.0</v>
      </c>
      <c r="B98" s="19" t="s">
        <v>134</v>
      </c>
      <c r="C98" s="20">
        <v>27706.0</v>
      </c>
      <c r="D98" s="19" t="str">
        <f t="shared" si="1"/>
        <v> </v>
      </c>
      <c r="E98" s="19" t="str">
        <f t="shared" si="2"/>
        <v> </v>
      </c>
      <c r="F98" s="21"/>
    </row>
    <row r="99">
      <c r="A99" s="19">
        <v>9300.0</v>
      </c>
      <c r="B99" s="19" t="s">
        <v>135</v>
      </c>
      <c r="C99" s="20">
        <v>32377.0</v>
      </c>
      <c r="D99" s="19" t="str">
        <f t="shared" si="1"/>
        <v> </v>
      </c>
      <c r="E99" s="19" t="str">
        <f t="shared" si="2"/>
        <v> </v>
      </c>
      <c r="F99" s="21"/>
    </row>
    <row r="100">
      <c r="A100" s="19">
        <v>9302.0</v>
      </c>
      <c r="B100" s="19" t="s">
        <v>136</v>
      </c>
      <c r="C100" s="20">
        <v>19533.0</v>
      </c>
      <c r="D100" s="19" t="str">
        <f t="shared" si="1"/>
        <v> </v>
      </c>
      <c r="E100" s="19" t="str">
        <f t="shared" si="2"/>
        <v> </v>
      </c>
      <c r="F100" s="21"/>
    </row>
    <row r="101">
      <c r="A101" s="19">
        <v>9303.0</v>
      </c>
      <c r="B101" s="19" t="s">
        <v>137</v>
      </c>
      <c r="C101" s="20">
        <v>21908.0</v>
      </c>
      <c r="D101" s="19" t="str">
        <f t="shared" si="1"/>
        <v> </v>
      </c>
      <c r="E101" s="19" t="str">
        <f t="shared" si="2"/>
        <v> </v>
      </c>
      <c r="F101" s="21"/>
    </row>
    <row r="102">
      <c r="A102" s="19">
        <v>9308.0</v>
      </c>
      <c r="B102" s="19" t="s">
        <v>138</v>
      </c>
      <c r="C102" s="20">
        <v>23129.0</v>
      </c>
      <c r="D102" s="19" t="str">
        <f t="shared" si="1"/>
        <v> </v>
      </c>
      <c r="E102" s="19" t="str">
        <f t="shared" si="2"/>
        <v> </v>
      </c>
      <c r="F102" s="21"/>
    </row>
    <row r="103">
      <c r="A103" s="19">
        <v>9309.0</v>
      </c>
      <c r="B103" s="19" t="s">
        <v>139</v>
      </c>
      <c r="C103" s="20">
        <v>16967.0</v>
      </c>
      <c r="D103" s="19" t="str">
        <f t="shared" si="1"/>
        <v> </v>
      </c>
      <c r="E103" s="19" t="str">
        <f t="shared" si="2"/>
        <v> </v>
      </c>
      <c r="F103" s="21"/>
    </row>
    <row r="104">
      <c r="A104" s="19">
        <v>9337.0</v>
      </c>
      <c r="B104" s="19" t="s">
        <v>140</v>
      </c>
      <c r="C104" s="20">
        <v>17297.0</v>
      </c>
      <c r="D104" s="19" t="str">
        <f t="shared" si="1"/>
        <v> </v>
      </c>
      <c r="E104" s="19" t="str">
        <f t="shared" si="2"/>
        <v> </v>
      </c>
      <c r="F104" s="21"/>
    </row>
    <row r="105">
      <c r="A105" s="19">
        <v>9339.0</v>
      </c>
      <c r="B105" s="19" t="s">
        <v>141</v>
      </c>
      <c r="C105" s="20">
        <v>19089.0</v>
      </c>
      <c r="D105" s="19" t="str">
        <f t="shared" si="1"/>
        <v> </v>
      </c>
      <c r="E105" s="19" t="str">
        <f t="shared" si="2"/>
        <v> </v>
      </c>
      <c r="F105" s="21"/>
    </row>
    <row r="106">
      <c r="A106" s="19">
        <v>9353.0</v>
      </c>
      <c r="B106" s="19" t="s">
        <v>142</v>
      </c>
      <c r="C106" s="20">
        <v>11841.0</v>
      </c>
      <c r="D106" s="19" t="str">
        <f t="shared" si="1"/>
        <v> </v>
      </c>
      <c r="E106" s="19" t="str">
        <f t="shared" si="2"/>
        <v> </v>
      </c>
      <c r="F106" s="21"/>
    </row>
    <row r="107">
      <c r="A107" s="19">
        <v>9357.0</v>
      </c>
      <c r="B107" s="19" t="s">
        <v>143</v>
      </c>
      <c r="C107" s="20">
        <v>25107.0</v>
      </c>
      <c r="D107" s="19" t="str">
        <f t="shared" si="1"/>
        <v> </v>
      </c>
      <c r="E107" s="19" t="str">
        <f t="shared" si="2"/>
        <v> </v>
      </c>
      <c r="F107" s="21"/>
    </row>
    <row r="108">
      <c r="A108" s="19">
        <v>9359.0</v>
      </c>
      <c r="B108" s="19" t="s">
        <v>144</v>
      </c>
      <c r="C108" s="20">
        <v>20605.0</v>
      </c>
      <c r="D108" s="19" t="str">
        <f t="shared" si="1"/>
        <v> </v>
      </c>
      <c r="E108" s="19" t="str">
        <f t="shared" si="2"/>
        <v> </v>
      </c>
      <c r="F108" s="21"/>
    </row>
    <row r="109">
      <c r="A109" s="19">
        <v>9361.0</v>
      </c>
      <c r="B109" s="19" t="s">
        <v>145</v>
      </c>
      <c r="C109" s="20">
        <v>28389.0</v>
      </c>
      <c r="D109" s="19" t="str">
        <f t="shared" si="1"/>
        <v> </v>
      </c>
      <c r="E109" s="19" t="str">
        <f t="shared" si="2"/>
        <v> </v>
      </c>
      <c r="F109" s="21"/>
    </row>
    <row r="110">
      <c r="A110" s="19">
        <v>9362.0</v>
      </c>
      <c r="B110" s="19" t="s">
        <v>146</v>
      </c>
      <c r="C110" s="20">
        <v>12905.0</v>
      </c>
      <c r="D110" s="19" t="str">
        <f t="shared" si="1"/>
        <v> </v>
      </c>
      <c r="E110" s="19" t="str">
        <f t="shared" si="2"/>
        <v> </v>
      </c>
      <c r="F110" s="21"/>
    </row>
    <row r="111">
      <c r="A111" s="19">
        <v>9373.0</v>
      </c>
      <c r="B111" s="19" t="s">
        <v>147</v>
      </c>
      <c r="C111" s="20">
        <v>27133.0</v>
      </c>
      <c r="D111" s="19" t="str">
        <f t="shared" si="1"/>
        <v> </v>
      </c>
      <c r="E111" s="19" t="str">
        <f t="shared" si="2"/>
        <v> </v>
      </c>
      <c r="F111" s="21"/>
    </row>
    <row r="112">
      <c r="A112" s="19">
        <v>9374.0</v>
      </c>
      <c r="B112" s="19" t="s">
        <v>148</v>
      </c>
      <c r="C112" s="20">
        <v>27807.0</v>
      </c>
      <c r="D112" s="19" t="str">
        <f t="shared" si="1"/>
        <v> </v>
      </c>
      <c r="E112" s="19" t="str">
        <f t="shared" si="2"/>
        <v> </v>
      </c>
      <c r="F112" s="21"/>
    </row>
    <row r="113">
      <c r="A113" s="19">
        <v>9376.0</v>
      </c>
      <c r="B113" s="19" t="s">
        <v>149</v>
      </c>
      <c r="C113" s="20">
        <v>18198.0</v>
      </c>
      <c r="D113" s="19" t="str">
        <f t="shared" si="1"/>
        <v> </v>
      </c>
      <c r="E113" s="19" t="str">
        <f t="shared" si="2"/>
        <v> </v>
      </c>
      <c r="F113" s="21"/>
    </row>
    <row r="114">
      <c r="A114" s="19">
        <v>9377.0</v>
      </c>
      <c r="B114" s="19" t="s">
        <v>150</v>
      </c>
      <c r="C114" s="20">
        <v>26302.0</v>
      </c>
      <c r="D114" s="19" t="str">
        <f t="shared" si="1"/>
        <v> </v>
      </c>
      <c r="E114" s="19" t="str">
        <f t="shared" si="2"/>
        <v> </v>
      </c>
      <c r="F114" s="21"/>
    </row>
    <row r="115">
      <c r="A115" s="19">
        <v>9378.0</v>
      </c>
      <c r="B115" s="19" t="s">
        <v>151</v>
      </c>
      <c r="C115" s="20">
        <v>15869.0</v>
      </c>
      <c r="D115" s="19" t="str">
        <f t="shared" si="1"/>
        <v> </v>
      </c>
      <c r="E115" s="19" t="str">
        <f t="shared" si="2"/>
        <v> </v>
      </c>
      <c r="F115" s="21"/>
    </row>
    <row r="116">
      <c r="A116" s="19">
        <v>9390.0</v>
      </c>
      <c r="B116" s="19" t="s">
        <v>152</v>
      </c>
      <c r="C116" s="20">
        <v>14051.0</v>
      </c>
      <c r="D116" s="19" t="str">
        <f t="shared" si="1"/>
        <v> </v>
      </c>
      <c r="E116" s="19" t="str">
        <f t="shared" si="2"/>
        <v> </v>
      </c>
      <c r="F116" s="21"/>
    </row>
    <row r="117">
      <c r="A117" s="19">
        <v>9391.0</v>
      </c>
      <c r="B117" s="19" t="s">
        <v>153</v>
      </c>
      <c r="C117" s="20">
        <v>34234.0</v>
      </c>
      <c r="D117" s="19" t="str">
        <f t="shared" si="1"/>
        <v> </v>
      </c>
      <c r="E117" s="19" t="str">
        <f t="shared" si="2"/>
        <v> </v>
      </c>
      <c r="F117" s="21"/>
    </row>
    <row r="118">
      <c r="A118" s="19">
        <v>9397.0</v>
      </c>
      <c r="B118" s="19" t="s">
        <v>154</v>
      </c>
      <c r="C118" s="20">
        <v>19432.0</v>
      </c>
      <c r="D118" s="19" t="str">
        <f t="shared" si="1"/>
        <v> </v>
      </c>
      <c r="E118" s="19" t="str">
        <f t="shared" si="2"/>
        <v> </v>
      </c>
      <c r="F118" s="21"/>
    </row>
    <row r="119">
      <c r="A119" s="19">
        <v>9405.0</v>
      </c>
      <c r="B119" s="19" t="s">
        <v>155</v>
      </c>
      <c r="C119" s="20">
        <v>23240.0</v>
      </c>
      <c r="D119" s="19" t="str">
        <f t="shared" si="1"/>
        <v> </v>
      </c>
      <c r="E119" s="19" t="str">
        <f t="shared" si="2"/>
        <v> </v>
      </c>
      <c r="F119" s="21"/>
    </row>
    <row r="120">
      <c r="A120" s="19">
        <v>9407.0</v>
      </c>
      <c r="B120" s="19" t="s">
        <v>156</v>
      </c>
      <c r="C120" s="20">
        <v>20817.0</v>
      </c>
      <c r="D120" s="19" t="str">
        <f t="shared" si="1"/>
        <v> </v>
      </c>
      <c r="E120" s="19" t="str">
        <f t="shared" si="2"/>
        <v> </v>
      </c>
      <c r="F120" s="21"/>
    </row>
    <row r="121">
      <c r="A121" s="19">
        <v>9410.0</v>
      </c>
      <c r="B121" s="19" t="s">
        <v>157</v>
      </c>
      <c r="C121" s="20">
        <v>17493.0</v>
      </c>
      <c r="D121" s="19" t="str">
        <f t="shared" si="1"/>
        <v> </v>
      </c>
      <c r="E121" s="19" t="str">
        <f t="shared" si="2"/>
        <v> </v>
      </c>
      <c r="F121" s="21"/>
    </row>
    <row r="122">
      <c r="A122" s="19">
        <v>9411.0</v>
      </c>
      <c r="B122" s="19" t="s">
        <v>158</v>
      </c>
      <c r="C122" s="20">
        <v>21700.0</v>
      </c>
      <c r="D122" s="19" t="str">
        <f t="shared" si="1"/>
        <v> </v>
      </c>
      <c r="E122" s="19" t="str">
        <f t="shared" si="2"/>
        <v> </v>
      </c>
      <c r="F122" s="21"/>
    </row>
    <row r="123">
      <c r="A123" s="19">
        <v>9416.0</v>
      </c>
      <c r="B123" s="19" t="s">
        <v>159</v>
      </c>
      <c r="C123" s="20">
        <v>30339.0</v>
      </c>
      <c r="D123" s="19" t="str">
        <f t="shared" si="1"/>
        <v> </v>
      </c>
      <c r="E123" s="19" t="str">
        <f t="shared" si="2"/>
        <v> </v>
      </c>
      <c r="F123" s="21"/>
    </row>
    <row r="124">
      <c r="A124" s="19">
        <v>9418.0</v>
      </c>
      <c r="B124" s="19" t="s">
        <v>160</v>
      </c>
      <c r="C124" s="20">
        <v>26479.0</v>
      </c>
      <c r="D124" s="19" t="str">
        <f t="shared" si="1"/>
        <v> </v>
      </c>
      <c r="E124" s="19" t="str">
        <f t="shared" si="2"/>
        <v> </v>
      </c>
      <c r="F124" s="21"/>
    </row>
    <row r="125">
      <c r="A125" s="19">
        <v>9419.0</v>
      </c>
      <c r="B125" s="19" t="s">
        <v>161</v>
      </c>
      <c r="C125" s="20">
        <v>20558.0</v>
      </c>
      <c r="D125" s="19" t="str">
        <f t="shared" si="1"/>
        <v> </v>
      </c>
      <c r="E125" s="19" t="str">
        <f t="shared" si="2"/>
        <v> </v>
      </c>
      <c r="F125" s="21"/>
    </row>
    <row r="126">
      <c r="A126" s="19">
        <v>9420.0</v>
      </c>
      <c r="B126" s="19" t="s">
        <v>162</v>
      </c>
      <c r="C126" s="20">
        <v>19224.0</v>
      </c>
      <c r="D126" s="19" t="str">
        <f t="shared" si="1"/>
        <v> </v>
      </c>
      <c r="E126" s="19" t="str">
        <f t="shared" si="2"/>
        <v> </v>
      </c>
      <c r="F126" s="21"/>
    </row>
    <row r="127">
      <c r="A127" s="19">
        <v>9421.0</v>
      </c>
      <c r="B127" s="19" t="s">
        <v>163</v>
      </c>
      <c r="C127" s="20">
        <v>13135.0</v>
      </c>
      <c r="D127" s="19" t="str">
        <f t="shared" si="1"/>
        <v> </v>
      </c>
      <c r="E127" s="19" t="str">
        <f t="shared" si="2"/>
        <v> </v>
      </c>
      <c r="F127" s="21"/>
    </row>
    <row r="128">
      <c r="A128" s="19">
        <v>9422.0</v>
      </c>
      <c r="B128" s="19" t="s">
        <v>164</v>
      </c>
      <c r="C128" s="20">
        <v>14154.0</v>
      </c>
      <c r="D128" s="19" t="str">
        <f t="shared" si="1"/>
        <v> </v>
      </c>
      <c r="E128" s="19" t="str">
        <f t="shared" si="2"/>
        <v> </v>
      </c>
      <c r="F128" s="21"/>
    </row>
    <row r="129">
      <c r="A129" s="19">
        <v>9426.0</v>
      </c>
      <c r="B129" s="19" t="s">
        <v>165</v>
      </c>
      <c r="C129" s="20">
        <v>19051.0</v>
      </c>
      <c r="D129" s="19" t="str">
        <f t="shared" si="1"/>
        <v> </v>
      </c>
      <c r="E129" s="19" t="str">
        <f t="shared" si="2"/>
        <v> </v>
      </c>
      <c r="F129" s="21"/>
    </row>
    <row r="130">
      <c r="A130" s="19">
        <v>9428.0</v>
      </c>
      <c r="B130" s="19" t="s">
        <v>166</v>
      </c>
      <c r="C130" s="20">
        <v>19929.0</v>
      </c>
      <c r="D130" s="19" t="str">
        <f t="shared" si="1"/>
        <v> </v>
      </c>
      <c r="E130" s="19" t="str">
        <f t="shared" si="2"/>
        <v> </v>
      </c>
      <c r="F130" s="21"/>
    </row>
    <row r="131">
      <c r="A131" s="19">
        <v>9431.0</v>
      </c>
      <c r="B131" s="19" t="s">
        <v>167</v>
      </c>
      <c r="C131" s="20">
        <v>17511.0</v>
      </c>
      <c r="D131" s="19" t="str">
        <f t="shared" si="1"/>
        <v> </v>
      </c>
      <c r="E131" s="19" t="str">
        <f t="shared" si="2"/>
        <v> </v>
      </c>
      <c r="F131" s="21"/>
    </row>
    <row r="132">
      <c r="A132" s="19">
        <v>9433.0</v>
      </c>
      <c r="B132" s="19" t="s">
        <v>168</v>
      </c>
      <c r="C132" s="20">
        <v>20435.0</v>
      </c>
      <c r="D132" s="19" t="str">
        <f t="shared" si="1"/>
        <v> </v>
      </c>
      <c r="E132" s="19" t="str">
        <f t="shared" si="2"/>
        <v> </v>
      </c>
      <c r="F132" s="21"/>
    </row>
    <row r="133">
      <c r="A133" s="19">
        <v>9436.0</v>
      </c>
      <c r="B133" s="19" t="s">
        <v>169</v>
      </c>
      <c r="C133" s="20">
        <v>16542.0</v>
      </c>
      <c r="D133" s="19" t="str">
        <f t="shared" si="1"/>
        <v> </v>
      </c>
      <c r="E133" s="19" t="str">
        <f t="shared" si="2"/>
        <v> </v>
      </c>
      <c r="F133" s="21"/>
    </row>
    <row r="134">
      <c r="A134" s="19">
        <v>9437.0</v>
      </c>
      <c r="B134" s="19" t="s">
        <v>170</v>
      </c>
      <c r="C134" s="20">
        <v>26224.0</v>
      </c>
      <c r="D134" s="19" t="str">
        <f t="shared" si="1"/>
        <v> </v>
      </c>
      <c r="E134" s="19" t="str">
        <f t="shared" si="2"/>
        <v> </v>
      </c>
      <c r="F134" s="21"/>
    </row>
    <row r="135">
      <c r="A135" s="19">
        <v>9448.0</v>
      </c>
      <c r="B135" s="19" t="s">
        <v>171</v>
      </c>
      <c r="C135" s="20">
        <v>18154.0</v>
      </c>
      <c r="D135" s="19" t="str">
        <f t="shared" si="1"/>
        <v> </v>
      </c>
      <c r="E135" s="19" t="str">
        <f t="shared" si="2"/>
        <v> </v>
      </c>
      <c r="F135" s="21"/>
    </row>
    <row r="136">
      <c r="A136" s="19">
        <v>9457.0</v>
      </c>
      <c r="B136" s="19" t="s">
        <v>172</v>
      </c>
      <c r="C136" s="20">
        <v>18817.0</v>
      </c>
      <c r="D136" s="19" t="str">
        <f t="shared" si="1"/>
        <v> </v>
      </c>
      <c r="E136" s="19" t="str">
        <f t="shared" si="2"/>
        <v> </v>
      </c>
      <c r="F136" s="21"/>
    </row>
    <row r="137">
      <c r="A137" s="19">
        <v>9462.0</v>
      </c>
      <c r="B137" s="19" t="s">
        <v>173</v>
      </c>
      <c r="C137" s="20">
        <v>28905.0</v>
      </c>
      <c r="D137" s="19" t="str">
        <f t="shared" si="1"/>
        <v> </v>
      </c>
      <c r="E137" s="19" t="str">
        <f t="shared" si="2"/>
        <v> </v>
      </c>
      <c r="F137" s="21"/>
    </row>
    <row r="138">
      <c r="A138" s="19">
        <v>9463.0</v>
      </c>
      <c r="B138" s="19" t="s">
        <v>174</v>
      </c>
      <c r="C138" s="20">
        <v>25642.0</v>
      </c>
      <c r="D138" s="19" t="str">
        <f t="shared" si="1"/>
        <v> </v>
      </c>
      <c r="E138" s="19" t="str">
        <f t="shared" si="2"/>
        <v> </v>
      </c>
      <c r="F138" s="21"/>
    </row>
    <row r="139">
      <c r="A139" s="19">
        <v>9466.0</v>
      </c>
      <c r="B139" s="19" t="s">
        <v>175</v>
      </c>
      <c r="C139" s="20">
        <v>14634.0</v>
      </c>
      <c r="D139" s="19" t="str">
        <f t="shared" si="1"/>
        <v> </v>
      </c>
      <c r="E139" s="19" t="str">
        <f t="shared" si="2"/>
        <v> </v>
      </c>
      <c r="F139" s="21"/>
    </row>
    <row r="140">
      <c r="A140" s="19">
        <v>9470.0</v>
      </c>
      <c r="B140" s="19" t="s">
        <v>176</v>
      </c>
      <c r="C140" s="20">
        <v>14237.0</v>
      </c>
      <c r="D140" s="19" t="str">
        <f t="shared" si="1"/>
        <v> </v>
      </c>
      <c r="E140" s="19" t="str">
        <f t="shared" si="2"/>
        <v> </v>
      </c>
      <c r="F140" s="21"/>
    </row>
    <row r="141">
      <c r="A141" s="19">
        <v>9471.0</v>
      </c>
      <c r="B141" s="19" t="s">
        <v>177</v>
      </c>
      <c r="C141" s="20">
        <v>23973.0</v>
      </c>
      <c r="D141" s="19" t="str">
        <f t="shared" si="1"/>
        <v> </v>
      </c>
      <c r="E141" s="19" t="str">
        <f t="shared" si="2"/>
        <v> </v>
      </c>
      <c r="F141" s="21"/>
    </row>
    <row r="142">
      <c r="A142" s="19">
        <v>9473.0</v>
      </c>
      <c r="B142" s="19" t="s">
        <v>178</v>
      </c>
      <c r="C142" s="20">
        <v>17984.0</v>
      </c>
      <c r="D142" s="19" t="str">
        <f t="shared" si="1"/>
        <v> </v>
      </c>
      <c r="E142" s="19" t="str">
        <f t="shared" si="2"/>
        <v> </v>
      </c>
      <c r="F142" s="21"/>
    </row>
    <row r="143">
      <c r="A143" s="19">
        <v>9474.0</v>
      </c>
      <c r="B143" s="19" t="s">
        <v>179</v>
      </c>
      <c r="C143" s="20">
        <v>15778.0</v>
      </c>
      <c r="D143" s="19" t="str">
        <f t="shared" si="1"/>
        <v> </v>
      </c>
      <c r="E143" s="19" t="str">
        <f t="shared" si="2"/>
        <v> </v>
      </c>
      <c r="F143" s="21"/>
    </row>
    <row r="144">
      <c r="A144" s="19">
        <v>9479.0</v>
      </c>
      <c r="B144" s="19" t="s">
        <v>180</v>
      </c>
      <c r="C144" s="20">
        <v>19225.0</v>
      </c>
      <c r="D144" s="19" t="str">
        <f t="shared" si="1"/>
        <v> </v>
      </c>
      <c r="E144" s="19" t="str">
        <f t="shared" si="2"/>
        <v> </v>
      </c>
      <c r="F144" s="21"/>
    </row>
    <row r="145">
      <c r="A145" s="19">
        <v>9482.0</v>
      </c>
      <c r="B145" s="19" t="s">
        <v>181</v>
      </c>
      <c r="C145" s="20">
        <v>17175.0</v>
      </c>
      <c r="D145" s="19" t="str">
        <f t="shared" si="1"/>
        <v> </v>
      </c>
      <c r="E145" s="19" t="str">
        <f t="shared" si="2"/>
        <v> </v>
      </c>
      <c r="F145" s="21"/>
    </row>
    <row r="146">
      <c r="A146" s="19">
        <v>9483.0</v>
      </c>
      <c r="B146" s="19" t="s">
        <v>182</v>
      </c>
      <c r="C146" s="20">
        <v>24454.0</v>
      </c>
      <c r="D146" s="19" t="str">
        <f t="shared" si="1"/>
        <v> </v>
      </c>
      <c r="E146" s="19" t="str">
        <f t="shared" si="2"/>
        <v> </v>
      </c>
      <c r="F146" s="21"/>
    </row>
    <row r="147">
      <c r="A147" s="19">
        <v>9485.0</v>
      </c>
      <c r="B147" s="19" t="s">
        <v>183</v>
      </c>
      <c r="C147" s="20">
        <v>18889.0</v>
      </c>
      <c r="D147" s="19" t="str">
        <f t="shared" si="1"/>
        <v> </v>
      </c>
      <c r="E147" s="19" t="str">
        <f t="shared" si="2"/>
        <v> </v>
      </c>
      <c r="F147" s="21"/>
    </row>
    <row r="148">
      <c r="A148" s="19">
        <v>9486.0</v>
      </c>
      <c r="B148" s="19" t="s">
        <v>184</v>
      </c>
      <c r="C148" s="20">
        <v>24344.0</v>
      </c>
      <c r="D148" s="19" t="str">
        <f t="shared" si="1"/>
        <v> </v>
      </c>
      <c r="E148" s="19" t="str">
        <f t="shared" si="2"/>
        <v> </v>
      </c>
      <c r="F148" s="21"/>
    </row>
    <row r="149">
      <c r="A149" s="19">
        <v>9488.0</v>
      </c>
      <c r="B149" s="19" t="s">
        <v>185</v>
      </c>
      <c r="C149" s="20">
        <v>21316.0</v>
      </c>
      <c r="D149" s="19" t="str">
        <f t="shared" si="1"/>
        <v> </v>
      </c>
      <c r="E149" s="19" t="str">
        <f t="shared" si="2"/>
        <v> </v>
      </c>
      <c r="F149" s="21"/>
    </row>
    <row r="150">
      <c r="A150" s="19">
        <v>9492.0</v>
      </c>
      <c r="B150" s="19" t="s">
        <v>186</v>
      </c>
      <c r="C150" s="20">
        <v>16812.0</v>
      </c>
      <c r="D150" s="19" t="str">
        <f t="shared" si="1"/>
        <v> </v>
      </c>
      <c r="E150" s="19" t="str">
        <f t="shared" si="2"/>
        <v> </v>
      </c>
      <c r="F150" s="21"/>
    </row>
    <row r="151">
      <c r="A151" s="19">
        <v>9493.0</v>
      </c>
      <c r="B151" s="19" t="s">
        <v>187</v>
      </c>
      <c r="C151" s="20">
        <v>20636.0</v>
      </c>
      <c r="D151" s="19" t="str">
        <f t="shared" si="1"/>
        <v> </v>
      </c>
      <c r="E151" s="19" t="str">
        <f t="shared" si="2"/>
        <v> </v>
      </c>
      <c r="F151" s="21"/>
    </row>
    <row r="152">
      <c r="A152" s="19">
        <v>9495.0</v>
      </c>
      <c r="B152" s="19" t="s">
        <v>188</v>
      </c>
      <c r="C152" s="20">
        <v>27984.0</v>
      </c>
      <c r="D152" s="19" t="str">
        <f t="shared" si="1"/>
        <v> </v>
      </c>
      <c r="E152" s="19" t="str">
        <f t="shared" si="2"/>
        <v> </v>
      </c>
      <c r="F152" s="21"/>
    </row>
    <row r="153">
      <c r="A153" s="19">
        <v>9497.0</v>
      </c>
      <c r="B153" s="19" t="s">
        <v>189</v>
      </c>
      <c r="C153" s="20">
        <v>19414.0</v>
      </c>
      <c r="D153" s="19" t="str">
        <f t="shared" si="1"/>
        <v> </v>
      </c>
      <c r="E153" s="19" t="str">
        <f t="shared" si="2"/>
        <v> </v>
      </c>
      <c r="F153" s="21"/>
    </row>
    <row r="154">
      <c r="A154" s="19">
        <v>9500.0</v>
      </c>
      <c r="B154" s="19" t="s">
        <v>190</v>
      </c>
      <c r="C154" s="20">
        <v>34136.0</v>
      </c>
      <c r="D154" s="19" t="str">
        <f t="shared" si="1"/>
        <v> </v>
      </c>
      <c r="E154" s="19" t="str">
        <f t="shared" si="2"/>
        <v> </v>
      </c>
      <c r="F154" s="21"/>
    </row>
    <row r="155">
      <c r="A155" s="19">
        <v>9504.0</v>
      </c>
      <c r="B155" s="19" t="s">
        <v>191</v>
      </c>
      <c r="C155" s="20">
        <v>30448.0</v>
      </c>
      <c r="D155" s="19" t="str">
        <f t="shared" si="1"/>
        <v> </v>
      </c>
      <c r="E155" s="19" t="str">
        <f t="shared" si="2"/>
        <v> </v>
      </c>
      <c r="F155" s="21"/>
    </row>
    <row r="156">
      <c r="A156" s="19">
        <v>9506.0</v>
      </c>
      <c r="B156" s="19" t="s">
        <v>192</v>
      </c>
      <c r="C156" s="20">
        <v>31808.0</v>
      </c>
      <c r="D156" s="19" t="str">
        <f t="shared" si="1"/>
        <v>Repeat</v>
      </c>
      <c r="E156" s="19" t="str">
        <f t="shared" si="2"/>
        <v> </v>
      </c>
      <c r="F156" s="21"/>
    </row>
    <row r="157">
      <c r="A157" s="19">
        <v>9507.0</v>
      </c>
      <c r="B157" s="19" t="s">
        <v>193</v>
      </c>
      <c r="C157" s="20">
        <v>20398.0</v>
      </c>
      <c r="D157" s="19" t="str">
        <f t="shared" si="1"/>
        <v> </v>
      </c>
      <c r="E157" s="19" t="str">
        <f t="shared" si="2"/>
        <v> </v>
      </c>
      <c r="F157" s="21"/>
    </row>
    <row r="158">
      <c r="A158" s="19">
        <v>9508.0</v>
      </c>
      <c r="B158" s="19" t="s">
        <v>194</v>
      </c>
      <c r="C158" s="20">
        <v>28138.0</v>
      </c>
      <c r="D158" s="19" t="str">
        <f t="shared" si="1"/>
        <v> </v>
      </c>
      <c r="E158" s="19" t="str">
        <f t="shared" si="2"/>
        <v> </v>
      </c>
      <c r="F158" s="21"/>
    </row>
    <row r="159">
      <c r="A159" s="19">
        <v>9515.0</v>
      </c>
      <c r="B159" s="19" t="s">
        <v>195</v>
      </c>
      <c r="C159" s="20">
        <v>24752.0</v>
      </c>
      <c r="D159" s="19" t="str">
        <f t="shared" si="1"/>
        <v> </v>
      </c>
      <c r="E159" s="19" t="str">
        <f t="shared" si="2"/>
        <v> </v>
      </c>
      <c r="F159" s="21"/>
    </row>
    <row r="160">
      <c r="A160" s="19">
        <v>9516.0</v>
      </c>
      <c r="B160" s="19" t="s">
        <v>196</v>
      </c>
      <c r="C160" s="20">
        <v>14662.0</v>
      </c>
      <c r="D160" s="19" t="str">
        <f t="shared" si="1"/>
        <v> </v>
      </c>
      <c r="E160" s="19" t="str">
        <f t="shared" si="2"/>
        <v> </v>
      </c>
      <c r="F160" s="21"/>
    </row>
    <row r="161">
      <c r="A161" s="19">
        <v>9525.0</v>
      </c>
      <c r="B161" s="19" t="s">
        <v>197</v>
      </c>
      <c r="C161" s="20">
        <v>25322.0</v>
      </c>
      <c r="D161" s="19" t="str">
        <f t="shared" si="1"/>
        <v> </v>
      </c>
      <c r="E161" s="19" t="str">
        <f t="shared" si="2"/>
        <v> </v>
      </c>
      <c r="F161" s="21"/>
    </row>
    <row r="162">
      <c r="A162" s="19">
        <v>9527.0</v>
      </c>
      <c r="B162" s="19" t="s">
        <v>198</v>
      </c>
      <c r="C162" s="20">
        <v>18490.0</v>
      </c>
      <c r="D162" s="19" t="str">
        <f t="shared" si="1"/>
        <v> </v>
      </c>
      <c r="E162" s="19" t="str">
        <f t="shared" si="2"/>
        <v> </v>
      </c>
      <c r="F162" s="21"/>
    </row>
    <row r="163">
      <c r="A163" s="19">
        <v>9529.0</v>
      </c>
      <c r="B163" s="19" t="s">
        <v>199</v>
      </c>
      <c r="C163" s="20">
        <v>28740.0</v>
      </c>
      <c r="D163" s="19" t="str">
        <f t="shared" si="1"/>
        <v> </v>
      </c>
      <c r="E163" s="19" t="str">
        <f t="shared" si="2"/>
        <v> </v>
      </c>
      <c r="F163" s="21"/>
    </row>
    <row r="164">
      <c r="A164" s="19">
        <v>9530.0</v>
      </c>
      <c r="B164" s="19" t="s">
        <v>200</v>
      </c>
      <c r="C164" s="20">
        <v>19208.0</v>
      </c>
      <c r="D164" s="19" t="str">
        <f t="shared" si="1"/>
        <v> </v>
      </c>
      <c r="E164" s="19" t="str">
        <f t="shared" si="2"/>
        <v> </v>
      </c>
      <c r="F164" s="21"/>
    </row>
    <row r="165">
      <c r="A165" s="19">
        <v>9531.0</v>
      </c>
      <c r="B165" s="19" t="s">
        <v>201</v>
      </c>
      <c r="C165" s="20">
        <v>17451.0</v>
      </c>
      <c r="D165" s="19" t="str">
        <f t="shared" si="1"/>
        <v> </v>
      </c>
      <c r="E165" s="19" t="str">
        <f t="shared" si="2"/>
        <v> </v>
      </c>
      <c r="F165" s="21"/>
    </row>
    <row r="166">
      <c r="A166" s="19">
        <v>9534.0</v>
      </c>
      <c r="B166" s="19" t="s">
        <v>202</v>
      </c>
      <c r="C166" s="20">
        <v>29839.0</v>
      </c>
      <c r="D166" s="19" t="str">
        <f t="shared" si="1"/>
        <v> </v>
      </c>
      <c r="E166" s="19" t="str">
        <f t="shared" si="2"/>
        <v> </v>
      </c>
      <c r="F166" s="21"/>
    </row>
    <row r="167">
      <c r="A167" s="19">
        <v>9536.0</v>
      </c>
      <c r="B167" s="19" t="s">
        <v>203</v>
      </c>
      <c r="C167" s="20">
        <v>21649.0</v>
      </c>
      <c r="D167" s="19" t="str">
        <f t="shared" si="1"/>
        <v> </v>
      </c>
      <c r="E167" s="19" t="str">
        <f t="shared" si="2"/>
        <v> </v>
      </c>
      <c r="F167" s="21"/>
    </row>
    <row r="168">
      <c r="A168" s="19">
        <v>9538.0</v>
      </c>
      <c r="B168" s="19" t="s">
        <v>204</v>
      </c>
      <c r="C168" s="20">
        <v>19933.0</v>
      </c>
      <c r="D168" s="19" t="str">
        <f t="shared" si="1"/>
        <v> </v>
      </c>
      <c r="E168" s="19" t="str">
        <f t="shared" si="2"/>
        <v> </v>
      </c>
      <c r="F168" s="21"/>
    </row>
    <row r="169">
      <c r="A169" s="19">
        <v>9539.0</v>
      </c>
      <c r="B169" s="19" t="s">
        <v>205</v>
      </c>
      <c r="C169" s="20">
        <v>16721.0</v>
      </c>
      <c r="D169" s="19" t="str">
        <f t="shared" si="1"/>
        <v> </v>
      </c>
      <c r="E169" s="19" t="str">
        <f t="shared" si="2"/>
        <v> </v>
      </c>
      <c r="F169" s="21"/>
    </row>
    <row r="170">
      <c r="A170" s="19">
        <v>9540.0</v>
      </c>
      <c r="B170" s="19" t="s">
        <v>206</v>
      </c>
      <c r="C170" s="20">
        <v>31846.0</v>
      </c>
      <c r="D170" s="19" t="str">
        <f t="shared" si="1"/>
        <v> </v>
      </c>
      <c r="E170" s="19" t="str">
        <f t="shared" si="2"/>
        <v> </v>
      </c>
      <c r="F170" s="21"/>
    </row>
    <row r="171">
      <c r="A171" s="19">
        <v>9544.0</v>
      </c>
      <c r="B171" s="19" t="s">
        <v>207</v>
      </c>
      <c r="C171" s="20">
        <v>18713.0</v>
      </c>
      <c r="D171" s="19" t="str">
        <f t="shared" si="1"/>
        <v>Repeat</v>
      </c>
      <c r="E171" s="19" t="str">
        <f t="shared" si="2"/>
        <v> </v>
      </c>
      <c r="F171" s="21"/>
    </row>
    <row r="172">
      <c r="A172" s="19">
        <v>9546.0</v>
      </c>
      <c r="B172" s="19" t="s">
        <v>208</v>
      </c>
      <c r="C172" s="20">
        <v>22915.0</v>
      </c>
      <c r="D172" s="19" t="str">
        <f t="shared" si="1"/>
        <v> </v>
      </c>
      <c r="E172" s="19" t="str">
        <f t="shared" si="2"/>
        <v> </v>
      </c>
      <c r="F172" s="21"/>
    </row>
    <row r="173">
      <c r="A173" s="19">
        <v>9548.0</v>
      </c>
      <c r="B173" s="19" t="s">
        <v>209</v>
      </c>
      <c r="C173" s="20">
        <v>20139.0</v>
      </c>
      <c r="D173" s="19" t="str">
        <f t="shared" si="1"/>
        <v> </v>
      </c>
      <c r="E173" s="19" t="str">
        <f t="shared" si="2"/>
        <v> </v>
      </c>
      <c r="F173" s="21"/>
    </row>
    <row r="174">
      <c r="A174" s="19">
        <v>9551.0</v>
      </c>
      <c r="B174" s="19" t="s">
        <v>210</v>
      </c>
      <c r="C174" s="20">
        <v>29122.0</v>
      </c>
      <c r="D174" s="19" t="str">
        <f t="shared" si="1"/>
        <v> </v>
      </c>
      <c r="E174" s="19" t="str">
        <f t="shared" si="2"/>
        <v> </v>
      </c>
      <c r="F174" s="21"/>
    </row>
    <row r="175">
      <c r="A175" s="19">
        <v>9552.0</v>
      </c>
      <c r="B175" s="19" t="s">
        <v>211</v>
      </c>
      <c r="C175" s="20">
        <v>25547.0</v>
      </c>
      <c r="D175" s="19" t="str">
        <f t="shared" si="1"/>
        <v> </v>
      </c>
      <c r="E175" s="19" t="str">
        <f t="shared" si="2"/>
        <v> </v>
      </c>
      <c r="F175" s="21"/>
    </row>
    <row r="176">
      <c r="A176" s="19">
        <v>9553.0</v>
      </c>
      <c r="B176" s="19" t="s">
        <v>212</v>
      </c>
      <c r="C176" s="20">
        <v>27612.0</v>
      </c>
      <c r="D176" s="19" t="str">
        <f t="shared" si="1"/>
        <v> </v>
      </c>
      <c r="E176" s="19" t="str">
        <f t="shared" si="2"/>
        <v> </v>
      </c>
      <c r="F176" s="21"/>
    </row>
    <row r="177">
      <c r="A177" s="19">
        <v>9555.0</v>
      </c>
      <c r="B177" s="19" t="s">
        <v>213</v>
      </c>
      <c r="C177" s="20">
        <v>17568.0</v>
      </c>
      <c r="D177" s="19" t="str">
        <f t="shared" si="1"/>
        <v> </v>
      </c>
      <c r="E177" s="19" t="str">
        <f t="shared" si="2"/>
        <v> </v>
      </c>
      <c r="F177" s="21"/>
    </row>
    <row r="178">
      <c r="A178" s="19">
        <v>9558.0</v>
      </c>
      <c r="B178" s="19" t="s">
        <v>214</v>
      </c>
      <c r="C178" s="20">
        <v>15593.0</v>
      </c>
      <c r="D178" s="19" t="str">
        <f t="shared" si="1"/>
        <v> </v>
      </c>
      <c r="E178" s="19" t="str">
        <f t="shared" si="2"/>
        <v> </v>
      </c>
      <c r="F178" s="21"/>
    </row>
    <row r="179">
      <c r="A179" s="19">
        <v>9559.0</v>
      </c>
      <c r="B179" s="19" t="s">
        <v>215</v>
      </c>
      <c r="C179" s="20">
        <v>23028.0</v>
      </c>
      <c r="D179" s="19" t="str">
        <f t="shared" si="1"/>
        <v> </v>
      </c>
      <c r="E179" s="19" t="str">
        <f t="shared" si="2"/>
        <v> </v>
      </c>
      <c r="F179" s="21"/>
    </row>
    <row r="180">
      <c r="A180" s="19">
        <v>9566.0</v>
      </c>
      <c r="B180" s="19" t="s">
        <v>216</v>
      </c>
      <c r="C180" s="20">
        <v>15750.0</v>
      </c>
      <c r="D180" s="19" t="str">
        <f t="shared" si="1"/>
        <v> </v>
      </c>
      <c r="E180" s="19" t="str">
        <f t="shared" si="2"/>
        <v> </v>
      </c>
      <c r="F180" s="21"/>
    </row>
    <row r="181">
      <c r="A181" s="19">
        <v>9568.0</v>
      </c>
      <c r="B181" s="19" t="s">
        <v>217</v>
      </c>
      <c r="C181" s="20">
        <v>18943.0</v>
      </c>
      <c r="D181" s="19" t="str">
        <f t="shared" si="1"/>
        <v> </v>
      </c>
      <c r="E181" s="19" t="str">
        <f t="shared" si="2"/>
        <v> </v>
      </c>
      <c r="F181" s="21"/>
    </row>
    <row r="182">
      <c r="A182" s="19">
        <v>9569.0</v>
      </c>
      <c r="B182" s="19" t="s">
        <v>218</v>
      </c>
      <c r="C182" s="20">
        <v>16181.0</v>
      </c>
      <c r="D182" s="19" t="str">
        <f t="shared" si="1"/>
        <v>Repeat</v>
      </c>
      <c r="E182" s="19" t="str">
        <f t="shared" si="2"/>
        <v> </v>
      </c>
      <c r="F182" s="21"/>
    </row>
    <row r="183">
      <c r="A183" s="19">
        <v>9574.0</v>
      </c>
      <c r="B183" s="19" t="s">
        <v>219</v>
      </c>
      <c r="C183" s="20">
        <v>22789.0</v>
      </c>
      <c r="D183" s="19" t="str">
        <f t="shared" si="1"/>
        <v> </v>
      </c>
      <c r="E183" s="19" t="str">
        <f t="shared" si="2"/>
        <v> </v>
      </c>
      <c r="F183" s="21"/>
    </row>
    <row r="184">
      <c r="A184" s="19">
        <v>9576.0</v>
      </c>
      <c r="B184" s="19" t="s">
        <v>220</v>
      </c>
      <c r="C184" s="20">
        <v>18646.0</v>
      </c>
      <c r="D184" s="19" t="str">
        <f t="shared" si="1"/>
        <v>Repeat</v>
      </c>
      <c r="E184" s="19" t="str">
        <f t="shared" si="2"/>
        <v> </v>
      </c>
      <c r="F184" s="21"/>
    </row>
    <row r="185">
      <c r="A185" s="19">
        <v>9581.0</v>
      </c>
      <c r="B185" s="19" t="s">
        <v>221</v>
      </c>
      <c r="C185" s="20">
        <v>17827.0</v>
      </c>
      <c r="D185" s="19" t="str">
        <f t="shared" si="1"/>
        <v> </v>
      </c>
      <c r="E185" s="19" t="str">
        <f t="shared" si="2"/>
        <v> </v>
      </c>
      <c r="F185" s="21"/>
    </row>
    <row r="186">
      <c r="A186" s="19">
        <v>9582.0</v>
      </c>
      <c r="B186" s="19" t="s">
        <v>222</v>
      </c>
      <c r="C186" s="20">
        <v>21147.0</v>
      </c>
      <c r="D186" s="19" t="str">
        <f t="shared" si="1"/>
        <v> </v>
      </c>
      <c r="E186" s="19" t="str">
        <f t="shared" si="2"/>
        <v> </v>
      </c>
      <c r="F186" s="21"/>
    </row>
    <row r="187">
      <c r="A187" s="19">
        <v>9583.0</v>
      </c>
      <c r="B187" s="19" t="s">
        <v>223</v>
      </c>
      <c r="C187" s="20">
        <v>18782.0</v>
      </c>
      <c r="D187" s="19" t="str">
        <f t="shared" si="1"/>
        <v> </v>
      </c>
      <c r="E187" s="19" t="str">
        <f t="shared" si="2"/>
        <v> </v>
      </c>
      <c r="F187" s="21"/>
    </row>
    <row r="188">
      <c r="A188" s="19">
        <v>9586.0</v>
      </c>
      <c r="B188" s="19" t="s">
        <v>224</v>
      </c>
      <c r="C188" s="20">
        <v>30147.0</v>
      </c>
      <c r="D188" s="19" t="str">
        <f t="shared" si="1"/>
        <v> </v>
      </c>
      <c r="E188" s="19" t="str">
        <f t="shared" si="2"/>
        <v> </v>
      </c>
      <c r="F188" s="21"/>
    </row>
    <row r="189">
      <c r="A189" s="19">
        <v>9587.0</v>
      </c>
      <c r="B189" s="19" t="s">
        <v>225</v>
      </c>
      <c r="C189" s="20">
        <v>26896.0</v>
      </c>
      <c r="D189" s="19" t="str">
        <f t="shared" si="1"/>
        <v> </v>
      </c>
      <c r="E189" s="19" t="str">
        <f t="shared" si="2"/>
        <v> </v>
      </c>
      <c r="F189" s="21"/>
    </row>
    <row r="190">
      <c r="A190" s="19">
        <v>9588.0</v>
      </c>
      <c r="B190" s="19" t="s">
        <v>226</v>
      </c>
      <c r="C190" s="20">
        <v>25522.0</v>
      </c>
      <c r="D190" s="19" t="str">
        <f t="shared" si="1"/>
        <v> </v>
      </c>
      <c r="E190" s="19" t="str">
        <f t="shared" si="2"/>
        <v> </v>
      </c>
      <c r="F190" s="21"/>
    </row>
    <row r="191">
      <c r="A191" s="19">
        <v>9593.0</v>
      </c>
      <c r="B191" s="19" t="s">
        <v>227</v>
      </c>
      <c r="C191" s="20">
        <v>23217.0</v>
      </c>
      <c r="D191" s="19" t="str">
        <f t="shared" si="1"/>
        <v> </v>
      </c>
      <c r="E191" s="19" t="str">
        <f t="shared" si="2"/>
        <v> </v>
      </c>
      <c r="F191" s="21"/>
    </row>
    <row r="192">
      <c r="A192" s="19">
        <v>9597.0</v>
      </c>
      <c r="B192" s="19" t="s">
        <v>228</v>
      </c>
      <c r="C192" s="20">
        <v>27446.0</v>
      </c>
      <c r="D192" s="19" t="str">
        <f t="shared" si="1"/>
        <v> </v>
      </c>
      <c r="E192" s="19" t="str">
        <f t="shared" si="2"/>
        <v> </v>
      </c>
      <c r="F192" s="21"/>
    </row>
    <row r="193">
      <c r="A193" s="19">
        <v>9598.0</v>
      </c>
      <c r="B193" s="19" t="s">
        <v>229</v>
      </c>
      <c r="C193" s="20">
        <v>28579.0</v>
      </c>
      <c r="D193" s="19" t="str">
        <f t="shared" si="1"/>
        <v> </v>
      </c>
      <c r="E193" s="19" t="str">
        <f t="shared" si="2"/>
        <v> </v>
      </c>
      <c r="F193" s="21"/>
    </row>
    <row r="194">
      <c r="A194" s="19">
        <v>9600.0</v>
      </c>
      <c r="B194" s="19" t="s">
        <v>230</v>
      </c>
      <c r="C194" s="20">
        <v>17409.0</v>
      </c>
      <c r="D194" s="19" t="str">
        <f t="shared" si="1"/>
        <v> </v>
      </c>
      <c r="E194" s="19" t="str">
        <f t="shared" si="2"/>
        <v> </v>
      </c>
      <c r="F194" s="21"/>
    </row>
    <row r="195">
      <c r="A195" s="19">
        <v>9601.0</v>
      </c>
      <c r="B195" s="19" t="s">
        <v>231</v>
      </c>
      <c r="C195" s="20">
        <v>26335.0</v>
      </c>
      <c r="D195" s="19" t="str">
        <f t="shared" si="1"/>
        <v>Repeat</v>
      </c>
      <c r="E195" s="19" t="str">
        <f t="shared" si="2"/>
        <v> </v>
      </c>
      <c r="F195" s="21"/>
    </row>
    <row r="196">
      <c r="A196" s="19">
        <v>9608.0</v>
      </c>
      <c r="B196" s="19" t="s">
        <v>232</v>
      </c>
      <c r="C196" s="20">
        <v>21736.0</v>
      </c>
      <c r="D196" s="19" t="str">
        <f t="shared" si="1"/>
        <v> </v>
      </c>
      <c r="E196" s="19" t="str">
        <f t="shared" si="2"/>
        <v> </v>
      </c>
      <c r="F196" s="21"/>
    </row>
    <row r="197">
      <c r="A197" s="19">
        <v>9611.0</v>
      </c>
      <c r="B197" s="19" t="s">
        <v>233</v>
      </c>
      <c r="C197" s="20">
        <v>19130.0</v>
      </c>
      <c r="D197" s="19" t="str">
        <f t="shared" si="1"/>
        <v> </v>
      </c>
      <c r="E197" s="19" t="str">
        <f t="shared" si="2"/>
        <v> </v>
      </c>
      <c r="F197" s="21"/>
    </row>
    <row r="198">
      <c r="A198" s="19">
        <v>9613.0</v>
      </c>
      <c r="B198" s="19" t="s">
        <v>234</v>
      </c>
      <c r="C198" s="20">
        <v>30187.0</v>
      </c>
      <c r="D198" s="19" t="str">
        <f t="shared" si="1"/>
        <v> </v>
      </c>
      <c r="E198" s="19" t="str">
        <f t="shared" si="2"/>
        <v> </v>
      </c>
      <c r="F198" s="21"/>
    </row>
    <row r="199">
      <c r="A199" s="19">
        <v>9615.0</v>
      </c>
      <c r="B199" s="19" t="s">
        <v>235</v>
      </c>
      <c r="C199" s="20">
        <v>16478.0</v>
      </c>
      <c r="D199" s="19" t="str">
        <f t="shared" si="1"/>
        <v> </v>
      </c>
      <c r="E199" s="19" t="str">
        <f t="shared" si="2"/>
        <v> </v>
      </c>
      <c r="F199" s="21"/>
    </row>
    <row r="200">
      <c r="A200" s="19">
        <v>9616.0</v>
      </c>
      <c r="B200" s="19" t="s">
        <v>236</v>
      </c>
      <c r="C200" s="20">
        <v>19613.0</v>
      </c>
      <c r="D200" s="19" t="str">
        <f t="shared" si="1"/>
        <v> </v>
      </c>
      <c r="E200" s="19" t="str">
        <f t="shared" si="2"/>
        <v> </v>
      </c>
      <c r="F200" s="21"/>
    </row>
    <row r="201">
      <c r="A201" s="19">
        <v>9623.0</v>
      </c>
      <c r="B201" s="19" t="s">
        <v>237</v>
      </c>
      <c r="C201" s="20">
        <v>24448.0</v>
      </c>
      <c r="D201" s="19" t="str">
        <f t="shared" si="1"/>
        <v>Repeat</v>
      </c>
      <c r="E201" s="19" t="str">
        <f t="shared" si="2"/>
        <v> </v>
      </c>
      <c r="F201" s="21"/>
    </row>
    <row r="202">
      <c r="A202" s="19">
        <v>9624.0</v>
      </c>
      <c r="B202" s="19" t="s">
        <v>238</v>
      </c>
      <c r="C202" s="20">
        <v>15243.0</v>
      </c>
      <c r="D202" s="19" t="str">
        <f t="shared" si="1"/>
        <v> </v>
      </c>
      <c r="E202" s="19" t="str">
        <f t="shared" si="2"/>
        <v> </v>
      </c>
      <c r="F202" s="21"/>
    </row>
    <row r="203">
      <c r="A203" s="19">
        <v>9625.0</v>
      </c>
      <c r="B203" s="19" t="s">
        <v>239</v>
      </c>
      <c r="C203" s="20">
        <v>33683.0</v>
      </c>
      <c r="D203" s="19" t="str">
        <f t="shared" si="1"/>
        <v> </v>
      </c>
      <c r="E203" s="19" t="str">
        <f t="shared" si="2"/>
        <v> </v>
      </c>
      <c r="F203" s="21"/>
    </row>
    <row r="204">
      <c r="A204" s="19">
        <v>9628.0</v>
      </c>
      <c r="B204" s="19" t="s">
        <v>240</v>
      </c>
      <c r="C204" s="20">
        <v>19679.0</v>
      </c>
      <c r="D204" s="19" t="str">
        <f t="shared" si="1"/>
        <v> </v>
      </c>
      <c r="E204" s="19" t="str">
        <f t="shared" si="2"/>
        <v> </v>
      </c>
      <c r="F204" s="21"/>
    </row>
    <row r="205">
      <c r="A205" s="19">
        <v>9630.0</v>
      </c>
      <c r="B205" s="19" t="s">
        <v>241</v>
      </c>
      <c r="C205" s="20">
        <v>26628.0</v>
      </c>
      <c r="D205" s="19" t="str">
        <f t="shared" si="1"/>
        <v> </v>
      </c>
      <c r="E205" s="19" t="str">
        <f t="shared" si="2"/>
        <v> </v>
      </c>
      <c r="F205" s="21"/>
    </row>
    <row r="206">
      <c r="A206" s="19">
        <v>9642.0</v>
      </c>
      <c r="B206" s="19" t="s">
        <v>242</v>
      </c>
      <c r="C206" s="20">
        <v>17215.0</v>
      </c>
      <c r="D206" s="19" t="str">
        <f t="shared" si="1"/>
        <v> </v>
      </c>
      <c r="E206" s="19" t="str">
        <f t="shared" si="2"/>
        <v> </v>
      </c>
      <c r="F206" s="21"/>
    </row>
    <row r="207">
      <c r="A207" s="19">
        <v>9645.0</v>
      </c>
      <c r="B207" s="19" t="s">
        <v>243</v>
      </c>
      <c r="C207" s="20">
        <v>17705.0</v>
      </c>
      <c r="D207" s="19" t="str">
        <f t="shared" si="1"/>
        <v> </v>
      </c>
      <c r="E207" s="19" t="str">
        <f t="shared" si="2"/>
        <v> </v>
      </c>
      <c r="F207" s="21"/>
    </row>
    <row r="208">
      <c r="A208" s="19">
        <v>9647.0</v>
      </c>
      <c r="B208" s="19" t="s">
        <v>244</v>
      </c>
      <c r="C208" s="20">
        <v>13767.0</v>
      </c>
      <c r="D208" s="19" t="str">
        <f t="shared" si="1"/>
        <v> </v>
      </c>
      <c r="E208" s="19" t="str">
        <f t="shared" si="2"/>
        <v> </v>
      </c>
      <c r="F208" s="21"/>
    </row>
    <row r="209">
      <c r="A209" s="19">
        <v>9650.0</v>
      </c>
      <c r="B209" s="19" t="s">
        <v>245</v>
      </c>
      <c r="C209" s="20">
        <v>19714.0</v>
      </c>
      <c r="D209" s="19" t="str">
        <f t="shared" si="1"/>
        <v> </v>
      </c>
      <c r="E209" s="19" t="str">
        <f t="shared" si="2"/>
        <v> </v>
      </c>
      <c r="F209" s="21"/>
    </row>
    <row r="210">
      <c r="A210" s="19">
        <v>9651.0</v>
      </c>
      <c r="B210" s="19" t="s">
        <v>246</v>
      </c>
      <c r="C210" s="20">
        <v>22812.0</v>
      </c>
      <c r="D210" s="19" t="str">
        <f t="shared" si="1"/>
        <v> </v>
      </c>
      <c r="E210" s="19" t="str">
        <f t="shared" si="2"/>
        <v> </v>
      </c>
      <c r="F210" s="21"/>
    </row>
    <row r="211">
      <c r="A211" s="19">
        <v>9652.0</v>
      </c>
      <c r="B211" s="19" t="s">
        <v>247</v>
      </c>
      <c r="C211" s="20">
        <v>18328.0</v>
      </c>
      <c r="D211" s="19" t="str">
        <f t="shared" si="1"/>
        <v> </v>
      </c>
      <c r="E211" s="19" t="str">
        <f t="shared" si="2"/>
        <v> </v>
      </c>
      <c r="F211" s="21"/>
    </row>
    <row r="212">
      <c r="A212" s="19">
        <v>9655.0</v>
      </c>
      <c r="B212" s="19" t="s">
        <v>248</v>
      </c>
      <c r="C212" s="20">
        <v>20908.0</v>
      </c>
      <c r="D212" s="19" t="str">
        <f t="shared" si="1"/>
        <v> </v>
      </c>
      <c r="E212" s="19" t="str">
        <f t="shared" si="2"/>
        <v> </v>
      </c>
      <c r="F212" s="21"/>
    </row>
    <row r="213">
      <c r="A213" s="19">
        <v>9656.0</v>
      </c>
      <c r="B213" s="19" t="s">
        <v>249</v>
      </c>
      <c r="C213" s="20">
        <v>18564.0</v>
      </c>
      <c r="D213" s="19" t="str">
        <f t="shared" si="1"/>
        <v> </v>
      </c>
      <c r="E213" s="19" t="str">
        <f t="shared" si="2"/>
        <v> </v>
      </c>
      <c r="F213" s="21"/>
    </row>
    <row r="214">
      <c r="A214" s="19">
        <v>9659.0</v>
      </c>
      <c r="B214" s="19" t="s">
        <v>250</v>
      </c>
      <c r="C214" s="20">
        <v>28253.0</v>
      </c>
      <c r="D214" s="19" t="str">
        <f t="shared" si="1"/>
        <v> </v>
      </c>
      <c r="E214" s="19" t="str">
        <f t="shared" si="2"/>
        <v> </v>
      </c>
      <c r="F214" s="21"/>
    </row>
    <row r="215">
      <c r="A215" s="19">
        <v>9668.0</v>
      </c>
      <c r="B215" s="19" t="s">
        <v>251</v>
      </c>
      <c r="C215" s="20">
        <v>16446.0</v>
      </c>
      <c r="D215" s="19" t="str">
        <f t="shared" si="1"/>
        <v> </v>
      </c>
      <c r="E215" s="19" t="str">
        <f t="shared" si="2"/>
        <v> </v>
      </c>
      <c r="F215" s="21"/>
    </row>
    <row r="216">
      <c r="A216" s="19">
        <v>9670.0</v>
      </c>
      <c r="B216" s="19" t="s">
        <v>252</v>
      </c>
      <c r="C216" s="20">
        <v>29843.0</v>
      </c>
      <c r="D216" s="19" t="str">
        <f t="shared" si="1"/>
        <v> </v>
      </c>
      <c r="E216" s="19" t="str">
        <f t="shared" si="2"/>
        <v> </v>
      </c>
      <c r="F216" s="21"/>
    </row>
    <row r="217">
      <c r="A217" s="19">
        <v>9672.0</v>
      </c>
      <c r="B217" s="19" t="s">
        <v>253</v>
      </c>
      <c r="C217" s="20">
        <v>27199.0</v>
      </c>
      <c r="D217" s="19" t="str">
        <f t="shared" si="1"/>
        <v> </v>
      </c>
      <c r="E217" s="19" t="str">
        <f t="shared" si="2"/>
        <v> </v>
      </c>
      <c r="F217" s="21"/>
    </row>
    <row r="218">
      <c r="A218" s="19">
        <v>9676.0</v>
      </c>
      <c r="B218" s="19" t="s">
        <v>254</v>
      </c>
      <c r="C218" s="20">
        <v>20831.0</v>
      </c>
      <c r="D218" s="19" t="str">
        <f t="shared" si="1"/>
        <v> </v>
      </c>
      <c r="E218" s="19" t="str">
        <f t="shared" si="2"/>
        <v> </v>
      </c>
      <c r="F218" s="21"/>
    </row>
    <row r="219">
      <c r="A219" s="19">
        <v>9678.0</v>
      </c>
      <c r="B219" s="19" t="s">
        <v>255</v>
      </c>
      <c r="C219" s="20">
        <v>17245.0</v>
      </c>
      <c r="D219" s="19" t="str">
        <f t="shared" si="1"/>
        <v> </v>
      </c>
      <c r="E219" s="19" t="str">
        <f t="shared" si="2"/>
        <v> </v>
      </c>
      <c r="F219" s="21"/>
    </row>
    <row r="220">
      <c r="A220" s="19">
        <v>9679.0</v>
      </c>
      <c r="B220" s="19" t="s">
        <v>256</v>
      </c>
      <c r="C220" s="20">
        <v>17822.0</v>
      </c>
      <c r="D220" s="19" t="str">
        <f t="shared" si="1"/>
        <v> </v>
      </c>
      <c r="E220" s="19" t="str">
        <f t="shared" si="2"/>
        <v> </v>
      </c>
      <c r="F220" s="21"/>
    </row>
    <row r="221">
      <c r="A221" s="19">
        <v>9682.0</v>
      </c>
      <c r="B221" s="19" t="s">
        <v>257</v>
      </c>
      <c r="C221" s="20">
        <v>17001.0</v>
      </c>
      <c r="D221" s="19" t="str">
        <f t="shared" si="1"/>
        <v> </v>
      </c>
      <c r="E221" s="19" t="str">
        <f t="shared" si="2"/>
        <v> </v>
      </c>
      <c r="F221" s="21"/>
    </row>
    <row r="222">
      <c r="A222" s="19">
        <v>9683.0</v>
      </c>
      <c r="B222" s="19" t="s">
        <v>258</v>
      </c>
      <c r="C222" s="20">
        <v>29811.0</v>
      </c>
      <c r="D222" s="19" t="str">
        <f t="shared" si="1"/>
        <v> </v>
      </c>
      <c r="E222" s="19" t="str">
        <f t="shared" si="2"/>
        <v> </v>
      </c>
      <c r="F222" s="21"/>
    </row>
    <row r="223">
      <c r="A223" s="19">
        <v>9684.0</v>
      </c>
      <c r="B223" s="19" t="s">
        <v>259</v>
      </c>
      <c r="C223" s="20">
        <v>22452.0</v>
      </c>
      <c r="D223" s="19" t="str">
        <f t="shared" si="1"/>
        <v> </v>
      </c>
      <c r="E223" s="19" t="str">
        <f t="shared" si="2"/>
        <v> </v>
      </c>
      <c r="F223" s="21"/>
    </row>
    <row r="224">
      <c r="A224" s="19">
        <v>9687.0</v>
      </c>
      <c r="B224" s="19" t="s">
        <v>260</v>
      </c>
      <c r="C224" s="20">
        <v>25917.0</v>
      </c>
      <c r="D224" s="19" t="str">
        <f t="shared" si="1"/>
        <v> </v>
      </c>
      <c r="E224" s="19" t="str">
        <f t="shared" si="2"/>
        <v> </v>
      </c>
      <c r="F224" s="21"/>
    </row>
    <row r="225">
      <c r="A225" s="19">
        <v>9688.0</v>
      </c>
      <c r="B225" s="19" t="s">
        <v>261</v>
      </c>
      <c r="C225" s="20">
        <v>18440.0</v>
      </c>
      <c r="D225" s="19" t="str">
        <f t="shared" si="1"/>
        <v> </v>
      </c>
      <c r="E225" s="19" t="str">
        <f t="shared" si="2"/>
        <v> </v>
      </c>
      <c r="F225" s="21"/>
    </row>
    <row r="226">
      <c r="A226" s="19">
        <v>9690.0</v>
      </c>
      <c r="B226" s="19" t="s">
        <v>262</v>
      </c>
      <c r="C226" s="20">
        <v>19700.0</v>
      </c>
      <c r="D226" s="19" t="str">
        <f t="shared" si="1"/>
        <v> </v>
      </c>
      <c r="E226" s="19" t="str">
        <f t="shared" si="2"/>
        <v> </v>
      </c>
      <c r="F226" s="21"/>
    </row>
    <row r="227">
      <c r="A227" s="19">
        <v>9696.0</v>
      </c>
      <c r="B227" s="19" t="s">
        <v>263</v>
      </c>
      <c r="C227" s="20">
        <v>21244.0</v>
      </c>
      <c r="D227" s="19" t="str">
        <f t="shared" si="1"/>
        <v> </v>
      </c>
      <c r="E227" s="19" t="str">
        <f t="shared" si="2"/>
        <v> </v>
      </c>
      <c r="F227" s="21"/>
    </row>
    <row r="228">
      <c r="A228" s="19">
        <v>9698.0</v>
      </c>
      <c r="B228" s="19" t="s">
        <v>264</v>
      </c>
      <c r="C228" s="20">
        <v>20760.0</v>
      </c>
      <c r="D228" s="19" t="str">
        <f t="shared" si="1"/>
        <v> </v>
      </c>
      <c r="E228" s="19" t="str">
        <f t="shared" si="2"/>
        <v> </v>
      </c>
      <c r="F228" s="21"/>
    </row>
    <row r="229">
      <c r="A229" s="19">
        <v>9706.0</v>
      </c>
      <c r="B229" s="19" t="s">
        <v>265</v>
      </c>
      <c r="C229" s="20">
        <v>24707.0</v>
      </c>
      <c r="D229" s="19" t="str">
        <f t="shared" si="1"/>
        <v> </v>
      </c>
      <c r="E229" s="19" t="str">
        <f t="shared" si="2"/>
        <v> </v>
      </c>
      <c r="F229" s="21"/>
    </row>
    <row r="230">
      <c r="A230" s="19">
        <v>9707.0</v>
      </c>
      <c r="B230" s="19" t="s">
        <v>266</v>
      </c>
      <c r="C230" s="20">
        <v>29373.0</v>
      </c>
      <c r="D230" s="19" t="str">
        <f t="shared" si="1"/>
        <v> </v>
      </c>
      <c r="E230" s="19" t="str">
        <f t="shared" si="2"/>
        <v> </v>
      </c>
      <c r="F230" s="21"/>
    </row>
    <row r="231">
      <c r="A231" s="19">
        <v>9710.0</v>
      </c>
      <c r="B231" s="19" t="s">
        <v>267</v>
      </c>
      <c r="C231" s="20">
        <v>18189.0</v>
      </c>
      <c r="D231" s="19" t="str">
        <f t="shared" si="1"/>
        <v> </v>
      </c>
      <c r="E231" s="19" t="str">
        <f t="shared" si="2"/>
        <v> </v>
      </c>
      <c r="F231" s="21"/>
    </row>
    <row r="232">
      <c r="A232" s="19">
        <v>9716.0</v>
      </c>
      <c r="B232" s="19" t="s">
        <v>268</v>
      </c>
      <c r="C232" s="20">
        <v>20692.0</v>
      </c>
      <c r="D232" s="19" t="str">
        <f t="shared" si="1"/>
        <v> </v>
      </c>
      <c r="E232" s="19" t="str">
        <f t="shared" si="2"/>
        <v> </v>
      </c>
      <c r="F232" s="21"/>
    </row>
    <row r="233">
      <c r="A233" s="19">
        <v>9717.0</v>
      </c>
      <c r="B233" s="19" t="s">
        <v>269</v>
      </c>
      <c r="C233" s="20">
        <v>21889.0</v>
      </c>
      <c r="D233" s="19" t="str">
        <f t="shared" si="1"/>
        <v> </v>
      </c>
      <c r="E233" s="19" t="str">
        <f t="shared" si="2"/>
        <v> </v>
      </c>
      <c r="F233" s="21"/>
    </row>
    <row r="234">
      <c r="A234" s="19">
        <v>9718.0</v>
      </c>
      <c r="B234" s="19" t="s">
        <v>270</v>
      </c>
      <c r="C234" s="20">
        <v>19657.0</v>
      </c>
      <c r="D234" s="19" t="str">
        <f t="shared" si="1"/>
        <v>Repeat</v>
      </c>
      <c r="E234" s="19" t="str">
        <f t="shared" si="2"/>
        <v> </v>
      </c>
      <c r="F234" s="21"/>
    </row>
    <row r="235">
      <c r="A235" s="19">
        <v>9722.0</v>
      </c>
      <c r="B235" s="19" t="s">
        <v>271</v>
      </c>
      <c r="C235" s="20">
        <v>14366.0</v>
      </c>
      <c r="D235" s="19" t="str">
        <f t="shared" si="1"/>
        <v> </v>
      </c>
      <c r="E235" s="19" t="str">
        <f t="shared" si="2"/>
        <v> </v>
      </c>
      <c r="F235" s="21"/>
    </row>
    <row r="236">
      <c r="A236" s="19">
        <v>9724.0</v>
      </c>
      <c r="B236" s="19" t="s">
        <v>272</v>
      </c>
      <c r="C236" s="20">
        <v>31788.0</v>
      </c>
      <c r="D236" s="19" t="str">
        <f t="shared" si="1"/>
        <v> </v>
      </c>
      <c r="E236" s="19" t="str">
        <f t="shared" si="2"/>
        <v> </v>
      </c>
      <c r="F236" s="21"/>
    </row>
    <row r="237">
      <c r="A237" s="19">
        <v>9725.0</v>
      </c>
      <c r="B237" s="19" t="s">
        <v>273</v>
      </c>
      <c r="C237" s="20">
        <v>25836.0</v>
      </c>
      <c r="D237" s="19" t="str">
        <f t="shared" si="1"/>
        <v> </v>
      </c>
      <c r="E237" s="19" t="str">
        <f t="shared" si="2"/>
        <v> </v>
      </c>
      <c r="F237" s="21"/>
    </row>
    <row r="238">
      <c r="A238" s="19">
        <v>9726.0</v>
      </c>
      <c r="B238" s="19" t="s">
        <v>274</v>
      </c>
      <c r="C238" s="20">
        <v>23374.0</v>
      </c>
      <c r="D238" s="19" t="str">
        <f t="shared" si="1"/>
        <v> </v>
      </c>
      <c r="E238" s="19" t="str">
        <f t="shared" si="2"/>
        <v> </v>
      </c>
      <c r="F238" s="21"/>
    </row>
    <row r="239">
      <c r="A239" s="19">
        <v>9732.0</v>
      </c>
      <c r="B239" s="19" t="s">
        <v>275</v>
      </c>
      <c r="C239" s="20">
        <v>21690.0</v>
      </c>
      <c r="D239" s="19" t="str">
        <f t="shared" si="1"/>
        <v> </v>
      </c>
      <c r="E239" s="19" t="str">
        <f t="shared" si="2"/>
        <v> </v>
      </c>
      <c r="F239" s="21"/>
    </row>
    <row r="240">
      <c r="A240" s="19">
        <v>9739.0</v>
      </c>
      <c r="B240" s="19" t="s">
        <v>276</v>
      </c>
      <c r="C240" s="20">
        <v>29196.0</v>
      </c>
      <c r="D240" s="19" t="str">
        <f t="shared" si="1"/>
        <v> </v>
      </c>
      <c r="E240" s="19" t="str">
        <f t="shared" si="2"/>
        <v> </v>
      </c>
      <c r="F240" s="21"/>
    </row>
    <row r="241">
      <c r="A241" s="19">
        <v>9746.0</v>
      </c>
      <c r="B241" s="19" t="s">
        <v>277</v>
      </c>
      <c r="C241" s="20">
        <v>17527.0</v>
      </c>
      <c r="D241" s="19" t="str">
        <f t="shared" si="1"/>
        <v> </v>
      </c>
      <c r="E241" s="19" t="str">
        <f t="shared" si="2"/>
        <v> </v>
      </c>
      <c r="F241" s="21"/>
    </row>
    <row r="242">
      <c r="A242" s="19">
        <v>9749.0</v>
      </c>
      <c r="B242" s="19" t="s">
        <v>278</v>
      </c>
      <c r="C242" s="20">
        <v>20957.0</v>
      </c>
      <c r="D242" s="19" t="str">
        <f t="shared" si="1"/>
        <v> </v>
      </c>
      <c r="E242" s="19" t="str">
        <f t="shared" si="2"/>
        <v> </v>
      </c>
      <c r="F242" s="21"/>
    </row>
    <row r="243">
      <c r="A243" s="19">
        <v>9752.0</v>
      </c>
      <c r="B243" s="19" t="s">
        <v>279</v>
      </c>
      <c r="C243" s="20">
        <v>17975.0</v>
      </c>
      <c r="D243" s="19" t="str">
        <f t="shared" si="1"/>
        <v> </v>
      </c>
      <c r="E243" s="19" t="str">
        <f t="shared" si="2"/>
        <v> </v>
      </c>
      <c r="F243" s="21"/>
    </row>
    <row r="244">
      <c r="A244" s="19">
        <v>9754.0</v>
      </c>
      <c r="B244" s="19" t="s">
        <v>280</v>
      </c>
      <c r="C244" s="20">
        <v>29747.0</v>
      </c>
      <c r="D244" s="19" t="str">
        <f t="shared" si="1"/>
        <v> </v>
      </c>
      <c r="E244" s="19" t="str">
        <f t="shared" si="2"/>
        <v> </v>
      </c>
      <c r="F244" s="21"/>
    </row>
    <row r="245">
      <c r="A245" s="19">
        <v>9757.0</v>
      </c>
      <c r="B245" s="19" t="s">
        <v>281</v>
      </c>
      <c r="C245" s="20">
        <v>18098.0</v>
      </c>
      <c r="D245" s="19" t="str">
        <f t="shared" si="1"/>
        <v> </v>
      </c>
      <c r="E245" s="19" t="str">
        <f t="shared" si="2"/>
        <v> </v>
      </c>
      <c r="F245" s="21"/>
    </row>
    <row r="246">
      <c r="A246" s="19">
        <v>9759.0</v>
      </c>
      <c r="B246" s="19" t="s">
        <v>282</v>
      </c>
      <c r="C246" s="20">
        <v>18196.0</v>
      </c>
      <c r="D246" s="19" t="str">
        <f t="shared" si="1"/>
        <v> </v>
      </c>
      <c r="E246" s="19" t="str">
        <f t="shared" si="2"/>
        <v> </v>
      </c>
      <c r="F246" s="21"/>
    </row>
    <row r="247">
      <c r="A247" s="19">
        <v>9760.0</v>
      </c>
      <c r="B247" s="19" t="s">
        <v>283</v>
      </c>
      <c r="C247" s="20">
        <v>20490.0</v>
      </c>
      <c r="D247" s="19" t="str">
        <f t="shared" si="1"/>
        <v> </v>
      </c>
      <c r="E247" s="19" t="str">
        <f t="shared" si="2"/>
        <v> </v>
      </c>
      <c r="F247" s="21"/>
    </row>
    <row r="248">
      <c r="A248" s="19">
        <v>9772.0</v>
      </c>
      <c r="B248" s="19" t="s">
        <v>284</v>
      </c>
      <c r="C248" s="20">
        <v>21743.0</v>
      </c>
      <c r="D248" s="19" t="str">
        <f t="shared" si="1"/>
        <v> </v>
      </c>
      <c r="E248" s="19" t="str">
        <f t="shared" si="2"/>
        <v> </v>
      </c>
      <c r="F248" s="21"/>
    </row>
    <row r="249">
      <c r="A249" s="19">
        <v>9775.0</v>
      </c>
      <c r="B249" s="19" t="s">
        <v>285</v>
      </c>
      <c r="C249" s="20">
        <v>16906.0</v>
      </c>
      <c r="D249" s="19" t="str">
        <f t="shared" si="1"/>
        <v> </v>
      </c>
      <c r="E249" s="19" t="str">
        <f t="shared" si="2"/>
        <v> </v>
      </c>
      <c r="F249" s="21"/>
    </row>
    <row r="250">
      <c r="A250" s="19">
        <v>9776.0</v>
      </c>
      <c r="B250" s="19" t="s">
        <v>286</v>
      </c>
      <c r="C250" s="20">
        <v>20259.0</v>
      </c>
      <c r="D250" s="19" t="str">
        <f t="shared" si="1"/>
        <v> </v>
      </c>
      <c r="E250" s="19" t="str">
        <f t="shared" si="2"/>
        <v> </v>
      </c>
      <c r="F250" s="21"/>
    </row>
    <row r="251">
      <c r="A251" s="19">
        <v>9779.0</v>
      </c>
      <c r="B251" s="19" t="s">
        <v>287</v>
      </c>
      <c r="C251" s="20">
        <v>22449.0</v>
      </c>
      <c r="D251" s="19" t="str">
        <f t="shared" si="1"/>
        <v> </v>
      </c>
      <c r="E251" s="19" t="str">
        <f t="shared" si="2"/>
        <v> </v>
      </c>
      <c r="F251" s="21"/>
    </row>
    <row r="252">
      <c r="A252" s="19">
        <v>9783.0</v>
      </c>
      <c r="B252" s="19" t="s">
        <v>288</v>
      </c>
      <c r="C252" s="20">
        <v>21087.0</v>
      </c>
      <c r="D252" s="19" t="str">
        <f t="shared" si="1"/>
        <v> </v>
      </c>
      <c r="E252" s="19" t="str">
        <f t="shared" si="2"/>
        <v> </v>
      </c>
      <c r="F252" s="21"/>
    </row>
    <row r="253">
      <c r="A253" s="19">
        <v>9790.0</v>
      </c>
      <c r="B253" s="19" t="s">
        <v>289</v>
      </c>
      <c r="C253" s="20">
        <v>17915.0</v>
      </c>
      <c r="D253" s="19" t="str">
        <f t="shared" si="1"/>
        <v>Repeat</v>
      </c>
      <c r="E253" s="19" t="str">
        <f t="shared" si="2"/>
        <v> </v>
      </c>
      <c r="F253" s="21"/>
    </row>
    <row r="254">
      <c r="A254" s="19">
        <v>9792.0</v>
      </c>
      <c r="B254" s="19" t="s">
        <v>290</v>
      </c>
      <c r="C254" s="20">
        <v>20458.0</v>
      </c>
      <c r="D254" s="19" t="str">
        <f t="shared" si="1"/>
        <v> </v>
      </c>
      <c r="E254" s="19" t="str">
        <f t="shared" si="2"/>
        <v> </v>
      </c>
      <c r="F254" s="21"/>
    </row>
    <row r="255">
      <c r="A255" s="19">
        <v>9793.0</v>
      </c>
      <c r="B255" s="19" t="s">
        <v>291</v>
      </c>
      <c r="C255" s="20">
        <v>9749.0</v>
      </c>
      <c r="D255" s="19" t="str">
        <f t="shared" si="1"/>
        <v> </v>
      </c>
      <c r="E255" s="19" t="str">
        <f t="shared" si="2"/>
        <v> </v>
      </c>
      <c r="F255" s="21"/>
    </row>
    <row r="256">
      <c r="A256" s="19">
        <v>9794.0</v>
      </c>
      <c r="B256" s="19" t="s">
        <v>292</v>
      </c>
      <c r="C256" s="20">
        <v>24881.0</v>
      </c>
      <c r="D256" s="19" t="str">
        <f t="shared" si="1"/>
        <v> </v>
      </c>
      <c r="E256" s="19" t="str">
        <f t="shared" si="2"/>
        <v> </v>
      </c>
      <c r="F256" s="21"/>
    </row>
    <row r="257">
      <c r="A257" s="19">
        <v>9795.0</v>
      </c>
      <c r="B257" s="19" t="s">
        <v>293</v>
      </c>
      <c r="C257" s="20">
        <v>15509.0</v>
      </c>
      <c r="D257" s="19" t="str">
        <f t="shared" si="1"/>
        <v> </v>
      </c>
      <c r="E257" s="19" t="str">
        <f t="shared" si="2"/>
        <v> </v>
      </c>
      <c r="F257" s="21"/>
    </row>
    <row r="258">
      <c r="A258" s="19">
        <v>9796.0</v>
      </c>
      <c r="B258" s="19" t="s">
        <v>294</v>
      </c>
      <c r="C258" s="20">
        <v>24665.0</v>
      </c>
      <c r="D258" s="19" t="str">
        <f t="shared" si="1"/>
        <v> </v>
      </c>
      <c r="E258" s="19" t="str">
        <f t="shared" si="2"/>
        <v> </v>
      </c>
      <c r="F258" s="21"/>
    </row>
    <row r="259">
      <c r="A259" s="19">
        <v>9797.0</v>
      </c>
      <c r="B259" s="19" t="s">
        <v>295</v>
      </c>
      <c r="C259" s="20">
        <v>19913.0</v>
      </c>
      <c r="D259" s="19" t="str">
        <f t="shared" si="1"/>
        <v> </v>
      </c>
      <c r="E259" s="19" t="str">
        <f t="shared" si="2"/>
        <v> </v>
      </c>
      <c r="F259" s="21"/>
    </row>
    <row r="260">
      <c r="A260" s="19">
        <v>9800.0</v>
      </c>
      <c r="B260" s="19" t="s">
        <v>296</v>
      </c>
      <c r="C260" s="20">
        <v>24218.0</v>
      </c>
      <c r="D260" s="19" t="str">
        <f t="shared" si="1"/>
        <v> </v>
      </c>
      <c r="E260" s="19" t="str">
        <f t="shared" si="2"/>
        <v> </v>
      </c>
      <c r="F260" s="21"/>
    </row>
    <row r="261">
      <c r="A261" s="19">
        <v>9801.0</v>
      </c>
      <c r="B261" s="19" t="s">
        <v>297</v>
      </c>
      <c r="C261" s="20">
        <v>17058.0</v>
      </c>
      <c r="D261" s="19" t="str">
        <f t="shared" si="1"/>
        <v> </v>
      </c>
      <c r="E261" s="19" t="str">
        <f t="shared" si="2"/>
        <v> </v>
      </c>
      <c r="F261" s="21"/>
    </row>
    <row r="262">
      <c r="A262" s="19">
        <v>9802.0</v>
      </c>
      <c r="B262" s="19" t="s">
        <v>298</v>
      </c>
      <c r="C262" s="20">
        <v>25328.0</v>
      </c>
      <c r="D262" s="19" t="str">
        <f t="shared" si="1"/>
        <v> </v>
      </c>
      <c r="E262" s="19" t="str">
        <f t="shared" si="2"/>
        <v> </v>
      </c>
      <c r="F262" s="21"/>
    </row>
    <row r="263">
      <c r="A263" s="19">
        <v>9805.0</v>
      </c>
      <c r="B263" s="19" t="s">
        <v>299</v>
      </c>
      <c r="C263" s="20">
        <v>20993.0</v>
      </c>
      <c r="D263" s="19" t="str">
        <f t="shared" si="1"/>
        <v> </v>
      </c>
      <c r="E263" s="19" t="str">
        <f t="shared" si="2"/>
        <v> </v>
      </c>
      <c r="F263" s="21"/>
    </row>
    <row r="264">
      <c r="A264" s="19">
        <v>9807.0</v>
      </c>
      <c r="B264" s="19" t="s">
        <v>300</v>
      </c>
      <c r="C264" s="20">
        <v>21412.0</v>
      </c>
      <c r="D264" s="19" t="str">
        <f t="shared" si="1"/>
        <v> </v>
      </c>
      <c r="E264" s="19" t="str">
        <f t="shared" si="2"/>
        <v> </v>
      </c>
      <c r="F264" s="21"/>
    </row>
    <row r="265">
      <c r="A265" s="19">
        <v>9808.0</v>
      </c>
      <c r="B265" s="19" t="s">
        <v>301</v>
      </c>
      <c r="C265" s="20">
        <v>19466.0</v>
      </c>
      <c r="D265" s="19" t="str">
        <f t="shared" si="1"/>
        <v> </v>
      </c>
      <c r="E265" s="19" t="str">
        <f t="shared" si="2"/>
        <v> </v>
      </c>
      <c r="F265" s="21"/>
    </row>
    <row r="266">
      <c r="A266" s="19">
        <v>9810.0</v>
      </c>
      <c r="B266" s="19" t="s">
        <v>302</v>
      </c>
      <c r="C266" s="20">
        <v>20018.0</v>
      </c>
      <c r="D266" s="19" t="str">
        <f t="shared" si="1"/>
        <v> </v>
      </c>
      <c r="E266" s="19" t="str">
        <f t="shared" si="2"/>
        <v> </v>
      </c>
      <c r="F266" s="21"/>
    </row>
    <row r="267">
      <c r="A267" s="19">
        <v>9812.0</v>
      </c>
      <c r="B267" s="19" t="s">
        <v>303</v>
      </c>
      <c r="C267" s="20">
        <v>24557.0</v>
      </c>
      <c r="D267" s="19" t="str">
        <f t="shared" si="1"/>
        <v> </v>
      </c>
      <c r="E267" s="19" t="str">
        <f t="shared" si="2"/>
        <v> </v>
      </c>
      <c r="F267" s="21"/>
    </row>
    <row r="268">
      <c r="A268" s="19">
        <v>9813.0</v>
      </c>
      <c r="B268" s="19" t="s">
        <v>304</v>
      </c>
      <c r="C268" s="20">
        <v>19008.0</v>
      </c>
      <c r="D268" s="19" t="str">
        <f t="shared" si="1"/>
        <v> </v>
      </c>
      <c r="E268" s="19" t="str">
        <f t="shared" si="2"/>
        <v> </v>
      </c>
      <c r="F268" s="21"/>
    </row>
    <row r="269">
      <c r="A269" s="19">
        <v>9816.0</v>
      </c>
      <c r="B269" s="19" t="s">
        <v>305</v>
      </c>
      <c r="C269" s="20">
        <v>24040.0</v>
      </c>
      <c r="D269" s="19" t="str">
        <f t="shared" si="1"/>
        <v> </v>
      </c>
      <c r="E269" s="19" t="str">
        <f t="shared" si="2"/>
        <v> </v>
      </c>
      <c r="F269" s="21"/>
    </row>
    <row r="270">
      <c r="A270" s="19">
        <v>9819.0</v>
      </c>
      <c r="B270" s="19" t="s">
        <v>306</v>
      </c>
      <c r="C270" s="20">
        <v>32338.0</v>
      </c>
      <c r="D270" s="19" t="str">
        <f t="shared" si="1"/>
        <v> </v>
      </c>
      <c r="E270" s="19" t="str">
        <f t="shared" si="2"/>
        <v> </v>
      </c>
      <c r="F270" s="21"/>
    </row>
    <row r="271">
      <c r="A271" s="19">
        <v>9820.0</v>
      </c>
      <c r="B271" s="19" t="s">
        <v>307</v>
      </c>
      <c r="C271" s="20">
        <v>31343.0</v>
      </c>
      <c r="D271" s="19" t="str">
        <f t="shared" si="1"/>
        <v> </v>
      </c>
      <c r="E271" s="19" t="str">
        <f t="shared" si="2"/>
        <v> </v>
      </c>
      <c r="F271" s="21"/>
    </row>
    <row r="272">
      <c r="A272" s="19">
        <v>9821.0</v>
      </c>
      <c r="B272" s="19" t="s">
        <v>308</v>
      </c>
      <c r="C272" s="20">
        <v>17116.0</v>
      </c>
      <c r="D272" s="19" t="str">
        <f t="shared" si="1"/>
        <v> </v>
      </c>
      <c r="E272" s="19" t="str">
        <f t="shared" si="2"/>
        <v> </v>
      </c>
      <c r="F272" s="21"/>
    </row>
    <row r="273">
      <c r="A273" s="19">
        <v>9829.0</v>
      </c>
      <c r="B273" s="19" t="s">
        <v>309</v>
      </c>
      <c r="C273" s="20">
        <v>21367.0</v>
      </c>
      <c r="D273" s="19" t="str">
        <f t="shared" si="1"/>
        <v> </v>
      </c>
      <c r="E273" s="19" t="str">
        <f t="shared" si="2"/>
        <v> </v>
      </c>
      <c r="F273" s="21"/>
    </row>
    <row r="274">
      <c r="A274" s="19">
        <v>9830.0</v>
      </c>
      <c r="B274" s="19" t="s">
        <v>310</v>
      </c>
      <c r="C274" s="20">
        <v>24008.0</v>
      </c>
      <c r="D274" s="19" t="str">
        <f t="shared" si="1"/>
        <v> </v>
      </c>
      <c r="E274" s="19" t="str">
        <f t="shared" si="2"/>
        <v> </v>
      </c>
      <c r="F274" s="21"/>
    </row>
    <row r="275">
      <c r="A275" s="19">
        <v>9834.0</v>
      </c>
      <c r="B275" s="19" t="s">
        <v>311</v>
      </c>
      <c r="C275" s="20">
        <v>23212.0</v>
      </c>
      <c r="D275" s="19" t="str">
        <f t="shared" si="1"/>
        <v> </v>
      </c>
      <c r="E275" s="19" t="str">
        <f t="shared" si="2"/>
        <v> </v>
      </c>
      <c r="F275" s="21"/>
    </row>
    <row r="276">
      <c r="A276" s="19">
        <v>9838.0</v>
      </c>
      <c r="B276" s="19" t="s">
        <v>312</v>
      </c>
      <c r="C276" s="20">
        <v>27927.0</v>
      </c>
      <c r="D276" s="19" t="str">
        <f t="shared" si="1"/>
        <v> </v>
      </c>
      <c r="E276" s="19" t="str">
        <f t="shared" si="2"/>
        <v> </v>
      </c>
      <c r="F276" s="21"/>
    </row>
    <row r="277">
      <c r="A277" s="19">
        <v>9839.0</v>
      </c>
      <c r="B277" s="19" t="s">
        <v>313</v>
      </c>
      <c r="C277" s="20">
        <v>25968.0</v>
      </c>
      <c r="D277" s="19" t="str">
        <f t="shared" si="1"/>
        <v> </v>
      </c>
      <c r="E277" s="19" t="str">
        <f t="shared" si="2"/>
        <v> </v>
      </c>
      <c r="F277" s="21"/>
    </row>
    <row r="278">
      <c r="A278" s="19">
        <v>9840.0</v>
      </c>
      <c r="B278" s="19" t="s">
        <v>314</v>
      </c>
      <c r="C278" s="20">
        <v>21928.0</v>
      </c>
      <c r="D278" s="19" t="str">
        <f t="shared" si="1"/>
        <v> </v>
      </c>
      <c r="E278" s="19" t="str">
        <f t="shared" si="2"/>
        <v> </v>
      </c>
      <c r="F278" s="21"/>
    </row>
    <row r="279">
      <c r="A279" s="19">
        <v>9845.0</v>
      </c>
      <c r="B279" s="19" t="s">
        <v>315</v>
      </c>
      <c r="C279" s="20">
        <v>16458.0</v>
      </c>
      <c r="D279" s="19" t="str">
        <f t="shared" si="1"/>
        <v> </v>
      </c>
      <c r="E279" s="19" t="str">
        <f t="shared" si="2"/>
        <v> </v>
      </c>
      <c r="F279" s="21"/>
    </row>
    <row r="280">
      <c r="A280" s="19">
        <v>9846.0</v>
      </c>
      <c r="B280" s="19" t="s">
        <v>316</v>
      </c>
      <c r="C280" s="20">
        <v>25384.0</v>
      </c>
      <c r="D280" s="19" t="str">
        <f t="shared" si="1"/>
        <v> </v>
      </c>
      <c r="E280" s="19" t="str">
        <f t="shared" si="2"/>
        <v> </v>
      </c>
      <c r="F280" s="21"/>
    </row>
    <row r="281">
      <c r="A281" s="19">
        <v>9847.0</v>
      </c>
      <c r="B281" s="19" t="s">
        <v>317</v>
      </c>
      <c r="C281" s="20">
        <v>15510.0</v>
      </c>
      <c r="D281" s="19" t="str">
        <f t="shared" si="1"/>
        <v> </v>
      </c>
      <c r="E281" s="19" t="str">
        <f t="shared" si="2"/>
        <v> </v>
      </c>
      <c r="F281" s="21"/>
    </row>
    <row r="282">
      <c r="A282" s="19">
        <v>9849.0</v>
      </c>
      <c r="B282" s="19" t="s">
        <v>318</v>
      </c>
      <c r="C282" s="20">
        <v>34711.0</v>
      </c>
      <c r="D282" s="19" t="str">
        <f t="shared" si="1"/>
        <v> </v>
      </c>
      <c r="E282" s="19" t="str">
        <f t="shared" si="2"/>
        <v> </v>
      </c>
      <c r="F282" s="21"/>
    </row>
    <row r="283">
      <c r="A283" s="19">
        <v>9850.0</v>
      </c>
      <c r="B283" s="19" t="s">
        <v>319</v>
      </c>
      <c r="C283" s="20">
        <v>11145.0</v>
      </c>
      <c r="D283" s="19" t="str">
        <f t="shared" si="1"/>
        <v> </v>
      </c>
      <c r="E283" s="19" t="str">
        <f t="shared" si="2"/>
        <v> </v>
      </c>
      <c r="F283" s="21"/>
    </row>
    <row r="284">
      <c r="A284" s="19">
        <v>9853.0</v>
      </c>
      <c r="B284" s="19" t="s">
        <v>320</v>
      </c>
      <c r="C284" s="20">
        <v>23125.0</v>
      </c>
      <c r="D284" s="19" t="str">
        <f t="shared" si="1"/>
        <v> </v>
      </c>
      <c r="E284" s="19" t="str">
        <f t="shared" si="2"/>
        <v> </v>
      </c>
      <c r="F284" s="21"/>
    </row>
    <row r="285">
      <c r="A285" s="19">
        <v>9854.0</v>
      </c>
      <c r="B285" s="19" t="s">
        <v>321</v>
      </c>
      <c r="C285" s="20">
        <v>21614.0</v>
      </c>
      <c r="D285" s="19" t="str">
        <f t="shared" si="1"/>
        <v> </v>
      </c>
      <c r="E285" s="19" t="str">
        <f t="shared" si="2"/>
        <v> </v>
      </c>
      <c r="F285" s="21"/>
    </row>
    <row r="286">
      <c r="A286" s="19">
        <v>9856.0</v>
      </c>
      <c r="B286" s="19" t="s">
        <v>322</v>
      </c>
      <c r="C286" s="20">
        <v>13655.0</v>
      </c>
      <c r="D286" s="19" t="str">
        <f t="shared" si="1"/>
        <v> </v>
      </c>
      <c r="E286" s="19" t="str">
        <f t="shared" si="2"/>
        <v> </v>
      </c>
      <c r="F286" s="21"/>
    </row>
    <row r="287">
      <c r="A287" s="19">
        <v>9857.0</v>
      </c>
      <c r="B287" s="19" t="s">
        <v>323</v>
      </c>
      <c r="C287" s="20">
        <v>20960.0</v>
      </c>
      <c r="D287" s="19" t="str">
        <f t="shared" si="1"/>
        <v> </v>
      </c>
      <c r="E287" s="19" t="str">
        <f t="shared" si="2"/>
        <v> </v>
      </c>
      <c r="F287" s="21"/>
    </row>
    <row r="288">
      <c r="A288" s="19">
        <v>9858.0</v>
      </c>
      <c r="B288" s="19" t="s">
        <v>324</v>
      </c>
      <c r="C288" s="20">
        <v>13270.0</v>
      </c>
      <c r="D288" s="19" t="str">
        <f t="shared" si="1"/>
        <v> </v>
      </c>
      <c r="E288" s="19" t="str">
        <f t="shared" si="2"/>
        <v> </v>
      </c>
      <c r="F288" s="21"/>
    </row>
    <row r="289">
      <c r="A289" s="19">
        <v>9861.0</v>
      </c>
      <c r="B289" s="19" t="s">
        <v>325</v>
      </c>
      <c r="C289" s="20">
        <v>22756.0</v>
      </c>
      <c r="D289" s="19" t="str">
        <f t="shared" si="1"/>
        <v> </v>
      </c>
      <c r="E289" s="19" t="str">
        <f t="shared" si="2"/>
        <v> </v>
      </c>
      <c r="F289" s="21"/>
    </row>
    <row r="290">
      <c r="A290" s="19">
        <v>9862.0</v>
      </c>
      <c r="B290" s="19" t="s">
        <v>326</v>
      </c>
      <c r="C290" s="20">
        <v>18805.0</v>
      </c>
      <c r="D290" s="19" t="str">
        <f t="shared" si="1"/>
        <v> </v>
      </c>
      <c r="E290" s="19" t="str">
        <f t="shared" si="2"/>
        <v> </v>
      </c>
      <c r="F290" s="21"/>
    </row>
    <row r="291">
      <c r="A291" s="19">
        <v>9863.0</v>
      </c>
      <c r="B291" s="19" t="s">
        <v>327</v>
      </c>
      <c r="C291" s="20">
        <v>17578.0</v>
      </c>
      <c r="D291" s="19" t="str">
        <f t="shared" si="1"/>
        <v> </v>
      </c>
      <c r="E291" s="19" t="str">
        <f t="shared" si="2"/>
        <v> </v>
      </c>
      <c r="F291" s="21"/>
    </row>
    <row r="292">
      <c r="A292" s="19">
        <v>9868.0</v>
      </c>
      <c r="B292" s="19" t="s">
        <v>328</v>
      </c>
      <c r="C292" s="20">
        <v>23500.0</v>
      </c>
      <c r="D292" s="19" t="str">
        <f t="shared" si="1"/>
        <v> </v>
      </c>
      <c r="E292" s="19" t="str">
        <f t="shared" si="2"/>
        <v> </v>
      </c>
      <c r="F292" s="21"/>
    </row>
    <row r="293">
      <c r="A293" s="19">
        <v>9874.0</v>
      </c>
      <c r="B293" s="19" t="s">
        <v>329</v>
      </c>
      <c r="C293" s="20">
        <v>15369.0</v>
      </c>
      <c r="D293" s="19" t="str">
        <f t="shared" si="1"/>
        <v> </v>
      </c>
      <c r="E293" s="19" t="str">
        <f t="shared" si="2"/>
        <v> </v>
      </c>
      <c r="F293" s="21"/>
    </row>
    <row r="294">
      <c r="A294" s="19">
        <v>9876.0</v>
      </c>
      <c r="B294" s="19" t="s">
        <v>330</v>
      </c>
      <c r="C294" s="20">
        <v>17633.0</v>
      </c>
      <c r="D294" s="19" t="str">
        <f t="shared" si="1"/>
        <v> </v>
      </c>
      <c r="E294" s="19" t="str">
        <f t="shared" si="2"/>
        <v> </v>
      </c>
      <c r="F294" s="21"/>
    </row>
    <row r="295">
      <c r="A295" s="19">
        <v>9878.0</v>
      </c>
      <c r="B295" s="19" t="s">
        <v>331</v>
      </c>
      <c r="C295" s="20">
        <v>26966.0</v>
      </c>
      <c r="D295" s="19" t="str">
        <f t="shared" si="1"/>
        <v> </v>
      </c>
      <c r="E295" s="19" t="str">
        <f t="shared" si="2"/>
        <v> </v>
      </c>
      <c r="F295" s="21"/>
    </row>
    <row r="296">
      <c r="A296" s="19">
        <v>9879.0</v>
      </c>
      <c r="B296" s="19" t="s">
        <v>332</v>
      </c>
      <c r="C296" s="20">
        <v>15426.0</v>
      </c>
      <c r="D296" s="19" t="str">
        <f t="shared" si="1"/>
        <v> </v>
      </c>
      <c r="E296" s="19" t="str">
        <f t="shared" si="2"/>
        <v> </v>
      </c>
      <c r="F296" s="21"/>
    </row>
    <row r="297">
      <c r="A297" s="19">
        <v>9884.0</v>
      </c>
      <c r="B297" s="19" t="s">
        <v>333</v>
      </c>
      <c r="C297" s="20">
        <v>27245.0</v>
      </c>
      <c r="D297" s="19" t="str">
        <f t="shared" si="1"/>
        <v> </v>
      </c>
      <c r="E297" s="19" t="str">
        <f t="shared" si="2"/>
        <v> </v>
      </c>
      <c r="F297" s="21"/>
    </row>
    <row r="298">
      <c r="A298" s="19">
        <v>9886.0</v>
      </c>
      <c r="B298" s="19" t="s">
        <v>334</v>
      </c>
      <c r="C298" s="20">
        <v>17931.0</v>
      </c>
      <c r="D298" s="19" t="str">
        <f t="shared" si="1"/>
        <v> </v>
      </c>
      <c r="E298" s="19" t="str">
        <f t="shared" si="2"/>
        <v> </v>
      </c>
      <c r="F298" s="21"/>
    </row>
    <row r="299">
      <c r="A299" s="19">
        <v>9892.0</v>
      </c>
      <c r="B299" s="19" t="s">
        <v>335</v>
      </c>
      <c r="C299" s="20">
        <v>24543.0</v>
      </c>
      <c r="D299" s="19" t="str">
        <f t="shared" si="1"/>
        <v> </v>
      </c>
      <c r="E299" s="19" t="str">
        <f t="shared" si="2"/>
        <v> </v>
      </c>
      <c r="F299" s="21"/>
    </row>
    <row r="300">
      <c r="A300" s="19">
        <v>9896.0</v>
      </c>
      <c r="B300" s="19" t="s">
        <v>336</v>
      </c>
      <c r="C300" s="20">
        <v>26782.0</v>
      </c>
      <c r="D300" s="19" t="str">
        <f t="shared" si="1"/>
        <v> </v>
      </c>
      <c r="E300" s="19" t="str">
        <f t="shared" si="2"/>
        <v> </v>
      </c>
      <c r="F300" s="21"/>
    </row>
    <row r="301">
      <c r="A301" s="19">
        <v>9897.0</v>
      </c>
      <c r="B301" s="19" t="s">
        <v>337</v>
      </c>
      <c r="C301" s="20">
        <v>20744.0</v>
      </c>
      <c r="D301" s="19" t="str">
        <f t="shared" si="1"/>
        <v> </v>
      </c>
      <c r="E301" s="19" t="str">
        <f t="shared" si="2"/>
        <v> </v>
      </c>
      <c r="F301" s="21"/>
    </row>
    <row r="302">
      <c r="A302" s="19">
        <v>9903.0</v>
      </c>
      <c r="B302" s="19" t="s">
        <v>338</v>
      </c>
      <c r="C302" s="20">
        <v>30671.0</v>
      </c>
      <c r="D302" s="19" t="str">
        <f t="shared" si="1"/>
        <v> </v>
      </c>
      <c r="E302" s="19" t="str">
        <f t="shared" si="2"/>
        <v> </v>
      </c>
      <c r="F302" s="21"/>
    </row>
    <row r="303">
      <c r="A303" s="19">
        <v>9909.0</v>
      </c>
      <c r="B303" s="19" t="s">
        <v>339</v>
      </c>
      <c r="C303" s="20">
        <v>22143.0</v>
      </c>
      <c r="D303" s="19" t="str">
        <f t="shared" si="1"/>
        <v> </v>
      </c>
      <c r="E303" s="19" t="str">
        <f t="shared" si="2"/>
        <v> </v>
      </c>
      <c r="F303" s="21"/>
    </row>
    <row r="304">
      <c r="A304" s="19">
        <v>9915.0</v>
      </c>
      <c r="B304" s="19" t="s">
        <v>340</v>
      </c>
      <c r="C304" s="20">
        <v>21615.0</v>
      </c>
      <c r="D304" s="19" t="str">
        <f t="shared" si="1"/>
        <v> </v>
      </c>
      <c r="E304" s="19" t="str">
        <f t="shared" si="2"/>
        <v> </v>
      </c>
      <c r="F304" s="21"/>
    </row>
    <row r="305">
      <c r="A305" s="19">
        <v>9918.0</v>
      </c>
      <c r="B305" s="19" t="s">
        <v>341</v>
      </c>
      <c r="C305" s="20">
        <v>19828.0</v>
      </c>
      <c r="D305" s="19" t="str">
        <f t="shared" si="1"/>
        <v> </v>
      </c>
      <c r="E305" s="19" t="str">
        <f t="shared" si="2"/>
        <v> </v>
      </c>
      <c r="F305" s="21"/>
    </row>
    <row r="306">
      <c r="A306" s="19">
        <v>9919.0</v>
      </c>
      <c r="B306" s="19" t="s">
        <v>342</v>
      </c>
      <c r="C306" s="20">
        <v>23783.0</v>
      </c>
      <c r="D306" s="19" t="str">
        <f t="shared" si="1"/>
        <v> </v>
      </c>
      <c r="E306" s="19" t="str">
        <f t="shared" si="2"/>
        <v> </v>
      </c>
      <c r="F306" s="21"/>
    </row>
    <row r="307">
      <c r="A307" s="19">
        <v>9921.0</v>
      </c>
      <c r="B307" s="19" t="s">
        <v>343</v>
      </c>
      <c r="C307" s="20">
        <v>28905.0</v>
      </c>
      <c r="D307" s="19" t="str">
        <f t="shared" si="1"/>
        <v> </v>
      </c>
      <c r="E307" s="19" t="str">
        <f t="shared" si="2"/>
        <v> </v>
      </c>
      <c r="F307" s="21"/>
    </row>
    <row r="308">
      <c r="A308" s="19">
        <v>9929.0</v>
      </c>
      <c r="B308" s="19" t="s">
        <v>344</v>
      </c>
      <c r="C308" s="20">
        <v>28475.0</v>
      </c>
      <c r="D308" s="19" t="str">
        <f t="shared" si="1"/>
        <v> </v>
      </c>
      <c r="E308" s="19" t="str">
        <f t="shared" si="2"/>
        <v> </v>
      </c>
      <c r="F308" s="21"/>
    </row>
    <row r="309">
      <c r="A309" s="19">
        <v>9930.0</v>
      </c>
      <c r="B309" s="19" t="s">
        <v>345</v>
      </c>
      <c r="C309" s="20">
        <v>20329.0</v>
      </c>
      <c r="D309" s="19" t="str">
        <f t="shared" si="1"/>
        <v> </v>
      </c>
      <c r="E309" s="19" t="str">
        <f t="shared" si="2"/>
        <v> </v>
      </c>
      <c r="F309" s="21"/>
    </row>
    <row r="310">
      <c r="A310" s="19">
        <v>9938.0</v>
      </c>
      <c r="B310" s="19" t="s">
        <v>346</v>
      </c>
      <c r="C310" s="20">
        <v>25985.0</v>
      </c>
      <c r="D310" s="19" t="str">
        <f t="shared" si="1"/>
        <v> </v>
      </c>
      <c r="E310" s="19" t="str">
        <f t="shared" si="2"/>
        <v> </v>
      </c>
      <c r="F310" s="21"/>
    </row>
    <row r="311">
      <c r="A311" s="19">
        <v>9945.0</v>
      </c>
      <c r="B311" s="19" t="s">
        <v>347</v>
      </c>
      <c r="C311" s="20">
        <v>21443.0</v>
      </c>
      <c r="D311" s="19" t="str">
        <f t="shared" si="1"/>
        <v> </v>
      </c>
      <c r="E311" s="19" t="str">
        <f t="shared" si="2"/>
        <v>Repeat</v>
      </c>
      <c r="F311" s="21"/>
    </row>
    <row r="312">
      <c r="A312" s="19">
        <v>9950.0</v>
      </c>
      <c r="B312" s="19" t="s">
        <v>348</v>
      </c>
      <c r="C312" s="20">
        <v>31754.0</v>
      </c>
      <c r="D312" s="19" t="str">
        <f t="shared" si="1"/>
        <v> </v>
      </c>
      <c r="E312" s="19" t="str">
        <f t="shared" si="2"/>
        <v> </v>
      </c>
      <c r="F312" s="21"/>
    </row>
    <row r="313">
      <c r="A313" s="19">
        <v>9957.0</v>
      </c>
      <c r="B313" s="19" t="s">
        <v>349</v>
      </c>
      <c r="C313" s="20">
        <v>18709.0</v>
      </c>
      <c r="D313" s="19" t="str">
        <f t="shared" si="1"/>
        <v> </v>
      </c>
      <c r="E313" s="19" t="str">
        <f t="shared" si="2"/>
        <v> </v>
      </c>
      <c r="F313" s="21"/>
    </row>
    <row r="314">
      <c r="A314" s="19">
        <v>9958.0</v>
      </c>
      <c r="B314" s="19" t="s">
        <v>350</v>
      </c>
      <c r="C314" s="20">
        <v>28272.0</v>
      </c>
      <c r="D314" s="19" t="str">
        <f t="shared" si="1"/>
        <v> </v>
      </c>
      <c r="E314" s="19" t="str">
        <f t="shared" si="2"/>
        <v> </v>
      </c>
      <c r="F314" s="21"/>
    </row>
    <row r="315">
      <c r="A315" s="19">
        <v>9961.0</v>
      </c>
      <c r="B315" s="19" t="s">
        <v>351</v>
      </c>
      <c r="C315" s="20">
        <v>17793.0</v>
      </c>
      <c r="D315" s="19" t="str">
        <f t="shared" si="1"/>
        <v> </v>
      </c>
      <c r="E315" s="19" t="str">
        <f t="shared" si="2"/>
        <v> </v>
      </c>
      <c r="F315" s="21"/>
    </row>
    <row r="316">
      <c r="A316" s="19">
        <v>9965.0</v>
      </c>
      <c r="B316" s="19" t="s">
        <v>352</v>
      </c>
      <c r="C316" s="20">
        <v>23819.0</v>
      </c>
      <c r="D316" s="19" t="str">
        <f t="shared" si="1"/>
        <v> </v>
      </c>
      <c r="E316" s="19" t="str">
        <f t="shared" si="2"/>
        <v> </v>
      </c>
      <c r="F316" s="21"/>
    </row>
    <row r="317">
      <c r="A317" s="19">
        <v>9966.0</v>
      </c>
      <c r="B317" s="19" t="s">
        <v>353</v>
      </c>
      <c r="C317" s="20">
        <v>20414.0</v>
      </c>
      <c r="D317" s="19" t="str">
        <f t="shared" si="1"/>
        <v> </v>
      </c>
      <c r="E317" s="19" t="str">
        <f t="shared" si="2"/>
        <v> </v>
      </c>
      <c r="F317" s="21"/>
    </row>
    <row r="318">
      <c r="A318" s="19">
        <v>9967.0</v>
      </c>
      <c r="B318" s="19" t="s">
        <v>354</v>
      </c>
      <c r="C318" s="20">
        <v>27629.0</v>
      </c>
      <c r="D318" s="19" t="str">
        <f t="shared" si="1"/>
        <v> </v>
      </c>
      <c r="E318" s="19" t="str">
        <f t="shared" si="2"/>
        <v> </v>
      </c>
      <c r="F318" s="21"/>
    </row>
    <row r="319">
      <c r="A319" s="19">
        <v>9968.0</v>
      </c>
      <c r="B319" s="19" t="s">
        <v>355</v>
      </c>
      <c r="C319" s="20">
        <v>29042.0</v>
      </c>
      <c r="D319" s="19" t="str">
        <f t="shared" si="1"/>
        <v> </v>
      </c>
      <c r="E319" s="19" t="str">
        <f t="shared" si="2"/>
        <v> </v>
      </c>
      <c r="F319" s="21"/>
    </row>
    <row r="320">
      <c r="A320" s="19">
        <v>9971.0</v>
      </c>
      <c r="B320" s="19" t="s">
        <v>356</v>
      </c>
      <c r="C320" s="20">
        <v>21774.0</v>
      </c>
      <c r="D320" s="19" t="str">
        <f t="shared" si="1"/>
        <v> </v>
      </c>
      <c r="E320" s="19" t="str">
        <f t="shared" si="2"/>
        <v> </v>
      </c>
      <c r="F320" s="21"/>
    </row>
    <row r="321">
      <c r="A321" s="19">
        <v>9973.0</v>
      </c>
      <c r="B321" s="19" t="s">
        <v>357</v>
      </c>
      <c r="C321" s="20">
        <v>20345.0</v>
      </c>
      <c r="D321" s="19" t="str">
        <f t="shared" si="1"/>
        <v> </v>
      </c>
      <c r="E321" s="19" t="str">
        <f t="shared" si="2"/>
        <v> </v>
      </c>
      <c r="F321" s="21"/>
    </row>
    <row r="322">
      <c r="A322" s="19">
        <v>9975.0</v>
      </c>
      <c r="B322" s="19" t="s">
        <v>358</v>
      </c>
      <c r="C322" s="20">
        <v>25010.0</v>
      </c>
      <c r="D322" s="19" t="str">
        <f t="shared" si="1"/>
        <v> </v>
      </c>
      <c r="E322" s="19" t="str">
        <f t="shared" si="2"/>
        <v> </v>
      </c>
      <c r="F322" s="21"/>
    </row>
    <row r="323">
      <c r="A323" s="19">
        <v>9976.0</v>
      </c>
      <c r="B323" s="19" t="s">
        <v>359</v>
      </c>
      <c r="C323" s="20">
        <v>19321.0</v>
      </c>
      <c r="D323" s="19" t="str">
        <f t="shared" si="1"/>
        <v> </v>
      </c>
      <c r="E323" s="19" t="str">
        <f t="shared" si="2"/>
        <v> </v>
      </c>
      <c r="F323" s="21"/>
    </row>
    <row r="324">
      <c r="A324" s="19">
        <v>9979.0</v>
      </c>
      <c r="B324" s="19" t="s">
        <v>360</v>
      </c>
      <c r="C324" s="20">
        <v>16425.0</v>
      </c>
      <c r="D324" s="19" t="str">
        <f t="shared" si="1"/>
        <v> </v>
      </c>
      <c r="E324" s="19" t="str">
        <f t="shared" si="2"/>
        <v> </v>
      </c>
      <c r="F324" s="21"/>
    </row>
    <row r="325">
      <c r="A325" s="19">
        <v>9984.0</v>
      </c>
      <c r="B325" s="19" t="s">
        <v>361</v>
      </c>
      <c r="C325" s="20">
        <v>20969.0</v>
      </c>
      <c r="D325" s="19" t="str">
        <f t="shared" si="1"/>
        <v>Repeat</v>
      </c>
      <c r="E325" s="19" t="str">
        <f t="shared" si="2"/>
        <v> </v>
      </c>
      <c r="F325" s="21"/>
    </row>
    <row r="326">
      <c r="A326" s="19">
        <v>9986.0</v>
      </c>
      <c r="B326" s="19" t="s">
        <v>362</v>
      </c>
      <c r="C326" s="20">
        <v>28617.0</v>
      </c>
      <c r="D326" s="19" t="str">
        <f t="shared" si="1"/>
        <v> </v>
      </c>
      <c r="E326" s="19" t="str">
        <f t="shared" si="2"/>
        <v> </v>
      </c>
      <c r="F326" s="21"/>
    </row>
    <row r="327">
      <c r="A327" s="19">
        <v>9987.0</v>
      </c>
      <c r="B327" s="19" t="s">
        <v>363</v>
      </c>
      <c r="C327" s="20">
        <v>25661.0</v>
      </c>
      <c r="D327" s="19" t="str">
        <f t="shared" si="1"/>
        <v> </v>
      </c>
      <c r="E327" s="19" t="str">
        <f t="shared" si="2"/>
        <v> </v>
      </c>
      <c r="F327" s="21"/>
    </row>
    <row r="328">
      <c r="A328" s="19">
        <v>9991.0</v>
      </c>
      <c r="B328" s="19" t="s">
        <v>364</v>
      </c>
      <c r="C328" s="20">
        <v>22415.0</v>
      </c>
      <c r="D328" s="19" t="str">
        <f t="shared" si="1"/>
        <v> </v>
      </c>
      <c r="E328" s="19" t="str">
        <f t="shared" si="2"/>
        <v> </v>
      </c>
      <c r="F328" s="21"/>
    </row>
    <row r="329">
      <c r="A329" s="19">
        <v>9995.0</v>
      </c>
      <c r="B329" s="19" t="s">
        <v>365</v>
      </c>
      <c r="C329" s="20">
        <v>25122.0</v>
      </c>
      <c r="D329" s="19" t="str">
        <f t="shared" si="1"/>
        <v> </v>
      </c>
      <c r="E329" s="19" t="str">
        <f t="shared" si="2"/>
        <v> </v>
      </c>
      <c r="F329" s="21"/>
    </row>
    <row r="330">
      <c r="A330" s="19">
        <v>10001.0</v>
      </c>
      <c r="B330" s="19" t="s">
        <v>366</v>
      </c>
      <c r="C330" s="20">
        <v>16357.0</v>
      </c>
      <c r="D330" s="19" t="str">
        <f t="shared" si="1"/>
        <v> </v>
      </c>
      <c r="E330" s="19" t="str">
        <f t="shared" si="2"/>
        <v> </v>
      </c>
      <c r="F330" s="21"/>
    </row>
    <row r="331">
      <c r="A331" s="19">
        <v>10003.0</v>
      </c>
      <c r="B331" s="19" t="s">
        <v>367</v>
      </c>
      <c r="C331" s="20">
        <v>17511.0</v>
      </c>
      <c r="D331" s="19" t="str">
        <f t="shared" si="1"/>
        <v> </v>
      </c>
      <c r="E331" s="19" t="str">
        <f t="shared" si="2"/>
        <v> </v>
      </c>
      <c r="F331" s="21"/>
    </row>
    <row r="332">
      <c r="A332" s="19">
        <v>10010.0</v>
      </c>
      <c r="B332" s="19" t="s">
        <v>368</v>
      </c>
      <c r="C332" s="20">
        <v>17232.0</v>
      </c>
      <c r="D332" s="19" t="str">
        <f t="shared" si="1"/>
        <v> </v>
      </c>
      <c r="E332" s="19" t="str">
        <f t="shared" si="2"/>
        <v> </v>
      </c>
      <c r="F332" s="21"/>
    </row>
    <row r="333">
      <c r="A333" s="19">
        <v>10011.0</v>
      </c>
      <c r="B333" s="19" t="s">
        <v>369</v>
      </c>
      <c r="C333" s="20">
        <v>30920.0</v>
      </c>
      <c r="D333" s="19" t="str">
        <f t="shared" si="1"/>
        <v> </v>
      </c>
      <c r="E333" s="19" t="str">
        <f t="shared" si="2"/>
        <v> </v>
      </c>
      <c r="F333" s="21"/>
    </row>
    <row r="334">
      <c r="A334" s="19">
        <v>10012.0</v>
      </c>
      <c r="B334" s="19" t="s">
        <v>370</v>
      </c>
      <c r="C334" s="20">
        <v>22936.0</v>
      </c>
      <c r="D334" s="19" t="str">
        <f t="shared" si="1"/>
        <v> </v>
      </c>
      <c r="E334" s="19" t="str">
        <f t="shared" si="2"/>
        <v> </v>
      </c>
      <c r="F334" s="21"/>
    </row>
    <row r="335">
      <c r="A335" s="19">
        <v>10014.0</v>
      </c>
      <c r="B335" s="19" t="s">
        <v>371</v>
      </c>
      <c r="C335" s="20">
        <v>34238.0</v>
      </c>
      <c r="D335" s="19" t="str">
        <f t="shared" si="1"/>
        <v> </v>
      </c>
      <c r="E335" s="19" t="str">
        <f t="shared" si="2"/>
        <v> </v>
      </c>
      <c r="F335" s="21"/>
    </row>
    <row r="336">
      <c r="A336" s="19">
        <v>10015.0</v>
      </c>
      <c r="B336" s="19" t="s">
        <v>372</v>
      </c>
      <c r="C336" s="20">
        <v>20741.0</v>
      </c>
      <c r="D336" s="19" t="str">
        <f t="shared" si="1"/>
        <v> </v>
      </c>
      <c r="E336" s="19" t="str">
        <f t="shared" si="2"/>
        <v> </v>
      </c>
      <c r="F336" s="21"/>
    </row>
    <row r="337">
      <c r="A337" s="19">
        <v>10016.0</v>
      </c>
      <c r="B337" s="19" t="s">
        <v>373</v>
      </c>
      <c r="C337" s="20">
        <v>28044.0</v>
      </c>
      <c r="D337" s="19" t="str">
        <f t="shared" si="1"/>
        <v> </v>
      </c>
      <c r="E337" s="19" t="str">
        <f t="shared" si="2"/>
        <v> </v>
      </c>
      <c r="F337" s="21"/>
    </row>
    <row r="338">
      <c r="A338" s="19">
        <v>10021.0</v>
      </c>
      <c r="B338" s="19" t="s">
        <v>374</v>
      </c>
      <c r="C338" s="20">
        <v>18787.0</v>
      </c>
      <c r="D338" s="19" t="str">
        <f t="shared" si="1"/>
        <v> </v>
      </c>
      <c r="E338" s="19" t="str">
        <f t="shared" si="2"/>
        <v> </v>
      </c>
      <c r="F338" s="21"/>
    </row>
    <row r="339">
      <c r="A339" s="19">
        <v>10022.0</v>
      </c>
      <c r="B339" s="19" t="s">
        <v>375</v>
      </c>
      <c r="C339" s="20">
        <v>18051.0</v>
      </c>
      <c r="D339" s="19" t="str">
        <f t="shared" si="1"/>
        <v> </v>
      </c>
      <c r="E339" s="19" t="str">
        <f t="shared" si="2"/>
        <v> </v>
      </c>
      <c r="F339" s="21"/>
    </row>
    <row r="340">
      <c r="A340" s="19">
        <v>10023.0</v>
      </c>
      <c r="B340" s="19" t="s">
        <v>376</v>
      </c>
      <c r="C340" s="20">
        <v>17761.0</v>
      </c>
      <c r="D340" s="19" t="str">
        <f t="shared" si="1"/>
        <v> </v>
      </c>
      <c r="E340" s="19" t="str">
        <f t="shared" si="2"/>
        <v> </v>
      </c>
      <c r="F340" s="21"/>
    </row>
    <row r="341">
      <c r="A341" s="19">
        <v>10024.0</v>
      </c>
      <c r="B341" s="19" t="s">
        <v>377</v>
      </c>
      <c r="C341" s="20">
        <v>29045.0</v>
      </c>
      <c r="D341" s="19" t="str">
        <f t="shared" si="1"/>
        <v> </v>
      </c>
      <c r="E341" s="19" t="str">
        <f t="shared" si="2"/>
        <v> </v>
      </c>
      <c r="F341" s="21"/>
    </row>
    <row r="342">
      <c r="A342" s="19">
        <v>10025.0</v>
      </c>
      <c r="B342" s="19" t="s">
        <v>378</v>
      </c>
      <c r="C342" s="20">
        <v>21272.0</v>
      </c>
      <c r="D342" s="19" t="str">
        <f t="shared" si="1"/>
        <v> </v>
      </c>
      <c r="E342" s="19" t="str">
        <f t="shared" si="2"/>
        <v> </v>
      </c>
      <c r="F342" s="21"/>
    </row>
    <row r="343">
      <c r="A343" s="19">
        <v>10027.0</v>
      </c>
      <c r="B343" s="19" t="s">
        <v>379</v>
      </c>
      <c r="C343" s="20">
        <v>15074.0</v>
      </c>
      <c r="D343" s="19" t="str">
        <f t="shared" si="1"/>
        <v> </v>
      </c>
      <c r="E343" s="19" t="str">
        <f t="shared" si="2"/>
        <v> </v>
      </c>
      <c r="F343" s="21"/>
    </row>
    <row r="344">
      <c r="A344" s="19">
        <v>10028.0</v>
      </c>
      <c r="B344" s="19" t="s">
        <v>380</v>
      </c>
      <c r="C344" s="20">
        <v>28198.0</v>
      </c>
      <c r="D344" s="19" t="str">
        <f t="shared" si="1"/>
        <v> </v>
      </c>
      <c r="E344" s="19" t="str">
        <f t="shared" si="2"/>
        <v> </v>
      </c>
      <c r="F344" s="21"/>
    </row>
    <row r="345">
      <c r="A345" s="19">
        <v>10030.0</v>
      </c>
      <c r="B345" s="19" t="s">
        <v>381</v>
      </c>
      <c r="C345" s="20">
        <v>28740.0</v>
      </c>
      <c r="D345" s="19" t="str">
        <f t="shared" si="1"/>
        <v> </v>
      </c>
      <c r="E345" s="19" t="str">
        <f t="shared" si="2"/>
        <v> </v>
      </c>
      <c r="F345" s="21"/>
    </row>
    <row r="346">
      <c r="A346" s="19">
        <v>10031.0</v>
      </c>
      <c r="B346" s="19" t="s">
        <v>382</v>
      </c>
      <c r="C346" s="20">
        <v>17004.0</v>
      </c>
      <c r="D346" s="19" t="str">
        <f t="shared" si="1"/>
        <v> </v>
      </c>
      <c r="E346" s="19" t="str">
        <f t="shared" si="2"/>
        <v> </v>
      </c>
      <c r="F346" s="21"/>
    </row>
    <row r="347">
      <c r="A347" s="19">
        <v>10033.0</v>
      </c>
      <c r="B347" s="19" t="s">
        <v>383</v>
      </c>
      <c r="C347" s="20">
        <v>20237.0</v>
      </c>
      <c r="D347" s="19" t="str">
        <f t="shared" si="1"/>
        <v> </v>
      </c>
      <c r="E347" s="19" t="str">
        <f t="shared" si="2"/>
        <v> </v>
      </c>
      <c r="F347" s="21"/>
    </row>
    <row r="348">
      <c r="A348" s="19">
        <v>10034.0</v>
      </c>
      <c r="B348" s="19" t="s">
        <v>384</v>
      </c>
      <c r="C348" s="20">
        <v>15966.0</v>
      </c>
      <c r="D348" s="19" t="str">
        <f t="shared" si="1"/>
        <v> </v>
      </c>
      <c r="E348" s="19" t="str">
        <f t="shared" si="2"/>
        <v> </v>
      </c>
      <c r="F348" s="21"/>
    </row>
    <row r="349">
      <c r="A349" s="19">
        <v>10036.0</v>
      </c>
      <c r="B349" s="19" t="s">
        <v>385</v>
      </c>
      <c r="C349" s="20">
        <v>25546.0</v>
      </c>
      <c r="D349" s="19" t="str">
        <f t="shared" si="1"/>
        <v> </v>
      </c>
      <c r="E349" s="19" t="str">
        <f t="shared" si="2"/>
        <v> </v>
      </c>
      <c r="F349" s="21"/>
    </row>
    <row r="350">
      <c r="A350" s="19">
        <v>10037.0</v>
      </c>
      <c r="B350" s="19" t="s">
        <v>386</v>
      </c>
      <c r="C350" s="20">
        <v>15616.0</v>
      </c>
      <c r="D350" s="19" t="str">
        <f t="shared" si="1"/>
        <v> </v>
      </c>
      <c r="E350" s="19" t="str">
        <f t="shared" si="2"/>
        <v> </v>
      </c>
      <c r="F350" s="21"/>
    </row>
    <row r="351">
      <c r="A351" s="19">
        <v>10039.0</v>
      </c>
      <c r="B351" s="19" t="s">
        <v>387</v>
      </c>
      <c r="C351" s="20">
        <v>25054.0</v>
      </c>
      <c r="D351" s="19" t="str">
        <f t="shared" si="1"/>
        <v> </v>
      </c>
      <c r="E351" s="19" t="str">
        <f t="shared" si="2"/>
        <v> </v>
      </c>
      <c r="F351" s="21"/>
    </row>
    <row r="352">
      <c r="A352" s="19">
        <v>10040.0</v>
      </c>
      <c r="B352" s="19" t="s">
        <v>388</v>
      </c>
      <c r="C352" s="20">
        <v>20306.0</v>
      </c>
      <c r="D352" s="19" t="str">
        <f t="shared" si="1"/>
        <v> </v>
      </c>
      <c r="E352" s="19" t="str">
        <f t="shared" si="2"/>
        <v> </v>
      </c>
      <c r="F352" s="21"/>
    </row>
    <row r="353">
      <c r="A353" s="19">
        <v>10044.0</v>
      </c>
      <c r="B353" s="19" t="s">
        <v>389</v>
      </c>
      <c r="C353" s="20">
        <v>30038.0</v>
      </c>
      <c r="D353" s="19" t="str">
        <f t="shared" si="1"/>
        <v> </v>
      </c>
      <c r="E353" s="19" t="str">
        <f t="shared" si="2"/>
        <v> </v>
      </c>
      <c r="F353" s="21"/>
    </row>
    <row r="354">
      <c r="A354" s="19">
        <v>10047.0</v>
      </c>
      <c r="B354" s="19" t="s">
        <v>390</v>
      </c>
      <c r="C354" s="20">
        <v>24501.0</v>
      </c>
      <c r="D354" s="19" t="str">
        <f t="shared" si="1"/>
        <v> </v>
      </c>
      <c r="E354" s="19" t="str">
        <f t="shared" si="2"/>
        <v> </v>
      </c>
      <c r="F354" s="21"/>
    </row>
    <row r="355">
      <c r="A355" s="19">
        <v>10049.0</v>
      </c>
      <c r="B355" s="19" t="s">
        <v>391</v>
      </c>
      <c r="C355" s="20">
        <v>20472.0</v>
      </c>
      <c r="D355" s="19" t="str">
        <f t="shared" si="1"/>
        <v> </v>
      </c>
      <c r="E355" s="19" t="str">
        <f t="shared" si="2"/>
        <v> </v>
      </c>
      <c r="F355" s="21"/>
    </row>
    <row r="356">
      <c r="A356" s="19">
        <v>10050.0</v>
      </c>
      <c r="B356" s="19" t="s">
        <v>392</v>
      </c>
      <c r="C356" s="20">
        <v>17254.0</v>
      </c>
      <c r="D356" s="19" t="str">
        <f t="shared" si="1"/>
        <v> </v>
      </c>
      <c r="E356" s="19" t="str">
        <f t="shared" si="2"/>
        <v> </v>
      </c>
      <c r="F356" s="21"/>
    </row>
    <row r="357">
      <c r="A357" s="19">
        <v>10055.0</v>
      </c>
      <c r="B357" s="19" t="s">
        <v>393</v>
      </c>
      <c r="C357" s="20">
        <v>22515.0</v>
      </c>
      <c r="D357" s="19" t="str">
        <f t="shared" si="1"/>
        <v> </v>
      </c>
      <c r="E357" s="19" t="str">
        <f t="shared" si="2"/>
        <v> </v>
      </c>
      <c r="F357" s="21"/>
    </row>
    <row r="358">
      <c r="A358" s="19">
        <v>10056.0</v>
      </c>
      <c r="B358" s="19" t="s">
        <v>394</v>
      </c>
      <c r="C358" s="20">
        <v>27676.0</v>
      </c>
      <c r="D358" s="19" t="str">
        <f t="shared" si="1"/>
        <v> </v>
      </c>
      <c r="E358" s="19" t="str">
        <f t="shared" si="2"/>
        <v> </v>
      </c>
      <c r="F358" s="21"/>
    </row>
    <row r="359">
      <c r="A359" s="19">
        <v>10058.0</v>
      </c>
      <c r="B359" s="19" t="s">
        <v>395</v>
      </c>
      <c r="C359" s="20">
        <v>23141.0</v>
      </c>
      <c r="D359" s="19" t="str">
        <f t="shared" si="1"/>
        <v> </v>
      </c>
      <c r="E359" s="19" t="str">
        <f t="shared" si="2"/>
        <v> </v>
      </c>
      <c r="F359" s="21"/>
    </row>
    <row r="360">
      <c r="A360" s="19">
        <v>10059.0</v>
      </c>
      <c r="B360" s="19" t="s">
        <v>396</v>
      </c>
      <c r="C360" s="20">
        <v>32778.0</v>
      </c>
      <c r="D360" s="19" t="str">
        <f t="shared" si="1"/>
        <v> </v>
      </c>
      <c r="E360" s="19" t="str">
        <f t="shared" si="2"/>
        <v> </v>
      </c>
      <c r="F360" s="21"/>
    </row>
    <row r="361">
      <c r="A361" s="19">
        <v>10061.0</v>
      </c>
      <c r="B361" s="19" t="s">
        <v>397</v>
      </c>
      <c r="C361" s="20">
        <v>21559.0</v>
      </c>
      <c r="D361" s="19" t="str">
        <f t="shared" si="1"/>
        <v> </v>
      </c>
      <c r="E361" s="19" t="str">
        <f t="shared" si="2"/>
        <v> </v>
      </c>
      <c r="F361" s="21"/>
    </row>
    <row r="362">
      <c r="A362" s="19">
        <v>10063.0</v>
      </c>
      <c r="B362" s="19" t="s">
        <v>398</v>
      </c>
      <c r="C362" s="20">
        <v>24993.0</v>
      </c>
      <c r="D362" s="19" t="str">
        <f t="shared" si="1"/>
        <v> </v>
      </c>
      <c r="E362" s="19" t="str">
        <f t="shared" si="2"/>
        <v> </v>
      </c>
      <c r="F362" s="21"/>
    </row>
    <row r="363">
      <c r="A363" s="19">
        <v>10068.0</v>
      </c>
      <c r="B363" s="19" t="s">
        <v>399</v>
      </c>
      <c r="C363" s="20">
        <v>15785.0</v>
      </c>
      <c r="D363" s="19" t="str">
        <f t="shared" si="1"/>
        <v> </v>
      </c>
      <c r="E363" s="19" t="str">
        <f t="shared" si="2"/>
        <v> </v>
      </c>
      <c r="F363" s="21"/>
    </row>
    <row r="364">
      <c r="A364" s="19">
        <v>10074.0</v>
      </c>
      <c r="B364" s="19" t="s">
        <v>400</v>
      </c>
      <c r="C364" s="20">
        <v>32549.0</v>
      </c>
      <c r="D364" s="19" t="str">
        <f t="shared" si="1"/>
        <v> </v>
      </c>
      <c r="E364" s="19" t="str">
        <f t="shared" si="2"/>
        <v> </v>
      </c>
      <c r="F364" s="21"/>
    </row>
    <row r="365">
      <c r="A365" s="19">
        <v>10075.0</v>
      </c>
      <c r="B365" s="19" t="s">
        <v>401</v>
      </c>
      <c r="C365" s="20">
        <v>12294.0</v>
      </c>
      <c r="D365" s="19" t="str">
        <f t="shared" si="1"/>
        <v> </v>
      </c>
      <c r="E365" s="19" t="str">
        <f t="shared" si="2"/>
        <v> </v>
      </c>
      <c r="F365" s="21"/>
    </row>
    <row r="366">
      <c r="A366" s="19">
        <v>10076.0</v>
      </c>
      <c r="B366" s="19" t="s">
        <v>402</v>
      </c>
      <c r="C366" s="20">
        <v>27726.0</v>
      </c>
      <c r="D366" s="19" t="str">
        <f t="shared" si="1"/>
        <v> </v>
      </c>
      <c r="E366" s="19" t="str">
        <f t="shared" si="2"/>
        <v> </v>
      </c>
      <c r="F366" s="21"/>
    </row>
    <row r="367">
      <c r="A367" s="19">
        <v>10078.0</v>
      </c>
      <c r="B367" s="19" t="s">
        <v>403</v>
      </c>
      <c r="C367" s="20">
        <v>11441.0</v>
      </c>
      <c r="D367" s="19" t="str">
        <f t="shared" si="1"/>
        <v> </v>
      </c>
      <c r="E367" s="19" t="str">
        <f t="shared" si="2"/>
        <v> </v>
      </c>
      <c r="F367" s="21"/>
    </row>
    <row r="368">
      <c r="A368" s="19">
        <v>10080.0</v>
      </c>
      <c r="B368" s="19" t="s">
        <v>404</v>
      </c>
      <c r="C368" s="20">
        <v>21618.0</v>
      </c>
      <c r="D368" s="19" t="str">
        <f t="shared" si="1"/>
        <v> </v>
      </c>
      <c r="E368" s="19" t="str">
        <f t="shared" si="2"/>
        <v> </v>
      </c>
      <c r="F368" s="21"/>
    </row>
    <row r="369">
      <c r="A369" s="19">
        <v>10082.0</v>
      </c>
      <c r="B369" s="19" t="s">
        <v>405</v>
      </c>
      <c r="C369" s="20">
        <v>29027.0</v>
      </c>
      <c r="D369" s="19" t="str">
        <f t="shared" si="1"/>
        <v> </v>
      </c>
      <c r="E369" s="19" t="str">
        <f t="shared" si="2"/>
        <v> </v>
      </c>
      <c r="F369" s="21"/>
    </row>
    <row r="370">
      <c r="A370" s="19">
        <v>10084.0</v>
      </c>
      <c r="B370" s="19" t="s">
        <v>406</v>
      </c>
      <c r="C370" s="20">
        <v>27338.0</v>
      </c>
      <c r="D370" s="19" t="str">
        <f t="shared" si="1"/>
        <v> </v>
      </c>
      <c r="E370" s="19" t="str">
        <f t="shared" si="2"/>
        <v> </v>
      </c>
      <c r="F370" s="21"/>
    </row>
    <row r="371">
      <c r="A371" s="19">
        <v>10088.0</v>
      </c>
      <c r="B371" s="19" t="s">
        <v>407</v>
      </c>
      <c r="C371" s="20">
        <v>22805.0</v>
      </c>
      <c r="D371" s="19" t="str">
        <f t="shared" si="1"/>
        <v> </v>
      </c>
      <c r="E371" s="19" t="str">
        <f t="shared" si="2"/>
        <v> </v>
      </c>
      <c r="F371" s="21"/>
    </row>
    <row r="372">
      <c r="A372" s="19">
        <v>10090.0</v>
      </c>
      <c r="B372" s="19" t="s">
        <v>408</v>
      </c>
      <c r="C372" s="20">
        <v>19362.0</v>
      </c>
      <c r="D372" s="19" t="str">
        <f t="shared" si="1"/>
        <v> </v>
      </c>
      <c r="E372" s="19" t="str">
        <f t="shared" si="2"/>
        <v> </v>
      </c>
      <c r="F372" s="21"/>
    </row>
    <row r="373">
      <c r="A373" s="19">
        <v>10092.0</v>
      </c>
      <c r="B373" s="19" t="s">
        <v>409</v>
      </c>
      <c r="C373" s="20">
        <v>22090.0</v>
      </c>
      <c r="D373" s="19" t="str">
        <f t="shared" si="1"/>
        <v> </v>
      </c>
      <c r="E373" s="19" t="str">
        <f t="shared" si="2"/>
        <v> </v>
      </c>
      <c r="F373" s="21"/>
    </row>
    <row r="374">
      <c r="A374" s="19">
        <v>10094.0</v>
      </c>
      <c r="B374" s="19" t="s">
        <v>410</v>
      </c>
      <c r="C374" s="20">
        <v>24190.0</v>
      </c>
      <c r="D374" s="19" t="str">
        <f t="shared" si="1"/>
        <v> </v>
      </c>
      <c r="E374" s="19" t="str">
        <f t="shared" si="2"/>
        <v> </v>
      </c>
      <c r="F374" s="21"/>
    </row>
    <row r="375">
      <c r="A375" s="19">
        <v>10095.0</v>
      </c>
      <c r="B375" s="19" t="s">
        <v>411</v>
      </c>
      <c r="C375" s="20">
        <v>17275.0</v>
      </c>
      <c r="D375" s="19" t="str">
        <f t="shared" si="1"/>
        <v> </v>
      </c>
      <c r="E375" s="19" t="str">
        <f t="shared" si="2"/>
        <v> </v>
      </c>
      <c r="F375" s="21"/>
    </row>
    <row r="376">
      <c r="A376" s="19">
        <v>10097.0</v>
      </c>
      <c r="B376" s="19" t="s">
        <v>412</v>
      </c>
      <c r="C376" s="20">
        <v>19102.0</v>
      </c>
      <c r="D376" s="19" t="str">
        <f t="shared" si="1"/>
        <v> </v>
      </c>
      <c r="E376" s="19" t="str">
        <f t="shared" si="2"/>
        <v> </v>
      </c>
      <c r="F376" s="21"/>
    </row>
    <row r="377">
      <c r="A377" s="19">
        <v>10100.0</v>
      </c>
      <c r="B377" s="19" t="s">
        <v>413</v>
      </c>
      <c r="C377" s="20">
        <v>21315.0</v>
      </c>
      <c r="D377" s="19" t="str">
        <f t="shared" si="1"/>
        <v> </v>
      </c>
      <c r="E377" s="19" t="str">
        <f t="shared" si="2"/>
        <v> </v>
      </c>
      <c r="F377" s="21"/>
    </row>
    <row r="378">
      <c r="A378" s="19">
        <v>10101.0</v>
      </c>
      <c r="B378" s="19" t="s">
        <v>414</v>
      </c>
      <c r="C378" s="20">
        <v>21656.0</v>
      </c>
      <c r="D378" s="19" t="str">
        <f t="shared" si="1"/>
        <v> </v>
      </c>
      <c r="E378" s="19" t="str">
        <f t="shared" si="2"/>
        <v> </v>
      </c>
      <c r="F378" s="21"/>
    </row>
    <row r="379">
      <c r="A379" s="19">
        <v>10109.0</v>
      </c>
      <c r="B379" s="19" t="s">
        <v>415</v>
      </c>
      <c r="C379" s="20">
        <v>22900.0</v>
      </c>
      <c r="D379" s="19" t="str">
        <f t="shared" si="1"/>
        <v> </v>
      </c>
      <c r="E379" s="19" t="str">
        <f t="shared" si="2"/>
        <v> </v>
      </c>
      <c r="F379" s="21"/>
    </row>
    <row r="380">
      <c r="A380" s="19">
        <v>10111.0</v>
      </c>
      <c r="B380" s="19" t="s">
        <v>416</v>
      </c>
      <c r="C380" s="20">
        <v>20554.0</v>
      </c>
      <c r="D380" s="19" t="str">
        <f t="shared" si="1"/>
        <v> </v>
      </c>
      <c r="E380" s="19" t="str">
        <f t="shared" si="2"/>
        <v> </v>
      </c>
      <c r="F380" s="21"/>
    </row>
    <row r="381">
      <c r="A381" s="19">
        <v>10113.0</v>
      </c>
      <c r="B381" s="19" t="s">
        <v>417</v>
      </c>
      <c r="C381" s="20">
        <v>19691.0</v>
      </c>
      <c r="D381" s="19" t="str">
        <f t="shared" si="1"/>
        <v> </v>
      </c>
      <c r="E381" s="19" t="str">
        <f t="shared" si="2"/>
        <v> </v>
      </c>
      <c r="F381" s="21"/>
    </row>
    <row r="382">
      <c r="A382" s="19">
        <v>10114.0</v>
      </c>
      <c r="B382" s="19" t="s">
        <v>418</v>
      </c>
      <c r="C382" s="20">
        <v>21405.0</v>
      </c>
      <c r="D382" s="19" t="str">
        <f t="shared" si="1"/>
        <v> </v>
      </c>
      <c r="E382" s="19" t="str">
        <f t="shared" si="2"/>
        <v> </v>
      </c>
      <c r="F382" s="21"/>
    </row>
    <row r="383">
      <c r="A383" s="19">
        <v>10115.0</v>
      </c>
      <c r="B383" s="19" t="s">
        <v>419</v>
      </c>
      <c r="C383" s="20">
        <v>28803.0</v>
      </c>
      <c r="D383" s="19" t="str">
        <f t="shared" si="1"/>
        <v> </v>
      </c>
      <c r="E383" s="19" t="str">
        <f t="shared" si="2"/>
        <v> </v>
      </c>
      <c r="F383" s="21"/>
    </row>
    <row r="384">
      <c r="A384" s="19">
        <v>10118.0</v>
      </c>
      <c r="B384" s="19" t="s">
        <v>420</v>
      </c>
      <c r="C384" s="20">
        <v>15112.0</v>
      </c>
      <c r="D384" s="19" t="str">
        <f t="shared" si="1"/>
        <v> </v>
      </c>
      <c r="E384" s="19" t="str">
        <f t="shared" si="2"/>
        <v> </v>
      </c>
      <c r="F384" s="21"/>
    </row>
    <row r="385">
      <c r="A385" s="19">
        <v>10121.0</v>
      </c>
      <c r="B385" s="19" t="s">
        <v>421</v>
      </c>
      <c r="C385" s="20">
        <v>32416.0</v>
      </c>
      <c r="D385" s="19" t="str">
        <f t="shared" si="1"/>
        <v> </v>
      </c>
      <c r="E385" s="19" t="str">
        <f t="shared" si="2"/>
        <v> </v>
      </c>
      <c r="F385" s="21"/>
    </row>
    <row r="386">
      <c r="A386" s="19">
        <v>10136.0</v>
      </c>
      <c r="B386" s="19" t="s">
        <v>422</v>
      </c>
      <c r="C386" s="20">
        <v>22803.0</v>
      </c>
      <c r="D386" s="19" t="str">
        <f t="shared" si="1"/>
        <v> </v>
      </c>
      <c r="E386" s="19" t="str">
        <f t="shared" si="2"/>
        <v> </v>
      </c>
      <c r="F386" s="21"/>
    </row>
    <row r="387">
      <c r="A387" s="19">
        <v>10137.0</v>
      </c>
      <c r="B387" s="19" t="s">
        <v>423</v>
      </c>
      <c r="C387" s="20">
        <v>21021.0</v>
      </c>
      <c r="D387" s="19" t="str">
        <f t="shared" si="1"/>
        <v> </v>
      </c>
      <c r="E387" s="19" t="str">
        <f t="shared" si="2"/>
        <v> </v>
      </c>
      <c r="F387" s="21"/>
    </row>
    <row r="388">
      <c r="A388" s="19">
        <v>10140.0</v>
      </c>
      <c r="B388" s="19" t="s">
        <v>424</v>
      </c>
      <c r="C388" s="20">
        <v>24305.0</v>
      </c>
      <c r="D388" s="19" t="str">
        <f t="shared" si="1"/>
        <v> </v>
      </c>
      <c r="E388" s="19" t="str">
        <f t="shared" si="2"/>
        <v> </v>
      </c>
      <c r="F388" s="21"/>
    </row>
    <row r="389">
      <c r="A389" s="19">
        <v>10141.0</v>
      </c>
      <c r="B389" s="19" t="s">
        <v>425</v>
      </c>
      <c r="C389" s="20">
        <v>23797.0</v>
      </c>
      <c r="D389" s="19" t="str">
        <f t="shared" si="1"/>
        <v> </v>
      </c>
      <c r="E389" s="19" t="str">
        <f t="shared" si="2"/>
        <v> </v>
      </c>
      <c r="F389" s="21"/>
    </row>
    <row r="390">
      <c r="A390" s="19">
        <v>10143.0</v>
      </c>
      <c r="B390" s="19" t="s">
        <v>426</v>
      </c>
      <c r="C390" s="20">
        <v>14042.0</v>
      </c>
      <c r="D390" s="19" t="str">
        <f t="shared" si="1"/>
        <v> </v>
      </c>
      <c r="E390" s="19" t="str">
        <f t="shared" si="2"/>
        <v> </v>
      </c>
      <c r="F390" s="21"/>
    </row>
    <row r="391">
      <c r="A391" s="19">
        <v>10144.0</v>
      </c>
      <c r="B391" s="19" t="s">
        <v>427</v>
      </c>
      <c r="C391" s="20">
        <v>30076.0</v>
      </c>
      <c r="D391" s="19" t="str">
        <f t="shared" si="1"/>
        <v> </v>
      </c>
      <c r="E391" s="19" t="str">
        <f t="shared" si="2"/>
        <v> </v>
      </c>
      <c r="F391" s="21"/>
    </row>
    <row r="392">
      <c r="A392" s="19">
        <v>10145.0</v>
      </c>
      <c r="B392" s="19" t="s">
        <v>428</v>
      </c>
      <c r="C392" s="20">
        <v>30566.0</v>
      </c>
      <c r="D392" s="19" t="str">
        <f t="shared" si="1"/>
        <v> </v>
      </c>
      <c r="E392" s="19" t="str">
        <f t="shared" si="2"/>
        <v> </v>
      </c>
      <c r="F392" s="21"/>
    </row>
    <row r="393">
      <c r="A393" s="19">
        <v>10147.0</v>
      </c>
      <c r="B393" s="19" t="s">
        <v>429</v>
      </c>
      <c r="C393" s="20">
        <v>23415.0</v>
      </c>
      <c r="D393" s="19" t="str">
        <f t="shared" si="1"/>
        <v> </v>
      </c>
      <c r="E393" s="19" t="str">
        <f t="shared" si="2"/>
        <v> </v>
      </c>
      <c r="F393" s="21"/>
    </row>
    <row r="394">
      <c r="A394" s="19">
        <v>10148.0</v>
      </c>
      <c r="B394" s="19" t="s">
        <v>430</v>
      </c>
      <c r="C394" s="20">
        <v>33977.0</v>
      </c>
      <c r="D394" s="19" t="str">
        <f t="shared" si="1"/>
        <v> </v>
      </c>
      <c r="E394" s="19" t="str">
        <f t="shared" si="2"/>
        <v> </v>
      </c>
      <c r="F394" s="21"/>
    </row>
    <row r="395">
      <c r="A395" s="19">
        <v>10150.0</v>
      </c>
      <c r="B395" s="19" t="s">
        <v>431</v>
      </c>
      <c r="C395" s="20">
        <v>15025.0</v>
      </c>
      <c r="D395" s="19" t="str">
        <f t="shared" si="1"/>
        <v> </v>
      </c>
      <c r="E395" s="19" t="str">
        <f t="shared" si="2"/>
        <v> </v>
      </c>
      <c r="F395" s="21"/>
    </row>
    <row r="396">
      <c r="A396" s="19">
        <v>10154.0</v>
      </c>
      <c r="B396" s="19" t="s">
        <v>432</v>
      </c>
      <c r="C396" s="20">
        <v>18673.0</v>
      </c>
      <c r="D396" s="19" t="str">
        <f t="shared" si="1"/>
        <v> </v>
      </c>
      <c r="E396" s="19" t="str">
        <f t="shared" si="2"/>
        <v> </v>
      </c>
      <c r="F396" s="21"/>
    </row>
    <row r="397">
      <c r="A397" s="19">
        <v>10155.0</v>
      </c>
      <c r="B397" s="19" t="s">
        <v>433</v>
      </c>
      <c r="C397" s="20">
        <v>16882.0</v>
      </c>
      <c r="D397" s="19" t="str">
        <f t="shared" si="1"/>
        <v> </v>
      </c>
      <c r="E397" s="19" t="str">
        <f t="shared" si="2"/>
        <v> </v>
      </c>
      <c r="F397" s="21"/>
    </row>
    <row r="398">
      <c r="A398" s="19">
        <v>10157.0</v>
      </c>
      <c r="B398" s="19" t="s">
        <v>434</v>
      </c>
      <c r="C398" s="20">
        <v>23341.0</v>
      </c>
      <c r="D398" s="19" t="str">
        <f t="shared" si="1"/>
        <v> </v>
      </c>
      <c r="E398" s="19" t="str">
        <f t="shared" si="2"/>
        <v> </v>
      </c>
      <c r="F398" s="21"/>
    </row>
    <row r="399">
      <c r="A399" s="19">
        <v>10158.0</v>
      </c>
      <c r="B399" s="19" t="s">
        <v>435</v>
      </c>
      <c r="C399" s="20">
        <v>20362.0</v>
      </c>
      <c r="D399" s="19" t="str">
        <f t="shared" si="1"/>
        <v> </v>
      </c>
      <c r="E399" s="19" t="str">
        <f t="shared" si="2"/>
        <v> </v>
      </c>
      <c r="F399" s="21"/>
    </row>
    <row r="400">
      <c r="A400" s="19">
        <v>10159.0</v>
      </c>
      <c r="B400" s="19" t="s">
        <v>436</v>
      </c>
      <c r="C400" s="20">
        <v>22564.0</v>
      </c>
      <c r="D400" s="19" t="str">
        <f t="shared" si="1"/>
        <v> </v>
      </c>
      <c r="E400" s="19" t="str">
        <f t="shared" si="2"/>
        <v> </v>
      </c>
      <c r="F400" s="21"/>
    </row>
    <row r="401">
      <c r="A401" s="19">
        <v>10160.0</v>
      </c>
      <c r="B401" s="19" t="s">
        <v>437</v>
      </c>
      <c r="C401" s="20">
        <v>21263.0</v>
      </c>
      <c r="D401" s="19" t="str">
        <f t="shared" si="1"/>
        <v> </v>
      </c>
      <c r="E401" s="19" t="str">
        <f t="shared" si="2"/>
        <v> </v>
      </c>
      <c r="F401" s="21"/>
    </row>
    <row r="402">
      <c r="A402" s="19">
        <v>10162.0</v>
      </c>
      <c r="B402" s="19" t="s">
        <v>438</v>
      </c>
      <c r="C402" s="20">
        <v>21165.0</v>
      </c>
      <c r="D402" s="19" t="str">
        <f t="shared" si="1"/>
        <v> </v>
      </c>
      <c r="E402" s="19" t="str">
        <f t="shared" si="2"/>
        <v> </v>
      </c>
      <c r="F402" s="21"/>
    </row>
    <row r="403">
      <c r="A403" s="19">
        <v>10164.0</v>
      </c>
      <c r="B403" s="19" t="s">
        <v>439</v>
      </c>
      <c r="C403" s="20">
        <v>21050.0</v>
      </c>
      <c r="D403" s="19" t="str">
        <f t="shared" si="1"/>
        <v> </v>
      </c>
      <c r="E403" s="19" t="str">
        <f t="shared" si="2"/>
        <v> </v>
      </c>
      <c r="F403" s="21"/>
    </row>
    <row r="404">
      <c r="A404" s="19">
        <v>10167.0</v>
      </c>
      <c r="B404" s="19" t="s">
        <v>440</v>
      </c>
      <c r="C404" s="20">
        <v>22736.0</v>
      </c>
      <c r="D404" s="19" t="str">
        <f t="shared" si="1"/>
        <v> </v>
      </c>
      <c r="E404" s="19" t="str">
        <f t="shared" si="2"/>
        <v> </v>
      </c>
      <c r="F404" s="21"/>
    </row>
    <row r="405">
      <c r="A405" s="19">
        <v>10170.0</v>
      </c>
      <c r="B405" s="19" t="s">
        <v>441</v>
      </c>
      <c r="C405" s="20">
        <v>23032.0</v>
      </c>
      <c r="D405" s="19" t="str">
        <f t="shared" si="1"/>
        <v> </v>
      </c>
      <c r="E405" s="19" t="str">
        <f t="shared" si="2"/>
        <v> </v>
      </c>
      <c r="F405" s="21"/>
    </row>
    <row r="406">
      <c r="A406" s="19">
        <v>10171.0</v>
      </c>
      <c r="B406" s="19" t="s">
        <v>442</v>
      </c>
      <c r="C406" s="20">
        <v>32722.0</v>
      </c>
      <c r="D406" s="19" t="str">
        <f t="shared" si="1"/>
        <v> </v>
      </c>
      <c r="E406" s="19" t="str">
        <f t="shared" si="2"/>
        <v> </v>
      </c>
      <c r="F406" s="21"/>
    </row>
    <row r="407">
      <c r="A407" s="19">
        <v>10172.0</v>
      </c>
      <c r="B407" s="19" t="s">
        <v>443</v>
      </c>
      <c r="C407" s="20">
        <v>17536.0</v>
      </c>
      <c r="D407" s="19" t="str">
        <f t="shared" si="1"/>
        <v> </v>
      </c>
      <c r="E407" s="19" t="str">
        <f t="shared" si="2"/>
        <v> </v>
      </c>
      <c r="F407" s="21"/>
    </row>
    <row r="408">
      <c r="A408" s="19">
        <v>10174.0</v>
      </c>
      <c r="B408" s="19" t="s">
        <v>444</v>
      </c>
      <c r="C408" s="20">
        <v>13226.0</v>
      </c>
      <c r="D408" s="19" t="str">
        <f t="shared" si="1"/>
        <v> </v>
      </c>
      <c r="E408" s="19" t="str">
        <f t="shared" si="2"/>
        <v> </v>
      </c>
      <c r="F408" s="21"/>
    </row>
    <row r="409">
      <c r="A409" s="19">
        <v>10176.0</v>
      </c>
      <c r="B409" s="19" t="s">
        <v>445</v>
      </c>
      <c r="C409" s="20">
        <v>29241.0</v>
      </c>
      <c r="D409" s="19" t="str">
        <f t="shared" si="1"/>
        <v> </v>
      </c>
      <c r="E409" s="19" t="str">
        <f t="shared" si="2"/>
        <v> </v>
      </c>
      <c r="F409" s="21"/>
    </row>
    <row r="410">
      <c r="A410" s="19">
        <v>10179.0</v>
      </c>
      <c r="B410" s="19" t="s">
        <v>446</v>
      </c>
      <c r="C410" s="20">
        <v>36829.0</v>
      </c>
      <c r="D410" s="19" t="str">
        <f t="shared" si="1"/>
        <v> </v>
      </c>
      <c r="E410" s="19" t="str">
        <f t="shared" si="2"/>
        <v> </v>
      </c>
      <c r="F410" s="21"/>
    </row>
    <row r="411">
      <c r="A411" s="19">
        <v>10181.0</v>
      </c>
      <c r="B411" s="19" t="s">
        <v>447</v>
      </c>
      <c r="C411" s="20">
        <v>13596.0</v>
      </c>
      <c r="D411" s="19" t="str">
        <f t="shared" si="1"/>
        <v> </v>
      </c>
      <c r="E411" s="19" t="str">
        <f t="shared" si="2"/>
        <v> </v>
      </c>
      <c r="F411" s="21"/>
    </row>
    <row r="412">
      <c r="A412" s="19">
        <v>10184.0</v>
      </c>
      <c r="B412" s="19" t="s">
        <v>448</v>
      </c>
      <c r="C412" s="20">
        <v>25092.0</v>
      </c>
      <c r="D412" s="19" t="str">
        <f t="shared" si="1"/>
        <v> </v>
      </c>
      <c r="E412" s="19" t="str">
        <f t="shared" si="2"/>
        <v> </v>
      </c>
      <c r="F412" s="21"/>
    </row>
    <row r="413">
      <c r="A413" s="19">
        <v>10185.0</v>
      </c>
      <c r="B413" s="19" t="s">
        <v>449</v>
      </c>
      <c r="C413" s="20">
        <v>24575.0</v>
      </c>
      <c r="D413" s="19" t="str">
        <f t="shared" si="1"/>
        <v> </v>
      </c>
      <c r="E413" s="19" t="str">
        <f t="shared" si="2"/>
        <v> </v>
      </c>
      <c r="F413" s="21"/>
    </row>
    <row r="414">
      <c r="A414" s="19">
        <v>10188.0</v>
      </c>
      <c r="B414" s="19" t="s">
        <v>450</v>
      </c>
      <c r="C414" s="20">
        <v>25964.0</v>
      </c>
      <c r="D414" s="19" t="str">
        <f t="shared" si="1"/>
        <v> </v>
      </c>
      <c r="E414" s="19" t="str">
        <f t="shared" si="2"/>
        <v> </v>
      </c>
      <c r="F414" s="21"/>
    </row>
    <row r="415">
      <c r="A415" s="19">
        <v>10194.0</v>
      </c>
      <c r="B415" s="19" t="s">
        <v>451</v>
      </c>
      <c r="C415" s="20">
        <v>28664.0</v>
      </c>
      <c r="D415" s="19" t="str">
        <f t="shared" si="1"/>
        <v> </v>
      </c>
      <c r="E415" s="19" t="str">
        <f t="shared" si="2"/>
        <v> </v>
      </c>
      <c r="F415" s="21"/>
    </row>
    <row r="416">
      <c r="A416" s="19">
        <v>10196.0</v>
      </c>
      <c r="B416" s="19" t="s">
        <v>452</v>
      </c>
      <c r="C416" s="20">
        <v>23525.0</v>
      </c>
      <c r="D416" s="19" t="str">
        <f t="shared" si="1"/>
        <v> </v>
      </c>
      <c r="E416" s="19" t="str">
        <f t="shared" si="2"/>
        <v> </v>
      </c>
      <c r="F416" s="21"/>
    </row>
    <row r="417">
      <c r="A417" s="19">
        <v>10202.0</v>
      </c>
      <c r="B417" s="19" t="s">
        <v>453</v>
      </c>
      <c r="C417" s="20">
        <v>19571.0</v>
      </c>
      <c r="D417" s="19" t="str">
        <f t="shared" si="1"/>
        <v> </v>
      </c>
      <c r="E417" s="19" t="str">
        <f t="shared" si="2"/>
        <v> </v>
      </c>
      <c r="F417" s="21"/>
    </row>
    <row r="418">
      <c r="A418" s="19">
        <v>10203.0</v>
      </c>
      <c r="B418" s="19" t="s">
        <v>454</v>
      </c>
      <c r="C418" s="20">
        <v>18014.0</v>
      </c>
      <c r="D418" s="19" t="str">
        <f t="shared" si="1"/>
        <v> </v>
      </c>
      <c r="E418" s="19" t="str">
        <f t="shared" si="2"/>
        <v> </v>
      </c>
      <c r="F418" s="21"/>
    </row>
    <row r="419">
      <c r="A419" s="19">
        <v>10204.0</v>
      </c>
      <c r="B419" s="19" t="s">
        <v>455</v>
      </c>
      <c r="C419" s="20">
        <v>30612.0</v>
      </c>
      <c r="D419" s="19" t="str">
        <f t="shared" si="1"/>
        <v>Repeat</v>
      </c>
      <c r="E419" s="19" t="str">
        <f t="shared" si="2"/>
        <v> </v>
      </c>
      <c r="F419" s="21"/>
    </row>
    <row r="420">
      <c r="A420" s="19">
        <v>10205.0</v>
      </c>
      <c r="B420" s="19" t="s">
        <v>456</v>
      </c>
      <c r="C420" s="20">
        <v>32658.0</v>
      </c>
      <c r="D420" s="19" t="str">
        <f t="shared" si="1"/>
        <v> </v>
      </c>
      <c r="E420" s="19" t="str">
        <f t="shared" si="2"/>
        <v> </v>
      </c>
      <c r="F420" s="21"/>
    </row>
    <row r="421">
      <c r="A421" s="19">
        <v>10219.0</v>
      </c>
      <c r="B421" s="19" t="s">
        <v>457</v>
      </c>
      <c r="C421" s="20">
        <v>19568.0</v>
      </c>
      <c r="D421" s="19" t="str">
        <f t="shared" si="1"/>
        <v> </v>
      </c>
      <c r="E421" s="19" t="str">
        <f t="shared" si="2"/>
        <v> </v>
      </c>
      <c r="F421" s="21"/>
    </row>
    <row r="422">
      <c r="A422" s="19">
        <v>10225.0</v>
      </c>
      <c r="B422" s="19" t="s">
        <v>458</v>
      </c>
      <c r="C422" s="20">
        <v>26924.0</v>
      </c>
      <c r="D422" s="19" t="str">
        <f t="shared" si="1"/>
        <v> </v>
      </c>
      <c r="E422" s="19" t="str">
        <f t="shared" si="2"/>
        <v> </v>
      </c>
      <c r="F422" s="21"/>
    </row>
    <row r="423">
      <c r="A423" s="19">
        <v>10226.0</v>
      </c>
      <c r="B423" s="19" t="s">
        <v>459</v>
      </c>
      <c r="C423" s="20">
        <v>24555.0</v>
      </c>
      <c r="D423" s="19" t="str">
        <f t="shared" si="1"/>
        <v> </v>
      </c>
      <c r="E423" s="19" t="str">
        <f t="shared" si="2"/>
        <v> </v>
      </c>
      <c r="F423" s="21"/>
    </row>
    <row r="424">
      <c r="A424" s="19">
        <v>10229.0</v>
      </c>
      <c r="B424" s="19" t="s">
        <v>460</v>
      </c>
      <c r="C424" s="20">
        <v>10797.0</v>
      </c>
      <c r="D424" s="19" t="str">
        <f t="shared" si="1"/>
        <v> </v>
      </c>
      <c r="E424" s="19" t="str">
        <f t="shared" si="2"/>
        <v> </v>
      </c>
      <c r="F424" s="21"/>
    </row>
    <row r="425">
      <c r="A425" s="19">
        <v>10230.0</v>
      </c>
      <c r="B425" s="19" t="s">
        <v>461</v>
      </c>
      <c r="C425" s="20">
        <v>21963.0</v>
      </c>
      <c r="D425" s="19" t="str">
        <f t="shared" si="1"/>
        <v> </v>
      </c>
      <c r="E425" s="19" t="str">
        <f t="shared" si="2"/>
        <v> </v>
      </c>
      <c r="F425" s="21"/>
    </row>
    <row r="426">
      <c r="A426" s="19">
        <v>10235.0</v>
      </c>
      <c r="B426" s="19" t="s">
        <v>462</v>
      </c>
      <c r="C426" s="20">
        <v>17564.0</v>
      </c>
      <c r="D426" s="19" t="str">
        <f t="shared" si="1"/>
        <v> </v>
      </c>
      <c r="E426" s="19" t="str">
        <f t="shared" si="2"/>
        <v> </v>
      </c>
      <c r="F426" s="21"/>
    </row>
    <row r="427">
      <c r="A427" s="19">
        <v>10237.0</v>
      </c>
      <c r="B427" s="19" t="s">
        <v>463</v>
      </c>
      <c r="C427" s="20">
        <v>21414.0</v>
      </c>
      <c r="D427" s="19" t="str">
        <f t="shared" si="1"/>
        <v> </v>
      </c>
      <c r="E427" s="19" t="str">
        <f t="shared" si="2"/>
        <v> </v>
      </c>
      <c r="F427" s="21"/>
    </row>
    <row r="428">
      <c r="A428" s="19">
        <v>10244.0</v>
      </c>
      <c r="B428" s="19" t="s">
        <v>464</v>
      </c>
      <c r="C428" s="20">
        <v>13101.0</v>
      </c>
      <c r="D428" s="19" t="str">
        <f t="shared" si="1"/>
        <v> </v>
      </c>
      <c r="E428" s="19" t="str">
        <f t="shared" si="2"/>
        <v> </v>
      </c>
      <c r="F428" s="21"/>
    </row>
    <row r="429">
      <c r="A429" s="19">
        <v>10250.0</v>
      </c>
      <c r="B429" s="19" t="s">
        <v>465</v>
      </c>
      <c r="C429" s="20">
        <v>34424.0</v>
      </c>
      <c r="D429" s="19" t="str">
        <f t="shared" si="1"/>
        <v> </v>
      </c>
      <c r="E429" s="19" t="str">
        <f t="shared" si="2"/>
        <v> </v>
      </c>
      <c r="F429" s="21"/>
    </row>
    <row r="430">
      <c r="A430" s="19">
        <v>10251.0</v>
      </c>
      <c r="B430" s="19" t="s">
        <v>466</v>
      </c>
      <c r="C430" s="20">
        <v>21415.0</v>
      </c>
      <c r="D430" s="19" t="str">
        <f t="shared" si="1"/>
        <v> </v>
      </c>
      <c r="E430" s="19" t="str">
        <f t="shared" si="2"/>
        <v> </v>
      </c>
      <c r="F430" s="21"/>
    </row>
    <row r="431">
      <c r="A431" s="19">
        <v>10252.0</v>
      </c>
      <c r="B431" s="19" t="s">
        <v>467</v>
      </c>
      <c r="C431" s="20">
        <v>21320.0</v>
      </c>
      <c r="D431" s="19" t="str">
        <f t="shared" si="1"/>
        <v> </v>
      </c>
      <c r="E431" s="19" t="str">
        <f t="shared" si="2"/>
        <v> </v>
      </c>
      <c r="F431" s="21"/>
    </row>
    <row r="432">
      <c r="A432" s="19">
        <v>10255.0</v>
      </c>
      <c r="B432" s="19" t="s">
        <v>468</v>
      </c>
      <c r="C432" s="20">
        <v>17542.0</v>
      </c>
      <c r="D432" s="19" t="str">
        <f t="shared" si="1"/>
        <v> </v>
      </c>
      <c r="E432" s="19" t="str">
        <f t="shared" si="2"/>
        <v> </v>
      </c>
      <c r="F432" s="21"/>
    </row>
    <row r="433">
      <c r="A433" s="19">
        <v>10256.0</v>
      </c>
      <c r="B433" s="19" t="s">
        <v>469</v>
      </c>
      <c r="C433" s="20">
        <v>18566.0</v>
      </c>
      <c r="D433" s="19" t="str">
        <f t="shared" si="1"/>
        <v> </v>
      </c>
      <c r="E433" s="19" t="str">
        <f t="shared" si="2"/>
        <v> </v>
      </c>
      <c r="F433" s="21"/>
    </row>
    <row r="434">
      <c r="A434" s="19">
        <v>10257.0</v>
      </c>
      <c r="B434" s="19" t="s">
        <v>470</v>
      </c>
      <c r="C434" s="20">
        <v>21651.0</v>
      </c>
      <c r="D434" s="19" t="str">
        <f t="shared" si="1"/>
        <v> </v>
      </c>
      <c r="E434" s="19" t="str">
        <f t="shared" si="2"/>
        <v> </v>
      </c>
      <c r="F434" s="21"/>
    </row>
    <row r="435">
      <c r="A435" s="19">
        <v>10261.0</v>
      </c>
      <c r="B435" s="19" t="s">
        <v>471</v>
      </c>
      <c r="C435" s="20">
        <v>20731.0</v>
      </c>
      <c r="D435" s="19" t="str">
        <f t="shared" si="1"/>
        <v> </v>
      </c>
      <c r="E435" s="19" t="str">
        <f t="shared" si="2"/>
        <v> </v>
      </c>
      <c r="F435" s="21"/>
    </row>
    <row r="436">
      <c r="A436" s="19">
        <v>10262.0</v>
      </c>
      <c r="B436" s="19" t="s">
        <v>472</v>
      </c>
      <c r="C436" s="20">
        <v>16196.0</v>
      </c>
      <c r="D436" s="19" t="str">
        <f t="shared" si="1"/>
        <v> </v>
      </c>
      <c r="E436" s="19" t="str">
        <f t="shared" si="2"/>
        <v> </v>
      </c>
      <c r="F436" s="21"/>
    </row>
    <row r="437">
      <c r="A437" s="19">
        <v>10267.0</v>
      </c>
      <c r="B437" s="19" t="s">
        <v>473</v>
      </c>
      <c r="C437" s="20">
        <v>33386.0</v>
      </c>
      <c r="D437" s="19" t="str">
        <f t="shared" si="1"/>
        <v> </v>
      </c>
      <c r="E437" s="19" t="str">
        <f t="shared" si="2"/>
        <v> </v>
      </c>
      <c r="F437" s="21"/>
    </row>
    <row r="438">
      <c r="A438" s="19">
        <v>10270.0</v>
      </c>
      <c r="B438" s="19" t="s">
        <v>474</v>
      </c>
      <c r="C438" s="20">
        <v>12945.0</v>
      </c>
      <c r="D438" s="19" t="str">
        <f t="shared" si="1"/>
        <v> </v>
      </c>
      <c r="E438" s="19" t="str">
        <f t="shared" si="2"/>
        <v> </v>
      </c>
      <c r="F438" s="21"/>
    </row>
    <row r="439">
      <c r="A439" s="19">
        <v>10273.0</v>
      </c>
      <c r="B439" s="19" t="s">
        <v>475</v>
      </c>
      <c r="C439" s="20">
        <v>15730.0</v>
      </c>
      <c r="D439" s="19" t="str">
        <f t="shared" si="1"/>
        <v> </v>
      </c>
      <c r="E439" s="19" t="str">
        <f t="shared" si="2"/>
        <v> </v>
      </c>
      <c r="F439" s="21"/>
    </row>
    <row r="440">
      <c r="A440" s="19">
        <v>10277.0</v>
      </c>
      <c r="B440" s="19" t="s">
        <v>476</v>
      </c>
      <c r="C440" s="20">
        <v>19210.0</v>
      </c>
      <c r="D440" s="19" t="str">
        <f t="shared" si="1"/>
        <v> </v>
      </c>
      <c r="E440" s="19" t="str">
        <f t="shared" si="2"/>
        <v> </v>
      </c>
      <c r="F440" s="21"/>
    </row>
    <row r="441">
      <c r="A441" s="19">
        <v>10279.0</v>
      </c>
      <c r="B441" s="19" t="s">
        <v>477</v>
      </c>
      <c r="C441" s="20">
        <v>29847.0</v>
      </c>
      <c r="D441" s="19" t="str">
        <f t="shared" si="1"/>
        <v> </v>
      </c>
      <c r="E441" s="19" t="str">
        <f t="shared" si="2"/>
        <v> </v>
      </c>
      <c r="F441" s="21"/>
    </row>
    <row r="442">
      <c r="A442" s="19">
        <v>10281.0</v>
      </c>
      <c r="B442" s="19" t="s">
        <v>478</v>
      </c>
      <c r="C442" s="20">
        <v>15169.0</v>
      </c>
      <c r="D442" s="19" t="str">
        <f t="shared" si="1"/>
        <v> </v>
      </c>
      <c r="E442" s="19" t="str">
        <f t="shared" si="2"/>
        <v> </v>
      </c>
      <c r="F442" s="21"/>
    </row>
    <row r="443">
      <c r="A443" s="19">
        <v>10282.0</v>
      </c>
      <c r="B443" s="19" t="s">
        <v>479</v>
      </c>
      <c r="C443" s="20">
        <v>17282.0</v>
      </c>
      <c r="D443" s="19" t="str">
        <f t="shared" si="1"/>
        <v> </v>
      </c>
      <c r="E443" s="19" t="str">
        <f t="shared" si="2"/>
        <v> </v>
      </c>
      <c r="F443" s="21"/>
    </row>
    <row r="444">
      <c r="A444" s="19">
        <v>10285.0</v>
      </c>
      <c r="B444" s="19" t="s">
        <v>480</v>
      </c>
      <c r="C444" s="20">
        <v>24347.0</v>
      </c>
      <c r="D444" s="19" t="str">
        <f t="shared" si="1"/>
        <v> </v>
      </c>
      <c r="E444" s="19" t="str">
        <f t="shared" si="2"/>
        <v> </v>
      </c>
      <c r="F444" s="21"/>
    </row>
    <row r="445">
      <c r="A445" s="19">
        <v>10286.0</v>
      </c>
      <c r="B445" s="19" t="s">
        <v>481</v>
      </c>
      <c r="C445" s="20">
        <v>15269.0</v>
      </c>
      <c r="D445" s="19" t="str">
        <f t="shared" si="1"/>
        <v> </v>
      </c>
      <c r="E445" s="19" t="str">
        <f t="shared" si="2"/>
        <v> </v>
      </c>
      <c r="F445" s="21"/>
    </row>
    <row r="446">
      <c r="A446" s="19">
        <v>10291.0</v>
      </c>
      <c r="B446" s="19" t="s">
        <v>482</v>
      </c>
      <c r="C446" s="20">
        <v>20391.0</v>
      </c>
      <c r="D446" s="19" t="str">
        <f t="shared" si="1"/>
        <v> </v>
      </c>
      <c r="E446" s="19" t="str">
        <f t="shared" si="2"/>
        <v> </v>
      </c>
      <c r="F446" s="21"/>
    </row>
    <row r="447">
      <c r="A447" s="19">
        <v>10295.0</v>
      </c>
      <c r="B447" s="19" t="s">
        <v>483</v>
      </c>
      <c r="C447" s="20">
        <v>31342.0</v>
      </c>
      <c r="D447" s="19" t="str">
        <f t="shared" si="1"/>
        <v> </v>
      </c>
      <c r="E447" s="19" t="str">
        <f t="shared" si="2"/>
        <v> </v>
      </c>
      <c r="F447" s="21"/>
    </row>
    <row r="448">
      <c r="A448" s="19">
        <v>10297.0</v>
      </c>
      <c r="B448" s="19" t="s">
        <v>484</v>
      </c>
      <c r="C448" s="20">
        <v>33463.0</v>
      </c>
      <c r="D448" s="19" t="str">
        <f t="shared" si="1"/>
        <v> </v>
      </c>
      <c r="E448" s="19" t="str">
        <f t="shared" si="2"/>
        <v> </v>
      </c>
      <c r="F448" s="21"/>
    </row>
    <row r="449">
      <c r="A449" s="19">
        <v>10298.0</v>
      </c>
      <c r="B449" s="19" t="s">
        <v>485</v>
      </c>
      <c r="C449" s="20">
        <v>27385.0</v>
      </c>
      <c r="D449" s="19" t="str">
        <f t="shared" si="1"/>
        <v> </v>
      </c>
      <c r="E449" s="19" t="str">
        <f t="shared" si="2"/>
        <v> </v>
      </c>
      <c r="F449" s="21"/>
    </row>
    <row r="450">
      <c r="A450" s="19">
        <v>10300.0</v>
      </c>
      <c r="B450" s="19" t="s">
        <v>486</v>
      </c>
      <c r="C450" s="20">
        <v>30761.0</v>
      </c>
      <c r="D450" s="19" t="str">
        <f t="shared" si="1"/>
        <v> </v>
      </c>
      <c r="E450" s="19" t="str">
        <f t="shared" si="2"/>
        <v> </v>
      </c>
      <c r="F450" s="21"/>
    </row>
    <row r="451">
      <c r="A451" s="19">
        <v>10302.0</v>
      </c>
      <c r="B451" s="19" t="s">
        <v>487</v>
      </c>
      <c r="C451" s="20">
        <v>11831.0</v>
      </c>
      <c r="D451" s="19" t="str">
        <f t="shared" si="1"/>
        <v> </v>
      </c>
      <c r="E451" s="19" t="str">
        <f t="shared" si="2"/>
        <v> </v>
      </c>
      <c r="F451" s="21"/>
    </row>
    <row r="452">
      <c r="A452" s="19">
        <v>10304.0</v>
      </c>
      <c r="B452" s="19" t="s">
        <v>488</v>
      </c>
      <c r="C452" s="20">
        <v>24920.0</v>
      </c>
      <c r="D452" s="19" t="str">
        <f t="shared" si="1"/>
        <v> </v>
      </c>
      <c r="E452" s="19" t="str">
        <f t="shared" si="2"/>
        <v> </v>
      </c>
      <c r="F452" s="21"/>
    </row>
    <row r="453">
      <c r="A453" s="19">
        <v>10305.0</v>
      </c>
      <c r="B453" s="19" t="s">
        <v>489</v>
      </c>
      <c r="C453" s="20">
        <v>22882.0</v>
      </c>
      <c r="D453" s="19" t="str">
        <f t="shared" si="1"/>
        <v> </v>
      </c>
      <c r="E453" s="19" t="str">
        <f t="shared" si="2"/>
        <v> </v>
      </c>
      <c r="F453" s="21"/>
    </row>
    <row r="454">
      <c r="A454" s="19">
        <v>10306.0</v>
      </c>
      <c r="B454" s="19" t="s">
        <v>490</v>
      </c>
      <c r="C454" s="20">
        <v>20435.0</v>
      </c>
      <c r="D454" s="19" t="str">
        <f t="shared" si="1"/>
        <v> </v>
      </c>
      <c r="E454" s="19" t="str">
        <f t="shared" si="2"/>
        <v> </v>
      </c>
      <c r="F454" s="21"/>
    </row>
    <row r="455">
      <c r="A455" s="19">
        <v>10309.0</v>
      </c>
      <c r="B455" s="19" t="s">
        <v>491</v>
      </c>
      <c r="C455" s="20">
        <v>22771.0</v>
      </c>
      <c r="D455" s="19" t="str">
        <f t="shared" si="1"/>
        <v> </v>
      </c>
      <c r="E455" s="19" t="str">
        <f t="shared" si="2"/>
        <v> </v>
      </c>
      <c r="F455" s="21"/>
    </row>
    <row r="456">
      <c r="A456" s="19">
        <v>10310.0</v>
      </c>
      <c r="B456" s="19" t="s">
        <v>492</v>
      </c>
      <c r="C456" s="20">
        <v>28208.0</v>
      </c>
      <c r="D456" s="19" t="str">
        <f t="shared" si="1"/>
        <v> </v>
      </c>
      <c r="E456" s="19" t="str">
        <f t="shared" si="2"/>
        <v> </v>
      </c>
      <c r="F456" s="21"/>
    </row>
    <row r="457">
      <c r="A457" s="19">
        <v>10315.0</v>
      </c>
      <c r="B457" s="19" t="s">
        <v>493</v>
      </c>
      <c r="C457" s="20">
        <v>19182.0</v>
      </c>
      <c r="D457" s="19" t="str">
        <f t="shared" si="1"/>
        <v> </v>
      </c>
      <c r="E457" s="19" t="str">
        <f t="shared" si="2"/>
        <v> </v>
      </c>
      <c r="F457" s="21"/>
    </row>
    <row r="458">
      <c r="A458" s="19">
        <v>10316.0</v>
      </c>
      <c r="B458" s="19" t="s">
        <v>494</v>
      </c>
      <c r="C458" s="20">
        <v>17547.0</v>
      </c>
      <c r="D458" s="19" t="str">
        <f t="shared" si="1"/>
        <v> </v>
      </c>
      <c r="E458" s="19" t="str">
        <f t="shared" si="2"/>
        <v> </v>
      </c>
      <c r="F458" s="21"/>
    </row>
    <row r="459">
      <c r="A459" s="19">
        <v>10321.0</v>
      </c>
      <c r="B459" s="19" t="s">
        <v>495</v>
      </c>
      <c r="C459" s="20">
        <v>27501.0</v>
      </c>
      <c r="D459" s="19" t="str">
        <f t="shared" si="1"/>
        <v> </v>
      </c>
      <c r="E459" s="19" t="str">
        <f t="shared" si="2"/>
        <v> </v>
      </c>
      <c r="F459" s="21"/>
    </row>
    <row r="460">
      <c r="A460" s="19">
        <v>10323.0</v>
      </c>
      <c r="B460" s="19" t="s">
        <v>496</v>
      </c>
      <c r="C460" s="20">
        <v>25052.0</v>
      </c>
      <c r="D460" s="19" t="str">
        <f t="shared" si="1"/>
        <v> </v>
      </c>
      <c r="E460" s="19" t="str">
        <f t="shared" si="2"/>
        <v> </v>
      </c>
      <c r="F460" s="21"/>
    </row>
    <row r="461">
      <c r="A461" s="19">
        <v>10327.0</v>
      </c>
      <c r="B461" s="19" t="s">
        <v>497</v>
      </c>
      <c r="C461" s="20">
        <v>18737.0</v>
      </c>
      <c r="D461" s="19" t="str">
        <f t="shared" si="1"/>
        <v> </v>
      </c>
      <c r="E461" s="19" t="str">
        <f t="shared" si="2"/>
        <v> </v>
      </c>
      <c r="F461" s="21"/>
    </row>
    <row r="462">
      <c r="A462" s="19">
        <v>10328.0</v>
      </c>
      <c r="B462" s="19" t="s">
        <v>498</v>
      </c>
      <c r="C462" s="20">
        <v>23256.0</v>
      </c>
      <c r="D462" s="19" t="str">
        <f t="shared" si="1"/>
        <v> </v>
      </c>
      <c r="E462" s="19" t="str">
        <f t="shared" si="2"/>
        <v> </v>
      </c>
      <c r="F462" s="21"/>
    </row>
    <row r="463">
      <c r="A463" s="19">
        <v>10329.0</v>
      </c>
      <c r="B463" s="19" t="s">
        <v>499</v>
      </c>
      <c r="C463" s="20">
        <v>28366.0</v>
      </c>
      <c r="D463" s="19" t="str">
        <f t="shared" si="1"/>
        <v> </v>
      </c>
      <c r="E463" s="19" t="str">
        <f t="shared" si="2"/>
        <v> </v>
      </c>
      <c r="F463" s="21"/>
    </row>
    <row r="464">
      <c r="A464" s="19">
        <v>10330.0</v>
      </c>
      <c r="B464" s="19" t="s">
        <v>500</v>
      </c>
      <c r="C464" s="20">
        <v>23562.0</v>
      </c>
      <c r="D464" s="19" t="str">
        <f t="shared" si="1"/>
        <v> </v>
      </c>
      <c r="E464" s="19" t="str">
        <f t="shared" si="2"/>
        <v> </v>
      </c>
      <c r="F464" s="21"/>
    </row>
    <row r="465">
      <c r="A465" s="19">
        <v>10332.0</v>
      </c>
      <c r="B465" s="19" t="s">
        <v>501</v>
      </c>
      <c r="C465" s="20">
        <v>12729.0</v>
      </c>
      <c r="D465" s="19" t="str">
        <f t="shared" si="1"/>
        <v> </v>
      </c>
      <c r="E465" s="19" t="str">
        <f t="shared" si="2"/>
        <v> </v>
      </c>
      <c r="F465" s="21"/>
    </row>
    <row r="466">
      <c r="A466" s="19">
        <v>10333.0</v>
      </c>
      <c r="B466" s="19" t="s">
        <v>502</v>
      </c>
      <c r="C466" s="20">
        <v>18307.0</v>
      </c>
      <c r="D466" s="19" t="str">
        <f t="shared" si="1"/>
        <v> </v>
      </c>
      <c r="E466" s="19" t="str">
        <f t="shared" si="2"/>
        <v> </v>
      </c>
      <c r="F466" s="21"/>
    </row>
    <row r="467">
      <c r="A467" s="19">
        <v>10336.0</v>
      </c>
      <c r="B467" s="19" t="s">
        <v>503</v>
      </c>
      <c r="C467" s="20">
        <v>17098.0</v>
      </c>
      <c r="D467" s="19" t="str">
        <f t="shared" si="1"/>
        <v> </v>
      </c>
      <c r="E467" s="19" t="str">
        <f t="shared" si="2"/>
        <v> </v>
      </c>
      <c r="F467" s="21"/>
    </row>
    <row r="468">
      <c r="A468" s="19">
        <v>10337.0</v>
      </c>
      <c r="B468" s="19" t="s">
        <v>504</v>
      </c>
      <c r="C468" s="20">
        <v>28137.0</v>
      </c>
      <c r="D468" s="19" t="str">
        <f t="shared" si="1"/>
        <v> </v>
      </c>
      <c r="E468" s="19" t="str">
        <f t="shared" si="2"/>
        <v> </v>
      </c>
      <c r="F468" s="21"/>
    </row>
    <row r="469">
      <c r="A469" s="19">
        <v>10338.0</v>
      </c>
      <c r="B469" s="19" t="s">
        <v>505</v>
      </c>
      <c r="C469" s="20">
        <v>34388.0</v>
      </c>
      <c r="D469" s="19" t="str">
        <f t="shared" si="1"/>
        <v> </v>
      </c>
      <c r="E469" s="19" t="str">
        <f t="shared" si="2"/>
        <v> </v>
      </c>
      <c r="F469" s="21"/>
    </row>
    <row r="470">
      <c r="A470" s="19">
        <v>10340.0</v>
      </c>
      <c r="B470" s="19" t="s">
        <v>506</v>
      </c>
      <c r="C470" s="20">
        <v>22263.0</v>
      </c>
      <c r="D470" s="19" t="str">
        <f t="shared" si="1"/>
        <v>Repeat</v>
      </c>
      <c r="E470" s="19" t="str">
        <f t="shared" si="2"/>
        <v> </v>
      </c>
      <c r="F470" s="21"/>
    </row>
    <row r="471">
      <c r="A471" s="19">
        <v>10341.0</v>
      </c>
      <c r="B471" s="19" t="s">
        <v>507</v>
      </c>
      <c r="C471" s="20">
        <v>30560.0</v>
      </c>
      <c r="D471" s="19" t="str">
        <f t="shared" si="1"/>
        <v> </v>
      </c>
      <c r="E471" s="19" t="str">
        <f t="shared" si="2"/>
        <v> </v>
      </c>
      <c r="F471" s="21"/>
    </row>
    <row r="472">
      <c r="A472" s="19">
        <v>10344.0</v>
      </c>
      <c r="B472" s="19" t="s">
        <v>508</v>
      </c>
      <c r="C472" s="20">
        <v>25289.0</v>
      </c>
      <c r="D472" s="19" t="str">
        <f t="shared" si="1"/>
        <v> </v>
      </c>
      <c r="E472" s="19" t="str">
        <f t="shared" si="2"/>
        <v> </v>
      </c>
      <c r="F472" s="21"/>
    </row>
    <row r="473">
      <c r="A473" s="19">
        <v>10348.0</v>
      </c>
      <c r="B473" s="19" t="s">
        <v>509</v>
      </c>
      <c r="C473" s="20">
        <v>28779.0</v>
      </c>
      <c r="D473" s="19" t="str">
        <f t="shared" si="1"/>
        <v> </v>
      </c>
      <c r="E473" s="19" t="str">
        <f t="shared" si="2"/>
        <v> </v>
      </c>
      <c r="F473" s="21"/>
    </row>
    <row r="474">
      <c r="A474" s="19">
        <v>10351.0</v>
      </c>
      <c r="B474" s="19" t="s">
        <v>510</v>
      </c>
      <c r="C474" s="20">
        <v>31630.0</v>
      </c>
      <c r="D474" s="19" t="str">
        <f t="shared" si="1"/>
        <v> </v>
      </c>
      <c r="E474" s="19" t="str">
        <f t="shared" si="2"/>
        <v> </v>
      </c>
      <c r="F474" s="21"/>
    </row>
    <row r="475">
      <c r="A475" s="19">
        <v>10355.0</v>
      </c>
      <c r="B475" s="19" t="s">
        <v>511</v>
      </c>
      <c r="C475" s="20">
        <v>29845.0</v>
      </c>
      <c r="D475" s="19" t="str">
        <f t="shared" si="1"/>
        <v> </v>
      </c>
      <c r="E475" s="19" t="str">
        <f t="shared" si="2"/>
        <v> </v>
      </c>
      <c r="F475" s="21"/>
    </row>
    <row r="476">
      <c r="A476" s="19">
        <v>10356.0</v>
      </c>
      <c r="B476" s="19" t="s">
        <v>512</v>
      </c>
      <c r="C476" s="20">
        <v>21546.0</v>
      </c>
      <c r="D476" s="19" t="str">
        <f t="shared" si="1"/>
        <v> </v>
      </c>
      <c r="E476" s="19" t="str">
        <f t="shared" si="2"/>
        <v> </v>
      </c>
      <c r="F476" s="21"/>
    </row>
    <row r="477">
      <c r="A477" s="19">
        <v>10357.0</v>
      </c>
      <c r="B477" s="19" t="s">
        <v>513</v>
      </c>
      <c r="C477" s="20">
        <v>27914.0</v>
      </c>
      <c r="D477" s="19" t="str">
        <f t="shared" si="1"/>
        <v> </v>
      </c>
      <c r="E477" s="19" t="str">
        <f t="shared" si="2"/>
        <v> </v>
      </c>
      <c r="F477" s="21"/>
    </row>
    <row r="478">
      <c r="A478" s="19">
        <v>10359.0</v>
      </c>
      <c r="B478" s="19" t="s">
        <v>514</v>
      </c>
      <c r="C478" s="20">
        <v>21397.0</v>
      </c>
      <c r="D478" s="19" t="str">
        <f t="shared" si="1"/>
        <v> </v>
      </c>
      <c r="E478" s="19" t="str">
        <f t="shared" si="2"/>
        <v> </v>
      </c>
      <c r="F478" s="21"/>
    </row>
    <row r="479">
      <c r="A479" s="19">
        <v>10362.0</v>
      </c>
      <c r="B479" s="19" t="s">
        <v>515</v>
      </c>
      <c r="C479" s="20">
        <v>22527.0</v>
      </c>
      <c r="D479" s="19" t="str">
        <f t="shared" si="1"/>
        <v> </v>
      </c>
      <c r="E479" s="19" t="str">
        <f t="shared" si="2"/>
        <v> </v>
      </c>
      <c r="F479" s="21"/>
    </row>
    <row r="480">
      <c r="A480" s="19">
        <v>10364.0</v>
      </c>
      <c r="B480" s="19" t="s">
        <v>516</v>
      </c>
      <c r="C480" s="20">
        <v>20316.0</v>
      </c>
      <c r="D480" s="19" t="str">
        <f t="shared" si="1"/>
        <v> </v>
      </c>
      <c r="E480" s="19" t="str">
        <f t="shared" si="2"/>
        <v> </v>
      </c>
      <c r="F480" s="21"/>
    </row>
    <row r="481">
      <c r="A481" s="19">
        <v>10366.0</v>
      </c>
      <c r="B481" s="19" t="s">
        <v>517</v>
      </c>
      <c r="C481" s="20">
        <v>16372.0</v>
      </c>
      <c r="D481" s="19" t="str">
        <f t="shared" si="1"/>
        <v> </v>
      </c>
      <c r="E481" s="19" t="str">
        <f t="shared" si="2"/>
        <v> </v>
      </c>
      <c r="F481" s="21"/>
    </row>
    <row r="482">
      <c r="A482" s="19">
        <v>10368.0</v>
      </c>
      <c r="B482" s="19" t="s">
        <v>518</v>
      </c>
      <c r="C482" s="20">
        <v>29922.0</v>
      </c>
      <c r="D482" s="19" t="str">
        <f t="shared" si="1"/>
        <v> </v>
      </c>
      <c r="E482" s="19" t="str">
        <f t="shared" si="2"/>
        <v> </v>
      </c>
      <c r="F482" s="21"/>
    </row>
    <row r="483">
      <c r="A483" s="19">
        <v>10374.0</v>
      </c>
      <c r="B483" s="19" t="s">
        <v>519</v>
      </c>
      <c r="C483" s="20">
        <v>18737.0</v>
      </c>
      <c r="D483" s="19" t="str">
        <f t="shared" si="1"/>
        <v> </v>
      </c>
      <c r="E483" s="19" t="str">
        <f t="shared" si="2"/>
        <v> </v>
      </c>
      <c r="F483" s="21"/>
    </row>
    <row r="484">
      <c r="A484" s="19">
        <v>10375.0</v>
      </c>
      <c r="B484" s="19" t="s">
        <v>520</v>
      </c>
      <c r="C484" s="20">
        <v>22634.0</v>
      </c>
      <c r="D484" s="19" t="str">
        <f t="shared" si="1"/>
        <v>Repeat</v>
      </c>
      <c r="E484" s="19" t="str">
        <f t="shared" si="2"/>
        <v> </v>
      </c>
      <c r="F484" s="21"/>
    </row>
    <row r="485">
      <c r="A485" s="19">
        <v>10376.0</v>
      </c>
      <c r="B485" s="19" t="s">
        <v>521</v>
      </c>
      <c r="C485" s="20">
        <v>22381.0</v>
      </c>
      <c r="D485" s="19" t="str">
        <f t="shared" si="1"/>
        <v> </v>
      </c>
      <c r="E485" s="19" t="str">
        <f t="shared" si="2"/>
        <v> </v>
      </c>
      <c r="F485" s="21"/>
    </row>
    <row r="486">
      <c r="A486" s="19">
        <v>10377.0</v>
      </c>
      <c r="B486" s="19" t="s">
        <v>522</v>
      </c>
      <c r="C486" s="20">
        <v>20263.0</v>
      </c>
      <c r="D486" s="19" t="str">
        <f t="shared" si="1"/>
        <v> </v>
      </c>
      <c r="E486" s="19" t="str">
        <f t="shared" si="2"/>
        <v> </v>
      </c>
      <c r="F486" s="21"/>
    </row>
    <row r="487">
      <c r="A487" s="19">
        <v>10378.0</v>
      </c>
      <c r="B487" s="19" t="s">
        <v>520</v>
      </c>
      <c r="C487" s="20">
        <v>24054.0</v>
      </c>
      <c r="D487" s="19" t="str">
        <f t="shared" si="1"/>
        <v>Repeat</v>
      </c>
      <c r="E487" s="19" t="str">
        <f t="shared" si="2"/>
        <v> </v>
      </c>
      <c r="F487" s="21"/>
    </row>
    <row r="488">
      <c r="A488" s="19">
        <v>10379.0</v>
      </c>
      <c r="B488" s="19" t="s">
        <v>523</v>
      </c>
      <c r="C488" s="20">
        <v>18943.0</v>
      </c>
      <c r="D488" s="19" t="str">
        <f t="shared" si="1"/>
        <v> </v>
      </c>
      <c r="E488" s="19" t="str">
        <f t="shared" si="2"/>
        <v> </v>
      </c>
      <c r="F488" s="21"/>
    </row>
    <row r="489">
      <c r="A489" s="19">
        <v>10380.0</v>
      </c>
      <c r="B489" s="19" t="s">
        <v>524</v>
      </c>
      <c r="C489" s="20">
        <v>17576.0</v>
      </c>
      <c r="D489" s="19" t="str">
        <f t="shared" si="1"/>
        <v> </v>
      </c>
      <c r="E489" s="19" t="str">
        <f t="shared" si="2"/>
        <v> </v>
      </c>
      <c r="F489" s="21"/>
    </row>
    <row r="490">
      <c r="A490" s="19">
        <v>10381.0</v>
      </c>
      <c r="B490" s="19" t="s">
        <v>525</v>
      </c>
      <c r="C490" s="20">
        <v>15865.0</v>
      </c>
      <c r="D490" s="19" t="str">
        <f t="shared" si="1"/>
        <v> </v>
      </c>
      <c r="E490" s="19" t="str">
        <f t="shared" si="2"/>
        <v> </v>
      </c>
      <c r="F490" s="21"/>
    </row>
    <row r="491">
      <c r="A491" s="19">
        <v>10387.0</v>
      </c>
      <c r="B491" s="19" t="s">
        <v>526</v>
      </c>
      <c r="C491" s="20">
        <v>24045.0</v>
      </c>
      <c r="D491" s="19" t="str">
        <f t="shared" si="1"/>
        <v> </v>
      </c>
      <c r="E491" s="19" t="str">
        <f t="shared" si="2"/>
        <v> </v>
      </c>
      <c r="F491" s="21"/>
    </row>
    <row r="492">
      <c r="A492" s="19">
        <v>10392.0</v>
      </c>
      <c r="B492" s="19" t="s">
        <v>527</v>
      </c>
      <c r="C492" s="20">
        <v>31105.0</v>
      </c>
      <c r="D492" s="19" t="str">
        <f t="shared" si="1"/>
        <v> </v>
      </c>
      <c r="E492" s="19" t="str">
        <f t="shared" si="2"/>
        <v> </v>
      </c>
      <c r="F492" s="21"/>
    </row>
    <row r="493">
      <c r="A493" s="19">
        <v>10393.0</v>
      </c>
      <c r="B493" s="19" t="s">
        <v>528</v>
      </c>
      <c r="C493" s="20">
        <v>18677.0</v>
      </c>
      <c r="D493" s="19" t="str">
        <f t="shared" si="1"/>
        <v> </v>
      </c>
      <c r="E493" s="19" t="str">
        <f t="shared" si="2"/>
        <v> </v>
      </c>
      <c r="F493" s="21"/>
    </row>
    <row r="494">
      <c r="A494" s="19">
        <v>10395.0</v>
      </c>
      <c r="B494" s="19" t="s">
        <v>529</v>
      </c>
      <c r="C494" s="20">
        <v>16600.0</v>
      </c>
      <c r="D494" s="19" t="str">
        <f t="shared" si="1"/>
        <v> </v>
      </c>
      <c r="E494" s="19" t="str">
        <f t="shared" si="2"/>
        <v> </v>
      </c>
      <c r="F494" s="21"/>
    </row>
    <row r="495">
      <c r="A495" s="19">
        <v>10397.0</v>
      </c>
      <c r="B495" s="19" t="s">
        <v>530</v>
      </c>
      <c r="C495" s="20">
        <v>21654.0</v>
      </c>
      <c r="D495" s="19" t="str">
        <f t="shared" si="1"/>
        <v> </v>
      </c>
      <c r="E495" s="19" t="str">
        <f t="shared" si="2"/>
        <v> </v>
      </c>
      <c r="F495" s="21"/>
    </row>
    <row r="496">
      <c r="A496" s="19">
        <v>10398.0</v>
      </c>
      <c r="B496" s="19" t="s">
        <v>531</v>
      </c>
      <c r="C496" s="20">
        <v>35333.0</v>
      </c>
      <c r="D496" s="19" t="str">
        <f t="shared" si="1"/>
        <v> </v>
      </c>
      <c r="E496" s="19" t="str">
        <f t="shared" si="2"/>
        <v> </v>
      </c>
      <c r="F496" s="21"/>
    </row>
    <row r="497">
      <c r="A497" s="19">
        <v>10399.0</v>
      </c>
      <c r="B497" s="19" t="s">
        <v>532</v>
      </c>
      <c r="C497" s="20">
        <v>29259.0</v>
      </c>
      <c r="D497" s="19" t="str">
        <f t="shared" si="1"/>
        <v> </v>
      </c>
      <c r="E497" s="19" t="str">
        <f t="shared" si="2"/>
        <v> </v>
      </c>
      <c r="F497" s="21"/>
    </row>
    <row r="498">
      <c r="A498" s="19">
        <v>10400.0</v>
      </c>
      <c r="B498" s="19" t="s">
        <v>533</v>
      </c>
      <c r="C498" s="20">
        <v>23351.0</v>
      </c>
      <c r="D498" s="19" t="str">
        <f t="shared" si="1"/>
        <v> </v>
      </c>
      <c r="E498" s="19" t="str">
        <f t="shared" si="2"/>
        <v> </v>
      </c>
      <c r="F498" s="21"/>
    </row>
    <row r="499">
      <c r="A499" s="19">
        <v>10407.0</v>
      </c>
      <c r="B499" s="19" t="s">
        <v>534</v>
      </c>
      <c r="C499" s="20">
        <v>21435.0</v>
      </c>
      <c r="D499" s="19" t="str">
        <f t="shared" si="1"/>
        <v> </v>
      </c>
      <c r="E499" s="19" t="str">
        <f t="shared" si="2"/>
        <v> </v>
      </c>
      <c r="F499" s="21"/>
    </row>
    <row r="500">
      <c r="A500" s="19">
        <v>10408.0</v>
      </c>
      <c r="B500" s="19" t="s">
        <v>535</v>
      </c>
      <c r="C500" s="20">
        <v>20647.0</v>
      </c>
      <c r="D500" s="19" t="str">
        <f t="shared" si="1"/>
        <v> </v>
      </c>
      <c r="E500" s="19" t="str">
        <f t="shared" si="2"/>
        <v> </v>
      </c>
      <c r="F500" s="21"/>
    </row>
    <row r="501">
      <c r="A501" s="22">
        <v>10411.0</v>
      </c>
      <c r="B501" s="22" t="s">
        <v>536</v>
      </c>
      <c r="C501" s="23">
        <v>28569.0</v>
      </c>
      <c r="D501" s="19" t="str">
        <f t="shared" si="1"/>
        <v>Repeat</v>
      </c>
      <c r="E501" s="19" t="str">
        <f t="shared" si="2"/>
        <v> </v>
      </c>
      <c r="F501" s="21"/>
    </row>
    <row r="502">
      <c r="A502" s="19">
        <v>10415.0</v>
      </c>
      <c r="B502" s="19" t="s">
        <v>537</v>
      </c>
      <c r="C502" s="20">
        <v>25164.0</v>
      </c>
      <c r="D502" s="19" t="str">
        <f t="shared" si="1"/>
        <v> </v>
      </c>
      <c r="E502" s="19" t="str">
        <f t="shared" si="2"/>
        <v> </v>
      </c>
      <c r="F502" s="21"/>
    </row>
    <row r="503">
      <c r="A503" s="19">
        <v>10416.0</v>
      </c>
      <c r="B503" s="19" t="s">
        <v>538</v>
      </c>
      <c r="C503" s="20">
        <v>18695.0</v>
      </c>
      <c r="D503" s="19" t="str">
        <f t="shared" si="1"/>
        <v> </v>
      </c>
      <c r="E503" s="19" t="str">
        <f t="shared" si="2"/>
        <v> </v>
      </c>
      <c r="F503" s="21"/>
    </row>
    <row r="504">
      <c r="A504" s="19">
        <v>10419.0</v>
      </c>
      <c r="B504" s="19" t="s">
        <v>539</v>
      </c>
      <c r="C504" s="20">
        <v>32869.0</v>
      </c>
      <c r="D504" s="19" t="str">
        <f t="shared" si="1"/>
        <v> </v>
      </c>
      <c r="E504" s="19" t="str">
        <f t="shared" si="2"/>
        <v> </v>
      </c>
      <c r="F504" s="21"/>
    </row>
    <row r="505">
      <c r="A505" s="19">
        <v>10420.0</v>
      </c>
      <c r="B505" s="19" t="s">
        <v>540</v>
      </c>
      <c r="C505" s="20">
        <v>30575.0</v>
      </c>
      <c r="D505" s="19" t="str">
        <f t="shared" si="1"/>
        <v> </v>
      </c>
      <c r="E505" s="19" t="str">
        <f t="shared" si="2"/>
        <v> </v>
      </c>
      <c r="F505" s="21"/>
    </row>
    <row r="506">
      <c r="A506" s="19">
        <v>10422.0</v>
      </c>
      <c r="B506" s="19" t="s">
        <v>541</v>
      </c>
      <c r="C506" s="20">
        <v>19404.0</v>
      </c>
      <c r="D506" s="19" t="str">
        <f t="shared" si="1"/>
        <v> </v>
      </c>
      <c r="E506" s="19" t="str">
        <f t="shared" si="2"/>
        <v> </v>
      </c>
      <c r="F506" s="21"/>
    </row>
    <row r="507">
      <c r="A507" s="19">
        <v>10424.0</v>
      </c>
      <c r="B507" s="19" t="s">
        <v>542</v>
      </c>
      <c r="C507" s="20">
        <v>27435.0</v>
      </c>
      <c r="D507" s="19" t="str">
        <f t="shared" si="1"/>
        <v> </v>
      </c>
      <c r="E507" s="19" t="str">
        <f t="shared" si="2"/>
        <v> </v>
      </c>
      <c r="F507" s="21"/>
    </row>
    <row r="508">
      <c r="A508" s="19">
        <v>10427.0</v>
      </c>
      <c r="B508" s="19" t="s">
        <v>543</v>
      </c>
      <c r="C508" s="20">
        <v>21546.0</v>
      </c>
      <c r="D508" s="19" t="str">
        <f t="shared" si="1"/>
        <v> </v>
      </c>
      <c r="E508" s="19" t="str">
        <f t="shared" si="2"/>
        <v> </v>
      </c>
      <c r="F508" s="21"/>
    </row>
    <row r="509">
      <c r="A509" s="19">
        <v>10429.0</v>
      </c>
      <c r="B509" s="19" t="s">
        <v>544</v>
      </c>
      <c r="C509" s="20">
        <v>16572.0</v>
      </c>
      <c r="D509" s="19" t="str">
        <f t="shared" si="1"/>
        <v> </v>
      </c>
      <c r="E509" s="19" t="str">
        <f t="shared" si="2"/>
        <v> </v>
      </c>
      <c r="F509" s="21"/>
    </row>
    <row r="510">
      <c r="A510" s="19">
        <v>10431.0</v>
      </c>
      <c r="B510" s="19" t="s">
        <v>545</v>
      </c>
      <c r="C510" s="20">
        <v>19921.0</v>
      </c>
      <c r="D510" s="19" t="str">
        <f t="shared" si="1"/>
        <v> </v>
      </c>
      <c r="E510" s="19" t="str">
        <f t="shared" si="2"/>
        <v> </v>
      </c>
      <c r="F510" s="21"/>
    </row>
    <row r="511">
      <c r="A511" s="19">
        <v>10432.0</v>
      </c>
      <c r="B511" s="19" t="s">
        <v>546</v>
      </c>
      <c r="C511" s="20">
        <v>19914.0</v>
      </c>
      <c r="D511" s="19" t="str">
        <f t="shared" si="1"/>
        <v> </v>
      </c>
      <c r="E511" s="19" t="str">
        <f t="shared" si="2"/>
        <v> </v>
      </c>
      <c r="F511" s="21"/>
    </row>
    <row r="512">
      <c r="A512" s="19">
        <v>10433.0</v>
      </c>
      <c r="B512" s="19" t="s">
        <v>547</v>
      </c>
      <c r="C512" s="20">
        <v>23083.0</v>
      </c>
      <c r="D512" s="19" t="str">
        <f t="shared" si="1"/>
        <v> </v>
      </c>
      <c r="E512" s="19" t="str">
        <f t="shared" si="2"/>
        <v> </v>
      </c>
      <c r="F512" s="21"/>
    </row>
    <row r="513">
      <c r="A513" s="19">
        <v>10439.0</v>
      </c>
      <c r="B513" s="19" t="s">
        <v>548</v>
      </c>
      <c r="C513" s="20">
        <v>19159.0</v>
      </c>
      <c r="D513" s="19" t="str">
        <f t="shared" si="1"/>
        <v> </v>
      </c>
      <c r="E513" s="19" t="str">
        <f t="shared" si="2"/>
        <v> </v>
      </c>
      <c r="F513" s="21"/>
    </row>
    <row r="514">
      <c r="A514" s="19">
        <v>10442.0</v>
      </c>
      <c r="B514" s="19" t="s">
        <v>549</v>
      </c>
      <c r="C514" s="20">
        <v>26703.0</v>
      </c>
      <c r="D514" s="19" t="str">
        <f t="shared" si="1"/>
        <v> </v>
      </c>
      <c r="E514" s="19" t="str">
        <f t="shared" si="2"/>
        <v> </v>
      </c>
      <c r="F514" s="21"/>
    </row>
    <row r="515">
      <c r="A515" s="19">
        <v>10444.0</v>
      </c>
      <c r="B515" s="19" t="s">
        <v>550</v>
      </c>
      <c r="C515" s="20">
        <v>26614.0</v>
      </c>
      <c r="D515" s="19" t="str">
        <f t="shared" si="1"/>
        <v> </v>
      </c>
      <c r="E515" s="19" t="str">
        <f t="shared" si="2"/>
        <v> </v>
      </c>
      <c r="F515" s="21"/>
    </row>
    <row r="516">
      <c r="A516" s="19">
        <v>10445.0</v>
      </c>
      <c r="B516" s="19" t="s">
        <v>551</v>
      </c>
      <c r="C516" s="20">
        <v>16254.0</v>
      </c>
      <c r="D516" s="19" t="str">
        <f t="shared" si="1"/>
        <v> </v>
      </c>
      <c r="E516" s="19" t="str">
        <f t="shared" si="2"/>
        <v> </v>
      </c>
      <c r="F516" s="21"/>
    </row>
    <row r="517">
      <c r="A517" s="19">
        <v>10447.0</v>
      </c>
      <c r="B517" s="19" t="s">
        <v>552</v>
      </c>
      <c r="C517" s="20">
        <v>28282.0</v>
      </c>
      <c r="D517" s="19" t="str">
        <f t="shared" si="1"/>
        <v> </v>
      </c>
      <c r="E517" s="19" t="str">
        <f t="shared" si="2"/>
        <v> </v>
      </c>
      <c r="F517" s="21"/>
    </row>
    <row r="518">
      <c r="A518" s="19">
        <v>10452.0</v>
      </c>
      <c r="B518" s="19" t="s">
        <v>553</v>
      </c>
      <c r="C518" s="20">
        <v>10601.0</v>
      </c>
      <c r="D518" s="19" t="str">
        <f t="shared" si="1"/>
        <v> </v>
      </c>
      <c r="E518" s="19" t="str">
        <f t="shared" si="2"/>
        <v> </v>
      </c>
      <c r="F518" s="21"/>
    </row>
    <row r="519">
      <c r="A519" s="19">
        <v>10453.0</v>
      </c>
      <c r="B519" s="19" t="s">
        <v>554</v>
      </c>
      <c r="C519" s="20">
        <v>28207.0</v>
      </c>
      <c r="D519" s="19" t="str">
        <f t="shared" si="1"/>
        <v> </v>
      </c>
      <c r="E519" s="19" t="str">
        <f t="shared" si="2"/>
        <v> </v>
      </c>
      <c r="F519" s="21"/>
    </row>
    <row r="520">
      <c r="A520" s="19">
        <v>10460.0</v>
      </c>
      <c r="B520" s="19" t="s">
        <v>555</v>
      </c>
      <c r="C520" s="20">
        <v>28667.0</v>
      </c>
      <c r="D520" s="19" t="str">
        <f t="shared" si="1"/>
        <v>Repeat</v>
      </c>
      <c r="E520" s="19" t="str">
        <f t="shared" si="2"/>
        <v> </v>
      </c>
      <c r="F520" s="21"/>
    </row>
    <row r="521">
      <c r="A521" s="19">
        <v>10462.0</v>
      </c>
      <c r="B521" s="19" t="s">
        <v>556</v>
      </c>
      <c r="C521" s="20">
        <v>22119.0</v>
      </c>
      <c r="D521" s="19" t="str">
        <f t="shared" si="1"/>
        <v>Repeat</v>
      </c>
      <c r="E521" s="19" t="str">
        <f t="shared" si="2"/>
        <v> </v>
      </c>
      <c r="F521" s="21"/>
    </row>
    <row r="522">
      <c r="A522" s="19">
        <v>10464.0</v>
      </c>
      <c r="B522" s="19" t="s">
        <v>557</v>
      </c>
      <c r="C522" s="20">
        <v>21820.0</v>
      </c>
      <c r="D522" s="19" t="str">
        <f t="shared" si="1"/>
        <v> </v>
      </c>
      <c r="E522" s="19" t="str">
        <f t="shared" si="2"/>
        <v> </v>
      </c>
      <c r="F522" s="21"/>
    </row>
    <row r="523">
      <c r="A523" s="19">
        <v>10465.0</v>
      </c>
      <c r="B523" s="19" t="s">
        <v>558</v>
      </c>
      <c r="C523" s="20">
        <v>32325.0</v>
      </c>
      <c r="D523" s="19" t="str">
        <f t="shared" si="1"/>
        <v> </v>
      </c>
      <c r="E523" s="19" t="str">
        <f t="shared" si="2"/>
        <v> </v>
      </c>
      <c r="F523" s="21"/>
    </row>
    <row r="524">
      <c r="A524" s="19">
        <v>10466.0</v>
      </c>
      <c r="B524" s="19" t="s">
        <v>559</v>
      </c>
      <c r="C524" s="20">
        <v>20330.0</v>
      </c>
      <c r="D524" s="19" t="str">
        <f t="shared" si="1"/>
        <v> </v>
      </c>
      <c r="E524" s="19" t="str">
        <f t="shared" si="2"/>
        <v> </v>
      </c>
      <c r="F524" s="21"/>
    </row>
    <row r="525">
      <c r="A525" s="19">
        <v>10467.0</v>
      </c>
      <c r="B525" s="19" t="s">
        <v>560</v>
      </c>
      <c r="C525" s="20">
        <v>18038.0</v>
      </c>
      <c r="D525" s="19" t="str">
        <f t="shared" si="1"/>
        <v> </v>
      </c>
      <c r="E525" s="19" t="str">
        <f t="shared" si="2"/>
        <v> </v>
      </c>
      <c r="F525" s="21"/>
    </row>
    <row r="526">
      <c r="A526" s="19">
        <v>10474.0</v>
      </c>
      <c r="B526" s="19" t="s">
        <v>561</v>
      </c>
      <c r="C526" s="20">
        <v>20952.0</v>
      </c>
      <c r="D526" s="19" t="str">
        <f t="shared" si="1"/>
        <v> </v>
      </c>
      <c r="E526" s="19" t="str">
        <f t="shared" si="2"/>
        <v> </v>
      </c>
      <c r="F526" s="21"/>
    </row>
    <row r="527">
      <c r="A527" s="19">
        <v>10477.0</v>
      </c>
      <c r="B527" s="19" t="s">
        <v>562</v>
      </c>
      <c r="C527" s="20">
        <v>20553.0</v>
      </c>
      <c r="D527" s="19" t="str">
        <f t="shared" si="1"/>
        <v> </v>
      </c>
      <c r="E527" s="19" t="str">
        <f t="shared" si="2"/>
        <v> </v>
      </c>
      <c r="F527" s="21"/>
    </row>
    <row r="528">
      <c r="A528" s="19">
        <v>10478.0</v>
      </c>
      <c r="B528" s="19" t="s">
        <v>563</v>
      </c>
      <c r="C528" s="20">
        <v>21138.0</v>
      </c>
      <c r="D528" s="19" t="str">
        <f t="shared" si="1"/>
        <v> </v>
      </c>
      <c r="E528" s="19" t="str">
        <f t="shared" si="2"/>
        <v> </v>
      </c>
      <c r="F528" s="21"/>
    </row>
    <row r="529">
      <c r="A529" s="19">
        <v>10479.0</v>
      </c>
      <c r="B529" s="19" t="s">
        <v>564</v>
      </c>
      <c r="C529" s="20">
        <v>19822.0</v>
      </c>
      <c r="D529" s="19" t="str">
        <f t="shared" si="1"/>
        <v> </v>
      </c>
      <c r="E529" s="19" t="str">
        <f t="shared" si="2"/>
        <v> </v>
      </c>
      <c r="F529" s="21"/>
    </row>
    <row r="530">
      <c r="A530" s="19">
        <v>10480.0</v>
      </c>
      <c r="B530" s="19" t="s">
        <v>565</v>
      </c>
      <c r="C530" s="20">
        <v>19352.0</v>
      </c>
      <c r="D530" s="19" t="str">
        <f t="shared" si="1"/>
        <v> </v>
      </c>
      <c r="E530" s="19" t="str">
        <f t="shared" si="2"/>
        <v> </v>
      </c>
      <c r="F530" s="21"/>
    </row>
    <row r="531">
      <c r="A531" s="19">
        <v>10481.0</v>
      </c>
      <c r="B531" s="19" t="s">
        <v>566</v>
      </c>
      <c r="C531" s="20">
        <v>22006.0</v>
      </c>
      <c r="D531" s="19" t="str">
        <f t="shared" si="1"/>
        <v> </v>
      </c>
      <c r="E531" s="19" t="str">
        <f t="shared" si="2"/>
        <v> </v>
      </c>
      <c r="F531" s="21"/>
    </row>
    <row r="532">
      <c r="A532" s="19">
        <v>10482.0</v>
      </c>
      <c r="B532" s="19" t="s">
        <v>567</v>
      </c>
      <c r="C532" s="20">
        <v>34497.0</v>
      </c>
      <c r="D532" s="19" t="str">
        <f t="shared" si="1"/>
        <v> </v>
      </c>
      <c r="E532" s="19" t="str">
        <f t="shared" si="2"/>
        <v> </v>
      </c>
      <c r="F532" s="21"/>
    </row>
    <row r="533">
      <c r="A533" s="19">
        <v>10484.0</v>
      </c>
      <c r="B533" s="19" t="s">
        <v>568</v>
      </c>
      <c r="C533" s="20">
        <v>13142.0</v>
      </c>
      <c r="D533" s="19" t="str">
        <f t="shared" si="1"/>
        <v> </v>
      </c>
      <c r="E533" s="19" t="str">
        <f t="shared" si="2"/>
        <v> </v>
      </c>
      <c r="F533" s="21"/>
    </row>
    <row r="534">
      <c r="A534" s="19">
        <v>10485.0</v>
      </c>
      <c r="B534" s="19" t="s">
        <v>569</v>
      </c>
      <c r="C534" s="20">
        <v>19730.0</v>
      </c>
      <c r="D534" s="19" t="str">
        <f t="shared" si="1"/>
        <v> </v>
      </c>
      <c r="E534" s="19" t="str">
        <f t="shared" si="2"/>
        <v> </v>
      </c>
      <c r="F534" s="21"/>
    </row>
    <row r="535">
      <c r="A535" s="19">
        <v>10489.0</v>
      </c>
      <c r="B535" s="19" t="s">
        <v>570</v>
      </c>
      <c r="C535" s="20">
        <v>19453.0</v>
      </c>
      <c r="D535" s="19" t="str">
        <f t="shared" si="1"/>
        <v> </v>
      </c>
      <c r="E535" s="19" t="str">
        <f t="shared" si="2"/>
        <v> </v>
      </c>
      <c r="F535" s="21"/>
    </row>
    <row r="536">
      <c r="A536" s="19">
        <v>10490.0</v>
      </c>
      <c r="B536" s="19" t="s">
        <v>571</v>
      </c>
      <c r="C536" s="20">
        <v>11565.0</v>
      </c>
      <c r="D536" s="19" t="str">
        <f t="shared" si="1"/>
        <v> </v>
      </c>
      <c r="E536" s="19" t="str">
        <f t="shared" si="2"/>
        <v> </v>
      </c>
      <c r="F536" s="21"/>
    </row>
    <row r="537">
      <c r="A537" s="19">
        <v>10495.0</v>
      </c>
      <c r="B537" s="19" t="s">
        <v>572</v>
      </c>
      <c r="C537" s="20">
        <v>25088.0</v>
      </c>
      <c r="D537" s="19" t="str">
        <f t="shared" si="1"/>
        <v> </v>
      </c>
      <c r="E537" s="19" t="str">
        <f t="shared" si="2"/>
        <v> </v>
      </c>
      <c r="F537" s="21"/>
    </row>
    <row r="538">
      <c r="A538" s="19">
        <v>10496.0</v>
      </c>
      <c r="B538" s="19" t="s">
        <v>573</v>
      </c>
      <c r="C538" s="20">
        <v>11480.0</v>
      </c>
      <c r="D538" s="19" t="str">
        <f t="shared" si="1"/>
        <v> </v>
      </c>
      <c r="E538" s="19" t="str">
        <f t="shared" si="2"/>
        <v> </v>
      </c>
      <c r="F538" s="21"/>
    </row>
    <row r="539">
      <c r="A539" s="19">
        <v>10497.0</v>
      </c>
      <c r="B539" s="19" t="s">
        <v>574</v>
      </c>
      <c r="C539" s="20">
        <v>13368.0</v>
      </c>
      <c r="D539" s="19" t="str">
        <f t="shared" si="1"/>
        <v> </v>
      </c>
      <c r="E539" s="19" t="str">
        <f t="shared" si="2"/>
        <v> </v>
      </c>
      <c r="F539" s="21"/>
    </row>
    <row r="540">
      <c r="A540" s="19">
        <v>10498.0</v>
      </c>
      <c r="B540" s="19" t="s">
        <v>575</v>
      </c>
      <c r="C540" s="20">
        <v>28308.0</v>
      </c>
      <c r="D540" s="19" t="str">
        <f t="shared" si="1"/>
        <v> </v>
      </c>
      <c r="E540" s="19" t="str">
        <f t="shared" si="2"/>
        <v> </v>
      </c>
      <c r="F540" s="21"/>
    </row>
    <row r="541">
      <c r="A541" s="19">
        <v>10500.0</v>
      </c>
      <c r="B541" s="19" t="s">
        <v>576</v>
      </c>
      <c r="C541" s="20">
        <v>23302.0</v>
      </c>
      <c r="D541" s="19" t="str">
        <f t="shared" si="1"/>
        <v> </v>
      </c>
      <c r="E541" s="19" t="str">
        <f t="shared" si="2"/>
        <v> </v>
      </c>
      <c r="F541" s="21"/>
    </row>
    <row r="542">
      <c r="A542" s="19">
        <v>10506.0</v>
      </c>
      <c r="B542" s="19" t="s">
        <v>577</v>
      </c>
      <c r="C542" s="20">
        <v>11263.0</v>
      </c>
      <c r="D542" s="19" t="str">
        <f t="shared" si="1"/>
        <v> </v>
      </c>
      <c r="E542" s="19" t="str">
        <f t="shared" si="2"/>
        <v> </v>
      </c>
      <c r="F542" s="21"/>
    </row>
    <row r="543">
      <c r="A543" s="19">
        <v>10507.0</v>
      </c>
      <c r="B543" s="19" t="s">
        <v>578</v>
      </c>
      <c r="C543" s="20">
        <v>27218.0</v>
      </c>
      <c r="D543" s="19" t="str">
        <f t="shared" si="1"/>
        <v> </v>
      </c>
      <c r="E543" s="19" t="str">
        <f t="shared" si="2"/>
        <v> </v>
      </c>
      <c r="F543" s="21"/>
    </row>
    <row r="544">
      <c r="A544" s="19">
        <v>10509.0</v>
      </c>
      <c r="B544" s="19" t="s">
        <v>579</v>
      </c>
      <c r="C544" s="20">
        <v>20407.0</v>
      </c>
      <c r="D544" s="19" t="str">
        <f t="shared" si="1"/>
        <v> </v>
      </c>
      <c r="E544" s="19" t="str">
        <f t="shared" si="2"/>
        <v> </v>
      </c>
      <c r="F544" s="21"/>
    </row>
    <row r="545">
      <c r="A545" s="19">
        <v>10516.0</v>
      </c>
      <c r="B545" s="19" t="s">
        <v>580</v>
      </c>
      <c r="C545" s="20">
        <v>25305.0</v>
      </c>
      <c r="D545" s="19" t="str">
        <f t="shared" si="1"/>
        <v> </v>
      </c>
      <c r="E545" s="19" t="str">
        <f t="shared" si="2"/>
        <v> </v>
      </c>
      <c r="F545" s="21"/>
    </row>
    <row r="546">
      <c r="A546" s="19">
        <v>10517.0</v>
      </c>
      <c r="B546" s="19" t="s">
        <v>581</v>
      </c>
      <c r="C546" s="20">
        <v>26866.0</v>
      </c>
      <c r="D546" s="19" t="str">
        <f t="shared" si="1"/>
        <v> </v>
      </c>
      <c r="E546" s="19" t="str">
        <f t="shared" si="2"/>
        <v> </v>
      </c>
      <c r="F546" s="21"/>
    </row>
    <row r="547">
      <c r="A547" s="19">
        <v>10520.0</v>
      </c>
      <c r="B547" s="19" t="s">
        <v>582</v>
      </c>
      <c r="C547" s="20">
        <v>24501.0</v>
      </c>
      <c r="D547" s="19" t="str">
        <f t="shared" si="1"/>
        <v> </v>
      </c>
      <c r="E547" s="19" t="str">
        <f t="shared" si="2"/>
        <v> </v>
      </c>
      <c r="F547" s="21"/>
    </row>
    <row r="548">
      <c r="A548" s="19">
        <v>10521.0</v>
      </c>
      <c r="B548" s="19" t="s">
        <v>583</v>
      </c>
      <c r="C548" s="20">
        <v>22660.0</v>
      </c>
      <c r="D548" s="19" t="str">
        <f t="shared" si="1"/>
        <v> </v>
      </c>
      <c r="E548" s="19" t="str">
        <f t="shared" si="2"/>
        <v> </v>
      </c>
      <c r="F548" s="21"/>
    </row>
    <row r="549">
      <c r="A549" s="19">
        <v>10522.0</v>
      </c>
      <c r="B549" s="19" t="s">
        <v>584</v>
      </c>
      <c r="C549" s="20">
        <v>30079.0</v>
      </c>
      <c r="D549" s="19" t="str">
        <f t="shared" si="1"/>
        <v> </v>
      </c>
      <c r="E549" s="19" t="str">
        <f t="shared" si="2"/>
        <v> </v>
      </c>
      <c r="F549" s="21"/>
    </row>
    <row r="550">
      <c r="A550" s="19">
        <v>10523.0</v>
      </c>
      <c r="B550" s="19" t="s">
        <v>585</v>
      </c>
      <c r="C550" s="20">
        <v>16599.0</v>
      </c>
      <c r="D550" s="19" t="str">
        <f t="shared" si="1"/>
        <v> </v>
      </c>
      <c r="E550" s="19" t="str">
        <f t="shared" si="2"/>
        <v> </v>
      </c>
      <c r="F550" s="21"/>
    </row>
    <row r="551">
      <c r="A551" s="19">
        <v>10524.0</v>
      </c>
      <c r="B551" s="19" t="s">
        <v>586</v>
      </c>
      <c r="C551" s="20">
        <v>27107.0</v>
      </c>
      <c r="D551" s="19" t="str">
        <f t="shared" si="1"/>
        <v> </v>
      </c>
      <c r="E551" s="19" t="str">
        <f t="shared" si="2"/>
        <v> </v>
      </c>
      <c r="F551" s="21"/>
    </row>
    <row r="552">
      <c r="A552" s="19">
        <v>10525.0</v>
      </c>
      <c r="B552" s="19" t="s">
        <v>587</v>
      </c>
      <c r="C552" s="20">
        <v>21713.0</v>
      </c>
      <c r="D552" s="19" t="str">
        <f t="shared" si="1"/>
        <v> </v>
      </c>
      <c r="E552" s="19" t="str">
        <f t="shared" si="2"/>
        <v> </v>
      </c>
      <c r="F552" s="21"/>
    </row>
    <row r="553">
      <c r="A553" s="19">
        <v>10530.0</v>
      </c>
      <c r="B553" s="19" t="s">
        <v>588</v>
      </c>
      <c r="C553" s="20">
        <v>20700.0</v>
      </c>
      <c r="D553" s="19" t="str">
        <f t="shared" si="1"/>
        <v> </v>
      </c>
      <c r="E553" s="19" t="str">
        <f t="shared" si="2"/>
        <v> </v>
      </c>
      <c r="F553" s="21"/>
    </row>
    <row r="554">
      <c r="A554" s="19">
        <v>10532.0</v>
      </c>
      <c r="B554" s="19" t="s">
        <v>589</v>
      </c>
      <c r="C554" s="20">
        <v>17047.0</v>
      </c>
      <c r="D554" s="19" t="str">
        <f t="shared" si="1"/>
        <v> </v>
      </c>
      <c r="E554" s="19" t="str">
        <f t="shared" si="2"/>
        <v> </v>
      </c>
      <c r="F554" s="21"/>
    </row>
    <row r="555">
      <c r="A555" s="19">
        <v>10571.0</v>
      </c>
      <c r="B555" s="19" t="s">
        <v>590</v>
      </c>
      <c r="C555" s="20">
        <v>21775.0</v>
      </c>
      <c r="D555" s="19" t="str">
        <f t="shared" si="1"/>
        <v> </v>
      </c>
      <c r="E555" s="19" t="str">
        <f t="shared" si="2"/>
        <v> </v>
      </c>
      <c r="F555" s="21"/>
    </row>
    <row r="556">
      <c r="A556" s="19">
        <v>10573.0</v>
      </c>
      <c r="B556" s="19" t="s">
        <v>591</v>
      </c>
      <c r="C556" s="20">
        <v>23562.0</v>
      </c>
      <c r="D556" s="19" t="str">
        <f t="shared" si="1"/>
        <v> </v>
      </c>
      <c r="E556" s="19" t="str">
        <f t="shared" si="2"/>
        <v> </v>
      </c>
      <c r="F556" s="21"/>
    </row>
    <row r="557">
      <c r="A557" s="19">
        <v>10582.0</v>
      </c>
      <c r="B557" s="19" t="s">
        <v>592</v>
      </c>
      <c r="C557" s="20">
        <v>26796.0</v>
      </c>
      <c r="D557" s="19" t="str">
        <f t="shared" si="1"/>
        <v> </v>
      </c>
      <c r="E557" s="19" t="str">
        <f t="shared" si="2"/>
        <v> </v>
      </c>
      <c r="F557" s="21"/>
    </row>
    <row r="558">
      <c r="A558" s="19">
        <v>10583.0</v>
      </c>
      <c r="B558" s="19" t="s">
        <v>593</v>
      </c>
      <c r="C558" s="20">
        <v>24764.0</v>
      </c>
      <c r="D558" s="19" t="str">
        <f t="shared" si="1"/>
        <v> </v>
      </c>
      <c r="E558" s="19" t="str">
        <f t="shared" si="2"/>
        <v> </v>
      </c>
      <c r="F558" s="21"/>
    </row>
    <row r="559">
      <c r="A559" s="19">
        <v>10589.0</v>
      </c>
      <c r="B559" s="19" t="s">
        <v>594</v>
      </c>
      <c r="C559" s="20">
        <v>16098.0</v>
      </c>
      <c r="D559" s="19" t="str">
        <f t="shared" si="1"/>
        <v>Repeat</v>
      </c>
      <c r="E559" s="19" t="str">
        <f t="shared" si="2"/>
        <v> </v>
      </c>
      <c r="F559" s="21"/>
    </row>
    <row r="560">
      <c r="A560" s="19">
        <v>10590.0</v>
      </c>
      <c r="B560" s="19" t="s">
        <v>595</v>
      </c>
      <c r="C560" s="20">
        <v>26442.0</v>
      </c>
      <c r="D560" s="19" t="str">
        <f t="shared" si="1"/>
        <v> </v>
      </c>
      <c r="E560" s="19" t="str">
        <f t="shared" si="2"/>
        <v> </v>
      </c>
      <c r="F560" s="21"/>
    </row>
    <row r="561">
      <c r="A561" s="19">
        <v>10591.0</v>
      </c>
      <c r="B561" s="19" t="s">
        <v>596</v>
      </c>
      <c r="C561" s="20">
        <v>24297.0</v>
      </c>
      <c r="D561" s="19" t="str">
        <f t="shared" si="1"/>
        <v> </v>
      </c>
      <c r="E561" s="19" t="str">
        <f t="shared" si="2"/>
        <v> </v>
      </c>
      <c r="F561" s="21"/>
    </row>
    <row r="562">
      <c r="A562" s="19">
        <v>10592.0</v>
      </c>
      <c r="B562" s="19" t="s">
        <v>597</v>
      </c>
      <c r="C562" s="20">
        <v>17302.0</v>
      </c>
      <c r="D562" s="19" t="str">
        <f t="shared" si="1"/>
        <v> </v>
      </c>
      <c r="E562" s="19" t="str">
        <f t="shared" si="2"/>
        <v> </v>
      </c>
      <c r="F562" s="21"/>
    </row>
    <row r="563">
      <c r="A563" s="19">
        <v>10593.0</v>
      </c>
      <c r="B563" s="19" t="s">
        <v>598</v>
      </c>
      <c r="C563" s="20">
        <v>31265.0</v>
      </c>
      <c r="D563" s="19" t="str">
        <f t="shared" si="1"/>
        <v> </v>
      </c>
      <c r="E563" s="19" t="str">
        <f t="shared" si="2"/>
        <v> </v>
      </c>
      <c r="F563" s="21"/>
    </row>
    <row r="564">
      <c r="A564" s="19">
        <v>10594.0</v>
      </c>
      <c r="B564" s="19" t="s">
        <v>599</v>
      </c>
      <c r="C564" s="20">
        <v>19186.0</v>
      </c>
      <c r="D564" s="19" t="str">
        <f t="shared" si="1"/>
        <v> </v>
      </c>
      <c r="E564" s="19" t="str">
        <f t="shared" si="2"/>
        <v> </v>
      </c>
      <c r="F564" s="21"/>
    </row>
    <row r="565">
      <c r="A565" s="19">
        <v>10596.0</v>
      </c>
      <c r="B565" s="19" t="s">
        <v>600</v>
      </c>
      <c r="C565" s="20">
        <v>21504.0</v>
      </c>
      <c r="D565" s="19" t="str">
        <f t="shared" si="1"/>
        <v> </v>
      </c>
      <c r="E565" s="19" t="str">
        <f t="shared" si="2"/>
        <v> </v>
      </c>
      <c r="F565" s="21"/>
    </row>
    <row r="566">
      <c r="A566" s="19">
        <v>10598.0</v>
      </c>
      <c r="B566" s="19" t="s">
        <v>601</v>
      </c>
      <c r="C566" s="20">
        <v>31266.0</v>
      </c>
      <c r="D566" s="19" t="str">
        <f t="shared" si="1"/>
        <v> </v>
      </c>
      <c r="E566" s="19" t="str">
        <f t="shared" si="2"/>
        <v> </v>
      </c>
      <c r="F566" s="21"/>
    </row>
    <row r="567">
      <c r="A567" s="19">
        <v>10602.0</v>
      </c>
      <c r="B567" s="19" t="s">
        <v>602</v>
      </c>
      <c r="C567" s="20">
        <v>21230.0</v>
      </c>
      <c r="D567" s="19" t="str">
        <f t="shared" si="1"/>
        <v> </v>
      </c>
      <c r="E567" s="19" t="str">
        <f t="shared" si="2"/>
        <v> </v>
      </c>
      <c r="F567" s="21"/>
    </row>
    <row r="568">
      <c r="A568" s="19">
        <v>10603.0</v>
      </c>
      <c r="B568" s="19" t="s">
        <v>603</v>
      </c>
      <c r="C568" s="20">
        <v>24825.0</v>
      </c>
      <c r="D568" s="19" t="str">
        <f t="shared" si="1"/>
        <v> </v>
      </c>
      <c r="E568" s="19" t="str">
        <f t="shared" si="2"/>
        <v> </v>
      </c>
      <c r="F568" s="21"/>
    </row>
    <row r="569">
      <c r="A569" s="19">
        <v>10604.0</v>
      </c>
      <c r="B569" s="19" t="s">
        <v>604</v>
      </c>
      <c r="C569" s="20">
        <v>30878.0</v>
      </c>
      <c r="D569" s="19" t="str">
        <f t="shared" si="1"/>
        <v> </v>
      </c>
      <c r="E569" s="19" t="str">
        <f t="shared" si="2"/>
        <v> </v>
      </c>
      <c r="F569" s="21"/>
    </row>
    <row r="570">
      <c r="A570" s="19">
        <v>10606.0</v>
      </c>
      <c r="B570" s="19" t="s">
        <v>605</v>
      </c>
      <c r="C570" s="20">
        <v>22291.0</v>
      </c>
      <c r="D570" s="19" t="str">
        <f t="shared" si="1"/>
        <v> </v>
      </c>
      <c r="E570" s="19" t="str">
        <f t="shared" si="2"/>
        <v> </v>
      </c>
      <c r="F570" s="21"/>
    </row>
    <row r="571">
      <c r="A571" s="19">
        <v>10607.0</v>
      </c>
      <c r="B571" s="19" t="s">
        <v>606</v>
      </c>
      <c r="C571" s="20">
        <v>18965.0</v>
      </c>
      <c r="D571" s="19" t="str">
        <f t="shared" si="1"/>
        <v> </v>
      </c>
      <c r="E571" s="19" t="str">
        <f t="shared" si="2"/>
        <v> </v>
      </c>
      <c r="F571" s="21"/>
    </row>
    <row r="572">
      <c r="A572" s="19">
        <v>10611.0</v>
      </c>
      <c r="B572" s="19" t="s">
        <v>607</v>
      </c>
      <c r="C572" s="20">
        <v>17772.0</v>
      </c>
      <c r="D572" s="19" t="str">
        <f t="shared" si="1"/>
        <v> </v>
      </c>
      <c r="E572" s="19" t="str">
        <f t="shared" si="2"/>
        <v> </v>
      </c>
      <c r="F572" s="21"/>
    </row>
    <row r="573">
      <c r="A573" s="19">
        <v>10612.0</v>
      </c>
      <c r="B573" s="19" t="s">
        <v>608</v>
      </c>
      <c r="C573" s="20">
        <v>28002.0</v>
      </c>
      <c r="D573" s="19" t="str">
        <f t="shared" si="1"/>
        <v> </v>
      </c>
      <c r="E573" s="19" t="str">
        <f t="shared" si="2"/>
        <v> </v>
      </c>
      <c r="F573" s="21"/>
    </row>
    <row r="574">
      <c r="A574" s="19">
        <v>10613.0</v>
      </c>
      <c r="B574" s="19" t="s">
        <v>609</v>
      </c>
      <c r="C574" s="20">
        <v>22017.0</v>
      </c>
      <c r="D574" s="19" t="str">
        <f t="shared" si="1"/>
        <v> </v>
      </c>
      <c r="E574" s="19" t="str">
        <f t="shared" si="2"/>
        <v> </v>
      </c>
      <c r="F574" s="21"/>
    </row>
    <row r="575">
      <c r="A575" s="19">
        <v>10614.0</v>
      </c>
      <c r="B575" s="19" t="s">
        <v>610</v>
      </c>
      <c r="C575" s="20">
        <v>19605.0</v>
      </c>
      <c r="D575" s="19" t="str">
        <f t="shared" si="1"/>
        <v> </v>
      </c>
      <c r="E575" s="19" t="str">
        <f t="shared" si="2"/>
        <v> </v>
      </c>
      <c r="F575" s="21"/>
    </row>
    <row r="576">
      <c r="A576" s="19">
        <v>10615.0</v>
      </c>
      <c r="B576" s="19" t="s">
        <v>611</v>
      </c>
      <c r="C576" s="20">
        <v>18263.0</v>
      </c>
      <c r="D576" s="19" t="str">
        <f t="shared" si="1"/>
        <v> </v>
      </c>
      <c r="E576" s="19" t="str">
        <f t="shared" si="2"/>
        <v> </v>
      </c>
      <c r="F576" s="21"/>
    </row>
    <row r="577">
      <c r="A577" s="19">
        <v>10618.0</v>
      </c>
      <c r="B577" s="19" t="s">
        <v>612</v>
      </c>
      <c r="C577" s="20">
        <v>27520.0</v>
      </c>
      <c r="D577" s="19" t="str">
        <f t="shared" si="1"/>
        <v> </v>
      </c>
      <c r="E577" s="19" t="str">
        <f t="shared" si="2"/>
        <v> </v>
      </c>
      <c r="F577" s="21"/>
    </row>
    <row r="578">
      <c r="A578" s="19">
        <v>10620.0</v>
      </c>
      <c r="B578" s="19" t="s">
        <v>613</v>
      </c>
      <c r="C578" s="20">
        <v>12152.0</v>
      </c>
      <c r="D578" s="19" t="str">
        <f t="shared" si="1"/>
        <v> </v>
      </c>
      <c r="E578" s="19" t="str">
        <f t="shared" si="2"/>
        <v> </v>
      </c>
      <c r="F578" s="21"/>
    </row>
    <row r="579">
      <c r="A579" s="19">
        <v>10622.0</v>
      </c>
      <c r="B579" s="19" t="s">
        <v>614</v>
      </c>
      <c r="C579" s="20">
        <v>11172.0</v>
      </c>
      <c r="D579" s="19" t="str">
        <f t="shared" si="1"/>
        <v> </v>
      </c>
      <c r="E579" s="19" t="str">
        <f t="shared" si="2"/>
        <v> </v>
      </c>
      <c r="F579" s="21"/>
    </row>
    <row r="580">
      <c r="A580" s="19">
        <v>10623.0</v>
      </c>
      <c r="B580" s="19" t="s">
        <v>594</v>
      </c>
      <c r="C580" s="20">
        <v>21882.0</v>
      </c>
      <c r="D580" s="19" t="str">
        <f t="shared" si="1"/>
        <v>Repeat</v>
      </c>
      <c r="E580" s="19" t="str">
        <f t="shared" si="2"/>
        <v> </v>
      </c>
      <c r="F580" s="21"/>
    </row>
    <row r="581">
      <c r="A581" s="19">
        <v>10626.0</v>
      </c>
      <c r="B581" s="19" t="s">
        <v>615</v>
      </c>
      <c r="C581" s="20">
        <v>18426.0</v>
      </c>
      <c r="D581" s="19" t="str">
        <f t="shared" si="1"/>
        <v> </v>
      </c>
      <c r="E581" s="19" t="str">
        <f t="shared" si="2"/>
        <v> </v>
      </c>
      <c r="F581" s="21"/>
    </row>
    <row r="582">
      <c r="A582" s="19">
        <v>10629.0</v>
      </c>
      <c r="B582" s="19" t="s">
        <v>616</v>
      </c>
      <c r="C582" s="20">
        <v>23738.0</v>
      </c>
      <c r="D582" s="19" t="str">
        <f t="shared" si="1"/>
        <v> </v>
      </c>
      <c r="E582" s="19" t="str">
        <f t="shared" si="2"/>
        <v> </v>
      </c>
      <c r="F582" s="21"/>
    </row>
    <row r="583">
      <c r="A583" s="19">
        <v>10632.0</v>
      </c>
      <c r="B583" s="19" t="s">
        <v>617</v>
      </c>
      <c r="C583" s="20">
        <v>22528.0</v>
      </c>
      <c r="D583" s="19" t="str">
        <f t="shared" si="1"/>
        <v> </v>
      </c>
      <c r="E583" s="19" t="str">
        <f t="shared" si="2"/>
        <v> </v>
      </c>
      <c r="F583" s="21"/>
    </row>
    <row r="584">
      <c r="A584" s="19">
        <v>10633.0</v>
      </c>
      <c r="B584" s="19" t="s">
        <v>618</v>
      </c>
      <c r="C584" s="20">
        <v>22816.0</v>
      </c>
      <c r="D584" s="19" t="str">
        <f t="shared" si="1"/>
        <v> </v>
      </c>
      <c r="E584" s="19" t="str">
        <f t="shared" si="2"/>
        <v> </v>
      </c>
      <c r="F584" s="21"/>
    </row>
    <row r="585">
      <c r="A585" s="19">
        <v>10634.0</v>
      </c>
      <c r="B585" s="19" t="s">
        <v>619</v>
      </c>
      <c r="C585" s="20">
        <v>14961.0</v>
      </c>
      <c r="D585" s="19" t="str">
        <f t="shared" si="1"/>
        <v> </v>
      </c>
      <c r="E585" s="19" t="str">
        <f t="shared" si="2"/>
        <v> </v>
      </c>
      <c r="F585" s="21"/>
    </row>
    <row r="586">
      <c r="A586" s="19">
        <v>10640.0</v>
      </c>
      <c r="B586" s="19" t="s">
        <v>620</v>
      </c>
      <c r="C586" s="20">
        <v>35338.0</v>
      </c>
      <c r="D586" s="19" t="str">
        <f t="shared" si="1"/>
        <v> </v>
      </c>
      <c r="E586" s="19" t="str">
        <f t="shared" si="2"/>
        <v> </v>
      </c>
      <c r="F586" s="21"/>
    </row>
    <row r="587">
      <c r="A587" s="19">
        <v>10644.0</v>
      </c>
      <c r="B587" s="19" t="s">
        <v>621</v>
      </c>
      <c r="C587" s="20">
        <v>12805.0</v>
      </c>
      <c r="D587" s="19" t="str">
        <f t="shared" si="1"/>
        <v> </v>
      </c>
      <c r="E587" s="19" t="str">
        <f t="shared" si="2"/>
        <v> </v>
      </c>
      <c r="F587" s="21"/>
    </row>
    <row r="588">
      <c r="A588" s="19">
        <v>10646.0</v>
      </c>
      <c r="B588" s="19" t="s">
        <v>622</v>
      </c>
      <c r="C588" s="20">
        <v>12791.0</v>
      </c>
      <c r="D588" s="19" t="str">
        <f t="shared" si="1"/>
        <v> </v>
      </c>
      <c r="E588" s="19" t="str">
        <f t="shared" si="2"/>
        <v> </v>
      </c>
      <c r="F588" s="21"/>
    </row>
    <row r="589">
      <c r="A589" s="19">
        <v>10649.0</v>
      </c>
      <c r="B589" s="19" t="s">
        <v>623</v>
      </c>
      <c r="C589" s="20">
        <v>21647.0</v>
      </c>
      <c r="D589" s="19" t="str">
        <f t="shared" si="1"/>
        <v> </v>
      </c>
      <c r="E589" s="19" t="str">
        <f t="shared" si="2"/>
        <v> </v>
      </c>
      <c r="F589" s="21"/>
    </row>
    <row r="590">
      <c r="A590" s="19">
        <v>10651.0</v>
      </c>
      <c r="B590" s="19" t="s">
        <v>624</v>
      </c>
      <c r="C590" s="20">
        <v>15532.0</v>
      </c>
      <c r="D590" s="19" t="str">
        <f t="shared" si="1"/>
        <v> </v>
      </c>
      <c r="E590" s="19" t="str">
        <f t="shared" si="2"/>
        <v> </v>
      </c>
      <c r="F590" s="21"/>
    </row>
    <row r="591">
      <c r="A591" s="19">
        <v>10652.0</v>
      </c>
      <c r="B591" s="19" t="s">
        <v>625</v>
      </c>
      <c r="C591" s="20">
        <v>14094.0</v>
      </c>
      <c r="D591" s="19" t="str">
        <f t="shared" si="1"/>
        <v> </v>
      </c>
      <c r="E591" s="19" t="str">
        <f t="shared" si="2"/>
        <v> </v>
      </c>
      <c r="F591" s="21"/>
    </row>
    <row r="592">
      <c r="A592" s="19">
        <v>10654.0</v>
      </c>
      <c r="B592" s="19" t="s">
        <v>626</v>
      </c>
      <c r="C592" s="20">
        <v>18995.0</v>
      </c>
      <c r="D592" s="19" t="str">
        <f t="shared" si="1"/>
        <v> </v>
      </c>
      <c r="E592" s="19" t="str">
        <f t="shared" si="2"/>
        <v> </v>
      </c>
      <c r="F592" s="21"/>
    </row>
    <row r="593">
      <c r="A593" s="19">
        <v>10655.0</v>
      </c>
      <c r="B593" s="19" t="s">
        <v>627</v>
      </c>
      <c r="C593" s="20">
        <v>19336.0</v>
      </c>
      <c r="D593" s="19" t="str">
        <f t="shared" si="1"/>
        <v> </v>
      </c>
      <c r="E593" s="19" t="str">
        <f t="shared" si="2"/>
        <v> </v>
      </c>
      <c r="F593" s="21"/>
    </row>
    <row r="594">
      <c r="A594" s="19">
        <v>10657.0</v>
      </c>
      <c r="B594" s="19" t="s">
        <v>628</v>
      </c>
      <c r="C594" s="20">
        <v>22384.0</v>
      </c>
      <c r="D594" s="19" t="str">
        <f t="shared" si="1"/>
        <v> </v>
      </c>
      <c r="E594" s="19" t="str">
        <f t="shared" si="2"/>
        <v> </v>
      </c>
      <c r="F594" s="21"/>
    </row>
    <row r="595">
      <c r="A595" s="19">
        <v>10658.0</v>
      </c>
      <c r="B595" s="19" t="s">
        <v>629</v>
      </c>
      <c r="C595" s="20">
        <v>22736.0</v>
      </c>
      <c r="D595" s="19" t="str">
        <f t="shared" si="1"/>
        <v> </v>
      </c>
      <c r="E595" s="19" t="str">
        <f t="shared" si="2"/>
        <v> </v>
      </c>
      <c r="F595" s="21"/>
    </row>
    <row r="596">
      <c r="A596" s="19">
        <v>10660.0</v>
      </c>
      <c r="B596" s="19" t="s">
        <v>630</v>
      </c>
      <c r="C596" s="20">
        <v>14833.0</v>
      </c>
      <c r="D596" s="19" t="str">
        <f t="shared" si="1"/>
        <v> </v>
      </c>
      <c r="E596" s="19" t="str">
        <f t="shared" si="2"/>
        <v> </v>
      </c>
      <c r="F596" s="21"/>
    </row>
    <row r="597">
      <c r="A597" s="19">
        <v>10662.0</v>
      </c>
      <c r="B597" s="19" t="s">
        <v>631</v>
      </c>
      <c r="C597" s="20">
        <v>18416.0</v>
      </c>
      <c r="D597" s="19" t="str">
        <f t="shared" si="1"/>
        <v> </v>
      </c>
      <c r="E597" s="19" t="str">
        <f t="shared" si="2"/>
        <v> </v>
      </c>
      <c r="F597" s="21"/>
    </row>
    <row r="598">
      <c r="A598" s="19">
        <v>10663.0</v>
      </c>
      <c r="B598" s="19" t="s">
        <v>632</v>
      </c>
      <c r="C598" s="20">
        <v>22852.0</v>
      </c>
      <c r="D598" s="19" t="str">
        <f t="shared" si="1"/>
        <v> </v>
      </c>
      <c r="E598" s="19" t="str">
        <f t="shared" si="2"/>
        <v> </v>
      </c>
      <c r="F598" s="21"/>
    </row>
    <row r="599">
      <c r="A599" s="19">
        <v>10664.0</v>
      </c>
      <c r="B599" s="19" t="s">
        <v>633</v>
      </c>
      <c r="C599" s="20">
        <v>13525.0</v>
      </c>
      <c r="D599" s="19" t="str">
        <f t="shared" si="1"/>
        <v> </v>
      </c>
      <c r="E599" s="19" t="str">
        <f t="shared" si="2"/>
        <v> </v>
      </c>
      <c r="F599" s="21"/>
    </row>
    <row r="600">
      <c r="A600" s="19">
        <v>10669.0</v>
      </c>
      <c r="B600" s="19" t="s">
        <v>634</v>
      </c>
      <c r="C600" s="20">
        <v>26193.0</v>
      </c>
      <c r="D600" s="19" t="str">
        <f t="shared" si="1"/>
        <v> </v>
      </c>
      <c r="E600" s="19" t="str">
        <f t="shared" si="2"/>
        <v> </v>
      </c>
      <c r="F600" s="21"/>
    </row>
    <row r="601">
      <c r="A601" s="19">
        <v>10671.0</v>
      </c>
      <c r="B601" s="19" t="s">
        <v>635</v>
      </c>
      <c r="C601" s="20">
        <v>26835.0</v>
      </c>
      <c r="D601" s="19" t="str">
        <f t="shared" si="1"/>
        <v> </v>
      </c>
      <c r="E601" s="19" t="str">
        <f t="shared" si="2"/>
        <v> </v>
      </c>
      <c r="F601" s="21"/>
    </row>
    <row r="602">
      <c r="A602" s="19">
        <v>10672.0</v>
      </c>
      <c r="B602" s="19" t="s">
        <v>636</v>
      </c>
      <c r="C602" s="20">
        <v>8525.0</v>
      </c>
      <c r="D602" s="19" t="str">
        <f t="shared" si="1"/>
        <v> </v>
      </c>
      <c r="E602" s="19" t="str">
        <f t="shared" si="2"/>
        <v> </v>
      </c>
      <c r="F602" s="21"/>
    </row>
    <row r="603">
      <c r="A603" s="19">
        <v>10673.0</v>
      </c>
      <c r="B603" s="19" t="s">
        <v>637</v>
      </c>
      <c r="C603" s="20">
        <v>21995.0</v>
      </c>
      <c r="D603" s="19" t="str">
        <f t="shared" si="1"/>
        <v> </v>
      </c>
      <c r="E603" s="19" t="str">
        <f t="shared" si="2"/>
        <v> </v>
      </c>
      <c r="F603" s="21"/>
    </row>
    <row r="604">
      <c r="A604" s="19">
        <v>10677.0</v>
      </c>
      <c r="B604" s="19" t="s">
        <v>638</v>
      </c>
      <c r="C604" s="20">
        <v>19067.0</v>
      </c>
      <c r="D604" s="19" t="str">
        <f t="shared" si="1"/>
        <v> </v>
      </c>
      <c r="E604" s="19" t="str">
        <f t="shared" si="2"/>
        <v> </v>
      </c>
      <c r="F604" s="21"/>
    </row>
    <row r="605">
      <c r="A605" s="19">
        <v>10681.0</v>
      </c>
      <c r="B605" s="19" t="s">
        <v>639</v>
      </c>
      <c r="C605" s="20">
        <v>24407.0</v>
      </c>
      <c r="D605" s="19" t="str">
        <f t="shared" si="1"/>
        <v> </v>
      </c>
      <c r="E605" s="19" t="str">
        <f t="shared" si="2"/>
        <v> </v>
      </c>
      <c r="F605" s="21"/>
    </row>
    <row r="606">
      <c r="A606" s="19">
        <v>10685.0</v>
      </c>
      <c r="B606" s="19" t="s">
        <v>640</v>
      </c>
      <c r="C606" s="20">
        <v>18624.0</v>
      </c>
      <c r="D606" s="19" t="str">
        <f t="shared" si="1"/>
        <v> </v>
      </c>
      <c r="E606" s="19" t="str">
        <f t="shared" si="2"/>
        <v> </v>
      </c>
      <c r="F606" s="21"/>
    </row>
    <row r="607">
      <c r="A607" s="19">
        <v>10693.0</v>
      </c>
      <c r="B607" s="19" t="s">
        <v>641</v>
      </c>
      <c r="C607" s="20">
        <v>27131.0</v>
      </c>
      <c r="D607" s="19" t="str">
        <f t="shared" si="1"/>
        <v> </v>
      </c>
      <c r="E607" s="19" t="str">
        <f t="shared" si="2"/>
        <v> </v>
      </c>
      <c r="F607" s="21"/>
    </row>
    <row r="608">
      <c r="A608" s="19">
        <v>10695.0</v>
      </c>
      <c r="B608" s="19" t="s">
        <v>642</v>
      </c>
      <c r="C608" s="20">
        <v>30678.0</v>
      </c>
      <c r="D608" s="19" t="str">
        <f t="shared" si="1"/>
        <v> </v>
      </c>
      <c r="E608" s="19" t="str">
        <f t="shared" si="2"/>
        <v> </v>
      </c>
      <c r="F608" s="21"/>
    </row>
    <row r="609">
      <c r="A609" s="19">
        <v>10696.0</v>
      </c>
      <c r="B609" s="19" t="s">
        <v>643</v>
      </c>
      <c r="C609" s="20">
        <v>11720.0</v>
      </c>
      <c r="D609" s="19" t="str">
        <f t="shared" si="1"/>
        <v> </v>
      </c>
      <c r="E609" s="19" t="str">
        <f t="shared" si="2"/>
        <v> </v>
      </c>
      <c r="F609" s="21"/>
    </row>
    <row r="610">
      <c r="A610" s="19">
        <v>10697.0</v>
      </c>
      <c r="B610" s="19" t="s">
        <v>644</v>
      </c>
      <c r="C610" s="20">
        <v>27612.0</v>
      </c>
      <c r="D610" s="19" t="str">
        <f t="shared" si="1"/>
        <v> </v>
      </c>
      <c r="E610" s="19" t="str">
        <f t="shared" si="2"/>
        <v> </v>
      </c>
      <c r="F610" s="21"/>
    </row>
    <row r="611">
      <c r="A611" s="19">
        <v>10698.0</v>
      </c>
      <c r="B611" s="19" t="s">
        <v>645</v>
      </c>
      <c r="C611" s="20">
        <v>15959.0</v>
      </c>
      <c r="D611" s="19" t="str">
        <f t="shared" si="1"/>
        <v> </v>
      </c>
      <c r="E611" s="19" t="str">
        <f t="shared" si="2"/>
        <v> </v>
      </c>
      <c r="F611" s="21"/>
    </row>
    <row r="612">
      <c r="A612" s="19">
        <v>10702.0</v>
      </c>
      <c r="B612" s="19" t="s">
        <v>646</v>
      </c>
      <c r="C612" s="20">
        <v>18579.0</v>
      </c>
      <c r="D612" s="19" t="str">
        <f t="shared" si="1"/>
        <v> </v>
      </c>
      <c r="E612" s="19" t="str">
        <f t="shared" si="2"/>
        <v> </v>
      </c>
      <c r="F612" s="21"/>
    </row>
    <row r="613">
      <c r="A613" s="19">
        <v>10703.0</v>
      </c>
      <c r="B613" s="19" t="s">
        <v>647</v>
      </c>
      <c r="C613" s="20">
        <v>25487.0</v>
      </c>
      <c r="D613" s="19" t="str">
        <f t="shared" si="1"/>
        <v> </v>
      </c>
      <c r="E613" s="19" t="str">
        <f t="shared" si="2"/>
        <v> </v>
      </c>
      <c r="F613" s="21"/>
    </row>
    <row r="614">
      <c r="A614" s="19">
        <v>10705.0</v>
      </c>
      <c r="B614" s="19" t="s">
        <v>648</v>
      </c>
      <c r="C614" s="20">
        <v>18978.0</v>
      </c>
      <c r="D614" s="19" t="str">
        <f t="shared" si="1"/>
        <v> </v>
      </c>
      <c r="E614" s="19" t="str">
        <f t="shared" si="2"/>
        <v> </v>
      </c>
      <c r="F614" s="21"/>
    </row>
    <row r="615">
      <c r="A615" s="19">
        <v>10707.0</v>
      </c>
      <c r="B615" s="19" t="s">
        <v>649</v>
      </c>
      <c r="C615" s="20">
        <v>25625.0</v>
      </c>
      <c r="D615" s="19" t="str">
        <f t="shared" si="1"/>
        <v> </v>
      </c>
      <c r="E615" s="19" t="str">
        <f t="shared" si="2"/>
        <v> </v>
      </c>
      <c r="F615" s="21"/>
    </row>
    <row r="616">
      <c r="A616" s="19">
        <v>10708.0</v>
      </c>
      <c r="B616" s="19" t="s">
        <v>650</v>
      </c>
      <c r="C616" s="20">
        <v>22434.0</v>
      </c>
      <c r="D616" s="19" t="str">
        <f t="shared" si="1"/>
        <v> </v>
      </c>
      <c r="E616" s="19" t="str">
        <f t="shared" si="2"/>
        <v> </v>
      </c>
      <c r="F616" s="21"/>
    </row>
    <row r="617">
      <c r="A617" s="19">
        <v>10714.0</v>
      </c>
      <c r="B617" s="19" t="s">
        <v>651</v>
      </c>
      <c r="C617" s="20">
        <v>23016.0</v>
      </c>
      <c r="D617" s="19" t="str">
        <f t="shared" si="1"/>
        <v>Repeat</v>
      </c>
      <c r="E617" s="19" t="str">
        <f t="shared" si="2"/>
        <v> </v>
      </c>
      <c r="F617" s="21"/>
    </row>
    <row r="618">
      <c r="A618" s="19">
        <v>10715.0</v>
      </c>
      <c r="B618" s="19" t="s">
        <v>652</v>
      </c>
      <c r="C618" s="20">
        <v>14967.0</v>
      </c>
      <c r="D618" s="19" t="str">
        <f t="shared" si="1"/>
        <v> </v>
      </c>
      <c r="E618" s="19" t="str">
        <f t="shared" si="2"/>
        <v> </v>
      </c>
      <c r="F618" s="21"/>
    </row>
    <row r="619">
      <c r="A619" s="19">
        <v>10716.0</v>
      </c>
      <c r="B619" s="19" t="s">
        <v>653</v>
      </c>
      <c r="C619" s="20">
        <v>29982.0</v>
      </c>
      <c r="D619" s="19" t="str">
        <f t="shared" si="1"/>
        <v> </v>
      </c>
      <c r="E619" s="19" t="str">
        <f t="shared" si="2"/>
        <v> </v>
      </c>
      <c r="F619" s="21"/>
    </row>
    <row r="620">
      <c r="A620" s="19">
        <v>10718.0</v>
      </c>
      <c r="B620" s="19" t="s">
        <v>654</v>
      </c>
      <c r="C620" s="20">
        <v>25173.0</v>
      </c>
      <c r="D620" s="19" t="str">
        <f t="shared" si="1"/>
        <v> </v>
      </c>
      <c r="E620" s="19" t="str">
        <f t="shared" si="2"/>
        <v> </v>
      </c>
      <c r="F620" s="21"/>
    </row>
    <row r="621">
      <c r="A621" s="19">
        <v>10719.0</v>
      </c>
      <c r="B621" s="19" t="s">
        <v>655</v>
      </c>
      <c r="C621" s="20">
        <v>25074.0</v>
      </c>
      <c r="D621" s="19" t="str">
        <f t="shared" si="1"/>
        <v> </v>
      </c>
      <c r="E621" s="19" t="str">
        <f t="shared" si="2"/>
        <v> </v>
      </c>
      <c r="F621" s="21"/>
    </row>
    <row r="622">
      <c r="A622" s="19">
        <v>10721.0</v>
      </c>
      <c r="B622" s="19" t="s">
        <v>656</v>
      </c>
      <c r="C622" s="20">
        <v>31722.0</v>
      </c>
      <c r="D622" s="19" t="str">
        <f t="shared" si="1"/>
        <v> </v>
      </c>
      <c r="E622" s="19" t="str">
        <f t="shared" si="2"/>
        <v> </v>
      </c>
      <c r="F622" s="21"/>
    </row>
    <row r="623">
      <c r="A623" s="19">
        <v>10723.0</v>
      </c>
      <c r="B623" s="19" t="s">
        <v>207</v>
      </c>
      <c r="C623" s="20">
        <v>13729.0</v>
      </c>
      <c r="D623" s="19" t="str">
        <f t="shared" si="1"/>
        <v>Repeat</v>
      </c>
      <c r="E623" s="19" t="str">
        <f t="shared" si="2"/>
        <v> </v>
      </c>
      <c r="F623" s="21"/>
    </row>
    <row r="624">
      <c r="A624" s="19">
        <v>10724.0</v>
      </c>
      <c r="B624" s="19" t="s">
        <v>657</v>
      </c>
      <c r="C624" s="20">
        <v>18713.0</v>
      </c>
      <c r="D624" s="19" t="str">
        <f t="shared" si="1"/>
        <v> </v>
      </c>
      <c r="E624" s="19" t="str">
        <f t="shared" si="2"/>
        <v> </v>
      </c>
      <c r="F624" s="21"/>
    </row>
    <row r="625">
      <c r="A625" s="19">
        <v>10728.0</v>
      </c>
      <c r="B625" s="19" t="s">
        <v>658</v>
      </c>
      <c r="C625" s="20">
        <v>19307.0</v>
      </c>
      <c r="D625" s="19" t="str">
        <f t="shared" si="1"/>
        <v> </v>
      </c>
      <c r="E625" s="19" t="str">
        <f t="shared" si="2"/>
        <v> </v>
      </c>
      <c r="F625" s="21"/>
    </row>
    <row r="626">
      <c r="A626" s="19">
        <v>10729.0</v>
      </c>
      <c r="B626" s="19" t="s">
        <v>659</v>
      </c>
      <c r="C626" s="20">
        <v>19854.0</v>
      </c>
      <c r="D626" s="19" t="str">
        <f t="shared" si="1"/>
        <v> </v>
      </c>
      <c r="E626" s="19" t="str">
        <f t="shared" si="2"/>
        <v> </v>
      </c>
      <c r="F626" s="21"/>
    </row>
    <row r="627">
      <c r="A627" s="19">
        <v>10731.0</v>
      </c>
      <c r="B627" s="19" t="s">
        <v>660</v>
      </c>
      <c r="C627" s="20">
        <v>15521.0</v>
      </c>
      <c r="D627" s="19" t="str">
        <f t="shared" si="1"/>
        <v> </v>
      </c>
      <c r="E627" s="19" t="str">
        <f t="shared" si="2"/>
        <v> </v>
      </c>
      <c r="F627" s="21"/>
    </row>
    <row r="628">
      <c r="A628" s="19">
        <v>10732.0</v>
      </c>
      <c r="B628" s="19" t="s">
        <v>661</v>
      </c>
      <c r="C628" s="20">
        <v>22198.0</v>
      </c>
      <c r="D628" s="19" t="str">
        <f t="shared" si="1"/>
        <v> </v>
      </c>
      <c r="E628" s="19" t="str">
        <f t="shared" si="2"/>
        <v> </v>
      </c>
      <c r="F628" s="21"/>
    </row>
    <row r="629">
      <c r="A629" s="19">
        <v>10733.0</v>
      </c>
      <c r="B629" s="19" t="s">
        <v>662</v>
      </c>
      <c r="C629" s="20">
        <v>15168.0</v>
      </c>
      <c r="D629" s="19" t="str">
        <f t="shared" si="1"/>
        <v> </v>
      </c>
      <c r="E629" s="19" t="str">
        <f t="shared" si="2"/>
        <v> </v>
      </c>
      <c r="F629" s="21"/>
    </row>
    <row r="630">
      <c r="A630" s="19">
        <v>10738.0</v>
      </c>
      <c r="B630" s="19" t="s">
        <v>663</v>
      </c>
      <c r="C630" s="20">
        <v>32749.0</v>
      </c>
      <c r="D630" s="19" t="str">
        <f t="shared" si="1"/>
        <v> </v>
      </c>
      <c r="E630" s="19" t="str">
        <f t="shared" si="2"/>
        <v> </v>
      </c>
      <c r="F630" s="21"/>
    </row>
    <row r="631">
      <c r="A631" s="19">
        <v>10741.0</v>
      </c>
      <c r="B631" s="19" t="s">
        <v>664</v>
      </c>
      <c r="C631" s="20">
        <v>18129.0</v>
      </c>
      <c r="D631" s="19" t="str">
        <f t="shared" si="1"/>
        <v> </v>
      </c>
      <c r="E631" s="19" t="str">
        <f t="shared" si="2"/>
        <v> </v>
      </c>
      <c r="F631" s="21"/>
    </row>
    <row r="632">
      <c r="A632" s="19">
        <v>10744.0</v>
      </c>
      <c r="B632" s="19" t="s">
        <v>665</v>
      </c>
      <c r="C632" s="20">
        <v>22652.0</v>
      </c>
      <c r="D632" s="19" t="str">
        <f t="shared" si="1"/>
        <v> </v>
      </c>
      <c r="E632" s="19" t="str">
        <f t="shared" si="2"/>
        <v> </v>
      </c>
      <c r="F632" s="21"/>
    </row>
    <row r="633">
      <c r="A633" s="19">
        <v>10745.0</v>
      </c>
      <c r="B633" s="19" t="s">
        <v>666</v>
      </c>
      <c r="C633" s="20">
        <v>15129.0</v>
      </c>
      <c r="D633" s="19" t="str">
        <f t="shared" si="1"/>
        <v> </v>
      </c>
      <c r="E633" s="19" t="str">
        <f t="shared" si="2"/>
        <v> </v>
      </c>
      <c r="F633" s="21"/>
    </row>
    <row r="634">
      <c r="A634" s="19">
        <v>10746.0</v>
      </c>
      <c r="B634" s="19" t="s">
        <v>667</v>
      </c>
      <c r="C634" s="20">
        <v>20786.0</v>
      </c>
      <c r="D634" s="19" t="str">
        <f t="shared" si="1"/>
        <v> </v>
      </c>
      <c r="E634" s="19" t="str">
        <f t="shared" si="2"/>
        <v> </v>
      </c>
      <c r="F634" s="21"/>
    </row>
    <row r="635">
      <c r="A635" s="19">
        <v>10747.0</v>
      </c>
      <c r="B635" s="19" t="s">
        <v>668</v>
      </c>
      <c r="C635" s="20">
        <v>26406.0</v>
      </c>
      <c r="D635" s="19" t="str">
        <f t="shared" si="1"/>
        <v> </v>
      </c>
      <c r="E635" s="19" t="str">
        <f t="shared" si="2"/>
        <v> </v>
      </c>
      <c r="F635" s="21"/>
    </row>
    <row r="636">
      <c r="A636" s="19">
        <v>10753.0</v>
      </c>
      <c r="B636" s="19" t="s">
        <v>669</v>
      </c>
      <c r="C636" s="20">
        <v>19695.0</v>
      </c>
      <c r="D636" s="19" t="str">
        <f t="shared" si="1"/>
        <v> </v>
      </c>
      <c r="E636" s="19" t="str">
        <f t="shared" si="2"/>
        <v> </v>
      </c>
      <c r="F636" s="21"/>
    </row>
    <row r="637">
      <c r="A637" s="19">
        <v>10754.0</v>
      </c>
      <c r="B637" s="19" t="s">
        <v>670</v>
      </c>
      <c r="C637" s="20">
        <v>31027.0</v>
      </c>
      <c r="D637" s="19" t="str">
        <f t="shared" si="1"/>
        <v> </v>
      </c>
      <c r="E637" s="19" t="str">
        <f t="shared" si="2"/>
        <v> </v>
      </c>
      <c r="F637" s="21"/>
    </row>
    <row r="638">
      <c r="A638" s="19">
        <v>10755.0</v>
      </c>
      <c r="B638" s="19" t="s">
        <v>671</v>
      </c>
      <c r="C638" s="20">
        <v>26842.0</v>
      </c>
      <c r="D638" s="19" t="str">
        <f t="shared" si="1"/>
        <v> </v>
      </c>
      <c r="E638" s="19" t="str">
        <f t="shared" si="2"/>
        <v> </v>
      </c>
      <c r="F638" s="21"/>
    </row>
    <row r="639">
      <c r="A639" s="19">
        <v>10758.0</v>
      </c>
      <c r="B639" s="19" t="s">
        <v>672</v>
      </c>
      <c r="C639" s="20">
        <v>32923.0</v>
      </c>
      <c r="D639" s="19" t="str">
        <f t="shared" si="1"/>
        <v> </v>
      </c>
      <c r="E639" s="19" t="str">
        <f t="shared" si="2"/>
        <v> </v>
      </c>
      <c r="F639" s="21"/>
    </row>
    <row r="640">
      <c r="A640" s="19">
        <v>10759.0</v>
      </c>
      <c r="B640" s="19" t="s">
        <v>673</v>
      </c>
      <c r="C640" s="20">
        <v>27174.0</v>
      </c>
      <c r="D640" s="19" t="str">
        <f t="shared" si="1"/>
        <v> </v>
      </c>
      <c r="E640" s="19" t="str">
        <f t="shared" si="2"/>
        <v> </v>
      </c>
      <c r="F640" s="21"/>
    </row>
    <row r="641">
      <c r="A641" s="19">
        <v>10761.0</v>
      </c>
      <c r="B641" s="19" t="s">
        <v>674</v>
      </c>
      <c r="C641" s="20">
        <v>25774.0</v>
      </c>
      <c r="D641" s="19" t="str">
        <f t="shared" si="1"/>
        <v> </v>
      </c>
      <c r="E641" s="19" t="str">
        <f t="shared" si="2"/>
        <v> </v>
      </c>
      <c r="F641" s="21"/>
    </row>
    <row r="642">
      <c r="A642" s="19">
        <v>10762.0</v>
      </c>
      <c r="B642" s="19" t="s">
        <v>675</v>
      </c>
      <c r="C642" s="20">
        <v>28401.0</v>
      </c>
      <c r="D642" s="19" t="str">
        <f t="shared" si="1"/>
        <v> </v>
      </c>
      <c r="E642" s="19" t="str">
        <f t="shared" si="2"/>
        <v> </v>
      </c>
      <c r="F642" s="21"/>
    </row>
    <row r="643">
      <c r="A643" s="19">
        <v>10763.0</v>
      </c>
      <c r="B643" s="19" t="s">
        <v>676</v>
      </c>
      <c r="C643" s="20">
        <v>25157.0</v>
      </c>
      <c r="D643" s="19" t="str">
        <f t="shared" si="1"/>
        <v> </v>
      </c>
      <c r="E643" s="19" t="str">
        <f t="shared" si="2"/>
        <v> </v>
      </c>
      <c r="F643" s="21"/>
    </row>
    <row r="644">
      <c r="A644" s="19">
        <v>10764.0</v>
      </c>
      <c r="B644" s="19" t="s">
        <v>677</v>
      </c>
      <c r="C644" s="20">
        <v>19468.0</v>
      </c>
      <c r="D644" s="19" t="str">
        <f t="shared" si="1"/>
        <v> </v>
      </c>
      <c r="E644" s="19" t="str">
        <f t="shared" si="2"/>
        <v> </v>
      </c>
      <c r="F644" s="21"/>
    </row>
    <row r="645">
      <c r="A645" s="19">
        <v>10765.0</v>
      </c>
      <c r="B645" s="19" t="s">
        <v>678</v>
      </c>
      <c r="C645" s="20">
        <v>21913.0</v>
      </c>
      <c r="D645" s="19" t="str">
        <f t="shared" si="1"/>
        <v> </v>
      </c>
      <c r="E645" s="19" t="str">
        <f t="shared" si="2"/>
        <v> </v>
      </c>
      <c r="F645" s="21"/>
    </row>
    <row r="646">
      <c r="A646" s="19">
        <v>10766.0</v>
      </c>
      <c r="B646" s="19" t="s">
        <v>679</v>
      </c>
      <c r="C646" s="20">
        <v>27154.0</v>
      </c>
      <c r="D646" s="19" t="str">
        <f t="shared" si="1"/>
        <v> </v>
      </c>
      <c r="E646" s="19" t="str">
        <f t="shared" si="2"/>
        <v> </v>
      </c>
      <c r="F646" s="21"/>
    </row>
    <row r="647">
      <c r="A647" s="19">
        <v>10768.0</v>
      </c>
      <c r="B647" s="19" t="s">
        <v>680</v>
      </c>
      <c r="C647" s="20">
        <v>19517.0</v>
      </c>
      <c r="D647" s="19" t="str">
        <f t="shared" si="1"/>
        <v> </v>
      </c>
      <c r="E647" s="19" t="str">
        <f t="shared" si="2"/>
        <v> </v>
      </c>
      <c r="F647" s="21"/>
    </row>
    <row r="648">
      <c r="A648" s="19">
        <v>10772.0</v>
      </c>
      <c r="B648" s="19" t="s">
        <v>681</v>
      </c>
      <c r="C648" s="20">
        <v>20763.0</v>
      </c>
      <c r="D648" s="19" t="str">
        <f t="shared" si="1"/>
        <v> </v>
      </c>
      <c r="E648" s="19" t="str">
        <f t="shared" si="2"/>
        <v> </v>
      </c>
      <c r="F648" s="21"/>
    </row>
    <row r="649">
      <c r="A649" s="19">
        <v>10774.0</v>
      </c>
      <c r="B649" s="19" t="s">
        <v>682</v>
      </c>
      <c r="C649" s="20">
        <v>18572.0</v>
      </c>
      <c r="D649" s="19" t="str">
        <f t="shared" si="1"/>
        <v> </v>
      </c>
      <c r="E649" s="19" t="str">
        <f t="shared" si="2"/>
        <v> </v>
      </c>
      <c r="F649" s="21"/>
    </row>
    <row r="650">
      <c r="A650" s="19">
        <v>10778.0</v>
      </c>
      <c r="B650" s="19" t="s">
        <v>683</v>
      </c>
      <c r="C650" s="20">
        <v>15799.0</v>
      </c>
      <c r="D650" s="19" t="str">
        <f t="shared" si="1"/>
        <v> </v>
      </c>
      <c r="E650" s="19" t="str">
        <f t="shared" si="2"/>
        <v> </v>
      </c>
      <c r="F650" s="21"/>
    </row>
    <row r="651">
      <c r="A651" s="19">
        <v>10780.0</v>
      </c>
      <c r="B651" s="19" t="s">
        <v>684</v>
      </c>
      <c r="C651" s="20">
        <v>17668.0</v>
      </c>
      <c r="D651" s="19" t="str">
        <f t="shared" si="1"/>
        <v> </v>
      </c>
      <c r="E651" s="19" t="str">
        <f t="shared" si="2"/>
        <v> </v>
      </c>
      <c r="F651" s="21"/>
    </row>
    <row r="652">
      <c r="A652" s="19">
        <v>10782.0</v>
      </c>
      <c r="B652" s="19" t="s">
        <v>685</v>
      </c>
      <c r="C652" s="20">
        <v>20515.0</v>
      </c>
      <c r="D652" s="19" t="str">
        <f t="shared" si="1"/>
        <v> </v>
      </c>
      <c r="E652" s="19" t="str">
        <f t="shared" si="2"/>
        <v> </v>
      </c>
      <c r="F652" s="21"/>
    </row>
    <row r="653">
      <c r="A653" s="19">
        <v>10787.0</v>
      </c>
      <c r="B653" s="19" t="s">
        <v>686</v>
      </c>
      <c r="C653" s="20">
        <v>30701.0</v>
      </c>
      <c r="D653" s="19" t="str">
        <f t="shared" si="1"/>
        <v> </v>
      </c>
      <c r="E653" s="19" t="str">
        <f t="shared" si="2"/>
        <v> </v>
      </c>
      <c r="F653" s="21"/>
    </row>
    <row r="654">
      <c r="A654" s="19">
        <v>10790.0</v>
      </c>
      <c r="B654" s="19" t="s">
        <v>687</v>
      </c>
      <c r="C654" s="20">
        <v>16517.0</v>
      </c>
      <c r="D654" s="19" t="str">
        <f t="shared" si="1"/>
        <v> </v>
      </c>
      <c r="E654" s="19" t="str">
        <f t="shared" si="2"/>
        <v> </v>
      </c>
      <c r="F654" s="21"/>
    </row>
    <row r="655">
      <c r="A655" s="19">
        <v>10791.0</v>
      </c>
      <c r="B655" s="19" t="s">
        <v>688</v>
      </c>
      <c r="C655" s="20">
        <v>25010.0</v>
      </c>
      <c r="D655" s="19" t="str">
        <f t="shared" si="1"/>
        <v> </v>
      </c>
      <c r="E655" s="19" t="str">
        <f t="shared" si="2"/>
        <v> </v>
      </c>
      <c r="F655" s="21"/>
    </row>
    <row r="656">
      <c r="A656" s="19">
        <v>10793.0</v>
      </c>
      <c r="B656" s="19" t="s">
        <v>689</v>
      </c>
      <c r="C656" s="20">
        <v>15785.0</v>
      </c>
      <c r="D656" s="19" t="str">
        <f t="shared" si="1"/>
        <v> </v>
      </c>
      <c r="E656" s="19" t="str">
        <f t="shared" si="2"/>
        <v> </v>
      </c>
      <c r="F656" s="21"/>
    </row>
    <row r="657">
      <c r="A657" s="19">
        <v>10796.0</v>
      </c>
      <c r="B657" s="19" t="s">
        <v>690</v>
      </c>
      <c r="C657" s="20">
        <v>19515.0</v>
      </c>
      <c r="D657" s="19" t="str">
        <f t="shared" si="1"/>
        <v> </v>
      </c>
      <c r="E657" s="19" t="str">
        <f t="shared" si="2"/>
        <v> </v>
      </c>
      <c r="F657" s="21"/>
    </row>
    <row r="658">
      <c r="A658" s="19">
        <v>10797.0</v>
      </c>
      <c r="B658" s="19" t="s">
        <v>691</v>
      </c>
      <c r="C658" s="20">
        <v>22095.0</v>
      </c>
      <c r="D658" s="19" t="str">
        <f t="shared" si="1"/>
        <v> </v>
      </c>
      <c r="E658" s="19" t="str">
        <f t="shared" si="2"/>
        <v> </v>
      </c>
      <c r="F658" s="21"/>
    </row>
    <row r="659">
      <c r="A659" s="19">
        <v>10799.0</v>
      </c>
      <c r="B659" s="19" t="s">
        <v>692</v>
      </c>
      <c r="C659" s="20">
        <v>21944.0</v>
      </c>
      <c r="D659" s="19" t="str">
        <f t="shared" si="1"/>
        <v> </v>
      </c>
      <c r="E659" s="19" t="str">
        <f t="shared" si="2"/>
        <v> </v>
      </c>
      <c r="F659" s="21"/>
    </row>
    <row r="660">
      <c r="A660" s="19">
        <v>10801.0</v>
      </c>
      <c r="B660" s="19" t="s">
        <v>693</v>
      </c>
      <c r="C660" s="20">
        <v>28794.0</v>
      </c>
      <c r="D660" s="19" t="str">
        <f t="shared" si="1"/>
        <v> </v>
      </c>
      <c r="E660" s="19" t="str">
        <f t="shared" si="2"/>
        <v> </v>
      </c>
      <c r="F660" s="21"/>
    </row>
    <row r="661">
      <c r="A661" s="19">
        <v>10807.0</v>
      </c>
      <c r="B661" s="19" t="s">
        <v>694</v>
      </c>
      <c r="C661" s="20">
        <v>17116.0</v>
      </c>
      <c r="D661" s="19" t="str">
        <f t="shared" si="1"/>
        <v>Repeat</v>
      </c>
      <c r="E661" s="19" t="str">
        <f t="shared" si="2"/>
        <v> </v>
      </c>
      <c r="F661" s="21"/>
    </row>
    <row r="662">
      <c r="A662" s="19">
        <v>10809.0</v>
      </c>
      <c r="B662" s="19" t="s">
        <v>695</v>
      </c>
      <c r="C662" s="20">
        <v>21687.0</v>
      </c>
      <c r="D662" s="19" t="str">
        <f t="shared" si="1"/>
        <v> </v>
      </c>
      <c r="E662" s="19" t="str">
        <f t="shared" si="2"/>
        <v> </v>
      </c>
      <c r="F662" s="21"/>
    </row>
    <row r="663">
      <c r="A663" s="19">
        <v>10810.0</v>
      </c>
      <c r="B663" s="19" t="s">
        <v>696</v>
      </c>
      <c r="C663" s="20">
        <v>22860.0</v>
      </c>
      <c r="D663" s="19" t="str">
        <f t="shared" si="1"/>
        <v> </v>
      </c>
      <c r="E663" s="19" t="str">
        <f t="shared" si="2"/>
        <v> </v>
      </c>
      <c r="F663" s="21"/>
    </row>
    <row r="664">
      <c r="A664" s="19">
        <v>10813.0</v>
      </c>
      <c r="B664" s="19" t="s">
        <v>697</v>
      </c>
      <c r="C664" s="20">
        <v>13035.0</v>
      </c>
      <c r="D664" s="19" t="str">
        <f t="shared" si="1"/>
        <v> </v>
      </c>
      <c r="E664" s="19" t="str">
        <f t="shared" si="2"/>
        <v> </v>
      </c>
      <c r="F664" s="21"/>
    </row>
    <row r="665">
      <c r="A665" s="19">
        <v>10817.0</v>
      </c>
      <c r="B665" s="19" t="s">
        <v>698</v>
      </c>
      <c r="C665" s="20">
        <v>22099.0</v>
      </c>
      <c r="D665" s="19" t="str">
        <f t="shared" si="1"/>
        <v> </v>
      </c>
      <c r="E665" s="19" t="str">
        <f t="shared" si="2"/>
        <v> </v>
      </c>
      <c r="F665" s="21"/>
    </row>
    <row r="666">
      <c r="A666" s="19">
        <v>10819.0</v>
      </c>
      <c r="B666" s="19" t="s">
        <v>699</v>
      </c>
      <c r="C666" s="20">
        <v>33525.0</v>
      </c>
      <c r="D666" s="19" t="str">
        <f t="shared" si="1"/>
        <v> </v>
      </c>
      <c r="E666" s="19" t="str">
        <f t="shared" si="2"/>
        <v> </v>
      </c>
      <c r="F666" s="21"/>
    </row>
    <row r="667">
      <c r="A667" s="19">
        <v>10827.0</v>
      </c>
      <c r="B667" s="19" t="s">
        <v>700</v>
      </c>
      <c r="C667" s="20">
        <v>21695.0</v>
      </c>
      <c r="D667" s="19" t="str">
        <f t="shared" si="1"/>
        <v> </v>
      </c>
      <c r="E667" s="19" t="str">
        <f t="shared" si="2"/>
        <v> </v>
      </c>
      <c r="F667" s="21"/>
    </row>
    <row r="668">
      <c r="A668" s="19">
        <v>10829.0</v>
      </c>
      <c r="B668" s="19" t="s">
        <v>701</v>
      </c>
      <c r="C668" s="20">
        <v>26535.0</v>
      </c>
      <c r="D668" s="19" t="str">
        <f t="shared" si="1"/>
        <v> </v>
      </c>
      <c r="E668" s="19" t="str">
        <f t="shared" si="2"/>
        <v> </v>
      </c>
      <c r="F668" s="21"/>
    </row>
    <row r="669">
      <c r="A669" s="19">
        <v>10832.0</v>
      </c>
      <c r="B669" s="19" t="s">
        <v>702</v>
      </c>
      <c r="C669" s="20">
        <v>16704.0</v>
      </c>
      <c r="D669" s="19" t="str">
        <f t="shared" si="1"/>
        <v> </v>
      </c>
      <c r="E669" s="19" t="str">
        <f t="shared" si="2"/>
        <v> </v>
      </c>
      <c r="F669" s="21"/>
    </row>
    <row r="670">
      <c r="A670" s="19">
        <v>10854.0</v>
      </c>
      <c r="B670" s="19" t="s">
        <v>703</v>
      </c>
      <c r="C670" s="20">
        <v>26580.0</v>
      </c>
      <c r="D670" s="19" t="str">
        <f t="shared" si="1"/>
        <v> </v>
      </c>
      <c r="E670" s="19" t="str">
        <f t="shared" si="2"/>
        <v> </v>
      </c>
      <c r="F670" s="21"/>
    </row>
    <row r="671">
      <c r="A671" s="19">
        <v>10858.0</v>
      </c>
      <c r="B671" s="19" t="s">
        <v>704</v>
      </c>
      <c r="C671" s="20">
        <v>18816.0</v>
      </c>
      <c r="D671" s="19" t="str">
        <f t="shared" si="1"/>
        <v> </v>
      </c>
      <c r="E671" s="19" t="str">
        <f t="shared" si="2"/>
        <v> </v>
      </c>
      <c r="F671" s="21"/>
    </row>
    <row r="672">
      <c r="A672" s="19">
        <v>10859.0</v>
      </c>
      <c r="B672" s="19" t="s">
        <v>705</v>
      </c>
      <c r="C672" s="20">
        <v>22593.0</v>
      </c>
      <c r="D672" s="19" t="str">
        <f t="shared" si="1"/>
        <v> </v>
      </c>
      <c r="E672" s="19" t="str">
        <f t="shared" si="2"/>
        <v> </v>
      </c>
      <c r="F672" s="21"/>
    </row>
    <row r="673">
      <c r="A673" s="19">
        <v>10861.0</v>
      </c>
      <c r="B673" s="19" t="s">
        <v>706</v>
      </c>
      <c r="C673" s="20">
        <v>17929.0</v>
      </c>
      <c r="D673" s="19" t="str">
        <f t="shared" si="1"/>
        <v> </v>
      </c>
      <c r="E673" s="19" t="str">
        <f t="shared" si="2"/>
        <v> </v>
      </c>
      <c r="F673" s="21"/>
    </row>
    <row r="674">
      <c r="A674" s="19">
        <v>10864.0</v>
      </c>
      <c r="B674" s="19" t="s">
        <v>707</v>
      </c>
      <c r="C674" s="20">
        <v>18480.0</v>
      </c>
      <c r="D674" s="19" t="str">
        <f t="shared" si="1"/>
        <v> </v>
      </c>
      <c r="E674" s="19" t="str">
        <f t="shared" si="2"/>
        <v> </v>
      </c>
      <c r="F674" s="21"/>
    </row>
    <row r="675">
      <c r="A675" s="19">
        <v>10865.0</v>
      </c>
      <c r="B675" s="19" t="s">
        <v>708</v>
      </c>
      <c r="C675" s="20">
        <v>21536.0</v>
      </c>
      <c r="D675" s="19" t="str">
        <f t="shared" si="1"/>
        <v> </v>
      </c>
      <c r="E675" s="19" t="str">
        <f t="shared" si="2"/>
        <v> </v>
      </c>
      <c r="F675" s="21"/>
    </row>
    <row r="676">
      <c r="A676" s="19">
        <v>10869.0</v>
      </c>
      <c r="B676" s="19" t="s">
        <v>709</v>
      </c>
      <c r="C676" s="20">
        <v>11671.0</v>
      </c>
      <c r="D676" s="19" t="str">
        <f t="shared" si="1"/>
        <v> </v>
      </c>
      <c r="E676" s="19" t="str">
        <f t="shared" si="2"/>
        <v> </v>
      </c>
      <c r="F676" s="21"/>
    </row>
    <row r="677">
      <c r="A677" s="19">
        <v>10873.0</v>
      </c>
      <c r="B677" s="19" t="s">
        <v>710</v>
      </c>
      <c r="C677" s="20">
        <v>8953.0</v>
      </c>
      <c r="D677" s="19" t="str">
        <f t="shared" si="1"/>
        <v>Repeat</v>
      </c>
      <c r="E677" s="19" t="str">
        <f t="shared" si="2"/>
        <v>Repeat</v>
      </c>
      <c r="F677" s="21"/>
    </row>
    <row r="678">
      <c r="A678" s="19">
        <v>10875.0</v>
      </c>
      <c r="B678" s="19" t="s">
        <v>711</v>
      </c>
      <c r="C678" s="20">
        <v>19553.0</v>
      </c>
      <c r="D678" s="19" t="str">
        <f t="shared" si="1"/>
        <v> </v>
      </c>
      <c r="E678" s="19" t="str">
        <f t="shared" si="2"/>
        <v> </v>
      </c>
      <c r="F678" s="21"/>
    </row>
    <row r="679">
      <c r="A679" s="19">
        <v>10878.0</v>
      </c>
      <c r="B679" s="19" t="s">
        <v>712</v>
      </c>
      <c r="C679" s="20">
        <v>25475.0</v>
      </c>
      <c r="D679" s="19" t="str">
        <f t="shared" si="1"/>
        <v> </v>
      </c>
      <c r="E679" s="19" t="str">
        <f t="shared" si="2"/>
        <v> </v>
      </c>
      <c r="F679" s="21"/>
    </row>
    <row r="680">
      <c r="A680" s="19">
        <v>10880.0</v>
      </c>
      <c r="B680" s="19" t="s">
        <v>713</v>
      </c>
      <c r="C680" s="20">
        <v>21427.0</v>
      </c>
      <c r="D680" s="19" t="str">
        <f t="shared" si="1"/>
        <v> </v>
      </c>
      <c r="E680" s="19" t="str">
        <f t="shared" si="2"/>
        <v> </v>
      </c>
      <c r="F680" s="21"/>
    </row>
    <row r="681">
      <c r="A681" s="19">
        <v>10882.0</v>
      </c>
      <c r="B681" s="19" t="s">
        <v>714</v>
      </c>
      <c r="C681" s="20">
        <v>25037.0</v>
      </c>
      <c r="D681" s="19" t="str">
        <f t="shared" si="1"/>
        <v> </v>
      </c>
      <c r="E681" s="19" t="str">
        <f t="shared" si="2"/>
        <v> </v>
      </c>
      <c r="F681" s="21"/>
    </row>
    <row r="682">
      <c r="A682" s="19">
        <v>10885.0</v>
      </c>
      <c r="B682" s="19" t="s">
        <v>715</v>
      </c>
      <c r="C682" s="20">
        <v>17213.0</v>
      </c>
      <c r="D682" s="19" t="str">
        <f t="shared" si="1"/>
        <v> </v>
      </c>
      <c r="E682" s="19" t="str">
        <f t="shared" si="2"/>
        <v> </v>
      </c>
      <c r="F682" s="21"/>
    </row>
    <row r="683">
      <c r="A683" s="19">
        <v>10895.0</v>
      </c>
      <c r="B683" s="19" t="s">
        <v>716</v>
      </c>
      <c r="C683" s="20">
        <v>17145.0</v>
      </c>
      <c r="D683" s="19" t="str">
        <f t="shared" si="1"/>
        <v> </v>
      </c>
      <c r="E683" s="19" t="str">
        <f t="shared" si="2"/>
        <v> </v>
      </c>
      <c r="F683" s="21"/>
    </row>
    <row r="684">
      <c r="A684" s="19">
        <v>10898.0</v>
      </c>
      <c r="B684" s="19" t="s">
        <v>717</v>
      </c>
      <c r="C684" s="20">
        <v>21418.0</v>
      </c>
      <c r="D684" s="19" t="str">
        <f t="shared" si="1"/>
        <v> </v>
      </c>
      <c r="E684" s="19" t="str">
        <f t="shared" si="2"/>
        <v> </v>
      </c>
      <c r="F684" s="21"/>
    </row>
    <row r="685">
      <c r="A685" s="19">
        <v>10903.0</v>
      </c>
      <c r="B685" s="19" t="s">
        <v>718</v>
      </c>
      <c r="C685" s="20">
        <v>22992.0</v>
      </c>
      <c r="D685" s="19" t="str">
        <f t="shared" si="1"/>
        <v>Repeat</v>
      </c>
      <c r="E685" s="19" t="str">
        <f t="shared" si="2"/>
        <v> </v>
      </c>
      <c r="F685" s="21"/>
    </row>
    <row r="686">
      <c r="A686" s="19">
        <v>10904.0</v>
      </c>
      <c r="B686" s="19" t="s">
        <v>719</v>
      </c>
      <c r="C686" s="20">
        <v>26484.0</v>
      </c>
      <c r="D686" s="19" t="str">
        <f t="shared" si="1"/>
        <v> </v>
      </c>
      <c r="E686" s="19" t="str">
        <f t="shared" si="2"/>
        <v> </v>
      </c>
      <c r="F686" s="21"/>
    </row>
    <row r="687">
      <c r="A687" s="19">
        <v>10905.0</v>
      </c>
      <c r="B687" s="19" t="s">
        <v>720</v>
      </c>
      <c r="C687" s="20">
        <v>20654.0</v>
      </c>
      <c r="D687" s="19" t="str">
        <f t="shared" si="1"/>
        <v>Repeat</v>
      </c>
      <c r="E687" s="19" t="str">
        <f t="shared" si="2"/>
        <v> </v>
      </c>
      <c r="F687" s="21"/>
    </row>
    <row r="688">
      <c r="A688" s="19">
        <v>10906.0</v>
      </c>
      <c r="B688" s="19" t="s">
        <v>721</v>
      </c>
      <c r="C688" s="20">
        <v>30712.0</v>
      </c>
      <c r="D688" s="19" t="str">
        <f t="shared" si="1"/>
        <v> </v>
      </c>
      <c r="E688" s="19" t="str">
        <f t="shared" si="2"/>
        <v> </v>
      </c>
      <c r="F688" s="21"/>
    </row>
    <row r="689">
      <c r="A689" s="19">
        <v>10908.0</v>
      </c>
      <c r="B689" s="19" t="s">
        <v>722</v>
      </c>
      <c r="C689" s="20">
        <v>21424.0</v>
      </c>
      <c r="D689" s="19" t="str">
        <f t="shared" si="1"/>
        <v> </v>
      </c>
      <c r="E689" s="19" t="str">
        <f t="shared" si="2"/>
        <v> </v>
      </c>
      <c r="F689" s="21"/>
    </row>
    <row r="690">
      <c r="A690" s="19">
        <v>10909.0</v>
      </c>
      <c r="B690" s="19" t="s">
        <v>723</v>
      </c>
      <c r="C690" s="20">
        <v>15417.0</v>
      </c>
      <c r="D690" s="19" t="str">
        <f t="shared" si="1"/>
        <v> </v>
      </c>
      <c r="E690" s="19" t="str">
        <f t="shared" si="2"/>
        <v> </v>
      </c>
      <c r="F690" s="21"/>
    </row>
    <row r="691">
      <c r="A691" s="19">
        <v>10911.0</v>
      </c>
      <c r="B691" s="19" t="s">
        <v>724</v>
      </c>
      <c r="C691" s="20">
        <v>12187.0</v>
      </c>
      <c r="D691" s="19" t="str">
        <f t="shared" si="1"/>
        <v> </v>
      </c>
      <c r="E691" s="19" t="str">
        <f t="shared" si="2"/>
        <v> </v>
      </c>
      <c r="F691" s="21"/>
    </row>
    <row r="692">
      <c r="A692" s="19">
        <v>10912.0</v>
      </c>
      <c r="B692" s="19" t="s">
        <v>725</v>
      </c>
      <c r="C692" s="20">
        <v>29380.0</v>
      </c>
      <c r="D692" s="19" t="str">
        <f t="shared" si="1"/>
        <v> </v>
      </c>
      <c r="E692" s="19" t="str">
        <f t="shared" si="2"/>
        <v> </v>
      </c>
      <c r="F692" s="21"/>
    </row>
    <row r="693">
      <c r="A693" s="19">
        <v>10914.0</v>
      </c>
      <c r="B693" s="19" t="s">
        <v>726</v>
      </c>
      <c r="C693" s="20">
        <v>30874.0</v>
      </c>
      <c r="D693" s="19" t="str">
        <f t="shared" si="1"/>
        <v> </v>
      </c>
      <c r="E693" s="19" t="str">
        <f t="shared" si="2"/>
        <v> </v>
      </c>
      <c r="F693" s="21"/>
    </row>
    <row r="694">
      <c r="A694" s="19">
        <v>10919.0</v>
      </c>
      <c r="B694" s="19" t="s">
        <v>727</v>
      </c>
      <c r="C694" s="20">
        <v>22257.0</v>
      </c>
      <c r="D694" s="19" t="str">
        <f t="shared" si="1"/>
        <v> </v>
      </c>
      <c r="E694" s="19" t="str">
        <f t="shared" si="2"/>
        <v> </v>
      </c>
      <c r="F694" s="21"/>
    </row>
    <row r="695">
      <c r="A695" s="19">
        <v>10921.0</v>
      </c>
      <c r="B695" s="19" t="s">
        <v>728</v>
      </c>
      <c r="C695" s="20">
        <v>23899.0</v>
      </c>
      <c r="D695" s="19" t="str">
        <f t="shared" si="1"/>
        <v> </v>
      </c>
      <c r="E695" s="19" t="str">
        <f t="shared" si="2"/>
        <v> </v>
      </c>
      <c r="F695" s="21"/>
    </row>
    <row r="696">
      <c r="A696" s="19">
        <v>10924.0</v>
      </c>
      <c r="B696" s="19" t="s">
        <v>729</v>
      </c>
      <c r="C696" s="20">
        <v>19463.0</v>
      </c>
      <c r="D696" s="19" t="str">
        <f t="shared" si="1"/>
        <v> </v>
      </c>
      <c r="E696" s="19" t="str">
        <f t="shared" si="2"/>
        <v> </v>
      </c>
      <c r="F696" s="21"/>
    </row>
    <row r="697">
      <c r="A697" s="19">
        <v>10927.0</v>
      </c>
      <c r="B697" s="19" t="s">
        <v>730</v>
      </c>
      <c r="C697" s="20">
        <v>29570.0</v>
      </c>
      <c r="D697" s="19" t="str">
        <f t="shared" si="1"/>
        <v> </v>
      </c>
      <c r="E697" s="19" t="str">
        <f t="shared" si="2"/>
        <v> </v>
      </c>
      <c r="F697" s="21"/>
    </row>
    <row r="698">
      <c r="A698" s="19">
        <v>10928.0</v>
      </c>
      <c r="B698" s="19" t="s">
        <v>731</v>
      </c>
      <c r="C698" s="20">
        <v>20619.0</v>
      </c>
      <c r="D698" s="19" t="str">
        <f t="shared" si="1"/>
        <v> </v>
      </c>
      <c r="E698" s="19" t="str">
        <f t="shared" si="2"/>
        <v> </v>
      </c>
      <c r="F698" s="21"/>
    </row>
    <row r="699">
      <c r="A699" s="19">
        <v>10929.0</v>
      </c>
      <c r="B699" s="19" t="s">
        <v>732</v>
      </c>
      <c r="C699" s="20">
        <v>30288.0</v>
      </c>
      <c r="D699" s="19" t="str">
        <f t="shared" si="1"/>
        <v> </v>
      </c>
      <c r="E699" s="19" t="str">
        <f t="shared" si="2"/>
        <v> </v>
      </c>
      <c r="F699" s="21"/>
    </row>
    <row r="700">
      <c r="A700" s="19">
        <v>10933.0</v>
      </c>
      <c r="B700" s="19" t="s">
        <v>733</v>
      </c>
      <c r="C700" s="20">
        <v>23029.0</v>
      </c>
      <c r="D700" s="19" t="str">
        <f t="shared" si="1"/>
        <v> </v>
      </c>
      <c r="E700" s="19" t="str">
        <f t="shared" si="2"/>
        <v> </v>
      </c>
      <c r="F700" s="21"/>
    </row>
    <row r="701">
      <c r="A701" s="19">
        <v>10936.0</v>
      </c>
      <c r="B701" s="19" t="s">
        <v>734</v>
      </c>
      <c r="C701" s="20">
        <v>34514.0</v>
      </c>
      <c r="D701" s="19" t="str">
        <f t="shared" si="1"/>
        <v> </v>
      </c>
      <c r="E701" s="19" t="str">
        <f t="shared" si="2"/>
        <v> </v>
      </c>
      <c r="F701" s="21"/>
    </row>
    <row r="702">
      <c r="A702" s="19">
        <v>10937.0</v>
      </c>
      <c r="B702" s="19" t="s">
        <v>735</v>
      </c>
      <c r="C702" s="20">
        <v>25398.0</v>
      </c>
      <c r="D702" s="19" t="str">
        <f t="shared" si="1"/>
        <v> </v>
      </c>
      <c r="E702" s="19" t="str">
        <f t="shared" si="2"/>
        <v> </v>
      </c>
      <c r="F702" s="21"/>
    </row>
    <row r="703">
      <c r="A703" s="19">
        <v>10939.0</v>
      </c>
      <c r="B703" s="19" t="s">
        <v>736</v>
      </c>
      <c r="C703" s="20">
        <v>28418.0</v>
      </c>
      <c r="D703" s="19" t="str">
        <f t="shared" si="1"/>
        <v> </v>
      </c>
      <c r="E703" s="19" t="str">
        <f t="shared" si="2"/>
        <v> </v>
      </c>
      <c r="F703" s="21"/>
    </row>
    <row r="704">
      <c r="A704" s="19">
        <v>10941.0</v>
      </c>
      <c r="B704" s="19" t="s">
        <v>737</v>
      </c>
      <c r="C704" s="20">
        <v>20525.0</v>
      </c>
      <c r="D704" s="19" t="str">
        <f t="shared" si="1"/>
        <v> </v>
      </c>
      <c r="E704" s="19" t="str">
        <f t="shared" si="2"/>
        <v> </v>
      </c>
      <c r="F704" s="21"/>
    </row>
    <row r="705">
      <c r="A705" s="19">
        <v>10942.0</v>
      </c>
      <c r="B705" s="19" t="s">
        <v>738</v>
      </c>
      <c r="C705" s="20">
        <v>32534.0</v>
      </c>
      <c r="D705" s="19" t="str">
        <f t="shared" si="1"/>
        <v> </v>
      </c>
      <c r="E705" s="19" t="str">
        <f t="shared" si="2"/>
        <v> </v>
      </c>
      <c r="F705" s="21"/>
    </row>
    <row r="706">
      <c r="A706" s="19">
        <v>10943.0</v>
      </c>
      <c r="B706" s="19" t="s">
        <v>739</v>
      </c>
      <c r="C706" s="20">
        <v>29169.0</v>
      </c>
      <c r="D706" s="19" t="str">
        <f t="shared" si="1"/>
        <v> </v>
      </c>
      <c r="E706" s="19" t="str">
        <f t="shared" si="2"/>
        <v> </v>
      </c>
      <c r="F706" s="21"/>
    </row>
    <row r="707">
      <c r="A707" s="19">
        <v>10945.0</v>
      </c>
      <c r="B707" s="19" t="s">
        <v>740</v>
      </c>
      <c r="C707" s="20">
        <v>19552.0</v>
      </c>
      <c r="D707" s="19" t="str">
        <f t="shared" si="1"/>
        <v> </v>
      </c>
      <c r="E707" s="19" t="str">
        <f t="shared" si="2"/>
        <v> </v>
      </c>
      <c r="F707" s="21"/>
    </row>
    <row r="708">
      <c r="A708" s="19">
        <v>10948.0</v>
      </c>
      <c r="B708" s="19" t="s">
        <v>741</v>
      </c>
      <c r="C708" s="20">
        <v>23648.0</v>
      </c>
      <c r="D708" s="19" t="str">
        <f t="shared" si="1"/>
        <v> </v>
      </c>
      <c r="E708" s="19" t="str">
        <f t="shared" si="2"/>
        <v> </v>
      </c>
      <c r="F708" s="21"/>
    </row>
    <row r="709">
      <c r="A709" s="19">
        <v>10952.0</v>
      </c>
      <c r="B709" s="19" t="s">
        <v>742</v>
      </c>
      <c r="C709" s="20">
        <v>28571.0</v>
      </c>
      <c r="D709" s="19" t="str">
        <f t="shared" si="1"/>
        <v> </v>
      </c>
      <c r="E709" s="19" t="str">
        <f t="shared" si="2"/>
        <v> </v>
      </c>
      <c r="F709" s="21"/>
    </row>
    <row r="710">
      <c r="A710" s="19">
        <v>10954.0</v>
      </c>
      <c r="B710" s="19" t="s">
        <v>743</v>
      </c>
      <c r="C710" s="20">
        <v>17103.0</v>
      </c>
      <c r="D710" s="19" t="str">
        <f t="shared" si="1"/>
        <v>Repeat</v>
      </c>
      <c r="E710" s="19" t="str">
        <f t="shared" si="2"/>
        <v> </v>
      </c>
      <c r="F710" s="21"/>
    </row>
    <row r="711">
      <c r="A711" s="19">
        <v>10955.0</v>
      </c>
      <c r="B711" s="19" t="s">
        <v>744</v>
      </c>
      <c r="C711" s="20">
        <v>26255.0</v>
      </c>
      <c r="D711" s="19" t="str">
        <f t="shared" si="1"/>
        <v> </v>
      </c>
      <c r="E711" s="19" t="str">
        <f t="shared" si="2"/>
        <v> </v>
      </c>
      <c r="F711" s="21"/>
    </row>
    <row r="712">
      <c r="A712" s="19">
        <v>10958.0</v>
      </c>
      <c r="B712" s="19" t="s">
        <v>745</v>
      </c>
      <c r="C712" s="20">
        <v>30302.0</v>
      </c>
      <c r="D712" s="19" t="str">
        <f t="shared" si="1"/>
        <v> </v>
      </c>
      <c r="E712" s="19" t="str">
        <f t="shared" si="2"/>
        <v> </v>
      </c>
      <c r="F712" s="21"/>
    </row>
    <row r="713">
      <c r="A713" s="19">
        <v>10959.0</v>
      </c>
      <c r="B713" s="19" t="s">
        <v>746</v>
      </c>
      <c r="C713" s="20">
        <v>20829.0</v>
      </c>
      <c r="D713" s="19" t="str">
        <f t="shared" si="1"/>
        <v> </v>
      </c>
      <c r="E713" s="19" t="str">
        <f t="shared" si="2"/>
        <v> </v>
      </c>
      <c r="F713" s="21"/>
    </row>
    <row r="714">
      <c r="A714" s="19">
        <v>10961.0</v>
      </c>
      <c r="B714" s="19" t="s">
        <v>747</v>
      </c>
      <c r="C714" s="20">
        <v>19237.0</v>
      </c>
      <c r="D714" s="19" t="str">
        <f t="shared" si="1"/>
        <v> </v>
      </c>
      <c r="E714" s="19" t="str">
        <f t="shared" si="2"/>
        <v> </v>
      </c>
      <c r="F714" s="21"/>
    </row>
    <row r="715">
      <c r="A715" s="19">
        <v>10965.0</v>
      </c>
      <c r="B715" s="19" t="s">
        <v>748</v>
      </c>
      <c r="C715" s="20">
        <v>26004.0</v>
      </c>
      <c r="D715" s="19" t="str">
        <f t="shared" si="1"/>
        <v> </v>
      </c>
      <c r="E715" s="19" t="str">
        <f t="shared" si="2"/>
        <v> </v>
      </c>
      <c r="F715" s="21"/>
    </row>
    <row r="716">
      <c r="A716" s="19">
        <v>10966.0</v>
      </c>
      <c r="B716" s="19" t="s">
        <v>749</v>
      </c>
      <c r="C716" s="20">
        <v>26677.0</v>
      </c>
      <c r="D716" s="19" t="str">
        <f t="shared" si="1"/>
        <v> </v>
      </c>
      <c r="E716" s="19" t="str">
        <f t="shared" si="2"/>
        <v> </v>
      </c>
      <c r="F716" s="21"/>
    </row>
    <row r="717">
      <c r="A717" s="19">
        <v>10973.0</v>
      </c>
      <c r="B717" s="19" t="s">
        <v>750</v>
      </c>
      <c r="C717" s="20">
        <v>18722.0</v>
      </c>
      <c r="D717" s="19" t="str">
        <f t="shared" si="1"/>
        <v>Repeat</v>
      </c>
      <c r="E717" s="19" t="str">
        <f t="shared" si="2"/>
        <v> </v>
      </c>
      <c r="F717" s="21"/>
    </row>
    <row r="718">
      <c r="A718" s="19">
        <v>10978.0</v>
      </c>
      <c r="B718" s="19" t="s">
        <v>751</v>
      </c>
      <c r="C718" s="20">
        <v>19806.0</v>
      </c>
      <c r="D718" s="19" t="str">
        <f t="shared" si="1"/>
        <v>Repeat</v>
      </c>
      <c r="E718" s="19" t="str">
        <f t="shared" si="2"/>
        <v> </v>
      </c>
      <c r="F718" s="21"/>
    </row>
    <row r="719">
      <c r="A719" s="19">
        <v>10980.0</v>
      </c>
      <c r="B719" s="19" t="s">
        <v>752</v>
      </c>
      <c r="C719" s="20">
        <v>30572.0</v>
      </c>
      <c r="D719" s="19" t="str">
        <f t="shared" si="1"/>
        <v> </v>
      </c>
      <c r="E719" s="19" t="str">
        <f t="shared" si="2"/>
        <v> </v>
      </c>
      <c r="F719" s="21"/>
    </row>
    <row r="720">
      <c r="A720" s="19">
        <v>10984.0</v>
      </c>
      <c r="B720" s="19" t="s">
        <v>753</v>
      </c>
      <c r="C720" s="20">
        <v>23057.0</v>
      </c>
      <c r="D720" s="19" t="str">
        <f t="shared" si="1"/>
        <v> </v>
      </c>
      <c r="E720" s="19" t="str">
        <f t="shared" si="2"/>
        <v> </v>
      </c>
      <c r="F720" s="21"/>
    </row>
    <row r="721">
      <c r="A721" s="19">
        <v>10988.0</v>
      </c>
      <c r="B721" s="19" t="s">
        <v>754</v>
      </c>
      <c r="C721" s="20">
        <v>25831.0</v>
      </c>
      <c r="D721" s="19" t="str">
        <f t="shared" si="1"/>
        <v> </v>
      </c>
      <c r="E721" s="19" t="str">
        <f t="shared" si="2"/>
        <v> </v>
      </c>
      <c r="F721" s="21"/>
    </row>
    <row r="722">
      <c r="A722" s="19">
        <v>10989.0</v>
      </c>
      <c r="B722" s="19" t="s">
        <v>755</v>
      </c>
      <c r="C722" s="20">
        <v>17993.0</v>
      </c>
      <c r="D722" s="19" t="str">
        <f t="shared" si="1"/>
        <v> </v>
      </c>
      <c r="E722" s="19" t="str">
        <f t="shared" si="2"/>
        <v> </v>
      </c>
      <c r="F722" s="21"/>
    </row>
    <row r="723">
      <c r="A723" s="19">
        <v>10990.0</v>
      </c>
      <c r="B723" s="19" t="s">
        <v>756</v>
      </c>
      <c r="C723" s="20">
        <v>19471.0</v>
      </c>
      <c r="D723" s="19" t="str">
        <f t="shared" si="1"/>
        <v> </v>
      </c>
      <c r="E723" s="19" t="str">
        <f t="shared" si="2"/>
        <v> </v>
      </c>
      <c r="F723" s="21"/>
    </row>
    <row r="724">
      <c r="A724" s="19">
        <v>10999.0</v>
      </c>
      <c r="B724" s="19" t="s">
        <v>757</v>
      </c>
      <c r="C724" s="20">
        <v>26764.0</v>
      </c>
      <c r="D724" s="19" t="str">
        <f t="shared" si="1"/>
        <v> </v>
      </c>
      <c r="E724" s="19" t="str">
        <f t="shared" si="2"/>
        <v> </v>
      </c>
      <c r="F724" s="21"/>
    </row>
    <row r="725">
      <c r="A725" s="19">
        <v>11000.0</v>
      </c>
      <c r="B725" s="19" t="s">
        <v>758</v>
      </c>
      <c r="C725" s="20">
        <v>16385.0</v>
      </c>
      <c r="D725" s="19" t="str">
        <f t="shared" si="1"/>
        <v> </v>
      </c>
      <c r="E725" s="19" t="str">
        <f t="shared" si="2"/>
        <v> </v>
      </c>
      <c r="F725" s="21"/>
    </row>
    <row r="726">
      <c r="A726" s="19">
        <v>11002.0</v>
      </c>
      <c r="B726" s="19" t="s">
        <v>759</v>
      </c>
      <c r="C726" s="20">
        <v>33956.0</v>
      </c>
      <c r="D726" s="19" t="str">
        <f t="shared" si="1"/>
        <v> </v>
      </c>
      <c r="E726" s="19" t="str">
        <f t="shared" si="2"/>
        <v> </v>
      </c>
      <c r="F726" s="21"/>
    </row>
    <row r="727">
      <c r="A727" s="19">
        <v>11004.0</v>
      </c>
      <c r="B727" s="19" t="s">
        <v>760</v>
      </c>
      <c r="C727" s="20">
        <v>27126.0</v>
      </c>
      <c r="D727" s="19" t="str">
        <f t="shared" si="1"/>
        <v> </v>
      </c>
      <c r="E727" s="19" t="str">
        <f t="shared" si="2"/>
        <v> </v>
      </c>
      <c r="F727" s="21"/>
    </row>
    <row r="728">
      <c r="A728" s="19">
        <v>11005.0</v>
      </c>
      <c r="B728" s="19" t="s">
        <v>761</v>
      </c>
      <c r="C728" s="20">
        <v>29353.0</v>
      </c>
      <c r="D728" s="19" t="str">
        <f t="shared" si="1"/>
        <v> </v>
      </c>
      <c r="E728" s="19" t="str">
        <f t="shared" si="2"/>
        <v> </v>
      </c>
      <c r="F728" s="21"/>
    </row>
    <row r="729">
      <c r="A729" s="19">
        <v>11006.0</v>
      </c>
      <c r="B729" s="19" t="s">
        <v>762</v>
      </c>
      <c r="C729" s="20">
        <v>28283.0</v>
      </c>
      <c r="D729" s="19" t="str">
        <f t="shared" si="1"/>
        <v> </v>
      </c>
      <c r="E729" s="19" t="str">
        <f t="shared" si="2"/>
        <v> </v>
      </c>
      <c r="F729" s="21"/>
    </row>
    <row r="730">
      <c r="A730" s="19">
        <v>11007.0</v>
      </c>
      <c r="B730" s="19" t="s">
        <v>763</v>
      </c>
      <c r="C730" s="20">
        <v>13622.0</v>
      </c>
      <c r="D730" s="19" t="str">
        <f t="shared" si="1"/>
        <v>Repeat</v>
      </c>
      <c r="E730" s="19" t="str">
        <f t="shared" si="2"/>
        <v> </v>
      </c>
      <c r="F730" s="21"/>
    </row>
    <row r="731">
      <c r="A731" s="19">
        <v>11009.0</v>
      </c>
      <c r="B731" s="19" t="s">
        <v>764</v>
      </c>
      <c r="C731" s="20">
        <v>21597.0</v>
      </c>
      <c r="D731" s="19" t="str">
        <f t="shared" si="1"/>
        <v> </v>
      </c>
      <c r="E731" s="19" t="str">
        <f t="shared" si="2"/>
        <v> </v>
      </c>
      <c r="F731" s="21"/>
    </row>
    <row r="732">
      <c r="A732" s="19">
        <v>11010.0</v>
      </c>
      <c r="B732" s="19" t="s">
        <v>765</v>
      </c>
      <c r="C732" s="20">
        <v>26625.0</v>
      </c>
      <c r="D732" s="19" t="str">
        <f t="shared" si="1"/>
        <v> </v>
      </c>
      <c r="E732" s="19" t="str">
        <f t="shared" si="2"/>
        <v> </v>
      </c>
      <c r="F732" s="21"/>
    </row>
    <row r="733">
      <c r="A733" s="19">
        <v>11011.0</v>
      </c>
      <c r="B733" s="19" t="s">
        <v>766</v>
      </c>
      <c r="C733" s="20">
        <v>15419.0</v>
      </c>
      <c r="D733" s="19" t="str">
        <f t="shared" si="1"/>
        <v> </v>
      </c>
      <c r="E733" s="19" t="str">
        <f t="shared" si="2"/>
        <v> </v>
      </c>
      <c r="F733" s="21"/>
    </row>
    <row r="734">
      <c r="A734" s="19">
        <v>11012.0</v>
      </c>
      <c r="B734" s="19" t="s">
        <v>767</v>
      </c>
      <c r="C734" s="20">
        <v>23539.0</v>
      </c>
      <c r="D734" s="19" t="str">
        <f t="shared" si="1"/>
        <v> </v>
      </c>
      <c r="E734" s="19" t="str">
        <f t="shared" si="2"/>
        <v> </v>
      </c>
      <c r="F734" s="21"/>
    </row>
    <row r="735">
      <c r="A735" s="19">
        <v>11016.0</v>
      </c>
      <c r="B735" s="19" t="s">
        <v>768</v>
      </c>
      <c r="C735" s="20">
        <v>23703.0</v>
      </c>
      <c r="D735" s="19" t="str">
        <f t="shared" si="1"/>
        <v> </v>
      </c>
      <c r="E735" s="19" t="str">
        <f t="shared" si="2"/>
        <v> </v>
      </c>
      <c r="F735" s="21"/>
    </row>
    <row r="736">
      <c r="A736" s="19">
        <v>11017.0</v>
      </c>
      <c r="B736" s="19" t="s">
        <v>769</v>
      </c>
      <c r="C736" s="20">
        <v>22235.0</v>
      </c>
      <c r="D736" s="19" t="str">
        <f t="shared" si="1"/>
        <v> </v>
      </c>
      <c r="E736" s="19" t="str">
        <f t="shared" si="2"/>
        <v> </v>
      </c>
      <c r="F736" s="21"/>
    </row>
    <row r="737">
      <c r="A737" s="19">
        <v>11018.0</v>
      </c>
      <c r="B737" s="19" t="s">
        <v>770</v>
      </c>
      <c r="C737" s="20">
        <v>22005.0</v>
      </c>
      <c r="D737" s="19" t="str">
        <f t="shared" si="1"/>
        <v> </v>
      </c>
      <c r="E737" s="19" t="str">
        <f t="shared" si="2"/>
        <v> </v>
      </c>
      <c r="F737" s="21"/>
    </row>
    <row r="738">
      <c r="A738" s="19">
        <v>11025.0</v>
      </c>
      <c r="B738" s="19" t="s">
        <v>771</v>
      </c>
      <c r="C738" s="20">
        <v>28060.0</v>
      </c>
      <c r="D738" s="19" t="str">
        <f t="shared" si="1"/>
        <v> </v>
      </c>
      <c r="E738" s="19" t="str">
        <f t="shared" si="2"/>
        <v> </v>
      </c>
      <c r="F738" s="21"/>
    </row>
    <row r="739">
      <c r="A739" s="19">
        <v>11026.0</v>
      </c>
      <c r="B739" s="19" t="s">
        <v>772</v>
      </c>
      <c r="C739" s="20">
        <v>21125.0</v>
      </c>
      <c r="D739" s="19" t="str">
        <f t="shared" si="1"/>
        <v> </v>
      </c>
      <c r="E739" s="19" t="str">
        <f t="shared" si="2"/>
        <v> </v>
      </c>
      <c r="F739" s="21"/>
    </row>
    <row r="740">
      <c r="A740" s="19">
        <v>11027.0</v>
      </c>
      <c r="B740" s="19" t="s">
        <v>773</v>
      </c>
      <c r="C740" s="20">
        <v>28275.0</v>
      </c>
      <c r="D740" s="19" t="str">
        <f t="shared" si="1"/>
        <v> </v>
      </c>
      <c r="E740" s="19" t="str">
        <f t="shared" si="2"/>
        <v> </v>
      </c>
      <c r="F740" s="21"/>
    </row>
    <row r="741">
      <c r="A741" s="19">
        <v>11031.0</v>
      </c>
      <c r="B741" s="19" t="s">
        <v>774</v>
      </c>
      <c r="C741" s="20">
        <v>18114.0</v>
      </c>
      <c r="D741" s="19" t="str">
        <f t="shared" si="1"/>
        <v> </v>
      </c>
      <c r="E741" s="19" t="str">
        <f t="shared" si="2"/>
        <v> </v>
      </c>
      <c r="F741" s="21"/>
    </row>
    <row r="742">
      <c r="A742" s="19">
        <v>11032.0</v>
      </c>
      <c r="B742" s="19" t="s">
        <v>775</v>
      </c>
      <c r="C742" s="20">
        <v>15404.0</v>
      </c>
      <c r="D742" s="19" t="str">
        <f t="shared" si="1"/>
        <v> </v>
      </c>
      <c r="E742" s="19" t="str">
        <f t="shared" si="2"/>
        <v> </v>
      </c>
      <c r="F742" s="21"/>
    </row>
    <row r="743">
      <c r="A743" s="19">
        <v>11034.0</v>
      </c>
      <c r="B743" s="19" t="s">
        <v>776</v>
      </c>
      <c r="C743" s="20">
        <v>27225.0</v>
      </c>
      <c r="D743" s="19" t="str">
        <f t="shared" si="1"/>
        <v> </v>
      </c>
      <c r="E743" s="19" t="str">
        <f t="shared" si="2"/>
        <v> </v>
      </c>
      <c r="F743" s="21"/>
    </row>
    <row r="744">
      <c r="A744" s="19">
        <v>11035.0</v>
      </c>
      <c r="B744" s="19" t="s">
        <v>777</v>
      </c>
      <c r="C744" s="20">
        <v>28161.0</v>
      </c>
      <c r="D744" s="19" t="str">
        <f t="shared" si="1"/>
        <v> </v>
      </c>
      <c r="E744" s="19" t="str">
        <f t="shared" si="2"/>
        <v> </v>
      </c>
      <c r="F744" s="21"/>
    </row>
    <row r="745">
      <c r="A745" s="19">
        <v>11036.0</v>
      </c>
      <c r="B745" s="19" t="s">
        <v>778</v>
      </c>
      <c r="C745" s="20">
        <v>18515.0</v>
      </c>
      <c r="D745" s="19" t="str">
        <f t="shared" si="1"/>
        <v> </v>
      </c>
      <c r="E745" s="19" t="str">
        <f t="shared" si="2"/>
        <v> </v>
      </c>
      <c r="F745" s="21"/>
    </row>
    <row r="746">
      <c r="A746" s="19">
        <v>11037.0</v>
      </c>
      <c r="B746" s="19" t="s">
        <v>779</v>
      </c>
      <c r="C746" s="20">
        <v>30904.0</v>
      </c>
      <c r="D746" s="19" t="str">
        <f t="shared" si="1"/>
        <v> </v>
      </c>
      <c r="E746" s="19" t="str">
        <f t="shared" si="2"/>
        <v> </v>
      </c>
      <c r="F746" s="21"/>
    </row>
    <row r="747">
      <c r="A747" s="19">
        <v>11039.0</v>
      </c>
      <c r="B747" s="19" t="s">
        <v>780</v>
      </c>
      <c r="C747" s="20">
        <v>16246.0</v>
      </c>
      <c r="D747" s="19" t="str">
        <f t="shared" si="1"/>
        <v> </v>
      </c>
      <c r="E747" s="19" t="str">
        <f t="shared" si="2"/>
        <v> </v>
      </c>
      <c r="F747" s="21"/>
    </row>
    <row r="748">
      <c r="A748" s="19">
        <v>11041.0</v>
      </c>
      <c r="B748" s="19" t="s">
        <v>781</v>
      </c>
      <c r="C748" s="20">
        <v>23573.0</v>
      </c>
      <c r="D748" s="19" t="str">
        <f t="shared" si="1"/>
        <v> </v>
      </c>
      <c r="E748" s="19" t="str">
        <f t="shared" si="2"/>
        <v> </v>
      </c>
      <c r="F748" s="21"/>
    </row>
    <row r="749">
      <c r="A749" s="19">
        <v>11042.0</v>
      </c>
      <c r="B749" s="19" t="s">
        <v>782</v>
      </c>
      <c r="C749" s="20">
        <v>31883.0</v>
      </c>
      <c r="D749" s="19" t="str">
        <f t="shared" si="1"/>
        <v> </v>
      </c>
      <c r="E749" s="19" t="str">
        <f t="shared" si="2"/>
        <v> </v>
      </c>
      <c r="F749" s="21"/>
    </row>
    <row r="750">
      <c r="A750" s="19">
        <v>11045.0</v>
      </c>
      <c r="B750" s="19" t="s">
        <v>783</v>
      </c>
      <c r="C750" s="20">
        <v>16559.0</v>
      </c>
      <c r="D750" s="19" t="str">
        <f t="shared" si="1"/>
        <v> </v>
      </c>
      <c r="E750" s="19" t="str">
        <f t="shared" si="2"/>
        <v> </v>
      </c>
      <c r="F750" s="21"/>
    </row>
    <row r="751">
      <c r="A751" s="19">
        <v>11047.0</v>
      </c>
      <c r="B751" s="19" t="s">
        <v>784</v>
      </c>
      <c r="C751" s="20">
        <v>20068.0</v>
      </c>
      <c r="D751" s="19" t="str">
        <f t="shared" si="1"/>
        <v> </v>
      </c>
      <c r="E751" s="19" t="str">
        <f t="shared" si="2"/>
        <v> </v>
      </c>
      <c r="F751" s="21"/>
    </row>
    <row r="752">
      <c r="A752" s="19">
        <v>11048.0</v>
      </c>
      <c r="B752" s="19" t="s">
        <v>785</v>
      </c>
      <c r="C752" s="20">
        <v>19908.0</v>
      </c>
      <c r="D752" s="19" t="str">
        <f t="shared" si="1"/>
        <v> </v>
      </c>
      <c r="E752" s="19" t="str">
        <f t="shared" si="2"/>
        <v> </v>
      </c>
      <c r="F752" s="21"/>
    </row>
    <row r="753">
      <c r="A753" s="19">
        <v>11050.0</v>
      </c>
      <c r="B753" s="19" t="s">
        <v>786</v>
      </c>
      <c r="C753" s="20">
        <v>12144.0</v>
      </c>
      <c r="D753" s="19" t="str">
        <f t="shared" si="1"/>
        <v> </v>
      </c>
      <c r="E753" s="19" t="str">
        <f t="shared" si="2"/>
        <v> </v>
      </c>
      <c r="F753" s="21"/>
    </row>
    <row r="754">
      <c r="A754" s="19">
        <v>11056.0</v>
      </c>
      <c r="B754" s="19" t="s">
        <v>787</v>
      </c>
      <c r="C754" s="20">
        <v>14099.0</v>
      </c>
      <c r="D754" s="19" t="str">
        <f t="shared" si="1"/>
        <v>Repeat</v>
      </c>
      <c r="E754" s="19" t="str">
        <f t="shared" si="2"/>
        <v> </v>
      </c>
      <c r="F754" s="21"/>
    </row>
    <row r="755">
      <c r="A755" s="19">
        <v>11057.0</v>
      </c>
      <c r="B755" s="19" t="s">
        <v>788</v>
      </c>
      <c r="C755" s="20">
        <v>30148.0</v>
      </c>
      <c r="D755" s="19" t="str">
        <f t="shared" si="1"/>
        <v> </v>
      </c>
      <c r="E755" s="19" t="str">
        <f t="shared" si="2"/>
        <v> </v>
      </c>
      <c r="F755" s="21"/>
    </row>
    <row r="756">
      <c r="A756" s="19">
        <v>11059.0</v>
      </c>
      <c r="B756" s="19" t="s">
        <v>789</v>
      </c>
      <c r="C756" s="20">
        <v>17955.0</v>
      </c>
      <c r="D756" s="19" t="str">
        <f t="shared" si="1"/>
        <v> </v>
      </c>
      <c r="E756" s="19" t="str">
        <f t="shared" si="2"/>
        <v> </v>
      </c>
      <c r="F756" s="21"/>
    </row>
    <row r="757">
      <c r="A757" s="19">
        <v>11060.0</v>
      </c>
      <c r="B757" s="19" t="s">
        <v>790</v>
      </c>
      <c r="C757" s="20">
        <v>17390.0</v>
      </c>
      <c r="D757" s="19" t="str">
        <f t="shared" si="1"/>
        <v> </v>
      </c>
      <c r="E757" s="19" t="str">
        <f t="shared" si="2"/>
        <v> </v>
      </c>
      <c r="F757" s="21"/>
    </row>
    <row r="758">
      <c r="A758" s="19">
        <v>11063.0</v>
      </c>
      <c r="B758" s="19" t="s">
        <v>791</v>
      </c>
      <c r="C758" s="20">
        <v>16944.0</v>
      </c>
      <c r="D758" s="19" t="str">
        <f t="shared" si="1"/>
        <v> </v>
      </c>
      <c r="E758" s="19" t="str">
        <f t="shared" si="2"/>
        <v> </v>
      </c>
      <c r="F758" s="21"/>
    </row>
    <row r="759">
      <c r="A759" s="19">
        <v>11065.0</v>
      </c>
      <c r="B759" s="19" t="s">
        <v>792</v>
      </c>
      <c r="C759" s="20">
        <v>18803.0</v>
      </c>
      <c r="D759" s="19" t="str">
        <f t="shared" si="1"/>
        <v> </v>
      </c>
      <c r="E759" s="19" t="str">
        <f t="shared" si="2"/>
        <v> </v>
      </c>
      <c r="F759" s="21"/>
    </row>
    <row r="760">
      <c r="A760" s="19">
        <v>11066.0</v>
      </c>
      <c r="B760" s="19" t="s">
        <v>793</v>
      </c>
      <c r="C760" s="20">
        <v>21680.0</v>
      </c>
      <c r="D760" s="19" t="str">
        <f t="shared" si="1"/>
        <v> </v>
      </c>
      <c r="E760" s="19" t="str">
        <f t="shared" si="2"/>
        <v> </v>
      </c>
      <c r="F760" s="21"/>
    </row>
    <row r="761">
      <c r="A761" s="19">
        <v>11068.0</v>
      </c>
      <c r="B761" s="19" t="s">
        <v>794</v>
      </c>
      <c r="C761" s="20">
        <v>17430.0</v>
      </c>
      <c r="D761" s="19" t="str">
        <f t="shared" si="1"/>
        <v> </v>
      </c>
      <c r="E761" s="19" t="str">
        <f t="shared" si="2"/>
        <v> </v>
      </c>
      <c r="F761" s="21"/>
    </row>
    <row r="762">
      <c r="A762" s="19">
        <v>11070.0</v>
      </c>
      <c r="B762" s="19" t="s">
        <v>795</v>
      </c>
      <c r="C762" s="20">
        <v>19238.0</v>
      </c>
      <c r="D762" s="19" t="str">
        <f t="shared" si="1"/>
        <v> </v>
      </c>
      <c r="E762" s="19" t="str">
        <f t="shared" si="2"/>
        <v> </v>
      </c>
      <c r="F762" s="21"/>
    </row>
    <row r="763">
      <c r="A763" s="19">
        <v>11071.0</v>
      </c>
      <c r="B763" s="19" t="s">
        <v>796</v>
      </c>
      <c r="C763" s="20">
        <v>13482.0</v>
      </c>
      <c r="D763" s="19" t="str">
        <f t="shared" si="1"/>
        <v>Repeat</v>
      </c>
      <c r="E763" s="19" t="str">
        <f t="shared" si="2"/>
        <v> </v>
      </c>
      <c r="F763" s="21"/>
    </row>
    <row r="764">
      <c r="A764" s="19">
        <v>11072.0</v>
      </c>
      <c r="B764" s="19" t="s">
        <v>797</v>
      </c>
      <c r="C764" s="20">
        <v>27956.0</v>
      </c>
      <c r="D764" s="19" t="str">
        <f t="shared" si="1"/>
        <v> </v>
      </c>
      <c r="E764" s="19" t="str">
        <f t="shared" si="2"/>
        <v> </v>
      </c>
      <c r="F764" s="21"/>
    </row>
    <row r="765">
      <c r="A765" s="19">
        <v>11073.0</v>
      </c>
      <c r="B765" s="19" t="s">
        <v>798</v>
      </c>
      <c r="C765" s="20">
        <v>20885.0</v>
      </c>
      <c r="D765" s="19" t="str">
        <f t="shared" si="1"/>
        <v>Repeat</v>
      </c>
      <c r="E765" s="19" t="str">
        <f t="shared" si="2"/>
        <v> </v>
      </c>
      <c r="F765" s="21"/>
    </row>
    <row r="766">
      <c r="A766" s="19">
        <v>11074.0</v>
      </c>
      <c r="B766" s="19" t="s">
        <v>799</v>
      </c>
      <c r="C766" s="20">
        <v>13485.0</v>
      </c>
      <c r="D766" s="19" t="str">
        <f t="shared" si="1"/>
        <v> </v>
      </c>
      <c r="E766" s="19" t="str">
        <f t="shared" si="2"/>
        <v> </v>
      </c>
      <c r="F766" s="21"/>
    </row>
    <row r="767">
      <c r="A767" s="19">
        <v>11076.0</v>
      </c>
      <c r="B767" s="19" t="s">
        <v>800</v>
      </c>
      <c r="C767" s="20">
        <v>15250.0</v>
      </c>
      <c r="D767" s="19" t="str">
        <f t="shared" si="1"/>
        <v> </v>
      </c>
      <c r="E767" s="19" t="str">
        <f t="shared" si="2"/>
        <v> </v>
      </c>
      <c r="F767" s="21"/>
    </row>
    <row r="768">
      <c r="A768" s="19">
        <v>11077.0</v>
      </c>
      <c r="B768" s="19" t="s">
        <v>801</v>
      </c>
      <c r="C768" s="20">
        <v>23943.0</v>
      </c>
      <c r="D768" s="19" t="str">
        <f t="shared" si="1"/>
        <v> </v>
      </c>
      <c r="E768" s="19" t="str">
        <f t="shared" si="2"/>
        <v> </v>
      </c>
      <c r="F768" s="21"/>
    </row>
    <row r="769">
      <c r="A769" s="19">
        <v>11080.0</v>
      </c>
      <c r="B769" s="19" t="s">
        <v>802</v>
      </c>
      <c r="C769" s="20">
        <v>16280.0</v>
      </c>
      <c r="D769" s="19" t="str">
        <f t="shared" si="1"/>
        <v> </v>
      </c>
      <c r="E769" s="19" t="str">
        <f t="shared" si="2"/>
        <v> </v>
      </c>
      <c r="F769" s="21"/>
    </row>
    <row r="770">
      <c r="A770" s="19">
        <v>11083.0</v>
      </c>
      <c r="B770" s="19" t="s">
        <v>803</v>
      </c>
      <c r="C770" s="20">
        <v>23657.0</v>
      </c>
      <c r="D770" s="19" t="str">
        <f t="shared" si="1"/>
        <v> </v>
      </c>
      <c r="E770" s="19" t="str">
        <f t="shared" si="2"/>
        <v> </v>
      </c>
      <c r="F770" s="21"/>
    </row>
    <row r="771">
      <c r="A771" s="19">
        <v>11084.0</v>
      </c>
      <c r="B771" s="19" t="s">
        <v>804</v>
      </c>
      <c r="C771" s="20">
        <v>21028.0</v>
      </c>
      <c r="D771" s="19" t="str">
        <f t="shared" si="1"/>
        <v> </v>
      </c>
      <c r="E771" s="19" t="str">
        <f t="shared" si="2"/>
        <v> </v>
      </c>
      <c r="F771" s="21"/>
    </row>
    <row r="772">
      <c r="A772" s="19">
        <v>11085.0</v>
      </c>
      <c r="B772" s="19" t="s">
        <v>805</v>
      </c>
      <c r="C772" s="20">
        <v>24401.0</v>
      </c>
      <c r="D772" s="19" t="str">
        <f t="shared" si="1"/>
        <v>Repeat</v>
      </c>
      <c r="E772" s="19" t="str">
        <f t="shared" si="2"/>
        <v> </v>
      </c>
      <c r="F772" s="21"/>
    </row>
    <row r="773">
      <c r="A773" s="19">
        <v>11088.0</v>
      </c>
      <c r="B773" s="19" t="s">
        <v>806</v>
      </c>
      <c r="C773" s="20">
        <v>14999.0</v>
      </c>
      <c r="D773" s="19" t="str">
        <f t="shared" si="1"/>
        <v> </v>
      </c>
      <c r="E773" s="19" t="str">
        <f t="shared" si="2"/>
        <v> </v>
      </c>
      <c r="F773" s="21"/>
    </row>
    <row r="774">
      <c r="A774" s="19">
        <v>11090.0</v>
      </c>
      <c r="B774" s="19" t="s">
        <v>807</v>
      </c>
      <c r="C774" s="20">
        <v>29523.0</v>
      </c>
      <c r="D774" s="19" t="str">
        <f t="shared" si="1"/>
        <v> </v>
      </c>
      <c r="E774" s="19" t="str">
        <f t="shared" si="2"/>
        <v> </v>
      </c>
      <c r="F774" s="21"/>
    </row>
    <row r="775">
      <c r="A775" s="19">
        <v>11093.0</v>
      </c>
      <c r="B775" s="19" t="s">
        <v>808</v>
      </c>
      <c r="C775" s="20">
        <v>22696.0</v>
      </c>
      <c r="D775" s="19" t="str">
        <f t="shared" si="1"/>
        <v> </v>
      </c>
      <c r="E775" s="19" t="str">
        <f t="shared" si="2"/>
        <v> </v>
      </c>
      <c r="F775" s="21"/>
    </row>
    <row r="776">
      <c r="A776" s="19">
        <v>11096.0</v>
      </c>
      <c r="B776" s="19" t="s">
        <v>809</v>
      </c>
      <c r="C776" s="20">
        <v>21939.0</v>
      </c>
      <c r="D776" s="19" t="str">
        <f t="shared" si="1"/>
        <v> </v>
      </c>
      <c r="E776" s="19" t="str">
        <f t="shared" si="2"/>
        <v> </v>
      </c>
      <c r="F776" s="21"/>
    </row>
    <row r="777">
      <c r="A777" s="19">
        <v>11099.0</v>
      </c>
      <c r="B777" s="19" t="s">
        <v>810</v>
      </c>
      <c r="C777" s="20">
        <v>29439.0</v>
      </c>
      <c r="D777" s="19" t="str">
        <f t="shared" si="1"/>
        <v> </v>
      </c>
      <c r="E777" s="19" t="str">
        <f t="shared" si="2"/>
        <v> </v>
      </c>
      <c r="F777" s="21"/>
    </row>
    <row r="778">
      <c r="A778" s="19">
        <v>11100.0</v>
      </c>
      <c r="B778" s="19" t="s">
        <v>811</v>
      </c>
      <c r="C778" s="20">
        <v>17508.0</v>
      </c>
      <c r="D778" s="19" t="str">
        <f t="shared" si="1"/>
        <v>Repeat</v>
      </c>
      <c r="E778" s="19" t="str">
        <f t="shared" si="2"/>
        <v> </v>
      </c>
      <c r="F778" s="21"/>
    </row>
    <row r="779">
      <c r="A779" s="19">
        <v>11105.0</v>
      </c>
      <c r="B779" s="19" t="s">
        <v>812</v>
      </c>
      <c r="C779" s="20">
        <v>23128.0</v>
      </c>
      <c r="D779" s="19" t="str">
        <f t="shared" si="1"/>
        <v> </v>
      </c>
      <c r="E779" s="19" t="str">
        <f t="shared" si="2"/>
        <v> </v>
      </c>
      <c r="F779" s="21"/>
    </row>
    <row r="780">
      <c r="A780" s="19">
        <v>11106.0</v>
      </c>
      <c r="B780" s="19" t="s">
        <v>813</v>
      </c>
      <c r="C780" s="20">
        <v>29299.0</v>
      </c>
      <c r="D780" s="19" t="str">
        <f t="shared" si="1"/>
        <v>Repeat</v>
      </c>
      <c r="E780" s="19" t="str">
        <f t="shared" si="2"/>
        <v> </v>
      </c>
      <c r="F780" s="21"/>
    </row>
    <row r="781">
      <c r="A781" s="19">
        <v>11110.0</v>
      </c>
      <c r="B781" s="19" t="s">
        <v>814</v>
      </c>
      <c r="C781" s="20">
        <v>13190.0</v>
      </c>
      <c r="D781" s="19" t="str">
        <f t="shared" si="1"/>
        <v> </v>
      </c>
      <c r="E781" s="19" t="str">
        <f t="shared" si="2"/>
        <v> </v>
      </c>
      <c r="F781" s="21"/>
    </row>
    <row r="782">
      <c r="A782" s="19">
        <v>11113.0</v>
      </c>
      <c r="B782" s="19" t="s">
        <v>815</v>
      </c>
      <c r="C782" s="20">
        <v>19005.0</v>
      </c>
      <c r="D782" s="19" t="str">
        <f t="shared" si="1"/>
        <v> </v>
      </c>
      <c r="E782" s="19" t="str">
        <f t="shared" si="2"/>
        <v> </v>
      </c>
      <c r="F782" s="21"/>
    </row>
    <row r="783">
      <c r="A783" s="19">
        <v>11114.0</v>
      </c>
      <c r="B783" s="19" t="s">
        <v>816</v>
      </c>
      <c r="C783" s="20">
        <v>19084.0</v>
      </c>
      <c r="D783" s="19" t="str">
        <f t="shared" si="1"/>
        <v> </v>
      </c>
      <c r="E783" s="19" t="str">
        <f t="shared" si="2"/>
        <v> </v>
      </c>
      <c r="F783" s="21"/>
    </row>
    <row r="784">
      <c r="A784" s="19">
        <v>11115.0</v>
      </c>
      <c r="B784" s="19" t="s">
        <v>817</v>
      </c>
      <c r="C784" s="20">
        <v>18060.0</v>
      </c>
      <c r="D784" s="19" t="str">
        <f t="shared" si="1"/>
        <v> </v>
      </c>
      <c r="E784" s="19" t="str">
        <f t="shared" si="2"/>
        <v> </v>
      </c>
      <c r="F784" s="21"/>
    </row>
    <row r="785">
      <c r="A785" s="19">
        <v>11116.0</v>
      </c>
      <c r="B785" s="19" t="s">
        <v>818</v>
      </c>
      <c r="C785" s="20">
        <v>17610.0</v>
      </c>
      <c r="D785" s="19" t="str">
        <f t="shared" si="1"/>
        <v>Repeat</v>
      </c>
      <c r="E785" s="19" t="str">
        <f t="shared" si="2"/>
        <v> </v>
      </c>
      <c r="F785" s="21"/>
    </row>
    <row r="786">
      <c r="A786" s="19">
        <v>11117.0</v>
      </c>
      <c r="B786" s="19" t="s">
        <v>819</v>
      </c>
      <c r="C786" s="20">
        <v>16041.0</v>
      </c>
      <c r="D786" s="19" t="str">
        <f t="shared" si="1"/>
        <v> </v>
      </c>
      <c r="E786" s="19" t="str">
        <f t="shared" si="2"/>
        <v> </v>
      </c>
      <c r="F786" s="21"/>
    </row>
    <row r="787">
      <c r="A787" s="19">
        <v>11118.0</v>
      </c>
      <c r="B787" s="19" t="s">
        <v>820</v>
      </c>
      <c r="C787" s="20">
        <v>13778.0</v>
      </c>
      <c r="D787" s="19" t="str">
        <f t="shared" si="1"/>
        <v> </v>
      </c>
      <c r="E787" s="19" t="str">
        <f t="shared" si="2"/>
        <v> </v>
      </c>
      <c r="F787" s="21"/>
    </row>
    <row r="788">
      <c r="A788" s="19">
        <v>11120.0</v>
      </c>
      <c r="B788" s="19" t="s">
        <v>821</v>
      </c>
      <c r="C788" s="20">
        <v>29751.0</v>
      </c>
      <c r="D788" s="19" t="str">
        <f t="shared" si="1"/>
        <v> </v>
      </c>
      <c r="E788" s="19" t="str">
        <f t="shared" si="2"/>
        <v> </v>
      </c>
      <c r="F788" s="21"/>
    </row>
    <row r="789">
      <c r="A789" s="19">
        <v>11121.0</v>
      </c>
      <c r="B789" s="19" t="s">
        <v>822</v>
      </c>
      <c r="C789" s="20">
        <v>24534.0</v>
      </c>
      <c r="D789" s="19" t="str">
        <f t="shared" si="1"/>
        <v> </v>
      </c>
      <c r="E789" s="19" t="str">
        <f t="shared" si="2"/>
        <v> </v>
      </c>
      <c r="F789" s="21"/>
    </row>
    <row r="790">
      <c r="A790" s="19">
        <v>11122.0</v>
      </c>
      <c r="B790" s="19" t="s">
        <v>823</v>
      </c>
      <c r="C790" s="20">
        <v>16190.0</v>
      </c>
      <c r="D790" s="19" t="str">
        <f t="shared" si="1"/>
        <v> </v>
      </c>
      <c r="E790" s="19" t="str">
        <f t="shared" si="2"/>
        <v> </v>
      </c>
      <c r="F790" s="21"/>
    </row>
    <row r="791">
      <c r="A791" s="19">
        <v>11123.0</v>
      </c>
      <c r="B791" s="19" t="s">
        <v>824</v>
      </c>
      <c r="C791" s="20">
        <v>15422.0</v>
      </c>
      <c r="D791" s="19" t="str">
        <f t="shared" si="1"/>
        <v> </v>
      </c>
      <c r="E791" s="19" t="str">
        <f t="shared" si="2"/>
        <v> </v>
      </c>
      <c r="F791" s="21"/>
    </row>
    <row r="792">
      <c r="A792" s="19">
        <v>11125.0</v>
      </c>
      <c r="B792" s="19" t="s">
        <v>825</v>
      </c>
      <c r="C792" s="20">
        <v>19302.0</v>
      </c>
      <c r="D792" s="19" t="str">
        <f t="shared" si="1"/>
        <v> </v>
      </c>
      <c r="E792" s="19" t="str">
        <f t="shared" si="2"/>
        <v> </v>
      </c>
      <c r="F792" s="21"/>
    </row>
    <row r="793">
      <c r="A793" s="19">
        <v>11127.0</v>
      </c>
      <c r="B793" s="19" t="s">
        <v>826</v>
      </c>
      <c r="C793" s="20">
        <v>25704.0</v>
      </c>
      <c r="D793" s="19" t="str">
        <f t="shared" si="1"/>
        <v> </v>
      </c>
      <c r="E793" s="19" t="str">
        <f t="shared" si="2"/>
        <v> </v>
      </c>
      <c r="F793" s="21"/>
    </row>
    <row r="794">
      <c r="A794" s="19">
        <v>11130.0</v>
      </c>
      <c r="B794" s="19" t="s">
        <v>827</v>
      </c>
      <c r="C794" s="20">
        <v>24381.0</v>
      </c>
      <c r="D794" s="19" t="str">
        <f t="shared" si="1"/>
        <v> </v>
      </c>
      <c r="E794" s="19" t="str">
        <f t="shared" si="2"/>
        <v> </v>
      </c>
      <c r="F794" s="21"/>
    </row>
    <row r="795">
      <c r="A795" s="19">
        <v>11131.0</v>
      </c>
      <c r="B795" s="19" t="s">
        <v>828</v>
      </c>
      <c r="C795" s="20">
        <v>16644.0</v>
      </c>
      <c r="D795" s="19" t="str">
        <f t="shared" si="1"/>
        <v> </v>
      </c>
      <c r="E795" s="19" t="str">
        <f t="shared" si="2"/>
        <v> </v>
      </c>
      <c r="F795" s="21"/>
    </row>
    <row r="796">
      <c r="A796" s="19">
        <v>11133.0</v>
      </c>
      <c r="B796" s="19" t="s">
        <v>829</v>
      </c>
      <c r="C796" s="20">
        <v>21017.0</v>
      </c>
      <c r="D796" s="19" t="str">
        <f t="shared" si="1"/>
        <v>Repeat</v>
      </c>
      <c r="E796" s="19" t="str">
        <f t="shared" si="2"/>
        <v> </v>
      </c>
      <c r="F796" s="21"/>
    </row>
    <row r="797">
      <c r="A797" s="19">
        <v>11135.0</v>
      </c>
      <c r="B797" s="19" t="s">
        <v>830</v>
      </c>
      <c r="C797" s="20">
        <v>25248.0</v>
      </c>
      <c r="D797" s="19" t="str">
        <f t="shared" si="1"/>
        <v> </v>
      </c>
      <c r="E797" s="19" t="str">
        <f t="shared" si="2"/>
        <v> </v>
      </c>
      <c r="F797" s="21"/>
    </row>
    <row r="798">
      <c r="A798" s="19">
        <v>11138.0</v>
      </c>
      <c r="B798" s="19" t="s">
        <v>831</v>
      </c>
      <c r="C798" s="20">
        <v>19778.0</v>
      </c>
      <c r="D798" s="19" t="str">
        <f t="shared" si="1"/>
        <v> </v>
      </c>
      <c r="E798" s="19" t="str">
        <f t="shared" si="2"/>
        <v> </v>
      </c>
      <c r="F798" s="21"/>
    </row>
    <row r="799">
      <c r="A799" s="19">
        <v>11140.0</v>
      </c>
      <c r="B799" s="19" t="s">
        <v>832</v>
      </c>
      <c r="C799" s="20">
        <v>18789.0</v>
      </c>
      <c r="D799" s="19" t="str">
        <f t="shared" si="1"/>
        <v> </v>
      </c>
      <c r="E799" s="19" t="str">
        <f t="shared" si="2"/>
        <v> </v>
      </c>
      <c r="F799" s="21"/>
    </row>
    <row r="800">
      <c r="A800" s="19">
        <v>11141.0</v>
      </c>
      <c r="B800" s="19" t="s">
        <v>833</v>
      </c>
      <c r="C800" s="20">
        <v>12933.0</v>
      </c>
      <c r="D800" s="19" t="str">
        <f t="shared" si="1"/>
        <v> </v>
      </c>
      <c r="E800" s="19" t="str">
        <f t="shared" si="2"/>
        <v> </v>
      </c>
      <c r="F800" s="21"/>
    </row>
    <row r="801">
      <c r="A801" s="19">
        <v>11146.0</v>
      </c>
      <c r="B801" s="19" t="s">
        <v>834</v>
      </c>
      <c r="C801" s="20">
        <v>22785.0</v>
      </c>
      <c r="D801" s="19" t="str">
        <f t="shared" si="1"/>
        <v> </v>
      </c>
      <c r="E801" s="19" t="str">
        <f t="shared" si="2"/>
        <v> </v>
      </c>
      <c r="F801" s="21"/>
    </row>
    <row r="802">
      <c r="A802" s="19">
        <v>11147.0</v>
      </c>
      <c r="B802" s="19" t="s">
        <v>835</v>
      </c>
      <c r="C802" s="20">
        <v>25763.0</v>
      </c>
      <c r="D802" s="19" t="str">
        <f t="shared" si="1"/>
        <v> </v>
      </c>
      <c r="E802" s="19" t="str">
        <f t="shared" si="2"/>
        <v> </v>
      </c>
      <c r="F802" s="21"/>
    </row>
    <row r="803">
      <c r="A803" s="19">
        <v>11149.0</v>
      </c>
      <c r="B803" s="19" t="s">
        <v>836</v>
      </c>
      <c r="C803" s="20">
        <v>18313.0</v>
      </c>
      <c r="D803" s="19" t="str">
        <f t="shared" si="1"/>
        <v> </v>
      </c>
      <c r="E803" s="19" t="str">
        <f t="shared" si="2"/>
        <v> </v>
      </c>
      <c r="F803" s="21"/>
    </row>
    <row r="804">
      <c r="A804" s="19">
        <v>11150.0</v>
      </c>
      <c r="B804" s="19" t="s">
        <v>837</v>
      </c>
      <c r="C804" s="20">
        <v>34474.0</v>
      </c>
      <c r="D804" s="19" t="str">
        <f t="shared" si="1"/>
        <v> </v>
      </c>
      <c r="E804" s="19" t="str">
        <f t="shared" si="2"/>
        <v> </v>
      </c>
      <c r="F804" s="21"/>
    </row>
    <row r="805">
      <c r="A805" s="19">
        <v>11152.0</v>
      </c>
      <c r="B805" s="19" t="s">
        <v>838</v>
      </c>
      <c r="C805" s="20">
        <v>29447.0</v>
      </c>
      <c r="D805" s="19" t="str">
        <f t="shared" si="1"/>
        <v> </v>
      </c>
      <c r="E805" s="19" t="str">
        <f t="shared" si="2"/>
        <v> </v>
      </c>
      <c r="F805" s="21"/>
    </row>
    <row r="806">
      <c r="A806" s="19">
        <v>11154.0</v>
      </c>
      <c r="B806" s="19" t="s">
        <v>839</v>
      </c>
      <c r="C806" s="20">
        <v>18129.0</v>
      </c>
      <c r="D806" s="19" t="str">
        <f t="shared" si="1"/>
        <v> </v>
      </c>
      <c r="E806" s="19" t="str">
        <f t="shared" si="2"/>
        <v> </v>
      </c>
      <c r="F806" s="21"/>
    </row>
    <row r="807">
      <c r="A807" s="19">
        <v>11155.0</v>
      </c>
      <c r="B807" s="19" t="s">
        <v>840</v>
      </c>
      <c r="C807" s="20">
        <v>11016.0</v>
      </c>
      <c r="D807" s="19" t="str">
        <f t="shared" si="1"/>
        <v> </v>
      </c>
      <c r="E807" s="19" t="str">
        <f t="shared" si="2"/>
        <v> </v>
      </c>
      <c r="F807" s="21"/>
    </row>
    <row r="808">
      <c r="A808" s="19">
        <v>11162.0</v>
      </c>
      <c r="B808" s="19" t="s">
        <v>841</v>
      </c>
      <c r="C808" s="20">
        <v>28616.0</v>
      </c>
      <c r="D808" s="19" t="str">
        <f t="shared" si="1"/>
        <v> </v>
      </c>
      <c r="E808" s="19" t="str">
        <f t="shared" si="2"/>
        <v> </v>
      </c>
      <c r="F808" s="21"/>
    </row>
    <row r="809">
      <c r="A809" s="19">
        <v>11163.0</v>
      </c>
      <c r="B809" s="19" t="s">
        <v>842</v>
      </c>
      <c r="C809" s="20">
        <v>28099.0</v>
      </c>
      <c r="D809" s="19" t="str">
        <f t="shared" si="1"/>
        <v> </v>
      </c>
      <c r="E809" s="19" t="str">
        <f t="shared" si="2"/>
        <v> </v>
      </c>
      <c r="F809" s="21"/>
    </row>
    <row r="810">
      <c r="A810" s="19">
        <v>11165.0</v>
      </c>
      <c r="B810" s="19" t="s">
        <v>843</v>
      </c>
      <c r="C810" s="20">
        <v>17791.0</v>
      </c>
      <c r="D810" s="19" t="str">
        <f t="shared" si="1"/>
        <v> </v>
      </c>
      <c r="E810" s="19" t="str">
        <f t="shared" si="2"/>
        <v> </v>
      </c>
      <c r="F810" s="21"/>
    </row>
    <row r="811">
      <c r="A811" s="19">
        <v>11166.0</v>
      </c>
      <c r="B811" s="19" t="s">
        <v>844</v>
      </c>
      <c r="C811" s="20">
        <v>23371.0</v>
      </c>
      <c r="D811" s="19" t="str">
        <f t="shared" si="1"/>
        <v> </v>
      </c>
      <c r="E811" s="19" t="str">
        <f t="shared" si="2"/>
        <v> </v>
      </c>
      <c r="F811" s="21"/>
    </row>
    <row r="812">
      <c r="A812" s="19">
        <v>11168.0</v>
      </c>
      <c r="B812" s="19" t="s">
        <v>845</v>
      </c>
      <c r="C812" s="20">
        <v>20119.0</v>
      </c>
      <c r="D812" s="19" t="str">
        <f t="shared" si="1"/>
        <v> </v>
      </c>
      <c r="E812" s="19" t="str">
        <f t="shared" si="2"/>
        <v> </v>
      </c>
      <c r="F812" s="21"/>
    </row>
    <row r="813">
      <c r="A813" s="19">
        <v>11169.0</v>
      </c>
      <c r="B813" s="19" t="s">
        <v>846</v>
      </c>
      <c r="C813" s="20">
        <v>29135.0</v>
      </c>
      <c r="D813" s="19" t="str">
        <f t="shared" si="1"/>
        <v> </v>
      </c>
      <c r="E813" s="19" t="str">
        <f t="shared" si="2"/>
        <v> </v>
      </c>
      <c r="F813" s="21"/>
    </row>
    <row r="814">
      <c r="A814" s="19">
        <v>11171.0</v>
      </c>
      <c r="B814" s="19" t="s">
        <v>847</v>
      </c>
      <c r="C814" s="20">
        <v>27123.0</v>
      </c>
      <c r="D814" s="19" t="str">
        <f t="shared" si="1"/>
        <v> </v>
      </c>
      <c r="E814" s="19" t="str">
        <f t="shared" si="2"/>
        <v> </v>
      </c>
      <c r="F814" s="21"/>
    </row>
    <row r="815">
      <c r="A815" s="19">
        <v>11174.0</v>
      </c>
      <c r="B815" s="19" t="s">
        <v>848</v>
      </c>
      <c r="C815" s="20">
        <v>20173.0</v>
      </c>
      <c r="D815" s="19" t="str">
        <f t="shared" si="1"/>
        <v> </v>
      </c>
      <c r="E815" s="19" t="str">
        <f t="shared" si="2"/>
        <v> </v>
      </c>
      <c r="F815" s="21"/>
    </row>
    <row r="816">
      <c r="A816" s="19">
        <v>11175.0</v>
      </c>
      <c r="B816" s="19" t="s">
        <v>743</v>
      </c>
      <c r="C816" s="20">
        <v>11520.0</v>
      </c>
      <c r="D816" s="19" t="str">
        <f t="shared" si="1"/>
        <v>Repeat</v>
      </c>
      <c r="E816" s="19" t="str">
        <f t="shared" si="2"/>
        <v> </v>
      </c>
      <c r="F816" s="21"/>
    </row>
    <row r="817">
      <c r="A817" s="19">
        <v>11177.0</v>
      </c>
      <c r="B817" s="19" t="s">
        <v>849</v>
      </c>
      <c r="C817" s="20">
        <v>22098.0</v>
      </c>
      <c r="D817" s="19" t="str">
        <f t="shared" si="1"/>
        <v> </v>
      </c>
      <c r="E817" s="19" t="str">
        <f t="shared" si="2"/>
        <v> </v>
      </c>
      <c r="F817" s="21"/>
    </row>
    <row r="818">
      <c r="A818" s="19">
        <v>11179.0</v>
      </c>
      <c r="B818" s="19" t="s">
        <v>850</v>
      </c>
      <c r="C818" s="20">
        <v>13761.0</v>
      </c>
      <c r="D818" s="19" t="str">
        <f t="shared" si="1"/>
        <v> </v>
      </c>
      <c r="E818" s="19" t="str">
        <f t="shared" si="2"/>
        <v> </v>
      </c>
      <c r="F818" s="21"/>
    </row>
    <row r="819">
      <c r="A819" s="19">
        <v>11181.0</v>
      </c>
      <c r="B819" s="19" t="s">
        <v>851</v>
      </c>
      <c r="C819" s="20">
        <v>18899.0</v>
      </c>
      <c r="D819" s="19" t="str">
        <f t="shared" si="1"/>
        <v> </v>
      </c>
      <c r="E819" s="19" t="str">
        <f t="shared" si="2"/>
        <v> </v>
      </c>
      <c r="F819" s="21"/>
    </row>
    <row r="820">
      <c r="A820" s="19">
        <v>11183.0</v>
      </c>
      <c r="B820" s="19" t="s">
        <v>852</v>
      </c>
      <c r="C820" s="20">
        <v>19173.0</v>
      </c>
      <c r="D820" s="19" t="str">
        <f t="shared" si="1"/>
        <v> </v>
      </c>
      <c r="E820" s="19" t="str">
        <f t="shared" si="2"/>
        <v> </v>
      </c>
      <c r="F820" s="21"/>
    </row>
    <row r="821">
      <c r="A821" s="19">
        <v>11184.0</v>
      </c>
      <c r="B821" s="19" t="s">
        <v>853</v>
      </c>
      <c r="C821" s="20">
        <v>32475.0</v>
      </c>
      <c r="D821" s="19" t="str">
        <f t="shared" si="1"/>
        <v> </v>
      </c>
      <c r="E821" s="19" t="str">
        <f t="shared" si="2"/>
        <v> </v>
      </c>
      <c r="F821" s="21"/>
    </row>
    <row r="822">
      <c r="A822" s="19">
        <v>11187.0</v>
      </c>
      <c r="B822" s="19" t="s">
        <v>854</v>
      </c>
      <c r="C822" s="20">
        <v>22577.0</v>
      </c>
      <c r="D822" s="19" t="str">
        <f t="shared" si="1"/>
        <v> </v>
      </c>
      <c r="E822" s="19" t="str">
        <f t="shared" si="2"/>
        <v> </v>
      </c>
      <c r="F822" s="21"/>
    </row>
    <row r="823">
      <c r="A823" s="19">
        <v>11190.0</v>
      </c>
      <c r="B823" s="19" t="s">
        <v>855</v>
      </c>
      <c r="C823" s="20">
        <v>19171.0</v>
      </c>
      <c r="D823" s="19" t="str">
        <f t="shared" si="1"/>
        <v> </v>
      </c>
      <c r="E823" s="19" t="str">
        <f t="shared" si="2"/>
        <v> </v>
      </c>
      <c r="F823" s="21"/>
    </row>
    <row r="824">
      <c r="A824" s="19">
        <v>11192.0</v>
      </c>
      <c r="B824" s="19" t="s">
        <v>856</v>
      </c>
      <c r="C824" s="20">
        <v>29533.0</v>
      </c>
      <c r="D824" s="19" t="str">
        <f t="shared" si="1"/>
        <v> </v>
      </c>
      <c r="E824" s="19" t="str">
        <f t="shared" si="2"/>
        <v> </v>
      </c>
      <c r="F824" s="21"/>
    </row>
    <row r="825">
      <c r="A825" s="19">
        <v>11197.0</v>
      </c>
      <c r="B825" s="19" t="s">
        <v>857</v>
      </c>
      <c r="C825" s="20">
        <v>26713.0</v>
      </c>
      <c r="D825" s="19" t="str">
        <f t="shared" si="1"/>
        <v> </v>
      </c>
      <c r="E825" s="19" t="str">
        <f t="shared" si="2"/>
        <v> </v>
      </c>
      <c r="F825" s="21"/>
    </row>
    <row r="826">
      <c r="A826" s="19">
        <v>11199.0</v>
      </c>
      <c r="B826" s="19" t="s">
        <v>858</v>
      </c>
      <c r="C826" s="20">
        <v>23161.0</v>
      </c>
      <c r="D826" s="19" t="str">
        <f t="shared" si="1"/>
        <v> </v>
      </c>
      <c r="E826" s="19" t="str">
        <f t="shared" si="2"/>
        <v> </v>
      </c>
      <c r="F826" s="21"/>
    </row>
    <row r="827">
      <c r="A827" s="19">
        <v>11200.0</v>
      </c>
      <c r="B827" s="19" t="s">
        <v>859</v>
      </c>
      <c r="C827" s="20">
        <v>18775.0</v>
      </c>
      <c r="D827" s="19" t="str">
        <f t="shared" si="1"/>
        <v> </v>
      </c>
      <c r="E827" s="19" t="str">
        <f t="shared" si="2"/>
        <v> </v>
      </c>
      <c r="F827" s="21"/>
    </row>
    <row r="828">
      <c r="A828" s="19">
        <v>11201.0</v>
      </c>
      <c r="B828" s="19" t="s">
        <v>860</v>
      </c>
      <c r="C828" s="20">
        <v>19987.0</v>
      </c>
      <c r="D828" s="19" t="str">
        <f t="shared" si="1"/>
        <v> </v>
      </c>
      <c r="E828" s="19" t="str">
        <f t="shared" si="2"/>
        <v> </v>
      </c>
      <c r="F828" s="21"/>
    </row>
    <row r="829">
      <c r="A829" s="19">
        <v>11203.0</v>
      </c>
      <c r="B829" s="19" t="s">
        <v>861</v>
      </c>
      <c r="C829" s="20">
        <v>32633.0</v>
      </c>
      <c r="D829" s="19" t="str">
        <f t="shared" si="1"/>
        <v> </v>
      </c>
      <c r="E829" s="19" t="str">
        <f t="shared" si="2"/>
        <v> </v>
      </c>
      <c r="F829" s="21"/>
    </row>
    <row r="830">
      <c r="A830" s="19">
        <v>11205.0</v>
      </c>
      <c r="B830" s="19" t="s">
        <v>862</v>
      </c>
      <c r="C830" s="20">
        <v>31645.0</v>
      </c>
      <c r="D830" s="19" t="str">
        <f t="shared" si="1"/>
        <v> </v>
      </c>
      <c r="E830" s="19" t="str">
        <f t="shared" si="2"/>
        <v> </v>
      </c>
      <c r="F830" s="21"/>
    </row>
    <row r="831">
      <c r="A831" s="19">
        <v>11209.0</v>
      </c>
      <c r="B831" s="19" t="s">
        <v>863</v>
      </c>
      <c r="C831" s="20">
        <v>27406.0</v>
      </c>
      <c r="D831" s="19" t="str">
        <f t="shared" si="1"/>
        <v> </v>
      </c>
      <c r="E831" s="19" t="str">
        <f t="shared" si="2"/>
        <v> </v>
      </c>
      <c r="F831" s="21"/>
    </row>
    <row r="832">
      <c r="A832" s="19">
        <v>11211.0</v>
      </c>
      <c r="B832" s="19" t="s">
        <v>864</v>
      </c>
      <c r="C832" s="20">
        <v>14480.0</v>
      </c>
      <c r="D832" s="19" t="str">
        <f t="shared" si="1"/>
        <v> </v>
      </c>
      <c r="E832" s="19" t="str">
        <f t="shared" si="2"/>
        <v> </v>
      </c>
      <c r="F832" s="21"/>
    </row>
    <row r="833">
      <c r="A833" s="19">
        <v>11215.0</v>
      </c>
      <c r="B833" s="19" t="s">
        <v>865</v>
      </c>
      <c r="C833" s="20">
        <v>24298.0</v>
      </c>
      <c r="D833" s="19" t="str">
        <f t="shared" si="1"/>
        <v> </v>
      </c>
      <c r="E833" s="19" t="str">
        <f t="shared" si="2"/>
        <v> </v>
      </c>
      <c r="F833" s="21"/>
    </row>
    <row r="834">
      <c r="A834" s="19">
        <v>11216.0</v>
      </c>
      <c r="B834" s="19" t="s">
        <v>866</v>
      </c>
      <c r="C834" s="20">
        <v>27234.0</v>
      </c>
      <c r="D834" s="19" t="str">
        <f t="shared" si="1"/>
        <v> </v>
      </c>
      <c r="E834" s="19" t="str">
        <f t="shared" si="2"/>
        <v> </v>
      </c>
      <c r="F834" s="21"/>
    </row>
    <row r="835">
      <c r="A835" s="19">
        <v>11218.0</v>
      </c>
      <c r="B835" s="19" t="s">
        <v>867</v>
      </c>
      <c r="C835" s="20">
        <v>20869.0</v>
      </c>
      <c r="D835" s="19" t="str">
        <f t="shared" si="1"/>
        <v> </v>
      </c>
      <c r="E835" s="19" t="str">
        <f t="shared" si="2"/>
        <v> </v>
      </c>
      <c r="F835" s="21"/>
    </row>
    <row r="836">
      <c r="A836" s="19">
        <v>11219.0</v>
      </c>
      <c r="B836" s="19" t="s">
        <v>868</v>
      </c>
      <c r="C836" s="20">
        <v>18044.0</v>
      </c>
      <c r="D836" s="19" t="str">
        <f t="shared" si="1"/>
        <v> </v>
      </c>
      <c r="E836" s="19" t="str">
        <f t="shared" si="2"/>
        <v> </v>
      </c>
      <c r="F836" s="21"/>
    </row>
    <row r="837">
      <c r="A837" s="19">
        <v>11220.0</v>
      </c>
      <c r="B837" s="19" t="s">
        <v>869</v>
      </c>
      <c r="C837" s="20">
        <v>18826.0</v>
      </c>
      <c r="D837" s="19" t="str">
        <f t="shared" si="1"/>
        <v> </v>
      </c>
      <c r="E837" s="19" t="str">
        <f t="shared" si="2"/>
        <v> </v>
      </c>
      <c r="F837" s="21"/>
    </row>
    <row r="838">
      <c r="A838" s="19">
        <v>11221.0</v>
      </c>
      <c r="B838" s="19" t="s">
        <v>870</v>
      </c>
      <c r="C838" s="20">
        <v>21080.0</v>
      </c>
      <c r="D838" s="19" t="str">
        <f t="shared" si="1"/>
        <v> </v>
      </c>
      <c r="E838" s="19" t="str">
        <f t="shared" si="2"/>
        <v> </v>
      </c>
      <c r="F838" s="21"/>
    </row>
    <row r="839">
      <c r="A839" s="19">
        <v>11223.0</v>
      </c>
      <c r="B839" s="19" t="s">
        <v>871</v>
      </c>
      <c r="C839" s="20">
        <v>27156.0</v>
      </c>
      <c r="D839" s="19" t="str">
        <f t="shared" si="1"/>
        <v> </v>
      </c>
      <c r="E839" s="19" t="str">
        <f t="shared" si="2"/>
        <v> </v>
      </c>
      <c r="F839" s="21"/>
    </row>
    <row r="840">
      <c r="A840" s="19">
        <v>11228.0</v>
      </c>
      <c r="B840" s="19" t="s">
        <v>872</v>
      </c>
      <c r="C840" s="20">
        <v>15238.0</v>
      </c>
      <c r="D840" s="19" t="str">
        <f t="shared" si="1"/>
        <v> </v>
      </c>
      <c r="E840" s="19" t="str">
        <f t="shared" si="2"/>
        <v> </v>
      </c>
      <c r="F840" s="21"/>
    </row>
    <row r="841">
      <c r="A841" s="19">
        <v>11234.0</v>
      </c>
      <c r="B841" s="19" t="s">
        <v>873</v>
      </c>
      <c r="C841" s="20">
        <v>26498.0</v>
      </c>
      <c r="D841" s="19" t="str">
        <f t="shared" si="1"/>
        <v> </v>
      </c>
      <c r="E841" s="19" t="str">
        <f t="shared" si="2"/>
        <v> </v>
      </c>
      <c r="F841" s="21"/>
    </row>
    <row r="842">
      <c r="A842" s="19">
        <v>11238.0</v>
      </c>
      <c r="B842" s="19" t="s">
        <v>874</v>
      </c>
      <c r="C842" s="20">
        <v>17933.0</v>
      </c>
      <c r="D842" s="19" t="str">
        <f t="shared" si="1"/>
        <v> </v>
      </c>
      <c r="E842" s="19" t="str">
        <f t="shared" si="2"/>
        <v> </v>
      </c>
      <c r="F842" s="21"/>
    </row>
    <row r="843">
      <c r="A843" s="19">
        <v>11241.0</v>
      </c>
      <c r="B843" s="19" t="s">
        <v>875</v>
      </c>
      <c r="C843" s="20">
        <v>22466.0</v>
      </c>
      <c r="D843" s="19" t="str">
        <f t="shared" si="1"/>
        <v> </v>
      </c>
      <c r="E843" s="19" t="str">
        <f t="shared" si="2"/>
        <v> </v>
      </c>
      <c r="F843" s="21"/>
    </row>
    <row r="844">
      <c r="A844" s="19">
        <v>11242.0</v>
      </c>
      <c r="B844" s="19" t="s">
        <v>876</v>
      </c>
      <c r="C844" s="20">
        <v>24788.0</v>
      </c>
      <c r="D844" s="19" t="str">
        <f t="shared" si="1"/>
        <v> </v>
      </c>
      <c r="E844" s="19" t="str">
        <f t="shared" si="2"/>
        <v> </v>
      </c>
      <c r="F844" s="21"/>
    </row>
    <row r="845">
      <c r="A845" s="19">
        <v>11243.0</v>
      </c>
      <c r="B845" s="19" t="s">
        <v>877</v>
      </c>
      <c r="C845" s="20">
        <v>32322.0</v>
      </c>
      <c r="D845" s="19" t="str">
        <f t="shared" si="1"/>
        <v> </v>
      </c>
      <c r="E845" s="19" t="str">
        <f t="shared" si="2"/>
        <v> </v>
      </c>
      <c r="F845" s="21"/>
    </row>
    <row r="846">
      <c r="A846" s="19">
        <v>11245.0</v>
      </c>
      <c r="B846" s="19" t="s">
        <v>878</v>
      </c>
      <c r="C846" s="20">
        <v>23641.0</v>
      </c>
      <c r="D846" s="19" t="str">
        <f t="shared" si="1"/>
        <v> </v>
      </c>
      <c r="E846" s="19" t="str">
        <f t="shared" si="2"/>
        <v> </v>
      </c>
      <c r="F846" s="21"/>
    </row>
    <row r="847">
      <c r="A847" s="19">
        <v>11247.0</v>
      </c>
      <c r="B847" s="19" t="s">
        <v>879</v>
      </c>
      <c r="C847" s="20">
        <v>21799.0</v>
      </c>
      <c r="D847" s="19" t="str">
        <f t="shared" si="1"/>
        <v> </v>
      </c>
      <c r="E847" s="19" t="str">
        <f t="shared" si="2"/>
        <v> </v>
      </c>
      <c r="F847" s="21"/>
    </row>
    <row r="848">
      <c r="A848" s="19">
        <v>11248.0</v>
      </c>
      <c r="B848" s="19" t="s">
        <v>880</v>
      </c>
      <c r="C848" s="20">
        <v>28320.0</v>
      </c>
      <c r="D848" s="19" t="str">
        <f t="shared" si="1"/>
        <v> </v>
      </c>
      <c r="E848" s="19" t="str">
        <f t="shared" si="2"/>
        <v> </v>
      </c>
      <c r="F848" s="21"/>
    </row>
    <row r="849">
      <c r="A849" s="19">
        <v>11252.0</v>
      </c>
      <c r="B849" s="19" t="s">
        <v>881</v>
      </c>
      <c r="C849" s="20">
        <v>10942.0</v>
      </c>
      <c r="D849" s="19" t="str">
        <f t="shared" si="1"/>
        <v> </v>
      </c>
      <c r="E849" s="19" t="str">
        <f t="shared" si="2"/>
        <v> </v>
      </c>
      <c r="F849" s="21"/>
    </row>
    <row r="850">
      <c r="A850" s="19">
        <v>11253.0</v>
      </c>
      <c r="B850" s="19" t="s">
        <v>882</v>
      </c>
      <c r="C850" s="20">
        <v>19122.0</v>
      </c>
      <c r="D850" s="19" t="str">
        <f t="shared" si="1"/>
        <v> </v>
      </c>
      <c r="E850" s="19" t="str">
        <f t="shared" si="2"/>
        <v> </v>
      </c>
      <c r="F850" s="21"/>
    </row>
    <row r="851">
      <c r="A851" s="19">
        <v>11255.0</v>
      </c>
      <c r="B851" s="19" t="s">
        <v>883</v>
      </c>
      <c r="C851" s="20">
        <v>12029.0</v>
      </c>
      <c r="D851" s="19" t="str">
        <f t="shared" si="1"/>
        <v> </v>
      </c>
      <c r="E851" s="19" t="str">
        <f t="shared" si="2"/>
        <v> </v>
      </c>
      <c r="F851" s="21"/>
    </row>
    <row r="852">
      <c r="A852" s="19">
        <v>11258.0</v>
      </c>
      <c r="B852" s="19" t="s">
        <v>884</v>
      </c>
      <c r="C852" s="20">
        <v>17295.0</v>
      </c>
      <c r="D852" s="19" t="str">
        <f t="shared" si="1"/>
        <v> </v>
      </c>
      <c r="E852" s="19" t="str">
        <f t="shared" si="2"/>
        <v> </v>
      </c>
      <c r="F852" s="21"/>
    </row>
    <row r="853">
      <c r="A853" s="19">
        <v>11260.0</v>
      </c>
      <c r="B853" s="19" t="s">
        <v>885</v>
      </c>
      <c r="C853" s="20">
        <v>14723.0</v>
      </c>
      <c r="D853" s="19" t="str">
        <f t="shared" si="1"/>
        <v> </v>
      </c>
      <c r="E853" s="19" t="str">
        <f t="shared" si="2"/>
        <v> </v>
      </c>
      <c r="F853" s="21"/>
    </row>
    <row r="854">
      <c r="A854" s="19">
        <v>11261.0</v>
      </c>
      <c r="B854" s="19" t="s">
        <v>886</v>
      </c>
      <c r="C854" s="20">
        <v>19232.0</v>
      </c>
      <c r="D854" s="19" t="str">
        <f t="shared" si="1"/>
        <v> </v>
      </c>
      <c r="E854" s="19" t="str">
        <f t="shared" si="2"/>
        <v> </v>
      </c>
      <c r="F854" s="21"/>
    </row>
    <row r="855">
      <c r="A855" s="19">
        <v>11264.0</v>
      </c>
      <c r="B855" s="19" t="s">
        <v>887</v>
      </c>
      <c r="C855" s="20">
        <v>19591.0</v>
      </c>
      <c r="D855" s="19" t="str">
        <f t="shared" si="1"/>
        <v> </v>
      </c>
      <c r="E855" s="19" t="str">
        <f t="shared" si="2"/>
        <v> </v>
      </c>
      <c r="F855" s="21"/>
    </row>
    <row r="856">
      <c r="A856" s="19">
        <v>11265.0</v>
      </c>
      <c r="B856" s="19" t="s">
        <v>888</v>
      </c>
      <c r="C856" s="20">
        <v>28585.0</v>
      </c>
      <c r="D856" s="19" t="str">
        <f t="shared" si="1"/>
        <v> </v>
      </c>
      <c r="E856" s="19" t="str">
        <f t="shared" si="2"/>
        <v> </v>
      </c>
      <c r="F856" s="21"/>
    </row>
    <row r="857">
      <c r="A857" s="19">
        <v>11268.0</v>
      </c>
      <c r="B857" s="19" t="s">
        <v>889</v>
      </c>
      <c r="C857" s="20">
        <v>14436.0</v>
      </c>
      <c r="D857" s="19" t="str">
        <f t="shared" si="1"/>
        <v> </v>
      </c>
      <c r="E857" s="19" t="str">
        <f t="shared" si="2"/>
        <v> </v>
      </c>
      <c r="F857" s="21"/>
    </row>
    <row r="858">
      <c r="A858" s="19">
        <v>11269.0</v>
      </c>
      <c r="B858" s="19" t="s">
        <v>890</v>
      </c>
      <c r="C858" s="20">
        <v>20568.0</v>
      </c>
      <c r="D858" s="19" t="str">
        <f t="shared" si="1"/>
        <v> </v>
      </c>
      <c r="E858" s="19" t="str">
        <f t="shared" si="2"/>
        <v> </v>
      </c>
      <c r="F858" s="21"/>
    </row>
    <row r="859">
      <c r="A859" s="19">
        <v>11270.0</v>
      </c>
      <c r="B859" s="19" t="s">
        <v>891</v>
      </c>
      <c r="C859" s="20">
        <v>19016.0</v>
      </c>
      <c r="D859" s="19" t="str">
        <f t="shared" si="1"/>
        <v> </v>
      </c>
      <c r="E859" s="19" t="str">
        <f t="shared" si="2"/>
        <v> </v>
      </c>
      <c r="F859" s="21"/>
    </row>
    <row r="860">
      <c r="A860" s="19">
        <v>11277.0</v>
      </c>
      <c r="B860" s="19" t="s">
        <v>892</v>
      </c>
      <c r="C860" s="20">
        <v>27362.0</v>
      </c>
      <c r="D860" s="19" t="str">
        <f t="shared" si="1"/>
        <v> </v>
      </c>
      <c r="E860" s="19" t="str">
        <f t="shared" si="2"/>
        <v> </v>
      </c>
      <c r="F860" s="21"/>
    </row>
    <row r="861">
      <c r="A861" s="19">
        <v>11279.0</v>
      </c>
      <c r="B861" s="19" t="s">
        <v>893</v>
      </c>
      <c r="C861" s="20">
        <v>35678.0</v>
      </c>
      <c r="D861" s="19" t="str">
        <f t="shared" si="1"/>
        <v> </v>
      </c>
      <c r="E861" s="19" t="str">
        <f t="shared" si="2"/>
        <v> </v>
      </c>
      <c r="F861" s="21"/>
    </row>
    <row r="862">
      <c r="A862" s="19">
        <v>11281.0</v>
      </c>
      <c r="B862" s="19" t="s">
        <v>894</v>
      </c>
      <c r="C862" s="20">
        <v>25767.0</v>
      </c>
      <c r="D862" s="19" t="str">
        <f t="shared" si="1"/>
        <v> </v>
      </c>
      <c r="E862" s="19" t="str">
        <f t="shared" si="2"/>
        <v> </v>
      </c>
      <c r="F862" s="21"/>
    </row>
    <row r="863">
      <c r="A863" s="19">
        <v>11282.0</v>
      </c>
      <c r="B863" s="19" t="s">
        <v>895</v>
      </c>
      <c r="C863" s="20">
        <v>20131.0</v>
      </c>
      <c r="D863" s="19" t="str">
        <f t="shared" si="1"/>
        <v> </v>
      </c>
      <c r="E863" s="19" t="str">
        <f t="shared" si="2"/>
        <v> </v>
      </c>
      <c r="F863" s="21"/>
    </row>
    <row r="864">
      <c r="A864" s="19">
        <v>11286.0</v>
      </c>
      <c r="B864" s="19" t="s">
        <v>896</v>
      </c>
      <c r="C864" s="20">
        <v>18117.0</v>
      </c>
      <c r="D864" s="19" t="str">
        <f t="shared" si="1"/>
        <v> </v>
      </c>
      <c r="E864" s="19" t="str">
        <f t="shared" si="2"/>
        <v> </v>
      </c>
      <c r="F864" s="21"/>
    </row>
    <row r="865">
      <c r="A865" s="19">
        <v>11287.0</v>
      </c>
      <c r="B865" s="19" t="s">
        <v>897</v>
      </c>
      <c r="C865" s="20">
        <v>21059.0</v>
      </c>
      <c r="D865" s="19" t="str">
        <f t="shared" si="1"/>
        <v> </v>
      </c>
      <c r="E865" s="19" t="str">
        <f t="shared" si="2"/>
        <v> </v>
      </c>
      <c r="F865" s="21"/>
    </row>
    <row r="866">
      <c r="A866" s="19">
        <v>11288.0</v>
      </c>
      <c r="B866" s="19" t="s">
        <v>898</v>
      </c>
      <c r="C866" s="20">
        <v>22480.0</v>
      </c>
      <c r="D866" s="19" t="str">
        <f t="shared" si="1"/>
        <v> </v>
      </c>
      <c r="E866" s="19" t="str">
        <f t="shared" si="2"/>
        <v> </v>
      </c>
      <c r="F866" s="21"/>
    </row>
    <row r="867">
      <c r="A867" s="19">
        <v>11289.0</v>
      </c>
      <c r="B867" s="19" t="s">
        <v>899</v>
      </c>
      <c r="C867" s="20">
        <v>16704.0</v>
      </c>
      <c r="D867" s="19" t="str">
        <f t="shared" si="1"/>
        <v> </v>
      </c>
      <c r="E867" s="19" t="str">
        <f t="shared" si="2"/>
        <v> </v>
      </c>
      <c r="F867" s="21"/>
    </row>
    <row r="868">
      <c r="A868" s="19">
        <v>11303.0</v>
      </c>
      <c r="B868" s="19" t="s">
        <v>900</v>
      </c>
      <c r="C868" s="20">
        <v>17223.0</v>
      </c>
      <c r="D868" s="19" t="str">
        <f t="shared" si="1"/>
        <v> </v>
      </c>
      <c r="E868" s="19" t="str">
        <f t="shared" si="2"/>
        <v> </v>
      </c>
      <c r="F868" s="21"/>
    </row>
    <row r="869">
      <c r="A869" s="19">
        <v>11314.0</v>
      </c>
      <c r="B869" s="19" t="s">
        <v>901</v>
      </c>
      <c r="C869" s="20">
        <v>16759.0</v>
      </c>
      <c r="D869" s="19" t="str">
        <f t="shared" si="1"/>
        <v> </v>
      </c>
      <c r="E869" s="19" t="str">
        <f t="shared" si="2"/>
        <v> </v>
      </c>
      <c r="F869" s="21"/>
    </row>
    <row r="870">
      <c r="A870" s="19">
        <v>11315.0</v>
      </c>
      <c r="B870" s="19" t="s">
        <v>902</v>
      </c>
      <c r="C870" s="20">
        <v>28233.0</v>
      </c>
      <c r="D870" s="19" t="str">
        <f t="shared" si="1"/>
        <v> </v>
      </c>
      <c r="E870" s="19" t="str">
        <f t="shared" si="2"/>
        <v> </v>
      </c>
      <c r="F870" s="21"/>
    </row>
    <row r="871">
      <c r="A871" s="19">
        <v>11318.0</v>
      </c>
      <c r="B871" s="19" t="s">
        <v>903</v>
      </c>
      <c r="C871" s="20">
        <v>26190.0</v>
      </c>
      <c r="D871" s="19" t="str">
        <f t="shared" si="1"/>
        <v> </v>
      </c>
      <c r="E871" s="19" t="str">
        <f t="shared" si="2"/>
        <v> </v>
      </c>
      <c r="F871" s="21"/>
    </row>
    <row r="872">
      <c r="A872" s="19">
        <v>11319.0</v>
      </c>
      <c r="B872" s="19" t="s">
        <v>904</v>
      </c>
      <c r="C872" s="20">
        <v>22198.0</v>
      </c>
      <c r="D872" s="19" t="str">
        <f t="shared" si="1"/>
        <v> </v>
      </c>
      <c r="E872" s="19" t="str">
        <f t="shared" si="2"/>
        <v> </v>
      </c>
      <c r="F872" s="21"/>
    </row>
    <row r="873">
      <c r="A873" s="19">
        <v>11322.0</v>
      </c>
      <c r="B873" s="19" t="s">
        <v>905</v>
      </c>
      <c r="C873" s="20">
        <v>19108.0</v>
      </c>
      <c r="D873" s="19" t="str">
        <f t="shared" si="1"/>
        <v> </v>
      </c>
      <c r="E873" s="19" t="str">
        <f t="shared" si="2"/>
        <v> </v>
      </c>
      <c r="F873" s="21"/>
    </row>
    <row r="874">
      <c r="A874" s="19">
        <v>11324.0</v>
      </c>
      <c r="B874" s="19" t="s">
        <v>906</v>
      </c>
      <c r="C874" s="20">
        <v>15183.0</v>
      </c>
      <c r="D874" s="19" t="str">
        <f t="shared" si="1"/>
        <v> </v>
      </c>
      <c r="E874" s="19" t="str">
        <f t="shared" si="2"/>
        <v> </v>
      </c>
      <c r="F874" s="21"/>
    </row>
    <row r="875">
      <c r="A875" s="19">
        <v>11329.0</v>
      </c>
      <c r="B875" s="19" t="s">
        <v>907</v>
      </c>
      <c r="C875" s="20">
        <v>14577.0</v>
      </c>
      <c r="D875" s="19" t="str">
        <f t="shared" si="1"/>
        <v> </v>
      </c>
      <c r="E875" s="19" t="str">
        <f t="shared" si="2"/>
        <v> </v>
      </c>
      <c r="F875" s="21"/>
    </row>
    <row r="876">
      <c r="A876" s="19">
        <v>11330.0</v>
      </c>
      <c r="B876" s="19" t="s">
        <v>908</v>
      </c>
      <c r="C876" s="20">
        <v>20840.0</v>
      </c>
      <c r="D876" s="19" t="str">
        <f t="shared" si="1"/>
        <v> </v>
      </c>
      <c r="E876" s="19" t="str">
        <f t="shared" si="2"/>
        <v> </v>
      </c>
      <c r="F876" s="21"/>
    </row>
    <row r="877">
      <c r="A877" s="19">
        <v>11339.0</v>
      </c>
      <c r="B877" s="19" t="s">
        <v>909</v>
      </c>
      <c r="C877" s="20">
        <v>14799.0</v>
      </c>
      <c r="D877" s="19" t="str">
        <f t="shared" si="1"/>
        <v> </v>
      </c>
      <c r="E877" s="19" t="str">
        <f t="shared" si="2"/>
        <v> </v>
      </c>
      <c r="F877" s="21"/>
    </row>
    <row r="878">
      <c r="A878" s="19">
        <v>11340.0</v>
      </c>
      <c r="B878" s="19" t="s">
        <v>910</v>
      </c>
      <c r="C878" s="20">
        <v>19369.0</v>
      </c>
      <c r="D878" s="19" t="str">
        <f t="shared" si="1"/>
        <v> </v>
      </c>
      <c r="E878" s="19" t="str">
        <f t="shared" si="2"/>
        <v> </v>
      </c>
      <c r="F878" s="21"/>
    </row>
    <row r="879">
      <c r="A879" s="19">
        <v>11341.0</v>
      </c>
      <c r="B879" s="19" t="s">
        <v>911</v>
      </c>
      <c r="C879" s="20">
        <v>24551.0</v>
      </c>
      <c r="D879" s="19" t="str">
        <f t="shared" si="1"/>
        <v>Repeat</v>
      </c>
      <c r="E879" s="19" t="str">
        <f t="shared" si="2"/>
        <v> </v>
      </c>
      <c r="F879" s="21"/>
    </row>
    <row r="880">
      <c r="A880" s="19">
        <v>11342.0</v>
      </c>
      <c r="B880" s="19" t="s">
        <v>912</v>
      </c>
      <c r="C880" s="20">
        <v>23571.0</v>
      </c>
      <c r="D880" s="19" t="str">
        <f t="shared" si="1"/>
        <v> </v>
      </c>
      <c r="E880" s="19" t="str">
        <f t="shared" si="2"/>
        <v> </v>
      </c>
      <c r="F880" s="21"/>
    </row>
    <row r="881">
      <c r="A881" s="19">
        <v>11345.0</v>
      </c>
      <c r="B881" s="19" t="s">
        <v>913</v>
      </c>
      <c r="C881" s="20">
        <v>23642.0</v>
      </c>
      <c r="D881" s="19" t="str">
        <f t="shared" si="1"/>
        <v> </v>
      </c>
      <c r="E881" s="19" t="str">
        <f t="shared" si="2"/>
        <v> </v>
      </c>
      <c r="F881" s="21"/>
    </row>
    <row r="882">
      <c r="A882" s="19">
        <v>11348.0</v>
      </c>
      <c r="B882" s="19" t="s">
        <v>914</v>
      </c>
      <c r="C882" s="20">
        <v>18296.0</v>
      </c>
      <c r="D882" s="19" t="str">
        <f t="shared" si="1"/>
        <v> </v>
      </c>
      <c r="E882" s="19" t="str">
        <f t="shared" si="2"/>
        <v> </v>
      </c>
      <c r="F882" s="21"/>
    </row>
    <row r="883">
      <c r="A883" s="19">
        <v>11349.0</v>
      </c>
      <c r="B883" s="19" t="s">
        <v>915</v>
      </c>
      <c r="C883" s="20">
        <v>27198.0</v>
      </c>
      <c r="D883" s="19" t="str">
        <f t="shared" si="1"/>
        <v> </v>
      </c>
      <c r="E883" s="19" t="str">
        <f t="shared" si="2"/>
        <v> </v>
      </c>
      <c r="F883" s="21"/>
    </row>
    <row r="884">
      <c r="A884" s="19">
        <v>11351.0</v>
      </c>
      <c r="B884" s="19" t="s">
        <v>916</v>
      </c>
      <c r="C884" s="20">
        <v>24725.0</v>
      </c>
      <c r="D884" s="19" t="str">
        <f t="shared" si="1"/>
        <v> </v>
      </c>
      <c r="E884" s="19" t="str">
        <f t="shared" si="2"/>
        <v> </v>
      </c>
      <c r="F884" s="21"/>
    </row>
    <row r="885">
      <c r="A885" s="19">
        <v>11355.0</v>
      </c>
      <c r="B885" s="19" t="s">
        <v>917</v>
      </c>
      <c r="C885" s="20">
        <v>21117.0</v>
      </c>
      <c r="D885" s="19" t="str">
        <f t="shared" si="1"/>
        <v> </v>
      </c>
      <c r="E885" s="19" t="str">
        <f t="shared" si="2"/>
        <v> </v>
      </c>
      <c r="F885" s="21"/>
    </row>
    <row r="886">
      <c r="A886" s="19">
        <v>11356.0</v>
      </c>
      <c r="B886" s="19" t="s">
        <v>918</v>
      </c>
      <c r="C886" s="20">
        <v>22260.0</v>
      </c>
      <c r="D886" s="19" t="str">
        <f t="shared" si="1"/>
        <v> </v>
      </c>
      <c r="E886" s="19" t="str">
        <f t="shared" si="2"/>
        <v> </v>
      </c>
      <c r="F886" s="21"/>
    </row>
    <row r="887">
      <c r="A887" s="19">
        <v>11357.0</v>
      </c>
      <c r="B887" s="19" t="s">
        <v>919</v>
      </c>
      <c r="C887" s="20">
        <v>14592.0</v>
      </c>
      <c r="D887" s="19" t="str">
        <f t="shared" si="1"/>
        <v> </v>
      </c>
      <c r="E887" s="19" t="str">
        <f t="shared" si="2"/>
        <v> </v>
      </c>
      <c r="F887" s="21"/>
    </row>
    <row r="888">
      <c r="A888" s="19">
        <v>11358.0</v>
      </c>
      <c r="B888" s="19" t="s">
        <v>920</v>
      </c>
      <c r="C888" s="20">
        <v>22139.0</v>
      </c>
      <c r="D888" s="19" t="str">
        <f t="shared" si="1"/>
        <v> </v>
      </c>
      <c r="E888" s="19" t="str">
        <f t="shared" si="2"/>
        <v> </v>
      </c>
      <c r="F888" s="21"/>
    </row>
    <row r="889">
      <c r="A889" s="19">
        <v>11359.0</v>
      </c>
      <c r="B889" s="19" t="s">
        <v>921</v>
      </c>
      <c r="C889" s="20">
        <v>30460.0</v>
      </c>
      <c r="D889" s="19" t="str">
        <f t="shared" si="1"/>
        <v> </v>
      </c>
      <c r="E889" s="19" t="str">
        <f t="shared" si="2"/>
        <v> </v>
      </c>
      <c r="F889" s="21"/>
    </row>
    <row r="890">
      <c r="A890" s="19">
        <v>11361.0</v>
      </c>
      <c r="B890" s="19" t="s">
        <v>922</v>
      </c>
      <c r="C890" s="20">
        <v>12842.0</v>
      </c>
      <c r="D890" s="19" t="str">
        <f t="shared" si="1"/>
        <v> </v>
      </c>
      <c r="E890" s="19" t="str">
        <f t="shared" si="2"/>
        <v> </v>
      </c>
      <c r="F890" s="21"/>
    </row>
    <row r="891">
      <c r="A891" s="19">
        <v>11363.0</v>
      </c>
      <c r="B891" s="19" t="s">
        <v>923</v>
      </c>
      <c r="C891" s="20">
        <v>23246.0</v>
      </c>
      <c r="D891" s="19" t="str">
        <f t="shared" si="1"/>
        <v> </v>
      </c>
      <c r="E891" s="19" t="str">
        <f t="shared" si="2"/>
        <v> </v>
      </c>
      <c r="F891" s="21"/>
    </row>
    <row r="892">
      <c r="A892" s="19">
        <v>11364.0</v>
      </c>
      <c r="B892" s="19" t="s">
        <v>924</v>
      </c>
      <c r="C892" s="20">
        <v>15666.0</v>
      </c>
      <c r="D892" s="19" t="str">
        <f t="shared" si="1"/>
        <v> </v>
      </c>
      <c r="E892" s="19" t="str">
        <f t="shared" si="2"/>
        <v> </v>
      </c>
      <c r="F892" s="21"/>
    </row>
    <row r="893">
      <c r="A893" s="19">
        <v>11365.0</v>
      </c>
      <c r="B893" s="19" t="s">
        <v>925</v>
      </c>
      <c r="C893" s="20">
        <v>26273.0</v>
      </c>
      <c r="D893" s="19" t="str">
        <f t="shared" si="1"/>
        <v> </v>
      </c>
      <c r="E893" s="19" t="str">
        <f t="shared" si="2"/>
        <v> </v>
      </c>
      <c r="F893" s="21"/>
    </row>
    <row r="894">
      <c r="A894" s="19">
        <v>11366.0</v>
      </c>
      <c r="B894" s="19" t="s">
        <v>926</v>
      </c>
      <c r="C894" s="20">
        <v>16659.0</v>
      </c>
      <c r="D894" s="19" t="str">
        <f t="shared" si="1"/>
        <v> </v>
      </c>
      <c r="E894" s="19" t="str">
        <f t="shared" si="2"/>
        <v> </v>
      </c>
      <c r="F894" s="21"/>
    </row>
    <row r="895">
      <c r="A895" s="19">
        <v>11367.0</v>
      </c>
      <c r="B895" s="19" t="s">
        <v>927</v>
      </c>
      <c r="C895" s="20">
        <v>16830.0</v>
      </c>
      <c r="D895" s="19" t="str">
        <f t="shared" si="1"/>
        <v> </v>
      </c>
      <c r="E895" s="19" t="str">
        <f t="shared" si="2"/>
        <v> </v>
      </c>
      <c r="F895" s="21"/>
    </row>
    <row r="896">
      <c r="A896" s="19">
        <v>11368.0</v>
      </c>
      <c r="B896" s="19" t="s">
        <v>928</v>
      </c>
      <c r="C896" s="20">
        <v>28827.0</v>
      </c>
      <c r="D896" s="19" t="str">
        <f t="shared" si="1"/>
        <v> </v>
      </c>
      <c r="E896" s="19" t="str">
        <f t="shared" si="2"/>
        <v> </v>
      </c>
      <c r="F896" s="21"/>
    </row>
    <row r="897">
      <c r="A897" s="19">
        <v>11371.0</v>
      </c>
      <c r="B897" s="19" t="s">
        <v>929</v>
      </c>
      <c r="C897" s="20">
        <v>26353.0</v>
      </c>
      <c r="D897" s="19" t="str">
        <f t="shared" si="1"/>
        <v> </v>
      </c>
      <c r="E897" s="19" t="str">
        <f t="shared" si="2"/>
        <v> </v>
      </c>
      <c r="F897" s="21"/>
    </row>
    <row r="898">
      <c r="A898" s="19">
        <v>11376.0</v>
      </c>
      <c r="B898" s="19" t="s">
        <v>930</v>
      </c>
      <c r="C898" s="20">
        <v>12739.0</v>
      </c>
      <c r="D898" s="19" t="str">
        <f t="shared" si="1"/>
        <v> </v>
      </c>
      <c r="E898" s="19" t="str">
        <f t="shared" si="2"/>
        <v> </v>
      </c>
      <c r="F898" s="21"/>
    </row>
    <row r="899">
      <c r="A899" s="19">
        <v>11378.0</v>
      </c>
      <c r="B899" s="19" t="s">
        <v>931</v>
      </c>
      <c r="C899" s="20">
        <v>15724.0</v>
      </c>
      <c r="D899" s="19" t="str">
        <f t="shared" si="1"/>
        <v> </v>
      </c>
      <c r="E899" s="19" t="str">
        <f t="shared" si="2"/>
        <v> </v>
      </c>
      <c r="F899" s="21"/>
    </row>
    <row r="900">
      <c r="A900" s="19">
        <v>11379.0</v>
      </c>
      <c r="B900" s="19" t="s">
        <v>932</v>
      </c>
      <c r="C900" s="20">
        <v>22922.0</v>
      </c>
      <c r="D900" s="19" t="str">
        <f t="shared" si="1"/>
        <v> </v>
      </c>
      <c r="E900" s="19" t="str">
        <f t="shared" si="2"/>
        <v> </v>
      </c>
      <c r="F900" s="21"/>
    </row>
    <row r="901">
      <c r="A901" s="19">
        <v>11380.0</v>
      </c>
      <c r="B901" s="19" t="s">
        <v>933</v>
      </c>
      <c r="C901" s="20">
        <v>32314.0</v>
      </c>
      <c r="D901" s="19" t="str">
        <f t="shared" si="1"/>
        <v> </v>
      </c>
      <c r="E901" s="19" t="str">
        <f t="shared" si="2"/>
        <v> </v>
      </c>
      <c r="F901" s="21"/>
    </row>
    <row r="902">
      <c r="A902" s="19">
        <v>11387.0</v>
      </c>
      <c r="B902" s="19" t="s">
        <v>934</v>
      </c>
      <c r="C902" s="20">
        <v>21062.0</v>
      </c>
      <c r="D902" s="19" t="str">
        <f t="shared" si="1"/>
        <v> </v>
      </c>
      <c r="E902" s="19" t="str">
        <f t="shared" si="2"/>
        <v> </v>
      </c>
      <c r="F902" s="21"/>
    </row>
    <row r="903">
      <c r="A903" s="19">
        <v>11389.0</v>
      </c>
      <c r="B903" s="19" t="s">
        <v>935</v>
      </c>
      <c r="C903" s="20">
        <v>26165.0</v>
      </c>
      <c r="D903" s="19" t="str">
        <f t="shared" si="1"/>
        <v> </v>
      </c>
      <c r="E903" s="19" t="str">
        <f t="shared" si="2"/>
        <v> </v>
      </c>
      <c r="F903" s="21"/>
    </row>
    <row r="904">
      <c r="A904" s="19">
        <v>11391.0</v>
      </c>
      <c r="B904" s="19" t="s">
        <v>936</v>
      </c>
      <c r="C904" s="20">
        <v>21293.0</v>
      </c>
      <c r="D904" s="19" t="str">
        <f t="shared" si="1"/>
        <v> </v>
      </c>
      <c r="E904" s="19" t="str">
        <f t="shared" si="2"/>
        <v> </v>
      </c>
      <c r="F904" s="21"/>
    </row>
    <row r="905">
      <c r="A905" s="19">
        <v>11393.0</v>
      </c>
      <c r="B905" s="19" t="s">
        <v>937</v>
      </c>
      <c r="C905" s="20">
        <v>20624.0</v>
      </c>
      <c r="D905" s="19" t="str">
        <f t="shared" si="1"/>
        <v> </v>
      </c>
      <c r="E905" s="19" t="str">
        <f t="shared" si="2"/>
        <v> </v>
      </c>
      <c r="F905" s="21"/>
    </row>
    <row r="906">
      <c r="A906" s="19">
        <v>11394.0</v>
      </c>
      <c r="B906" s="19" t="s">
        <v>938</v>
      </c>
      <c r="C906" s="20">
        <v>21653.0</v>
      </c>
      <c r="D906" s="19" t="str">
        <f t="shared" si="1"/>
        <v> </v>
      </c>
      <c r="E906" s="19" t="str">
        <f t="shared" si="2"/>
        <v> </v>
      </c>
      <c r="F906" s="21"/>
    </row>
    <row r="907">
      <c r="A907" s="19">
        <v>11399.0</v>
      </c>
      <c r="B907" s="19" t="s">
        <v>939</v>
      </c>
      <c r="C907" s="20">
        <v>14119.0</v>
      </c>
      <c r="D907" s="19" t="str">
        <f t="shared" si="1"/>
        <v> </v>
      </c>
      <c r="E907" s="19" t="str">
        <f t="shared" si="2"/>
        <v> </v>
      </c>
      <c r="F907" s="21"/>
    </row>
    <row r="908">
      <c r="A908" s="19">
        <v>11403.0</v>
      </c>
      <c r="B908" s="19" t="s">
        <v>940</v>
      </c>
      <c r="C908" s="20">
        <v>26190.0</v>
      </c>
      <c r="D908" s="19" t="str">
        <f t="shared" si="1"/>
        <v> </v>
      </c>
      <c r="E908" s="19" t="str">
        <f t="shared" si="2"/>
        <v> </v>
      </c>
      <c r="F908" s="21"/>
    </row>
    <row r="909">
      <c r="A909" s="19">
        <v>11405.0</v>
      </c>
      <c r="B909" s="19" t="s">
        <v>941</v>
      </c>
      <c r="C909" s="20">
        <v>22772.0</v>
      </c>
      <c r="D909" s="19" t="str">
        <f t="shared" si="1"/>
        <v> </v>
      </c>
      <c r="E909" s="19" t="str">
        <f t="shared" si="2"/>
        <v> </v>
      </c>
      <c r="F909" s="21"/>
    </row>
    <row r="910">
      <c r="A910" s="19">
        <v>11408.0</v>
      </c>
      <c r="B910" s="19" t="s">
        <v>942</v>
      </c>
      <c r="C910" s="20">
        <v>24934.0</v>
      </c>
      <c r="D910" s="19" t="str">
        <f t="shared" si="1"/>
        <v> </v>
      </c>
      <c r="E910" s="19" t="str">
        <f t="shared" si="2"/>
        <v> </v>
      </c>
      <c r="F910" s="21"/>
    </row>
    <row r="911">
      <c r="A911" s="19">
        <v>11411.0</v>
      </c>
      <c r="B911" s="19" t="s">
        <v>943</v>
      </c>
      <c r="C911" s="20">
        <v>26573.0</v>
      </c>
      <c r="D911" s="19" t="str">
        <f t="shared" si="1"/>
        <v> </v>
      </c>
      <c r="E911" s="19" t="str">
        <f t="shared" si="2"/>
        <v> </v>
      </c>
      <c r="F911" s="21"/>
    </row>
    <row r="912">
      <c r="A912" s="19">
        <v>11413.0</v>
      </c>
      <c r="B912" s="19" t="s">
        <v>944</v>
      </c>
      <c r="C912" s="20">
        <v>20322.0</v>
      </c>
      <c r="D912" s="19" t="str">
        <f t="shared" si="1"/>
        <v> </v>
      </c>
      <c r="E912" s="19" t="str">
        <f t="shared" si="2"/>
        <v> </v>
      </c>
      <c r="F912" s="21"/>
    </row>
    <row r="913">
      <c r="A913" s="19">
        <v>11415.0</v>
      </c>
      <c r="B913" s="19" t="s">
        <v>945</v>
      </c>
      <c r="C913" s="20">
        <v>16315.0</v>
      </c>
      <c r="D913" s="19" t="str">
        <f t="shared" si="1"/>
        <v> </v>
      </c>
      <c r="E913" s="19" t="str">
        <f t="shared" si="2"/>
        <v> </v>
      </c>
      <c r="F913" s="21"/>
    </row>
    <row r="914">
      <c r="A914" s="19">
        <v>11416.0</v>
      </c>
      <c r="B914" s="19" t="s">
        <v>946</v>
      </c>
      <c r="C914" s="20">
        <v>16937.0</v>
      </c>
      <c r="D914" s="19" t="str">
        <f t="shared" si="1"/>
        <v> </v>
      </c>
      <c r="E914" s="19" t="str">
        <f t="shared" si="2"/>
        <v> </v>
      </c>
      <c r="F914" s="21"/>
    </row>
    <row r="915">
      <c r="A915" s="19">
        <v>11421.0</v>
      </c>
      <c r="B915" s="19" t="s">
        <v>947</v>
      </c>
      <c r="C915" s="20">
        <v>14043.0</v>
      </c>
      <c r="D915" s="19" t="str">
        <f t="shared" si="1"/>
        <v> </v>
      </c>
      <c r="E915" s="19" t="str">
        <f t="shared" si="2"/>
        <v> </v>
      </c>
      <c r="F915" s="21"/>
    </row>
    <row r="916">
      <c r="A916" s="19">
        <v>11425.0</v>
      </c>
      <c r="B916" s="19" t="s">
        <v>948</v>
      </c>
      <c r="C916" s="20">
        <v>17926.0</v>
      </c>
      <c r="D916" s="19" t="str">
        <f t="shared" si="1"/>
        <v> </v>
      </c>
      <c r="E916" s="19" t="str">
        <f t="shared" si="2"/>
        <v> </v>
      </c>
      <c r="F916" s="21"/>
    </row>
    <row r="917">
      <c r="A917" s="19">
        <v>11426.0</v>
      </c>
      <c r="B917" s="19" t="s">
        <v>949</v>
      </c>
      <c r="C917" s="20">
        <v>26483.0</v>
      </c>
      <c r="D917" s="19" t="str">
        <f t="shared" si="1"/>
        <v> </v>
      </c>
      <c r="E917" s="19" t="str">
        <f t="shared" si="2"/>
        <v> </v>
      </c>
      <c r="F917" s="21"/>
    </row>
    <row r="918">
      <c r="A918" s="19">
        <v>11427.0</v>
      </c>
      <c r="B918" s="19" t="s">
        <v>950</v>
      </c>
      <c r="C918" s="20">
        <v>24282.0</v>
      </c>
      <c r="D918" s="19" t="str">
        <f t="shared" si="1"/>
        <v> </v>
      </c>
      <c r="E918" s="19" t="str">
        <f t="shared" si="2"/>
        <v> </v>
      </c>
      <c r="F918" s="21"/>
    </row>
    <row r="919">
      <c r="A919" s="19">
        <v>11428.0</v>
      </c>
      <c r="B919" s="19" t="s">
        <v>951</v>
      </c>
      <c r="C919" s="20">
        <v>16107.0</v>
      </c>
      <c r="D919" s="19" t="str">
        <f t="shared" si="1"/>
        <v> </v>
      </c>
      <c r="E919" s="19" t="str">
        <f t="shared" si="2"/>
        <v> </v>
      </c>
      <c r="F919" s="21"/>
    </row>
    <row r="920">
      <c r="A920" s="19">
        <v>11430.0</v>
      </c>
      <c r="B920" s="19" t="s">
        <v>952</v>
      </c>
      <c r="C920" s="20">
        <v>23939.0</v>
      </c>
      <c r="D920" s="19" t="str">
        <f t="shared" si="1"/>
        <v> </v>
      </c>
      <c r="E920" s="19" t="str">
        <f t="shared" si="2"/>
        <v> </v>
      </c>
      <c r="F920" s="21"/>
    </row>
    <row r="921">
      <c r="A921" s="19">
        <v>11432.0</v>
      </c>
      <c r="B921" s="19" t="s">
        <v>953</v>
      </c>
      <c r="C921" s="20">
        <v>22454.0</v>
      </c>
      <c r="D921" s="19" t="str">
        <f t="shared" si="1"/>
        <v> </v>
      </c>
      <c r="E921" s="19" t="str">
        <f t="shared" si="2"/>
        <v> </v>
      </c>
      <c r="F921" s="21"/>
    </row>
    <row r="922">
      <c r="A922" s="19">
        <v>11433.0</v>
      </c>
      <c r="B922" s="19" t="s">
        <v>954</v>
      </c>
      <c r="C922" s="20">
        <v>22604.0</v>
      </c>
      <c r="D922" s="19" t="str">
        <f t="shared" si="1"/>
        <v> </v>
      </c>
      <c r="E922" s="19" t="str">
        <f t="shared" si="2"/>
        <v> </v>
      </c>
      <c r="F922" s="21"/>
    </row>
    <row r="923">
      <c r="A923" s="19">
        <v>11435.0</v>
      </c>
      <c r="B923" s="19" t="s">
        <v>955</v>
      </c>
      <c r="C923" s="20">
        <v>30486.0</v>
      </c>
      <c r="D923" s="19" t="str">
        <f t="shared" si="1"/>
        <v> </v>
      </c>
      <c r="E923" s="19" t="str">
        <f t="shared" si="2"/>
        <v> </v>
      </c>
      <c r="F923" s="21"/>
    </row>
    <row r="924">
      <c r="A924" s="19">
        <v>11436.0</v>
      </c>
      <c r="B924" s="19" t="s">
        <v>956</v>
      </c>
      <c r="C924" s="20">
        <v>20541.0</v>
      </c>
      <c r="D924" s="19" t="str">
        <f t="shared" si="1"/>
        <v> </v>
      </c>
      <c r="E924" s="19" t="str">
        <f t="shared" si="2"/>
        <v> </v>
      </c>
      <c r="F924" s="21"/>
    </row>
    <row r="925">
      <c r="A925" s="19">
        <v>11440.0</v>
      </c>
      <c r="B925" s="19" t="s">
        <v>957</v>
      </c>
      <c r="C925" s="20">
        <v>12751.0</v>
      </c>
      <c r="D925" s="19" t="str">
        <f t="shared" si="1"/>
        <v> </v>
      </c>
      <c r="E925" s="19" t="str">
        <f t="shared" si="2"/>
        <v> </v>
      </c>
      <c r="F925" s="21"/>
    </row>
    <row r="926">
      <c r="A926" s="19">
        <v>11441.0</v>
      </c>
      <c r="B926" s="19" t="s">
        <v>958</v>
      </c>
      <c r="C926" s="20">
        <v>32670.0</v>
      </c>
      <c r="D926" s="19" t="str">
        <f t="shared" si="1"/>
        <v> </v>
      </c>
      <c r="E926" s="19" t="str">
        <f t="shared" si="2"/>
        <v> </v>
      </c>
      <c r="F926" s="21"/>
    </row>
    <row r="927">
      <c r="A927" s="19">
        <v>11445.0</v>
      </c>
      <c r="B927" s="19" t="s">
        <v>959</v>
      </c>
      <c r="C927" s="20">
        <v>21338.0</v>
      </c>
      <c r="D927" s="19" t="str">
        <f t="shared" si="1"/>
        <v> </v>
      </c>
      <c r="E927" s="19" t="str">
        <f t="shared" si="2"/>
        <v> </v>
      </c>
      <c r="F927" s="21"/>
    </row>
    <row r="928">
      <c r="A928" s="19">
        <v>11446.0</v>
      </c>
      <c r="B928" s="19" t="s">
        <v>960</v>
      </c>
      <c r="C928" s="20">
        <v>26192.0</v>
      </c>
      <c r="D928" s="19" t="str">
        <f t="shared" si="1"/>
        <v> </v>
      </c>
      <c r="E928" s="19" t="str">
        <f t="shared" si="2"/>
        <v> </v>
      </c>
      <c r="F928" s="21"/>
    </row>
    <row r="929">
      <c r="A929" s="19">
        <v>11447.0</v>
      </c>
      <c r="B929" s="19" t="s">
        <v>961</v>
      </c>
      <c r="C929" s="20">
        <v>25776.0</v>
      </c>
      <c r="D929" s="19" t="str">
        <f t="shared" si="1"/>
        <v> </v>
      </c>
      <c r="E929" s="19" t="str">
        <f t="shared" si="2"/>
        <v> </v>
      </c>
      <c r="F929" s="21"/>
    </row>
    <row r="930">
      <c r="A930" s="19">
        <v>11449.0</v>
      </c>
      <c r="B930" s="19" t="s">
        <v>962</v>
      </c>
      <c r="C930" s="20">
        <v>20978.0</v>
      </c>
      <c r="D930" s="19" t="str">
        <f t="shared" si="1"/>
        <v> </v>
      </c>
      <c r="E930" s="19" t="str">
        <f t="shared" si="2"/>
        <v> </v>
      </c>
      <c r="F930" s="21"/>
    </row>
    <row r="931">
      <c r="A931" s="19">
        <v>11452.0</v>
      </c>
      <c r="B931" s="19" t="s">
        <v>963</v>
      </c>
      <c r="C931" s="20">
        <v>28273.0</v>
      </c>
      <c r="D931" s="19" t="str">
        <f t="shared" si="1"/>
        <v> </v>
      </c>
      <c r="E931" s="19" t="str">
        <f t="shared" si="2"/>
        <v> </v>
      </c>
      <c r="F931" s="21"/>
    </row>
    <row r="932">
      <c r="A932" s="19">
        <v>11456.0</v>
      </c>
      <c r="B932" s="19" t="s">
        <v>964</v>
      </c>
      <c r="C932" s="20">
        <v>12909.0</v>
      </c>
      <c r="D932" s="19" t="str">
        <f t="shared" si="1"/>
        <v> </v>
      </c>
      <c r="E932" s="19" t="str">
        <f t="shared" si="2"/>
        <v> </v>
      </c>
      <c r="F932" s="21"/>
    </row>
    <row r="933">
      <c r="A933" s="19">
        <v>11458.0</v>
      </c>
      <c r="B933" s="19" t="s">
        <v>965</v>
      </c>
      <c r="C933" s="20">
        <v>10836.0</v>
      </c>
      <c r="D933" s="19" t="str">
        <f t="shared" si="1"/>
        <v> </v>
      </c>
      <c r="E933" s="19" t="str">
        <f t="shared" si="2"/>
        <v> </v>
      </c>
      <c r="F933" s="21"/>
    </row>
    <row r="934">
      <c r="A934" s="19">
        <v>11461.0</v>
      </c>
      <c r="B934" s="19" t="s">
        <v>966</v>
      </c>
      <c r="C934" s="20">
        <v>22048.0</v>
      </c>
      <c r="D934" s="19" t="str">
        <f t="shared" si="1"/>
        <v> </v>
      </c>
      <c r="E934" s="19" t="str">
        <f t="shared" si="2"/>
        <v> </v>
      </c>
      <c r="F934" s="21"/>
    </row>
    <row r="935">
      <c r="A935" s="19">
        <v>11465.0</v>
      </c>
      <c r="B935" s="19" t="s">
        <v>967</v>
      </c>
      <c r="C935" s="20">
        <v>25751.0</v>
      </c>
      <c r="D935" s="19" t="str">
        <f t="shared" si="1"/>
        <v> </v>
      </c>
      <c r="E935" s="19" t="str">
        <f t="shared" si="2"/>
        <v> </v>
      </c>
      <c r="F935" s="21"/>
    </row>
    <row r="936">
      <c r="A936" s="19">
        <v>11471.0</v>
      </c>
      <c r="B936" s="19" t="s">
        <v>968</v>
      </c>
      <c r="C936" s="20">
        <v>21963.0</v>
      </c>
      <c r="D936" s="19" t="str">
        <f t="shared" si="1"/>
        <v> </v>
      </c>
      <c r="E936" s="19" t="str">
        <f t="shared" si="2"/>
        <v> </v>
      </c>
      <c r="F936" s="21"/>
    </row>
    <row r="937">
      <c r="A937" s="19">
        <v>11472.0</v>
      </c>
      <c r="B937" s="19" t="s">
        <v>969</v>
      </c>
      <c r="C937" s="20">
        <v>16712.0</v>
      </c>
      <c r="D937" s="19" t="str">
        <f t="shared" si="1"/>
        <v> </v>
      </c>
      <c r="E937" s="19" t="str">
        <f t="shared" si="2"/>
        <v> </v>
      </c>
      <c r="F937" s="21"/>
    </row>
    <row r="938">
      <c r="A938" s="19">
        <v>11476.0</v>
      </c>
      <c r="B938" s="19" t="s">
        <v>970</v>
      </c>
      <c r="C938" s="20">
        <v>29766.0</v>
      </c>
      <c r="D938" s="19" t="str">
        <f t="shared" si="1"/>
        <v> </v>
      </c>
      <c r="E938" s="19" t="str">
        <f t="shared" si="2"/>
        <v> </v>
      </c>
      <c r="F938" s="21"/>
    </row>
    <row r="939">
      <c r="A939" s="19">
        <v>11478.0</v>
      </c>
      <c r="B939" s="19" t="s">
        <v>971</v>
      </c>
      <c r="C939" s="20">
        <v>22542.0</v>
      </c>
      <c r="D939" s="19" t="str">
        <f t="shared" si="1"/>
        <v> </v>
      </c>
      <c r="E939" s="19" t="str">
        <f t="shared" si="2"/>
        <v> </v>
      </c>
      <c r="F939" s="21"/>
    </row>
    <row r="940">
      <c r="A940" s="19">
        <v>11479.0</v>
      </c>
      <c r="B940" s="19" t="s">
        <v>972</v>
      </c>
      <c r="C940" s="20">
        <v>30186.0</v>
      </c>
      <c r="D940" s="19" t="str">
        <f t="shared" si="1"/>
        <v> </v>
      </c>
      <c r="E940" s="19" t="str">
        <f t="shared" si="2"/>
        <v> </v>
      </c>
      <c r="F940" s="21"/>
    </row>
    <row r="941">
      <c r="A941" s="19">
        <v>11481.0</v>
      </c>
      <c r="B941" s="19" t="s">
        <v>973</v>
      </c>
      <c r="C941" s="20">
        <v>26787.0</v>
      </c>
      <c r="D941" s="19" t="str">
        <f t="shared" si="1"/>
        <v> </v>
      </c>
      <c r="E941" s="19" t="str">
        <f t="shared" si="2"/>
        <v> </v>
      </c>
      <c r="F941" s="21"/>
    </row>
    <row r="942">
      <c r="A942" s="19">
        <v>11482.0</v>
      </c>
      <c r="B942" s="19" t="s">
        <v>974</v>
      </c>
      <c r="C942" s="20">
        <v>28102.0</v>
      </c>
      <c r="D942" s="19" t="str">
        <f t="shared" si="1"/>
        <v> </v>
      </c>
      <c r="E942" s="19" t="str">
        <f t="shared" si="2"/>
        <v> </v>
      </c>
      <c r="F942" s="21"/>
    </row>
    <row r="943">
      <c r="A943" s="19">
        <v>11486.0</v>
      </c>
      <c r="B943" s="19" t="s">
        <v>975</v>
      </c>
      <c r="C943" s="20">
        <v>25284.0</v>
      </c>
      <c r="D943" s="19" t="str">
        <f t="shared" si="1"/>
        <v> </v>
      </c>
      <c r="E943" s="19" t="str">
        <f t="shared" si="2"/>
        <v> </v>
      </c>
      <c r="F943" s="21"/>
    </row>
    <row r="944">
      <c r="A944" s="19">
        <v>11487.0</v>
      </c>
      <c r="B944" s="19" t="s">
        <v>976</v>
      </c>
      <c r="C944" s="20">
        <v>19302.0</v>
      </c>
      <c r="D944" s="19" t="str">
        <f t="shared" si="1"/>
        <v> </v>
      </c>
      <c r="E944" s="19" t="str">
        <f t="shared" si="2"/>
        <v> </v>
      </c>
      <c r="F944" s="21"/>
    </row>
    <row r="945">
      <c r="A945" s="19">
        <v>11488.0</v>
      </c>
      <c r="B945" s="19" t="s">
        <v>977</v>
      </c>
      <c r="C945" s="20">
        <v>15700.0</v>
      </c>
      <c r="D945" s="19" t="str">
        <f t="shared" si="1"/>
        <v> </v>
      </c>
      <c r="E945" s="19" t="str">
        <f t="shared" si="2"/>
        <v> </v>
      </c>
      <c r="F945" s="21"/>
    </row>
    <row r="946">
      <c r="A946" s="19">
        <v>11489.0</v>
      </c>
      <c r="B946" s="19" t="s">
        <v>978</v>
      </c>
      <c r="C946" s="20">
        <v>17103.0</v>
      </c>
      <c r="D946" s="19" t="str">
        <f t="shared" si="1"/>
        <v> </v>
      </c>
      <c r="E946" s="19" t="str">
        <f t="shared" si="2"/>
        <v> </v>
      </c>
      <c r="F946" s="21"/>
    </row>
    <row r="947">
      <c r="A947" s="19">
        <v>11495.0</v>
      </c>
      <c r="B947" s="19" t="s">
        <v>979</v>
      </c>
      <c r="C947" s="20">
        <v>22182.0</v>
      </c>
      <c r="D947" s="19" t="str">
        <f t="shared" si="1"/>
        <v> </v>
      </c>
      <c r="E947" s="19" t="str">
        <f t="shared" si="2"/>
        <v> </v>
      </c>
      <c r="F947" s="21"/>
    </row>
    <row r="948">
      <c r="A948" s="19">
        <v>11496.0</v>
      </c>
      <c r="B948" s="19" t="s">
        <v>980</v>
      </c>
      <c r="C948" s="20">
        <v>29271.0</v>
      </c>
      <c r="D948" s="19" t="str">
        <f t="shared" si="1"/>
        <v> </v>
      </c>
      <c r="E948" s="19" t="str">
        <f t="shared" si="2"/>
        <v> </v>
      </c>
      <c r="F948" s="21"/>
    </row>
    <row r="949">
      <c r="A949" s="19">
        <v>11499.0</v>
      </c>
      <c r="B949" s="19" t="s">
        <v>981</v>
      </c>
      <c r="C949" s="20">
        <v>28769.0</v>
      </c>
      <c r="D949" s="19" t="str">
        <f t="shared" si="1"/>
        <v> </v>
      </c>
      <c r="E949" s="19" t="str">
        <f t="shared" si="2"/>
        <v> </v>
      </c>
      <c r="F949" s="21"/>
    </row>
    <row r="950">
      <c r="A950" s="19">
        <v>11500.0</v>
      </c>
      <c r="B950" s="19" t="s">
        <v>982</v>
      </c>
      <c r="C950" s="20">
        <v>21081.0</v>
      </c>
      <c r="D950" s="19" t="str">
        <f t="shared" si="1"/>
        <v> </v>
      </c>
      <c r="E950" s="19" t="str">
        <f t="shared" si="2"/>
        <v> </v>
      </c>
      <c r="F950" s="21"/>
    </row>
    <row r="951">
      <c r="A951" s="19">
        <v>11503.0</v>
      </c>
      <c r="B951" s="19" t="s">
        <v>983</v>
      </c>
      <c r="C951" s="20">
        <v>30709.0</v>
      </c>
      <c r="D951" s="19" t="str">
        <f t="shared" si="1"/>
        <v> </v>
      </c>
      <c r="E951" s="19" t="str">
        <f t="shared" si="2"/>
        <v> </v>
      </c>
      <c r="F951" s="21"/>
    </row>
    <row r="952">
      <c r="A952" s="19">
        <v>11504.0</v>
      </c>
      <c r="B952" s="19" t="s">
        <v>984</v>
      </c>
      <c r="C952" s="20">
        <v>27002.0</v>
      </c>
      <c r="D952" s="19" t="str">
        <f t="shared" si="1"/>
        <v> </v>
      </c>
      <c r="E952" s="19" t="str">
        <f t="shared" si="2"/>
        <v> </v>
      </c>
      <c r="F952" s="21"/>
    </row>
    <row r="953">
      <c r="A953" s="19">
        <v>11508.0</v>
      </c>
      <c r="B953" s="19" t="s">
        <v>985</v>
      </c>
      <c r="C953" s="20">
        <v>24295.0</v>
      </c>
      <c r="D953" s="19" t="str">
        <f t="shared" si="1"/>
        <v> </v>
      </c>
      <c r="E953" s="19" t="str">
        <f t="shared" si="2"/>
        <v> </v>
      </c>
      <c r="F953" s="21"/>
    </row>
    <row r="954">
      <c r="A954" s="19">
        <v>11510.0</v>
      </c>
      <c r="B954" s="19" t="s">
        <v>986</v>
      </c>
      <c r="C954" s="20">
        <v>27080.0</v>
      </c>
      <c r="D954" s="19" t="str">
        <f t="shared" si="1"/>
        <v> </v>
      </c>
      <c r="E954" s="19" t="str">
        <f t="shared" si="2"/>
        <v> </v>
      </c>
      <c r="F954" s="21"/>
    </row>
    <row r="955">
      <c r="A955" s="19">
        <v>11511.0</v>
      </c>
      <c r="B955" s="19" t="s">
        <v>987</v>
      </c>
      <c r="C955" s="20">
        <v>29821.0</v>
      </c>
      <c r="D955" s="19" t="str">
        <f t="shared" si="1"/>
        <v> </v>
      </c>
      <c r="E955" s="19" t="str">
        <f t="shared" si="2"/>
        <v> </v>
      </c>
      <c r="F955" s="21"/>
    </row>
    <row r="956">
      <c r="A956" s="19">
        <v>11512.0</v>
      </c>
      <c r="B956" s="19" t="s">
        <v>988</v>
      </c>
      <c r="C956" s="20">
        <v>19221.0</v>
      </c>
      <c r="D956" s="19" t="str">
        <f t="shared" si="1"/>
        <v> </v>
      </c>
      <c r="E956" s="19" t="str">
        <f t="shared" si="2"/>
        <v> </v>
      </c>
      <c r="F956" s="21"/>
    </row>
    <row r="957">
      <c r="A957" s="19">
        <v>11514.0</v>
      </c>
      <c r="B957" s="19" t="s">
        <v>989</v>
      </c>
      <c r="C957" s="20">
        <v>18958.0</v>
      </c>
      <c r="D957" s="19" t="str">
        <f t="shared" si="1"/>
        <v> </v>
      </c>
      <c r="E957" s="19" t="str">
        <f t="shared" si="2"/>
        <v> </v>
      </c>
      <c r="F957" s="21"/>
    </row>
    <row r="958">
      <c r="A958" s="19">
        <v>11515.0</v>
      </c>
      <c r="B958" s="19" t="s">
        <v>990</v>
      </c>
      <c r="C958" s="20">
        <v>19056.0</v>
      </c>
      <c r="D958" s="19" t="str">
        <f t="shared" si="1"/>
        <v> </v>
      </c>
      <c r="E958" s="19" t="str">
        <f t="shared" si="2"/>
        <v> </v>
      </c>
      <c r="F958" s="21"/>
    </row>
    <row r="959">
      <c r="A959" s="19">
        <v>11516.0</v>
      </c>
      <c r="B959" s="19" t="s">
        <v>991</v>
      </c>
      <c r="C959" s="20">
        <v>19283.0</v>
      </c>
      <c r="D959" s="19" t="str">
        <f t="shared" si="1"/>
        <v> </v>
      </c>
      <c r="E959" s="19" t="str">
        <f t="shared" si="2"/>
        <v> </v>
      </c>
      <c r="F959" s="21"/>
    </row>
    <row r="960">
      <c r="A960" s="19">
        <v>11518.0</v>
      </c>
      <c r="B960" s="19" t="s">
        <v>992</v>
      </c>
      <c r="C960" s="20">
        <v>20702.0</v>
      </c>
      <c r="D960" s="19" t="str">
        <f t="shared" si="1"/>
        <v> </v>
      </c>
      <c r="E960" s="19" t="str">
        <f t="shared" si="2"/>
        <v> </v>
      </c>
      <c r="F960" s="21"/>
    </row>
    <row r="961">
      <c r="A961" s="19">
        <v>11521.0</v>
      </c>
      <c r="B961" s="19" t="s">
        <v>993</v>
      </c>
      <c r="C961" s="20">
        <v>16777.0</v>
      </c>
      <c r="D961" s="19" t="str">
        <f t="shared" si="1"/>
        <v> </v>
      </c>
      <c r="E961" s="19" t="str">
        <f t="shared" si="2"/>
        <v> </v>
      </c>
      <c r="F961" s="21"/>
    </row>
    <row r="962">
      <c r="A962" s="19">
        <v>11522.0</v>
      </c>
      <c r="B962" s="19" t="s">
        <v>994</v>
      </c>
      <c r="C962" s="20">
        <v>29351.0</v>
      </c>
      <c r="D962" s="19" t="str">
        <f t="shared" si="1"/>
        <v> </v>
      </c>
      <c r="E962" s="19" t="str">
        <f t="shared" si="2"/>
        <v> </v>
      </c>
      <c r="F962" s="21"/>
    </row>
    <row r="963">
      <c r="A963" s="19">
        <v>11523.0</v>
      </c>
      <c r="B963" s="19" t="s">
        <v>995</v>
      </c>
      <c r="C963" s="20">
        <v>16133.0</v>
      </c>
      <c r="D963" s="19" t="str">
        <f t="shared" si="1"/>
        <v> </v>
      </c>
      <c r="E963" s="19" t="str">
        <f t="shared" si="2"/>
        <v> </v>
      </c>
      <c r="F963" s="21"/>
    </row>
    <row r="964">
      <c r="A964" s="19">
        <v>11526.0</v>
      </c>
      <c r="B964" s="19" t="s">
        <v>996</v>
      </c>
      <c r="C964" s="20">
        <v>30851.0</v>
      </c>
      <c r="D964" s="19" t="str">
        <f t="shared" si="1"/>
        <v> </v>
      </c>
      <c r="E964" s="19" t="str">
        <f t="shared" si="2"/>
        <v> </v>
      </c>
      <c r="F964" s="21"/>
    </row>
    <row r="965">
      <c r="A965" s="19">
        <v>11529.0</v>
      </c>
      <c r="B965" s="19" t="s">
        <v>997</v>
      </c>
      <c r="C965" s="20">
        <v>13692.0</v>
      </c>
      <c r="D965" s="19" t="str">
        <f t="shared" si="1"/>
        <v> </v>
      </c>
      <c r="E965" s="19" t="str">
        <f t="shared" si="2"/>
        <v> </v>
      </c>
      <c r="F965" s="21"/>
    </row>
    <row r="966">
      <c r="A966" s="19">
        <v>11532.0</v>
      </c>
      <c r="B966" s="19" t="s">
        <v>998</v>
      </c>
      <c r="C966" s="20">
        <v>20475.0</v>
      </c>
      <c r="D966" s="19" t="str">
        <f t="shared" si="1"/>
        <v> </v>
      </c>
      <c r="E966" s="19" t="str">
        <f t="shared" si="2"/>
        <v> </v>
      </c>
      <c r="F966" s="21"/>
    </row>
    <row r="967">
      <c r="A967" s="19">
        <v>11535.0</v>
      </c>
      <c r="B967" s="19" t="s">
        <v>999</v>
      </c>
      <c r="C967" s="20">
        <v>22079.0</v>
      </c>
      <c r="D967" s="19" t="str">
        <f t="shared" si="1"/>
        <v> </v>
      </c>
      <c r="E967" s="19" t="str">
        <f t="shared" si="2"/>
        <v> </v>
      </c>
      <c r="F967" s="21"/>
    </row>
    <row r="968">
      <c r="A968" s="19">
        <v>11536.0</v>
      </c>
      <c r="B968" s="19" t="s">
        <v>1000</v>
      </c>
      <c r="C968" s="20">
        <v>23777.0</v>
      </c>
      <c r="D968" s="19" t="str">
        <f t="shared" si="1"/>
        <v> </v>
      </c>
      <c r="E968" s="19" t="str">
        <f t="shared" si="2"/>
        <v> </v>
      </c>
      <c r="F968" s="21"/>
    </row>
    <row r="969">
      <c r="A969" s="19">
        <v>11543.0</v>
      </c>
      <c r="B969" s="19" t="s">
        <v>1001</v>
      </c>
      <c r="C969" s="20">
        <v>18034.0</v>
      </c>
      <c r="D969" s="19" t="str">
        <f t="shared" si="1"/>
        <v> </v>
      </c>
      <c r="E969" s="19" t="str">
        <f t="shared" si="2"/>
        <v> </v>
      </c>
      <c r="F969" s="21"/>
    </row>
    <row r="970">
      <c r="A970" s="19">
        <v>11544.0</v>
      </c>
      <c r="B970" s="19" t="s">
        <v>1002</v>
      </c>
      <c r="C970" s="20">
        <v>13044.0</v>
      </c>
      <c r="D970" s="19" t="str">
        <f t="shared" si="1"/>
        <v> </v>
      </c>
      <c r="E970" s="19" t="str">
        <f t="shared" si="2"/>
        <v> </v>
      </c>
      <c r="F970" s="21"/>
    </row>
    <row r="971">
      <c r="A971" s="19">
        <v>11549.0</v>
      </c>
      <c r="B971" s="19" t="s">
        <v>1003</v>
      </c>
      <c r="C971" s="20">
        <v>24341.0</v>
      </c>
      <c r="D971" s="19" t="str">
        <f t="shared" si="1"/>
        <v> </v>
      </c>
      <c r="E971" s="19" t="str">
        <f t="shared" si="2"/>
        <v> </v>
      </c>
      <c r="F971" s="21"/>
    </row>
    <row r="972">
      <c r="A972" s="19">
        <v>11551.0</v>
      </c>
      <c r="B972" s="19" t="s">
        <v>1004</v>
      </c>
      <c r="C972" s="20">
        <v>17998.0</v>
      </c>
      <c r="D972" s="19" t="str">
        <f t="shared" si="1"/>
        <v> </v>
      </c>
      <c r="E972" s="19" t="str">
        <f t="shared" si="2"/>
        <v> </v>
      </c>
      <c r="F972" s="21"/>
    </row>
    <row r="973">
      <c r="A973" s="19">
        <v>11553.0</v>
      </c>
      <c r="B973" s="19" t="s">
        <v>1005</v>
      </c>
      <c r="C973" s="20">
        <v>19290.0</v>
      </c>
      <c r="D973" s="19" t="str">
        <f t="shared" si="1"/>
        <v> </v>
      </c>
      <c r="E973" s="19" t="str">
        <f t="shared" si="2"/>
        <v> </v>
      </c>
      <c r="F973" s="21"/>
    </row>
    <row r="974">
      <c r="A974" s="19">
        <v>11559.0</v>
      </c>
      <c r="B974" s="19" t="s">
        <v>1006</v>
      </c>
      <c r="C974" s="20">
        <v>22096.0</v>
      </c>
      <c r="D974" s="19" t="str">
        <f t="shared" si="1"/>
        <v> </v>
      </c>
      <c r="E974" s="19" t="str">
        <f t="shared" si="2"/>
        <v> </v>
      </c>
      <c r="F974" s="21"/>
    </row>
    <row r="975">
      <c r="A975" s="19">
        <v>11561.0</v>
      </c>
      <c r="B975" s="19" t="s">
        <v>1007</v>
      </c>
      <c r="C975" s="20">
        <v>18689.0</v>
      </c>
      <c r="D975" s="19" t="str">
        <f t="shared" si="1"/>
        <v> </v>
      </c>
      <c r="E975" s="19" t="str">
        <f t="shared" si="2"/>
        <v> </v>
      </c>
      <c r="F975" s="21"/>
    </row>
    <row r="976">
      <c r="A976" s="19">
        <v>11562.0</v>
      </c>
      <c r="B976" s="19" t="s">
        <v>1008</v>
      </c>
      <c r="C976" s="20">
        <v>16827.0</v>
      </c>
      <c r="D976" s="19" t="str">
        <f t="shared" si="1"/>
        <v> </v>
      </c>
      <c r="E976" s="19" t="str">
        <f t="shared" si="2"/>
        <v> </v>
      </c>
      <c r="F976" s="21"/>
    </row>
    <row r="977">
      <c r="A977" s="19">
        <v>11564.0</v>
      </c>
      <c r="B977" s="19" t="s">
        <v>1009</v>
      </c>
      <c r="C977" s="20">
        <v>17464.0</v>
      </c>
      <c r="D977" s="19" t="str">
        <f t="shared" si="1"/>
        <v> </v>
      </c>
      <c r="E977" s="19" t="str">
        <f t="shared" si="2"/>
        <v> </v>
      </c>
      <c r="F977" s="21"/>
    </row>
    <row r="978">
      <c r="A978" s="19">
        <v>11567.0</v>
      </c>
      <c r="B978" s="19" t="s">
        <v>1010</v>
      </c>
      <c r="C978" s="20">
        <v>24364.0</v>
      </c>
      <c r="D978" s="19" t="str">
        <f t="shared" si="1"/>
        <v> </v>
      </c>
      <c r="E978" s="19" t="str">
        <f t="shared" si="2"/>
        <v> </v>
      </c>
      <c r="F978" s="21"/>
    </row>
    <row r="979">
      <c r="A979" s="19">
        <v>11568.0</v>
      </c>
      <c r="B979" s="19" t="s">
        <v>1011</v>
      </c>
      <c r="C979" s="20">
        <v>18906.0</v>
      </c>
      <c r="D979" s="19" t="str">
        <f t="shared" si="1"/>
        <v> </v>
      </c>
      <c r="E979" s="19" t="str">
        <f t="shared" si="2"/>
        <v> </v>
      </c>
      <c r="F979" s="21"/>
    </row>
    <row r="980">
      <c r="A980" s="19">
        <v>11569.0</v>
      </c>
      <c r="B980" s="19" t="s">
        <v>1012</v>
      </c>
      <c r="C980" s="20">
        <v>27805.0</v>
      </c>
      <c r="D980" s="19" t="str">
        <f t="shared" si="1"/>
        <v> </v>
      </c>
      <c r="E980" s="19" t="str">
        <f t="shared" si="2"/>
        <v> </v>
      </c>
      <c r="F980" s="21"/>
    </row>
    <row r="981">
      <c r="A981" s="19">
        <v>11571.0</v>
      </c>
      <c r="B981" s="19" t="s">
        <v>1013</v>
      </c>
      <c r="C981" s="20">
        <v>8669.0</v>
      </c>
      <c r="D981" s="19" t="str">
        <f t="shared" si="1"/>
        <v> </v>
      </c>
      <c r="E981" s="19" t="str">
        <f t="shared" si="2"/>
        <v> </v>
      </c>
      <c r="F981" s="21"/>
    </row>
    <row r="982">
      <c r="A982" s="19">
        <v>11572.0</v>
      </c>
      <c r="B982" s="19" t="s">
        <v>1014</v>
      </c>
      <c r="C982" s="20">
        <v>26174.0</v>
      </c>
      <c r="D982" s="19" t="str">
        <f t="shared" si="1"/>
        <v> </v>
      </c>
      <c r="E982" s="19" t="str">
        <f t="shared" si="2"/>
        <v> </v>
      </c>
      <c r="F982" s="21"/>
    </row>
    <row r="983">
      <c r="A983" s="19">
        <v>11573.0</v>
      </c>
      <c r="B983" s="19" t="s">
        <v>1015</v>
      </c>
      <c r="C983" s="20">
        <v>31522.0</v>
      </c>
      <c r="D983" s="19" t="str">
        <f t="shared" si="1"/>
        <v>Repeat</v>
      </c>
      <c r="E983" s="19" t="str">
        <f t="shared" si="2"/>
        <v> </v>
      </c>
      <c r="F983" s="21"/>
    </row>
    <row r="984">
      <c r="A984" s="19">
        <v>11577.0</v>
      </c>
      <c r="B984" s="19" t="s">
        <v>1016</v>
      </c>
      <c r="C984" s="20">
        <v>21460.0</v>
      </c>
      <c r="D984" s="19" t="str">
        <f t="shared" si="1"/>
        <v> </v>
      </c>
      <c r="E984" s="19" t="str">
        <f t="shared" si="2"/>
        <v> </v>
      </c>
      <c r="F984" s="21"/>
    </row>
    <row r="985">
      <c r="A985" s="19">
        <v>11596.0</v>
      </c>
      <c r="B985" s="19" t="s">
        <v>1017</v>
      </c>
      <c r="C985" s="20">
        <v>33646.0</v>
      </c>
      <c r="D985" s="19" t="str">
        <f t="shared" si="1"/>
        <v> </v>
      </c>
      <c r="E985" s="19" t="str">
        <f t="shared" si="2"/>
        <v> </v>
      </c>
      <c r="F985" s="21"/>
    </row>
    <row r="986">
      <c r="A986" s="19">
        <v>11599.0</v>
      </c>
      <c r="B986" s="19" t="s">
        <v>1018</v>
      </c>
      <c r="C986" s="20">
        <v>23348.0</v>
      </c>
      <c r="D986" s="19" t="str">
        <f t="shared" si="1"/>
        <v> </v>
      </c>
      <c r="E986" s="19" t="str">
        <f t="shared" si="2"/>
        <v> </v>
      </c>
      <c r="F986" s="21"/>
    </row>
    <row r="987">
      <c r="A987" s="19">
        <v>11600.0</v>
      </c>
      <c r="B987" s="19" t="s">
        <v>1019</v>
      </c>
      <c r="C987" s="20">
        <v>19129.0</v>
      </c>
      <c r="D987" s="19" t="str">
        <f t="shared" si="1"/>
        <v> </v>
      </c>
      <c r="E987" s="19" t="str">
        <f t="shared" si="2"/>
        <v> </v>
      </c>
      <c r="F987" s="21"/>
    </row>
    <row r="988">
      <c r="A988" s="19">
        <v>11603.0</v>
      </c>
      <c r="B988" s="19" t="s">
        <v>1020</v>
      </c>
      <c r="C988" s="20">
        <v>15642.0</v>
      </c>
      <c r="D988" s="19" t="str">
        <f t="shared" si="1"/>
        <v> </v>
      </c>
      <c r="E988" s="19" t="str">
        <f t="shared" si="2"/>
        <v> </v>
      </c>
      <c r="F988" s="21"/>
    </row>
    <row r="989">
      <c r="A989" s="19">
        <v>11604.0</v>
      </c>
      <c r="B989" s="19" t="s">
        <v>1021</v>
      </c>
      <c r="C989" s="20">
        <v>21837.0</v>
      </c>
      <c r="D989" s="19" t="str">
        <f t="shared" si="1"/>
        <v> </v>
      </c>
      <c r="E989" s="19" t="str">
        <f t="shared" si="2"/>
        <v> </v>
      </c>
      <c r="F989" s="21"/>
    </row>
    <row r="990">
      <c r="A990" s="19">
        <v>11605.0</v>
      </c>
      <c r="B990" s="19" t="s">
        <v>1022</v>
      </c>
      <c r="C990" s="20">
        <v>32142.0</v>
      </c>
      <c r="D990" s="19" t="str">
        <f t="shared" si="1"/>
        <v> </v>
      </c>
      <c r="E990" s="19" t="str">
        <f t="shared" si="2"/>
        <v> </v>
      </c>
      <c r="F990" s="21"/>
    </row>
    <row r="991">
      <c r="A991" s="19">
        <v>11607.0</v>
      </c>
      <c r="B991" s="19" t="s">
        <v>1023</v>
      </c>
      <c r="C991" s="20">
        <v>33658.0</v>
      </c>
      <c r="D991" s="19" t="str">
        <f t="shared" si="1"/>
        <v> </v>
      </c>
      <c r="E991" s="19" t="str">
        <f t="shared" si="2"/>
        <v> </v>
      </c>
      <c r="F991" s="21"/>
    </row>
    <row r="992">
      <c r="A992" s="19">
        <v>11608.0</v>
      </c>
      <c r="B992" s="19" t="s">
        <v>1024</v>
      </c>
      <c r="C992" s="20">
        <v>9957.0</v>
      </c>
      <c r="D992" s="19" t="str">
        <f t="shared" si="1"/>
        <v> </v>
      </c>
      <c r="E992" s="19" t="str">
        <f t="shared" si="2"/>
        <v> </v>
      </c>
      <c r="F992" s="21"/>
    </row>
    <row r="993">
      <c r="A993" s="19">
        <v>11609.0</v>
      </c>
      <c r="B993" s="19" t="s">
        <v>1025</v>
      </c>
      <c r="C993" s="20">
        <v>23958.0</v>
      </c>
      <c r="D993" s="19" t="str">
        <f t="shared" si="1"/>
        <v> </v>
      </c>
      <c r="E993" s="19" t="str">
        <f t="shared" si="2"/>
        <v> </v>
      </c>
      <c r="F993" s="21"/>
    </row>
    <row r="994">
      <c r="A994" s="19">
        <v>11611.0</v>
      </c>
      <c r="B994" s="19" t="s">
        <v>1026</v>
      </c>
      <c r="C994" s="20">
        <v>24449.0</v>
      </c>
      <c r="D994" s="19" t="str">
        <f t="shared" si="1"/>
        <v> </v>
      </c>
      <c r="E994" s="19" t="str">
        <f t="shared" si="2"/>
        <v> </v>
      </c>
      <c r="F994" s="21"/>
    </row>
    <row r="995">
      <c r="A995" s="19">
        <v>11613.0</v>
      </c>
      <c r="B995" s="19" t="s">
        <v>1027</v>
      </c>
      <c r="C995" s="20">
        <v>22853.0</v>
      </c>
      <c r="D995" s="19" t="str">
        <f t="shared" si="1"/>
        <v> </v>
      </c>
      <c r="E995" s="19" t="str">
        <f t="shared" si="2"/>
        <v> </v>
      </c>
      <c r="F995" s="21"/>
    </row>
    <row r="996">
      <c r="A996" s="19">
        <v>11619.0</v>
      </c>
      <c r="B996" s="19" t="s">
        <v>1028</v>
      </c>
      <c r="C996" s="20">
        <v>29756.0</v>
      </c>
      <c r="D996" s="19" t="str">
        <f t="shared" si="1"/>
        <v> </v>
      </c>
      <c r="E996" s="19" t="str">
        <f t="shared" si="2"/>
        <v> </v>
      </c>
      <c r="F996" s="21"/>
    </row>
    <row r="997">
      <c r="A997" s="19">
        <v>11623.0</v>
      </c>
      <c r="B997" s="19" t="s">
        <v>1029</v>
      </c>
      <c r="C997" s="20">
        <v>20033.0</v>
      </c>
      <c r="D997" s="19" t="str">
        <f t="shared" si="1"/>
        <v> </v>
      </c>
      <c r="E997" s="19" t="str">
        <f t="shared" si="2"/>
        <v> </v>
      </c>
      <c r="F997" s="21"/>
    </row>
    <row r="998">
      <c r="A998" s="19">
        <v>11624.0</v>
      </c>
      <c r="B998" s="19" t="s">
        <v>1030</v>
      </c>
      <c r="C998" s="20">
        <v>24456.0</v>
      </c>
      <c r="D998" s="19" t="str">
        <f t="shared" si="1"/>
        <v> </v>
      </c>
      <c r="E998" s="19" t="str">
        <f t="shared" si="2"/>
        <v> </v>
      </c>
      <c r="F998" s="21"/>
    </row>
    <row r="999">
      <c r="A999" s="19">
        <v>11625.0</v>
      </c>
      <c r="B999" s="19" t="s">
        <v>1031</v>
      </c>
      <c r="C999" s="20">
        <v>20350.0</v>
      </c>
      <c r="D999" s="19" t="str">
        <f t="shared" si="1"/>
        <v> </v>
      </c>
      <c r="E999" s="19" t="str">
        <f t="shared" si="2"/>
        <v> </v>
      </c>
      <c r="F999" s="21"/>
    </row>
    <row r="1000">
      <c r="A1000" s="19">
        <v>11626.0</v>
      </c>
      <c r="B1000" s="19" t="s">
        <v>1032</v>
      </c>
      <c r="C1000" s="20">
        <v>24025.0</v>
      </c>
      <c r="D1000" s="19" t="str">
        <f t="shared" si="1"/>
        <v> </v>
      </c>
      <c r="E1000" s="19" t="str">
        <f t="shared" si="2"/>
        <v>Repeat</v>
      </c>
      <c r="F1000" s="21"/>
    </row>
    <row r="1001">
      <c r="A1001" s="19">
        <v>11629.0</v>
      </c>
      <c r="B1001" s="19" t="s">
        <v>1033</v>
      </c>
      <c r="C1001" s="20">
        <v>11551.0</v>
      </c>
      <c r="D1001" s="19" t="str">
        <f t="shared" si="1"/>
        <v> </v>
      </c>
      <c r="E1001" s="19" t="str">
        <f t="shared" si="2"/>
        <v> </v>
      </c>
      <c r="F1001" s="21"/>
    </row>
    <row r="1002">
      <c r="A1002" s="19">
        <v>11631.0</v>
      </c>
      <c r="B1002" s="19" t="s">
        <v>1034</v>
      </c>
      <c r="C1002" s="20">
        <v>16905.0</v>
      </c>
      <c r="D1002" s="19" t="str">
        <f t="shared" si="1"/>
        <v> </v>
      </c>
      <c r="E1002" s="19" t="str">
        <f t="shared" si="2"/>
        <v> </v>
      </c>
      <c r="F1002" s="21"/>
    </row>
    <row r="1003">
      <c r="A1003" s="19">
        <v>11637.0</v>
      </c>
      <c r="B1003" s="19" t="s">
        <v>1035</v>
      </c>
      <c r="C1003" s="20">
        <v>21657.0</v>
      </c>
      <c r="D1003" s="19" t="str">
        <f t="shared" si="1"/>
        <v> </v>
      </c>
      <c r="E1003" s="19" t="str">
        <f t="shared" si="2"/>
        <v> </v>
      </c>
      <c r="F1003" s="21"/>
    </row>
    <row r="1004">
      <c r="A1004" s="19">
        <v>11638.0</v>
      </c>
      <c r="B1004" s="19" t="s">
        <v>1036</v>
      </c>
      <c r="C1004" s="20">
        <v>18889.0</v>
      </c>
      <c r="D1004" s="19" t="str">
        <f t="shared" si="1"/>
        <v> </v>
      </c>
      <c r="E1004" s="19" t="str">
        <f t="shared" si="2"/>
        <v> </v>
      </c>
      <c r="F1004" s="21"/>
    </row>
    <row r="1005">
      <c r="A1005" s="19">
        <v>11640.0</v>
      </c>
      <c r="B1005" s="19" t="s">
        <v>1037</v>
      </c>
      <c r="C1005" s="20">
        <v>23524.0</v>
      </c>
      <c r="D1005" s="19" t="str">
        <f t="shared" si="1"/>
        <v> </v>
      </c>
      <c r="E1005" s="19" t="str">
        <f t="shared" si="2"/>
        <v> </v>
      </c>
      <c r="F1005" s="21"/>
    </row>
    <row r="1006">
      <c r="A1006" s="19">
        <v>11643.0</v>
      </c>
      <c r="B1006" s="19" t="s">
        <v>1038</v>
      </c>
      <c r="C1006" s="20">
        <v>14248.0</v>
      </c>
      <c r="D1006" s="19" t="str">
        <f t="shared" si="1"/>
        <v> </v>
      </c>
      <c r="E1006" s="19" t="str">
        <f t="shared" si="2"/>
        <v> </v>
      </c>
      <c r="F1006" s="21"/>
    </row>
    <row r="1007">
      <c r="A1007" s="19">
        <v>11645.0</v>
      </c>
      <c r="B1007" s="19" t="s">
        <v>1039</v>
      </c>
      <c r="C1007" s="20">
        <v>24199.0</v>
      </c>
      <c r="D1007" s="19" t="str">
        <f t="shared" si="1"/>
        <v> </v>
      </c>
      <c r="E1007" s="19" t="str">
        <f t="shared" si="2"/>
        <v> </v>
      </c>
      <c r="F1007" s="21"/>
    </row>
    <row r="1008">
      <c r="A1008" s="19">
        <v>11646.0</v>
      </c>
      <c r="B1008" s="19" t="s">
        <v>1040</v>
      </c>
      <c r="C1008" s="20">
        <v>28354.0</v>
      </c>
      <c r="D1008" s="19" t="str">
        <f t="shared" si="1"/>
        <v> </v>
      </c>
      <c r="E1008" s="19" t="str">
        <f t="shared" si="2"/>
        <v> </v>
      </c>
      <c r="F1008" s="21"/>
    </row>
    <row r="1009">
      <c r="A1009" s="19">
        <v>11648.0</v>
      </c>
      <c r="B1009" s="19" t="s">
        <v>1041</v>
      </c>
      <c r="C1009" s="20">
        <v>19977.0</v>
      </c>
      <c r="D1009" s="19" t="str">
        <f t="shared" si="1"/>
        <v> </v>
      </c>
      <c r="E1009" s="19" t="str">
        <f t="shared" si="2"/>
        <v> </v>
      </c>
      <c r="F1009" s="21"/>
    </row>
    <row r="1010">
      <c r="A1010" s="19">
        <v>11650.0</v>
      </c>
      <c r="B1010" s="19" t="s">
        <v>1042</v>
      </c>
      <c r="C1010" s="20">
        <v>18876.0</v>
      </c>
      <c r="D1010" s="19" t="str">
        <f t="shared" si="1"/>
        <v> </v>
      </c>
      <c r="E1010" s="19" t="str">
        <f t="shared" si="2"/>
        <v> </v>
      </c>
      <c r="F1010" s="21"/>
    </row>
    <row r="1011">
      <c r="A1011" s="19">
        <v>11655.0</v>
      </c>
      <c r="B1011" s="19" t="s">
        <v>1043</v>
      </c>
      <c r="C1011" s="20">
        <v>24827.0</v>
      </c>
      <c r="D1011" s="19" t="str">
        <f t="shared" si="1"/>
        <v> </v>
      </c>
      <c r="E1011" s="19" t="str">
        <f t="shared" si="2"/>
        <v> </v>
      </c>
      <c r="F1011" s="21"/>
    </row>
    <row r="1012">
      <c r="A1012" s="19">
        <v>11656.0</v>
      </c>
      <c r="B1012" s="19" t="s">
        <v>1044</v>
      </c>
      <c r="C1012" s="20">
        <v>27617.0</v>
      </c>
      <c r="D1012" s="19" t="str">
        <f t="shared" si="1"/>
        <v> </v>
      </c>
      <c r="E1012" s="19" t="str">
        <f t="shared" si="2"/>
        <v> </v>
      </c>
      <c r="F1012" s="21"/>
    </row>
    <row r="1013">
      <c r="A1013" s="19">
        <v>11660.0</v>
      </c>
      <c r="B1013" s="19" t="s">
        <v>1045</v>
      </c>
      <c r="C1013" s="20">
        <v>22608.0</v>
      </c>
      <c r="D1013" s="19" t="str">
        <f t="shared" si="1"/>
        <v> </v>
      </c>
      <c r="E1013" s="19" t="str">
        <f t="shared" si="2"/>
        <v> </v>
      </c>
      <c r="F1013" s="21"/>
    </row>
    <row r="1014">
      <c r="A1014" s="19">
        <v>11663.0</v>
      </c>
      <c r="B1014" s="19" t="s">
        <v>1046</v>
      </c>
      <c r="C1014" s="20">
        <v>18081.0</v>
      </c>
      <c r="D1014" s="19" t="str">
        <f t="shared" si="1"/>
        <v> </v>
      </c>
      <c r="E1014" s="19" t="str">
        <f t="shared" si="2"/>
        <v> </v>
      </c>
      <c r="F1014" s="21"/>
    </row>
    <row r="1015">
      <c r="A1015" s="19">
        <v>11665.0</v>
      </c>
      <c r="B1015" s="19" t="s">
        <v>1047</v>
      </c>
      <c r="C1015" s="20">
        <v>18732.0</v>
      </c>
      <c r="D1015" s="19" t="str">
        <f t="shared" si="1"/>
        <v> </v>
      </c>
      <c r="E1015" s="19" t="str">
        <f t="shared" si="2"/>
        <v> </v>
      </c>
      <c r="F1015" s="21"/>
    </row>
    <row r="1016">
      <c r="A1016" s="19">
        <v>11667.0</v>
      </c>
      <c r="B1016" s="19" t="s">
        <v>1048</v>
      </c>
      <c r="C1016" s="20">
        <v>46459.0</v>
      </c>
      <c r="D1016" s="19" t="str">
        <f t="shared" si="1"/>
        <v> </v>
      </c>
      <c r="E1016" s="19" t="str">
        <f t="shared" si="2"/>
        <v> </v>
      </c>
      <c r="F1016" s="21"/>
    </row>
    <row r="1017">
      <c r="A1017" s="19">
        <v>11668.0</v>
      </c>
      <c r="B1017" s="19" t="s">
        <v>1049</v>
      </c>
      <c r="C1017" s="20">
        <v>31924.0</v>
      </c>
      <c r="D1017" s="19" t="str">
        <f t="shared" si="1"/>
        <v> </v>
      </c>
      <c r="E1017" s="19" t="str">
        <f t="shared" si="2"/>
        <v> </v>
      </c>
      <c r="F1017" s="21"/>
    </row>
    <row r="1018">
      <c r="A1018" s="19">
        <v>11669.0</v>
      </c>
      <c r="B1018" s="19" t="s">
        <v>1050</v>
      </c>
      <c r="C1018" s="20">
        <v>21906.0</v>
      </c>
      <c r="D1018" s="19" t="str">
        <f t="shared" si="1"/>
        <v> </v>
      </c>
      <c r="E1018" s="19" t="str">
        <f t="shared" si="2"/>
        <v> </v>
      </c>
      <c r="F1018" s="21"/>
    </row>
    <row r="1019">
      <c r="A1019" s="19">
        <v>11670.0</v>
      </c>
      <c r="B1019" s="19" t="s">
        <v>1051</v>
      </c>
      <c r="C1019" s="20">
        <v>20486.0</v>
      </c>
      <c r="D1019" s="19" t="str">
        <f t="shared" si="1"/>
        <v> </v>
      </c>
      <c r="E1019" s="19" t="str">
        <f t="shared" si="2"/>
        <v> </v>
      </c>
      <c r="F1019" s="21"/>
    </row>
    <row r="1020">
      <c r="A1020" s="19">
        <v>11672.0</v>
      </c>
      <c r="B1020" s="19" t="s">
        <v>1052</v>
      </c>
      <c r="C1020" s="20">
        <v>15484.0</v>
      </c>
      <c r="D1020" s="19" t="str">
        <f t="shared" si="1"/>
        <v> </v>
      </c>
      <c r="E1020" s="19" t="str">
        <f t="shared" si="2"/>
        <v> </v>
      </c>
      <c r="F1020" s="21"/>
    </row>
    <row r="1021">
      <c r="A1021" s="19">
        <v>11675.0</v>
      </c>
      <c r="B1021" s="19" t="s">
        <v>1053</v>
      </c>
      <c r="C1021" s="20">
        <v>19439.0</v>
      </c>
      <c r="D1021" s="19" t="str">
        <f t="shared" si="1"/>
        <v> </v>
      </c>
      <c r="E1021" s="19" t="str">
        <f t="shared" si="2"/>
        <v> </v>
      </c>
      <c r="F1021" s="21"/>
    </row>
    <row r="1022">
      <c r="A1022" s="19">
        <v>11676.0</v>
      </c>
      <c r="B1022" s="19" t="s">
        <v>1054</v>
      </c>
      <c r="C1022" s="20">
        <v>21749.0</v>
      </c>
      <c r="D1022" s="19" t="str">
        <f t="shared" si="1"/>
        <v> </v>
      </c>
      <c r="E1022" s="19" t="str">
        <f t="shared" si="2"/>
        <v> </v>
      </c>
      <c r="F1022" s="21"/>
    </row>
    <row r="1023">
      <c r="A1023" s="19">
        <v>11679.0</v>
      </c>
      <c r="B1023" s="19" t="s">
        <v>1055</v>
      </c>
      <c r="C1023" s="20">
        <v>20056.0</v>
      </c>
      <c r="D1023" s="19" t="str">
        <f t="shared" si="1"/>
        <v> </v>
      </c>
      <c r="E1023" s="19" t="str">
        <f t="shared" si="2"/>
        <v> </v>
      </c>
      <c r="F1023" s="21"/>
    </row>
    <row r="1024">
      <c r="A1024" s="19">
        <v>11680.0</v>
      </c>
      <c r="B1024" s="19" t="s">
        <v>1056</v>
      </c>
      <c r="C1024" s="20">
        <v>28927.0</v>
      </c>
      <c r="D1024" s="19" t="str">
        <f t="shared" si="1"/>
        <v> </v>
      </c>
      <c r="E1024" s="19" t="str">
        <f t="shared" si="2"/>
        <v> </v>
      </c>
      <c r="F1024" s="21"/>
    </row>
    <row r="1025">
      <c r="A1025" s="19">
        <v>11681.0</v>
      </c>
      <c r="B1025" s="19" t="s">
        <v>1057</v>
      </c>
      <c r="C1025" s="20">
        <v>21128.0</v>
      </c>
      <c r="D1025" s="19" t="str">
        <f t="shared" si="1"/>
        <v> </v>
      </c>
      <c r="E1025" s="19" t="str">
        <f t="shared" si="2"/>
        <v> </v>
      </c>
      <c r="F1025" s="21"/>
    </row>
    <row r="1026">
      <c r="A1026" s="19">
        <v>11682.0</v>
      </c>
      <c r="B1026" s="19" t="s">
        <v>1058</v>
      </c>
      <c r="C1026" s="20">
        <v>24031.0</v>
      </c>
      <c r="D1026" s="19" t="str">
        <f t="shared" si="1"/>
        <v> </v>
      </c>
      <c r="E1026" s="19" t="str">
        <f t="shared" si="2"/>
        <v> </v>
      </c>
      <c r="F1026" s="21"/>
    </row>
    <row r="1027">
      <c r="A1027" s="19">
        <v>11683.0</v>
      </c>
      <c r="B1027" s="19" t="s">
        <v>1059</v>
      </c>
      <c r="C1027" s="20">
        <v>23879.0</v>
      </c>
      <c r="D1027" s="19" t="str">
        <f t="shared" si="1"/>
        <v> </v>
      </c>
      <c r="E1027" s="19" t="str">
        <f t="shared" si="2"/>
        <v> </v>
      </c>
      <c r="F1027" s="21"/>
    </row>
    <row r="1028">
      <c r="A1028" s="19">
        <v>11685.0</v>
      </c>
      <c r="B1028" s="19" t="s">
        <v>1060</v>
      </c>
      <c r="C1028" s="20">
        <v>26550.0</v>
      </c>
      <c r="D1028" s="19" t="str">
        <f t="shared" si="1"/>
        <v> </v>
      </c>
      <c r="E1028" s="19" t="str">
        <f t="shared" si="2"/>
        <v> </v>
      </c>
      <c r="F1028" s="21"/>
    </row>
    <row r="1029">
      <c r="A1029" s="19">
        <v>11687.0</v>
      </c>
      <c r="B1029" s="19" t="s">
        <v>1061</v>
      </c>
      <c r="C1029" s="20">
        <v>27492.0</v>
      </c>
      <c r="D1029" s="19" t="str">
        <f t="shared" si="1"/>
        <v> </v>
      </c>
      <c r="E1029" s="19" t="str">
        <f t="shared" si="2"/>
        <v> </v>
      </c>
      <c r="F1029" s="21"/>
    </row>
    <row r="1030">
      <c r="A1030" s="19">
        <v>11689.0</v>
      </c>
      <c r="B1030" s="19" t="s">
        <v>1062</v>
      </c>
      <c r="C1030" s="20">
        <v>18306.0</v>
      </c>
      <c r="D1030" s="19" t="str">
        <f t="shared" si="1"/>
        <v> </v>
      </c>
      <c r="E1030" s="19" t="str">
        <f t="shared" si="2"/>
        <v> </v>
      </c>
      <c r="F1030" s="21"/>
    </row>
    <row r="1031">
      <c r="A1031" s="19">
        <v>11690.0</v>
      </c>
      <c r="B1031" s="19" t="s">
        <v>1063</v>
      </c>
      <c r="C1031" s="20">
        <v>16779.0</v>
      </c>
      <c r="D1031" s="19" t="str">
        <f t="shared" si="1"/>
        <v> </v>
      </c>
      <c r="E1031" s="19" t="str">
        <f t="shared" si="2"/>
        <v> </v>
      </c>
      <c r="F1031" s="21"/>
    </row>
    <row r="1032">
      <c r="A1032" s="19">
        <v>11691.0</v>
      </c>
      <c r="B1032" s="19" t="s">
        <v>1064</v>
      </c>
      <c r="C1032" s="20">
        <v>29607.0</v>
      </c>
      <c r="D1032" s="19" t="str">
        <f t="shared" si="1"/>
        <v> </v>
      </c>
      <c r="E1032" s="19" t="str">
        <f t="shared" si="2"/>
        <v> </v>
      </c>
      <c r="F1032" s="21"/>
    </row>
    <row r="1033">
      <c r="A1033" s="19">
        <v>11692.0</v>
      </c>
      <c r="B1033" s="19" t="s">
        <v>1065</v>
      </c>
      <c r="C1033" s="20">
        <v>32597.0</v>
      </c>
      <c r="D1033" s="19" t="str">
        <f t="shared" si="1"/>
        <v> </v>
      </c>
      <c r="E1033" s="19" t="str">
        <f t="shared" si="2"/>
        <v> </v>
      </c>
      <c r="F1033" s="21"/>
    </row>
    <row r="1034">
      <c r="A1034" s="19">
        <v>11693.0</v>
      </c>
      <c r="B1034" s="19" t="s">
        <v>1066</v>
      </c>
      <c r="C1034" s="20">
        <v>17687.0</v>
      </c>
      <c r="D1034" s="19" t="str">
        <f t="shared" si="1"/>
        <v> </v>
      </c>
      <c r="E1034" s="19" t="str">
        <f t="shared" si="2"/>
        <v> </v>
      </c>
      <c r="F1034" s="21"/>
    </row>
    <row r="1035">
      <c r="A1035" s="19">
        <v>11694.0</v>
      </c>
      <c r="B1035" s="19" t="s">
        <v>1067</v>
      </c>
      <c r="C1035" s="20">
        <v>22602.0</v>
      </c>
      <c r="D1035" s="19" t="str">
        <f t="shared" si="1"/>
        <v> </v>
      </c>
      <c r="E1035" s="19" t="str">
        <f t="shared" si="2"/>
        <v> </v>
      </c>
      <c r="F1035" s="21"/>
    </row>
    <row r="1036">
      <c r="A1036" s="19">
        <v>11698.0</v>
      </c>
      <c r="B1036" s="19" t="s">
        <v>1068</v>
      </c>
      <c r="C1036" s="20">
        <v>33194.0</v>
      </c>
      <c r="D1036" s="19" t="str">
        <f t="shared" si="1"/>
        <v> </v>
      </c>
      <c r="E1036" s="19" t="str">
        <f t="shared" si="2"/>
        <v> </v>
      </c>
      <c r="F1036" s="21"/>
    </row>
    <row r="1037">
      <c r="A1037" s="19">
        <v>11699.0</v>
      </c>
      <c r="B1037" s="19" t="s">
        <v>1069</v>
      </c>
      <c r="C1037" s="20">
        <v>13855.0</v>
      </c>
      <c r="D1037" s="19" t="str">
        <f t="shared" si="1"/>
        <v> </v>
      </c>
      <c r="E1037" s="19" t="str">
        <f t="shared" si="2"/>
        <v> </v>
      </c>
      <c r="F1037" s="21"/>
    </row>
    <row r="1038">
      <c r="A1038" s="19">
        <v>11701.0</v>
      </c>
      <c r="B1038" s="19" t="s">
        <v>1070</v>
      </c>
      <c r="C1038" s="20">
        <v>21055.0</v>
      </c>
      <c r="D1038" s="19" t="str">
        <f t="shared" si="1"/>
        <v> </v>
      </c>
      <c r="E1038" s="19" t="str">
        <f t="shared" si="2"/>
        <v> </v>
      </c>
      <c r="F1038" s="21"/>
    </row>
    <row r="1039">
      <c r="A1039" s="19">
        <v>11703.0</v>
      </c>
      <c r="B1039" s="19" t="s">
        <v>1071</v>
      </c>
      <c r="C1039" s="20">
        <v>10826.0</v>
      </c>
      <c r="D1039" s="19" t="str">
        <f t="shared" si="1"/>
        <v> </v>
      </c>
      <c r="E1039" s="19" t="str">
        <f t="shared" si="2"/>
        <v> </v>
      </c>
      <c r="F1039" s="21"/>
    </row>
    <row r="1040">
      <c r="A1040" s="19">
        <v>11705.0</v>
      </c>
      <c r="B1040" s="19" t="s">
        <v>1072</v>
      </c>
      <c r="C1040" s="20">
        <v>17964.0</v>
      </c>
      <c r="D1040" s="19" t="str">
        <f t="shared" si="1"/>
        <v> </v>
      </c>
      <c r="E1040" s="19" t="str">
        <f t="shared" si="2"/>
        <v> </v>
      </c>
      <c r="F1040" s="21"/>
    </row>
    <row r="1041">
      <c r="A1041" s="19">
        <v>11708.0</v>
      </c>
      <c r="B1041" s="19" t="s">
        <v>1073</v>
      </c>
      <c r="C1041" s="20">
        <v>15507.0</v>
      </c>
      <c r="D1041" s="19" t="str">
        <f t="shared" si="1"/>
        <v> </v>
      </c>
      <c r="E1041" s="19" t="str">
        <f t="shared" si="2"/>
        <v> </v>
      </c>
      <c r="F1041" s="21"/>
    </row>
    <row r="1042">
      <c r="A1042" s="19">
        <v>11709.0</v>
      </c>
      <c r="B1042" s="19" t="s">
        <v>1074</v>
      </c>
      <c r="C1042" s="20">
        <v>34238.0</v>
      </c>
      <c r="D1042" s="19" t="str">
        <f t="shared" si="1"/>
        <v> </v>
      </c>
      <c r="E1042" s="19" t="str">
        <f t="shared" si="2"/>
        <v> </v>
      </c>
      <c r="F1042" s="21"/>
    </row>
    <row r="1043">
      <c r="A1043" s="19">
        <v>11710.0</v>
      </c>
      <c r="B1043" s="19" t="s">
        <v>1075</v>
      </c>
      <c r="C1043" s="20">
        <v>23156.0</v>
      </c>
      <c r="D1043" s="19" t="str">
        <f t="shared" si="1"/>
        <v> </v>
      </c>
      <c r="E1043" s="19" t="str">
        <f t="shared" si="2"/>
        <v> </v>
      </c>
      <c r="F1043" s="21"/>
    </row>
    <row r="1044">
      <c r="A1044" s="19">
        <v>11712.0</v>
      </c>
      <c r="B1044" s="19" t="s">
        <v>1076</v>
      </c>
      <c r="C1044" s="20">
        <v>20882.0</v>
      </c>
      <c r="D1044" s="19" t="str">
        <f t="shared" si="1"/>
        <v> </v>
      </c>
      <c r="E1044" s="19" t="str">
        <f t="shared" si="2"/>
        <v> </v>
      </c>
      <c r="F1044" s="21"/>
    </row>
    <row r="1045">
      <c r="A1045" s="19">
        <v>11714.0</v>
      </c>
      <c r="B1045" s="19" t="s">
        <v>1077</v>
      </c>
      <c r="C1045" s="20">
        <v>35372.0</v>
      </c>
      <c r="D1045" s="19" t="str">
        <f t="shared" si="1"/>
        <v> </v>
      </c>
      <c r="E1045" s="19" t="str">
        <f t="shared" si="2"/>
        <v> </v>
      </c>
      <c r="F1045" s="21"/>
    </row>
    <row r="1046">
      <c r="A1046" s="19">
        <v>11722.0</v>
      </c>
      <c r="B1046" s="19" t="s">
        <v>1078</v>
      </c>
      <c r="C1046" s="20">
        <v>21744.0</v>
      </c>
      <c r="D1046" s="19" t="str">
        <f t="shared" si="1"/>
        <v> </v>
      </c>
      <c r="E1046" s="19" t="str">
        <f t="shared" si="2"/>
        <v> </v>
      </c>
      <c r="F1046" s="21"/>
    </row>
    <row r="1047">
      <c r="A1047" s="19">
        <v>11725.0</v>
      </c>
      <c r="B1047" s="19" t="s">
        <v>1079</v>
      </c>
      <c r="C1047" s="20">
        <v>16824.0</v>
      </c>
      <c r="D1047" s="19" t="str">
        <f t="shared" si="1"/>
        <v> </v>
      </c>
      <c r="E1047" s="19" t="str">
        <f t="shared" si="2"/>
        <v> </v>
      </c>
      <c r="F1047" s="21"/>
    </row>
    <row r="1048">
      <c r="A1048" s="19">
        <v>11726.0</v>
      </c>
      <c r="B1048" s="19" t="s">
        <v>787</v>
      </c>
      <c r="C1048" s="20">
        <v>13924.0</v>
      </c>
      <c r="D1048" s="19" t="str">
        <f t="shared" si="1"/>
        <v>Repeat</v>
      </c>
      <c r="E1048" s="19" t="str">
        <f t="shared" si="2"/>
        <v> </v>
      </c>
      <c r="F1048" s="21"/>
    </row>
    <row r="1049">
      <c r="A1049" s="19">
        <v>11727.0</v>
      </c>
      <c r="B1049" s="19" t="s">
        <v>1080</v>
      </c>
      <c r="C1049" s="20">
        <v>17812.0</v>
      </c>
      <c r="D1049" s="19" t="str">
        <f t="shared" si="1"/>
        <v> </v>
      </c>
      <c r="E1049" s="19" t="str">
        <f t="shared" si="2"/>
        <v> </v>
      </c>
      <c r="F1049" s="21"/>
    </row>
    <row r="1050">
      <c r="A1050" s="19">
        <v>11728.0</v>
      </c>
      <c r="B1050" s="19" t="s">
        <v>1081</v>
      </c>
      <c r="C1050" s="20">
        <v>28621.0</v>
      </c>
      <c r="D1050" s="19" t="str">
        <f t="shared" si="1"/>
        <v> </v>
      </c>
      <c r="E1050" s="19" t="str">
        <f t="shared" si="2"/>
        <v> </v>
      </c>
      <c r="F1050" s="21"/>
    </row>
    <row r="1051">
      <c r="A1051" s="19">
        <v>11730.0</v>
      </c>
      <c r="B1051" s="19" t="s">
        <v>1082</v>
      </c>
      <c r="C1051" s="20">
        <v>23017.0</v>
      </c>
      <c r="D1051" s="19" t="str">
        <f t="shared" si="1"/>
        <v> </v>
      </c>
      <c r="E1051" s="19" t="str">
        <f t="shared" si="2"/>
        <v> </v>
      </c>
      <c r="F1051" s="21"/>
    </row>
    <row r="1052">
      <c r="A1052" s="19">
        <v>11733.0</v>
      </c>
      <c r="B1052" s="19" t="s">
        <v>1083</v>
      </c>
      <c r="C1052" s="20">
        <v>17813.0</v>
      </c>
      <c r="D1052" s="19" t="str">
        <f t="shared" si="1"/>
        <v> </v>
      </c>
      <c r="E1052" s="19" t="str">
        <f t="shared" si="2"/>
        <v> </v>
      </c>
      <c r="F1052" s="21"/>
    </row>
    <row r="1053">
      <c r="A1053" s="19">
        <v>11736.0</v>
      </c>
      <c r="B1053" s="19" t="s">
        <v>1084</v>
      </c>
      <c r="C1053" s="20">
        <v>21851.0</v>
      </c>
      <c r="D1053" s="19" t="str">
        <f t="shared" si="1"/>
        <v> </v>
      </c>
      <c r="E1053" s="19" t="str">
        <f t="shared" si="2"/>
        <v> </v>
      </c>
      <c r="F1053" s="21"/>
    </row>
    <row r="1054">
      <c r="A1054" s="19">
        <v>11738.0</v>
      </c>
      <c r="B1054" s="19" t="s">
        <v>1085</v>
      </c>
      <c r="C1054" s="20">
        <v>19881.0</v>
      </c>
      <c r="D1054" s="19" t="str">
        <f t="shared" si="1"/>
        <v> </v>
      </c>
      <c r="E1054" s="19" t="str">
        <f t="shared" si="2"/>
        <v> </v>
      </c>
      <c r="F1054" s="21"/>
    </row>
    <row r="1055">
      <c r="A1055" s="19">
        <v>11739.0</v>
      </c>
      <c r="B1055" s="19" t="s">
        <v>1086</v>
      </c>
      <c r="C1055" s="20">
        <v>23092.0</v>
      </c>
      <c r="D1055" s="19" t="str">
        <f t="shared" si="1"/>
        <v> </v>
      </c>
      <c r="E1055" s="19" t="str">
        <f t="shared" si="2"/>
        <v> </v>
      </c>
      <c r="F1055" s="21"/>
    </row>
    <row r="1056">
      <c r="A1056" s="19">
        <v>11740.0</v>
      </c>
      <c r="B1056" s="19" t="s">
        <v>1087</v>
      </c>
      <c r="C1056" s="20">
        <v>29491.0</v>
      </c>
      <c r="D1056" s="19" t="str">
        <f t="shared" si="1"/>
        <v> </v>
      </c>
      <c r="E1056" s="19" t="str">
        <f t="shared" si="2"/>
        <v> </v>
      </c>
      <c r="F1056" s="21"/>
    </row>
    <row r="1057">
      <c r="A1057" s="19">
        <v>11742.0</v>
      </c>
      <c r="B1057" s="19" t="s">
        <v>1088</v>
      </c>
      <c r="C1057" s="20">
        <v>18849.0</v>
      </c>
      <c r="D1057" s="19" t="str">
        <f t="shared" si="1"/>
        <v> </v>
      </c>
      <c r="E1057" s="19" t="str">
        <f t="shared" si="2"/>
        <v> </v>
      </c>
      <c r="F1057" s="21"/>
    </row>
    <row r="1058">
      <c r="A1058" s="19">
        <v>11745.0</v>
      </c>
      <c r="B1058" s="19" t="s">
        <v>1089</v>
      </c>
      <c r="C1058" s="20">
        <v>27819.0</v>
      </c>
      <c r="D1058" s="19" t="str">
        <f t="shared" si="1"/>
        <v> </v>
      </c>
      <c r="E1058" s="19" t="str">
        <f t="shared" si="2"/>
        <v> </v>
      </c>
      <c r="F1058" s="21"/>
    </row>
    <row r="1059">
      <c r="A1059" s="19">
        <v>11746.0</v>
      </c>
      <c r="B1059" s="19" t="s">
        <v>1090</v>
      </c>
      <c r="C1059" s="20">
        <v>11890.0</v>
      </c>
      <c r="D1059" s="19" t="str">
        <f t="shared" si="1"/>
        <v> </v>
      </c>
      <c r="E1059" s="19" t="str">
        <f t="shared" si="2"/>
        <v> </v>
      </c>
      <c r="F1059" s="21"/>
    </row>
    <row r="1060">
      <c r="A1060" s="19">
        <v>11748.0</v>
      </c>
      <c r="B1060" s="19" t="s">
        <v>1091</v>
      </c>
      <c r="C1060" s="20">
        <v>11882.0</v>
      </c>
      <c r="D1060" s="19" t="str">
        <f t="shared" si="1"/>
        <v> </v>
      </c>
      <c r="E1060" s="19" t="str">
        <f t="shared" si="2"/>
        <v> </v>
      </c>
      <c r="F1060" s="21"/>
    </row>
    <row r="1061">
      <c r="A1061" s="19">
        <v>11750.0</v>
      </c>
      <c r="B1061" s="19" t="s">
        <v>1092</v>
      </c>
      <c r="C1061" s="20">
        <v>22347.0</v>
      </c>
      <c r="D1061" s="19" t="str">
        <f t="shared" si="1"/>
        <v> </v>
      </c>
      <c r="E1061" s="19" t="str">
        <f t="shared" si="2"/>
        <v> </v>
      </c>
      <c r="F1061" s="21"/>
    </row>
    <row r="1062">
      <c r="A1062" s="19">
        <v>11752.0</v>
      </c>
      <c r="B1062" s="19" t="s">
        <v>1093</v>
      </c>
      <c r="C1062" s="20">
        <v>25601.0</v>
      </c>
      <c r="D1062" s="19" t="str">
        <f t="shared" si="1"/>
        <v> </v>
      </c>
      <c r="E1062" s="19" t="str">
        <f t="shared" si="2"/>
        <v> </v>
      </c>
      <c r="F1062" s="21"/>
    </row>
    <row r="1063">
      <c r="A1063" s="19">
        <v>11753.0</v>
      </c>
      <c r="B1063" s="19" t="s">
        <v>1094</v>
      </c>
      <c r="C1063" s="20">
        <v>15699.0</v>
      </c>
      <c r="D1063" s="19" t="str">
        <f t="shared" si="1"/>
        <v> </v>
      </c>
      <c r="E1063" s="19" t="str">
        <f t="shared" si="2"/>
        <v> </v>
      </c>
      <c r="F1063" s="21"/>
    </row>
    <row r="1064">
      <c r="A1064" s="19">
        <v>11756.0</v>
      </c>
      <c r="B1064" s="19" t="s">
        <v>1095</v>
      </c>
      <c r="C1064" s="20">
        <v>19495.0</v>
      </c>
      <c r="D1064" s="19" t="str">
        <f t="shared" si="1"/>
        <v> </v>
      </c>
      <c r="E1064" s="19" t="str">
        <f t="shared" si="2"/>
        <v> </v>
      </c>
      <c r="F1064" s="21"/>
    </row>
    <row r="1065">
      <c r="A1065" s="19">
        <v>11757.0</v>
      </c>
      <c r="B1065" s="19" t="s">
        <v>1096</v>
      </c>
      <c r="C1065" s="20">
        <v>24941.0</v>
      </c>
      <c r="D1065" s="19" t="str">
        <f t="shared" si="1"/>
        <v> </v>
      </c>
      <c r="E1065" s="19" t="str">
        <f t="shared" si="2"/>
        <v> </v>
      </c>
      <c r="F1065" s="21"/>
    </row>
    <row r="1066">
      <c r="A1066" s="19">
        <v>11758.0</v>
      </c>
      <c r="B1066" s="19" t="s">
        <v>1097</v>
      </c>
      <c r="C1066" s="20">
        <v>25478.0</v>
      </c>
      <c r="D1066" s="19" t="str">
        <f t="shared" si="1"/>
        <v> </v>
      </c>
      <c r="E1066" s="19" t="str">
        <f t="shared" si="2"/>
        <v> </v>
      </c>
      <c r="F1066" s="21"/>
    </row>
    <row r="1067">
      <c r="A1067" s="19">
        <v>11759.0</v>
      </c>
      <c r="B1067" s="19" t="s">
        <v>1098</v>
      </c>
      <c r="C1067" s="20">
        <v>20155.0</v>
      </c>
      <c r="D1067" s="19" t="str">
        <f t="shared" si="1"/>
        <v> </v>
      </c>
      <c r="E1067" s="19" t="str">
        <f t="shared" si="2"/>
        <v> </v>
      </c>
      <c r="F1067" s="21"/>
    </row>
    <row r="1068">
      <c r="A1068" s="19">
        <v>11760.0</v>
      </c>
      <c r="B1068" s="19" t="s">
        <v>1099</v>
      </c>
      <c r="C1068" s="20">
        <v>24502.0</v>
      </c>
      <c r="D1068" s="19" t="str">
        <f t="shared" si="1"/>
        <v> </v>
      </c>
      <c r="E1068" s="19" t="str">
        <f t="shared" si="2"/>
        <v> </v>
      </c>
      <c r="F1068" s="21"/>
    </row>
    <row r="1069">
      <c r="A1069" s="19">
        <v>11761.0</v>
      </c>
      <c r="B1069" s="19" t="s">
        <v>1100</v>
      </c>
      <c r="C1069" s="20">
        <v>32726.0</v>
      </c>
      <c r="D1069" s="19" t="str">
        <f t="shared" si="1"/>
        <v> </v>
      </c>
      <c r="E1069" s="19" t="str">
        <f t="shared" si="2"/>
        <v> </v>
      </c>
      <c r="F1069" s="21"/>
    </row>
    <row r="1070">
      <c r="A1070" s="19">
        <v>11762.0</v>
      </c>
      <c r="B1070" s="19" t="s">
        <v>1101</v>
      </c>
      <c r="C1070" s="20">
        <v>19920.0</v>
      </c>
      <c r="D1070" s="19" t="str">
        <f t="shared" si="1"/>
        <v> </v>
      </c>
      <c r="E1070" s="19" t="str">
        <f t="shared" si="2"/>
        <v> </v>
      </c>
      <c r="F1070" s="21"/>
    </row>
    <row r="1071">
      <c r="A1071" s="19">
        <v>11765.0</v>
      </c>
      <c r="B1071" s="19" t="s">
        <v>1102</v>
      </c>
      <c r="C1071" s="20">
        <v>29977.0</v>
      </c>
      <c r="D1071" s="19" t="str">
        <f t="shared" si="1"/>
        <v> </v>
      </c>
      <c r="E1071" s="19" t="str">
        <f t="shared" si="2"/>
        <v> </v>
      </c>
      <c r="F1071" s="21"/>
    </row>
    <row r="1072">
      <c r="A1072" s="19">
        <v>11767.0</v>
      </c>
      <c r="B1072" s="19" t="s">
        <v>1103</v>
      </c>
      <c r="C1072" s="20">
        <v>20969.0</v>
      </c>
      <c r="D1072" s="19" t="str">
        <f t="shared" si="1"/>
        <v> </v>
      </c>
      <c r="E1072" s="19" t="str">
        <f t="shared" si="2"/>
        <v> </v>
      </c>
      <c r="F1072" s="21"/>
    </row>
    <row r="1073">
      <c r="A1073" s="19">
        <v>11768.0</v>
      </c>
      <c r="B1073" s="19" t="s">
        <v>1104</v>
      </c>
      <c r="C1073" s="20">
        <v>15965.0</v>
      </c>
      <c r="D1073" s="19" t="str">
        <f t="shared" si="1"/>
        <v> </v>
      </c>
      <c r="E1073" s="19" t="str">
        <f t="shared" si="2"/>
        <v> </v>
      </c>
      <c r="F1073" s="21"/>
    </row>
    <row r="1074">
      <c r="A1074" s="19">
        <v>11771.0</v>
      </c>
      <c r="B1074" s="19" t="s">
        <v>1105</v>
      </c>
      <c r="C1074" s="20">
        <v>25056.0</v>
      </c>
      <c r="D1074" s="19" t="str">
        <f t="shared" si="1"/>
        <v> </v>
      </c>
      <c r="E1074" s="19" t="str">
        <f t="shared" si="2"/>
        <v> </v>
      </c>
      <c r="F1074" s="21"/>
    </row>
    <row r="1075">
      <c r="A1075" s="19">
        <v>11773.0</v>
      </c>
      <c r="B1075" s="19" t="s">
        <v>1106</v>
      </c>
      <c r="C1075" s="20">
        <v>32461.0</v>
      </c>
      <c r="D1075" s="19" t="str">
        <f t="shared" si="1"/>
        <v> </v>
      </c>
      <c r="E1075" s="19" t="str">
        <f t="shared" si="2"/>
        <v> </v>
      </c>
      <c r="F1075" s="21"/>
    </row>
    <row r="1076">
      <c r="A1076" s="19">
        <v>11774.0</v>
      </c>
      <c r="B1076" s="19" t="s">
        <v>1107</v>
      </c>
      <c r="C1076" s="20">
        <v>18512.0</v>
      </c>
      <c r="D1076" s="19" t="str">
        <f t="shared" si="1"/>
        <v> </v>
      </c>
      <c r="E1076" s="19" t="str">
        <f t="shared" si="2"/>
        <v> </v>
      </c>
      <c r="F1076" s="21"/>
    </row>
    <row r="1077">
      <c r="A1077" s="19">
        <v>11775.0</v>
      </c>
      <c r="B1077" s="19" t="s">
        <v>1108</v>
      </c>
      <c r="C1077" s="20">
        <v>20419.0</v>
      </c>
      <c r="D1077" s="19" t="str">
        <f t="shared" si="1"/>
        <v> </v>
      </c>
      <c r="E1077" s="19" t="str">
        <f t="shared" si="2"/>
        <v> </v>
      </c>
      <c r="F1077" s="21"/>
    </row>
    <row r="1078">
      <c r="A1078" s="19">
        <v>11776.0</v>
      </c>
      <c r="B1078" s="19" t="s">
        <v>1109</v>
      </c>
      <c r="C1078" s="20">
        <v>22580.0</v>
      </c>
      <c r="D1078" s="19" t="str">
        <f t="shared" si="1"/>
        <v> </v>
      </c>
      <c r="E1078" s="19" t="str">
        <f t="shared" si="2"/>
        <v> </v>
      </c>
      <c r="F1078" s="21"/>
    </row>
    <row r="1079">
      <c r="A1079" s="19">
        <v>11779.0</v>
      </c>
      <c r="B1079" s="19" t="s">
        <v>1110</v>
      </c>
      <c r="C1079" s="20">
        <v>20045.0</v>
      </c>
      <c r="D1079" s="19" t="str">
        <f t="shared" si="1"/>
        <v> </v>
      </c>
      <c r="E1079" s="19" t="str">
        <f t="shared" si="2"/>
        <v> </v>
      </c>
      <c r="F1079" s="21"/>
    </row>
    <row r="1080">
      <c r="A1080" s="19">
        <v>11780.0</v>
      </c>
      <c r="B1080" s="19" t="s">
        <v>1111</v>
      </c>
      <c r="C1080" s="20">
        <v>14584.0</v>
      </c>
      <c r="D1080" s="19" t="str">
        <f t="shared" si="1"/>
        <v> </v>
      </c>
      <c r="E1080" s="19" t="str">
        <f t="shared" si="2"/>
        <v> </v>
      </c>
      <c r="F1080" s="21"/>
    </row>
    <row r="1081">
      <c r="A1081" s="19">
        <v>11783.0</v>
      </c>
      <c r="B1081" s="19" t="s">
        <v>1112</v>
      </c>
      <c r="C1081" s="20">
        <v>19009.0</v>
      </c>
      <c r="D1081" s="19" t="str">
        <f t="shared" si="1"/>
        <v> </v>
      </c>
      <c r="E1081" s="19" t="str">
        <f t="shared" si="2"/>
        <v> </v>
      </c>
      <c r="F1081" s="21"/>
    </row>
    <row r="1082">
      <c r="A1082" s="19">
        <v>11784.0</v>
      </c>
      <c r="B1082" s="19" t="s">
        <v>1113</v>
      </c>
      <c r="C1082" s="20">
        <v>19631.0</v>
      </c>
      <c r="D1082" s="19" t="str">
        <f t="shared" si="1"/>
        <v> </v>
      </c>
      <c r="E1082" s="19" t="str">
        <f t="shared" si="2"/>
        <v> </v>
      </c>
      <c r="F1082" s="21"/>
    </row>
    <row r="1083">
      <c r="A1083" s="19">
        <v>11785.0</v>
      </c>
      <c r="B1083" s="19" t="s">
        <v>1114</v>
      </c>
      <c r="C1083" s="20">
        <v>25481.0</v>
      </c>
      <c r="D1083" s="19" t="str">
        <f t="shared" si="1"/>
        <v> </v>
      </c>
      <c r="E1083" s="19" t="str">
        <f t="shared" si="2"/>
        <v> </v>
      </c>
      <c r="F1083" s="21"/>
    </row>
    <row r="1084">
      <c r="A1084" s="19">
        <v>11789.0</v>
      </c>
      <c r="B1084" s="19" t="s">
        <v>1115</v>
      </c>
      <c r="C1084" s="20">
        <v>19572.0</v>
      </c>
      <c r="D1084" s="19" t="str">
        <f t="shared" si="1"/>
        <v> </v>
      </c>
      <c r="E1084" s="19" t="str">
        <f t="shared" si="2"/>
        <v> </v>
      </c>
      <c r="F1084" s="21"/>
    </row>
    <row r="1085">
      <c r="A1085" s="19">
        <v>11792.0</v>
      </c>
      <c r="B1085" s="19" t="s">
        <v>1116</v>
      </c>
      <c r="C1085" s="20">
        <v>20872.0</v>
      </c>
      <c r="D1085" s="19" t="str">
        <f t="shared" si="1"/>
        <v> </v>
      </c>
      <c r="E1085" s="19" t="str">
        <f t="shared" si="2"/>
        <v> </v>
      </c>
      <c r="F1085" s="21"/>
    </row>
    <row r="1086">
      <c r="A1086" s="19">
        <v>11793.0</v>
      </c>
      <c r="B1086" s="19" t="s">
        <v>1117</v>
      </c>
      <c r="C1086" s="20">
        <v>22185.0</v>
      </c>
      <c r="D1086" s="19" t="str">
        <f t="shared" si="1"/>
        <v> </v>
      </c>
      <c r="E1086" s="19" t="str">
        <f t="shared" si="2"/>
        <v> </v>
      </c>
      <c r="F1086" s="21"/>
    </row>
    <row r="1087">
      <c r="A1087" s="19">
        <v>11795.0</v>
      </c>
      <c r="B1087" s="19" t="s">
        <v>1118</v>
      </c>
      <c r="C1087" s="20">
        <v>18542.0</v>
      </c>
      <c r="D1087" s="19" t="str">
        <f t="shared" si="1"/>
        <v> </v>
      </c>
      <c r="E1087" s="19" t="str">
        <f t="shared" si="2"/>
        <v> </v>
      </c>
      <c r="F1087" s="21"/>
    </row>
    <row r="1088">
      <c r="A1088" s="19">
        <v>11796.0</v>
      </c>
      <c r="B1088" s="19" t="s">
        <v>1119</v>
      </c>
      <c r="C1088" s="20">
        <v>16124.0</v>
      </c>
      <c r="D1088" s="19" t="str">
        <f t="shared" si="1"/>
        <v> </v>
      </c>
      <c r="E1088" s="19" t="str">
        <f t="shared" si="2"/>
        <v> </v>
      </c>
      <c r="F1088" s="21"/>
    </row>
    <row r="1089">
      <c r="A1089" s="19">
        <v>11797.0</v>
      </c>
      <c r="B1089" s="19" t="s">
        <v>1120</v>
      </c>
      <c r="C1089" s="20">
        <v>22586.0</v>
      </c>
      <c r="D1089" s="19" t="str">
        <f t="shared" si="1"/>
        <v> </v>
      </c>
      <c r="E1089" s="19" t="str">
        <f t="shared" si="2"/>
        <v> </v>
      </c>
      <c r="F1089" s="21"/>
    </row>
    <row r="1090">
      <c r="A1090" s="19">
        <v>11798.0</v>
      </c>
      <c r="B1090" s="19" t="s">
        <v>1121</v>
      </c>
      <c r="C1090" s="20">
        <v>16818.0</v>
      </c>
      <c r="D1090" s="19" t="str">
        <f t="shared" si="1"/>
        <v> </v>
      </c>
      <c r="E1090" s="19" t="str">
        <f t="shared" si="2"/>
        <v> </v>
      </c>
      <c r="F1090" s="21"/>
    </row>
    <row r="1091">
      <c r="A1091" s="19">
        <v>11807.0</v>
      </c>
      <c r="B1091" s="19" t="s">
        <v>1122</v>
      </c>
      <c r="C1091" s="20">
        <v>20668.0</v>
      </c>
      <c r="D1091" s="19" t="str">
        <f t="shared" si="1"/>
        <v> </v>
      </c>
      <c r="E1091" s="19" t="str">
        <f t="shared" si="2"/>
        <v> </v>
      </c>
      <c r="F1091" s="21"/>
    </row>
    <row r="1092">
      <c r="A1092" s="19">
        <v>11809.0</v>
      </c>
      <c r="B1092" s="19" t="s">
        <v>1123</v>
      </c>
      <c r="C1092" s="20">
        <v>31660.0</v>
      </c>
      <c r="D1092" s="19" t="str">
        <f t="shared" si="1"/>
        <v> </v>
      </c>
      <c r="E1092" s="19" t="str">
        <f t="shared" si="2"/>
        <v> </v>
      </c>
      <c r="F1092" s="21"/>
    </row>
    <row r="1093">
      <c r="A1093" s="19">
        <v>11810.0</v>
      </c>
      <c r="B1093" s="19" t="s">
        <v>1124</v>
      </c>
      <c r="C1093" s="20">
        <v>18025.0</v>
      </c>
      <c r="D1093" s="19" t="str">
        <f t="shared" si="1"/>
        <v> </v>
      </c>
      <c r="E1093" s="19" t="str">
        <f t="shared" si="2"/>
        <v> </v>
      </c>
      <c r="F1093" s="21"/>
    </row>
    <row r="1094">
      <c r="A1094" s="19">
        <v>11812.0</v>
      </c>
      <c r="B1094" s="19" t="s">
        <v>1125</v>
      </c>
      <c r="C1094" s="20">
        <v>31323.0</v>
      </c>
      <c r="D1094" s="19" t="str">
        <f t="shared" si="1"/>
        <v> </v>
      </c>
      <c r="E1094" s="19" t="str">
        <f t="shared" si="2"/>
        <v> </v>
      </c>
      <c r="F1094" s="21"/>
    </row>
    <row r="1095">
      <c r="A1095" s="19">
        <v>11814.0</v>
      </c>
      <c r="B1095" s="19" t="s">
        <v>1126</v>
      </c>
      <c r="C1095" s="20">
        <v>15858.0</v>
      </c>
      <c r="D1095" s="19" t="str">
        <f t="shared" si="1"/>
        <v>Repeat</v>
      </c>
      <c r="E1095" s="19" t="str">
        <f t="shared" si="2"/>
        <v> </v>
      </c>
      <c r="F1095" s="21"/>
    </row>
    <row r="1096">
      <c r="A1096" s="19">
        <v>11821.0</v>
      </c>
      <c r="B1096" s="19" t="s">
        <v>1127</v>
      </c>
      <c r="C1096" s="20">
        <v>10226.0</v>
      </c>
      <c r="D1096" s="19" t="str">
        <f t="shared" si="1"/>
        <v> </v>
      </c>
      <c r="E1096" s="19" t="str">
        <f t="shared" si="2"/>
        <v> </v>
      </c>
      <c r="F1096" s="21"/>
    </row>
    <row r="1097">
      <c r="A1097" s="19">
        <v>11823.0</v>
      </c>
      <c r="B1097" s="19" t="s">
        <v>1128</v>
      </c>
      <c r="C1097" s="20">
        <v>20613.0</v>
      </c>
      <c r="D1097" s="19" t="str">
        <f t="shared" si="1"/>
        <v> </v>
      </c>
      <c r="E1097" s="19" t="str">
        <f t="shared" si="2"/>
        <v> </v>
      </c>
      <c r="F1097" s="21"/>
    </row>
    <row r="1098">
      <c r="A1098" s="19">
        <v>11825.0</v>
      </c>
      <c r="B1098" s="19" t="s">
        <v>1129</v>
      </c>
      <c r="C1098" s="20">
        <v>15279.0</v>
      </c>
      <c r="D1098" s="19" t="str">
        <f t="shared" si="1"/>
        <v> </v>
      </c>
      <c r="E1098" s="19" t="str">
        <f t="shared" si="2"/>
        <v> </v>
      </c>
      <c r="F1098" s="21"/>
    </row>
    <row r="1099">
      <c r="A1099" s="19">
        <v>11826.0</v>
      </c>
      <c r="B1099" s="19" t="s">
        <v>1130</v>
      </c>
      <c r="C1099" s="20">
        <v>26116.0</v>
      </c>
      <c r="D1099" s="19" t="str">
        <f t="shared" si="1"/>
        <v> </v>
      </c>
      <c r="E1099" s="19" t="str">
        <f t="shared" si="2"/>
        <v> </v>
      </c>
      <c r="F1099" s="21"/>
    </row>
    <row r="1100">
      <c r="A1100" s="19">
        <v>11827.0</v>
      </c>
      <c r="B1100" s="19" t="s">
        <v>1131</v>
      </c>
      <c r="C1100" s="20">
        <v>30145.0</v>
      </c>
      <c r="D1100" s="19" t="str">
        <f t="shared" si="1"/>
        <v> </v>
      </c>
      <c r="E1100" s="19" t="str">
        <f t="shared" si="2"/>
        <v> </v>
      </c>
      <c r="F1100" s="21"/>
    </row>
    <row r="1101">
      <c r="A1101" s="19">
        <v>11828.0</v>
      </c>
      <c r="B1101" s="19" t="s">
        <v>1132</v>
      </c>
      <c r="C1101" s="20">
        <v>29959.0</v>
      </c>
      <c r="D1101" s="19" t="str">
        <f t="shared" si="1"/>
        <v> </v>
      </c>
      <c r="E1101" s="19" t="str">
        <f t="shared" si="2"/>
        <v> </v>
      </c>
      <c r="F1101" s="21"/>
    </row>
    <row r="1102">
      <c r="A1102" s="19">
        <v>11829.0</v>
      </c>
      <c r="B1102" s="19" t="s">
        <v>1133</v>
      </c>
      <c r="C1102" s="20">
        <v>23698.0</v>
      </c>
      <c r="D1102" s="19" t="str">
        <f t="shared" si="1"/>
        <v> </v>
      </c>
      <c r="E1102" s="19" t="str">
        <f t="shared" si="2"/>
        <v> </v>
      </c>
      <c r="F1102" s="21"/>
    </row>
    <row r="1103">
      <c r="A1103" s="19">
        <v>11830.0</v>
      </c>
      <c r="B1103" s="19" t="s">
        <v>1134</v>
      </c>
      <c r="C1103" s="20">
        <v>28760.0</v>
      </c>
      <c r="D1103" s="19" t="str">
        <f t="shared" si="1"/>
        <v> </v>
      </c>
      <c r="E1103" s="19" t="str">
        <f t="shared" si="2"/>
        <v> </v>
      </c>
      <c r="F1103" s="21"/>
    </row>
    <row r="1104">
      <c r="A1104" s="19">
        <v>11831.0</v>
      </c>
      <c r="B1104" s="19" t="s">
        <v>1135</v>
      </c>
      <c r="C1104" s="20">
        <v>26933.0</v>
      </c>
      <c r="D1104" s="19" t="str">
        <f t="shared" si="1"/>
        <v> </v>
      </c>
      <c r="E1104" s="19" t="str">
        <f t="shared" si="2"/>
        <v> </v>
      </c>
      <c r="F1104" s="21"/>
    </row>
    <row r="1105">
      <c r="A1105" s="19">
        <v>11832.0</v>
      </c>
      <c r="B1105" s="19" t="s">
        <v>1136</v>
      </c>
      <c r="C1105" s="20">
        <v>15739.0</v>
      </c>
      <c r="D1105" s="19" t="str">
        <f t="shared" si="1"/>
        <v> </v>
      </c>
      <c r="E1105" s="19" t="str">
        <f t="shared" si="2"/>
        <v> </v>
      </c>
      <c r="F1105" s="21"/>
    </row>
    <row r="1106">
      <c r="A1106" s="19">
        <v>11834.0</v>
      </c>
      <c r="B1106" s="19" t="s">
        <v>1137</v>
      </c>
      <c r="C1106" s="20">
        <v>18601.0</v>
      </c>
      <c r="D1106" s="19" t="str">
        <f t="shared" si="1"/>
        <v> </v>
      </c>
      <c r="E1106" s="19" t="str">
        <f t="shared" si="2"/>
        <v> </v>
      </c>
      <c r="F1106" s="21"/>
    </row>
    <row r="1107">
      <c r="A1107" s="19">
        <v>11836.0</v>
      </c>
      <c r="B1107" s="19" t="s">
        <v>1138</v>
      </c>
      <c r="C1107" s="20">
        <v>24032.0</v>
      </c>
      <c r="D1107" s="19" t="str">
        <f t="shared" si="1"/>
        <v> </v>
      </c>
      <c r="E1107" s="19" t="str">
        <f t="shared" si="2"/>
        <v> </v>
      </c>
      <c r="F1107" s="21"/>
    </row>
    <row r="1108">
      <c r="A1108" s="19">
        <v>11838.0</v>
      </c>
      <c r="B1108" s="19" t="s">
        <v>1139</v>
      </c>
      <c r="C1108" s="20">
        <v>19961.0</v>
      </c>
      <c r="D1108" s="19" t="str">
        <f t="shared" si="1"/>
        <v> </v>
      </c>
      <c r="E1108" s="19" t="str">
        <f t="shared" si="2"/>
        <v> </v>
      </c>
      <c r="F1108" s="21"/>
    </row>
    <row r="1109">
      <c r="A1109" s="19">
        <v>11839.0</v>
      </c>
      <c r="B1109" s="19" t="s">
        <v>1140</v>
      </c>
      <c r="C1109" s="20">
        <v>21503.0</v>
      </c>
      <c r="D1109" s="19" t="str">
        <f t="shared" si="1"/>
        <v> </v>
      </c>
      <c r="E1109" s="19" t="str">
        <f t="shared" si="2"/>
        <v> </v>
      </c>
      <c r="F1109" s="21"/>
    </row>
    <row r="1110">
      <c r="A1110" s="19">
        <v>11840.0</v>
      </c>
      <c r="B1110" s="19" t="s">
        <v>1141</v>
      </c>
      <c r="C1110" s="20">
        <v>16356.0</v>
      </c>
      <c r="D1110" s="19" t="str">
        <f t="shared" si="1"/>
        <v> </v>
      </c>
      <c r="E1110" s="19" t="str">
        <f t="shared" si="2"/>
        <v> </v>
      </c>
      <c r="F1110" s="21"/>
    </row>
    <row r="1111">
      <c r="A1111" s="19">
        <v>11842.0</v>
      </c>
      <c r="B1111" s="19" t="s">
        <v>1142</v>
      </c>
      <c r="C1111" s="20">
        <v>33372.0</v>
      </c>
      <c r="D1111" s="19" t="str">
        <f t="shared" si="1"/>
        <v> </v>
      </c>
      <c r="E1111" s="19" t="str">
        <f t="shared" si="2"/>
        <v> </v>
      </c>
      <c r="F1111" s="21"/>
    </row>
    <row r="1112">
      <c r="A1112" s="19">
        <v>11843.0</v>
      </c>
      <c r="B1112" s="19" t="s">
        <v>1143</v>
      </c>
      <c r="C1112" s="20">
        <v>14047.0</v>
      </c>
      <c r="D1112" s="19" t="str">
        <f t="shared" si="1"/>
        <v> </v>
      </c>
      <c r="E1112" s="19" t="str">
        <f t="shared" si="2"/>
        <v> </v>
      </c>
      <c r="F1112" s="21"/>
    </row>
    <row r="1113">
      <c r="A1113" s="19">
        <v>11845.0</v>
      </c>
      <c r="B1113" s="19" t="s">
        <v>1144</v>
      </c>
      <c r="C1113" s="20">
        <v>29574.0</v>
      </c>
      <c r="D1113" s="19" t="str">
        <f t="shared" si="1"/>
        <v> </v>
      </c>
      <c r="E1113" s="19" t="str">
        <f t="shared" si="2"/>
        <v> </v>
      </c>
      <c r="F1113" s="21"/>
    </row>
    <row r="1114">
      <c r="A1114" s="19">
        <v>11846.0</v>
      </c>
      <c r="B1114" s="19" t="s">
        <v>1145</v>
      </c>
      <c r="C1114" s="20">
        <v>20600.0</v>
      </c>
      <c r="D1114" s="19" t="str">
        <f t="shared" si="1"/>
        <v> </v>
      </c>
      <c r="E1114" s="19" t="str">
        <f t="shared" si="2"/>
        <v> </v>
      </c>
      <c r="F1114" s="21"/>
    </row>
    <row r="1115">
      <c r="A1115" s="19">
        <v>11852.0</v>
      </c>
      <c r="B1115" s="19" t="s">
        <v>1146</v>
      </c>
      <c r="C1115" s="20">
        <v>12931.0</v>
      </c>
      <c r="D1115" s="19" t="str">
        <f t="shared" si="1"/>
        <v> </v>
      </c>
      <c r="E1115" s="19" t="str">
        <f t="shared" si="2"/>
        <v> </v>
      </c>
      <c r="F1115" s="21"/>
    </row>
    <row r="1116">
      <c r="A1116" s="19">
        <v>11853.0</v>
      </c>
      <c r="B1116" s="19" t="s">
        <v>1147</v>
      </c>
      <c r="C1116" s="20">
        <v>18889.0</v>
      </c>
      <c r="D1116" s="19" t="str">
        <f t="shared" si="1"/>
        <v> </v>
      </c>
      <c r="E1116" s="19" t="str">
        <f t="shared" si="2"/>
        <v> </v>
      </c>
      <c r="F1116" s="21"/>
    </row>
    <row r="1117">
      <c r="A1117" s="19">
        <v>11854.0</v>
      </c>
      <c r="B1117" s="19" t="s">
        <v>1148</v>
      </c>
      <c r="C1117" s="20">
        <v>18592.0</v>
      </c>
      <c r="D1117" s="19" t="str">
        <f t="shared" si="1"/>
        <v> </v>
      </c>
      <c r="E1117" s="19" t="str">
        <f t="shared" si="2"/>
        <v> </v>
      </c>
      <c r="F1117" s="21"/>
    </row>
    <row r="1118">
      <c r="A1118" s="19">
        <v>11855.0</v>
      </c>
      <c r="B1118" s="19" t="s">
        <v>1149</v>
      </c>
      <c r="C1118" s="20">
        <v>19143.0</v>
      </c>
      <c r="D1118" s="19" t="str">
        <f t="shared" si="1"/>
        <v> </v>
      </c>
      <c r="E1118" s="19" t="str">
        <f t="shared" si="2"/>
        <v> </v>
      </c>
      <c r="F1118" s="21"/>
    </row>
    <row r="1119">
      <c r="A1119" s="19">
        <v>11856.0</v>
      </c>
      <c r="B1119" s="19" t="s">
        <v>1150</v>
      </c>
      <c r="C1119" s="20">
        <v>23707.0</v>
      </c>
      <c r="D1119" s="19" t="str">
        <f t="shared" si="1"/>
        <v> </v>
      </c>
      <c r="E1119" s="19" t="str">
        <f t="shared" si="2"/>
        <v> </v>
      </c>
      <c r="F1119" s="21"/>
    </row>
    <row r="1120">
      <c r="A1120" s="19">
        <v>11857.0</v>
      </c>
      <c r="B1120" s="19" t="s">
        <v>1151</v>
      </c>
      <c r="C1120" s="20">
        <v>13897.0</v>
      </c>
      <c r="D1120" s="19" t="str">
        <f t="shared" si="1"/>
        <v> </v>
      </c>
      <c r="E1120" s="19" t="str">
        <f t="shared" si="2"/>
        <v> </v>
      </c>
      <c r="F1120" s="21"/>
    </row>
    <row r="1121">
      <c r="A1121" s="19">
        <v>11858.0</v>
      </c>
      <c r="B1121" s="19" t="s">
        <v>1152</v>
      </c>
      <c r="C1121" s="20">
        <v>26372.0</v>
      </c>
      <c r="D1121" s="19" t="str">
        <f t="shared" si="1"/>
        <v> </v>
      </c>
      <c r="E1121" s="19" t="str">
        <f t="shared" si="2"/>
        <v> </v>
      </c>
      <c r="F1121" s="21"/>
    </row>
    <row r="1122">
      <c r="A1122" s="19">
        <v>11859.0</v>
      </c>
      <c r="B1122" s="19" t="s">
        <v>1153</v>
      </c>
      <c r="C1122" s="20">
        <v>13055.0</v>
      </c>
      <c r="D1122" s="19" t="str">
        <f t="shared" si="1"/>
        <v> </v>
      </c>
      <c r="E1122" s="19" t="str">
        <f t="shared" si="2"/>
        <v> </v>
      </c>
      <c r="F1122" s="21"/>
    </row>
    <row r="1123">
      <c r="A1123" s="19">
        <v>11860.0</v>
      </c>
      <c r="B1123" s="19" t="s">
        <v>1154</v>
      </c>
      <c r="C1123" s="20">
        <v>25429.0</v>
      </c>
      <c r="D1123" s="19" t="str">
        <f t="shared" si="1"/>
        <v> </v>
      </c>
      <c r="E1123" s="19" t="str">
        <f t="shared" si="2"/>
        <v> </v>
      </c>
      <c r="F1123" s="21"/>
    </row>
    <row r="1124">
      <c r="A1124" s="19">
        <v>11861.0</v>
      </c>
      <c r="B1124" s="19" t="s">
        <v>1155</v>
      </c>
      <c r="C1124" s="20">
        <v>18854.0</v>
      </c>
      <c r="D1124" s="19" t="str">
        <f t="shared" si="1"/>
        <v> </v>
      </c>
      <c r="E1124" s="19" t="str">
        <f t="shared" si="2"/>
        <v> </v>
      </c>
      <c r="F1124" s="21"/>
    </row>
    <row r="1125">
      <c r="A1125" s="19">
        <v>11862.0</v>
      </c>
      <c r="B1125" s="19" t="s">
        <v>1156</v>
      </c>
      <c r="C1125" s="20">
        <v>19416.0</v>
      </c>
      <c r="D1125" s="19" t="str">
        <f t="shared" si="1"/>
        <v> </v>
      </c>
      <c r="E1125" s="19" t="str">
        <f t="shared" si="2"/>
        <v> </v>
      </c>
      <c r="F1125" s="21"/>
    </row>
    <row r="1126">
      <c r="A1126" s="19">
        <v>11864.0</v>
      </c>
      <c r="B1126" s="19" t="s">
        <v>1157</v>
      </c>
      <c r="C1126" s="20">
        <v>15051.0</v>
      </c>
      <c r="D1126" s="19" t="str">
        <f t="shared" si="1"/>
        <v> </v>
      </c>
      <c r="E1126" s="19" t="str">
        <f t="shared" si="2"/>
        <v> </v>
      </c>
      <c r="F1126" s="21"/>
    </row>
    <row r="1127">
      <c r="A1127" s="19">
        <v>11865.0</v>
      </c>
      <c r="B1127" s="19" t="s">
        <v>1158</v>
      </c>
      <c r="C1127" s="20">
        <v>25554.0</v>
      </c>
      <c r="D1127" s="19" t="str">
        <f t="shared" si="1"/>
        <v> </v>
      </c>
      <c r="E1127" s="19" t="str">
        <f t="shared" si="2"/>
        <v> </v>
      </c>
      <c r="F1127" s="21"/>
    </row>
    <row r="1128">
      <c r="A1128" s="19">
        <v>11866.0</v>
      </c>
      <c r="B1128" s="19" t="s">
        <v>1159</v>
      </c>
      <c r="C1128" s="20">
        <v>23371.0</v>
      </c>
      <c r="D1128" s="19" t="str">
        <f t="shared" si="1"/>
        <v> </v>
      </c>
      <c r="E1128" s="19" t="str">
        <f t="shared" si="2"/>
        <v> </v>
      </c>
      <c r="F1128" s="21"/>
    </row>
    <row r="1129">
      <c r="A1129" s="19">
        <v>11869.0</v>
      </c>
      <c r="B1129" s="19" t="s">
        <v>1160</v>
      </c>
      <c r="C1129" s="20">
        <v>19349.0</v>
      </c>
      <c r="D1129" s="19" t="str">
        <f t="shared" si="1"/>
        <v> </v>
      </c>
      <c r="E1129" s="19" t="str">
        <f t="shared" si="2"/>
        <v> </v>
      </c>
      <c r="F1129" s="21"/>
    </row>
    <row r="1130">
      <c r="A1130" s="19">
        <v>11870.0</v>
      </c>
      <c r="B1130" s="19" t="s">
        <v>1161</v>
      </c>
      <c r="C1130" s="20">
        <v>22904.0</v>
      </c>
      <c r="D1130" s="19" t="str">
        <f t="shared" si="1"/>
        <v> </v>
      </c>
      <c r="E1130" s="19" t="str">
        <f t="shared" si="2"/>
        <v> </v>
      </c>
      <c r="F1130" s="21"/>
    </row>
    <row r="1131">
      <c r="A1131" s="19">
        <v>11872.0</v>
      </c>
      <c r="B1131" s="19" t="s">
        <v>1162</v>
      </c>
      <c r="C1131" s="20">
        <v>27804.0</v>
      </c>
      <c r="D1131" s="19" t="str">
        <f t="shared" si="1"/>
        <v> </v>
      </c>
      <c r="E1131" s="19" t="str">
        <f t="shared" si="2"/>
        <v> </v>
      </c>
      <c r="F1131" s="21"/>
    </row>
    <row r="1132">
      <c r="A1132" s="19">
        <v>11873.0</v>
      </c>
      <c r="B1132" s="19" t="s">
        <v>1163</v>
      </c>
      <c r="C1132" s="20">
        <v>27774.0</v>
      </c>
      <c r="D1132" s="19" t="str">
        <f t="shared" si="1"/>
        <v> </v>
      </c>
      <c r="E1132" s="19" t="str">
        <f t="shared" si="2"/>
        <v> </v>
      </c>
      <c r="F1132" s="21"/>
    </row>
    <row r="1133">
      <c r="A1133" s="19">
        <v>11875.0</v>
      </c>
      <c r="B1133" s="19" t="s">
        <v>1164</v>
      </c>
      <c r="C1133" s="20">
        <v>23872.0</v>
      </c>
      <c r="D1133" s="19" t="str">
        <f t="shared" si="1"/>
        <v> </v>
      </c>
      <c r="E1133" s="19" t="str">
        <f t="shared" si="2"/>
        <v> </v>
      </c>
      <c r="F1133" s="21"/>
    </row>
    <row r="1134">
      <c r="A1134" s="19">
        <v>11877.0</v>
      </c>
      <c r="B1134" s="19" t="s">
        <v>1165</v>
      </c>
      <c r="C1134" s="20">
        <v>19584.0</v>
      </c>
      <c r="D1134" s="19" t="str">
        <f t="shared" si="1"/>
        <v> </v>
      </c>
      <c r="E1134" s="19" t="str">
        <f t="shared" si="2"/>
        <v> </v>
      </c>
      <c r="F1134" s="21"/>
    </row>
    <row r="1135">
      <c r="A1135" s="19">
        <v>11878.0</v>
      </c>
      <c r="B1135" s="19" t="s">
        <v>1166</v>
      </c>
      <c r="C1135" s="20">
        <v>13028.0</v>
      </c>
      <c r="D1135" s="19" t="str">
        <f t="shared" si="1"/>
        <v> </v>
      </c>
      <c r="E1135" s="19" t="str">
        <f t="shared" si="2"/>
        <v> </v>
      </c>
      <c r="F1135" s="21"/>
    </row>
    <row r="1136">
      <c r="A1136" s="19">
        <v>11879.0</v>
      </c>
      <c r="B1136" s="19" t="s">
        <v>1167</v>
      </c>
      <c r="C1136" s="20">
        <v>22467.0</v>
      </c>
      <c r="D1136" s="19" t="str">
        <f t="shared" si="1"/>
        <v> </v>
      </c>
      <c r="E1136" s="19" t="str">
        <f t="shared" si="2"/>
        <v> </v>
      </c>
      <c r="F1136" s="21"/>
    </row>
    <row r="1137">
      <c r="A1137" s="19">
        <v>11880.0</v>
      </c>
      <c r="B1137" s="19" t="s">
        <v>1168</v>
      </c>
      <c r="C1137" s="20">
        <v>21481.0</v>
      </c>
      <c r="D1137" s="19" t="str">
        <f t="shared" si="1"/>
        <v> </v>
      </c>
      <c r="E1137" s="19" t="str">
        <f t="shared" si="2"/>
        <v> </v>
      </c>
      <c r="F1137" s="21"/>
    </row>
    <row r="1138">
      <c r="A1138" s="19">
        <v>11881.0</v>
      </c>
      <c r="B1138" s="19" t="s">
        <v>1169</v>
      </c>
      <c r="C1138" s="20">
        <v>14449.0</v>
      </c>
      <c r="D1138" s="19" t="str">
        <f t="shared" si="1"/>
        <v> </v>
      </c>
      <c r="E1138" s="19" t="str">
        <f t="shared" si="2"/>
        <v> </v>
      </c>
      <c r="F1138" s="21"/>
    </row>
    <row r="1139">
      <c r="A1139" s="19">
        <v>11882.0</v>
      </c>
      <c r="B1139" s="19" t="s">
        <v>1170</v>
      </c>
      <c r="C1139" s="20">
        <v>20745.0</v>
      </c>
      <c r="D1139" s="19" t="str">
        <f t="shared" si="1"/>
        <v> </v>
      </c>
      <c r="E1139" s="19" t="str">
        <f t="shared" si="2"/>
        <v> </v>
      </c>
      <c r="F1139" s="21"/>
    </row>
    <row r="1140">
      <c r="A1140" s="19">
        <v>11883.0</v>
      </c>
      <c r="B1140" s="19" t="s">
        <v>1171</v>
      </c>
      <c r="C1140" s="20">
        <v>18355.0</v>
      </c>
      <c r="D1140" s="19" t="str">
        <f t="shared" si="1"/>
        <v> </v>
      </c>
      <c r="E1140" s="19" t="str">
        <f t="shared" si="2"/>
        <v> </v>
      </c>
      <c r="F1140" s="21"/>
    </row>
    <row r="1141">
      <c r="A1141" s="19">
        <v>11884.0</v>
      </c>
      <c r="B1141" s="19" t="s">
        <v>1172</v>
      </c>
      <c r="C1141" s="20">
        <v>23150.0</v>
      </c>
      <c r="D1141" s="19" t="str">
        <f t="shared" si="1"/>
        <v> </v>
      </c>
      <c r="E1141" s="19" t="str">
        <f t="shared" si="2"/>
        <v> </v>
      </c>
      <c r="F1141" s="21"/>
    </row>
    <row r="1142">
      <c r="A1142" s="19">
        <v>11885.0</v>
      </c>
      <c r="B1142" s="19" t="s">
        <v>1173</v>
      </c>
      <c r="C1142" s="20">
        <v>22135.0</v>
      </c>
      <c r="D1142" s="19" t="str">
        <f t="shared" si="1"/>
        <v> </v>
      </c>
      <c r="E1142" s="19" t="str">
        <f t="shared" si="2"/>
        <v> </v>
      </c>
      <c r="F1142" s="21"/>
    </row>
    <row r="1143">
      <c r="A1143" s="19">
        <v>11886.0</v>
      </c>
      <c r="B1143" s="19" t="s">
        <v>1174</v>
      </c>
      <c r="C1143" s="20">
        <v>25520.0</v>
      </c>
      <c r="D1143" s="19" t="str">
        <f t="shared" si="1"/>
        <v>Repeat</v>
      </c>
      <c r="E1143" s="19" t="str">
        <f t="shared" si="2"/>
        <v> </v>
      </c>
      <c r="F1143" s="21"/>
    </row>
    <row r="1144">
      <c r="A1144" s="19">
        <v>11887.0</v>
      </c>
      <c r="B1144" s="19" t="s">
        <v>1175</v>
      </c>
      <c r="C1144" s="20">
        <v>21513.0</v>
      </c>
      <c r="D1144" s="19" t="str">
        <f t="shared" si="1"/>
        <v> </v>
      </c>
      <c r="E1144" s="19" t="str">
        <f t="shared" si="2"/>
        <v> </v>
      </c>
      <c r="F1144" s="21"/>
    </row>
    <row r="1145">
      <c r="A1145" s="19">
        <v>11889.0</v>
      </c>
      <c r="B1145" s="19" t="s">
        <v>1176</v>
      </c>
      <c r="C1145" s="20">
        <v>23734.0</v>
      </c>
      <c r="D1145" s="19" t="str">
        <f t="shared" si="1"/>
        <v> </v>
      </c>
      <c r="E1145" s="19" t="str">
        <f t="shared" si="2"/>
        <v> </v>
      </c>
      <c r="F1145" s="21"/>
    </row>
    <row r="1146">
      <c r="A1146" s="19">
        <v>11891.0</v>
      </c>
      <c r="B1146" s="19" t="s">
        <v>1177</v>
      </c>
      <c r="C1146" s="20">
        <v>25961.0</v>
      </c>
      <c r="D1146" s="19" t="str">
        <f t="shared" si="1"/>
        <v> </v>
      </c>
      <c r="E1146" s="19" t="str">
        <f t="shared" si="2"/>
        <v> </v>
      </c>
      <c r="F1146" s="21"/>
    </row>
    <row r="1147">
      <c r="A1147" s="19">
        <v>11895.0</v>
      </c>
      <c r="B1147" s="19" t="s">
        <v>1178</v>
      </c>
      <c r="C1147" s="20">
        <v>23951.0</v>
      </c>
      <c r="D1147" s="19" t="str">
        <f t="shared" si="1"/>
        <v> </v>
      </c>
      <c r="E1147" s="19" t="str">
        <f t="shared" si="2"/>
        <v> </v>
      </c>
      <c r="F1147" s="21"/>
    </row>
    <row r="1148">
      <c r="A1148" s="19">
        <v>11901.0</v>
      </c>
      <c r="B1148" s="19" t="s">
        <v>1179</v>
      </c>
      <c r="C1148" s="20">
        <v>27212.0</v>
      </c>
      <c r="D1148" s="19" t="str">
        <f t="shared" si="1"/>
        <v> </v>
      </c>
      <c r="E1148" s="19" t="str">
        <f t="shared" si="2"/>
        <v> </v>
      </c>
      <c r="F1148" s="21"/>
    </row>
    <row r="1149">
      <c r="A1149" s="19">
        <v>11903.0</v>
      </c>
      <c r="B1149" s="19" t="s">
        <v>1180</v>
      </c>
      <c r="C1149" s="20">
        <v>21184.0</v>
      </c>
      <c r="D1149" s="19" t="str">
        <f t="shared" si="1"/>
        <v> </v>
      </c>
      <c r="E1149" s="19" t="str">
        <f t="shared" si="2"/>
        <v> </v>
      </c>
      <c r="F1149" s="21"/>
    </row>
    <row r="1150">
      <c r="A1150" s="19">
        <v>11904.0</v>
      </c>
      <c r="B1150" s="19" t="s">
        <v>1181</v>
      </c>
      <c r="C1150" s="20">
        <v>16394.0</v>
      </c>
      <c r="D1150" s="19" t="str">
        <f t="shared" si="1"/>
        <v> </v>
      </c>
      <c r="E1150" s="19" t="str">
        <f t="shared" si="2"/>
        <v> </v>
      </c>
      <c r="F1150" s="21"/>
    </row>
    <row r="1151">
      <c r="A1151" s="19">
        <v>11906.0</v>
      </c>
      <c r="B1151" s="19" t="s">
        <v>1182</v>
      </c>
      <c r="C1151" s="20">
        <v>22067.0</v>
      </c>
      <c r="D1151" s="19" t="str">
        <f t="shared" si="1"/>
        <v> </v>
      </c>
      <c r="E1151" s="19" t="str">
        <f t="shared" si="2"/>
        <v> </v>
      </c>
      <c r="F1151" s="21"/>
    </row>
    <row r="1152">
      <c r="A1152" s="19">
        <v>11907.0</v>
      </c>
      <c r="B1152" s="19" t="s">
        <v>1183</v>
      </c>
      <c r="C1152" s="20">
        <v>25420.0</v>
      </c>
      <c r="D1152" s="19" t="str">
        <f t="shared" si="1"/>
        <v> </v>
      </c>
      <c r="E1152" s="19" t="str">
        <f t="shared" si="2"/>
        <v> </v>
      </c>
      <c r="F1152" s="21"/>
    </row>
    <row r="1153">
      <c r="A1153" s="19">
        <v>11910.0</v>
      </c>
      <c r="B1153" s="19" t="s">
        <v>1184</v>
      </c>
      <c r="C1153" s="20">
        <v>25986.0</v>
      </c>
      <c r="D1153" s="19" t="str">
        <f t="shared" si="1"/>
        <v> </v>
      </c>
      <c r="E1153" s="19" t="str">
        <f t="shared" si="2"/>
        <v> </v>
      </c>
      <c r="F1153" s="21"/>
    </row>
    <row r="1154">
      <c r="A1154" s="19">
        <v>11913.0</v>
      </c>
      <c r="B1154" s="19" t="s">
        <v>1185</v>
      </c>
      <c r="C1154" s="20">
        <v>24727.0</v>
      </c>
      <c r="D1154" s="19" t="str">
        <f t="shared" si="1"/>
        <v> </v>
      </c>
      <c r="E1154" s="19" t="str">
        <f t="shared" si="2"/>
        <v> </v>
      </c>
      <c r="F1154" s="21"/>
    </row>
    <row r="1155">
      <c r="A1155" s="19">
        <v>11919.0</v>
      </c>
      <c r="B1155" s="19" t="s">
        <v>1186</v>
      </c>
      <c r="C1155" s="20">
        <v>13859.0</v>
      </c>
      <c r="D1155" s="19" t="str">
        <f t="shared" si="1"/>
        <v> </v>
      </c>
      <c r="E1155" s="19" t="str">
        <f t="shared" si="2"/>
        <v> </v>
      </c>
      <c r="F1155" s="21"/>
    </row>
    <row r="1156">
      <c r="A1156" s="19">
        <v>11921.0</v>
      </c>
      <c r="B1156" s="19" t="s">
        <v>1187</v>
      </c>
      <c r="C1156" s="20">
        <v>20656.0</v>
      </c>
      <c r="D1156" s="19" t="str">
        <f t="shared" si="1"/>
        <v> </v>
      </c>
      <c r="E1156" s="19" t="str">
        <f t="shared" si="2"/>
        <v> </v>
      </c>
      <c r="F1156" s="21"/>
    </row>
    <row r="1157">
      <c r="A1157" s="19">
        <v>11924.0</v>
      </c>
      <c r="B1157" s="19" t="s">
        <v>1188</v>
      </c>
      <c r="C1157" s="20">
        <v>30878.0</v>
      </c>
      <c r="D1157" s="19" t="str">
        <f t="shared" si="1"/>
        <v> </v>
      </c>
      <c r="E1157" s="19" t="str">
        <f t="shared" si="2"/>
        <v> </v>
      </c>
      <c r="F1157" s="21"/>
    </row>
    <row r="1158">
      <c r="A1158" s="19">
        <v>11925.0</v>
      </c>
      <c r="B1158" s="19" t="s">
        <v>1189</v>
      </c>
      <c r="C1158" s="20">
        <v>21786.0</v>
      </c>
      <c r="D1158" s="19" t="str">
        <f t="shared" si="1"/>
        <v> </v>
      </c>
      <c r="E1158" s="19" t="str">
        <f t="shared" si="2"/>
        <v> </v>
      </c>
      <c r="F1158" s="21"/>
    </row>
    <row r="1159">
      <c r="A1159" s="19">
        <v>11930.0</v>
      </c>
      <c r="B1159" s="19" t="s">
        <v>1190</v>
      </c>
      <c r="C1159" s="20">
        <v>13375.0</v>
      </c>
      <c r="D1159" s="19" t="str">
        <f t="shared" si="1"/>
        <v> </v>
      </c>
      <c r="E1159" s="19" t="str">
        <f t="shared" si="2"/>
        <v> </v>
      </c>
      <c r="F1159" s="21"/>
    </row>
    <row r="1160">
      <c r="A1160" s="19">
        <v>11931.0</v>
      </c>
      <c r="B1160" s="19" t="s">
        <v>1191</v>
      </c>
      <c r="C1160" s="20">
        <v>22360.0</v>
      </c>
      <c r="D1160" s="19" t="str">
        <f t="shared" si="1"/>
        <v> </v>
      </c>
      <c r="E1160" s="19" t="str">
        <f t="shared" si="2"/>
        <v> </v>
      </c>
      <c r="F1160" s="21"/>
    </row>
    <row r="1161">
      <c r="A1161" s="19">
        <v>11933.0</v>
      </c>
      <c r="B1161" s="19" t="s">
        <v>1192</v>
      </c>
      <c r="C1161" s="20">
        <v>26960.0</v>
      </c>
      <c r="D1161" s="19" t="str">
        <f t="shared" si="1"/>
        <v> </v>
      </c>
      <c r="E1161" s="19" t="str">
        <f t="shared" si="2"/>
        <v> </v>
      </c>
      <c r="F1161" s="21"/>
    </row>
    <row r="1162">
      <c r="A1162" s="19">
        <v>11937.0</v>
      </c>
      <c r="B1162" s="19" t="s">
        <v>1193</v>
      </c>
      <c r="C1162" s="20">
        <v>21616.0</v>
      </c>
      <c r="D1162" s="19" t="str">
        <f t="shared" si="1"/>
        <v> </v>
      </c>
      <c r="E1162" s="19" t="str">
        <f t="shared" si="2"/>
        <v> </v>
      </c>
      <c r="F1162" s="21"/>
    </row>
    <row r="1163">
      <c r="A1163" s="19">
        <v>11938.0</v>
      </c>
      <c r="B1163" s="19" t="s">
        <v>1194</v>
      </c>
      <c r="C1163" s="20">
        <v>19845.0</v>
      </c>
      <c r="D1163" s="19" t="str">
        <f t="shared" si="1"/>
        <v> </v>
      </c>
      <c r="E1163" s="19" t="str">
        <f t="shared" si="2"/>
        <v> </v>
      </c>
      <c r="F1163" s="21"/>
    </row>
    <row r="1164">
      <c r="A1164" s="19">
        <v>11939.0</v>
      </c>
      <c r="B1164" s="19" t="s">
        <v>1195</v>
      </c>
      <c r="C1164" s="20">
        <v>19261.0</v>
      </c>
      <c r="D1164" s="19" t="str">
        <f t="shared" si="1"/>
        <v> </v>
      </c>
      <c r="E1164" s="19" t="str">
        <f t="shared" si="2"/>
        <v> </v>
      </c>
      <c r="F1164" s="21"/>
    </row>
    <row r="1165">
      <c r="A1165" s="19">
        <v>11940.0</v>
      </c>
      <c r="B1165" s="19" t="s">
        <v>1196</v>
      </c>
      <c r="C1165" s="20">
        <v>20958.0</v>
      </c>
      <c r="D1165" s="19" t="str">
        <f t="shared" si="1"/>
        <v> </v>
      </c>
      <c r="E1165" s="19" t="str">
        <f t="shared" si="2"/>
        <v> </v>
      </c>
      <c r="F1165" s="21"/>
    </row>
    <row r="1166">
      <c r="A1166" s="19">
        <v>11945.0</v>
      </c>
      <c r="B1166" s="19" t="s">
        <v>1197</v>
      </c>
      <c r="C1166" s="20">
        <v>23287.0</v>
      </c>
      <c r="D1166" s="19" t="str">
        <f t="shared" si="1"/>
        <v> </v>
      </c>
      <c r="E1166" s="19" t="str">
        <f t="shared" si="2"/>
        <v> </v>
      </c>
      <c r="F1166" s="21"/>
    </row>
    <row r="1167">
      <c r="A1167" s="19">
        <v>11946.0</v>
      </c>
      <c r="B1167" s="19" t="s">
        <v>1198</v>
      </c>
      <c r="C1167" s="20">
        <v>31123.0</v>
      </c>
      <c r="D1167" s="19" t="str">
        <f t="shared" si="1"/>
        <v> </v>
      </c>
      <c r="E1167" s="19" t="str">
        <f t="shared" si="2"/>
        <v> </v>
      </c>
      <c r="F1167" s="21"/>
    </row>
    <row r="1168">
      <c r="A1168" s="19">
        <v>11947.0</v>
      </c>
      <c r="B1168" s="19" t="s">
        <v>1199</v>
      </c>
      <c r="C1168" s="20">
        <v>15577.0</v>
      </c>
      <c r="D1168" s="19" t="str">
        <f t="shared" si="1"/>
        <v> </v>
      </c>
      <c r="E1168" s="19" t="str">
        <f t="shared" si="2"/>
        <v> </v>
      </c>
      <c r="F1168" s="21"/>
    </row>
    <row r="1169">
      <c r="A1169" s="19">
        <v>11951.0</v>
      </c>
      <c r="B1169" s="19" t="s">
        <v>1200</v>
      </c>
      <c r="C1169" s="20">
        <v>29813.0</v>
      </c>
      <c r="D1169" s="19" t="str">
        <f t="shared" si="1"/>
        <v> </v>
      </c>
      <c r="E1169" s="19" t="str">
        <f t="shared" si="2"/>
        <v> </v>
      </c>
      <c r="F1169" s="21"/>
    </row>
    <row r="1170">
      <c r="A1170" s="19">
        <v>11953.0</v>
      </c>
      <c r="B1170" s="19" t="s">
        <v>1201</v>
      </c>
      <c r="C1170" s="20">
        <v>34763.0</v>
      </c>
      <c r="D1170" s="19" t="str">
        <f t="shared" si="1"/>
        <v> </v>
      </c>
      <c r="E1170" s="19" t="str">
        <f t="shared" si="2"/>
        <v> </v>
      </c>
      <c r="F1170" s="21"/>
    </row>
    <row r="1171">
      <c r="A1171" s="19">
        <v>11954.0</v>
      </c>
      <c r="B1171" s="19" t="s">
        <v>1202</v>
      </c>
      <c r="C1171" s="20">
        <v>21485.0</v>
      </c>
      <c r="D1171" s="19" t="str">
        <f t="shared" si="1"/>
        <v> </v>
      </c>
      <c r="E1171" s="19" t="str">
        <f t="shared" si="2"/>
        <v> </v>
      </c>
      <c r="F1171" s="21"/>
    </row>
    <row r="1172">
      <c r="A1172" s="19">
        <v>11957.0</v>
      </c>
      <c r="B1172" s="19" t="s">
        <v>1203</v>
      </c>
      <c r="C1172" s="20">
        <v>28564.0</v>
      </c>
      <c r="D1172" s="19" t="str">
        <f t="shared" si="1"/>
        <v> </v>
      </c>
      <c r="E1172" s="19" t="str">
        <f t="shared" si="2"/>
        <v> </v>
      </c>
      <c r="F1172" s="21"/>
    </row>
    <row r="1173">
      <c r="A1173" s="19">
        <v>11959.0</v>
      </c>
      <c r="B1173" s="19" t="s">
        <v>1204</v>
      </c>
      <c r="C1173" s="20">
        <v>15434.0</v>
      </c>
      <c r="D1173" s="19" t="str">
        <f t="shared" si="1"/>
        <v> </v>
      </c>
      <c r="E1173" s="19" t="str">
        <f t="shared" si="2"/>
        <v> </v>
      </c>
      <c r="F1173" s="21"/>
    </row>
    <row r="1174">
      <c r="A1174" s="19">
        <v>11964.0</v>
      </c>
      <c r="B1174" s="19" t="s">
        <v>1205</v>
      </c>
      <c r="C1174" s="20">
        <v>32262.0</v>
      </c>
      <c r="D1174" s="19" t="str">
        <f t="shared" si="1"/>
        <v> </v>
      </c>
      <c r="E1174" s="19" t="str">
        <f t="shared" si="2"/>
        <v> </v>
      </c>
      <c r="F1174" s="21"/>
    </row>
    <row r="1175">
      <c r="A1175" s="19">
        <v>11970.0</v>
      </c>
      <c r="B1175" s="19" t="s">
        <v>1206</v>
      </c>
      <c r="C1175" s="20">
        <v>22449.0</v>
      </c>
      <c r="D1175" s="19" t="str">
        <f t="shared" si="1"/>
        <v> </v>
      </c>
      <c r="E1175" s="19" t="str">
        <f t="shared" si="2"/>
        <v> </v>
      </c>
      <c r="F1175" s="21"/>
    </row>
    <row r="1176">
      <c r="A1176" s="19">
        <v>11972.0</v>
      </c>
      <c r="B1176" s="19" t="s">
        <v>1207</v>
      </c>
      <c r="C1176" s="20">
        <v>16559.0</v>
      </c>
      <c r="D1176" s="19" t="str">
        <f t="shared" si="1"/>
        <v> </v>
      </c>
      <c r="E1176" s="19" t="str">
        <f t="shared" si="2"/>
        <v> </v>
      </c>
      <c r="F1176" s="21"/>
    </row>
    <row r="1177">
      <c r="A1177" s="19">
        <v>11974.0</v>
      </c>
      <c r="B1177" s="19" t="s">
        <v>1208</v>
      </c>
      <c r="C1177" s="20">
        <v>17494.0</v>
      </c>
      <c r="D1177" s="19" t="str">
        <f t="shared" si="1"/>
        <v> </v>
      </c>
      <c r="E1177" s="19" t="str">
        <f t="shared" si="2"/>
        <v> </v>
      </c>
      <c r="F1177" s="21"/>
    </row>
    <row r="1178">
      <c r="A1178" s="19">
        <v>11976.0</v>
      </c>
      <c r="B1178" s="19" t="s">
        <v>1209</v>
      </c>
      <c r="C1178" s="20">
        <v>29572.0</v>
      </c>
      <c r="D1178" s="19" t="str">
        <f t="shared" si="1"/>
        <v> </v>
      </c>
      <c r="E1178" s="19" t="str">
        <f t="shared" si="2"/>
        <v> </v>
      </c>
      <c r="F1178" s="21"/>
    </row>
    <row r="1179">
      <c r="A1179" s="19">
        <v>11977.0</v>
      </c>
      <c r="B1179" s="19" t="s">
        <v>1210</v>
      </c>
      <c r="C1179" s="20">
        <v>20405.0</v>
      </c>
      <c r="D1179" s="19" t="str">
        <f t="shared" si="1"/>
        <v> </v>
      </c>
      <c r="E1179" s="19" t="str">
        <f t="shared" si="2"/>
        <v> </v>
      </c>
      <c r="F1179" s="21"/>
    </row>
    <row r="1180">
      <c r="A1180" s="19">
        <v>11979.0</v>
      </c>
      <c r="B1180" s="19" t="s">
        <v>1211</v>
      </c>
      <c r="C1180" s="20">
        <v>23186.0</v>
      </c>
      <c r="D1180" s="19" t="str">
        <f t="shared" si="1"/>
        <v> </v>
      </c>
      <c r="E1180" s="19" t="str">
        <f t="shared" si="2"/>
        <v> </v>
      </c>
      <c r="F1180" s="21"/>
    </row>
    <row r="1181">
      <c r="A1181" s="19">
        <v>11981.0</v>
      </c>
      <c r="B1181" s="19" t="s">
        <v>1212</v>
      </c>
      <c r="C1181" s="20">
        <v>24935.0</v>
      </c>
      <c r="D1181" s="19" t="str">
        <f t="shared" si="1"/>
        <v> </v>
      </c>
      <c r="E1181" s="19" t="str">
        <f t="shared" si="2"/>
        <v> </v>
      </c>
      <c r="F1181" s="21"/>
    </row>
    <row r="1182">
      <c r="A1182" s="19">
        <v>11983.0</v>
      </c>
      <c r="B1182" s="19" t="s">
        <v>1213</v>
      </c>
      <c r="C1182" s="20">
        <v>24183.0</v>
      </c>
      <c r="D1182" s="19" t="str">
        <f t="shared" si="1"/>
        <v> </v>
      </c>
      <c r="E1182" s="19" t="str">
        <f t="shared" si="2"/>
        <v> </v>
      </c>
      <c r="F1182" s="21"/>
    </row>
    <row r="1183">
      <c r="A1183" s="19">
        <v>11984.0</v>
      </c>
      <c r="B1183" s="19" t="s">
        <v>1214</v>
      </c>
      <c r="C1183" s="20">
        <v>21450.0</v>
      </c>
      <c r="D1183" s="19" t="str">
        <f t="shared" si="1"/>
        <v> </v>
      </c>
      <c r="E1183" s="19" t="str">
        <f t="shared" si="2"/>
        <v> </v>
      </c>
      <c r="F1183" s="21"/>
    </row>
    <row r="1184">
      <c r="A1184" s="19">
        <v>11986.0</v>
      </c>
      <c r="B1184" s="19" t="s">
        <v>1215</v>
      </c>
      <c r="C1184" s="20">
        <v>17008.0</v>
      </c>
      <c r="D1184" s="19" t="str">
        <f t="shared" si="1"/>
        <v> </v>
      </c>
      <c r="E1184" s="19" t="str">
        <f t="shared" si="2"/>
        <v> </v>
      </c>
      <c r="F1184" s="21"/>
    </row>
    <row r="1185">
      <c r="A1185" s="19">
        <v>11988.0</v>
      </c>
      <c r="B1185" s="19" t="s">
        <v>1216</v>
      </c>
      <c r="C1185" s="20">
        <v>21649.0</v>
      </c>
      <c r="D1185" s="19" t="str">
        <f t="shared" si="1"/>
        <v> </v>
      </c>
      <c r="E1185" s="19" t="str">
        <f t="shared" si="2"/>
        <v> </v>
      </c>
      <c r="F1185" s="21"/>
    </row>
    <row r="1186">
      <c r="A1186" s="19">
        <v>11989.0</v>
      </c>
      <c r="B1186" s="19" t="s">
        <v>1217</v>
      </c>
      <c r="C1186" s="20">
        <v>24467.0</v>
      </c>
      <c r="D1186" s="19" t="str">
        <f t="shared" si="1"/>
        <v> </v>
      </c>
      <c r="E1186" s="19" t="str">
        <f t="shared" si="2"/>
        <v> </v>
      </c>
      <c r="F1186" s="21"/>
    </row>
    <row r="1187">
      <c r="A1187" s="19">
        <v>11990.0</v>
      </c>
      <c r="B1187" s="19" t="s">
        <v>1218</v>
      </c>
      <c r="C1187" s="20">
        <v>12766.0</v>
      </c>
      <c r="D1187" s="19" t="str">
        <f t="shared" si="1"/>
        <v> </v>
      </c>
      <c r="E1187" s="19" t="str">
        <f t="shared" si="2"/>
        <v> </v>
      </c>
      <c r="F1187" s="21"/>
    </row>
    <row r="1188">
      <c r="A1188" s="19">
        <v>11994.0</v>
      </c>
      <c r="B1188" s="19" t="s">
        <v>1219</v>
      </c>
      <c r="C1188" s="20">
        <v>34036.0</v>
      </c>
      <c r="D1188" s="19" t="str">
        <f t="shared" si="1"/>
        <v> </v>
      </c>
      <c r="E1188" s="19" t="str">
        <f t="shared" si="2"/>
        <v> </v>
      </c>
      <c r="F1188" s="21"/>
    </row>
    <row r="1189">
      <c r="A1189" s="19">
        <v>11996.0</v>
      </c>
      <c r="B1189" s="19" t="s">
        <v>1220</v>
      </c>
      <c r="C1189" s="20">
        <v>30099.0</v>
      </c>
      <c r="D1189" s="19" t="str">
        <f t="shared" si="1"/>
        <v> </v>
      </c>
      <c r="E1189" s="19" t="str">
        <f t="shared" si="2"/>
        <v> </v>
      </c>
      <c r="F1189" s="21"/>
    </row>
    <row r="1190">
      <c r="A1190" s="19">
        <v>11998.0</v>
      </c>
      <c r="B1190" s="19" t="s">
        <v>1221</v>
      </c>
      <c r="C1190" s="20">
        <v>12569.0</v>
      </c>
      <c r="D1190" s="19" t="str">
        <f t="shared" si="1"/>
        <v> </v>
      </c>
      <c r="E1190" s="19" t="str">
        <f t="shared" si="2"/>
        <v> </v>
      </c>
      <c r="F1190" s="21"/>
    </row>
    <row r="1191">
      <c r="A1191" s="19">
        <v>11999.0</v>
      </c>
      <c r="B1191" s="19" t="s">
        <v>1222</v>
      </c>
      <c r="C1191" s="20">
        <v>18431.0</v>
      </c>
      <c r="D1191" s="19" t="str">
        <f t="shared" si="1"/>
        <v> </v>
      </c>
      <c r="E1191" s="19" t="str">
        <f t="shared" si="2"/>
        <v> </v>
      </c>
      <c r="F1191" s="21"/>
    </row>
    <row r="1192">
      <c r="A1192" s="19">
        <v>12000.0</v>
      </c>
      <c r="B1192" s="19" t="s">
        <v>1223</v>
      </c>
      <c r="C1192" s="20">
        <v>13704.0</v>
      </c>
      <c r="D1192" s="19" t="str">
        <f t="shared" si="1"/>
        <v>Repeat</v>
      </c>
      <c r="E1192" s="19" t="str">
        <f t="shared" si="2"/>
        <v> </v>
      </c>
      <c r="F1192" s="21"/>
    </row>
    <row r="1193">
      <c r="A1193" s="19">
        <v>12001.0</v>
      </c>
      <c r="B1193" s="19" t="s">
        <v>1224</v>
      </c>
      <c r="C1193" s="20">
        <v>29034.0</v>
      </c>
      <c r="D1193" s="19" t="str">
        <f t="shared" si="1"/>
        <v> </v>
      </c>
      <c r="E1193" s="19" t="str">
        <f t="shared" si="2"/>
        <v> </v>
      </c>
      <c r="F1193" s="21"/>
    </row>
    <row r="1194">
      <c r="A1194" s="19">
        <v>12002.0</v>
      </c>
      <c r="B1194" s="19" t="s">
        <v>1225</v>
      </c>
      <c r="C1194" s="20">
        <v>20279.0</v>
      </c>
      <c r="D1194" s="19" t="str">
        <f t="shared" si="1"/>
        <v> </v>
      </c>
      <c r="E1194" s="19" t="str">
        <f t="shared" si="2"/>
        <v> </v>
      </c>
      <c r="F1194" s="21"/>
    </row>
    <row r="1195">
      <c r="A1195" s="19">
        <v>12005.0</v>
      </c>
      <c r="B1195" s="19" t="s">
        <v>1226</v>
      </c>
      <c r="C1195" s="20">
        <v>11958.0</v>
      </c>
      <c r="D1195" s="19" t="str">
        <f t="shared" si="1"/>
        <v> </v>
      </c>
      <c r="E1195" s="19" t="str">
        <f t="shared" si="2"/>
        <v> </v>
      </c>
      <c r="F1195" s="21"/>
    </row>
    <row r="1196">
      <c r="A1196" s="19">
        <v>12006.0</v>
      </c>
      <c r="B1196" s="19" t="s">
        <v>1227</v>
      </c>
      <c r="C1196" s="20">
        <v>22151.0</v>
      </c>
      <c r="D1196" s="19" t="str">
        <f t="shared" si="1"/>
        <v> </v>
      </c>
      <c r="E1196" s="19" t="str">
        <f t="shared" si="2"/>
        <v> </v>
      </c>
      <c r="F1196" s="21"/>
    </row>
    <row r="1197">
      <c r="A1197" s="19">
        <v>12008.0</v>
      </c>
      <c r="B1197" s="19" t="s">
        <v>1228</v>
      </c>
      <c r="C1197" s="20">
        <v>22902.0</v>
      </c>
      <c r="D1197" s="19" t="str">
        <f t="shared" si="1"/>
        <v> </v>
      </c>
      <c r="E1197" s="19" t="str">
        <f t="shared" si="2"/>
        <v> </v>
      </c>
      <c r="F1197" s="21"/>
    </row>
    <row r="1198">
      <c r="A1198" s="19">
        <v>12011.0</v>
      </c>
      <c r="B1198" s="19" t="s">
        <v>1229</v>
      </c>
      <c r="C1198" s="20">
        <v>24765.0</v>
      </c>
      <c r="D1198" s="19" t="str">
        <f t="shared" si="1"/>
        <v> </v>
      </c>
      <c r="E1198" s="19" t="str">
        <f t="shared" si="2"/>
        <v> </v>
      </c>
      <c r="F1198" s="21"/>
    </row>
    <row r="1199">
      <c r="A1199" s="19">
        <v>12012.0</v>
      </c>
      <c r="B1199" s="19" t="s">
        <v>1230</v>
      </c>
      <c r="C1199" s="20">
        <v>18130.0</v>
      </c>
      <c r="D1199" s="19" t="str">
        <f t="shared" si="1"/>
        <v> </v>
      </c>
      <c r="E1199" s="19" t="str">
        <f t="shared" si="2"/>
        <v> </v>
      </c>
      <c r="F1199" s="21"/>
    </row>
    <row r="1200">
      <c r="A1200" s="19">
        <v>12016.0</v>
      </c>
      <c r="B1200" s="19" t="s">
        <v>1231</v>
      </c>
      <c r="C1200" s="20">
        <v>16439.0</v>
      </c>
      <c r="D1200" s="19" t="str">
        <f t="shared" si="1"/>
        <v> </v>
      </c>
      <c r="E1200" s="19" t="str">
        <f t="shared" si="2"/>
        <v> </v>
      </c>
      <c r="F1200" s="21"/>
    </row>
    <row r="1201">
      <c r="A1201" s="19">
        <v>12017.0</v>
      </c>
      <c r="B1201" s="19" t="s">
        <v>1232</v>
      </c>
      <c r="C1201" s="20">
        <v>34225.0</v>
      </c>
      <c r="D1201" s="19" t="str">
        <f t="shared" si="1"/>
        <v> </v>
      </c>
      <c r="E1201" s="19" t="str">
        <f t="shared" si="2"/>
        <v> </v>
      </c>
      <c r="F1201" s="21"/>
    </row>
    <row r="1202">
      <c r="A1202" s="19">
        <v>12019.0</v>
      </c>
      <c r="B1202" s="19" t="s">
        <v>1233</v>
      </c>
      <c r="C1202" s="20">
        <v>30308.0</v>
      </c>
      <c r="D1202" s="19" t="str">
        <f t="shared" si="1"/>
        <v> </v>
      </c>
      <c r="E1202" s="19" t="str">
        <f t="shared" si="2"/>
        <v> </v>
      </c>
      <c r="F1202" s="21"/>
    </row>
    <row r="1203">
      <c r="A1203" s="19">
        <v>12021.0</v>
      </c>
      <c r="B1203" s="19" t="s">
        <v>1234</v>
      </c>
      <c r="C1203" s="20">
        <v>18975.0</v>
      </c>
      <c r="D1203" s="19" t="str">
        <f t="shared" si="1"/>
        <v> </v>
      </c>
      <c r="E1203" s="19" t="str">
        <f t="shared" si="2"/>
        <v> </v>
      </c>
      <c r="F1203" s="21"/>
    </row>
    <row r="1204">
      <c r="A1204" s="19">
        <v>12022.0</v>
      </c>
      <c r="B1204" s="19" t="s">
        <v>1235</v>
      </c>
      <c r="C1204" s="20">
        <v>19386.0</v>
      </c>
      <c r="D1204" s="19" t="str">
        <f t="shared" si="1"/>
        <v> </v>
      </c>
      <c r="E1204" s="19" t="str">
        <f t="shared" si="2"/>
        <v> </v>
      </c>
      <c r="F1204" s="21"/>
    </row>
    <row r="1205">
      <c r="A1205" s="19">
        <v>12026.0</v>
      </c>
      <c r="B1205" s="19" t="s">
        <v>1236</v>
      </c>
      <c r="C1205" s="20">
        <v>16910.0</v>
      </c>
      <c r="D1205" s="19" t="str">
        <f t="shared" si="1"/>
        <v> </v>
      </c>
      <c r="E1205" s="19" t="str">
        <f t="shared" si="2"/>
        <v> </v>
      </c>
      <c r="F1205" s="21"/>
    </row>
    <row r="1206">
      <c r="A1206" s="19">
        <v>12027.0</v>
      </c>
      <c r="B1206" s="19" t="s">
        <v>1237</v>
      </c>
      <c r="C1206" s="20">
        <v>23428.0</v>
      </c>
      <c r="D1206" s="19" t="str">
        <f t="shared" si="1"/>
        <v> </v>
      </c>
      <c r="E1206" s="19" t="str">
        <f t="shared" si="2"/>
        <v> </v>
      </c>
      <c r="F1206" s="21"/>
    </row>
    <row r="1207">
      <c r="A1207" s="19">
        <v>12030.0</v>
      </c>
      <c r="B1207" s="19" t="s">
        <v>1238</v>
      </c>
      <c r="C1207" s="20">
        <v>30621.0</v>
      </c>
      <c r="D1207" s="19" t="str">
        <f t="shared" si="1"/>
        <v> </v>
      </c>
      <c r="E1207" s="19" t="str">
        <f t="shared" si="2"/>
        <v> </v>
      </c>
      <c r="F1207" s="21"/>
    </row>
    <row r="1208">
      <c r="A1208" s="19">
        <v>12031.0</v>
      </c>
      <c r="B1208" s="19" t="s">
        <v>1239</v>
      </c>
      <c r="C1208" s="20">
        <v>31495.0</v>
      </c>
      <c r="D1208" s="19" t="str">
        <f t="shared" si="1"/>
        <v> </v>
      </c>
      <c r="E1208" s="19" t="str">
        <f t="shared" si="2"/>
        <v> </v>
      </c>
      <c r="F1208" s="21"/>
    </row>
    <row r="1209">
      <c r="A1209" s="19">
        <v>12033.0</v>
      </c>
      <c r="B1209" s="19" t="s">
        <v>1240</v>
      </c>
      <c r="C1209" s="20">
        <v>24938.0</v>
      </c>
      <c r="D1209" s="19" t="str">
        <f t="shared" si="1"/>
        <v> </v>
      </c>
      <c r="E1209" s="19" t="str">
        <f t="shared" si="2"/>
        <v> </v>
      </c>
      <c r="F1209" s="21"/>
    </row>
    <row r="1210">
      <c r="A1210" s="19">
        <v>12036.0</v>
      </c>
      <c r="B1210" s="19" t="s">
        <v>1241</v>
      </c>
      <c r="C1210" s="20">
        <v>34287.0</v>
      </c>
      <c r="D1210" s="19" t="str">
        <f t="shared" si="1"/>
        <v> </v>
      </c>
      <c r="E1210" s="19" t="str">
        <f t="shared" si="2"/>
        <v> </v>
      </c>
      <c r="F1210" s="21"/>
    </row>
    <row r="1211">
      <c r="A1211" s="19">
        <v>12038.0</v>
      </c>
      <c r="B1211" s="19" t="s">
        <v>1242</v>
      </c>
      <c r="C1211" s="20">
        <v>23286.0</v>
      </c>
      <c r="D1211" s="19" t="str">
        <f t="shared" si="1"/>
        <v> </v>
      </c>
      <c r="E1211" s="19" t="str">
        <f t="shared" si="2"/>
        <v> </v>
      </c>
      <c r="F1211" s="21"/>
    </row>
    <row r="1212">
      <c r="A1212" s="19">
        <v>12039.0</v>
      </c>
      <c r="B1212" s="19" t="s">
        <v>1243</v>
      </c>
      <c r="C1212" s="20">
        <v>12724.0</v>
      </c>
      <c r="D1212" s="19" t="str">
        <f t="shared" si="1"/>
        <v> </v>
      </c>
      <c r="E1212" s="19" t="str">
        <f t="shared" si="2"/>
        <v> </v>
      </c>
      <c r="F1212" s="21"/>
    </row>
    <row r="1213">
      <c r="A1213" s="19">
        <v>12041.0</v>
      </c>
      <c r="B1213" s="19" t="s">
        <v>1244</v>
      </c>
      <c r="C1213" s="20">
        <v>22569.0</v>
      </c>
      <c r="D1213" s="19" t="str">
        <f t="shared" si="1"/>
        <v> </v>
      </c>
      <c r="E1213" s="19" t="str">
        <f t="shared" si="2"/>
        <v> </v>
      </c>
      <c r="F1213" s="21"/>
    </row>
    <row r="1214">
      <c r="A1214" s="19">
        <v>12043.0</v>
      </c>
      <c r="B1214" s="19" t="s">
        <v>1245</v>
      </c>
      <c r="C1214" s="20">
        <v>17105.0</v>
      </c>
      <c r="D1214" s="19" t="str">
        <f t="shared" si="1"/>
        <v> </v>
      </c>
      <c r="E1214" s="19" t="str">
        <f t="shared" si="2"/>
        <v> </v>
      </c>
      <c r="F1214" s="21"/>
    </row>
    <row r="1215">
      <c r="A1215" s="19">
        <v>12047.0</v>
      </c>
      <c r="B1215" s="19" t="s">
        <v>1246</v>
      </c>
      <c r="C1215" s="20">
        <v>24520.0</v>
      </c>
      <c r="D1215" s="19" t="str">
        <f t="shared" si="1"/>
        <v> </v>
      </c>
      <c r="E1215" s="19" t="str">
        <f t="shared" si="2"/>
        <v> </v>
      </c>
      <c r="F1215" s="21"/>
    </row>
    <row r="1216">
      <c r="A1216" s="19">
        <v>12048.0</v>
      </c>
      <c r="B1216" s="19" t="s">
        <v>1247</v>
      </c>
      <c r="C1216" s="20">
        <v>35690.0</v>
      </c>
      <c r="D1216" s="19" t="str">
        <f t="shared" si="1"/>
        <v> </v>
      </c>
      <c r="E1216" s="19" t="str">
        <f t="shared" si="2"/>
        <v> </v>
      </c>
      <c r="F1216" s="21"/>
    </row>
    <row r="1217">
      <c r="A1217" s="19">
        <v>12049.0</v>
      </c>
      <c r="B1217" s="19" t="s">
        <v>1248</v>
      </c>
      <c r="C1217" s="20">
        <v>24229.0</v>
      </c>
      <c r="D1217" s="19" t="str">
        <f t="shared" si="1"/>
        <v> </v>
      </c>
      <c r="E1217" s="19" t="str">
        <f t="shared" si="2"/>
        <v> </v>
      </c>
      <c r="F1217" s="21"/>
    </row>
    <row r="1218">
      <c r="A1218" s="19">
        <v>12054.0</v>
      </c>
      <c r="B1218" s="19" t="s">
        <v>1249</v>
      </c>
      <c r="C1218" s="20">
        <v>17607.0</v>
      </c>
      <c r="D1218" s="19" t="str">
        <f t="shared" si="1"/>
        <v> </v>
      </c>
      <c r="E1218" s="19" t="str">
        <f t="shared" si="2"/>
        <v> </v>
      </c>
      <c r="F1218" s="21"/>
    </row>
    <row r="1219">
      <c r="A1219" s="19">
        <v>12055.0</v>
      </c>
      <c r="B1219" s="19" t="s">
        <v>1250</v>
      </c>
      <c r="C1219" s="20">
        <v>31305.0</v>
      </c>
      <c r="D1219" s="19" t="str">
        <f t="shared" si="1"/>
        <v> </v>
      </c>
      <c r="E1219" s="19" t="str">
        <f t="shared" si="2"/>
        <v> </v>
      </c>
      <c r="F1219" s="21"/>
    </row>
    <row r="1220">
      <c r="A1220" s="19">
        <v>12057.0</v>
      </c>
      <c r="B1220" s="19" t="s">
        <v>1251</v>
      </c>
      <c r="C1220" s="20">
        <v>33956.0</v>
      </c>
      <c r="D1220" s="19" t="str">
        <f t="shared" si="1"/>
        <v> </v>
      </c>
      <c r="E1220" s="19" t="str">
        <f t="shared" si="2"/>
        <v> </v>
      </c>
      <c r="F1220" s="21"/>
    </row>
    <row r="1221">
      <c r="A1221" s="19">
        <v>12058.0</v>
      </c>
      <c r="B1221" s="19" t="s">
        <v>1252</v>
      </c>
      <c r="C1221" s="20">
        <v>18281.0</v>
      </c>
      <c r="D1221" s="19" t="str">
        <f t="shared" si="1"/>
        <v>Repeat</v>
      </c>
      <c r="E1221" s="19" t="str">
        <f t="shared" si="2"/>
        <v> </v>
      </c>
      <c r="F1221" s="21"/>
    </row>
    <row r="1222">
      <c r="A1222" s="19">
        <v>12062.0</v>
      </c>
      <c r="B1222" s="19" t="s">
        <v>1253</v>
      </c>
      <c r="C1222" s="20">
        <v>11801.0</v>
      </c>
      <c r="D1222" s="19" t="str">
        <f t="shared" si="1"/>
        <v> </v>
      </c>
      <c r="E1222" s="19" t="str">
        <f t="shared" si="2"/>
        <v> </v>
      </c>
      <c r="F1222" s="21"/>
    </row>
    <row r="1223">
      <c r="A1223" s="19">
        <v>12063.0</v>
      </c>
      <c r="B1223" s="19" t="s">
        <v>1254</v>
      </c>
      <c r="C1223" s="20">
        <v>29580.0</v>
      </c>
      <c r="D1223" s="19" t="str">
        <f t="shared" si="1"/>
        <v> </v>
      </c>
      <c r="E1223" s="19" t="str">
        <f t="shared" si="2"/>
        <v> </v>
      </c>
      <c r="F1223" s="21"/>
    </row>
    <row r="1224">
      <c r="A1224" s="19">
        <v>12064.0</v>
      </c>
      <c r="B1224" s="19" t="s">
        <v>1255</v>
      </c>
      <c r="C1224" s="20">
        <v>28482.0</v>
      </c>
      <c r="D1224" s="19" t="str">
        <f t="shared" si="1"/>
        <v> </v>
      </c>
      <c r="E1224" s="19" t="str">
        <f t="shared" si="2"/>
        <v> </v>
      </c>
      <c r="F1224" s="21"/>
    </row>
    <row r="1225">
      <c r="A1225" s="19">
        <v>12066.0</v>
      </c>
      <c r="B1225" s="19" t="s">
        <v>1256</v>
      </c>
      <c r="C1225" s="20">
        <v>21106.0</v>
      </c>
      <c r="D1225" s="19" t="str">
        <f t="shared" si="1"/>
        <v> </v>
      </c>
      <c r="E1225" s="19" t="str">
        <f t="shared" si="2"/>
        <v> </v>
      </c>
      <c r="F1225" s="21"/>
    </row>
    <row r="1226">
      <c r="A1226" s="19">
        <v>12070.0</v>
      </c>
      <c r="B1226" s="19" t="s">
        <v>1257</v>
      </c>
      <c r="C1226" s="20">
        <v>28810.0</v>
      </c>
      <c r="D1226" s="19" t="str">
        <f t="shared" si="1"/>
        <v> </v>
      </c>
      <c r="E1226" s="19" t="str">
        <f t="shared" si="2"/>
        <v> </v>
      </c>
      <c r="F1226" s="21"/>
    </row>
    <row r="1227">
      <c r="A1227" s="19">
        <v>12071.0</v>
      </c>
      <c r="B1227" s="19" t="s">
        <v>1258</v>
      </c>
      <c r="C1227" s="20">
        <v>21599.0</v>
      </c>
      <c r="D1227" s="19" t="str">
        <f t="shared" si="1"/>
        <v> </v>
      </c>
      <c r="E1227" s="19" t="str">
        <f t="shared" si="2"/>
        <v> </v>
      </c>
      <c r="F1227" s="21"/>
    </row>
    <row r="1228">
      <c r="A1228" s="19">
        <v>12072.0</v>
      </c>
      <c r="B1228" s="19" t="s">
        <v>1259</v>
      </c>
      <c r="C1228" s="20">
        <v>28487.0</v>
      </c>
      <c r="D1228" s="19" t="str">
        <f t="shared" si="1"/>
        <v> </v>
      </c>
      <c r="E1228" s="19" t="str">
        <f t="shared" si="2"/>
        <v> </v>
      </c>
      <c r="F1228" s="21"/>
    </row>
    <row r="1229">
      <c r="A1229" s="19">
        <v>12073.0</v>
      </c>
      <c r="B1229" s="19" t="s">
        <v>1260</v>
      </c>
      <c r="C1229" s="20">
        <v>22343.0</v>
      </c>
      <c r="D1229" s="19" t="str">
        <f t="shared" si="1"/>
        <v> </v>
      </c>
      <c r="E1229" s="19" t="str">
        <f t="shared" si="2"/>
        <v> </v>
      </c>
      <c r="F1229" s="21"/>
    </row>
    <row r="1230">
      <c r="A1230" s="19">
        <v>12074.0</v>
      </c>
      <c r="B1230" s="19" t="s">
        <v>1261</v>
      </c>
      <c r="C1230" s="20">
        <v>17547.0</v>
      </c>
      <c r="D1230" s="19" t="str">
        <f t="shared" si="1"/>
        <v> </v>
      </c>
      <c r="E1230" s="19" t="str">
        <f t="shared" si="2"/>
        <v> </v>
      </c>
      <c r="F1230" s="21"/>
    </row>
    <row r="1231">
      <c r="A1231" s="19">
        <v>12075.0</v>
      </c>
      <c r="B1231" s="19" t="s">
        <v>1262</v>
      </c>
      <c r="C1231" s="20">
        <v>24745.0</v>
      </c>
      <c r="D1231" s="19" t="str">
        <f t="shared" si="1"/>
        <v> </v>
      </c>
      <c r="E1231" s="19" t="str">
        <f t="shared" si="2"/>
        <v> </v>
      </c>
      <c r="F1231" s="21"/>
    </row>
    <row r="1232">
      <c r="A1232" s="19">
        <v>12076.0</v>
      </c>
      <c r="B1232" s="19" t="s">
        <v>1263</v>
      </c>
      <c r="C1232" s="20">
        <v>16057.0</v>
      </c>
      <c r="D1232" s="19" t="str">
        <f t="shared" si="1"/>
        <v> </v>
      </c>
      <c r="E1232" s="19" t="str">
        <f t="shared" si="2"/>
        <v> </v>
      </c>
      <c r="F1232" s="21"/>
    </row>
    <row r="1233">
      <c r="A1233" s="19">
        <v>12077.0</v>
      </c>
      <c r="B1233" s="19" t="s">
        <v>1264</v>
      </c>
      <c r="C1233" s="20">
        <v>12043.0</v>
      </c>
      <c r="D1233" s="19" t="str">
        <f t="shared" si="1"/>
        <v> </v>
      </c>
      <c r="E1233" s="19" t="str">
        <f t="shared" si="2"/>
        <v> </v>
      </c>
      <c r="F1233" s="21"/>
    </row>
    <row r="1234">
      <c r="A1234" s="19">
        <v>12078.0</v>
      </c>
      <c r="B1234" s="19" t="s">
        <v>1265</v>
      </c>
      <c r="C1234" s="20">
        <v>18369.0</v>
      </c>
      <c r="D1234" s="19" t="str">
        <f t="shared" si="1"/>
        <v> </v>
      </c>
      <c r="E1234" s="19" t="str">
        <f t="shared" si="2"/>
        <v> </v>
      </c>
      <c r="F1234" s="21"/>
    </row>
    <row r="1235">
      <c r="A1235" s="19">
        <v>12082.0</v>
      </c>
      <c r="B1235" s="19" t="s">
        <v>1266</v>
      </c>
      <c r="C1235" s="20">
        <v>22122.0</v>
      </c>
      <c r="D1235" s="19" t="str">
        <f t="shared" si="1"/>
        <v> </v>
      </c>
      <c r="E1235" s="19" t="str">
        <f t="shared" si="2"/>
        <v> </v>
      </c>
      <c r="F1235" s="21"/>
    </row>
    <row r="1236">
      <c r="A1236" s="19">
        <v>12083.0</v>
      </c>
      <c r="B1236" s="19" t="s">
        <v>1267</v>
      </c>
      <c r="C1236" s="20">
        <v>22041.0</v>
      </c>
      <c r="D1236" s="19" t="str">
        <f t="shared" si="1"/>
        <v> </v>
      </c>
      <c r="E1236" s="19" t="str">
        <f t="shared" si="2"/>
        <v> </v>
      </c>
      <c r="F1236" s="21"/>
    </row>
    <row r="1237">
      <c r="A1237" s="19">
        <v>12084.0</v>
      </c>
      <c r="B1237" s="19" t="s">
        <v>1268</v>
      </c>
      <c r="C1237" s="20">
        <v>27002.0</v>
      </c>
      <c r="D1237" s="19" t="str">
        <f t="shared" si="1"/>
        <v> </v>
      </c>
      <c r="E1237" s="19" t="str">
        <f t="shared" si="2"/>
        <v> </v>
      </c>
      <c r="F1237" s="21"/>
    </row>
    <row r="1238">
      <c r="A1238" s="19">
        <v>12085.0</v>
      </c>
      <c r="B1238" s="19" t="s">
        <v>1269</v>
      </c>
      <c r="C1238" s="20">
        <v>17940.0</v>
      </c>
      <c r="D1238" s="19" t="str">
        <f t="shared" si="1"/>
        <v> </v>
      </c>
      <c r="E1238" s="19" t="str">
        <f t="shared" si="2"/>
        <v> </v>
      </c>
      <c r="F1238" s="21"/>
    </row>
    <row r="1239">
      <c r="A1239" s="19">
        <v>12086.0</v>
      </c>
      <c r="B1239" s="19" t="s">
        <v>1270</v>
      </c>
      <c r="C1239" s="20">
        <v>19327.0</v>
      </c>
      <c r="D1239" s="19" t="str">
        <f t="shared" si="1"/>
        <v> </v>
      </c>
      <c r="E1239" s="19" t="str">
        <f t="shared" si="2"/>
        <v> </v>
      </c>
      <c r="F1239" s="21"/>
    </row>
    <row r="1240">
      <c r="A1240" s="19">
        <v>12088.0</v>
      </c>
      <c r="B1240" s="19" t="s">
        <v>1271</v>
      </c>
      <c r="C1240" s="20">
        <v>16056.0</v>
      </c>
      <c r="D1240" s="19" t="str">
        <f t="shared" si="1"/>
        <v> </v>
      </c>
      <c r="E1240" s="19" t="str">
        <f t="shared" si="2"/>
        <v> </v>
      </c>
      <c r="F1240" s="21"/>
    </row>
    <row r="1241">
      <c r="A1241" s="19">
        <v>12095.0</v>
      </c>
      <c r="B1241" s="19" t="s">
        <v>1272</v>
      </c>
      <c r="C1241" s="20">
        <v>25056.0</v>
      </c>
      <c r="D1241" s="19" t="str">
        <f t="shared" si="1"/>
        <v> </v>
      </c>
      <c r="E1241" s="19" t="str">
        <f t="shared" si="2"/>
        <v> </v>
      </c>
      <c r="F1241" s="21"/>
    </row>
    <row r="1242">
      <c r="A1242" s="19">
        <v>12096.0</v>
      </c>
      <c r="B1242" s="19" t="s">
        <v>1273</v>
      </c>
      <c r="C1242" s="20">
        <v>23971.0</v>
      </c>
      <c r="D1242" s="19" t="str">
        <f t="shared" si="1"/>
        <v> </v>
      </c>
      <c r="E1242" s="19" t="str">
        <f t="shared" si="2"/>
        <v> </v>
      </c>
      <c r="F1242" s="21"/>
    </row>
    <row r="1243">
      <c r="A1243" s="19">
        <v>12101.0</v>
      </c>
      <c r="B1243" s="19" t="s">
        <v>1274</v>
      </c>
      <c r="C1243" s="20">
        <v>23226.0</v>
      </c>
      <c r="D1243" s="19" t="str">
        <f t="shared" si="1"/>
        <v> </v>
      </c>
      <c r="E1243" s="19" t="str">
        <f t="shared" si="2"/>
        <v> </v>
      </c>
      <c r="F1243" s="21"/>
    </row>
    <row r="1244">
      <c r="A1244" s="19">
        <v>12102.0</v>
      </c>
      <c r="B1244" s="19" t="s">
        <v>1275</v>
      </c>
      <c r="C1244" s="20">
        <v>17055.0</v>
      </c>
      <c r="D1244" s="19" t="str">
        <f t="shared" si="1"/>
        <v> </v>
      </c>
      <c r="E1244" s="19" t="str">
        <f t="shared" si="2"/>
        <v> </v>
      </c>
      <c r="F1244" s="21"/>
    </row>
    <row r="1245">
      <c r="A1245" s="19">
        <v>12104.0</v>
      </c>
      <c r="B1245" s="19" t="s">
        <v>1276</v>
      </c>
      <c r="C1245" s="20">
        <v>26592.0</v>
      </c>
      <c r="D1245" s="19" t="str">
        <f t="shared" si="1"/>
        <v> </v>
      </c>
      <c r="E1245" s="19" t="str">
        <f t="shared" si="2"/>
        <v> </v>
      </c>
      <c r="F1245" s="21"/>
    </row>
    <row r="1246">
      <c r="A1246" s="19">
        <v>12107.0</v>
      </c>
      <c r="B1246" s="19" t="s">
        <v>1277</v>
      </c>
      <c r="C1246" s="20">
        <v>21084.0</v>
      </c>
      <c r="D1246" s="19" t="str">
        <f t="shared" si="1"/>
        <v> </v>
      </c>
      <c r="E1246" s="19" t="str">
        <f t="shared" si="2"/>
        <v> </v>
      </c>
      <c r="F1246" s="21"/>
    </row>
    <row r="1247">
      <c r="A1247" s="19">
        <v>12109.0</v>
      </c>
      <c r="B1247" s="19" t="s">
        <v>1278</v>
      </c>
      <c r="C1247" s="20">
        <v>23037.0</v>
      </c>
      <c r="D1247" s="19" t="str">
        <f t="shared" si="1"/>
        <v> </v>
      </c>
      <c r="E1247" s="19" t="str">
        <f t="shared" si="2"/>
        <v> </v>
      </c>
      <c r="F1247" s="21"/>
    </row>
    <row r="1248">
      <c r="A1248" s="19">
        <v>12110.0</v>
      </c>
      <c r="B1248" s="19" t="s">
        <v>1279</v>
      </c>
      <c r="C1248" s="20">
        <v>28706.0</v>
      </c>
      <c r="D1248" s="19" t="str">
        <f t="shared" si="1"/>
        <v> </v>
      </c>
      <c r="E1248" s="19" t="str">
        <f t="shared" si="2"/>
        <v> </v>
      </c>
      <c r="F1248" s="21"/>
    </row>
    <row r="1249">
      <c r="A1249" s="19">
        <v>12111.0</v>
      </c>
      <c r="B1249" s="19" t="s">
        <v>1280</v>
      </c>
      <c r="C1249" s="20">
        <v>29413.0</v>
      </c>
      <c r="D1249" s="19" t="str">
        <f t="shared" si="1"/>
        <v> </v>
      </c>
      <c r="E1249" s="19" t="str">
        <f t="shared" si="2"/>
        <v> </v>
      </c>
      <c r="F1249" s="21"/>
    </row>
    <row r="1250">
      <c r="A1250" s="19">
        <v>12115.0</v>
      </c>
      <c r="B1250" s="19" t="s">
        <v>1281</v>
      </c>
      <c r="C1250" s="20">
        <v>14717.0</v>
      </c>
      <c r="D1250" s="19" t="str">
        <f t="shared" si="1"/>
        <v> </v>
      </c>
      <c r="E1250" s="19" t="str">
        <f t="shared" si="2"/>
        <v> </v>
      </c>
      <c r="F1250" s="21"/>
    </row>
    <row r="1251">
      <c r="A1251" s="19">
        <v>12118.0</v>
      </c>
      <c r="B1251" s="19" t="s">
        <v>1282</v>
      </c>
      <c r="C1251" s="20">
        <v>34867.0</v>
      </c>
      <c r="D1251" s="19" t="str">
        <f t="shared" si="1"/>
        <v> </v>
      </c>
      <c r="E1251" s="19" t="str">
        <f t="shared" si="2"/>
        <v> </v>
      </c>
      <c r="F1251" s="21"/>
    </row>
    <row r="1252">
      <c r="A1252" s="19">
        <v>12122.0</v>
      </c>
      <c r="B1252" s="19" t="s">
        <v>1283</v>
      </c>
      <c r="C1252" s="20">
        <v>17510.0</v>
      </c>
      <c r="D1252" s="19" t="str">
        <f t="shared" si="1"/>
        <v> </v>
      </c>
      <c r="E1252" s="19" t="str">
        <f t="shared" si="2"/>
        <v> </v>
      </c>
      <c r="F1252" s="21"/>
    </row>
    <row r="1253">
      <c r="A1253" s="19">
        <v>12123.0</v>
      </c>
      <c r="B1253" s="19" t="s">
        <v>1284</v>
      </c>
      <c r="C1253" s="20">
        <v>10138.0</v>
      </c>
      <c r="D1253" s="19" t="str">
        <f t="shared" si="1"/>
        <v> </v>
      </c>
      <c r="E1253" s="19" t="str">
        <f t="shared" si="2"/>
        <v> </v>
      </c>
      <c r="F1253" s="21"/>
    </row>
    <row r="1254">
      <c r="A1254" s="19">
        <v>12124.0</v>
      </c>
      <c r="B1254" s="19" t="s">
        <v>1285</v>
      </c>
      <c r="C1254" s="20">
        <v>13850.0</v>
      </c>
      <c r="D1254" s="19" t="str">
        <f t="shared" si="1"/>
        <v> </v>
      </c>
      <c r="E1254" s="19" t="str">
        <f t="shared" si="2"/>
        <v> </v>
      </c>
      <c r="F1254" s="21"/>
    </row>
    <row r="1255">
      <c r="A1255" s="19">
        <v>12127.0</v>
      </c>
      <c r="B1255" s="19" t="s">
        <v>1286</v>
      </c>
      <c r="C1255" s="20">
        <v>20732.0</v>
      </c>
      <c r="D1255" s="19" t="str">
        <f t="shared" si="1"/>
        <v> </v>
      </c>
      <c r="E1255" s="19" t="str">
        <f t="shared" si="2"/>
        <v> </v>
      </c>
      <c r="F1255" s="21"/>
    </row>
    <row r="1256">
      <c r="A1256" s="19">
        <v>12129.0</v>
      </c>
      <c r="B1256" s="19" t="s">
        <v>1287</v>
      </c>
      <c r="C1256" s="20">
        <v>18081.0</v>
      </c>
      <c r="D1256" s="19" t="str">
        <f t="shared" si="1"/>
        <v> </v>
      </c>
      <c r="E1256" s="19" t="str">
        <f t="shared" si="2"/>
        <v> </v>
      </c>
      <c r="F1256" s="21"/>
    </row>
    <row r="1257">
      <c r="A1257" s="19">
        <v>12130.0</v>
      </c>
      <c r="B1257" s="19" t="s">
        <v>1288</v>
      </c>
      <c r="C1257" s="20">
        <v>14979.0</v>
      </c>
      <c r="D1257" s="19" t="str">
        <f t="shared" si="1"/>
        <v> </v>
      </c>
      <c r="E1257" s="19" t="str">
        <f t="shared" si="2"/>
        <v> </v>
      </c>
      <c r="F1257" s="21"/>
    </row>
    <row r="1258">
      <c r="A1258" s="19">
        <v>12131.0</v>
      </c>
      <c r="B1258" s="19" t="s">
        <v>1289</v>
      </c>
      <c r="C1258" s="20">
        <v>22551.0</v>
      </c>
      <c r="D1258" s="19" t="str">
        <f t="shared" si="1"/>
        <v> </v>
      </c>
      <c r="E1258" s="19" t="str">
        <f t="shared" si="2"/>
        <v> </v>
      </c>
      <c r="F1258" s="21"/>
    </row>
    <row r="1259">
      <c r="A1259" s="19">
        <v>12133.0</v>
      </c>
      <c r="B1259" s="19" t="s">
        <v>1290</v>
      </c>
      <c r="C1259" s="20">
        <v>29056.0</v>
      </c>
      <c r="D1259" s="19" t="str">
        <f t="shared" si="1"/>
        <v> </v>
      </c>
      <c r="E1259" s="19" t="str">
        <f t="shared" si="2"/>
        <v> </v>
      </c>
      <c r="F1259" s="21"/>
    </row>
    <row r="1260">
      <c r="A1260" s="19">
        <v>12134.0</v>
      </c>
      <c r="B1260" s="19" t="s">
        <v>1291</v>
      </c>
      <c r="C1260" s="20">
        <v>22224.0</v>
      </c>
      <c r="D1260" s="19" t="str">
        <f t="shared" si="1"/>
        <v> </v>
      </c>
      <c r="E1260" s="19" t="str">
        <f t="shared" si="2"/>
        <v> </v>
      </c>
      <c r="F1260" s="21"/>
    </row>
    <row r="1261">
      <c r="A1261" s="19">
        <v>12135.0</v>
      </c>
      <c r="B1261" s="19" t="s">
        <v>1292</v>
      </c>
      <c r="C1261" s="20">
        <v>26801.0</v>
      </c>
      <c r="D1261" s="19" t="str">
        <f t="shared" si="1"/>
        <v> </v>
      </c>
      <c r="E1261" s="19" t="str">
        <f t="shared" si="2"/>
        <v> </v>
      </c>
      <c r="F1261" s="21"/>
    </row>
    <row r="1262">
      <c r="A1262" s="19">
        <v>12136.0</v>
      </c>
      <c r="B1262" s="19" t="s">
        <v>1293</v>
      </c>
      <c r="C1262" s="20">
        <v>13019.0</v>
      </c>
      <c r="D1262" s="19" t="str">
        <f t="shared" si="1"/>
        <v> </v>
      </c>
      <c r="E1262" s="19" t="str">
        <f t="shared" si="2"/>
        <v> </v>
      </c>
      <c r="F1262" s="21"/>
    </row>
    <row r="1263">
      <c r="A1263" s="19">
        <v>12140.0</v>
      </c>
      <c r="B1263" s="19" t="s">
        <v>1294</v>
      </c>
      <c r="C1263" s="20">
        <v>18966.0</v>
      </c>
      <c r="D1263" s="19" t="str">
        <f t="shared" si="1"/>
        <v> </v>
      </c>
      <c r="E1263" s="19" t="str">
        <f t="shared" si="2"/>
        <v> </v>
      </c>
      <c r="F1263" s="21"/>
    </row>
    <row r="1264">
      <c r="A1264" s="19">
        <v>12141.0</v>
      </c>
      <c r="B1264" s="19" t="s">
        <v>1295</v>
      </c>
      <c r="C1264" s="20">
        <v>13887.0</v>
      </c>
      <c r="D1264" s="19" t="str">
        <f t="shared" si="1"/>
        <v> </v>
      </c>
      <c r="E1264" s="19" t="str">
        <f t="shared" si="2"/>
        <v> </v>
      </c>
      <c r="F1264" s="21"/>
    </row>
    <row r="1265">
      <c r="A1265" s="19">
        <v>12144.0</v>
      </c>
      <c r="B1265" s="19" t="s">
        <v>1296</v>
      </c>
      <c r="C1265" s="20">
        <v>19033.0</v>
      </c>
      <c r="D1265" s="19" t="str">
        <f t="shared" si="1"/>
        <v> </v>
      </c>
      <c r="E1265" s="19" t="str">
        <f t="shared" si="2"/>
        <v> </v>
      </c>
      <c r="F1265" s="21"/>
    </row>
    <row r="1266">
      <c r="A1266" s="19">
        <v>12145.0</v>
      </c>
      <c r="B1266" s="19" t="s">
        <v>1297</v>
      </c>
      <c r="C1266" s="20">
        <v>18446.0</v>
      </c>
      <c r="D1266" s="19" t="str">
        <f t="shared" si="1"/>
        <v> </v>
      </c>
      <c r="E1266" s="19" t="str">
        <f t="shared" si="2"/>
        <v> </v>
      </c>
      <c r="F1266" s="21"/>
    </row>
    <row r="1267">
      <c r="A1267" s="19">
        <v>12147.0</v>
      </c>
      <c r="B1267" s="19" t="s">
        <v>1298</v>
      </c>
      <c r="C1267" s="20">
        <v>26920.0</v>
      </c>
      <c r="D1267" s="19" t="str">
        <f t="shared" si="1"/>
        <v> </v>
      </c>
      <c r="E1267" s="19" t="str">
        <f t="shared" si="2"/>
        <v> </v>
      </c>
      <c r="F1267" s="21"/>
    </row>
    <row r="1268">
      <c r="A1268" s="19">
        <v>12151.0</v>
      </c>
      <c r="B1268" s="19" t="s">
        <v>1299</v>
      </c>
      <c r="C1268" s="20">
        <v>20139.0</v>
      </c>
      <c r="D1268" s="19" t="str">
        <f t="shared" si="1"/>
        <v> </v>
      </c>
      <c r="E1268" s="19" t="str">
        <f t="shared" si="2"/>
        <v> </v>
      </c>
      <c r="F1268" s="21"/>
    </row>
    <row r="1269">
      <c r="A1269" s="19">
        <v>12152.0</v>
      </c>
      <c r="B1269" s="19" t="s">
        <v>1300</v>
      </c>
      <c r="C1269" s="20">
        <v>19075.0</v>
      </c>
      <c r="D1269" s="19" t="str">
        <f t="shared" si="1"/>
        <v> </v>
      </c>
      <c r="E1269" s="19" t="str">
        <f t="shared" si="2"/>
        <v> </v>
      </c>
      <c r="F1269" s="21"/>
    </row>
    <row r="1270">
      <c r="A1270" s="19">
        <v>12153.0</v>
      </c>
      <c r="B1270" s="19" t="s">
        <v>1301</v>
      </c>
      <c r="C1270" s="20">
        <v>13779.0</v>
      </c>
      <c r="D1270" s="19" t="str">
        <f t="shared" si="1"/>
        <v> </v>
      </c>
      <c r="E1270" s="19" t="str">
        <f t="shared" si="2"/>
        <v> </v>
      </c>
      <c r="F1270" s="21"/>
    </row>
    <row r="1271">
      <c r="A1271" s="19">
        <v>12154.0</v>
      </c>
      <c r="B1271" s="19" t="s">
        <v>1302</v>
      </c>
      <c r="C1271" s="20">
        <v>21882.0</v>
      </c>
      <c r="D1271" s="19" t="str">
        <f t="shared" si="1"/>
        <v> </v>
      </c>
      <c r="E1271" s="19" t="str">
        <f t="shared" si="2"/>
        <v> </v>
      </c>
      <c r="F1271" s="21"/>
    </row>
    <row r="1272">
      <c r="A1272" s="19">
        <v>12159.0</v>
      </c>
      <c r="B1272" s="19" t="s">
        <v>1303</v>
      </c>
      <c r="C1272" s="20">
        <v>32770.0</v>
      </c>
      <c r="D1272" s="19" t="str">
        <f t="shared" si="1"/>
        <v> </v>
      </c>
      <c r="E1272" s="19" t="str">
        <f t="shared" si="2"/>
        <v> </v>
      </c>
      <c r="F1272" s="21"/>
    </row>
    <row r="1273">
      <c r="A1273" s="22">
        <v>12161.0</v>
      </c>
      <c r="B1273" s="22" t="s">
        <v>1304</v>
      </c>
      <c r="C1273" s="23">
        <v>27387.0</v>
      </c>
      <c r="D1273" s="19" t="str">
        <f t="shared" si="1"/>
        <v>Repeat</v>
      </c>
      <c r="E1273" s="19" t="str">
        <f t="shared" si="2"/>
        <v> </v>
      </c>
      <c r="F1273" s="21"/>
    </row>
    <row r="1274">
      <c r="A1274" s="19">
        <v>12167.0</v>
      </c>
      <c r="B1274" s="19" t="s">
        <v>1305</v>
      </c>
      <c r="C1274" s="20">
        <v>28330.0</v>
      </c>
      <c r="D1274" s="19" t="str">
        <f t="shared" si="1"/>
        <v> </v>
      </c>
      <c r="E1274" s="19" t="str">
        <f t="shared" si="2"/>
        <v> </v>
      </c>
      <c r="F1274" s="21"/>
    </row>
    <row r="1275">
      <c r="A1275" s="19">
        <v>12172.0</v>
      </c>
      <c r="B1275" s="19" t="s">
        <v>1306</v>
      </c>
      <c r="C1275" s="20">
        <v>19634.0</v>
      </c>
      <c r="D1275" s="19" t="str">
        <f t="shared" si="1"/>
        <v> </v>
      </c>
      <c r="E1275" s="19" t="str">
        <f t="shared" si="2"/>
        <v> </v>
      </c>
      <c r="F1275" s="21"/>
    </row>
    <row r="1276">
      <c r="A1276" s="19">
        <v>12173.0</v>
      </c>
      <c r="B1276" s="19" t="s">
        <v>1307</v>
      </c>
      <c r="C1276" s="20">
        <v>28860.0</v>
      </c>
      <c r="D1276" s="19" t="str">
        <f t="shared" si="1"/>
        <v> </v>
      </c>
      <c r="E1276" s="19" t="str">
        <f t="shared" si="2"/>
        <v> </v>
      </c>
      <c r="F1276" s="21"/>
    </row>
    <row r="1277">
      <c r="A1277" s="19">
        <v>12174.0</v>
      </c>
      <c r="B1277" s="19" t="s">
        <v>1308</v>
      </c>
      <c r="C1277" s="20">
        <v>17259.0</v>
      </c>
      <c r="D1277" s="19" t="str">
        <f t="shared" si="1"/>
        <v> </v>
      </c>
      <c r="E1277" s="19" t="str">
        <f t="shared" si="2"/>
        <v> </v>
      </c>
      <c r="F1277" s="21"/>
    </row>
    <row r="1278">
      <c r="A1278" s="19">
        <v>12175.0</v>
      </c>
      <c r="B1278" s="19" t="s">
        <v>1309</v>
      </c>
      <c r="C1278" s="20">
        <v>25069.0</v>
      </c>
      <c r="D1278" s="19" t="str">
        <f t="shared" si="1"/>
        <v>Repeat</v>
      </c>
      <c r="E1278" s="19" t="str">
        <f t="shared" si="2"/>
        <v> </v>
      </c>
      <c r="F1278" s="21"/>
    </row>
    <row r="1279">
      <c r="A1279" s="19">
        <v>12179.0</v>
      </c>
      <c r="B1279" s="19" t="s">
        <v>1310</v>
      </c>
      <c r="C1279" s="20">
        <v>22392.0</v>
      </c>
      <c r="D1279" s="19" t="str">
        <f t="shared" si="1"/>
        <v> </v>
      </c>
      <c r="E1279" s="19" t="str">
        <f t="shared" si="2"/>
        <v> </v>
      </c>
      <c r="F1279" s="21"/>
    </row>
    <row r="1280">
      <c r="A1280" s="19">
        <v>12180.0</v>
      </c>
      <c r="B1280" s="19" t="s">
        <v>1311</v>
      </c>
      <c r="C1280" s="20">
        <v>19481.0</v>
      </c>
      <c r="D1280" s="19" t="str">
        <f t="shared" si="1"/>
        <v> </v>
      </c>
      <c r="E1280" s="19" t="str">
        <f t="shared" si="2"/>
        <v> </v>
      </c>
      <c r="F1280" s="21"/>
    </row>
    <row r="1281">
      <c r="A1281" s="19">
        <v>12183.0</v>
      </c>
      <c r="B1281" s="19" t="s">
        <v>1312</v>
      </c>
      <c r="C1281" s="20">
        <v>21803.0</v>
      </c>
      <c r="D1281" s="19" t="str">
        <f t="shared" si="1"/>
        <v>Repeat</v>
      </c>
      <c r="E1281" s="19" t="str">
        <f t="shared" si="2"/>
        <v> </v>
      </c>
      <c r="F1281" s="21"/>
    </row>
    <row r="1282">
      <c r="A1282" s="19">
        <v>12184.0</v>
      </c>
      <c r="B1282" s="19" t="s">
        <v>1313</v>
      </c>
      <c r="C1282" s="20">
        <v>20052.0</v>
      </c>
      <c r="D1282" s="19" t="str">
        <f t="shared" si="1"/>
        <v> </v>
      </c>
      <c r="E1282" s="19" t="str">
        <f t="shared" si="2"/>
        <v> </v>
      </c>
      <c r="F1282" s="21"/>
    </row>
    <row r="1283">
      <c r="A1283" s="19">
        <v>12185.0</v>
      </c>
      <c r="B1283" s="19" t="s">
        <v>1314</v>
      </c>
      <c r="C1283" s="20">
        <v>31141.0</v>
      </c>
      <c r="D1283" s="19" t="str">
        <f t="shared" si="1"/>
        <v> </v>
      </c>
      <c r="E1283" s="19" t="str">
        <f t="shared" si="2"/>
        <v> </v>
      </c>
      <c r="F1283" s="21"/>
    </row>
    <row r="1284">
      <c r="A1284" s="19">
        <v>12189.0</v>
      </c>
      <c r="B1284" s="19" t="s">
        <v>1315</v>
      </c>
      <c r="C1284" s="20">
        <v>33661.0</v>
      </c>
      <c r="D1284" s="19" t="str">
        <f t="shared" si="1"/>
        <v> </v>
      </c>
      <c r="E1284" s="19" t="str">
        <f t="shared" si="2"/>
        <v> </v>
      </c>
      <c r="F1284" s="21"/>
    </row>
    <row r="1285">
      <c r="A1285" s="19">
        <v>12190.0</v>
      </c>
      <c r="B1285" s="19" t="s">
        <v>1316</v>
      </c>
      <c r="C1285" s="20">
        <v>16791.0</v>
      </c>
      <c r="D1285" s="19" t="str">
        <f t="shared" si="1"/>
        <v> </v>
      </c>
      <c r="E1285" s="19" t="str">
        <f t="shared" si="2"/>
        <v> </v>
      </c>
      <c r="F1285" s="21"/>
    </row>
    <row r="1286">
      <c r="A1286" s="19">
        <v>12194.0</v>
      </c>
      <c r="B1286" s="19" t="s">
        <v>1317</v>
      </c>
      <c r="C1286" s="20">
        <v>19387.0</v>
      </c>
      <c r="D1286" s="19" t="str">
        <f t="shared" si="1"/>
        <v> </v>
      </c>
      <c r="E1286" s="19" t="str">
        <f t="shared" si="2"/>
        <v> </v>
      </c>
      <c r="F1286" s="21"/>
    </row>
    <row r="1287">
      <c r="A1287" s="19">
        <v>12197.0</v>
      </c>
      <c r="B1287" s="19" t="s">
        <v>1318</v>
      </c>
      <c r="C1287" s="20">
        <v>20786.0</v>
      </c>
      <c r="D1287" s="19" t="str">
        <f t="shared" si="1"/>
        <v> </v>
      </c>
      <c r="E1287" s="19" t="str">
        <f t="shared" si="2"/>
        <v> </v>
      </c>
      <c r="F1287" s="21"/>
    </row>
    <row r="1288">
      <c r="A1288" s="19">
        <v>12200.0</v>
      </c>
      <c r="B1288" s="19" t="s">
        <v>1319</v>
      </c>
      <c r="C1288" s="20">
        <v>36550.0</v>
      </c>
      <c r="D1288" s="19" t="str">
        <f t="shared" si="1"/>
        <v> </v>
      </c>
      <c r="E1288" s="19" t="str">
        <f t="shared" si="2"/>
        <v> </v>
      </c>
      <c r="F1288" s="21"/>
    </row>
    <row r="1289">
      <c r="A1289" s="19">
        <v>12202.0</v>
      </c>
      <c r="B1289" s="19" t="s">
        <v>1320</v>
      </c>
      <c r="C1289" s="20">
        <v>19617.0</v>
      </c>
      <c r="D1289" s="19" t="str">
        <f t="shared" si="1"/>
        <v> </v>
      </c>
      <c r="E1289" s="19" t="str">
        <f t="shared" si="2"/>
        <v> </v>
      </c>
      <c r="F1289" s="21"/>
    </row>
    <row r="1290">
      <c r="A1290" s="19">
        <v>12203.0</v>
      </c>
      <c r="B1290" s="19" t="s">
        <v>1321</v>
      </c>
      <c r="C1290" s="20">
        <v>18382.0</v>
      </c>
      <c r="D1290" s="19" t="str">
        <f t="shared" si="1"/>
        <v> </v>
      </c>
      <c r="E1290" s="19" t="str">
        <f t="shared" si="2"/>
        <v> </v>
      </c>
      <c r="F1290" s="21"/>
    </row>
    <row r="1291">
      <c r="A1291" s="19">
        <v>12204.0</v>
      </c>
      <c r="B1291" s="19" t="s">
        <v>1322</v>
      </c>
      <c r="C1291" s="20">
        <v>28608.0</v>
      </c>
      <c r="D1291" s="19" t="str">
        <f t="shared" si="1"/>
        <v> </v>
      </c>
      <c r="E1291" s="19" t="str">
        <f t="shared" si="2"/>
        <v> </v>
      </c>
      <c r="F1291" s="21"/>
    </row>
    <row r="1292">
      <c r="A1292" s="19">
        <v>12205.0</v>
      </c>
      <c r="B1292" s="19" t="s">
        <v>1323</v>
      </c>
      <c r="C1292" s="20">
        <v>23687.0</v>
      </c>
      <c r="D1292" s="19" t="str">
        <f t="shared" si="1"/>
        <v> </v>
      </c>
      <c r="E1292" s="19" t="str">
        <f t="shared" si="2"/>
        <v> </v>
      </c>
      <c r="F1292" s="21"/>
    </row>
    <row r="1293">
      <c r="A1293" s="19">
        <v>12208.0</v>
      </c>
      <c r="B1293" s="19" t="s">
        <v>1324</v>
      </c>
      <c r="C1293" s="20">
        <v>15804.0</v>
      </c>
      <c r="D1293" s="19" t="str">
        <f t="shared" si="1"/>
        <v> </v>
      </c>
      <c r="E1293" s="19" t="str">
        <f t="shared" si="2"/>
        <v> </v>
      </c>
      <c r="F1293" s="21"/>
    </row>
    <row r="1294">
      <c r="A1294" s="19">
        <v>12209.0</v>
      </c>
      <c r="B1294" s="19" t="s">
        <v>1325</v>
      </c>
      <c r="C1294" s="20">
        <v>16462.0</v>
      </c>
      <c r="D1294" s="19" t="str">
        <f t="shared" si="1"/>
        <v> </v>
      </c>
      <c r="E1294" s="19" t="str">
        <f t="shared" si="2"/>
        <v> </v>
      </c>
      <c r="F1294" s="21"/>
    </row>
    <row r="1295">
      <c r="A1295" s="19">
        <v>12212.0</v>
      </c>
      <c r="B1295" s="19" t="s">
        <v>1326</v>
      </c>
      <c r="C1295" s="20">
        <v>19493.0</v>
      </c>
      <c r="D1295" s="19" t="str">
        <f t="shared" si="1"/>
        <v> </v>
      </c>
      <c r="E1295" s="19" t="str">
        <f t="shared" si="2"/>
        <v> </v>
      </c>
      <c r="F1295" s="21"/>
    </row>
    <row r="1296">
      <c r="A1296" s="19">
        <v>12215.0</v>
      </c>
      <c r="B1296" s="19" t="s">
        <v>1327</v>
      </c>
      <c r="C1296" s="20">
        <v>35491.0</v>
      </c>
      <c r="D1296" s="19" t="str">
        <f t="shared" si="1"/>
        <v> </v>
      </c>
      <c r="E1296" s="19" t="str">
        <f t="shared" si="2"/>
        <v> </v>
      </c>
      <c r="F1296" s="21"/>
    </row>
    <row r="1297">
      <c r="A1297" s="19">
        <v>12219.0</v>
      </c>
      <c r="B1297" s="19" t="s">
        <v>1328</v>
      </c>
      <c r="C1297" s="20">
        <v>20938.0</v>
      </c>
      <c r="D1297" s="19" t="str">
        <f t="shared" si="1"/>
        <v> </v>
      </c>
      <c r="E1297" s="19" t="str">
        <f t="shared" si="2"/>
        <v> </v>
      </c>
      <c r="F1297" s="21"/>
    </row>
    <row r="1298">
      <c r="A1298" s="19">
        <v>12220.0</v>
      </c>
      <c r="B1298" s="19" t="s">
        <v>1329</v>
      </c>
      <c r="C1298" s="20">
        <v>14923.0</v>
      </c>
      <c r="D1298" s="19" t="str">
        <f t="shared" si="1"/>
        <v> </v>
      </c>
      <c r="E1298" s="19" t="str">
        <f t="shared" si="2"/>
        <v> </v>
      </c>
      <c r="F1298" s="21"/>
    </row>
    <row r="1299">
      <c r="A1299" s="19">
        <v>12222.0</v>
      </c>
      <c r="B1299" s="19" t="s">
        <v>1330</v>
      </c>
      <c r="C1299" s="20">
        <v>21705.0</v>
      </c>
      <c r="D1299" s="19" t="str">
        <f t="shared" si="1"/>
        <v> </v>
      </c>
      <c r="E1299" s="19" t="str">
        <f t="shared" si="2"/>
        <v> </v>
      </c>
      <c r="F1299" s="21"/>
    </row>
    <row r="1300">
      <c r="A1300" s="19">
        <v>12224.0</v>
      </c>
      <c r="B1300" s="19" t="s">
        <v>1331</v>
      </c>
      <c r="C1300" s="20">
        <v>28683.0</v>
      </c>
      <c r="D1300" s="19" t="str">
        <f t="shared" si="1"/>
        <v> </v>
      </c>
      <c r="E1300" s="19" t="str">
        <f t="shared" si="2"/>
        <v> </v>
      </c>
      <c r="F1300" s="21"/>
    </row>
    <row r="1301">
      <c r="A1301" s="19">
        <v>12225.0</v>
      </c>
      <c r="B1301" s="19" t="s">
        <v>1332</v>
      </c>
      <c r="C1301" s="20">
        <v>24220.0</v>
      </c>
      <c r="D1301" s="19" t="str">
        <f t="shared" si="1"/>
        <v> </v>
      </c>
      <c r="E1301" s="19" t="str">
        <f t="shared" si="2"/>
        <v> </v>
      </c>
      <c r="F1301" s="21"/>
    </row>
    <row r="1302">
      <c r="A1302" s="19">
        <v>12227.0</v>
      </c>
      <c r="B1302" s="19" t="s">
        <v>1333</v>
      </c>
      <c r="C1302" s="20">
        <v>21761.0</v>
      </c>
      <c r="D1302" s="19" t="str">
        <f t="shared" si="1"/>
        <v> </v>
      </c>
      <c r="E1302" s="19" t="str">
        <f t="shared" si="2"/>
        <v> </v>
      </c>
      <c r="F1302" s="21"/>
    </row>
    <row r="1303">
      <c r="A1303" s="19">
        <v>12233.0</v>
      </c>
      <c r="B1303" s="19" t="s">
        <v>1334</v>
      </c>
      <c r="C1303" s="20">
        <v>24861.0</v>
      </c>
      <c r="D1303" s="19" t="str">
        <f t="shared" si="1"/>
        <v> </v>
      </c>
      <c r="E1303" s="19" t="str">
        <f t="shared" si="2"/>
        <v> </v>
      </c>
      <c r="F1303" s="21"/>
    </row>
    <row r="1304">
      <c r="A1304" s="19">
        <v>12235.0</v>
      </c>
      <c r="B1304" s="19" t="s">
        <v>1335</v>
      </c>
      <c r="C1304" s="20">
        <v>19969.0</v>
      </c>
      <c r="D1304" s="19" t="str">
        <f t="shared" si="1"/>
        <v> </v>
      </c>
      <c r="E1304" s="19" t="str">
        <f t="shared" si="2"/>
        <v> </v>
      </c>
      <c r="F1304" s="21"/>
    </row>
    <row r="1305">
      <c r="A1305" s="19">
        <v>12236.0</v>
      </c>
      <c r="B1305" s="19" t="s">
        <v>1336</v>
      </c>
      <c r="C1305" s="20">
        <v>21463.0</v>
      </c>
      <c r="D1305" s="19" t="str">
        <f t="shared" si="1"/>
        <v> </v>
      </c>
      <c r="E1305" s="19" t="str">
        <f t="shared" si="2"/>
        <v> </v>
      </c>
      <c r="F1305" s="21"/>
    </row>
    <row r="1306">
      <c r="A1306" s="19">
        <v>12238.0</v>
      </c>
      <c r="B1306" s="19" t="s">
        <v>1337</v>
      </c>
      <c r="C1306" s="20">
        <v>35155.0</v>
      </c>
      <c r="D1306" s="19" t="str">
        <f t="shared" si="1"/>
        <v> </v>
      </c>
      <c r="E1306" s="19" t="str">
        <f t="shared" si="2"/>
        <v> </v>
      </c>
      <c r="F1306" s="21"/>
    </row>
    <row r="1307">
      <c r="A1307" s="19">
        <v>12242.0</v>
      </c>
      <c r="B1307" s="19" t="s">
        <v>1338</v>
      </c>
      <c r="C1307" s="20">
        <v>31646.0</v>
      </c>
      <c r="D1307" s="19" t="str">
        <f t="shared" si="1"/>
        <v> </v>
      </c>
      <c r="E1307" s="19" t="str">
        <f t="shared" si="2"/>
        <v> </v>
      </c>
      <c r="F1307" s="21"/>
    </row>
    <row r="1308">
      <c r="A1308" s="19">
        <v>12243.0</v>
      </c>
      <c r="B1308" s="19" t="s">
        <v>1339</v>
      </c>
      <c r="C1308" s="20">
        <v>19139.0</v>
      </c>
      <c r="D1308" s="19" t="str">
        <f t="shared" si="1"/>
        <v> </v>
      </c>
      <c r="E1308" s="19" t="str">
        <f t="shared" si="2"/>
        <v> </v>
      </c>
      <c r="F1308" s="21"/>
    </row>
    <row r="1309">
      <c r="A1309" s="19">
        <v>12245.0</v>
      </c>
      <c r="B1309" s="19" t="s">
        <v>1340</v>
      </c>
      <c r="C1309" s="20">
        <v>20146.0</v>
      </c>
      <c r="D1309" s="19" t="str">
        <f t="shared" si="1"/>
        <v> </v>
      </c>
      <c r="E1309" s="19" t="str">
        <f t="shared" si="2"/>
        <v> </v>
      </c>
      <c r="F1309" s="21"/>
    </row>
    <row r="1310">
      <c r="A1310" s="19">
        <v>12246.0</v>
      </c>
      <c r="B1310" s="19" t="s">
        <v>1341</v>
      </c>
      <c r="C1310" s="20">
        <v>27076.0</v>
      </c>
      <c r="D1310" s="19" t="str">
        <f t="shared" si="1"/>
        <v> </v>
      </c>
      <c r="E1310" s="19" t="str">
        <f t="shared" si="2"/>
        <v> </v>
      </c>
      <c r="F1310" s="21"/>
    </row>
    <row r="1311">
      <c r="A1311" s="19">
        <v>12247.0</v>
      </c>
      <c r="B1311" s="19" t="s">
        <v>1342</v>
      </c>
      <c r="C1311" s="20">
        <v>16149.0</v>
      </c>
      <c r="D1311" s="19" t="str">
        <f t="shared" si="1"/>
        <v> </v>
      </c>
      <c r="E1311" s="19" t="str">
        <f t="shared" si="2"/>
        <v> </v>
      </c>
      <c r="F1311" s="21"/>
    </row>
    <row r="1312">
      <c r="A1312" s="19">
        <v>12248.0</v>
      </c>
      <c r="B1312" s="19" t="s">
        <v>1343</v>
      </c>
      <c r="C1312" s="20">
        <v>19554.0</v>
      </c>
      <c r="D1312" s="19" t="str">
        <f t="shared" si="1"/>
        <v> </v>
      </c>
      <c r="E1312" s="19" t="str">
        <f t="shared" si="2"/>
        <v> </v>
      </c>
      <c r="F1312" s="21"/>
    </row>
    <row r="1313">
      <c r="A1313" s="19">
        <v>12250.0</v>
      </c>
      <c r="B1313" s="19" t="s">
        <v>1344</v>
      </c>
      <c r="C1313" s="20">
        <v>23723.0</v>
      </c>
      <c r="D1313" s="19" t="str">
        <f t="shared" si="1"/>
        <v> </v>
      </c>
      <c r="E1313" s="19" t="str">
        <f t="shared" si="2"/>
        <v> </v>
      </c>
      <c r="F1313" s="21"/>
    </row>
    <row r="1314">
      <c r="A1314" s="19">
        <v>12253.0</v>
      </c>
      <c r="B1314" s="19" t="s">
        <v>1345</v>
      </c>
      <c r="C1314" s="20">
        <v>28903.0</v>
      </c>
      <c r="D1314" s="19" t="str">
        <f t="shared" si="1"/>
        <v> </v>
      </c>
      <c r="E1314" s="19" t="str">
        <f t="shared" si="2"/>
        <v> </v>
      </c>
      <c r="F1314" s="21"/>
    </row>
    <row r="1315">
      <c r="A1315" s="19">
        <v>12254.0</v>
      </c>
      <c r="B1315" s="19" t="s">
        <v>1346</v>
      </c>
      <c r="C1315" s="20">
        <v>17578.0</v>
      </c>
      <c r="D1315" s="19" t="str">
        <f t="shared" si="1"/>
        <v> </v>
      </c>
      <c r="E1315" s="19" t="str">
        <f t="shared" si="2"/>
        <v> </v>
      </c>
      <c r="F1315" s="21"/>
    </row>
    <row r="1316">
      <c r="A1316" s="19">
        <v>12258.0</v>
      </c>
      <c r="B1316" s="19" t="s">
        <v>1347</v>
      </c>
      <c r="C1316" s="20">
        <v>17047.0</v>
      </c>
      <c r="D1316" s="19" t="str">
        <f t="shared" si="1"/>
        <v> </v>
      </c>
      <c r="E1316" s="19" t="str">
        <f t="shared" si="2"/>
        <v> </v>
      </c>
      <c r="F1316" s="21"/>
    </row>
    <row r="1317">
      <c r="A1317" s="19">
        <v>12259.0</v>
      </c>
      <c r="B1317" s="19" t="s">
        <v>1348</v>
      </c>
      <c r="C1317" s="20">
        <v>19026.0</v>
      </c>
      <c r="D1317" s="19" t="str">
        <f t="shared" si="1"/>
        <v> </v>
      </c>
      <c r="E1317" s="19" t="str">
        <f t="shared" si="2"/>
        <v> </v>
      </c>
      <c r="F1317" s="21"/>
    </row>
    <row r="1318">
      <c r="A1318" s="19">
        <v>12264.0</v>
      </c>
      <c r="B1318" s="19" t="s">
        <v>1349</v>
      </c>
      <c r="C1318" s="20">
        <v>13630.0</v>
      </c>
      <c r="D1318" s="19" t="str">
        <f t="shared" si="1"/>
        <v> </v>
      </c>
      <c r="E1318" s="19" t="str">
        <f t="shared" si="2"/>
        <v> </v>
      </c>
      <c r="F1318" s="21"/>
    </row>
    <row r="1319">
      <c r="A1319" s="19">
        <v>12266.0</v>
      </c>
      <c r="B1319" s="19" t="s">
        <v>1350</v>
      </c>
      <c r="C1319" s="20">
        <v>27652.0</v>
      </c>
      <c r="D1319" s="19" t="str">
        <f t="shared" si="1"/>
        <v> </v>
      </c>
      <c r="E1319" s="19" t="str">
        <f t="shared" si="2"/>
        <v> </v>
      </c>
      <c r="F1319" s="21"/>
    </row>
    <row r="1320">
      <c r="A1320" s="19">
        <v>12267.0</v>
      </c>
      <c r="B1320" s="19" t="s">
        <v>1351</v>
      </c>
      <c r="C1320" s="20">
        <v>23969.0</v>
      </c>
      <c r="D1320" s="19" t="str">
        <f t="shared" si="1"/>
        <v> </v>
      </c>
      <c r="E1320" s="19" t="str">
        <f t="shared" si="2"/>
        <v> </v>
      </c>
      <c r="F1320" s="21"/>
    </row>
    <row r="1321">
      <c r="A1321" s="19">
        <v>12268.0</v>
      </c>
      <c r="B1321" s="19" t="s">
        <v>1352</v>
      </c>
      <c r="C1321" s="20">
        <v>25453.0</v>
      </c>
      <c r="D1321" s="19" t="str">
        <f t="shared" si="1"/>
        <v> </v>
      </c>
      <c r="E1321" s="19" t="str">
        <f t="shared" si="2"/>
        <v> </v>
      </c>
      <c r="F1321" s="21"/>
    </row>
    <row r="1322">
      <c r="A1322" s="19">
        <v>12269.0</v>
      </c>
      <c r="B1322" s="19" t="s">
        <v>1353</v>
      </c>
      <c r="C1322" s="20">
        <v>30557.0</v>
      </c>
      <c r="D1322" s="19" t="str">
        <f t="shared" si="1"/>
        <v> </v>
      </c>
      <c r="E1322" s="19" t="str">
        <f t="shared" si="2"/>
        <v> </v>
      </c>
      <c r="F1322" s="21"/>
    </row>
    <row r="1323">
      <c r="A1323" s="19">
        <v>12270.0</v>
      </c>
      <c r="B1323" s="19" t="s">
        <v>1354</v>
      </c>
      <c r="C1323" s="20">
        <v>23565.0</v>
      </c>
      <c r="D1323" s="19" t="str">
        <f t="shared" si="1"/>
        <v> </v>
      </c>
      <c r="E1323" s="19" t="str">
        <f t="shared" si="2"/>
        <v> </v>
      </c>
      <c r="F1323" s="21"/>
    </row>
    <row r="1324">
      <c r="A1324" s="19">
        <v>12273.0</v>
      </c>
      <c r="B1324" s="19" t="s">
        <v>1355</v>
      </c>
      <c r="C1324" s="20">
        <v>20419.0</v>
      </c>
      <c r="D1324" s="19" t="str">
        <f t="shared" si="1"/>
        <v> </v>
      </c>
      <c r="E1324" s="19" t="str">
        <f t="shared" si="2"/>
        <v> </v>
      </c>
      <c r="F1324" s="21"/>
    </row>
    <row r="1325">
      <c r="A1325" s="19">
        <v>12274.0</v>
      </c>
      <c r="B1325" s="19" t="s">
        <v>1356</v>
      </c>
      <c r="C1325" s="20">
        <v>27219.0</v>
      </c>
      <c r="D1325" s="19" t="str">
        <f t="shared" si="1"/>
        <v> </v>
      </c>
      <c r="E1325" s="19" t="str">
        <f t="shared" si="2"/>
        <v> </v>
      </c>
      <c r="F1325" s="21"/>
    </row>
    <row r="1326">
      <c r="A1326" s="19">
        <v>12275.0</v>
      </c>
      <c r="B1326" s="19" t="s">
        <v>1357</v>
      </c>
      <c r="C1326" s="20">
        <v>14237.0</v>
      </c>
      <c r="D1326" s="19" t="str">
        <f t="shared" si="1"/>
        <v> </v>
      </c>
      <c r="E1326" s="19" t="str">
        <f t="shared" si="2"/>
        <v> </v>
      </c>
      <c r="F1326" s="21"/>
    </row>
    <row r="1327">
      <c r="A1327" s="19">
        <v>12278.0</v>
      </c>
      <c r="B1327" s="19" t="s">
        <v>1358</v>
      </c>
      <c r="C1327" s="20">
        <v>14516.0</v>
      </c>
      <c r="D1327" s="19" t="str">
        <f t="shared" si="1"/>
        <v> </v>
      </c>
      <c r="E1327" s="19" t="str">
        <f t="shared" si="2"/>
        <v> </v>
      </c>
      <c r="F1327" s="21"/>
    </row>
    <row r="1328">
      <c r="A1328" s="19">
        <v>12279.0</v>
      </c>
      <c r="B1328" s="19" t="s">
        <v>1359</v>
      </c>
      <c r="C1328" s="20">
        <v>23865.0</v>
      </c>
      <c r="D1328" s="19" t="str">
        <f t="shared" si="1"/>
        <v> </v>
      </c>
      <c r="E1328" s="19" t="str">
        <f t="shared" si="2"/>
        <v> </v>
      </c>
      <c r="F1328" s="21"/>
    </row>
    <row r="1329">
      <c r="A1329" s="19">
        <v>12280.0</v>
      </c>
      <c r="B1329" s="19" t="s">
        <v>1360</v>
      </c>
      <c r="C1329" s="20">
        <v>24940.0</v>
      </c>
      <c r="D1329" s="19" t="str">
        <f t="shared" si="1"/>
        <v> </v>
      </c>
      <c r="E1329" s="19" t="str">
        <f t="shared" si="2"/>
        <v> </v>
      </c>
      <c r="F1329" s="21"/>
    </row>
    <row r="1330">
      <c r="A1330" s="19">
        <v>12282.0</v>
      </c>
      <c r="B1330" s="19" t="s">
        <v>1361</v>
      </c>
      <c r="C1330" s="20">
        <v>16444.0</v>
      </c>
      <c r="D1330" s="19" t="str">
        <f t="shared" si="1"/>
        <v> </v>
      </c>
      <c r="E1330" s="19" t="str">
        <f t="shared" si="2"/>
        <v> </v>
      </c>
      <c r="F1330" s="21"/>
    </row>
    <row r="1331">
      <c r="A1331" s="19">
        <v>12283.0</v>
      </c>
      <c r="B1331" s="19" t="s">
        <v>1362</v>
      </c>
      <c r="C1331" s="20">
        <v>29642.0</v>
      </c>
      <c r="D1331" s="19" t="str">
        <f t="shared" si="1"/>
        <v> </v>
      </c>
      <c r="E1331" s="19" t="str">
        <f t="shared" si="2"/>
        <v> </v>
      </c>
      <c r="F1331" s="21"/>
    </row>
    <row r="1332">
      <c r="A1332" s="19">
        <v>12284.0</v>
      </c>
      <c r="B1332" s="19" t="s">
        <v>1363</v>
      </c>
      <c r="C1332" s="20">
        <v>27661.0</v>
      </c>
      <c r="D1332" s="19" t="str">
        <f t="shared" si="1"/>
        <v> </v>
      </c>
      <c r="E1332" s="19" t="str">
        <f t="shared" si="2"/>
        <v> </v>
      </c>
      <c r="F1332" s="21"/>
    </row>
    <row r="1333">
      <c r="A1333" s="19">
        <v>12285.0</v>
      </c>
      <c r="B1333" s="19" t="s">
        <v>1364</v>
      </c>
      <c r="C1333" s="20">
        <v>16501.0</v>
      </c>
      <c r="D1333" s="19" t="str">
        <f t="shared" si="1"/>
        <v> </v>
      </c>
      <c r="E1333" s="19" t="str">
        <f t="shared" si="2"/>
        <v> </v>
      </c>
      <c r="F1333" s="21"/>
    </row>
    <row r="1334">
      <c r="A1334" s="19">
        <v>12286.0</v>
      </c>
      <c r="B1334" s="19" t="s">
        <v>1365</v>
      </c>
      <c r="C1334" s="20">
        <v>15780.0</v>
      </c>
      <c r="D1334" s="19" t="str">
        <f t="shared" si="1"/>
        <v> </v>
      </c>
      <c r="E1334" s="19" t="str">
        <f t="shared" si="2"/>
        <v> </v>
      </c>
      <c r="F1334" s="21"/>
    </row>
    <row r="1335">
      <c r="A1335" s="19">
        <v>12287.0</v>
      </c>
      <c r="B1335" s="19" t="s">
        <v>1366</v>
      </c>
      <c r="C1335" s="20">
        <v>26721.0</v>
      </c>
      <c r="D1335" s="19" t="str">
        <f t="shared" si="1"/>
        <v> </v>
      </c>
      <c r="E1335" s="19" t="str">
        <f t="shared" si="2"/>
        <v> </v>
      </c>
      <c r="F1335" s="21"/>
    </row>
    <row r="1336">
      <c r="A1336" s="19">
        <v>12288.0</v>
      </c>
      <c r="B1336" s="19" t="s">
        <v>1367</v>
      </c>
      <c r="C1336" s="20">
        <v>20060.0</v>
      </c>
      <c r="D1336" s="19" t="str">
        <f t="shared" si="1"/>
        <v> </v>
      </c>
      <c r="E1336" s="19" t="str">
        <f t="shared" si="2"/>
        <v> </v>
      </c>
      <c r="F1336" s="21"/>
    </row>
    <row r="1337">
      <c r="A1337" s="19">
        <v>12289.0</v>
      </c>
      <c r="B1337" s="19" t="s">
        <v>1368</v>
      </c>
      <c r="C1337" s="20">
        <v>15105.0</v>
      </c>
      <c r="D1337" s="19" t="str">
        <f t="shared" si="1"/>
        <v> </v>
      </c>
      <c r="E1337" s="19" t="str">
        <f t="shared" si="2"/>
        <v> </v>
      </c>
      <c r="F1337" s="21"/>
    </row>
    <row r="1338">
      <c r="A1338" s="19">
        <v>12291.0</v>
      </c>
      <c r="B1338" s="19" t="s">
        <v>1369</v>
      </c>
      <c r="C1338" s="20">
        <v>12412.0</v>
      </c>
      <c r="D1338" s="19" t="str">
        <f t="shared" si="1"/>
        <v> </v>
      </c>
      <c r="E1338" s="19" t="str">
        <f t="shared" si="2"/>
        <v> </v>
      </c>
      <c r="F1338" s="21"/>
    </row>
    <row r="1339">
      <c r="A1339" s="19">
        <v>12292.0</v>
      </c>
      <c r="B1339" s="19" t="s">
        <v>1370</v>
      </c>
      <c r="C1339" s="20">
        <v>20548.0</v>
      </c>
      <c r="D1339" s="19" t="str">
        <f t="shared" si="1"/>
        <v> </v>
      </c>
      <c r="E1339" s="19" t="str">
        <f t="shared" si="2"/>
        <v> </v>
      </c>
      <c r="F1339" s="21"/>
    </row>
    <row r="1340">
      <c r="A1340" s="19">
        <v>12295.0</v>
      </c>
      <c r="B1340" s="19" t="s">
        <v>1371</v>
      </c>
      <c r="C1340" s="20">
        <v>29631.0</v>
      </c>
      <c r="D1340" s="19" t="str">
        <f t="shared" si="1"/>
        <v> </v>
      </c>
      <c r="E1340" s="19" t="str">
        <f t="shared" si="2"/>
        <v> </v>
      </c>
      <c r="F1340" s="21"/>
    </row>
    <row r="1341">
      <c r="A1341" s="19">
        <v>12296.0</v>
      </c>
      <c r="B1341" s="19" t="s">
        <v>1372</v>
      </c>
      <c r="C1341" s="20">
        <v>21176.0</v>
      </c>
      <c r="D1341" s="19" t="str">
        <f t="shared" si="1"/>
        <v> </v>
      </c>
      <c r="E1341" s="19" t="str">
        <f t="shared" si="2"/>
        <v> </v>
      </c>
      <c r="F1341" s="21"/>
    </row>
    <row r="1342">
      <c r="A1342" s="19">
        <v>12297.0</v>
      </c>
      <c r="B1342" s="19" t="s">
        <v>1373</v>
      </c>
      <c r="C1342" s="20">
        <v>26007.0</v>
      </c>
      <c r="D1342" s="19" t="str">
        <f t="shared" si="1"/>
        <v> </v>
      </c>
      <c r="E1342" s="19" t="str">
        <f t="shared" si="2"/>
        <v> </v>
      </c>
      <c r="F1342" s="21"/>
    </row>
    <row r="1343">
      <c r="A1343" s="19">
        <v>12299.0</v>
      </c>
      <c r="B1343" s="19" t="s">
        <v>1374</v>
      </c>
      <c r="C1343" s="20">
        <v>27985.0</v>
      </c>
      <c r="D1343" s="19" t="str">
        <f t="shared" si="1"/>
        <v> </v>
      </c>
      <c r="E1343" s="19" t="str">
        <f t="shared" si="2"/>
        <v> </v>
      </c>
      <c r="F1343" s="21"/>
    </row>
    <row r="1344">
      <c r="A1344" s="19">
        <v>12300.0</v>
      </c>
      <c r="B1344" s="19" t="s">
        <v>1375</v>
      </c>
      <c r="C1344" s="20">
        <v>21475.0</v>
      </c>
      <c r="D1344" s="19" t="str">
        <f t="shared" si="1"/>
        <v> </v>
      </c>
      <c r="E1344" s="19" t="str">
        <f t="shared" si="2"/>
        <v> </v>
      </c>
      <c r="F1344" s="21"/>
    </row>
    <row r="1345">
      <c r="A1345" s="19">
        <v>12301.0</v>
      </c>
      <c r="B1345" s="19" t="s">
        <v>1376</v>
      </c>
      <c r="C1345" s="20">
        <v>17184.0</v>
      </c>
      <c r="D1345" s="19" t="str">
        <f t="shared" si="1"/>
        <v> </v>
      </c>
      <c r="E1345" s="19" t="str">
        <f t="shared" si="2"/>
        <v> </v>
      </c>
      <c r="F1345" s="21"/>
    </row>
    <row r="1346">
      <c r="A1346" s="19">
        <v>12303.0</v>
      </c>
      <c r="B1346" s="19" t="s">
        <v>1377</v>
      </c>
      <c r="C1346" s="20">
        <v>26384.0</v>
      </c>
      <c r="D1346" s="19" t="str">
        <f t="shared" si="1"/>
        <v> </v>
      </c>
      <c r="E1346" s="19" t="str">
        <f t="shared" si="2"/>
        <v> </v>
      </c>
      <c r="F1346" s="21"/>
    </row>
    <row r="1347">
      <c r="A1347" s="19">
        <v>12305.0</v>
      </c>
      <c r="B1347" s="19" t="s">
        <v>1378</v>
      </c>
      <c r="C1347" s="20">
        <v>21728.0</v>
      </c>
      <c r="D1347" s="19" t="str">
        <f t="shared" si="1"/>
        <v> </v>
      </c>
      <c r="E1347" s="19" t="str">
        <f t="shared" si="2"/>
        <v> </v>
      </c>
      <c r="F1347" s="21"/>
    </row>
    <row r="1348">
      <c r="A1348" s="19">
        <v>12306.0</v>
      </c>
      <c r="B1348" s="19" t="s">
        <v>1379</v>
      </c>
      <c r="C1348" s="20">
        <v>24687.0</v>
      </c>
      <c r="D1348" s="19" t="str">
        <f t="shared" si="1"/>
        <v> </v>
      </c>
      <c r="E1348" s="19" t="str">
        <f t="shared" si="2"/>
        <v> </v>
      </c>
      <c r="F1348" s="21"/>
    </row>
    <row r="1349">
      <c r="A1349" s="19">
        <v>12308.0</v>
      </c>
      <c r="B1349" s="19" t="s">
        <v>1380</v>
      </c>
      <c r="C1349" s="20">
        <v>25252.0</v>
      </c>
      <c r="D1349" s="19" t="str">
        <f t="shared" si="1"/>
        <v> </v>
      </c>
      <c r="E1349" s="19" t="str">
        <f t="shared" si="2"/>
        <v> </v>
      </c>
      <c r="F1349" s="21"/>
    </row>
    <row r="1350">
      <c r="A1350" s="19">
        <v>12309.0</v>
      </c>
      <c r="B1350" s="19" t="s">
        <v>1381</v>
      </c>
      <c r="C1350" s="20">
        <v>16897.0</v>
      </c>
      <c r="D1350" s="19" t="str">
        <f t="shared" si="1"/>
        <v> </v>
      </c>
      <c r="E1350" s="19" t="str">
        <f t="shared" si="2"/>
        <v> </v>
      </c>
      <c r="F1350" s="21"/>
    </row>
    <row r="1351">
      <c r="A1351" s="19">
        <v>12311.0</v>
      </c>
      <c r="B1351" s="19" t="s">
        <v>1382</v>
      </c>
      <c r="C1351" s="20">
        <v>24960.0</v>
      </c>
      <c r="D1351" s="19" t="str">
        <f t="shared" si="1"/>
        <v> </v>
      </c>
      <c r="E1351" s="19" t="str">
        <f t="shared" si="2"/>
        <v> </v>
      </c>
      <c r="F1351" s="21"/>
    </row>
    <row r="1352">
      <c r="A1352" s="19">
        <v>12314.0</v>
      </c>
      <c r="B1352" s="19" t="s">
        <v>1383</v>
      </c>
      <c r="C1352" s="20">
        <v>30045.0</v>
      </c>
      <c r="D1352" s="19" t="str">
        <f t="shared" si="1"/>
        <v> </v>
      </c>
      <c r="E1352" s="19" t="str">
        <f t="shared" si="2"/>
        <v> </v>
      </c>
      <c r="F1352" s="21"/>
    </row>
    <row r="1353">
      <c r="A1353" s="19">
        <v>12315.0</v>
      </c>
      <c r="B1353" s="19" t="s">
        <v>1384</v>
      </c>
      <c r="C1353" s="20">
        <v>26801.0</v>
      </c>
      <c r="D1353" s="19" t="str">
        <f t="shared" si="1"/>
        <v> </v>
      </c>
      <c r="E1353" s="19" t="str">
        <f t="shared" si="2"/>
        <v> </v>
      </c>
      <c r="F1353" s="21"/>
    </row>
    <row r="1354">
      <c r="A1354" s="19">
        <v>12316.0</v>
      </c>
      <c r="B1354" s="19" t="s">
        <v>1385</v>
      </c>
      <c r="C1354" s="20">
        <v>21955.0</v>
      </c>
      <c r="D1354" s="19" t="str">
        <f t="shared" si="1"/>
        <v> </v>
      </c>
      <c r="E1354" s="19" t="str">
        <f t="shared" si="2"/>
        <v> </v>
      </c>
      <c r="F1354" s="21"/>
    </row>
    <row r="1355">
      <c r="A1355" s="19">
        <v>12317.0</v>
      </c>
      <c r="B1355" s="19" t="s">
        <v>1386</v>
      </c>
      <c r="C1355" s="20">
        <v>18043.0</v>
      </c>
      <c r="D1355" s="19" t="str">
        <f t="shared" si="1"/>
        <v> </v>
      </c>
      <c r="E1355" s="19" t="str">
        <f t="shared" si="2"/>
        <v> </v>
      </c>
      <c r="F1355" s="21"/>
    </row>
    <row r="1356">
      <c r="A1356" s="19">
        <v>12318.0</v>
      </c>
      <c r="B1356" s="19" t="s">
        <v>1387</v>
      </c>
      <c r="C1356" s="20">
        <v>20463.0</v>
      </c>
      <c r="D1356" s="19" t="str">
        <f t="shared" si="1"/>
        <v> </v>
      </c>
      <c r="E1356" s="19" t="str">
        <f t="shared" si="2"/>
        <v> </v>
      </c>
      <c r="F1356" s="21"/>
    </row>
    <row r="1357">
      <c r="A1357" s="19">
        <v>12319.0</v>
      </c>
      <c r="B1357" s="19" t="s">
        <v>1388</v>
      </c>
      <c r="C1357" s="20">
        <v>16281.0</v>
      </c>
      <c r="D1357" s="19" t="str">
        <f t="shared" si="1"/>
        <v> </v>
      </c>
      <c r="E1357" s="19" t="str">
        <f t="shared" si="2"/>
        <v> </v>
      </c>
      <c r="F1357" s="21"/>
    </row>
    <row r="1358">
      <c r="A1358" s="19">
        <v>12320.0</v>
      </c>
      <c r="B1358" s="19" t="s">
        <v>1389</v>
      </c>
      <c r="C1358" s="20">
        <v>20092.0</v>
      </c>
      <c r="D1358" s="19" t="str">
        <f t="shared" si="1"/>
        <v> </v>
      </c>
      <c r="E1358" s="19" t="str">
        <f t="shared" si="2"/>
        <v> </v>
      </c>
      <c r="F1358" s="21"/>
    </row>
    <row r="1359">
      <c r="A1359" s="19">
        <v>12321.0</v>
      </c>
      <c r="B1359" s="19" t="s">
        <v>1390</v>
      </c>
      <c r="C1359" s="20">
        <v>26233.0</v>
      </c>
      <c r="D1359" s="19" t="str">
        <f t="shared" si="1"/>
        <v> </v>
      </c>
      <c r="E1359" s="19" t="str">
        <f t="shared" si="2"/>
        <v> </v>
      </c>
      <c r="F1359" s="21"/>
    </row>
    <row r="1360">
      <c r="A1360" s="19">
        <v>12322.0</v>
      </c>
      <c r="B1360" s="19" t="s">
        <v>1391</v>
      </c>
      <c r="C1360" s="20">
        <v>24917.0</v>
      </c>
      <c r="D1360" s="19" t="str">
        <f t="shared" si="1"/>
        <v> </v>
      </c>
      <c r="E1360" s="19" t="str">
        <f t="shared" si="2"/>
        <v> </v>
      </c>
      <c r="F1360" s="21"/>
    </row>
    <row r="1361">
      <c r="A1361" s="19">
        <v>12323.0</v>
      </c>
      <c r="B1361" s="19" t="s">
        <v>1392</v>
      </c>
      <c r="C1361" s="20">
        <v>19587.0</v>
      </c>
      <c r="D1361" s="19" t="str">
        <f t="shared" si="1"/>
        <v> </v>
      </c>
      <c r="E1361" s="19" t="str">
        <f t="shared" si="2"/>
        <v> </v>
      </c>
      <c r="F1361" s="21"/>
    </row>
    <row r="1362">
      <c r="A1362" s="19">
        <v>12324.0</v>
      </c>
      <c r="B1362" s="19" t="s">
        <v>1393</v>
      </c>
      <c r="C1362" s="20">
        <v>17414.0</v>
      </c>
      <c r="D1362" s="19" t="str">
        <f t="shared" si="1"/>
        <v> </v>
      </c>
      <c r="E1362" s="19" t="str">
        <f t="shared" si="2"/>
        <v> </v>
      </c>
      <c r="F1362" s="21"/>
    </row>
    <row r="1363">
      <c r="A1363" s="19">
        <v>12325.0</v>
      </c>
      <c r="B1363" s="19" t="s">
        <v>1394</v>
      </c>
      <c r="C1363" s="20">
        <v>20223.0</v>
      </c>
      <c r="D1363" s="19" t="str">
        <f t="shared" si="1"/>
        <v> </v>
      </c>
      <c r="E1363" s="19" t="str">
        <f t="shared" si="2"/>
        <v> </v>
      </c>
      <c r="F1363" s="21"/>
    </row>
    <row r="1364">
      <c r="A1364" s="19">
        <v>12327.0</v>
      </c>
      <c r="B1364" s="19" t="s">
        <v>1395</v>
      </c>
      <c r="C1364" s="20">
        <v>35605.0</v>
      </c>
      <c r="D1364" s="19" t="str">
        <f t="shared" si="1"/>
        <v> </v>
      </c>
      <c r="E1364" s="19" t="str">
        <f t="shared" si="2"/>
        <v> </v>
      </c>
      <c r="F1364" s="21"/>
    </row>
    <row r="1365">
      <c r="A1365" s="19">
        <v>12328.0</v>
      </c>
      <c r="B1365" s="19" t="s">
        <v>1396</v>
      </c>
      <c r="C1365" s="20">
        <v>18799.0</v>
      </c>
      <c r="D1365" s="19" t="str">
        <f t="shared" si="1"/>
        <v> </v>
      </c>
      <c r="E1365" s="19" t="str">
        <f t="shared" si="2"/>
        <v> </v>
      </c>
      <c r="F1365" s="21"/>
    </row>
    <row r="1366">
      <c r="A1366" s="19">
        <v>12329.0</v>
      </c>
      <c r="B1366" s="19" t="s">
        <v>1397</v>
      </c>
      <c r="C1366" s="20">
        <v>16328.0</v>
      </c>
      <c r="D1366" s="19" t="str">
        <f t="shared" si="1"/>
        <v> </v>
      </c>
      <c r="E1366" s="19" t="str">
        <f t="shared" si="2"/>
        <v> </v>
      </c>
      <c r="F1366" s="21"/>
    </row>
    <row r="1367">
      <c r="A1367" s="19">
        <v>12330.0</v>
      </c>
      <c r="B1367" s="19" t="s">
        <v>1398</v>
      </c>
      <c r="C1367" s="20">
        <v>20028.0</v>
      </c>
      <c r="D1367" s="19" t="str">
        <f t="shared" si="1"/>
        <v> </v>
      </c>
      <c r="E1367" s="19" t="str">
        <f t="shared" si="2"/>
        <v> </v>
      </c>
      <c r="F1367" s="21"/>
    </row>
    <row r="1368">
      <c r="A1368" s="19">
        <v>12331.0</v>
      </c>
      <c r="B1368" s="19" t="s">
        <v>1399</v>
      </c>
      <c r="C1368" s="20">
        <v>23218.0</v>
      </c>
      <c r="D1368" s="19" t="str">
        <f t="shared" si="1"/>
        <v> </v>
      </c>
      <c r="E1368" s="19" t="str">
        <f t="shared" si="2"/>
        <v> </v>
      </c>
      <c r="F1368" s="21"/>
    </row>
    <row r="1369">
      <c r="A1369" s="19">
        <v>12332.0</v>
      </c>
      <c r="B1369" s="19" t="s">
        <v>1400</v>
      </c>
      <c r="C1369" s="20">
        <v>20646.0</v>
      </c>
      <c r="D1369" s="19" t="str">
        <f t="shared" si="1"/>
        <v> </v>
      </c>
      <c r="E1369" s="19" t="str">
        <f t="shared" si="2"/>
        <v> </v>
      </c>
      <c r="F1369" s="21"/>
    </row>
    <row r="1370">
      <c r="A1370" s="19">
        <v>12334.0</v>
      </c>
      <c r="B1370" s="19" t="s">
        <v>1401</v>
      </c>
      <c r="C1370" s="20">
        <v>23149.0</v>
      </c>
      <c r="D1370" s="19" t="str">
        <f t="shared" si="1"/>
        <v> </v>
      </c>
      <c r="E1370" s="19" t="str">
        <f t="shared" si="2"/>
        <v> </v>
      </c>
      <c r="F1370" s="21"/>
    </row>
    <row r="1371">
      <c r="A1371" s="19">
        <v>12336.0</v>
      </c>
      <c r="B1371" s="19" t="s">
        <v>1402</v>
      </c>
      <c r="C1371" s="20">
        <v>20626.0</v>
      </c>
      <c r="D1371" s="19" t="str">
        <f t="shared" si="1"/>
        <v> </v>
      </c>
      <c r="E1371" s="19" t="str">
        <f t="shared" si="2"/>
        <v> </v>
      </c>
      <c r="F1371" s="21"/>
    </row>
    <row r="1372">
      <c r="A1372" s="19">
        <v>12338.0</v>
      </c>
      <c r="B1372" s="19" t="s">
        <v>1403</v>
      </c>
      <c r="C1372" s="20">
        <v>29201.0</v>
      </c>
      <c r="D1372" s="19" t="str">
        <f t="shared" si="1"/>
        <v> </v>
      </c>
      <c r="E1372" s="19" t="str">
        <f t="shared" si="2"/>
        <v> </v>
      </c>
      <c r="F1372" s="21"/>
    </row>
    <row r="1373">
      <c r="A1373" s="19">
        <v>12339.0</v>
      </c>
      <c r="B1373" s="19" t="s">
        <v>1404</v>
      </c>
      <c r="C1373" s="20">
        <v>21702.0</v>
      </c>
      <c r="D1373" s="19" t="str">
        <f t="shared" si="1"/>
        <v>Repeat</v>
      </c>
      <c r="E1373" s="19" t="str">
        <f t="shared" si="2"/>
        <v> </v>
      </c>
      <c r="F1373" s="21"/>
    </row>
    <row r="1374">
      <c r="A1374" s="19">
        <v>12340.0</v>
      </c>
      <c r="B1374" s="19" t="s">
        <v>1405</v>
      </c>
      <c r="C1374" s="20">
        <v>18088.0</v>
      </c>
      <c r="D1374" s="19" t="str">
        <f t="shared" si="1"/>
        <v> </v>
      </c>
      <c r="E1374" s="19" t="str">
        <f t="shared" si="2"/>
        <v> </v>
      </c>
      <c r="F1374" s="21"/>
    </row>
    <row r="1375">
      <c r="A1375" s="19">
        <v>12341.0</v>
      </c>
      <c r="B1375" s="19" t="s">
        <v>1406</v>
      </c>
      <c r="C1375" s="20">
        <v>19393.0</v>
      </c>
      <c r="D1375" s="19" t="str">
        <f t="shared" si="1"/>
        <v> </v>
      </c>
      <c r="E1375" s="19" t="str">
        <f t="shared" si="2"/>
        <v> </v>
      </c>
      <c r="F1375" s="21"/>
    </row>
    <row r="1376">
      <c r="A1376" s="19">
        <v>12345.0</v>
      </c>
      <c r="B1376" s="19" t="s">
        <v>1407</v>
      </c>
      <c r="C1376" s="20">
        <v>35321.0</v>
      </c>
      <c r="D1376" s="19" t="str">
        <f t="shared" si="1"/>
        <v> </v>
      </c>
      <c r="E1376" s="19" t="str">
        <f t="shared" si="2"/>
        <v> </v>
      </c>
      <c r="F1376" s="21"/>
    </row>
    <row r="1377">
      <c r="A1377" s="19">
        <v>12346.0</v>
      </c>
      <c r="B1377" s="19" t="s">
        <v>1408</v>
      </c>
      <c r="C1377" s="20">
        <v>24264.0</v>
      </c>
      <c r="D1377" s="19" t="str">
        <f t="shared" si="1"/>
        <v> </v>
      </c>
      <c r="E1377" s="19" t="str">
        <f t="shared" si="2"/>
        <v> </v>
      </c>
      <c r="F1377" s="21"/>
    </row>
    <row r="1378">
      <c r="A1378" s="19">
        <v>12347.0</v>
      </c>
      <c r="B1378" s="19" t="s">
        <v>1409</v>
      </c>
      <c r="C1378" s="20">
        <v>19119.0</v>
      </c>
      <c r="D1378" s="19" t="str">
        <f t="shared" si="1"/>
        <v> </v>
      </c>
      <c r="E1378" s="19" t="str">
        <f t="shared" si="2"/>
        <v> </v>
      </c>
      <c r="F1378" s="21"/>
    </row>
    <row r="1379">
      <c r="A1379" s="19">
        <v>12349.0</v>
      </c>
      <c r="B1379" s="19" t="s">
        <v>1410</v>
      </c>
      <c r="C1379" s="20">
        <v>27318.0</v>
      </c>
      <c r="D1379" s="19" t="str">
        <f t="shared" si="1"/>
        <v> </v>
      </c>
      <c r="E1379" s="19" t="str">
        <f t="shared" si="2"/>
        <v> </v>
      </c>
      <c r="F1379" s="21"/>
    </row>
    <row r="1380">
      <c r="A1380" s="19">
        <v>12355.0</v>
      </c>
      <c r="B1380" s="19" t="s">
        <v>1411</v>
      </c>
      <c r="C1380" s="20">
        <v>19441.0</v>
      </c>
      <c r="D1380" s="19" t="str">
        <f t="shared" si="1"/>
        <v>Repeat</v>
      </c>
      <c r="E1380" s="19" t="str">
        <f t="shared" si="2"/>
        <v> </v>
      </c>
      <c r="F1380" s="21"/>
    </row>
    <row r="1381">
      <c r="A1381" s="19">
        <v>12358.0</v>
      </c>
      <c r="B1381" s="19" t="s">
        <v>1412</v>
      </c>
      <c r="C1381" s="20">
        <v>16260.0</v>
      </c>
      <c r="D1381" s="19" t="str">
        <f t="shared" si="1"/>
        <v> </v>
      </c>
      <c r="E1381" s="19" t="str">
        <f t="shared" si="2"/>
        <v> </v>
      </c>
      <c r="F1381" s="21"/>
    </row>
    <row r="1382">
      <c r="A1382" s="19">
        <v>12360.0</v>
      </c>
      <c r="B1382" s="19" t="s">
        <v>1413</v>
      </c>
      <c r="C1382" s="20">
        <v>27366.0</v>
      </c>
      <c r="D1382" s="19" t="str">
        <f t="shared" si="1"/>
        <v> </v>
      </c>
      <c r="E1382" s="19" t="str">
        <f t="shared" si="2"/>
        <v> </v>
      </c>
      <c r="F1382" s="21"/>
    </row>
    <row r="1383">
      <c r="A1383" s="19">
        <v>12361.0</v>
      </c>
      <c r="B1383" s="19" t="s">
        <v>1414</v>
      </c>
      <c r="C1383" s="20">
        <v>21035.0</v>
      </c>
      <c r="D1383" s="19" t="str">
        <f t="shared" si="1"/>
        <v> </v>
      </c>
      <c r="E1383" s="19" t="str">
        <f t="shared" si="2"/>
        <v> </v>
      </c>
      <c r="F1383" s="21"/>
    </row>
    <row r="1384">
      <c r="A1384" s="19">
        <v>12362.0</v>
      </c>
      <c r="B1384" s="19" t="s">
        <v>1415</v>
      </c>
      <c r="C1384" s="20">
        <v>19975.0</v>
      </c>
      <c r="D1384" s="19" t="str">
        <f t="shared" si="1"/>
        <v> </v>
      </c>
      <c r="E1384" s="19" t="str">
        <f t="shared" si="2"/>
        <v> </v>
      </c>
      <c r="F1384" s="21"/>
    </row>
    <row r="1385">
      <c r="A1385" s="19">
        <v>12363.0</v>
      </c>
      <c r="B1385" s="19" t="s">
        <v>1416</v>
      </c>
      <c r="C1385" s="20">
        <v>23307.0</v>
      </c>
      <c r="D1385" s="19" t="str">
        <f t="shared" si="1"/>
        <v> </v>
      </c>
      <c r="E1385" s="19" t="str">
        <f t="shared" si="2"/>
        <v> </v>
      </c>
      <c r="F1385" s="21"/>
    </row>
    <row r="1386">
      <c r="A1386" s="19">
        <v>12367.0</v>
      </c>
      <c r="B1386" s="19" t="s">
        <v>1417</v>
      </c>
      <c r="C1386" s="20">
        <v>19657.0</v>
      </c>
      <c r="D1386" s="19" t="str">
        <f t="shared" si="1"/>
        <v> </v>
      </c>
      <c r="E1386" s="19" t="str">
        <f t="shared" si="2"/>
        <v> </v>
      </c>
      <c r="F1386" s="21"/>
    </row>
    <row r="1387">
      <c r="A1387" s="19">
        <v>12368.0</v>
      </c>
      <c r="B1387" s="19" t="s">
        <v>1418</v>
      </c>
      <c r="C1387" s="20">
        <v>16930.0</v>
      </c>
      <c r="D1387" s="19" t="str">
        <f t="shared" si="1"/>
        <v> </v>
      </c>
      <c r="E1387" s="19" t="str">
        <f t="shared" si="2"/>
        <v> </v>
      </c>
      <c r="F1387" s="21"/>
    </row>
    <row r="1388">
      <c r="A1388" s="19">
        <v>12370.0</v>
      </c>
      <c r="B1388" s="19" t="s">
        <v>1419</v>
      </c>
      <c r="C1388" s="20">
        <v>29544.0</v>
      </c>
      <c r="D1388" s="19" t="str">
        <f t="shared" si="1"/>
        <v> </v>
      </c>
      <c r="E1388" s="19" t="str">
        <f t="shared" si="2"/>
        <v> </v>
      </c>
      <c r="F1388" s="21"/>
    </row>
    <row r="1389">
      <c r="A1389" s="19">
        <v>12373.0</v>
      </c>
      <c r="B1389" s="19" t="s">
        <v>1420</v>
      </c>
      <c r="C1389" s="20">
        <v>10977.0</v>
      </c>
      <c r="D1389" s="19" t="str">
        <f t="shared" si="1"/>
        <v> </v>
      </c>
      <c r="E1389" s="19" t="str">
        <f t="shared" si="2"/>
        <v> </v>
      </c>
      <c r="F1389" s="21"/>
    </row>
    <row r="1390">
      <c r="A1390" s="19">
        <v>12374.0</v>
      </c>
      <c r="B1390" s="19" t="s">
        <v>1421</v>
      </c>
      <c r="C1390" s="20">
        <v>24523.0</v>
      </c>
      <c r="D1390" s="19" t="str">
        <f t="shared" si="1"/>
        <v> </v>
      </c>
      <c r="E1390" s="19" t="str">
        <f t="shared" si="2"/>
        <v> </v>
      </c>
      <c r="F1390" s="21"/>
    </row>
    <row r="1391">
      <c r="A1391" s="19">
        <v>12375.0</v>
      </c>
      <c r="B1391" s="19" t="s">
        <v>1422</v>
      </c>
      <c r="C1391" s="20">
        <v>25838.0</v>
      </c>
      <c r="D1391" s="19" t="str">
        <f t="shared" si="1"/>
        <v>Repeat</v>
      </c>
      <c r="E1391" s="19" t="str">
        <f t="shared" si="2"/>
        <v> </v>
      </c>
      <c r="F1391" s="21"/>
    </row>
    <row r="1392">
      <c r="A1392" s="19">
        <v>12376.0</v>
      </c>
      <c r="B1392" s="19" t="s">
        <v>1423</v>
      </c>
      <c r="C1392" s="20">
        <v>26645.0</v>
      </c>
      <c r="D1392" s="19" t="str">
        <f t="shared" si="1"/>
        <v> </v>
      </c>
      <c r="E1392" s="19" t="str">
        <f t="shared" si="2"/>
        <v> </v>
      </c>
      <c r="F1392" s="21"/>
    </row>
    <row r="1393">
      <c r="A1393" s="19">
        <v>12377.0</v>
      </c>
      <c r="B1393" s="19" t="s">
        <v>1424</v>
      </c>
      <c r="C1393" s="20">
        <v>16991.0</v>
      </c>
      <c r="D1393" s="19" t="str">
        <f t="shared" si="1"/>
        <v> </v>
      </c>
      <c r="E1393" s="19" t="str">
        <f t="shared" si="2"/>
        <v> </v>
      </c>
      <c r="F1393" s="21"/>
    </row>
    <row r="1394">
      <c r="A1394" s="19">
        <v>12381.0</v>
      </c>
      <c r="B1394" s="19" t="s">
        <v>1425</v>
      </c>
      <c r="C1394" s="20">
        <v>26666.0</v>
      </c>
      <c r="D1394" s="19" t="str">
        <f t="shared" si="1"/>
        <v> </v>
      </c>
      <c r="E1394" s="19" t="str">
        <f t="shared" si="2"/>
        <v> </v>
      </c>
      <c r="F1394" s="21"/>
    </row>
    <row r="1395">
      <c r="A1395" s="19">
        <v>12382.0</v>
      </c>
      <c r="B1395" s="19" t="s">
        <v>1426</v>
      </c>
      <c r="C1395" s="20">
        <v>32750.0</v>
      </c>
      <c r="D1395" s="19" t="str">
        <f t="shared" si="1"/>
        <v> </v>
      </c>
      <c r="E1395" s="19" t="str">
        <f t="shared" si="2"/>
        <v> </v>
      </c>
      <c r="F1395" s="21"/>
    </row>
    <row r="1396">
      <c r="A1396" s="19">
        <v>12383.0</v>
      </c>
      <c r="B1396" s="19" t="s">
        <v>1427</v>
      </c>
      <c r="C1396" s="20">
        <v>26443.0</v>
      </c>
      <c r="D1396" s="19" t="str">
        <f t="shared" si="1"/>
        <v> </v>
      </c>
      <c r="E1396" s="19" t="str">
        <f t="shared" si="2"/>
        <v> </v>
      </c>
      <c r="F1396" s="21"/>
    </row>
    <row r="1397">
      <c r="A1397" s="19">
        <v>12384.0</v>
      </c>
      <c r="B1397" s="19" t="s">
        <v>1428</v>
      </c>
      <c r="C1397" s="20">
        <v>23758.0</v>
      </c>
      <c r="D1397" s="19" t="str">
        <f t="shared" si="1"/>
        <v> </v>
      </c>
      <c r="E1397" s="19" t="str">
        <f t="shared" si="2"/>
        <v> </v>
      </c>
      <c r="F1397" s="21"/>
    </row>
    <row r="1398">
      <c r="A1398" s="19">
        <v>12385.0</v>
      </c>
      <c r="B1398" s="19" t="s">
        <v>1429</v>
      </c>
      <c r="C1398" s="20">
        <v>17502.0</v>
      </c>
      <c r="D1398" s="19" t="str">
        <f t="shared" si="1"/>
        <v> </v>
      </c>
      <c r="E1398" s="19" t="str">
        <f t="shared" si="2"/>
        <v> </v>
      </c>
      <c r="F1398" s="21"/>
    </row>
    <row r="1399">
      <c r="A1399" s="19">
        <v>12389.0</v>
      </c>
      <c r="B1399" s="19" t="s">
        <v>1430</v>
      </c>
      <c r="C1399" s="20">
        <v>29152.0</v>
      </c>
      <c r="D1399" s="19" t="str">
        <f t="shared" si="1"/>
        <v> </v>
      </c>
      <c r="E1399" s="19" t="str">
        <f t="shared" si="2"/>
        <v> </v>
      </c>
      <c r="F1399" s="21"/>
    </row>
    <row r="1400">
      <c r="A1400" s="19">
        <v>12390.0</v>
      </c>
      <c r="B1400" s="19" t="s">
        <v>1431</v>
      </c>
      <c r="C1400" s="20">
        <v>21314.0</v>
      </c>
      <c r="D1400" s="19" t="str">
        <f t="shared" si="1"/>
        <v> </v>
      </c>
      <c r="E1400" s="19" t="str">
        <f t="shared" si="2"/>
        <v> </v>
      </c>
      <c r="F1400" s="21"/>
    </row>
    <row r="1401">
      <c r="A1401" s="19">
        <v>12391.0</v>
      </c>
      <c r="B1401" s="19" t="s">
        <v>1432</v>
      </c>
      <c r="C1401" s="20">
        <v>28136.0</v>
      </c>
      <c r="D1401" s="19" t="str">
        <f t="shared" si="1"/>
        <v> </v>
      </c>
      <c r="E1401" s="19" t="str">
        <f t="shared" si="2"/>
        <v> </v>
      </c>
      <c r="F1401" s="21"/>
    </row>
    <row r="1402">
      <c r="A1402" s="19">
        <v>12392.0</v>
      </c>
      <c r="B1402" s="19" t="s">
        <v>1433</v>
      </c>
      <c r="C1402" s="20">
        <v>22928.0</v>
      </c>
      <c r="D1402" s="19" t="str">
        <f t="shared" si="1"/>
        <v> </v>
      </c>
      <c r="E1402" s="19" t="str">
        <f t="shared" si="2"/>
        <v> </v>
      </c>
      <c r="F1402" s="21"/>
    </row>
    <row r="1403">
      <c r="A1403" s="19">
        <v>12395.0</v>
      </c>
      <c r="B1403" s="19" t="s">
        <v>1434</v>
      </c>
      <c r="C1403" s="20">
        <v>17539.0</v>
      </c>
      <c r="D1403" s="19" t="str">
        <f t="shared" si="1"/>
        <v> </v>
      </c>
      <c r="E1403" s="19" t="str">
        <f t="shared" si="2"/>
        <v> </v>
      </c>
      <c r="F1403" s="21"/>
    </row>
    <row r="1404">
      <c r="A1404" s="19">
        <v>12396.0</v>
      </c>
      <c r="B1404" s="19" t="s">
        <v>1435</v>
      </c>
      <c r="C1404" s="20">
        <v>23046.0</v>
      </c>
      <c r="D1404" s="19" t="str">
        <f t="shared" si="1"/>
        <v> </v>
      </c>
      <c r="E1404" s="19" t="str">
        <f t="shared" si="2"/>
        <v> </v>
      </c>
      <c r="F1404" s="21"/>
    </row>
    <row r="1405">
      <c r="A1405" s="19">
        <v>12397.0</v>
      </c>
      <c r="B1405" s="19" t="s">
        <v>1436</v>
      </c>
      <c r="C1405" s="20">
        <v>24151.0</v>
      </c>
      <c r="D1405" s="19" t="str">
        <f t="shared" si="1"/>
        <v> </v>
      </c>
      <c r="E1405" s="19" t="str">
        <f t="shared" si="2"/>
        <v> </v>
      </c>
      <c r="F1405" s="21"/>
    </row>
    <row r="1406">
      <c r="A1406" s="19">
        <v>12398.0</v>
      </c>
      <c r="B1406" s="19" t="s">
        <v>1437</v>
      </c>
      <c r="C1406" s="20">
        <v>35363.0</v>
      </c>
      <c r="D1406" s="19" t="str">
        <f t="shared" si="1"/>
        <v> </v>
      </c>
      <c r="E1406" s="19" t="str">
        <f t="shared" si="2"/>
        <v> </v>
      </c>
      <c r="F1406" s="21"/>
    </row>
    <row r="1407">
      <c r="A1407" s="19">
        <v>12402.0</v>
      </c>
      <c r="B1407" s="19" t="s">
        <v>1438</v>
      </c>
      <c r="C1407" s="20">
        <v>13912.0</v>
      </c>
      <c r="D1407" s="19" t="str">
        <f t="shared" si="1"/>
        <v> </v>
      </c>
      <c r="E1407" s="19" t="str">
        <f t="shared" si="2"/>
        <v> </v>
      </c>
      <c r="F1407" s="21"/>
    </row>
    <row r="1408">
      <c r="A1408" s="19">
        <v>12403.0</v>
      </c>
      <c r="B1408" s="19" t="s">
        <v>1439</v>
      </c>
      <c r="C1408" s="20">
        <v>35492.0</v>
      </c>
      <c r="D1408" s="19" t="str">
        <f t="shared" si="1"/>
        <v> </v>
      </c>
      <c r="E1408" s="19" t="str">
        <f t="shared" si="2"/>
        <v> </v>
      </c>
      <c r="F1408" s="21"/>
    </row>
    <row r="1409">
      <c r="A1409" s="19">
        <v>12404.0</v>
      </c>
      <c r="B1409" s="19" t="s">
        <v>1440</v>
      </c>
      <c r="C1409" s="20">
        <v>32100.0</v>
      </c>
      <c r="D1409" s="19" t="str">
        <f t="shared" si="1"/>
        <v> </v>
      </c>
      <c r="E1409" s="19" t="str">
        <f t="shared" si="2"/>
        <v> </v>
      </c>
      <c r="F1409" s="21"/>
    </row>
    <row r="1410">
      <c r="A1410" s="19">
        <v>12408.0</v>
      </c>
      <c r="B1410" s="19" t="s">
        <v>1441</v>
      </c>
      <c r="C1410" s="20">
        <v>23198.0</v>
      </c>
      <c r="D1410" s="19" t="str">
        <f t="shared" si="1"/>
        <v> </v>
      </c>
      <c r="E1410" s="19" t="str">
        <f t="shared" si="2"/>
        <v> </v>
      </c>
      <c r="F1410" s="21"/>
    </row>
    <row r="1411">
      <c r="A1411" s="19">
        <v>12409.0</v>
      </c>
      <c r="B1411" s="19" t="s">
        <v>1442</v>
      </c>
      <c r="C1411" s="20">
        <v>27442.0</v>
      </c>
      <c r="D1411" s="19" t="str">
        <f t="shared" si="1"/>
        <v> </v>
      </c>
      <c r="E1411" s="19" t="str">
        <f t="shared" si="2"/>
        <v> </v>
      </c>
      <c r="F1411" s="21"/>
    </row>
    <row r="1412">
      <c r="A1412" s="19">
        <v>12412.0</v>
      </c>
      <c r="B1412" s="19" t="s">
        <v>1443</v>
      </c>
      <c r="C1412" s="20">
        <v>21267.0</v>
      </c>
      <c r="D1412" s="19" t="str">
        <f t="shared" si="1"/>
        <v> </v>
      </c>
      <c r="E1412" s="19" t="str">
        <f t="shared" si="2"/>
        <v> </v>
      </c>
      <c r="F1412" s="21"/>
    </row>
    <row r="1413">
      <c r="A1413" s="19">
        <v>12415.0</v>
      </c>
      <c r="B1413" s="19" t="s">
        <v>1444</v>
      </c>
      <c r="C1413" s="20">
        <v>20084.0</v>
      </c>
      <c r="D1413" s="19" t="str">
        <f t="shared" si="1"/>
        <v> </v>
      </c>
      <c r="E1413" s="19" t="str">
        <f t="shared" si="2"/>
        <v> </v>
      </c>
      <c r="F1413" s="21"/>
    </row>
    <row r="1414">
      <c r="A1414" s="19">
        <v>12416.0</v>
      </c>
      <c r="B1414" s="19" t="s">
        <v>1445</v>
      </c>
      <c r="C1414" s="20">
        <v>14204.0</v>
      </c>
      <c r="D1414" s="19" t="str">
        <f t="shared" si="1"/>
        <v> </v>
      </c>
      <c r="E1414" s="19" t="str">
        <f t="shared" si="2"/>
        <v> </v>
      </c>
      <c r="F1414" s="21"/>
    </row>
    <row r="1415">
      <c r="A1415" s="19">
        <v>12419.0</v>
      </c>
      <c r="B1415" s="19" t="s">
        <v>1446</v>
      </c>
      <c r="C1415" s="20">
        <v>18425.0</v>
      </c>
      <c r="D1415" s="19" t="str">
        <f t="shared" si="1"/>
        <v> </v>
      </c>
      <c r="E1415" s="19" t="str">
        <f t="shared" si="2"/>
        <v> </v>
      </c>
      <c r="F1415" s="21"/>
    </row>
    <row r="1416">
      <c r="A1416" s="19">
        <v>12420.0</v>
      </c>
      <c r="B1416" s="19" t="s">
        <v>1447</v>
      </c>
      <c r="C1416" s="20">
        <v>25800.0</v>
      </c>
      <c r="D1416" s="19" t="str">
        <f t="shared" si="1"/>
        <v> </v>
      </c>
      <c r="E1416" s="19" t="str">
        <f t="shared" si="2"/>
        <v> </v>
      </c>
      <c r="F1416" s="21"/>
    </row>
    <row r="1417">
      <c r="A1417" s="19">
        <v>12421.0</v>
      </c>
      <c r="B1417" s="19" t="s">
        <v>1448</v>
      </c>
      <c r="C1417" s="20">
        <v>26705.0</v>
      </c>
      <c r="D1417" s="19" t="str">
        <f t="shared" si="1"/>
        <v> </v>
      </c>
      <c r="E1417" s="19" t="str">
        <f t="shared" si="2"/>
        <v> </v>
      </c>
      <c r="F1417" s="21"/>
    </row>
    <row r="1418">
      <c r="A1418" s="19">
        <v>12423.0</v>
      </c>
      <c r="B1418" s="19" t="s">
        <v>1449</v>
      </c>
      <c r="C1418" s="20">
        <v>13601.0</v>
      </c>
      <c r="D1418" s="19" t="str">
        <f t="shared" si="1"/>
        <v> </v>
      </c>
      <c r="E1418" s="19" t="str">
        <f t="shared" si="2"/>
        <v> </v>
      </c>
      <c r="F1418" s="21"/>
    </row>
    <row r="1419">
      <c r="A1419" s="19">
        <v>12424.0</v>
      </c>
      <c r="B1419" s="19" t="s">
        <v>1450</v>
      </c>
      <c r="C1419" s="20">
        <v>18316.0</v>
      </c>
      <c r="D1419" s="19" t="str">
        <f t="shared" si="1"/>
        <v> </v>
      </c>
      <c r="E1419" s="19" t="str">
        <f t="shared" si="2"/>
        <v> </v>
      </c>
      <c r="F1419" s="21"/>
    </row>
    <row r="1420">
      <c r="A1420" s="19">
        <v>12425.0</v>
      </c>
      <c r="B1420" s="19" t="s">
        <v>1451</v>
      </c>
      <c r="C1420" s="20">
        <v>30228.0</v>
      </c>
      <c r="D1420" s="19" t="str">
        <f t="shared" si="1"/>
        <v> </v>
      </c>
      <c r="E1420" s="19" t="str">
        <f t="shared" si="2"/>
        <v> </v>
      </c>
      <c r="F1420" s="21"/>
    </row>
    <row r="1421">
      <c r="A1421" s="19">
        <v>12426.0</v>
      </c>
      <c r="B1421" s="19" t="s">
        <v>1452</v>
      </c>
      <c r="C1421" s="20">
        <v>16218.0</v>
      </c>
      <c r="D1421" s="19" t="str">
        <f t="shared" si="1"/>
        <v> </v>
      </c>
      <c r="E1421" s="19" t="str">
        <f t="shared" si="2"/>
        <v> </v>
      </c>
      <c r="F1421" s="21"/>
    </row>
    <row r="1422">
      <c r="A1422" s="19">
        <v>12427.0</v>
      </c>
      <c r="B1422" s="19" t="s">
        <v>1453</v>
      </c>
      <c r="C1422" s="20">
        <v>30171.0</v>
      </c>
      <c r="D1422" s="19" t="str">
        <f t="shared" si="1"/>
        <v> </v>
      </c>
      <c r="E1422" s="19" t="str">
        <f t="shared" si="2"/>
        <v> </v>
      </c>
      <c r="F1422" s="21"/>
    </row>
    <row r="1423">
      <c r="A1423" s="19">
        <v>12428.0</v>
      </c>
      <c r="B1423" s="19" t="s">
        <v>1454</v>
      </c>
      <c r="C1423" s="20">
        <v>24072.0</v>
      </c>
      <c r="D1423" s="19" t="str">
        <f t="shared" si="1"/>
        <v> </v>
      </c>
      <c r="E1423" s="19" t="str">
        <f t="shared" si="2"/>
        <v> </v>
      </c>
      <c r="F1423" s="21"/>
    </row>
    <row r="1424">
      <c r="A1424" s="19">
        <v>12429.0</v>
      </c>
      <c r="B1424" s="19" t="s">
        <v>1455</v>
      </c>
      <c r="C1424" s="20">
        <v>21926.0</v>
      </c>
      <c r="D1424" s="19" t="str">
        <f t="shared" si="1"/>
        <v> </v>
      </c>
      <c r="E1424" s="19" t="str">
        <f t="shared" si="2"/>
        <v> </v>
      </c>
      <c r="F1424" s="21"/>
    </row>
    <row r="1425">
      <c r="A1425" s="19">
        <v>12430.0</v>
      </c>
      <c r="B1425" s="19" t="s">
        <v>1456</v>
      </c>
      <c r="C1425" s="20">
        <v>23225.0</v>
      </c>
      <c r="D1425" s="19" t="str">
        <f t="shared" si="1"/>
        <v> </v>
      </c>
      <c r="E1425" s="19" t="str">
        <f t="shared" si="2"/>
        <v> </v>
      </c>
      <c r="F1425" s="21"/>
    </row>
    <row r="1426">
      <c r="A1426" s="19">
        <v>12435.0</v>
      </c>
      <c r="B1426" s="19" t="s">
        <v>1457</v>
      </c>
      <c r="C1426" s="20">
        <v>26962.0</v>
      </c>
      <c r="D1426" s="19" t="str">
        <f t="shared" si="1"/>
        <v> </v>
      </c>
      <c r="E1426" s="19" t="str">
        <f t="shared" si="2"/>
        <v> </v>
      </c>
      <c r="F1426" s="21"/>
    </row>
    <row r="1427">
      <c r="A1427" s="19">
        <v>12436.0</v>
      </c>
      <c r="B1427" s="19" t="s">
        <v>1458</v>
      </c>
      <c r="C1427" s="20">
        <v>28422.0</v>
      </c>
      <c r="D1427" s="19" t="str">
        <f t="shared" si="1"/>
        <v> </v>
      </c>
      <c r="E1427" s="19" t="str">
        <f t="shared" si="2"/>
        <v> </v>
      </c>
      <c r="F1427" s="21"/>
    </row>
    <row r="1428">
      <c r="A1428" s="19">
        <v>12437.0</v>
      </c>
      <c r="B1428" s="19" t="s">
        <v>1459</v>
      </c>
      <c r="C1428" s="20">
        <v>26220.0</v>
      </c>
      <c r="D1428" s="19" t="str">
        <f t="shared" si="1"/>
        <v> </v>
      </c>
      <c r="E1428" s="19" t="str">
        <f t="shared" si="2"/>
        <v> </v>
      </c>
      <c r="F1428" s="21"/>
    </row>
    <row r="1429">
      <c r="A1429" s="19">
        <v>12440.0</v>
      </c>
      <c r="B1429" s="19" t="s">
        <v>1460</v>
      </c>
      <c r="C1429" s="20">
        <v>18158.0</v>
      </c>
      <c r="D1429" s="19" t="str">
        <f t="shared" si="1"/>
        <v> </v>
      </c>
      <c r="E1429" s="19" t="str">
        <f t="shared" si="2"/>
        <v> </v>
      </c>
      <c r="F1429" s="21"/>
    </row>
    <row r="1430">
      <c r="A1430" s="19">
        <v>12441.0</v>
      </c>
      <c r="B1430" s="19" t="s">
        <v>1461</v>
      </c>
      <c r="C1430" s="20">
        <v>15335.0</v>
      </c>
      <c r="D1430" s="19" t="str">
        <f t="shared" si="1"/>
        <v> </v>
      </c>
      <c r="E1430" s="19" t="str">
        <f t="shared" si="2"/>
        <v> </v>
      </c>
      <c r="F1430" s="21"/>
    </row>
    <row r="1431">
      <c r="A1431" s="19">
        <v>12444.0</v>
      </c>
      <c r="B1431" s="19" t="s">
        <v>1462</v>
      </c>
      <c r="C1431" s="20">
        <v>13254.0</v>
      </c>
      <c r="D1431" s="19" t="str">
        <f t="shared" si="1"/>
        <v> </v>
      </c>
      <c r="E1431" s="19" t="str">
        <f t="shared" si="2"/>
        <v> </v>
      </c>
      <c r="F1431" s="21"/>
    </row>
    <row r="1432">
      <c r="A1432" s="19">
        <v>12446.0</v>
      </c>
      <c r="B1432" s="19" t="s">
        <v>1463</v>
      </c>
      <c r="C1432" s="20">
        <v>33168.0</v>
      </c>
      <c r="D1432" s="19" t="str">
        <f t="shared" si="1"/>
        <v> </v>
      </c>
      <c r="E1432" s="19" t="str">
        <f t="shared" si="2"/>
        <v> </v>
      </c>
      <c r="F1432" s="21"/>
    </row>
    <row r="1433">
      <c r="A1433" s="19">
        <v>12447.0</v>
      </c>
      <c r="B1433" s="19" t="s">
        <v>1464</v>
      </c>
      <c r="C1433" s="20">
        <v>19264.0</v>
      </c>
      <c r="D1433" s="19" t="str">
        <f t="shared" si="1"/>
        <v> </v>
      </c>
      <c r="E1433" s="19" t="str">
        <f t="shared" si="2"/>
        <v> </v>
      </c>
      <c r="F1433" s="21"/>
    </row>
    <row r="1434">
      <c r="A1434" s="19">
        <v>12448.0</v>
      </c>
      <c r="B1434" s="19" t="s">
        <v>1465</v>
      </c>
      <c r="C1434" s="20">
        <v>28823.0</v>
      </c>
      <c r="D1434" s="19" t="str">
        <f t="shared" si="1"/>
        <v> </v>
      </c>
      <c r="E1434" s="19" t="str">
        <f t="shared" si="2"/>
        <v> </v>
      </c>
      <c r="F1434" s="21"/>
    </row>
    <row r="1435">
      <c r="A1435" s="19">
        <v>12449.0</v>
      </c>
      <c r="B1435" s="19" t="s">
        <v>1466</v>
      </c>
      <c r="C1435" s="20">
        <v>28211.0</v>
      </c>
      <c r="D1435" s="19" t="str">
        <f t="shared" si="1"/>
        <v> </v>
      </c>
      <c r="E1435" s="19" t="str">
        <f t="shared" si="2"/>
        <v> </v>
      </c>
      <c r="F1435" s="21"/>
    </row>
    <row r="1436">
      <c r="A1436" s="19">
        <v>12450.0</v>
      </c>
      <c r="B1436" s="19" t="s">
        <v>1467</v>
      </c>
      <c r="C1436" s="20">
        <v>31928.0</v>
      </c>
      <c r="D1436" s="19" t="str">
        <f t="shared" si="1"/>
        <v> </v>
      </c>
      <c r="E1436" s="19" t="str">
        <f t="shared" si="2"/>
        <v> </v>
      </c>
      <c r="F1436" s="21"/>
    </row>
    <row r="1437">
      <c r="A1437" s="19">
        <v>12451.0</v>
      </c>
      <c r="B1437" s="19" t="s">
        <v>1468</v>
      </c>
      <c r="C1437" s="20">
        <v>24856.0</v>
      </c>
      <c r="D1437" s="19" t="str">
        <f t="shared" si="1"/>
        <v> </v>
      </c>
      <c r="E1437" s="19" t="str">
        <f t="shared" si="2"/>
        <v> </v>
      </c>
      <c r="F1437" s="21"/>
    </row>
    <row r="1438">
      <c r="A1438" s="19">
        <v>12452.0</v>
      </c>
      <c r="B1438" s="19" t="s">
        <v>1469</v>
      </c>
      <c r="C1438" s="20">
        <v>23678.0</v>
      </c>
      <c r="D1438" s="19" t="str">
        <f t="shared" si="1"/>
        <v> </v>
      </c>
      <c r="E1438" s="19" t="str">
        <f t="shared" si="2"/>
        <v> </v>
      </c>
      <c r="F1438" s="21"/>
    </row>
    <row r="1439">
      <c r="A1439" s="19">
        <v>12454.0</v>
      </c>
      <c r="B1439" s="19" t="s">
        <v>1470</v>
      </c>
      <c r="C1439" s="20">
        <v>18970.0</v>
      </c>
      <c r="D1439" s="19" t="str">
        <f t="shared" si="1"/>
        <v> </v>
      </c>
      <c r="E1439" s="19" t="str">
        <f t="shared" si="2"/>
        <v> </v>
      </c>
      <c r="F1439" s="21"/>
    </row>
    <row r="1440">
      <c r="A1440" s="19">
        <v>12456.0</v>
      </c>
      <c r="B1440" s="19" t="s">
        <v>1471</v>
      </c>
      <c r="C1440" s="20">
        <v>21224.0</v>
      </c>
      <c r="D1440" s="19" t="str">
        <f t="shared" si="1"/>
        <v> </v>
      </c>
      <c r="E1440" s="19" t="str">
        <f t="shared" si="2"/>
        <v> </v>
      </c>
      <c r="F1440" s="21"/>
    </row>
    <row r="1441">
      <c r="A1441" s="19">
        <v>12457.0</v>
      </c>
      <c r="B1441" s="19" t="s">
        <v>1472</v>
      </c>
      <c r="C1441" s="20">
        <v>16652.0</v>
      </c>
      <c r="D1441" s="19" t="str">
        <f t="shared" si="1"/>
        <v> </v>
      </c>
      <c r="E1441" s="19" t="str">
        <f t="shared" si="2"/>
        <v> </v>
      </c>
      <c r="F1441" s="21"/>
    </row>
    <row r="1442">
      <c r="A1442" s="19">
        <v>12458.0</v>
      </c>
      <c r="B1442" s="19" t="s">
        <v>1473</v>
      </c>
      <c r="C1442" s="20">
        <v>18119.0</v>
      </c>
      <c r="D1442" s="19" t="str">
        <f t="shared" si="1"/>
        <v> </v>
      </c>
      <c r="E1442" s="19" t="str">
        <f t="shared" si="2"/>
        <v> </v>
      </c>
      <c r="F1442" s="21"/>
    </row>
    <row r="1443">
      <c r="A1443" s="19">
        <v>12459.0</v>
      </c>
      <c r="B1443" s="19" t="s">
        <v>1474</v>
      </c>
      <c r="C1443" s="20">
        <v>23886.0</v>
      </c>
      <c r="D1443" s="19" t="str">
        <f t="shared" si="1"/>
        <v> </v>
      </c>
      <c r="E1443" s="19" t="str">
        <f t="shared" si="2"/>
        <v> </v>
      </c>
      <c r="F1443" s="21"/>
    </row>
    <row r="1444">
      <c r="A1444" s="19">
        <v>12461.0</v>
      </c>
      <c r="B1444" s="19" t="s">
        <v>1475</v>
      </c>
      <c r="C1444" s="20">
        <v>36129.0</v>
      </c>
      <c r="D1444" s="19" t="str">
        <f t="shared" si="1"/>
        <v> </v>
      </c>
      <c r="E1444" s="19" t="str">
        <f t="shared" si="2"/>
        <v> </v>
      </c>
      <c r="F1444" s="21"/>
    </row>
    <row r="1445">
      <c r="A1445" s="19">
        <v>12463.0</v>
      </c>
      <c r="B1445" s="19" t="s">
        <v>1476</v>
      </c>
      <c r="C1445" s="20">
        <v>26067.0</v>
      </c>
      <c r="D1445" s="19" t="str">
        <f t="shared" si="1"/>
        <v> </v>
      </c>
      <c r="E1445" s="19" t="str">
        <f t="shared" si="2"/>
        <v> </v>
      </c>
      <c r="F1445" s="21"/>
    </row>
    <row r="1446">
      <c r="A1446" s="19">
        <v>12464.0</v>
      </c>
      <c r="B1446" s="19" t="s">
        <v>1477</v>
      </c>
      <c r="C1446" s="20">
        <v>16294.0</v>
      </c>
      <c r="D1446" s="19" t="str">
        <f t="shared" si="1"/>
        <v> </v>
      </c>
      <c r="E1446" s="19" t="str">
        <f t="shared" si="2"/>
        <v> </v>
      </c>
      <c r="F1446" s="21"/>
    </row>
    <row r="1447">
      <c r="A1447" s="19">
        <v>12465.0</v>
      </c>
      <c r="B1447" s="19" t="s">
        <v>1478</v>
      </c>
      <c r="C1447" s="20">
        <v>15274.0</v>
      </c>
      <c r="D1447" s="19" t="str">
        <f t="shared" si="1"/>
        <v>Repeat</v>
      </c>
      <c r="E1447" s="19" t="str">
        <f t="shared" si="2"/>
        <v> </v>
      </c>
      <c r="F1447" s="21"/>
    </row>
    <row r="1448">
      <c r="A1448" s="19">
        <v>12466.0</v>
      </c>
      <c r="B1448" s="19" t="s">
        <v>1479</v>
      </c>
      <c r="C1448" s="20">
        <v>27209.0</v>
      </c>
      <c r="D1448" s="19" t="str">
        <f t="shared" si="1"/>
        <v> </v>
      </c>
      <c r="E1448" s="19" t="str">
        <f t="shared" si="2"/>
        <v> </v>
      </c>
      <c r="F1448" s="21"/>
    </row>
    <row r="1449">
      <c r="A1449" s="19">
        <v>12467.0</v>
      </c>
      <c r="B1449" s="19" t="s">
        <v>1480</v>
      </c>
      <c r="C1449" s="20">
        <v>20416.0</v>
      </c>
      <c r="D1449" s="19" t="str">
        <f t="shared" si="1"/>
        <v> </v>
      </c>
      <c r="E1449" s="19" t="str">
        <f t="shared" si="2"/>
        <v> </v>
      </c>
      <c r="F1449" s="21"/>
    </row>
    <row r="1450">
      <c r="A1450" s="19">
        <v>12469.0</v>
      </c>
      <c r="B1450" s="19" t="s">
        <v>1481</v>
      </c>
      <c r="C1450" s="20">
        <v>16911.0</v>
      </c>
      <c r="D1450" s="19" t="str">
        <f t="shared" si="1"/>
        <v> </v>
      </c>
      <c r="E1450" s="19" t="str">
        <f t="shared" si="2"/>
        <v> </v>
      </c>
      <c r="F1450" s="21"/>
    </row>
    <row r="1451">
      <c r="A1451" s="19">
        <v>12471.0</v>
      </c>
      <c r="B1451" s="19" t="s">
        <v>1482</v>
      </c>
      <c r="C1451" s="20">
        <v>30666.0</v>
      </c>
      <c r="D1451" s="19" t="str">
        <f t="shared" si="1"/>
        <v> </v>
      </c>
      <c r="E1451" s="19" t="str">
        <f t="shared" si="2"/>
        <v> </v>
      </c>
      <c r="F1451" s="21"/>
    </row>
    <row r="1452">
      <c r="A1452" s="19">
        <v>12472.0</v>
      </c>
      <c r="B1452" s="19" t="s">
        <v>1483</v>
      </c>
      <c r="C1452" s="20">
        <v>28994.0</v>
      </c>
      <c r="D1452" s="19" t="str">
        <f t="shared" si="1"/>
        <v> </v>
      </c>
      <c r="E1452" s="19" t="str">
        <f t="shared" si="2"/>
        <v> </v>
      </c>
      <c r="F1452" s="21"/>
    </row>
    <row r="1453">
      <c r="A1453" s="19">
        <v>12473.0</v>
      </c>
      <c r="B1453" s="19" t="s">
        <v>1484</v>
      </c>
      <c r="C1453" s="20">
        <v>23807.0</v>
      </c>
      <c r="D1453" s="19" t="str">
        <f t="shared" si="1"/>
        <v> </v>
      </c>
      <c r="E1453" s="19" t="str">
        <f t="shared" si="2"/>
        <v> </v>
      </c>
      <c r="F1453" s="21"/>
    </row>
    <row r="1454">
      <c r="A1454" s="19">
        <v>12474.0</v>
      </c>
      <c r="B1454" s="19" t="s">
        <v>1485</v>
      </c>
      <c r="C1454" s="20">
        <v>31394.0</v>
      </c>
      <c r="D1454" s="19" t="str">
        <f t="shared" si="1"/>
        <v> </v>
      </c>
      <c r="E1454" s="19" t="str">
        <f t="shared" si="2"/>
        <v> </v>
      </c>
      <c r="F1454" s="21"/>
    </row>
    <row r="1455">
      <c r="A1455" s="19">
        <v>12475.0</v>
      </c>
      <c r="B1455" s="19" t="s">
        <v>1486</v>
      </c>
      <c r="C1455" s="20">
        <v>22250.0</v>
      </c>
      <c r="D1455" s="19" t="str">
        <f t="shared" si="1"/>
        <v> </v>
      </c>
      <c r="E1455" s="19" t="str">
        <f t="shared" si="2"/>
        <v> </v>
      </c>
      <c r="F1455" s="21"/>
    </row>
    <row r="1456">
      <c r="A1456" s="19">
        <v>12476.0</v>
      </c>
      <c r="B1456" s="19" t="s">
        <v>1487</v>
      </c>
      <c r="C1456" s="20">
        <v>29641.0</v>
      </c>
      <c r="D1456" s="19" t="str">
        <f t="shared" si="1"/>
        <v> </v>
      </c>
      <c r="E1456" s="19" t="str">
        <f t="shared" si="2"/>
        <v> </v>
      </c>
      <c r="F1456" s="21"/>
    </row>
    <row r="1457">
      <c r="A1457" s="19">
        <v>12477.0</v>
      </c>
      <c r="B1457" s="19" t="s">
        <v>1488</v>
      </c>
      <c r="C1457" s="20">
        <v>24073.0</v>
      </c>
      <c r="D1457" s="19" t="str">
        <f t="shared" si="1"/>
        <v> </v>
      </c>
      <c r="E1457" s="19" t="str">
        <f t="shared" si="2"/>
        <v> </v>
      </c>
      <c r="F1457" s="21"/>
    </row>
    <row r="1458">
      <c r="A1458" s="19">
        <v>12481.0</v>
      </c>
      <c r="B1458" s="19" t="s">
        <v>1489</v>
      </c>
      <c r="C1458" s="20">
        <v>24769.0</v>
      </c>
      <c r="D1458" s="19" t="str">
        <f t="shared" si="1"/>
        <v> </v>
      </c>
      <c r="E1458" s="19" t="str">
        <f t="shared" si="2"/>
        <v> </v>
      </c>
      <c r="F1458" s="21"/>
    </row>
    <row r="1459">
      <c r="A1459" s="19">
        <v>12482.0</v>
      </c>
      <c r="B1459" s="19" t="s">
        <v>1490</v>
      </c>
      <c r="C1459" s="20">
        <v>27982.0</v>
      </c>
      <c r="D1459" s="19" t="str">
        <f t="shared" si="1"/>
        <v> </v>
      </c>
      <c r="E1459" s="19" t="str">
        <f t="shared" si="2"/>
        <v> </v>
      </c>
      <c r="F1459" s="21"/>
    </row>
    <row r="1460">
      <c r="A1460" s="19">
        <v>12484.0</v>
      </c>
      <c r="B1460" s="19" t="s">
        <v>1491</v>
      </c>
      <c r="C1460" s="20">
        <v>19567.0</v>
      </c>
      <c r="D1460" s="19" t="str">
        <f t="shared" si="1"/>
        <v> </v>
      </c>
      <c r="E1460" s="19" t="str">
        <f t="shared" si="2"/>
        <v> </v>
      </c>
      <c r="F1460" s="21"/>
    </row>
    <row r="1461">
      <c r="A1461" s="19">
        <v>12485.0</v>
      </c>
      <c r="B1461" s="19" t="s">
        <v>1492</v>
      </c>
      <c r="C1461" s="20">
        <v>21995.0</v>
      </c>
      <c r="D1461" s="19" t="str">
        <f t="shared" si="1"/>
        <v> </v>
      </c>
      <c r="E1461" s="19" t="str">
        <f t="shared" si="2"/>
        <v> </v>
      </c>
      <c r="F1461" s="21"/>
    </row>
    <row r="1462">
      <c r="A1462" s="19">
        <v>12488.0</v>
      </c>
      <c r="B1462" s="19" t="s">
        <v>1493</v>
      </c>
      <c r="C1462" s="20">
        <v>19002.0</v>
      </c>
      <c r="D1462" s="19" t="str">
        <f t="shared" si="1"/>
        <v> </v>
      </c>
      <c r="E1462" s="19" t="str">
        <f t="shared" si="2"/>
        <v> </v>
      </c>
      <c r="F1462" s="21"/>
    </row>
    <row r="1463">
      <c r="A1463" s="19">
        <v>12489.0</v>
      </c>
      <c r="B1463" s="19" t="s">
        <v>1494</v>
      </c>
      <c r="C1463" s="20">
        <v>21111.0</v>
      </c>
      <c r="D1463" s="19" t="str">
        <f t="shared" si="1"/>
        <v> </v>
      </c>
      <c r="E1463" s="19" t="str">
        <f t="shared" si="2"/>
        <v> </v>
      </c>
      <c r="F1463" s="21"/>
    </row>
    <row r="1464">
      <c r="A1464" s="19">
        <v>12490.0</v>
      </c>
      <c r="B1464" s="19" t="s">
        <v>1495</v>
      </c>
      <c r="C1464" s="20">
        <v>21578.0</v>
      </c>
      <c r="D1464" s="19" t="str">
        <f t="shared" si="1"/>
        <v> </v>
      </c>
      <c r="E1464" s="19" t="str">
        <f t="shared" si="2"/>
        <v> </v>
      </c>
      <c r="F1464" s="21"/>
    </row>
    <row r="1465">
      <c r="A1465" s="19">
        <v>12491.0</v>
      </c>
      <c r="B1465" s="19" t="s">
        <v>1496</v>
      </c>
      <c r="C1465" s="20">
        <v>22407.0</v>
      </c>
      <c r="D1465" s="19" t="str">
        <f t="shared" si="1"/>
        <v> </v>
      </c>
      <c r="E1465" s="19" t="str">
        <f t="shared" si="2"/>
        <v> </v>
      </c>
      <c r="F1465" s="21"/>
    </row>
    <row r="1466">
      <c r="A1466" s="19">
        <v>12492.0</v>
      </c>
      <c r="B1466" s="19" t="s">
        <v>1497</v>
      </c>
      <c r="C1466" s="20">
        <v>20836.0</v>
      </c>
      <c r="D1466" s="19" t="str">
        <f t="shared" si="1"/>
        <v> </v>
      </c>
      <c r="E1466" s="19" t="str">
        <f t="shared" si="2"/>
        <v> </v>
      </c>
      <c r="F1466" s="21"/>
    </row>
    <row r="1467">
      <c r="A1467" s="19">
        <v>12493.0</v>
      </c>
      <c r="B1467" s="19" t="s">
        <v>1498</v>
      </c>
      <c r="C1467" s="20">
        <v>17349.0</v>
      </c>
      <c r="D1467" s="19" t="str">
        <f t="shared" si="1"/>
        <v> </v>
      </c>
      <c r="E1467" s="19" t="str">
        <f t="shared" si="2"/>
        <v> </v>
      </c>
      <c r="F1467" s="21"/>
    </row>
    <row r="1468">
      <c r="A1468" s="19">
        <v>12497.0</v>
      </c>
      <c r="B1468" s="19" t="s">
        <v>1499</v>
      </c>
      <c r="C1468" s="20">
        <v>17295.0</v>
      </c>
      <c r="D1468" s="19" t="str">
        <f t="shared" si="1"/>
        <v> </v>
      </c>
      <c r="E1468" s="19" t="str">
        <f t="shared" si="2"/>
        <v> </v>
      </c>
      <c r="F1468" s="21"/>
    </row>
    <row r="1469">
      <c r="A1469" s="19">
        <v>12499.0</v>
      </c>
      <c r="B1469" s="19" t="s">
        <v>1500</v>
      </c>
      <c r="C1469" s="20">
        <v>20699.0</v>
      </c>
      <c r="D1469" s="19" t="str">
        <f t="shared" si="1"/>
        <v> </v>
      </c>
      <c r="E1469" s="19" t="str">
        <f t="shared" si="2"/>
        <v> </v>
      </c>
      <c r="F1469" s="21"/>
    </row>
    <row r="1470">
      <c r="A1470" s="19">
        <v>12504.0</v>
      </c>
      <c r="B1470" s="19" t="s">
        <v>1501</v>
      </c>
      <c r="C1470" s="20">
        <v>20161.0</v>
      </c>
      <c r="D1470" s="19" t="str">
        <f t="shared" si="1"/>
        <v> </v>
      </c>
      <c r="E1470" s="19" t="str">
        <f t="shared" si="2"/>
        <v> </v>
      </c>
      <c r="F1470" s="21"/>
    </row>
    <row r="1471">
      <c r="A1471" s="19">
        <v>12505.0</v>
      </c>
      <c r="B1471" s="19" t="s">
        <v>1502</v>
      </c>
      <c r="C1471" s="20">
        <v>23065.0</v>
      </c>
      <c r="D1471" s="19" t="str">
        <f t="shared" si="1"/>
        <v> </v>
      </c>
      <c r="E1471" s="19" t="str">
        <f t="shared" si="2"/>
        <v> </v>
      </c>
      <c r="F1471" s="21"/>
    </row>
    <row r="1472">
      <c r="A1472" s="19">
        <v>12506.0</v>
      </c>
      <c r="B1472" s="19" t="s">
        <v>1503</v>
      </c>
      <c r="C1472" s="20">
        <v>17159.0</v>
      </c>
      <c r="D1472" s="19" t="str">
        <f t="shared" si="1"/>
        <v> </v>
      </c>
      <c r="E1472" s="19" t="str">
        <f t="shared" si="2"/>
        <v> </v>
      </c>
      <c r="F1472" s="21"/>
    </row>
    <row r="1473">
      <c r="A1473" s="19">
        <v>12507.0</v>
      </c>
      <c r="B1473" s="19" t="s">
        <v>1504</v>
      </c>
      <c r="C1473" s="20">
        <v>21811.0</v>
      </c>
      <c r="D1473" s="19" t="str">
        <f t="shared" si="1"/>
        <v> </v>
      </c>
      <c r="E1473" s="19" t="str">
        <f t="shared" si="2"/>
        <v> </v>
      </c>
      <c r="F1473" s="21"/>
    </row>
    <row r="1474">
      <c r="A1474" s="19">
        <v>12508.0</v>
      </c>
      <c r="B1474" s="19" t="s">
        <v>1505</v>
      </c>
      <c r="C1474" s="20">
        <v>18129.0</v>
      </c>
      <c r="D1474" s="19" t="str">
        <f t="shared" si="1"/>
        <v> </v>
      </c>
      <c r="E1474" s="19" t="str">
        <f t="shared" si="2"/>
        <v> </v>
      </c>
      <c r="F1474" s="21"/>
    </row>
    <row r="1475">
      <c r="A1475" s="19">
        <v>12509.0</v>
      </c>
      <c r="B1475" s="19" t="s">
        <v>1506</v>
      </c>
      <c r="C1475" s="20">
        <v>19482.0</v>
      </c>
      <c r="D1475" s="19" t="str">
        <f t="shared" si="1"/>
        <v> </v>
      </c>
      <c r="E1475" s="19" t="str">
        <f t="shared" si="2"/>
        <v> </v>
      </c>
      <c r="F1475" s="21"/>
    </row>
    <row r="1476">
      <c r="A1476" s="19">
        <v>12510.0</v>
      </c>
      <c r="B1476" s="19" t="s">
        <v>1507</v>
      </c>
      <c r="C1476" s="20">
        <v>23966.0</v>
      </c>
      <c r="D1476" s="19" t="str">
        <f t="shared" si="1"/>
        <v> </v>
      </c>
      <c r="E1476" s="19" t="str">
        <f t="shared" si="2"/>
        <v> </v>
      </c>
      <c r="F1476" s="21"/>
    </row>
    <row r="1477">
      <c r="A1477" s="19">
        <v>12511.0</v>
      </c>
      <c r="B1477" s="19" t="s">
        <v>1508</v>
      </c>
      <c r="C1477" s="20">
        <v>26019.0</v>
      </c>
      <c r="D1477" s="19" t="str">
        <f t="shared" si="1"/>
        <v> </v>
      </c>
      <c r="E1477" s="19" t="str">
        <f t="shared" si="2"/>
        <v> </v>
      </c>
      <c r="F1477" s="21"/>
    </row>
    <row r="1478">
      <c r="A1478" s="19">
        <v>12512.0</v>
      </c>
      <c r="B1478" s="19" t="s">
        <v>1509</v>
      </c>
      <c r="C1478" s="20">
        <v>28787.0</v>
      </c>
      <c r="D1478" s="19" t="str">
        <f t="shared" si="1"/>
        <v> </v>
      </c>
      <c r="E1478" s="19" t="str">
        <f t="shared" si="2"/>
        <v> </v>
      </c>
      <c r="F1478" s="21"/>
    </row>
    <row r="1479">
      <c r="A1479" s="19">
        <v>12517.0</v>
      </c>
      <c r="B1479" s="19" t="s">
        <v>1510</v>
      </c>
      <c r="C1479" s="20">
        <v>15173.0</v>
      </c>
      <c r="D1479" s="19" t="str">
        <f t="shared" si="1"/>
        <v> </v>
      </c>
      <c r="E1479" s="19" t="str">
        <f t="shared" si="2"/>
        <v> </v>
      </c>
      <c r="F1479" s="21"/>
    </row>
    <row r="1480">
      <c r="A1480" s="19">
        <v>12519.0</v>
      </c>
      <c r="B1480" s="19" t="s">
        <v>1511</v>
      </c>
      <c r="C1480" s="20">
        <v>22009.0</v>
      </c>
      <c r="D1480" s="19" t="str">
        <f t="shared" si="1"/>
        <v> </v>
      </c>
      <c r="E1480" s="19" t="str">
        <f t="shared" si="2"/>
        <v> </v>
      </c>
      <c r="F1480" s="21"/>
    </row>
    <row r="1481">
      <c r="A1481" s="19">
        <v>12521.0</v>
      </c>
      <c r="B1481" s="19" t="s">
        <v>1512</v>
      </c>
      <c r="C1481" s="20">
        <v>37464.0</v>
      </c>
      <c r="D1481" s="19" t="str">
        <f t="shared" si="1"/>
        <v> </v>
      </c>
      <c r="E1481" s="19" t="str">
        <f t="shared" si="2"/>
        <v> </v>
      </c>
      <c r="F1481" s="21"/>
    </row>
    <row r="1482">
      <c r="A1482" s="19">
        <v>12523.0</v>
      </c>
      <c r="B1482" s="19" t="s">
        <v>1513</v>
      </c>
      <c r="C1482" s="20">
        <v>25359.0</v>
      </c>
      <c r="D1482" s="19" t="str">
        <f t="shared" si="1"/>
        <v> </v>
      </c>
      <c r="E1482" s="19" t="str">
        <f t="shared" si="2"/>
        <v> </v>
      </c>
      <c r="F1482" s="21"/>
    </row>
    <row r="1483">
      <c r="A1483" s="19">
        <v>12526.0</v>
      </c>
      <c r="B1483" s="19" t="s">
        <v>1514</v>
      </c>
      <c r="C1483" s="20">
        <v>17903.0</v>
      </c>
      <c r="D1483" s="19" t="str">
        <f t="shared" si="1"/>
        <v> </v>
      </c>
      <c r="E1483" s="19" t="str">
        <f t="shared" si="2"/>
        <v> </v>
      </c>
      <c r="F1483" s="21"/>
    </row>
    <row r="1484">
      <c r="A1484" s="19">
        <v>12527.0</v>
      </c>
      <c r="B1484" s="19" t="s">
        <v>1515</v>
      </c>
      <c r="C1484" s="20">
        <v>32194.0</v>
      </c>
      <c r="D1484" s="19" t="str">
        <f t="shared" si="1"/>
        <v> </v>
      </c>
      <c r="E1484" s="19" t="str">
        <f t="shared" si="2"/>
        <v> </v>
      </c>
      <c r="F1484" s="21"/>
    </row>
    <row r="1485">
      <c r="A1485" s="19">
        <v>12529.0</v>
      </c>
      <c r="B1485" s="19" t="s">
        <v>1516</v>
      </c>
      <c r="C1485" s="20">
        <v>37077.0</v>
      </c>
      <c r="D1485" s="19" t="str">
        <f t="shared" si="1"/>
        <v> </v>
      </c>
      <c r="E1485" s="19" t="str">
        <f t="shared" si="2"/>
        <v> </v>
      </c>
      <c r="F1485" s="21"/>
    </row>
    <row r="1486">
      <c r="A1486" s="19">
        <v>12530.0</v>
      </c>
      <c r="B1486" s="19" t="s">
        <v>1517</v>
      </c>
      <c r="C1486" s="20">
        <v>16675.0</v>
      </c>
      <c r="D1486" s="19" t="str">
        <f t="shared" si="1"/>
        <v> </v>
      </c>
      <c r="E1486" s="19" t="str">
        <f t="shared" si="2"/>
        <v> </v>
      </c>
      <c r="F1486" s="21"/>
    </row>
    <row r="1487">
      <c r="A1487" s="19">
        <v>12531.0</v>
      </c>
      <c r="B1487" s="19" t="s">
        <v>1518</v>
      </c>
      <c r="C1487" s="20">
        <v>18176.0</v>
      </c>
      <c r="D1487" s="19" t="str">
        <f t="shared" si="1"/>
        <v> </v>
      </c>
      <c r="E1487" s="19" t="str">
        <f t="shared" si="2"/>
        <v> </v>
      </c>
      <c r="F1487" s="21"/>
    </row>
    <row r="1488">
      <c r="A1488" s="19">
        <v>12533.0</v>
      </c>
      <c r="B1488" s="19" t="s">
        <v>1519</v>
      </c>
      <c r="C1488" s="20">
        <v>30538.0</v>
      </c>
      <c r="D1488" s="19" t="str">
        <f t="shared" si="1"/>
        <v> </v>
      </c>
      <c r="E1488" s="19" t="str">
        <f t="shared" si="2"/>
        <v> </v>
      </c>
      <c r="F1488" s="21"/>
    </row>
    <row r="1489">
      <c r="A1489" s="19">
        <v>12535.0</v>
      </c>
      <c r="B1489" s="19" t="s">
        <v>1520</v>
      </c>
      <c r="C1489" s="20">
        <v>19129.0</v>
      </c>
      <c r="D1489" s="19" t="str">
        <f t="shared" si="1"/>
        <v> </v>
      </c>
      <c r="E1489" s="19" t="str">
        <f t="shared" si="2"/>
        <v> </v>
      </c>
      <c r="F1489" s="21"/>
    </row>
    <row r="1490">
      <c r="A1490" s="19">
        <v>12537.0</v>
      </c>
      <c r="B1490" s="19" t="s">
        <v>1521</v>
      </c>
      <c r="C1490" s="20">
        <v>22208.0</v>
      </c>
      <c r="D1490" s="19" t="str">
        <f t="shared" si="1"/>
        <v> </v>
      </c>
      <c r="E1490" s="19" t="str">
        <f t="shared" si="2"/>
        <v> </v>
      </c>
      <c r="F1490" s="21"/>
    </row>
    <row r="1491">
      <c r="A1491" s="19">
        <v>12538.0</v>
      </c>
      <c r="B1491" s="19" t="s">
        <v>1522</v>
      </c>
      <c r="C1491" s="20">
        <v>18832.0</v>
      </c>
      <c r="D1491" s="19" t="str">
        <f t="shared" si="1"/>
        <v> </v>
      </c>
      <c r="E1491" s="19" t="str">
        <f t="shared" si="2"/>
        <v> </v>
      </c>
      <c r="F1491" s="21"/>
    </row>
    <row r="1492">
      <c r="A1492" s="19">
        <v>12539.0</v>
      </c>
      <c r="B1492" s="19" t="s">
        <v>1523</v>
      </c>
      <c r="C1492" s="20">
        <v>20467.0</v>
      </c>
      <c r="D1492" s="19" t="str">
        <f t="shared" si="1"/>
        <v> </v>
      </c>
      <c r="E1492" s="19" t="str">
        <f t="shared" si="2"/>
        <v> </v>
      </c>
      <c r="F1492" s="21"/>
    </row>
    <row r="1493">
      <c r="A1493" s="19">
        <v>12541.0</v>
      </c>
      <c r="B1493" s="19" t="s">
        <v>1524</v>
      </c>
      <c r="C1493" s="20">
        <v>18069.0</v>
      </c>
      <c r="D1493" s="19" t="str">
        <f t="shared" si="1"/>
        <v> </v>
      </c>
      <c r="E1493" s="19" t="str">
        <f t="shared" si="2"/>
        <v> </v>
      </c>
      <c r="F1493" s="21"/>
    </row>
    <row r="1494">
      <c r="A1494" s="19">
        <v>12542.0</v>
      </c>
      <c r="B1494" s="19" t="s">
        <v>1525</v>
      </c>
      <c r="C1494" s="20">
        <v>17993.0</v>
      </c>
      <c r="D1494" s="19" t="str">
        <f t="shared" si="1"/>
        <v> </v>
      </c>
      <c r="E1494" s="19" t="str">
        <f t="shared" si="2"/>
        <v> </v>
      </c>
      <c r="F1494" s="21"/>
    </row>
    <row r="1495">
      <c r="A1495" s="19">
        <v>12543.0</v>
      </c>
      <c r="B1495" s="19" t="s">
        <v>1526</v>
      </c>
      <c r="C1495" s="20">
        <v>22657.0</v>
      </c>
      <c r="D1495" s="19" t="str">
        <f t="shared" si="1"/>
        <v> </v>
      </c>
      <c r="E1495" s="19" t="str">
        <f t="shared" si="2"/>
        <v> </v>
      </c>
      <c r="F1495" s="21"/>
    </row>
    <row r="1496">
      <c r="A1496" s="19">
        <v>12544.0</v>
      </c>
      <c r="B1496" s="19" t="s">
        <v>1527</v>
      </c>
      <c r="C1496" s="20">
        <v>12988.0</v>
      </c>
      <c r="D1496" s="19" t="str">
        <f t="shared" si="1"/>
        <v> </v>
      </c>
      <c r="E1496" s="19" t="str">
        <f t="shared" si="2"/>
        <v> </v>
      </c>
      <c r="F1496" s="21"/>
    </row>
    <row r="1497">
      <c r="A1497" s="19">
        <v>12545.0</v>
      </c>
      <c r="B1497" s="19" t="s">
        <v>1528</v>
      </c>
      <c r="C1497" s="20">
        <v>19855.0</v>
      </c>
      <c r="D1497" s="19" t="str">
        <f t="shared" si="1"/>
        <v> </v>
      </c>
      <c r="E1497" s="19" t="str">
        <f t="shared" si="2"/>
        <v> </v>
      </c>
      <c r="F1497" s="21"/>
    </row>
    <row r="1498">
      <c r="A1498" s="19">
        <v>12546.0</v>
      </c>
      <c r="B1498" s="19" t="s">
        <v>1529</v>
      </c>
      <c r="C1498" s="20">
        <v>32327.0</v>
      </c>
      <c r="D1498" s="19" t="str">
        <f t="shared" si="1"/>
        <v> </v>
      </c>
      <c r="E1498" s="19" t="str">
        <f t="shared" si="2"/>
        <v> </v>
      </c>
      <c r="F1498" s="21"/>
    </row>
    <row r="1499">
      <c r="A1499" s="19">
        <v>12547.0</v>
      </c>
      <c r="B1499" s="19" t="s">
        <v>1530</v>
      </c>
      <c r="C1499" s="20">
        <v>22416.0</v>
      </c>
      <c r="D1499" s="19" t="str">
        <f t="shared" si="1"/>
        <v> </v>
      </c>
      <c r="E1499" s="19" t="str">
        <f t="shared" si="2"/>
        <v> </v>
      </c>
      <c r="F1499" s="21"/>
    </row>
    <row r="1500">
      <c r="A1500" s="19">
        <v>12549.0</v>
      </c>
      <c r="B1500" s="19" t="s">
        <v>1531</v>
      </c>
      <c r="C1500" s="20">
        <v>33915.0</v>
      </c>
      <c r="D1500" s="19" t="str">
        <f t="shared" si="1"/>
        <v> </v>
      </c>
      <c r="E1500" s="19" t="str">
        <f t="shared" si="2"/>
        <v> </v>
      </c>
      <c r="F1500" s="21"/>
    </row>
    <row r="1501">
      <c r="A1501" s="19">
        <v>12550.0</v>
      </c>
      <c r="B1501" s="19" t="s">
        <v>1532</v>
      </c>
      <c r="C1501" s="20">
        <v>26194.0</v>
      </c>
      <c r="D1501" s="19" t="str">
        <f t="shared" si="1"/>
        <v> </v>
      </c>
      <c r="E1501" s="19" t="str">
        <f t="shared" si="2"/>
        <v> </v>
      </c>
      <c r="F1501" s="21"/>
    </row>
    <row r="1502">
      <c r="A1502" s="19">
        <v>12551.0</v>
      </c>
      <c r="B1502" s="19" t="s">
        <v>1533</v>
      </c>
      <c r="C1502" s="20">
        <v>19372.0</v>
      </c>
      <c r="D1502" s="19" t="str">
        <f t="shared" si="1"/>
        <v> </v>
      </c>
      <c r="E1502" s="19" t="str">
        <f t="shared" si="2"/>
        <v> </v>
      </c>
      <c r="F1502" s="21"/>
    </row>
    <row r="1503">
      <c r="A1503" s="19">
        <v>12552.0</v>
      </c>
      <c r="B1503" s="19" t="s">
        <v>1534</v>
      </c>
      <c r="C1503" s="20">
        <v>28248.0</v>
      </c>
      <c r="D1503" s="19" t="str">
        <f t="shared" si="1"/>
        <v> </v>
      </c>
      <c r="E1503" s="19" t="str">
        <f t="shared" si="2"/>
        <v> </v>
      </c>
      <c r="F1503" s="21"/>
    </row>
    <row r="1504">
      <c r="A1504" s="19">
        <v>12555.0</v>
      </c>
      <c r="B1504" s="19" t="s">
        <v>1535</v>
      </c>
      <c r="C1504" s="20">
        <v>24529.0</v>
      </c>
      <c r="D1504" s="19" t="str">
        <f t="shared" si="1"/>
        <v> </v>
      </c>
      <c r="E1504" s="19" t="str">
        <f t="shared" si="2"/>
        <v> </v>
      </c>
      <c r="F1504" s="21"/>
    </row>
    <row r="1505">
      <c r="A1505" s="19">
        <v>12556.0</v>
      </c>
      <c r="B1505" s="19" t="s">
        <v>1536</v>
      </c>
      <c r="C1505" s="20">
        <v>17986.0</v>
      </c>
      <c r="D1505" s="19" t="str">
        <f t="shared" si="1"/>
        <v> </v>
      </c>
      <c r="E1505" s="19" t="str">
        <f t="shared" si="2"/>
        <v> </v>
      </c>
      <c r="F1505" s="21"/>
    </row>
    <row r="1506">
      <c r="A1506" s="19">
        <v>12557.0</v>
      </c>
      <c r="B1506" s="19" t="s">
        <v>1537</v>
      </c>
      <c r="C1506" s="20">
        <v>30090.0</v>
      </c>
      <c r="D1506" s="19" t="str">
        <f t="shared" si="1"/>
        <v> </v>
      </c>
      <c r="E1506" s="19" t="str">
        <f t="shared" si="2"/>
        <v> </v>
      </c>
      <c r="F1506" s="21"/>
    </row>
    <row r="1507">
      <c r="A1507" s="19">
        <v>12558.0</v>
      </c>
      <c r="B1507" s="19" t="s">
        <v>1538</v>
      </c>
      <c r="C1507" s="20">
        <v>17226.0</v>
      </c>
      <c r="D1507" s="19" t="str">
        <f t="shared" si="1"/>
        <v> </v>
      </c>
      <c r="E1507" s="19" t="str">
        <f t="shared" si="2"/>
        <v> </v>
      </c>
      <c r="F1507" s="21"/>
    </row>
    <row r="1508">
      <c r="A1508" s="19">
        <v>12559.0</v>
      </c>
      <c r="B1508" s="19" t="s">
        <v>1539</v>
      </c>
      <c r="C1508" s="20">
        <v>25189.0</v>
      </c>
      <c r="D1508" s="19" t="str">
        <f t="shared" si="1"/>
        <v> </v>
      </c>
      <c r="E1508" s="19" t="str">
        <f t="shared" si="2"/>
        <v> </v>
      </c>
      <c r="F1508" s="21"/>
    </row>
    <row r="1509">
      <c r="A1509" s="19">
        <v>12560.0</v>
      </c>
      <c r="B1509" s="19" t="s">
        <v>1540</v>
      </c>
      <c r="C1509" s="20">
        <v>26372.0</v>
      </c>
      <c r="D1509" s="19" t="str">
        <f t="shared" si="1"/>
        <v> </v>
      </c>
      <c r="E1509" s="19" t="str">
        <f t="shared" si="2"/>
        <v> </v>
      </c>
      <c r="F1509" s="21"/>
    </row>
    <row r="1510">
      <c r="A1510" s="19">
        <v>12561.0</v>
      </c>
      <c r="B1510" s="19" t="s">
        <v>1541</v>
      </c>
      <c r="C1510" s="20">
        <v>18463.0</v>
      </c>
      <c r="D1510" s="19" t="str">
        <f t="shared" si="1"/>
        <v> </v>
      </c>
      <c r="E1510" s="19" t="str">
        <f t="shared" si="2"/>
        <v> </v>
      </c>
      <c r="F1510" s="21"/>
    </row>
    <row r="1511">
      <c r="A1511" s="19">
        <v>12562.0</v>
      </c>
      <c r="B1511" s="19" t="s">
        <v>1542</v>
      </c>
      <c r="C1511" s="20">
        <v>14451.0</v>
      </c>
      <c r="D1511" s="19" t="str">
        <f t="shared" si="1"/>
        <v> </v>
      </c>
      <c r="E1511" s="19" t="str">
        <f t="shared" si="2"/>
        <v> </v>
      </c>
      <c r="F1511" s="21"/>
    </row>
    <row r="1512">
      <c r="A1512" s="19">
        <v>12563.0</v>
      </c>
      <c r="B1512" s="19" t="s">
        <v>1543</v>
      </c>
      <c r="C1512" s="20">
        <v>26912.0</v>
      </c>
      <c r="D1512" s="19" t="str">
        <f t="shared" si="1"/>
        <v> </v>
      </c>
      <c r="E1512" s="19" t="str">
        <f t="shared" si="2"/>
        <v> </v>
      </c>
      <c r="F1512" s="21"/>
    </row>
    <row r="1513">
      <c r="A1513" s="19">
        <v>12564.0</v>
      </c>
      <c r="B1513" s="19" t="s">
        <v>1544</v>
      </c>
      <c r="C1513" s="20">
        <v>12162.0</v>
      </c>
      <c r="D1513" s="19" t="str">
        <f t="shared" si="1"/>
        <v> </v>
      </c>
      <c r="E1513" s="19" t="str">
        <f t="shared" si="2"/>
        <v> </v>
      </c>
      <c r="F1513" s="21"/>
    </row>
    <row r="1514">
      <c r="A1514" s="19">
        <v>12565.0</v>
      </c>
      <c r="B1514" s="19" t="s">
        <v>1545</v>
      </c>
      <c r="C1514" s="20">
        <v>11713.0</v>
      </c>
      <c r="D1514" s="19" t="str">
        <f t="shared" si="1"/>
        <v> </v>
      </c>
      <c r="E1514" s="19" t="str">
        <f t="shared" si="2"/>
        <v> </v>
      </c>
      <c r="F1514" s="21"/>
    </row>
    <row r="1515">
      <c r="A1515" s="19">
        <v>12566.0</v>
      </c>
      <c r="B1515" s="19" t="s">
        <v>1546</v>
      </c>
      <c r="C1515" s="20">
        <v>12070.0</v>
      </c>
      <c r="D1515" s="19" t="str">
        <f t="shared" si="1"/>
        <v> </v>
      </c>
      <c r="E1515" s="19" t="str">
        <f t="shared" si="2"/>
        <v> </v>
      </c>
      <c r="F1515" s="21"/>
    </row>
    <row r="1516">
      <c r="A1516" s="19">
        <v>12567.0</v>
      </c>
      <c r="B1516" s="19" t="s">
        <v>1547</v>
      </c>
      <c r="C1516" s="20">
        <v>21873.0</v>
      </c>
      <c r="D1516" s="19" t="str">
        <f t="shared" si="1"/>
        <v> </v>
      </c>
      <c r="E1516" s="19" t="str">
        <f t="shared" si="2"/>
        <v> </v>
      </c>
      <c r="F1516" s="21"/>
    </row>
    <row r="1517">
      <c r="A1517" s="19">
        <v>12569.0</v>
      </c>
      <c r="B1517" s="19" t="s">
        <v>1548</v>
      </c>
      <c r="C1517" s="20">
        <v>20620.0</v>
      </c>
      <c r="D1517" s="19" t="str">
        <f t="shared" si="1"/>
        <v> </v>
      </c>
      <c r="E1517" s="19" t="str">
        <f t="shared" si="2"/>
        <v> </v>
      </c>
      <c r="F1517" s="21"/>
    </row>
    <row r="1518">
      <c r="A1518" s="19">
        <v>12570.0</v>
      </c>
      <c r="B1518" s="19" t="s">
        <v>1549</v>
      </c>
      <c r="C1518" s="20">
        <v>15873.0</v>
      </c>
      <c r="D1518" s="19" t="str">
        <f t="shared" si="1"/>
        <v> </v>
      </c>
      <c r="E1518" s="19" t="str">
        <f t="shared" si="2"/>
        <v> </v>
      </c>
      <c r="F1518" s="21"/>
    </row>
    <row r="1519">
      <c r="A1519" s="19">
        <v>12572.0</v>
      </c>
      <c r="B1519" s="19" t="s">
        <v>1550</v>
      </c>
      <c r="C1519" s="20">
        <v>18267.0</v>
      </c>
      <c r="D1519" s="19" t="str">
        <f t="shared" si="1"/>
        <v> </v>
      </c>
      <c r="E1519" s="19" t="str">
        <f t="shared" si="2"/>
        <v> </v>
      </c>
      <c r="F1519" s="21"/>
    </row>
    <row r="1520">
      <c r="A1520" s="19">
        <v>12575.0</v>
      </c>
      <c r="B1520" s="19" t="s">
        <v>1551</v>
      </c>
      <c r="C1520" s="20">
        <v>20081.0</v>
      </c>
      <c r="D1520" s="19" t="str">
        <f t="shared" si="1"/>
        <v> </v>
      </c>
      <c r="E1520" s="19" t="str">
        <f t="shared" si="2"/>
        <v> </v>
      </c>
      <c r="F1520" s="21"/>
    </row>
    <row r="1521">
      <c r="A1521" s="19">
        <v>12577.0</v>
      </c>
      <c r="B1521" s="19" t="s">
        <v>1552</v>
      </c>
      <c r="C1521" s="20">
        <v>29381.0</v>
      </c>
      <c r="D1521" s="19" t="str">
        <f t="shared" si="1"/>
        <v> </v>
      </c>
      <c r="E1521" s="19" t="str">
        <f t="shared" si="2"/>
        <v>Repeat</v>
      </c>
      <c r="F1521" s="21"/>
    </row>
    <row r="1522">
      <c r="A1522" s="19">
        <v>12579.0</v>
      </c>
      <c r="B1522" s="19" t="s">
        <v>1553</v>
      </c>
      <c r="C1522" s="20">
        <v>16235.0</v>
      </c>
      <c r="D1522" s="19" t="str">
        <f t="shared" si="1"/>
        <v> </v>
      </c>
      <c r="E1522" s="19" t="str">
        <f t="shared" si="2"/>
        <v> </v>
      </c>
      <c r="F1522" s="21"/>
    </row>
    <row r="1523">
      <c r="A1523" s="19">
        <v>12580.0</v>
      </c>
      <c r="B1523" s="19" t="s">
        <v>1554</v>
      </c>
      <c r="C1523" s="20">
        <v>18146.0</v>
      </c>
      <c r="D1523" s="19" t="str">
        <f t="shared" si="1"/>
        <v> </v>
      </c>
      <c r="E1523" s="19" t="str">
        <f t="shared" si="2"/>
        <v> </v>
      </c>
      <c r="F1523" s="21"/>
    </row>
    <row r="1524">
      <c r="A1524" s="19">
        <v>12582.0</v>
      </c>
      <c r="B1524" s="19" t="s">
        <v>1555</v>
      </c>
      <c r="C1524" s="20">
        <v>33972.0</v>
      </c>
      <c r="D1524" s="19" t="str">
        <f t="shared" si="1"/>
        <v> </v>
      </c>
      <c r="E1524" s="19" t="str">
        <f t="shared" si="2"/>
        <v> </v>
      </c>
      <c r="F1524" s="21"/>
    </row>
    <row r="1525">
      <c r="A1525" s="19">
        <v>12585.0</v>
      </c>
      <c r="B1525" s="19" t="s">
        <v>1556</v>
      </c>
      <c r="C1525" s="20">
        <v>12055.0</v>
      </c>
      <c r="D1525" s="19" t="str">
        <f t="shared" si="1"/>
        <v> </v>
      </c>
      <c r="E1525" s="19" t="str">
        <f t="shared" si="2"/>
        <v> </v>
      </c>
      <c r="F1525" s="21"/>
    </row>
    <row r="1526">
      <c r="A1526" s="19">
        <v>12586.0</v>
      </c>
      <c r="B1526" s="19" t="s">
        <v>1557</v>
      </c>
      <c r="C1526" s="20">
        <v>21442.0</v>
      </c>
      <c r="D1526" s="19" t="str">
        <f t="shared" si="1"/>
        <v> </v>
      </c>
      <c r="E1526" s="19" t="str">
        <f t="shared" si="2"/>
        <v> </v>
      </c>
      <c r="F1526" s="21"/>
    </row>
    <row r="1527">
      <c r="A1527" s="19">
        <v>12589.0</v>
      </c>
      <c r="B1527" s="19" t="s">
        <v>1558</v>
      </c>
      <c r="C1527" s="20">
        <v>20573.0</v>
      </c>
      <c r="D1527" s="19" t="str">
        <f t="shared" si="1"/>
        <v> </v>
      </c>
      <c r="E1527" s="19" t="str">
        <f t="shared" si="2"/>
        <v> </v>
      </c>
      <c r="F1527" s="21"/>
    </row>
    <row r="1528">
      <c r="A1528" s="19">
        <v>12590.0</v>
      </c>
      <c r="B1528" s="19" t="s">
        <v>1559</v>
      </c>
      <c r="C1528" s="20">
        <v>16075.0</v>
      </c>
      <c r="D1528" s="19" t="str">
        <f t="shared" si="1"/>
        <v>Repeat</v>
      </c>
      <c r="E1528" s="19" t="str">
        <f t="shared" si="2"/>
        <v> </v>
      </c>
      <c r="F1528" s="21"/>
    </row>
    <row r="1529">
      <c r="A1529" s="19">
        <v>12591.0</v>
      </c>
      <c r="B1529" s="19" t="s">
        <v>1560</v>
      </c>
      <c r="C1529" s="20">
        <v>17935.0</v>
      </c>
      <c r="D1529" s="19" t="str">
        <f t="shared" si="1"/>
        <v> </v>
      </c>
      <c r="E1529" s="19" t="str">
        <f t="shared" si="2"/>
        <v> </v>
      </c>
      <c r="F1529" s="21"/>
    </row>
    <row r="1530">
      <c r="A1530" s="19">
        <v>12592.0</v>
      </c>
      <c r="B1530" s="19" t="s">
        <v>1561</v>
      </c>
      <c r="C1530" s="20">
        <v>22417.0</v>
      </c>
      <c r="D1530" s="19" t="str">
        <f t="shared" si="1"/>
        <v> </v>
      </c>
      <c r="E1530" s="19" t="str">
        <f t="shared" si="2"/>
        <v> </v>
      </c>
      <c r="F1530" s="21"/>
    </row>
    <row r="1531">
      <c r="A1531" s="19">
        <v>12593.0</v>
      </c>
      <c r="B1531" s="19" t="s">
        <v>1562</v>
      </c>
      <c r="C1531" s="20">
        <v>30103.0</v>
      </c>
      <c r="D1531" s="19" t="str">
        <f t="shared" si="1"/>
        <v> </v>
      </c>
      <c r="E1531" s="19" t="str">
        <f t="shared" si="2"/>
        <v> </v>
      </c>
      <c r="F1531" s="21"/>
    </row>
    <row r="1532">
      <c r="A1532" s="19">
        <v>12594.0</v>
      </c>
      <c r="B1532" s="19" t="s">
        <v>1563</v>
      </c>
      <c r="C1532" s="20">
        <v>30485.0</v>
      </c>
      <c r="D1532" s="19" t="str">
        <f t="shared" si="1"/>
        <v> </v>
      </c>
      <c r="E1532" s="19" t="str">
        <f t="shared" si="2"/>
        <v> </v>
      </c>
      <c r="F1532" s="21"/>
    </row>
    <row r="1533">
      <c r="A1533" s="19">
        <v>12597.0</v>
      </c>
      <c r="B1533" s="19" t="s">
        <v>1564</v>
      </c>
      <c r="C1533" s="20">
        <v>30610.0</v>
      </c>
      <c r="D1533" s="19" t="str">
        <f t="shared" si="1"/>
        <v> </v>
      </c>
      <c r="E1533" s="19" t="str">
        <f t="shared" si="2"/>
        <v> </v>
      </c>
      <c r="F1533" s="21"/>
    </row>
    <row r="1534">
      <c r="A1534" s="19">
        <v>12598.0</v>
      </c>
      <c r="B1534" s="19" t="s">
        <v>1565</v>
      </c>
      <c r="C1534" s="20">
        <v>19776.0</v>
      </c>
      <c r="D1534" s="19" t="str">
        <f t="shared" si="1"/>
        <v> </v>
      </c>
      <c r="E1534" s="19" t="str">
        <f t="shared" si="2"/>
        <v> </v>
      </c>
      <c r="F1534" s="21"/>
    </row>
    <row r="1535">
      <c r="A1535" s="19">
        <v>12599.0</v>
      </c>
      <c r="B1535" s="19" t="s">
        <v>1566</v>
      </c>
      <c r="C1535" s="20">
        <v>12521.0</v>
      </c>
      <c r="D1535" s="19" t="str">
        <f t="shared" si="1"/>
        <v> </v>
      </c>
      <c r="E1535" s="19" t="str">
        <f t="shared" si="2"/>
        <v> </v>
      </c>
      <c r="F1535" s="21"/>
    </row>
    <row r="1536">
      <c r="A1536" s="19">
        <v>12600.0</v>
      </c>
      <c r="B1536" s="19" t="s">
        <v>1567</v>
      </c>
      <c r="C1536" s="20">
        <v>34888.0</v>
      </c>
      <c r="D1536" s="19" t="str">
        <f t="shared" si="1"/>
        <v> </v>
      </c>
      <c r="E1536" s="19" t="str">
        <f t="shared" si="2"/>
        <v> </v>
      </c>
      <c r="F1536" s="21"/>
    </row>
    <row r="1537">
      <c r="A1537" s="19">
        <v>12601.0</v>
      </c>
      <c r="B1537" s="19" t="s">
        <v>1568</v>
      </c>
      <c r="C1537" s="20">
        <v>18987.0</v>
      </c>
      <c r="D1537" s="19" t="str">
        <f t="shared" si="1"/>
        <v> </v>
      </c>
      <c r="E1537" s="19" t="str">
        <f t="shared" si="2"/>
        <v> </v>
      </c>
      <c r="F1537" s="21"/>
    </row>
    <row r="1538">
      <c r="A1538" s="19">
        <v>12602.0</v>
      </c>
      <c r="B1538" s="19" t="s">
        <v>1569</v>
      </c>
      <c r="C1538" s="20">
        <v>31472.0</v>
      </c>
      <c r="D1538" s="19" t="str">
        <f t="shared" si="1"/>
        <v> </v>
      </c>
      <c r="E1538" s="19" t="str">
        <f t="shared" si="2"/>
        <v> </v>
      </c>
      <c r="F1538" s="21"/>
    </row>
    <row r="1539">
      <c r="A1539" s="19">
        <v>12604.0</v>
      </c>
      <c r="B1539" s="19" t="s">
        <v>1570</v>
      </c>
      <c r="C1539" s="20">
        <v>28126.0</v>
      </c>
      <c r="D1539" s="19" t="str">
        <f t="shared" si="1"/>
        <v> </v>
      </c>
      <c r="E1539" s="19" t="str">
        <f t="shared" si="2"/>
        <v> </v>
      </c>
      <c r="F1539" s="21"/>
    </row>
    <row r="1540">
      <c r="A1540" s="19">
        <v>12605.0</v>
      </c>
      <c r="B1540" s="19" t="s">
        <v>1571</v>
      </c>
      <c r="C1540" s="20">
        <v>23931.0</v>
      </c>
      <c r="D1540" s="19" t="str">
        <f t="shared" si="1"/>
        <v> </v>
      </c>
      <c r="E1540" s="19" t="str">
        <f t="shared" si="2"/>
        <v> </v>
      </c>
      <c r="F1540" s="21"/>
    </row>
    <row r="1541">
      <c r="A1541" s="19">
        <v>12610.0</v>
      </c>
      <c r="B1541" s="19" t="s">
        <v>1572</v>
      </c>
      <c r="C1541" s="20">
        <v>21459.0</v>
      </c>
      <c r="D1541" s="19" t="str">
        <f t="shared" si="1"/>
        <v> </v>
      </c>
      <c r="E1541" s="19" t="str">
        <f t="shared" si="2"/>
        <v> </v>
      </c>
      <c r="F1541" s="21"/>
    </row>
    <row r="1542">
      <c r="A1542" s="19">
        <v>12611.0</v>
      </c>
      <c r="B1542" s="19" t="s">
        <v>1573</v>
      </c>
      <c r="C1542" s="20">
        <v>35861.0</v>
      </c>
      <c r="D1542" s="19" t="str">
        <f t="shared" si="1"/>
        <v> </v>
      </c>
      <c r="E1542" s="19" t="str">
        <f t="shared" si="2"/>
        <v> </v>
      </c>
      <c r="F1542" s="21"/>
    </row>
    <row r="1543">
      <c r="A1543" s="19">
        <v>12612.0</v>
      </c>
      <c r="B1543" s="19" t="s">
        <v>1574</v>
      </c>
      <c r="C1543" s="20">
        <v>21716.0</v>
      </c>
      <c r="D1543" s="19" t="str">
        <f t="shared" si="1"/>
        <v> </v>
      </c>
      <c r="E1543" s="19" t="str">
        <f t="shared" si="2"/>
        <v> </v>
      </c>
      <c r="F1543" s="21"/>
    </row>
    <row r="1544">
      <c r="A1544" s="19">
        <v>12613.0</v>
      </c>
      <c r="B1544" s="19" t="s">
        <v>1575</v>
      </c>
      <c r="C1544" s="20">
        <v>16716.0</v>
      </c>
      <c r="D1544" s="19" t="str">
        <f t="shared" si="1"/>
        <v> </v>
      </c>
      <c r="E1544" s="19" t="str">
        <f t="shared" si="2"/>
        <v> </v>
      </c>
      <c r="F1544" s="21"/>
    </row>
    <row r="1545">
      <c r="A1545" s="19">
        <v>12614.0</v>
      </c>
      <c r="B1545" s="19" t="s">
        <v>1576</v>
      </c>
      <c r="C1545" s="20">
        <v>21378.0</v>
      </c>
      <c r="D1545" s="19" t="str">
        <f t="shared" si="1"/>
        <v> </v>
      </c>
      <c r="E1545" s="19" t="str">
        <f t="shared" si="2"/>
        <v> </v>
      </c>
      <c r="F1545" s="21"/>
    </row>
    <row r="1546">
      <c r="A1546" s="19">
        <v>12616.0</v>
      </c>
      <c r="B1546" s="19" t="s">
        <v>1577</v>
      </c>
      <c r="C1546" s="20">
        <v>21113.0</v>
      </c>
      <c r="D1546" s="19" t="str">
        <f t="shared" si="1"/>
        <v> </v>
      </c>
      <c r="E1546" s="19" t="str">
        <f t="shared" si="2"/>
        <v> </v>
      </c>
      <c r="F1546" s="21"/>
    </row>
    <row r="1547">
      <c r="A1547" s="19">
        <v>12617.0</v>
      </c>
      <c r="B1547" s="19" t="s">
        <v>1578</v>
      </c>
      <c r="C1547" s="20">
        <v>25468.0</v>
      </c>
      <c r="D1547" s="19" t="str">
        <f t="shared" si="1"/>
        <v> </v>
      </c>
      <c r="E1547" s="19" t="str">
        <f t="shared" si="2"/>
        <v> </v>
      </c>
      <c r="F1547" s="21"/>
    </row>
    <row r="1548">
      <c r="A1548" s="19">
        <v>12618.0</v>
      </c>
      <c r="B1548" s="19" t="s">
        <v>1579</v>
      </c>
      <c r="C1548" s="20">
        <v>22554.0</v>
      </c>
      <c r="D1548" s="19" t="str">
        <f t="shared" si="1"/>
        <v> </v>
      </c>
      <c r="E1548" s="19" t="str">
        <f t="shared" si="2"/>
        <v> </v>
      </c>
      <c r="F1548" s="21"/>
    </row>
    <row r="1549">
      <c r="A1549" s="19">
        <v>12619.0</v>
      </c>
      <c r="B1549" s="19" t="s">
        <v>1580</v>
      </c>
      <c r="C1549" s="20">
        <v>18307.0</v>
      </c>
      <c r="D1549" s="19" t="str">
        <f t="shared" si="1"/>
        <v> </v>
      </c>
      <c r="E1549" s="19" t="str">
        <f t="shared" si="2"/>
        <v> </v>
      </c>
      <c r="F1549" s="21"/>
    </row>
    <row r="1550">
      <c r="A1550" s="19">
        <v>12620.0</v>
      </c>
      <c r="B1550" s="19" t="s">
        <v>1581</v>
      </c>
      <c r="C1550" s="20">
        <v>15570.0</v>
      </c>
      <c r="D1550" s="19" t="str">
        <f t="shared" si="1"/>
        <v> </v>
      </c>
      <c r="E1550" s="19" t="str">
        <f t="shared" si="2"/>
        <v> </v>
      </c>
      <c r="F1550" s="21"/>
    </row>
    <row r="1551">
      <c r="A1551" s="19">
        <v>12621.0</v>
      </c>
      <c r="B1551" s="19" t="s">
        <v>1582</v>
      </c>
      <c r="C1551" s="20">
        <v>22834.0</v>
      </c>
      <c r="D1551" s="19" t="str">
        <f t="shared" si="1"/>
        <v> </v>
      </c>
      <c r="E1551" s="19" t="str">
        <f t="shared" si="2"/>
        <v> </v>
      </c>
      <c r="F1551" s="21"/>
    </row>
    <row r="1552">
      <c r="A1552" s="19">
        <v>12622.0</v>
      </c>
      <c r="B1552" s="19" t="s">
        <v>1583</v>
      </c>
      <c r="C1552" s="20">
        <v>12174.0</v>
      </c>
      <c r="D1552" s="19" t="str">
        <f t="shared" si="1"/>
        <v> </v>
      </c>
      <c r="E1552" s="19" t="str">
        <f t="shared" si="2"/>
        <v> </v>
      </c>
      <c r="F1552" s="21"/>
    </row>
    <row r="1553">
      <c r="A1553" s="19">
        <v>12623.0</v>
      </c>
      <c r="B1553" s="19" t="s">
        <v>1584</v>
      </c>
      <c r="C1553" s="20">
        <v>29504.0</v>
      </c>
      <c r="D1553" s="19" t="str">
        <f t="shared" si="1"/>
        <v> </v>
      </c>
      <c r="E1553" s="19" t="str">
        <f t="shared" si="2"/>
        <v> </v>
      </c>
      <c r="F1553" s="21"/>
    </row>
    <row r="1554">
      <c r="A1554" s="19">
        <v>12625.0</v>
      </c>
      <c r="B1554" s="19" t="s">
        <v>1585</v>
      </c>
      <c r="C1554" s="20">
        <v>15668.0</v>
      </c>
      <c r="D1554" s="19" t="str">
        <f t="shared" si="1"/>
        <v> </v>
      </c>
      <c r="E1554" s="19" t="str">
        <f t="shared" si="2"/>
        <v> </v>
      </c>
      <c r="F1554" s="21"/>
    </row>
    <row r="1555">
      <c r="A1555" s="19">
        <v>12626.0</v>
      </c>
      <c r="B1555" s="19" t="s">
        <v>1586</v>
      </c>
      <c r="C1555" s="20">
        <v>25946.0</v>
      </c>
      <c r="D1555" s="19" t="str">
        <f t="shared" si="1"/>
        <v> </v>
      </c>
      <c r="E1555" s="19" t="str">
        <f t="shared" si="2"/>
        <v> </v>
      </c>
      <c r="F1555" s="21"/>
    </row>
    <row r="1556">
      <c r="A1556" s="19">
        <v>12628.0</v>
      </c>
      <c r="B1556" s="19" t="s">
        <v>1587</v>
      </c>
      <c r="C1556" s="20">
        <v>32624.0</v>
      </c>
      <c r="D1556" s="19" t="str">
        <f t="shared" si="1"/>
        <v> </v>
      </c>
      <c r="E1556" s="19" t="str">
        <f t="shared" si="2"/>
        <v> </v>
      </c>
      <c r="F1556" s="21"/>
    </row>
    <row r="1557">
      <c r="A1557" s="19">
        <v>12629.0</v>
      </c>
      <c r="B1557" s="19" t="s">
        <v>1588</v>
      </c>
      <c r="C1557" s="20">
        <v>17049.0</v>
      </c>
      <c r="D1557" s="19" t="str">
        <f t="shared" si="1"/>
        <v> </v>
      </c>
      <c r="E1557" s="19" t="str">
        <f t="shared" si="2"/>
        <v> </v>
      </c>
      <c r="F1557" s="21"/>
    </row>
    <row r="1558">
      <c r="A1558" s="19">
        <v>12630.0</v>
      </c>
      <c r="B1558" s="19" t="s">
        <v>1589</v>
      </c>
      <c r="C1558" s="20">
        <v>23304.0</v>
      </c>
      <c r="D1558" s="19" t="str">
        <f t="shared" si="1"/>
        <v> </v>
      </c>
      <c r="E1558" s="19" t="str">
        <f t="shared" si="2"/>
        <v> </v>
      </c>
      <c r="F1558" s="21"/>
    </row>
    <row r="1559">
      <c r="A1559" s="19">
        <v>12631.0</v>
      </c>
      <c r="B1559" s="19" t="s">
        <v>1590</v>
      </c>
      <c r="C1559" s="20">
        <v>37109.0</v>
      </c>
      <c r="D1559" s="19" t="str">
        <f t="shared" si="1"/>
        <v> </v>
      </c>
      <c r="E1559" s="19" t="str">
        <f t="shared" si="2"/>
        <v> </v>
      </c>
      <c r="F1559" s="21"/>
    </row>
    <row r="1560">
      <c r="A1560" s="19">
        <v>12633.0</v>
      </c>
      <c r="B1560" s="19" t="s">
        <v>1591</v>
      </c>
      <c r="C1560" s="20">
        <v>20225.0</v>
      </c>
      <c r="D1560" s="19" t="str">
        <f t="shared" si="1"/>
        <v> </v>
      </c>
      <c r="E1560" s="19" t="str">
        <f t="shared" si="2"/>
        <v> </v>
      </c>
      <c r="F1560" s="21"/>
    </row>
    <row r="1561">
      <c r="A1561" s="19">
        <v>12634.0</v>
      </c>
      <c r="B1561" s="19" t="s">
        <v>1592</v>
      </c>
      <c r="C1561" s="20">
        <v>10879.0</v>
      </c>
      <c r="D1561" s="19" t="str">
        <f t="shared" si="1"/>
        <v> </v>
      </c>
      <c r="E1561" s="19" t="str">
        <f t="shared" si="2"/>
        <v> </v>
      </c>
      <c r="F1561" s="21"/>
    </row>
    <row r="1562">
      <c r="A1562" s="19">
        <v>12635.0</v>
      </c>
      <c r="B1562" s="19" t="s">
        <v>1593</v>
      </c>
      <c r="C1562" s="20">
        <v>22457.0</v>
      </c>
      <c r="D1562" s="19" t="str">
        <f t="shared" si="1"/>
        <v> </v>
      </c>
      <c r="E1562" s="19" t="str">
        <f t="shared" si="2"/>
        <v> </v>
      </c>
      <c r="F1562" s="21"/>
    </row>
    <row r="1563">
      <c r="A1563" s="19">
        <v>12636.0</v>
      </c>
      <c r="B1563" s="19" t="s">
        <v>1594</v>
      </c>
      <c r="C1563" s="20">
        <v>17076.0</v>
      </c>
      <c r="D1563" s="19" t="str">
        <f t="shared" si="1"/>
        <v> </v>
      </c>
      <c r="E1563" s="19" t="str">
        <f t="shared" si="2"/>
        <v> </v>
      </c>
      <c r="F1563" s="21"/>
    </row>
    <row r="1564">
      <c r="A1564" s="19">
        <v>12638.0</v>
      </c>
      <c r="B1564" s="19" t="s">
        <v>1595</v>
      </c>
      <c r="C1564" s="20">
        <v>25617.0</v>
      </c>
      <c r="D1564" s="19" t="str">
        <f t="shared" si="1"/>
        <v> </v>
      </c>
      <c r="E1564" s="19" t="str">
        <f t="shared" si="2"/>
        <v> </v>
      </c>
      <c r="F1564" s="21"/>
    </row>
    <row r="1565">
      <c r="A1565" s="19">
        <v>12639.0</v>
      </c>
      <c r="B1565" s="19" t="s">
        <v>1596</v>
      </c>
      <c r="C1565" s="20">
        <v>16484.0</v>
      </c>
      <c r="D1565" s="19" t="str">
        <f t="shared" si="1"/>
        <v> </v>
      </c>
      <c r="E1565" s="19" t="str">
        <f t="shared" si="2"/>
        <v> </v>
      </c>
      <c r="F1565" s="21"/>
    </row>
    <row r="1566">
      <c r="A1566" s="19">
        <v>12641.0</v>
      </c>
      <c r="B1566" s="19" t="s">
        <v>1597</v>
      </c>
      <c r="C1566" s="20">
        <v>18050.0</v>
      </c>
      <c r="D1566" s="19" t="str">
        <f t="shared" si="1"/>
        <v> </v>
      </c>
      <c r="E1566" s="19" t="str">
        <f t="shared" si="2"/>
        <v> </v>
      </c>
      <c r="F1566" s="21"/>
    </row>
    <row r="1567">
      <c r="A1567" s="19">
        <v>12642.0</v>
      </c>
      <c r="B1567" s="19" t="s">
        <v>1598</v>
      </c>
      <c r="C1567" s="20">
        <v>24362.0</v>
      </c>
      <c r="D1567" s="19" t="str">
        <f t="shared" si="1"/>
        <v> </v>
      </c>
      <c r="E1567" s="19" t="str">
        <f t="shared" si="2"/>
        <v> </v>
      </c>
      <c r="F1567" s="21"/>
    </row>
    <row r="1568">
      <c r="A1568" s="19">
        <v>12645.0</v>
      </c>
      <c r="B1568" s="19" t="s">
        <v>1599</v>
      </c>
      <c r="C1568" s="20">
        <v>34068.0</v>
      </c>
      <c r="D1568" s="19" t="str">
        <f t="shared" si="1"/>
        <v> </v>
      </c>
      <c r="E1568" s="19" t="str">
        <f t="shared" si="2"/>
        <v> </v>
      </c>
      <c r="F1568" s="21"/>
    </row>
    <row r="1569">
      <c r="A1569" s="19">
        <v>12646.0</v>
      </c>
      <c r="B1569" s="19" t="s">
        <v>1600</v>
      </c>
      <c r="C1569" s="20">
        <v>14077.0</v>
      </c>
      <c r="D1569" s="19" t="str">
        <f t="shared" si="1"/>
        <v> </v>
      </c>
      <c r="E1569" s="19" t="str">
        <f t="shared" si="2"/>
        <v> </v>
      </c>
      <c r="F1569" s="21"/>
    </row>
    <row r="1570">
      <c r="A1570" s="19">
        <v>12648.0</v>
      </c>
      <c r="B1570" s="19" t="s">
        <v>1601</v>
      </c>
      <c r="C1570" s="20">
        <v>23822.0</v>
      </c>
      <c r="D1570" s="19" t="str">
        <f t="shared" si="1"/>
        <v> </v>
      </c>
      <c r="E1570" s="19" t="str">
        <f t="shared" si="2"/>
        <v> </v>
      </c>
      <c r="F1570" s="21"/>
    </row>
    <row r="1571">
      <c r="A1571" s="19">
        <v>12649.0</v>
      </c>
      <c r="B1571" s="19" t="s">
        <v>1602</v>
      </c>
      <c r="C1571" s="20">
        <v>26640.0</v>
      </c>
      <c r="D1571" s="19" t="str">
        <f t="shared" si="1"/>
        <v> </v>
      </c>
      <c r="E1571" s="19" t="str">
        <f t="shared" si="2"/>
        <v> </v>
      </c>
      <c r="F1571" s="21"/>
    </row>
    <row r="1572">
      <c r="A1572" s="19">
        <v>12650.0</v>
      </c>
      <c r="B1572" s="19" t="s">
        <v>1603</v>
      </c>
      <c r="C1572" s="20">
        <v>19482.0</v>
      </c>
      <c r="D1572" s="19" t="str">
        <f t="shared" si="1"/>
        <v> </v>
      </c>
      <c r="E1572" s="19" t="str">
        <f t="shared" si="2"/>
        <v> </v>
      </c>
      <c r="F1572" s="21"/>
    </row>
    <row r="1573">
      <c r="A1573" s="19">
        <v>12651.0</v>
      </c>
      <c r="B1573" s="19" t="s">
        <v>1604</v>
      </c>
      <c r="C1573" s="20">
        <v>18132.0</v>
      </c>
      <c r="D1573" s="19" t="str">
        <f t="shared" si="1"/>
        <v> </v>
      </c>
      <c r="E1573" s="19" t="str">
        <f t="shared" si="2"/>
        <v> </v>
      </c>
      <c r="F1573" s="21"/>
    </row>
    <row r="1574">
      <c r="A1574" s="19">
        <v>12652.0</v>
      </c>
      <c r="B1574" s="19" t="s">
        <v>1605</v>
      </c>
      <c r="C1574" s="20">
        <v>28856.0</v>
      </c>
      <c r="D1574" s="19" t="str">
        <f t="shared" si="1"/>
        <v> </v>
      </c>
      <c r="E1574" s="19" t="str">
        <f t="shared" si="2"/>
        <v> </v>
      </c>
      <c r="F1574" s="21"/>
    </row>
    <row r="1575">
      <c r="A1575" s="19">
        <v>12653.0</v>
      </c>
      <c r="B1575" s="19" t="s">
        <v>1606</v>
      </c>
      <c r="C1575" s="20">
        <v>27827.0</v>
      </c>
      <c r="D1575" s="19" t="str">
        <f t="shared" si="1"/>
        <v> </v>
      </c>
      <c r="E1575" s="19" t="str">
        <f t="shared" si="2"/>
        <v> </v>
      </c>
      <c r="F1575" s="21"/>
    </row>
    <row r="1576">
      <c r="A1576" s="19">
        <v>12655.0</v>
      </c>
      <c r="B1576" s="19" t="s">
        <v>1607</v>
      </c>
      <c r="C1576" s="20">
        <v>11645.0</v>
      </c>
      <c r="D1576" s="19" t="str">
        <f t="shared" si="1"/>
        <v> </v>
      </c>
      <c r="E1576" s="19" t="str">
        <f t="shared" si="2"/>
        <v> </v>
      </c>
      <c r="F1576" s="21"/>
    </row>
    <row r="1577">
      <c r="A1577" s="19">
        <v>12656.0</v>
      </c>
      <c r="B1577" s="19" t="s">
        <v>1608</v>
      </c>
      <c r="C1577" s="20">
        <v>22112.0</v>
      </c>
      <c r="D1577" s="19" t="str">
        <f t="shared" si="1"/>
        <v> </v>
      </c>
      <c r="E1577" s="19" t="str">
        <f t="shared" si="2"/>
        <v> </v>
      </c>
      <c r="F1577" s="21"/>
    </row>
    <row r="1578">
      <c r="A1578" s="19">
        <v>12658.0</v>
      </c>
      <c r="B1578" s="19" t="s">
        <v>1609</v>
      </c>
      <c r="C1578" s="20">
        <v>19044.0</v>
      </c>
      <c r="D1578" s="19" t="str">
        <f t="shared" si="1"/>
        <v> </v>
      </c>
      <c r="E1578" s="19" t="str">
        <f t="shared" si="2"/>
        <v> </v>
      </c>
      <c r="F1578" s="21"/>
    </row>
    <row r="1579">
      <c r="A1579" s="19">
        <v>12659.0</v>
      </c>
      <c r="B1579" s="19" t="s">
        <v>1610</v>
      </c>
      <c r="C1579" s="20">
        <v>32702.0</v>
      </c>
      <c r="D1579" s="19" t="str">
        <f t="shared" si="1"/>
        <v> </v>
      </c>
      <c r="E1579" s="19" t="str">
        <f t="shared" si="2"/>
        <v> </v>
      </c>
      <c r="F1579" s="21"/>
    </row>
    <row r="1580">
      <c r="A1580" s="19">
        <v>12661.0</v>
      </c>
      <c r="B1580" s="19" t="s">
        <v>1611</v>
      </c>
      <c r="C1580" s="20">
        <v>29799.0</v>
      </c>
      <c r="D1580" s="19" t="str">
        <f t="shared" si="1"/>
        <v> </v>
      </c>
      <c r="E1580" s="19" t="str">
        <f t="shared" si="2"/>
        <v> </v>
      </c>
      <c r="F1580" s="21"/>
    </row>
    <row r="1581">
      <c r="A1581" s="19">
        <v>12662.0</v>
      </c>
      <c r="B1581" s="19" t="s">
        <v>1612</v>
      </c>
      <c r="C1581" s="20">
        <v>25947.0</v>
      </c>
      <c r="D1581" s="19" t="str">
        <f t="shared" si="1"/>
        <v> </v>
      </c>
      <c r="E1581" s="19" t="str">
        <f t="shared" si="2"/>
        <v> </v>
      </c>
      <c r="F1581" s="21"/>
    </row>
    <row r="1582">
      <c r="A1582" s="19">
        <v>12663.0</v>
      </c>
      <c r="B1582" s="19" t="s">
        <v>1613</v>
      </c>
      <c r="C1582" s="20">
        <v>32563.0</v>
      </c>
      <c r="D1582" s="19" t="str">
        <f t="shared" si="1"/>
        <v> </v>
      </c>
      <c r="E1582" s="19" t="str">
        <f t="shared" si="2"/>
        <v> </v>
      </c>
      <c r="F1582" s="21"/>
    </row>
    <row r="1583">
      <c r="A1583" s="19">
        <v>12665.0</v>
      </c>
      <c r="B1583" s="19" t="s">
        <v>1614</v>
      </c>
      <c r="C1583" s="20">
        <v>16549.0</v>
      </c>
      <c r="D1583" s="19" t="str">
        <f t="shared" si="1"/>
        <v> </v>
      </c>
      <c r="E1583" s="19" t="str">
        <f t="shared" si="2"/>
        <v> </v>
      </c>
      <c r="F1583" s="21"/>
    </row>
    <row r="1584">
      <c r="A1584" s="19">
        <v>12666.0</v>
      </c>
      <c r="B1584" s="19" t="s">
        <v>1615</v>
      </c>
      <c r="C1584" s="20">
        <v>22896.0</v>
      </c>
      <c r="D1584" s="19" t="str">
        <f t="shared" si="1"/>
        <v> </v>
      </c>
      <c r="E1584" s="19" t="str">
        <f t="shared" si="2"/>
        <v> </v>
      </c>
      <c r="F1584" s="21"/>
    </row>
    <row r="1585">
      <c r="A1585" s="19">
        <v>12669.0</v>
      </c>
      <c r="B1585" s="19" t="s">
        <v>1616</v>
      </c>
      <c r="C1585" s="20">
        <v>24179.0</v>
      </c>
      <c r="D1585" s="19" t="str">
        <f t="shared" si="1"/>
        <v> </v>
      </c>
      <c r="E1585" s="19" t="str">
        <f t="shared" si="2"/>
        <v> </v>
      </c>
      <c r="F1585" s="21"/>
    </row>
    <row r="1586">
      <c r="A1586" s="19">
        <v>12671.0</v>
      </c>
      <c r="B1586" s="19" t="s">
        <v>1617</v>
      </c>
      <c r="C1586" s="20">
        <v>25803.0</v>
      </c>
      <c r="D1586" s="19" t="str">
        <f t="shared" si="1"/>
        <v> </v>
      </c>
      <c r="E1586" s="19" t="str">
        <f t="shared" si="2"/>
        <v> </v>
      </c>
      <c r="F1586" s="21"/>
    </row>
    <row r="1587">
      <c r="A1587" s="19">
        <v>12672.0</v>
      </c>
      <c r="B1587" s="19" t="s">
        <v>1618</v>
      </c>
      <c r="C1587" s="20">
        <v>19882.0</v>
      </c>
      <c r="D1587" s="19" t="str">
        <f t="shared" si="1"/>
        <v> </v>
      </c>
      <c r="E1587" s="19" t="str">
        <f t="shared" si="2"/>
        <v> </v>
      </c>
      <c r="F1587" s="21"/>
    </row>
    <row r="1588">
      <c r="A1588" s="19">
        <v>12673.0</v>
      </c>
      <c r="B1588" s="19" t="s">
        <v>1619</v>
      </c>
      <c r="C1588" s="20">
        <v>27831.0</v>
      </c>
      <c r="D1588" s="19" t="str">
        <f t="shared" si="1"/>
        <v> </v>
      </c>
      <c r="E1588" s="19" t="str">
        <f t="shared" si="2"/>
        <v> </v>
      </c>
      <c r="F1588" s="21"/>
    </row>
    <row r="1589">
      <c r="A1589" s="19">
        <v>12674.0</v>
      </c>
      <c r="B1589" s="19" t="s">
        <v>1620</v>
      </c>
      <c r="C1589" s="20">
        <v>13491.0</v>
      </c>
      <c r="D1589" s="19" t="str">
        <f t="shared" si="1"/>
        <v> </v>
      </c>
      <c r="E1589" s="19" t="str">
        <f t="shared" si="2"/>
        <v> </v>
      </c>
      <c r="F1589" s="21"/>
    </row>
    <row r="1590">
      <c r="A1590" s="19">
        <v>12675.0</v>
      </c>
      <c r="B1590" s="19" t="s">
        <v>1621</v>
      </c>
      <c r="C1590" s="20">
        <v>19718.0</v>
      </c>
      <c r="D1590" s="19" t="str">
        <f t="shared" si="1"/>
        <v> </v>
      </c>
      <c r="E1590" s="19" t="str">
        <f t="shared" si="2"/>
        <v> </v>
      </c>
      <c r="F1590" s="21"/>
    </row>
    <row r="1591">
      <c r="A1591" s="19">
        <v>12676.0</v>
      </c>
      <c r="B1591" s="19" t="s">
        <v>1622</v>
      </c>
      <c r="C1591" s="20">
        <v>18119.0</v>
      </c>
      <c r="D1591" s="19" t="str">
        <f t="shared" si="1"/>
        <v> </v>
      </c>
      <c r="E1591" s="19" t="str">
        <f t="shared" si="2"/>
        <v> </v>
      </c>
      <c r="F1591" s="21"/>
    </row>
    <row r="1592">
      <c r="A1592" s="19">
        <v>12677.0</v>
      </c>
      <c r="B1592" s="19" t="s">
        <v>1623</v>
      </c>
      <c r="C1592" s="20">
        <v>25830.0</v>
      </c>
      <c r="D1592" s="19" t="str">
        <f t="shared" si="1"/>
        <v> </v>
      </c>
      <c r="E1592" s="19" t="str">
        <f t="shared" si="2"/>
        <v> </v>
      </c>
      <c r="F1592" s="21"/>
    </row>
    <row r="1593">
      <c r="A1593" s="19">
        <v>12680.0</v>
      </c>
      <c r="B1593" s="19" t="s">
        <v>1624</v>
      </c>
      <c r="C1593" s="20">
        <v>18809.0</v>
      </c>
      <c r="D1593" s="19" t="str">
        <f t="shared" si="1"/>
        <v> </v>
      </c>
      <c r="E1593" s="19" t="str">
        <f t="shared" si="2"/>
        <v> </v>
      </c>
      <c r="F1593" s="21"/>
    </row>
    <row r="1594">
      <c r="A1594" s="19">
        <v>12681.0</v>
      </c>
      <c r="B1594" s="19" t="s">
        <v>1625</v>
      </c>
      <c r="C1594" s="20">
        <v>23343.0</v>
      </c>
      <c r="D1594" s="19" t="str">
        <f t="shared" si="1"/>
        <v> </v>
      </c>
      <c r="E1594" s="19" t="str">
        <f t="shared" si="2"/>
        <v> </v>
      </c>
      <c r="F1594" s="21"/>
    </row>
    <row r="1595">
      <c r="A1595" s="19">
        <v>12682.0</v>
      </c>
      <c r="B1595" s="19" t="s">
        <v>1626</v>
      </c>
      <c r="C1595" s="20">
        <v>17351.0</v>
      </c>
      <c r="D1595" s="19" t="str">
        <f t="shared" si="1"/>
        <v> </v>
      </c>
      <c r="E1595" s="19" t="str">
        <f t="shared" si="2"/>
        <v> </v>
      </c>
      <c r="F1595" s="21"/>
    </row>
    <row r="1596">
      <c r="A1596" s="19">
        <v>12683.0</v>
      </c>
      <c r="B1596" s="19" t="s">
        <v>1627</v>
      </c>
      <c r="C1596" s="20">
        <v>21164.0</v>
      </c>
      <c r="D1596" s="19" t="str">
        <f t="shared" si="1"/>
        <v> </v>
      </c>
      <c r="E1596" s="19" t="str">
        <f t="shared" si="2"/>
        <v> </v>
      </c>
      <c r="F1596" s="21"/>
    </row>
    <row r="1597">
      <c r="A1597" s="19">
        <v>12684.0</v>
      </c>
      <c r="B1597" s="19" t="s">
        <v>1628</v>
      </c>
      <c r="C1597" s="20">
        <v>18264.0</v>
      </c>
      <c r="D1597" s="19" t="str">
        <f t="shared" si="1"/>
        <v> </v>
      </c>
      <c r="E1597" s="19" t="str">
        <f t="shared" si="2"/>
        <v> </v>
      </c>
      <c r="F1597" s="21"/>
    </row>
    <row r="1598">
      <c r="A1598" s="19">
        <v>12685.0</v>
      </c>
      <c r="B1598" s="19" t="s">
        <v>1629</v>
      </c>
      <c r="C1598" s="20">
        <v>20162.0</v>
      </c>
      <c r="D1598" s="19" t="str">
        <f t="shared" si="1"/>
        <v> </v>
      </c>
      <c r="E1598" s="19" t="str">
        <f t="shared" si="2"/>
        <v> </v>
      </c>
      <c r="F1598" s="21"/>
    </row>
    <row r="1599">
      <c r="A1599" s="19">
        <v>12686.0</v>
      </c>
      <c r="B1599" s="19" t="s">
        <v>1630</v>
      </c>
      <c r="C1599" s="20">
        <v>13761.0</v>
      </c>
      <c r="D1599" s="19" t="str">
        <f t="shared" si="1"/>
        <v> </v>
      </c>
      <c r="E1599" s="19" t="str">
        <f t="shared" si="2"/>
        <v> </v>
      </c>
      <c r="F1599" s="21"/>
    </row>
    <row r="1600">
      <c r="A1600" s="19">
        <v>12687.0</v>
      </c>
      <c r="B1600" s="19" t="s">
        <v>1631</v>
      </c>
      <c r="C1600" s="20">
        <v>24099.0</v>
      </c>
      <c r="D1600" s="19" t="str">
        <f t="shared" si="1"/>
        <v> </v>
      </c>
      <c r="E1600" s="19" t="str">
        <f t="shared" si="2"/>
        <v> </v>
      </c>
      <c r="F1600" s="21"/>
    </row>
    <row r="1601">
      <c r="A1601" s="19">
        <v>12688.0</v>
      </c>
      <c r="B1601" s="19" t="s">
        <v>1632</v>
      </c>
      <c r="C1601" s="20">
        <v>22821.0</v>
      </c>
      <c r="D1601" s="19" t="str">
        <f t="shared" si="1"/>
        <v> </v>
      </c>
      <c r="E1601" s="19" t="str">
        <f t="shared" si="2"/>
        <v> </v>
      </c>
      <c r="F1601" s="21"/>
    </row>
    <row r="1602">
      <c r="A1602" s="19">
        <v>12690.0</v>
      </c>
      <c r="B1602" s="19" t="s">
        <v>1633</v>
      </c>
      <c r="C1602" s="20">
        <v>20549.0</v>
      </c>
      <c r="D1602" s="19" t="str">
        <f t="shared" si="1"/>
        <v> </v>
      </c>
      <c r="E1602" s="19" t="str">
        <f t="shared" si="2"/>
        <v> </v>
      </c>
      <c r="F1602" s="21"/>
    </row>
    <row r="1603">
      <c r="A1603" s="19">
        <v>12693.0</v>
      </c>
      <c r="B1603" s="19" t="s">
        <v>1634</v>
      </c>
      <c r="C1603" s="20">
        <v>18722.0</v>
      </c>
      <c r="D1603" s="19" t="str">
        <f t="shared" si="1"/>
        <v> </v>
      </c>
      <c r="E1603" s="19" t="str">
        <f t="shared" si="2"/>
        <v> </v>
      </c>
      <c r="F1603" s="21"/>
    </row>
    <row r="1604">
      <c r="A1604" s="19">
        <v>12694.0</v>
      </c>
      <c r="B1604" s="19" t="s">
        <v>1635</v>
      </c>
      <c r="C1604" s="20">
        <v>22174.0</v>
      </c>
      <c r="D1604" s="19" t="str">
        <f t="shared" si="1"/>
        <v> </v>
      </c>
      <c r="E1604" s="19" t="str">
        <f t="shared" si="2"/>
        <v> </v>
      </c>
      <c r="F1604" s="21"/>
    </row>
    <row r="1605">
      <c r="A1605" s="19">
        <v>12695.0</v>
      </c>
      <c r="B1605" s="19" t="s">
        <v>1636</v>
      </c>
      <c r="C1605" s="20">
        <v>28088.0</v>
      </c>
      <c r="D1605" s="19" t="str">
        <f t="shared" si="1"/>
        <v> </v>
      </c>
      <c r="E1605" s="19" t="str">
        <f t="shared" si="2"/>
        <v> </v>
      </c>
      <c r="F1605" s="21"/>
    </row>
    <row r="1606">
      <c r="A1606" s="19">
        <v>12696.0</v>
      </c>
      <c r="B1606" s="19" t="s">
        <v>1637</v>
      </c>
      <c r="C1606" s="20">
        <v>14557.0</v>
      </c>
      <c r="D1606" s="19" t="str">
        <f t="shared" si="1"/>
        <v> </v>
      </c>
      <c r="E1606" s="19" t="str">
        <f t="shared" si="2"/>
        <v> </v>
      </c>
      <c r="F1606" s="21"/>
    </row>
    <row r="1607">
      <c r="A1607" s="19">
        <v>12697.0</v>
      </c>
      <c r="B1607" s="19" t="s">
        <v>1638</v>
      </c>
      <c r="C1607" s="20">
        <v>30536.0</v>
      </c>
      <c r="D1607" s="19" t="str">
        <f t="shared" si="1"/>
        <v> </v>
      </c>
      <c r="E1607" s="19" t="str">
        <f t="shared" si="2"/>
        <v> </v>
      </c>
      <c r="F1607" s="21"/>
    </row>
    <row r="1608">
      <c r="A1608" s="19">
        <v>12698.0</v>
      </c>
      <c r="B1608" s="19" t="s">
        <v>1639</v>
      </c>
      <c r="C1608" s="20">
        <v>16360.0</v>
      </c>
      <c r="D1608" s="19" t="str">
        <f t="shared" si="1"/>
        <v> </v>
      </c>
      <c r="E1608" s="19" t="str">
        <f t="shared" si="2"/>
        <v> </v>
      </c>
      <c r="F1608" s="21"/>
    </row>
    <row r="1609">
      <c r="A1609" s="19">
        <v>12700.0</v>
      </c>
      <c r="B1609" s="19" t="s">
        <v>1640</v>
      </c>
      <c r="C1609" s="20">
        <v>26248.0</v>
      </c>
      <c r="D1609" s="19" t="str">
        <f t="shared" si="1"/>
        <v> </v>
      </c>
      <c r="E1609" s="19" t="str">
        <f t="shared" si="2"/>
        <v> </v>
      </c>
      <c r="F1609" s="21"/>
    </row>
    <row r="1610">
      <c r="A1610" s="19">
        <v>12701.0</v>
      </c>
      <c r="B1610" s="19" t="s">
        <v>1641</v>
      </c>
      <c r="C1610" s="20">
        <v>18585.0</v>
      </c>
      <c r="D1610" s="19" t="str">
        <f t="shared" si="1"/>
        <v> </v>
      </c>
      <c r="E1610" s="19" t="str">
        <f t="shared" si="2"/>
        <v> </v>
      </c>
      <c r="F1610" s="21"/>
    </row>
    <row r="1611">
      <c r="A1611" s="19">
        <v>12702.0</v>
      </c>
      <c r="B1611" s="19" t="s">
        <v>1642</v>
      </c>
      <c r="C1611" s="20">
        <v>14807.0</v>
      </c>
      <c r="D1611" s="19" t="str">
        <f t="shared" si="1"/>
        <v> </v>
      </c>
      <c r="E1611" s="19" t="str">
        <f t="shared" si="2"/>
        <v> </v>
      </c>
      <c r="F1611" s="21"/>
    </row>
    <row r="1612">
      <c r="A1612" s="19">
        <v>12703.0</v>
      </c>
      <c r="B1612" s="19" t="s">
        <v>1643</v>
      </c>
      <c r="C1612" s="20">
        <v>15013.0</v>
      </c>
      <c r="D1612" s="19" t="str">
        <f t="shared" si="1"/>
        <v> </v>
      </c>
      <c r="E1612" s="19" t="str">
        <f t="shared" si="2"/>
        <v> </v>
      </c>
      <c r="F1612" s="21"/>
    </row>
    <row r="1613">
      <c r="A1613" s="19">
        <v>12704.0</v>
      </c>
      <c r="B1613" s="19" t="s">
        <v>1644</v>
      </c>
      <c r="C1613" s="20">
        <v>26124.0</v>
      </c>
      <c r="D1613" s="19" t="str">
        <f t="shared" si="1"/>
        <v> </v>
      </c>
      <c r="E1613" s="19" t="str">
        <f t="shared" si="2"/>
        <v> </v>
      </c>
      <c r="F1613" s="21"/>
    </row>
    <row r="1614">
      <c r="A1614" s="19">
        <v>12706.0</v>
      </c>
      <c r="B1614" s="19" t="s">
        <v>1645</v>
      </c>
      <c r="C1614" s="20">
        <v>28131.0</v>
      </c>
      <c r="D1614" s="19" t="str">
        <f t="shared" si="1"/>
        <v> </v>
      </c>
      <c r="E1614" s="19" t="str">
        <f t="shared" si="2"/>
        <v> </v>
      </c>
      <c r="F1614" s="21"/>
    </row>
    <row r="1615">
      <c r="A1615" s="19">
        <v>12709.0</v>
      </c>
      <c r="B1615" s="19" t="s">
        <v>1646</v>
      </c>
      <c r="C1615" s="20">
        <v>22926.0</v>
      </c>
      <c r="D1615" s="19" t="str">
        <f t="shared" si="1"/>
        <v> </v>
      </c>
      <c r="E1615" s="19" t="str">
        <f t="shared" si="2"/>
        <v> </v>
      </c>
      <c r="F1615" s="21"/>
    </row>
    <row r="1616">
      <c r="A1616" s="19">
        <v>12710.0</v>
      </c>
      <c r="B1616" s="19" t="s">
        <v>1647</v>
      </c>
      <c r="C1616" s="20">
        <v>29031.0</v>
      </c>
      <c r="D1616" s="19" t="str">
        <f t="shared" si="1"/>
        <v> </v>
      </c>
      <c r="E1616" s="19" t="str">
        <f t="shared" si="2"/>
        <v> </v>
      </c>
      <c r="F1616" s="21"/>
    </row>
    <row r="1617">
      <c r="A1617" s="19">
        <v>12711.0</v>
      </c>
      <c r="B1617" s="19" t="s">
        <v>1648</v>
      </c>
      <c r="C1617" s="20">
        <v>23000.0</v>
      </c>
      <c r="D1617" s="19" t="str">
        <f t="shared" si="1"/>
        <v> </v>
      </c>
      <c r="E1617" s="19" t="str">
        <f t="shared" si="2"/>
        <v> </v>
      </c>
      <c r="F1617" s="21"/>
    </row>
    <row r="1618">
      <c r="A1618" s="19">
        <v>12712.0</v>
      </c>
      <c r="B1618" s="19" t="s">
        <v>1649</v>
      </c>
      <c r="C1618" s="20">
        <v>23307.0</v>
      </c>
      <c r="D1618" s="19" t="str">
        <f t="shared" si="1"/>
        <v> </v>
      </c>
      <c r="E1618" s="19" t="str">
        <f t="shared" si="2"/>
        <v> </v>
      </c>
      <c r="F1618" s="21"/>
    </row>
    <row r="1619">
      <c r="A1619" s="19">
        <v>12714.0</v>
      </c>
      <c r="B1619" s="19" t="s">
        <v>1650</v>
      </c>
      <c r="C1619" s="20">
        <v>25918.0</v>
      </c>
      <c r="D1619" s="19" t="str">
        <f t="shared" si="1"/>
        <v> </v>
      </c>
      <c r="E1619" s="19" t="str">
        <f t="shared" si="2"/>
        <v> </v>
      </c>
      <c r="F1619" s="21"/>
    </row>
    <row r="1620">
      <c r="A1620" s="19">
        <v>12715.0</v>
      </c>
      <c r="B1620" s="19" t="s">
        <v>1651</v>
      </c>
      <c r="C1620" s="20">
        <v>16230.0</v>
      </c>
      <c r="D1620" s="19" t="str">
        <f t="shared" si="1"/>
        <v> </v>
      </c>
      <c r="E1620" s="19" t="str">
        <f t="shared" si="2"/>
        <v> </v>
      </c>
      <c r="F1620" s="21"/>
    </row>
    <row r="1621">
      <c r="A1621" s="19">
        <v>12716.0</v>
      </c>
      <c r="B1621" s="19" t="s">
        <v>1652</v>
      </c>
      <c r="C1621" s="20">
        <v>29660.0</v>
      </c>
      <c r="D1621" s="19" t="str">
        <f t="shared" si="1"/>
        <v> </v>
      </c>
      <c r="E1621" s="19" t="str">
        <f t="shared" si="2"/>
        <v> </v>
      </c>
      <c r="F1621" s="21"/>
    </row>
    <row r="1622">
      <c r="A1622" s="19">
        <v>12718.0</v>
      </c>
      <c r="B1622" s="19" t="s">
        <v>1653</v>
      </c>
      <c r="C1622" s="20">
        <v>29742.0</v>
      </c>
      <c r="D1622" s="19" t="str">
        <f t="shared" si="1"/>
        <v> </v>
      </c>
      <c r="E1622" s="19" t="str">
        <f t="shared" si="2"/>
        <v> </v>
      </c>
      <c r="F1622" s="21"/>
    </row>
    <row r="1623">
      <c r="A1623" s="19">
        <v>12719.0</v>
      </c>
      <c r="B1623" s="19" t="s">
        <v>1654</v>
      </c>
      <c r="C1623" s="20">
        <v>20044.0</v>
      </c>
      <c r="D1623" s="19" t="str">
        <f t="shared" si="1"/>
        <v> </v>
      </c>
      <c r="E1623" s="19" t="str">
        <f t="shared" si="2"/>
        <v> </v>
      </c>
      <c r="F1623" s="21"/>
    </row>
    <row r="1624">
      <c r="A1624" s="19">
        <v>12720.0</v>
      </c>
      <c r="B1624" s="19" t="s">
        <v>1655</v>
      </c>
      <c r="C1624" s="20">
        <v>15555.0</v>
      </c>
      <c r="D1624" s="19" t="str">
        <f t="shared" si="1"/>
        <v> </v>
      </c>
      <c r="E1624" s="19" t="str">
        <f t="shared" si="2"/>
        <v> </v>
      </c>
      <c r="F1624" s="21"/>
    </row>
    <row r="1625">
      <c r="A1625" s="19">
        <v>12721.0</v>
      </c>
      <c r="B1625" s="19" t="s">
        <v>1656</v>
      </c>
      <c r="C1625" s="20">
        <v>29014.0</v>
      </c>
      <c r="D1625" s="19" t="str">
        <f t="shared" si="1"/>
        <v> </v>
      </c>
      <c r="E1625" s="19" t="str">
        <f t="shared" si="2"/>
        <v> </v>
      </c>
      <c r="F1625" s="21"/>
    </row>
    <row r="1626">
      <c r="A1626" s="19">
        <v>12722.0</v>
      </c>
      <c r="B1626" s="19" t="s">
        <v>1657</v>
      </c>
      <c r="C1626" s="20">
        <v>23485.0</v>
      </c>
      <c r="D1626" s="19" t="str">
        <f t="shared" si="1"/>
        <v> </v>
      </c>
      <c r="E1626" s="19" t="str">
        <f t="shared" si="2"/>
        <v> </v>
      </c>
      <c r="F1626" s="21"/>
    </row>
    <row r="1627">
      <c r="A1627" s="19">
        <v>12723.0</v>
      </c>
      <c r="B1627" s="19" t="s">
        <v>1658</v>
      </c>
      <c r="C1627" s="20">
        <v>19718.0</v>
      </c>
      <c r="D1627" s="19" t="str">
        <f t="shared" si="1"/>
        <v> </v>
      </c>
      <c r="E1627" s="19" t="str">
        <f t="shared" si="2"/>
        <v> </v>
      </c>
      <c r="F1627" s="21"/>
    </row>
    <row r="1628">
      <c r="A1628" s="19">
        <v>12724.0</v>
      </c>
      <c r="B1628" s="19" t="s">
        <v>1659</v>
      </c>
      <c r="C1628" s="20">
        <v>25314.0</v>
      </c>
      <c r="D1628" s="19" t="str">
        <f t="shared" si="1"/>
        <v> </v>
      </c>
      <c r="E1628" s="19" t="str">
        <f t="shared" si="2"/>
        <v> </v>
      </c>
      <c r="F1628" s="21"/>
    </row>
    <row r="1629">
      <c r="A1629" s="19">
        <v>12726.0</v>
      </c>
      <c r="B1629" s="19" t="s">
        <v>1660</v>
      </c>
      <c r="C1629" s="20">
        <v>26520.0</v>
      </c>
      <c r="D1629" s="19" t="str">
        <f t="shared" si="1"/>
        <v> </v>
      </c>
      <c r="E1629" s="19" t="str">
        <f t="shared" si="2"/>
        <v> </v>
      </c>
      <c r="F1629" s="21"/>
    </row>
    <row r="1630">
      <c r="A1630" s="19">
        <v>12729.0</v>
      </c>
      <c r="B1630" s="19" t="s">
        <v>1661</v>
      </c>
      <c r="C1630" s="20">
        <v>18428.0</v>
      </c>
      <c r="D1630" s="19" t="str">
        <f t="shared" si="1"/>
        <v> </v>
      </c>
      <c r="E1630" s="19" t="str">
        <f t="shared" si="2"/>
        <v> </v>
      </c>
      <c r="F1630" s="21"/>
    </row>
    <row r="1631">
      <c r="A1631" s="19">
        <v>12730.0</v>
      </c>
      <c r="B1631" s="19" t="s">
        <v>1662</v>
      </c>
      <c r="C1631" s="20">
        <v>29782.0</v>
      </c>
      <c r="D1631" s="19" t="str">
        <f t="shared" si="1"/>
        <v> </v>
      </c>
      <c r="E1631" s="19" t="str">
        <f t="shared" si="2"/>
        <v> </v>
      </c>
      <c r="F1631" s="21"/>
    </row>
    <row r="1632">
      <c r="A1632" s="19">
        <v>12731.0</v>
      </c>
      <c r="B1632" s="19" t="s">
        <v>1663</v>
      </c>
      <c r="C1632" s="20">
        <v>31070.0</v>
      </c>
      <c r="D1632" s="19" t="str">
        <f t="shared" si="1"/>
        <v> </v>
      </c>
      <c r="E1632" s="19" t="str">
        <f t="shared" si="2"/>
        <v> </v>
      </c>
      <c r="F1632" s="21"/>
    </row>
    <row r="1633">
      <c r="A1633" s="19">
        <v>12732.0</v>
      </c>
      <c r="B1633" s="19" t="s">
        <v>1664</v>
      </c>
      <c r="C1633" s="20">
        <v>20820.0</v>
      </c>
      <c r="D1633" s="19" t="str">
        <f t="shared" si="1"/>
        <v> </v>
      </c>
      <c r="E1633" s="19" t="str">
        <f t="shared" si="2"/>
        <v> </v>
      </c>
      <c r="F1633" s="21"/>
    </row>
    <row r="1634">
      <c r="A1634" s="19">
        <v>12735.0</v>
      </c>
      <c r="B1634" s="19" t="s">
        <v>1665</v>
      </c>
      <c r="C1634" s="20">
        <v>29854.0</v>
      </c>
      <c r="D1634" s="19" t="str">
        <f t="shared" si="1"/>
        <v> </v>
      </c>
      <c r="E1634" s="19" t="str">
        <f t="shared" si="2"/>
        <v> </v>
      </c>
      <c r="F1634" s="21"/>
    </row>
    <row r="1635">
      <c r="A1635" s="19">
        <v>12736.0</v>
      </c>
      <c r="B1635" s="19" t="s">
        <v>1666</v>
      </c>
      <c r="C1635" s="20">
        <v>19600.0</v>
      </c>
      <c r="D1635" s="19" t="str">
        <f t="shared" si="1"/>
        <v> </v>
      </c>
      <c r="E1635" s="19" t="str">
        <f t="shared" si="2"/>
        <v> </v>
      </c>
      <c r="F1635" s="21"/>
    </row>
    <row r="1636">
      <c r="A1636" s="19">
        <v>12738.0</v>
      </c>
      <c r="B1636" s="19" t="s">
        <v>1667</v>
      </c>
      <c r="C1636" s="20">
        <v>16693.0</v>
      </c>
      <c r="D1636" s="19" t="str">
        <f t="shared" si="1"/>
        <v> </v>
      </c>
      <c r="E1636" s="19" t="str">
        <f t="shared" si="2"/>
        <v> </v>
      </c>
      <c r="F1636" s="21"/>
    </row>
    <row r="1637">
      <c r="A1637" s="19">
        <v>12739.0</v>
      </c>
      <c r="B1637" s="19" t="s">
        <v>1668</v>
      </c>
      <c r="C1637" s="20">
        <v>24224.0</v>
      </c>
      <c r="D1637" s="19" t="str">
        <f t="shared" si="1"/>
        <v> </v>
      </c>
      <c r="E1637" s="19" t="str">
        <f t="shared" si="2"/>
        <v> </v>
      </c>
      <c r="F1637" s="21"/>
    </row>
    <row r="1638">
      <c r="A1638" s="19">
        <v>12740.0</v>
      </c>
      <c r="B1638" s="19" t="s">
        <v>1669</v>
      </c>
      <c r="C1638" s="20">
        <v>24173.0</v>
      </c>
      <c r="D1638" s="19" t="str">
        <f t="shared" si="1"/>
        <v> </v>
      </c>
      <c r="E1638" s="19" t="str">
        <f t="shared" si="2"/>
        <v> </v>
      </c>
      <c r="F1638" s="21"/>
    </row>
    <row r="1639">
      <c r="A1639" s="19">
        <v>12741.0</v>
      </c>
      <c r="B1639" s="19" t="s">
        <v>1670</v>
      </c>
      <c r="C1639" s="20">
        <v>25142.0</v>
      </c>
      <c r="D1639" s="19" t="str">
        <f t="shared" si="1"/>
        <v> </v>
      </c>
      <c r="E1639" s="19" t="str">
        <f t="shared" si="2"/>
        <v> </v>
      </c>
      <c r="F1639" s="21"/>
    </row>
    <row r="1640">
      <c r="A1640" s="19">
        <v>12742.0</v>
      </c>
      <c r="B1640" s="19" t="s">
        <v>1671</v>
      </c>
      <c r="C1640" s="20">
        <v>22886.0</v>
      </c>
      <c r="D1640" s="19" t="str">
        <f t="shared" si="1"/>
        <v> </v>
      </c>
      <c r="E1640" s="19" t="str">
        <f t="shared" si="2"/>
        <v> </v>
      </c>
      <c r="F1640" s="21"/>
    </row>
    <row r="1641">
      <c r="A1641" s="19">
        <v>12743.0</v>
      </c>
      <c r="B1641" s="19" t="s">
        <v>1672</v>
      </c>
      <c r="C1641" s="20">
        <v>27651.0</v>
      </c>
      <c r="D1641" s="19" t="str">
        <f t="shared" si="1"/>
        <v> </v>
      </c>
      <c r="E1641" s="19" t="str">
        <f t="shared" si="2"/>
        <v> </v>
      </c>
      <c r="F1641" s="21"/>
    </row>
    <row r="1642">
      <c r="A1642" s="19">
        <v>12744.0</v>
      </c>
      <c r="B1642" s="19" t="s">
        <v>1673</v>
      </c>
      <c r="C1642" s="20">
        <v>22157.0</v>
      </c>
      <c r="D1642" s="19" t="str">
        <f t="shared" si="1"/>
        <v> </v>
      </c>
      <c r="E1642" s="19" t="str">
        <f t="shared" si="2"/>
        <v> </v>
      </c>
      <c r="F1642" s="21"/>
    </row>
    <row r="1643">
      <c r="A1643" s="19">
        <v>12745.0</v>
      </c>
      <c r="B1643" s="19" t="s">
        <v>1674</v>
      </c>
      <c r="C1643" s="20">
        <v>30953.0</v>
      </c>
      <c r="D1643" s="19" t="str">
        <f t="shared" si="1"/>
        <v> </v>
      </c>
      <c r="E1643" s="19" t="str">
        <f t="shared" si="2"/>
        <v> </v>
      </c>
      <c r="F1643" s="21"/>
    </row>
    <row r="1644">
      <c r="A1644" s="19">
        <v>12746.0</v>
      </c>
      <c r="B1644" s="19" t="s">
        <v>1675</v>
      </c>
      <c r="C1644" s="20">
        <v>17545.0</v>
      </c>
      <c r="D1644" s="19" t="str">
        <f t="shared" si="1"/>
        <v> </v>
      </c>
      <c r="E1644" s="19" t="str">
        <f t="shared" si="2"/>
        <v> </v>
      </c>
      <c r="F1644" s="21"/>
    </row>
    <row r="1645">
      <c r="A1645" s="19">
        <v>12747.0</v>
      </c>
      <c r="B1645" s="19" t="s">
        <v>1676</v>
      </c>
      <c r="C1645" s="20">
        <v>19955.0</v>
      </c>
      <c r="D1645" s="19" t="str">
        <f t="shared" si="1"/>
        <v> </v>
      </c>
      <c r="E1645" s="19" t="str">
        <f t="shared" si="2"/>
        <v> </v>
      </c>
      <c r="F1645" s="21"/>
    </row>
    <row r="1646">
      <c r="A1646" s="19">
        <v>12748.0</v>
      </c>
      <c r="B1646" s="19" t="s">
        <v>1677</v>
      </c>
      <c r="C1646" s="20">
        <v>24967.0</v>
      </c>
      <c r="D1646" s="19" t="str">
        <f t="shared" si="1"/>
        <v> </v>
      </c>
      <c r="E1646" s="19" t="str">
        <f t="shared" si="2"/>
        <v> </v>
      </c>
      <c r="F1646" s="21"/>
    </row>
    <row r="1647">
      <c r="A1647" s="19">
        <v>12749.0</v>
      </c>
      <c r="B1647" s="19" t="s">
        <v>1678</v>
      </c>
      <c r="C1647" s="20">
        <v>14564.0</v>
      </c>
      <c r="D1647" s="19" t="str">
        <f t="shared" si="1"/>
        <v> </v>
      </c>
      <c r="E1647" s="19" t="str">
        <f t="shared" si="2"/>
        <v> </v>
      </c>
      <c r="F1647" s="21"/>
    </row>
    <row r="1648">
      <c r="A1648" s="19">
        <v>12750.0</v>
      </c>
      <c r="B1648" s="19" t="s">
        <v>1679</v>
      </c>
      <c r="C1648" s="20">
        <v>13342.0</v>
      </c>
      <c r="D1648" s="19" t="str">
        <f t="shared" si="1"/>
        <v> </v>
      </c>
      <c r="E1648" s="19" t="str">
        <f t="shared" si="2"/>
        <v> </v>
      </c>
      <c r="F1648" s="21"/>
    </row>
    <row r="1649">
      <c r="A1649" s="19">
        <v>12751.0</v>
      </c>
      <c r="B1649" s="19" t="s">
        <v>1680</v>
      </c>
      <c r="C1649" s="20">
        <v>12528.0</v>
      </c>
      <c r="D1649" s="19" t="str">
        <f t="shared" si="1"/>
        <v> </v>
      </c>
      <c r="E1649" s="19" t="str">
        <f t="shared" si="2"/>
        <v> </v>
      </c>
      <c r="F1649" s="21"/>
    </row>
    <row r="1650">
      <c r="A1650" s="19">
        <v>12752.0</v>
      </c>
      <c r="B1650" s="19" t="s">
        <v>1681</v>
      </c>
      <c r="C1650" s="20">
        <v>25799.0</v>
      </c>
      <c r="D1650" s="19" t="str">
        <f t="shared" si="1"/>
        <v> </v>
      </c>
      <c r="E1650" s="19" t="str">
        <f t="shared" si="2"/>
        <v> </v>
      </c>
      <c r="F1650" s="21"/>
    </row>
    <row r="1651">
      <c r="A1651" s="19">
        <v>12753.0</v>
      </c>
      <c r="B1651" s="19" t="s">
        <v>1682</v>
      </c>
      <c r="C1651" s="20">
        <v>19809.0</v>
      </c>
      <c r="D1651" s="19" t="str">
        <f t="shared" si="1"/>
        <v> </v>
      </c>
      <c r="E1651" s="19" t="str">
        <f t="shared" si="2"/>
        <v> </v>
      </c>
      <c r="F1651" s="21"/>
    </row>
    <row r="1652">
      <c r="A1652" s="19">
        <v>12754.0</v>
      </c>
      <c r="B1652" s="19" t="s">
        <v>1683</v>
      </c>
      <c r="C1652" s="20">
        <v>16940.0</v>
      </c>
      <c r="D1652" s="19" t="str">
        <f t="shared" si="1"/>
        <v>Repeat</v>
      </c>
      <c r="E1652" s="19" t="str">
        <f t="shared" si="2"/>
        <v> </v>
      </c>
      <c r="F1652" s="21"/>
    </row>
    <row r="1653">
      <c r="A1653" s="19">
        <v>12755.0</v>
      </c>
      <c r="B1653" s="19" t="s">
        <v>1684</v>
      </c>
      <c r="C1653" s="20">
        <v>36003.0</v>
      </c>
      <c r="D1653" s="19" t="str">
        <f t="shared" si="1"/>
        <v> </v>
      </c>
      <c r="E1653" s="19" t="str">
        <f t="shared" si="2"/>
        <v> </v>
      </c>
      <c r="F1653" s="21"/>
    </row>
    <row r="1654">
      <c r="A1654" s="19">
        <v>12758.0</v>
      </c>
      <c r="B1654" s="19" t="s">
        <v>1685</v>
      </c>
      <c r="C1654" s="20">
        <v>32853.0</v>
      </c>
      <c r="D1654" s="19" t="str">
        <f t="shared" si="1"/>
        <v> </v>
      </c>
      <c r="E1654" s="19" t="str">
        <f t="shared" si="2"/>
        <v> </v>
      </c>
      <c r="F1654" s="21"/>
    </row>
    <row r="1655">
      <c r="A1655" s="19">
        <v>12760.0</v>
      </c>
      <c r="B1655" s="19" t="s">
        <v>1686</v>
      </c>
      <c r="C1655" s="20">
        <v>28864.0</v>
      </c>
      <c r="D1655" s="19" t="str">
        <f t="shared" si="1"/>
        <v> </v>
      </c>
      <c r="E1655" s="19" t="str">
        <f t="shared" si="2"/>
        <v> </v>
      </c>
      <c r="F1655" s="21"/>
    </row>
    <row r="1656">
      <c r="A1656" s="19">
        <v>12761.0</v>
      </c>
      <c r="B1656" s="19" t="s">
        <v>1687</v>
      </c>
      <c r="C1656" s="20">
        <v>24196.0</v>
      </c>
      <c r="D1656" s="19" t="str">
        <f t="shared" si="1"/>
        <v> </v>
      </c>
      <c r="E1656" s="19" t="str">
        <f t="shared" si="2"/>
        <v> </v>
      </c>
      <c r="F1656" s="21"/>
    </row>
    <row r="1657">
      <c r="A1657" s="19">
        <v>12763.0</v>
      </c>
      <c r="B1657" s="19" t="s">
        <v>1688</v>
      </c>
      <c r="C1657" s="20">
        <v>34156.0</v>
      </c>
      <c r="D1657" s="19" t="str">
        <f t="shared" si="1"/>
        <v> </v>
      </c>
      <c r="E1657" s="19" t="str">
        <f t="shared" si="2"/>
        <v> </v>
      </c>
      <c r="F1657" s="21"/>
    </row>
    <row r="1658">
      <c r="A1658" s="19">
        <v>12764.0</v>
      </c>
      <c r="B1658" s="19" t="s">
        <v>1689</v>
      </c>
      <c r="C1658" s="20">
        <v>29050.0</v>
      </c>
      <c r="D1658" s="19" t="str">
        <f t="shared" si="1"/>
        <v> </v>
      </c>
      <c r="E1658" s="19" t="str">
        <f t="shared" si="2"/>
        <v> </v>
      </c>
      <c r="F1658" s="21"/>
    </row>
    <row r="1659">
      <c r="A1659" s="19">
        <v>12765.0</v>
      </c>
      <c r="B1659" s="19" t="s">
        <v>1690</v>
      </c>
      <c r="C1659" s="20">
        <v>16864.0</v>
      </c>
      <c r="D1659" s="19" t="str">
        <f t="shared" si="1"/>
        <v> </v>
      </c>
      <c r="E1659" s="19" t="str">
        <f t="shared" si="2"/>
        <v> </v>
      </c>
      <c r="F1659" s="21"/>
    </row>
    <row r="1660">
      <c r="A1660" s="19">
        <v>12766.0</v>
      </c>
      <c r="B1660" s="19" t="s">
        <v>1691</v>
      </c>
      <c r="C1660" s="20">
        <v>16458.0</v>
      </c>
      <c r="D1660" s="19" t="str">
        <f t="shared" si="1"/>
        <v> </v>
      </c>
      <c r="E1660" s="19" t="str">
        <f t="shared" si="2"/>
        <v> </v>
      </c>
      <c r="F1660" s="21"/>
    </row>
    <row r="1661">
      <c r="A1661" s="19">
        <v>12767.0</v>
      </c>
      <c r="B1661" s="19" t="s">
        <v>1692</v>
      </c>
      <c r="C1661" s="20">
        <v>29651.0</v>
      </c>
      <c r="D1661" s="19" t="str">
        <f t="shared" si="1"/>
        <v> </v>
      </c>
      <c r="E1661" s="19" t="str">
        <f t="shared" si="2"/>
        <v> </v>
      </c>
      <c r="F1661" s="21"/>
    </row>
    <row r="1662">
      <c r="A1662" s="19">
        <v>12768.0</v>
      </c>
      <c r="B1662" s="19" t="s">
        <v>1693</v>
      </c>
      <c r="C1662" s="20">
        <v>11514.0</v>
      </c>
      <c r="D1662" s="19" t="str">
        <f t="shared" si="1"/>
        <v> </v>
      </c>
      <c r="E1662" s="19" t="str">
        <f t="shared" si="2"/>
        <v> </v>
      </c>
      <c r="F1662" s="21"/>
    </row>
    <row r="1663">
      <c r="A1663" s="19">
        <v>12769.0</v>
      </c>
      <c r="B1663" s="19" t="s">
        <v>1694</v>
      </c>
      <c r="C1663" s="20">
        <v>35877.0</v>
      </c>
      <c r="D1663" s="19" t="str">
        <f t="shared" si="1"/>
        <v> </v>
      </c>
      <c r="E1663" s="19" t="str">
        <f t="shared" si="2"/>
        <v> </v>
      </c>
      <c r="F1663" s="21"/>
    </row>
    <row r="1664">
      <c r="A1664" s="19">
        <v>12770.0</v>
      </c>
      <c r="B1664" s="19" t="s">
        <v>1695</v>
      </c>
      <c r="C1664" s="20">
        <v>21063.0</v>
      </c>
      <c r="D1664" s="19" t="str">
        <f t="shared" si="1"/>
        <v> </v>
      </c>
      <c r="E1664" s="19" t="str">
        <f t="shared" si="2"/>
        <v> </v>
      </c>
      <c r="F1664" s="21"/>
    </row>
    <row r="1665">
      <c r="A1665" s="19">
        <v>12771.0</v>
      </c>
      <c r="B1665" s="19" t="s">
        <v>1696</v>
      </c>
      <c r="C1665" s="20">
        <v>17757.0</v>
      </c>
      <c r="D1665" s="19" t="str">
        <f t="shared" si="1"/>
        <v> </v>
      </c>
      <c r="E1665" s="19" t="str">
        <f t="shared" si="2"/>
        <v> </v>
      </c>
      <c r="F1665" s="21"/>
    </row>
    <row r="1666">
      <c r="A1666" s="19">
        <v>12772.0</v>
      </c>
      <c r="B1666" s="19" t="s">
        <v>1697</v>
      </c>
      <c r="C1666" s="20">
        <v>19782.0</v>
      </c>
      <c r="D1666" s="19" t="str">
        <f t="shared" si="1"/>
        <v> </v>
      </c>
      <c r="E1666" s="19" t="str">
        <f t="shared" si="2"/>
        <v> </v>
      </c>
      <c r="F1666" s="21"/>
    </row>
    <row r="1667">
      <c r="A1667" s="19">
        <v>12773.0</v>
      </c>
      <c r="B1667" s="19" t="s">
        <v>1698</v>
      </c>
      <c r="C1667" s="20">
        <v>16408.0</v>
      </c>
      <c r="D1667" s="19" t="str">
        <f t="shared" si="1"/>
        <v>Repeat</v>
      </c>
      <c r="E1667" s="19" t="str">
        <f t="shared" si="2"/>
        <v> </v>
      </c>
      <c r="F1667" s="21"/>
    </row>
    <row r="1668">
      <c r="A1668" s="19">
        <v>12775.0</v>
      </c>
      <c r="B1668" s="19" t="s">
        <v>1699</v>
      </c>
      <c r="C1668" s="20">
        <v>21667.0</v>
      </c>
      <c r="D1668" s="19" t="str">
        <f t="shared" si="1"/>
        <v> </v>
      </c>
      <c r="E1668" s="19" t="str">
        <f t="shared" si="2"/>
        <v> </v>
      </c>
      <c r="F1668" s="21"/>
    </row>
    <row r="1669">
      <c r="A1669" s="19">
        <v>12776.0</v>
      </c>
      <c r="B1669" s="19" t="s">
        <v>1700</v>
      </c>
      <c r="C1669" s="20">
        <v>28373.0</v>
      </c>
      <c r="D1669" s="19" t="str">
        <f t="shared" si="1"/>
        <v> </v>
      </c>
      <c r="E1669" s="19" t="str">
        <f t="shared" si="2"/>
        <v> </v>
      </c>
      <c r="F1669" s="21"/>
    </row>
    <row r="1670">
      <c r="A1670" s="19">
        <v>12777.0</v>
      </c>
      <c r="B1670" s="19" t="s">
        <v>1701</v>
      </c>
      <c r="C1670" s="20">
        <v>14522.0</v>
      </c>
      <c r="D1670" s="19" t="str">
        <f t="shared" si="1"/>
        <v> </v>
      </c>
      <c r="E1670" s="19" t="str">
        <f t="shared" si="2"/>
        <v> </v>
      </c>
      <c r="F1670" s="21"/>
    </row>
    <row r="1671">
      <c r="A1671" s="19">
        <v>12778.0</v>
      </c>
      <c r="B1671" s="19" t="s">
        <v>1702</v>
      </c>
      <c r="C1671" s="20">
        <v>24069.0</v>
      </c>
      <c r="D1671" s="19" t="str">
        <f t="shared" si="1"/>
        <v> </v>
      </c>
      <c r="E1671" s="19" t="str">
        <f t="shared" si="2"/>
        <v> </v>
      </c>
      <c r="F1671" s="21"/>
    </row>
    <row r="1672">
      <c r="A1672" s="19">
        <v>12779.0</v>
      </c>
      <c r="B1672" s="19" t="s">
        <v>1703</v>
      </c>
      <c r="C1672" s="20">
        <v>14487.0</v>
      </c>
      <c r="D1672" s="19" t="str">
        <f t="shared" si="1"/>
        <v> </v>
      </c>
      <c r="E1672" s="19" t="str">
        <f t="shared" si="2"/>
        <v> </v>
      </c>
      <c r="F1672" s="21"/>
    </row>
    <row r="1673">
      <c r="A1673" s="19">
        <v>12780.0</v>
      </c>
      <c r="B1673" s="19" t="s">
        <v>1704</v>
      </c>
      <c r="C1673" s="20">
        <v>21202.0</v>
      </c>
      <c r="D1673" s="19" t="str">
        <f t="shared" si="1"/>
        <v> </v>
      </c>
      <c r="E1673" s="19" t="str">
        <f t="shared" si="2"/>
        <v> </v>
      </c>
      <c r="F1673" s="21"/>
    </row>
    <row r="1674">
      <c r="A1674" s="19">
        <v>12781.0</v>
      </c>
      <c r="B1674" s="19" t="s">
        <v>1705</v>
      </c>
      <c r="C1674" s="20">
        <v>19260.0</v>
      </c>
      <c r="D1674" s="19" t="str">
        <f t="shared" si="1"/>
        <v> </v>
      </c>
      <c r="E1674" s="19" t="str">
        <f t="shared" si="2"/>
        <v> </v>
      </c>
      <c r="F1674" s="21"/>
    </row>
    <row r="1675">
      <c r="A1675" s="19">
        <v>12782.0</v>
      </c>
      <c r="B1675" s="19" t="s">
        <v>1706</v>
      </c>
      <c r="C1675" s="20">
        <v>14749.0</v>
      </c>
      <c r="D1675" s="19" t="str">
        <f t="shared" si="1"/>
        <v> </v>
      </c>
      <c r="E1675" s="19" t="str">
        <f t="shared" si="2"/>
        <v> </v>
      </c>
      <c r="F1675" s="21"/>
    </row>
    <row r="1676">
      <c r="A1676" s="19">
        <v>12784.0</v>
      </c>
      <c r="B1676" s="19" t="s">
        <v>1707</v>
      </c>
      <c r="C1676" s="20">
        <v>20054.0</v>
      </c>
      <c r="D1676" s="19" t="str">
        <f t="shared" si="1"/>
        <v> </v>
      </c>
      <c r="E1676" s="19" t="str">
        <f t="shared" si="2"/>
        <v> </v>
      </c>
      <c r="F1676" s="21"/>
    </row>
    <row r="1677">
      <c r="A1677" s="19">
        <v>12785.0</v>
      </c>
      <c r="B1677" s="19" t="s">
        <v>1708</v>
      </c>
      <c r="C1677" s="20">
        <v>33139.0</v>
      </c>
      <c r="D1677" s="19" t="str">
        <f t="shared" si="1"/>
        <v> </v>
      </c>
      <c r="E1677" s="19" t="str">
        <f t="shared" si="2"/>
        <v> </v>
      </c>
      <c r="F1677" s="21"/>
    </row>
    <row r="1678">
      <c r="A1678" s="19">
        <v>12786.0</v>
      </c>
      <c r="B1678" s="19" t="s">
        <v>1709</v>
      </c>
      <c r="C1678" s="20">
        <v>33781.0</v>
      </c>
      <c r="D1678" s="19" t="str">
        <f t="shared" si="1"/>
        <v> </v>
      </c>
      <c r="E1678" s="19" t="str">
        <f t="shared" si="2"/>
        <v> </v>
      </c>
      <c r="F1678" s="21"/>
    </row>
    <row r="1679">
      <c r="A1679" s="19">
        <v>12787.0</v>
      </c>
      <c r="B1679" s="19" t="s">
        <v>1710</v>
      </c>
      <c r="C1679" s="20">
        <v>27859.0</v>
      </c>
      <c r="D1679" s="19" t="str">
        <f t="shared" si="1"/>
        <v> </v>
      </c>
      <c r="E1679" s="19" t="str">
        <f t="shared" si="2"/>
        <v> </v>
      </c>
      <c r="F1679" s="21"/>
    </row>
    <row r="1680">
      <c r="A1680" s="19">
        <v>12788.0</v>
      </c>
      <c r="B1680" s="19" t="s">
        <v>1711</v>
      </c>
      <c r="C1680" s="20">
        <v>14775.0</v>
      </c>
      <c r="D1680" s="19" t="str">
        <f t="shared" si="1"/>
        <v> </v>
      </c>
      <c r="E1680" s="19" t="str">
        <f t="shared" si="2"/>
        <v> </v>
      </c>
      <c r="F1680" s="21"/>
    </row>
    <row r="1681">
      <c r="A1681" s="19">
        <v>12789.0</v>
      </c>
      <c r="B1681" s="19" t="s">
        <v>1712</v>
      </c>
      <c r="C1681" s="20">
        <v>21148.0</v>
      </c>
      <c r="D1681" s="19" t="str">
        <f t="shared" si="1"/>
        <v> </v>
      </c>
      <c r="E1681" s="19" t="str">
        <f t="shared" si="2"/>
        <v> </v>
      </c>
      <c r="F1681" s="21"/>
    </row>
    <row r="1682">
      <c r="A1682" s="19">
        <v>12790.0</v>
      </c>
      <c r="B1682" s="19" t="s">
        <v>1713</v>
      </c>
      <c r="C1682" s="20">
        <v>15751.0</v>
      </c>
      <c r="D1682" s="19" t="str">
        <f t="shared" si="1"/>
        <v> </v>
      </c>
      <c r="E1682" s="19" t="str">
        <f t="shared" si="2"/>
        <v> </v>
      </c>
      <c r="F1682" s="21"/>
    </row>
    <row r="1683">
      <c r="A1683" s="19">
        <v>12791.0</v>
      </c>
      <c r="B1683" s="19" t="s">
        <v>1714</v>
      </c>
      <c r="C1683" s="20">
        <v>35679.0</v>
      </c>
      <c r="D1683" s="19" t="str">
        <f t="shared" si="1"/>
        <v> </v>
      </c>
      <c r="E1683" s="19" t="str">
        <f t="shared" si="2"/>
        <v> </v>
      </c>
      <c r="F1683" s="21"/>
    </row>
    <row r="1684">
      <c r="A1684" s="19">
        <v>12792.0</v>
      </c>
      <c r="B1684" s="19" t="s">
        <v>1715</v>
      </c>
      <c r="C1684" s="20">
        <v>25871.0</v>
      </c>
      <c r="D1684" s="19" t="str">
        <f t="shared" si="1"/>
        <v> </v>
      </c>
      <c r="E1684" s="19" t="str">
        <f t="shared" si="2"/>
        <v> </v>
      </c>
      <c r="F1684" s="21"/>
    </row>
    <row r="1685">
      <c r="A1685" s="19">
        <v>12793.0</v>
      </c>
      <c r="B1685" s="19" t="s">
        <v>1716</v>
      </c>
      <c r="C1685" s="20">
        <v>22653.0</v>
      </c>
      <c r="D1685" s="19" t="str">
        <f t="shared" si="1"/>
        <v> </v>
      </c>
      <c r="E1685" s="19" t="str">
        <f t="shared" si="2"/>
        <v> </v>
      </c>
      <c r="F1685" s="21"/>
    </row>
    <row r="1686">
      <c r="A1686" s="19">
        <v>12794.0</v>
      </c>
      <c r="B1686" s="19" t="s">
        <v>1717</v>
      </c>
      <c r="C1686" s="20">
        <v>23459.0</v>
      </c>
      <c r="D1686" s="19" t="str">
        <f t="shared" si="1"/>
        <v> </v>
      </c>
      <c r="E1686" s="19" t="str">
        <f t="shared" si="2"/>
        <v> </v>
      </c>
      <c r="F1686" s="21"/>
    </row>
    <row r="1687">
      <c r="A1687" s="19">
        <v>12795.0</v>
      </c>
      <c r="B1687" s="19" t="s">
        <v>1718</v>
      </c>
      <c r="C1687" s="20">
        <v>25954.0</v>
      </c>
      <c r="D1687" s="19" t="str">
        <f t="shared" si="1"/>
        <v> </v>
      </c>
      <c r="E1687" s="19" t="str">
        <f t="shared" si="2"/>
        <v> </v>
      </c>
      <c r="F1687" s="21"/>
    </row>
    <row r="1688">
      <c r="A1688" s="19">
        <v>12797.0</v>
      </c>
      <c r="B1688" s="19" t="s">
        <v>1719</v>
      </c>
      <c r="C1688" s="20">
        <v>17166.0</v>
      </c>
      <c r="D1688" s="19" t="str">
        <f t="shared" si="1"/>
        <v> </v>
      </c>
      <c r="E1688" s="19" t="str">
        <f t="shared" si="2"/>
        <v> </v>
      </c>
      <c r="F1688" s="21"/>
    </row>
    <row r="1689">
      <c r="A1689" s="19">
        <v>12798.0</v>
      </c>
      <c r="B1689" s="19" t="s">
        <v>1720</v>
      </c>
      <c r="C1689" s="20">
        <v>22868.0</v>
      </c>
      <c r="D1689" s="19" t="str">
        <f t="shared" si="1"/>
        <v> </v>
      </c>
      <c r="E1689" s="19" t="str">
        <f t="shared" si="2"/>
        <v> </v>
      </c>
      <c r="F1689" s="21"/>
    </row>
    <row r="1690">
      <c r="A1690" s="19">
        <v>12799.0</v>
      </c>
      <c r="B1690" s="19" t="s">
        <v>1721</v>
      </c>
      <c r="C1690" s="20">
        <v>24261.0</v>
      </c>
      <c r="D1690" s="19" t="str">
        <f t="shared" si="1"/>
        <v> </v>
      </c>
      <c r="E1690" s="19" t="str">
        <f t="shared" si="2"/>
        <v> </v>
      </c>
      <c r="F1690" s="21"/>
    </row>
    <row r="1691">
      <c r="A1691" s="19">
        <v>12800.0</v>
      </c>
      <c r="B1691" s="19" t="s">
        <v>1722</v>
      </c>
      <c r="C1691" s="20">
        <v>19150.0</v>
      </c>
      <c r="D1691" s="19" t="str">
        <f t="shared" si="1"/>
        <v> </v>
      </c>
      <c r="E1691" s="19" t="str">
        <f t="shared" si="2"/>
        <v> </v>
      </c>
      <c r="F1691" s="21"/>
    </row>
    <row r="1692">
      <c r="A1692" s="19">
        <v>12802.0</v>
      </c>
      <c r="B1692" s="19" t="s">
        <v>1723</v>
      </c>
      <c r="C1692" s="20">
        <v>15629.0</v>
      </c>
      <c r="D1692" s="19" t="str">
        <f t="shared" si="1"/>
        <v> </v>
      </c>
      <c r="E1692" s="19" t="str">
        <f t="shared" si="2"/>
        <v> </v>
      </c>
      <c r="F1692" s="21"/>
    </row>
    <row r="1693">
      <c r="A1693" s="19">
        <v>12804.0</v>
      </c>
      <c r="B1693" s="19" t="s">
        <v>1724</v>
      </c>
      <c r="C1693" s="20">
        <v>20763.0</v>
      </c>
      <c r="D1693" s="19" t="str">
        <f t="shared" si="1"/>
        <v> </v>
      </c>
      <c r="E1693" s="19" t="str">
        <f t="shared" si="2"/>
        <v> </v>
      </c>
      <c r="F1693" s="21"/>
    </row>
    <row r="1694">
      <c r="A1694" s="19">
        <v>12805.0</v>
      </c>
      <c r="B1694" s="19" t="s">
        <v>1725</v>
      </c>
      <c r="C1694" s="20">
        <v>19369.0</v>
      </c>
      <c r="D1694" s="19" t="str">
        <f t="shared" si="1"/>
        <v> </v>
      </c>
      <c r="E1694" s="19" t="str">
        <f t="shared" si="2"/>
        <v> </v>
      </c>
      <c r="F1694" s="21"/>
    </row>
    <row r="1695">
      <c r="A1695" s="19">
        <v>12806.0</v>
      </c>
      <c r="B1695" s="19" t="s">
        <v>1726</v>
      </c>
      <c r="C1695" s="20">
        <v>19106.0</v>
      </c>
      <c r="D1695" s="19" t="str">
        <f t="shared" si="1"/>
        <v> </v>
      </c>
      <c r="E1695" s="19" t="str">
        <f t="shared" si="2"/>
        <v> </v>
      </c>
      <c r="F1695" s="21"/>
    </row>
    <row r="1696">
      <c r="A1696" s="19">
        <v>12808.0</v>
      </c>
      <c r="B1696" s="19" t="s">
        <v>1727</v>
      </c>
      <c r="C1696" s="20">
        <v>15744.0</v>
      </c>
      <c r="D1696" s="19" t="str">
        <f t="shared" si="1"/>
        <v> </v>
      </c>
      <c r="E1696" s="19" t="str">
        <f t="shared" si="2"/>
        <v> </v>
      </c>
      <c r="F1696" s="21"/>
    </row>
    <row r="1697">
      <c r="A1697" s="19">
        <v>12810.0</v>
      </c>
      <c r="B1697" s="19" t="s">
        <v>1728</v>
      </c>
      <c r="C1697" s="20">
        <v>26323.0</v>
      </c>
      <c r="D1697" s="19" t="str">
        <f t="shared" si="1"/>
        <v> </v>
      </c>
      <c r="E1697" s="19" t="str">
        <f t="shared" si="2"/>
        <v> </v>
      </c>
      <c r="F1697" s="21"/>
    </row>
    <row r="1698">
      <c r="A1698" s="19">
        <v>12811.0</v>
      </c>
      <c r="B1698" s="19" t="s">
        <v>1729</v>
      </c>
      <c r="C1698" s="20">
        <v>14050.0</v>
      </c>
      <c r="D1698" s="19" t="str">
        <f t="shared" si="1"/>
        <v> </v>
      </c>
      <c r="E1698" s="19" t="str">
        <f t="shared" si="2"/>
        <v> </v>
      </c>
      <c r="F1698" s="21"/>
    </row>
    <row r="1699">
      <c r="A1699" s="19">
        <v>12812.0</v>
      </c>
      <c r="B1699" s="19" t="s">
        <v>1730</v>
      </c>
      <c r="C1699" s="20">
        <v>19231.0</v>
      </c>
      <c r="D1699" s="19" t="str">
        <f t="shared" si="1"/>
        <v> </v>
      </c>
      <c r="E1699" s="19" t="str">
        <f t="shared" si="2"/>
        <v> </v>
      </c>
      <c r="F1699" s="21"/>
    </row>
    <row r="1700">
      <c r="A1700" s="19">
        <v>12813.0</v>
      </c>
      <c r="B1700" s="19" t="s">
        <v>1731</v>
      </c>
      <c r="C1700" s="20">
        <v>22285.0</v>
      </c>
      <c r="D1700" s="19" t="str">
        <f t="shared" si="1"/>
        <v> </v>
      </c>
      <c r="E1700" s="19" t="str">
        <f t="shared" si="2"/>
        <v> </v>
      </c>
      <c r="F1700" s="21"/>
    </row>
    <row r="1701">
      <c r="A1701" s="19">
        <v>12814.0</v>
      </c>
      <c r="B1701" s="19" t="s">
        <v>1732</v>
      </c>
      <c r="C1701" s="20">
        <v>24553.0</v>
      </c>
      <c r="D1701" s="19" t="str">
        <f t="shared" si="1"/>
        <v> </v>
      </c>
      <c r="E1701" s="19" t="str">
        <f t="shared" si="2"/>
        <v> </v>
      </c>
      <c r="F1701" s="21"/>
    </row>
    <row r="1702">
      <c r="A1702" s="19">
        <v>12815.0</v>
      </c>
      <c r="B1702" s="19" t="s">
        <v>1733</v>
      </c>
      <c r="C1702" s="20">
        <v>21126.0</v>
      </c>
      <c r="D1702" s="19" t="str">
        <f t="shared" si="1"/>
        <v> </v>
      </c>
      <c r="E1702" s="19" t="str">
        <f t="shared" si="2"/>
        <v> </v>
      </c>
      <c r="F1702" s="21"/>
    </row>
    <row r="1703">
      <c r="A1703" s="19">
        <v>12817.0</v>
      </c>
      <c r="B1703" s="19" t="s">
        <v>1734</v>
      </c>
      <c r="C1703" s="20">
        <v>19688.0</v>
      </c>
      <c r="D1703" s="19" t="str">
        <f t="shared" si="1"/>
        <v> </v>
      </c>
      <c r="E1703" s="19" t="str">
        <f t="shared" si="2"/>
        <v> </v>
      </c>
      <c r="F1703" s="21"/>
    </row>
    <row r="1704">
      <c r="A1704" s="19">
        <v>12818.0</v>
      </c>
      <c r="B1704" s="19" t="s">
        <v>1735</v>
      </c>
      <c r="C1704" s="20">
        <v>23360.0</v>
      </c>
      <c r="D1704" s="19" t="str">
        <f t="shared" si="1"/>
        <v> </v>
      </c>
      <c r="E1704" s="19" t="str">
        <f t="shared" si="2"/>
        <v> </v>
      </c>
      <c r="F1704" s="21"/>
    </row>
    <row r="1705">
      <c r="A1705" s="19">
        <v>12819.0</v>
      </c>
      <c r="B1705" s="19" t="s">
        <v>1736</v>
      </c>
      <c r="C1705" s="20">
        <v>33528.0</v>
      </c>
      <c r="D1705" s="19" t="str">
        <f t="shared" si="1"/>
        <v> </v>
      </c>
      <c r="E1705" s="19" t="str">
        <f t="shared" si="2"/>
        <v> </v>
      </c>
      <c r="F1705" s="21"/>
    </row>
    <row r="1706">
      <c r="A1706" s="19">
        <v>12820.0</v>
      </c>
      <c r="B1706" s="19" t="s">
        <v>1737</v>
      </c>
      <c r="C1706" s="20">
        <v>25807.0</v>
      </c>
      <c r="D1706" s="19" t="str">
        <f t="shared" si="1"/>
        <v> </v>
      </c>
      <c r="E1706" s="19" t="str">
        <f t="shared" si="2"/>
        <v> </v>
      </c>
      <c r="F1706" s="21"/>
    </row>
    <row r="1707">
      <c r="A1707" s="19">
        <v>12821.0</v>
      </c>
      <c r="B1707" s="19" t="s">
        <v>1738</v>
      </c>
      <c r="C1707" s="20">
        <v>19984.0</v>
      </c>
      <c r="D1707" s="19" t="str">
        <f t="shared" si="1"/>
        <v> </v>
      </c>
      <c r="E1707" s="19" t="str">
        <f t="shared" si="2"/>
        <v> </v>
      </c>
      <c r="F1707" s="21"/>
    </row>
    <row r="1708">
      <c r="A1708" s="19">
        <v>12822.0</v>
      </c>
      <c r="B1708" s="19" t="s">
        <v>1739</v>
      </c>
      <c r="C1708" s="20">
        <v>31772.0</v>
      </c>
      <c r="D1708" s="19" t="str">
        <f t="shared" si="1"/>
        <v> </v>
      </c>
      <c r="E1708" s="19" t="str">
        <f t="shared" si="2"/>
        <v> </v>
      </c>
      <c r="F1708" s="21"/>
    </row>
    <row r="1709">
      <c r="A1709" s="19">
        <v>12823.0</v>
      </c>
      <c r="B1709" s="19" t="s">
        <v>1740</v>
      </c>
      <c r="C1709" s="20">
        <v>29530.0</v>
      </c>
      <c r="D1709" s="19" t="str">
        <f t="shared" si="1"/>
        <v> </v>
      </c>
      <c r="E1709" s="19" t="str">
        <f t="shared" si="2"/>
        <v> </v>
      </c>
      <c r="F1709" s="21"/>
    </row>
    <row r="1710">
      <c r="A1710" s="19">
        <v>12824.0</v>
      </c>
      <c r="B1710" s="19" t="s">
        <v>1741</v>
      </c>
      <c r="C1710" s="20">
        <v>18617.0</v>
      </c>
      <c r="D1710" s="19" t="str">
        <f t="shared" si="1"/>
        <v> </v>
      </c>
      <c r="E1710" s="19" t="str">
        <f t="shared" si="2"/>
        <v> </v>
      </c>
      <c r="F1710" s="21"/>
    </row>
    <row r="1711">
      <c r="A1711" s="19">
        <v>12825.0</v>
      </c>
      <c r="B1711" s="19" t="s">
        <v>1742</v>
      </c>
      <c r="C1711" s="20">
        <v>17481.0</v>
      </c>
      <c r="D1711" s="19" t="str">
        <f t="shared" si="1"/>
        <v> </v>
      </c>
      <c r="E1711" s="19" t="str">
        <f t="shared" si="2"/>
        <v> </v>
      </c>
      <c r="F1711" s="21"/>
    </row>
    <row r="1712">
      <c r="A1712" s="19">
        <v>12827.0</v>
      </c>
      <c r="B1712" s="19" t="s">
        <v>1743</v>
      </c>
      <c r="C1712" s="20">
        <v>18635.0</v>
      </c>
      <c r="D1712" s="19" t="str">
        <f t="shared" si="1"/>
        <v>Repeat</v>
      </c>
      <c r="E1712" s="19" t="str">
        <f t="shared" si="2"/>
        <v> </v>
      </c>
      <c r="F1712" s="21"/>
    </row>
    <row r="1713">
      <c r="A1713" s="19">
        <v>12829.0</v>
      </c>
      <c r="B1713" s="19" t="s">
        <v>1744</v>
      </c>
      <c r="C1713" s="20">
        <v>20775.0</v>
      </c>
      <c r="D1713" s="19" t="str">
        <f t="shared" si="1"/>
        <v> </v>
      </c>
      <c r="E1713" s="19" t="str">
        <f t="shared" si="2"/>
        <v> </v>
      </c>
      <c r="F1713" s="21"/>
    </row>
    <row r="1714">
      <c r="A1714" s="19">
        <v>12830.0</v>
      </c>
      <c r="B1714" s="19" t="s">
        <v>1745</v>
      </c>
      <c r="C1714" s="20">
        <v>18352.0</v>
      </c>
      <c r="D1714" s="19" t="str">
        <f t="shared" si="1"/>
        <v> </v>
      </c>
      <c r="E1714" s="19" t="str">
        <f t="shared" si="2"/>
        <v> </v>
      </c>
      <c r="F1714" s="21"/>
    </row>
    <row r="1715">
      <c r="A1715" s="19">
        <v>12831.0</v>
      </c>
      <c r="B1715" s="19" t="s">
        <v>1746</v>
      </c>
      <c r="C1715" s="20">
        <v>12054.0</v>
      </c>
      <c r="D1715" s="19" t="str">
        <f t="shared" si="1"/>
        <v> </v>
      </c>
      <c r="E1715" s="19" t="str">
        <f t="shared" si="2"/>
        <v> </v>
      </c>
      <c r="F1715" s="21"/>
    </row>
    <row r="1716">
      <c r="A1716" s="19">
        <v>12832.0</v>
      </c>
      <c r="B1716" s="19" t="s">
        <v>1747</v>
      </c>
      <c r="C1716" s="20">
        <v>21750.0</v>
      </c>
      <c r="D1716" s="19" t="str">
        <f t="shared" si="1"/>
        <v> </v>
      </c>
      <c r="E1716" s="19" t="str">
        <f t="shared" si="2"/>
        <v> </v>
      </c>
      <c r="F1716" s="21"/>
    </row>
    <row r="1717">
      <c r="A1717" s="19">
        <v>12833.0</v>
      </c>
      <c r="B1717" s="19" t="s">
        <v>1748</v>
      </c>
      <c r="C1717" s="20">
        <v>21890.0</v>
      </c>
      <c r="D1717" s="19" t="str">
        <f t="shared" si="1"/>
        <v> </v>
      </c>
      <c r="E1717" s="19" t="str">
        <f t="shared" si="2"/>
        <v> </v>
      </c>
      <c r="F1717" s="21"/>
    </row>
    <row r="1718">
      <c r="A1718" s="19">
        <v>12835.0</v>
      </c>
      <c r="B1718" s="19" t="s">
        <v>1749</v>
      </c>
      <c r="C1718" s="20">
        <v>16939.0</v>
      </c>
      <c r="D1718" s="19" t="str">
        <f t="shared" si="1"/>
        <v> </v>
      </c>
      <c r="E1718" s="19" t="str">
        <f t="shared" si="2"/>
        <v> </v>
      </c>
      <c r="F1718" s="21"/>
    </row>
    <row r="1719">
      <c r="A1719" s="19">
        <v>12836.0</v>
      </c>
      <c r="B1719" s="19" t="s">
        <v>1750</v>
      </c>
      <c r="C1719" s="20">
        <v>23437.0</v>
      </c>
      <c r="D1719" s="19" t="str">
        <f t="shared" si="1"/>
        <v> </v>
      </c>
      <c r="E1719" s="19" t="str">
        <f t="shared" si="2"/>
        <v> </v>
      </c>
      <c r="F1719" s="21"/>
    </row>
    <row r="1720">
      <c r="A1720" s="19">
        <v>12837.0</v>
      </c>
      <c r="B1720" s="19" t="s">
        <v>1751</v>
      </c>
      <c r="C1720" s="20">
        <v>17971.0</v>
      </c>
      <c r="D1720" s="19" t="str">
        <f t="shared" si="1"/>
        <v> </v>
      </c>
      <c r="E1720" s="19" t="str">
        <f t="shared" si="2"/>
        <v> </v>
      </c>
      <c r="F1720" s="21"/>
    </row>
    <row r="1721">
      <c r="A1721" s="19">
        <v>12838.0</v>
      </c>
      <c r="B1721" s="19" t="s">
        <v>1752</v>
      </c>
      <c r="C1721" s="20">
        <v>21836.0</v>
      </c>
      <c r="D1721" s="19" t="str">
        <f t="shared" si="1"/>
        <v> </v>
      </c>
      <c r="E1721" s="19" t="str">
        <f t="shared" si="2"/>
        <v> </v>
      </c>
      <c r="F1721" s="21"/>
    </row>
    <row r="1722">
      <c r="A1722" s="19">
        <v>12839.0</v>
      </c>
      <c r="B1722" s="19" t="s">
        <v>1753</v>
      </c>
      <c r="C1722" s="20">
        <v>24664.0</v>
      </c>
      <c r="D1722" s="19" t="str">
        <f t="shared" si="1"/>
        <v> </v>
      </c>
      <c r="E1722" s="19" t="str">
        <f t="shared" si="2"/>
        <v> </v>
      </c>
      <c r="F1722" s="21"/>
    </row>
    <row r="1723">
      <c r="A1723" s="19">
        <v>12840.0</v>
      </c>
      <c r="B1723" s="19" t="s">
        <v>1754</v>
      </c>
      <c r="C1723" s="20">
        <v>20002.0</v>
      </c>
      <c r="D1723" s="19" t="str">
        <f t="shared" si="1"/>
        <v> </v>
      </c>
      <c r="E1723" s="19" t="str">
        <f t="shared" si="2"/>
        <v> </v>
      </c>
      <c r="F1723" s="21"/>
    </row>
    <row r="1724">
      <c r="A1724" s="19">
        <v>12841.0</v>
      </c>
      <c r="B1724" s="19" t="s">
        <v>1755</v>
      </c>
      <c r="C1724" s="20">
        <v>22903.0</v>
      </c>
      <c r="D1724" s="19" t="str">
        <f t="shared" si="1"/>
        <v> </v>
      </c>
      <c r="E1724" s="19" t="str">
        <f t="shared" si="2"/>
        <v> </v>
      </c>
      <c r="F1724" s="21"/>
    </row>
    <row r="1725">
      <c r="A1725" s="19">
        <v>12842.0</v>
      </c>
      <c r="B1725" s="19" t="s">
        <v>1756</v>
      </c>
      <c r="C1725" s="20">
        <v>14481.0</v>
      </c>
      <c r="D1725" s="19" t="str">
        <f t="shared" si="1"/>
        <v> </v>
      </c>
      <c r="E1725" s="19" t="str">
        <f t="shared" si="2"/>
        <v> </v>
      </c>
      <c r="F1725" s="21"/>
    </row>
    <row r="1726">
      <c r="A1726" s="19">
        <v>12843.0</v>
      </c>
      <c r="B1726" s="19" t="s">
        <v>1757</v>
      </c>
      <c r="C1726" s="20">
        <v>34460.0</v>
      </c>
      <c r="D1726" s="19" t="str">
        <f t="shared" si="1"/>
        <v> </v>
      </c>
      <c r="E1726" s="19" t="str">
        <f t="shared" si="2"/>
        <v> </v>
      </c>
      <c r="F1726" s="21"/>
    </row>
    <row r="1727">
      <c r="A1727" s="19">
        <v>12844.0</v>
      </c>
      <c r="B1727" s="19" t="s">
        <v>1758</v>
      </c>
      <c r="C1727" s="20">
        <v>20024.0</v>
      </c>
      <c r="D1727" s="19" t="str">
        <f t="shared" si="1"/>
        <v> </v>
      </c>
      <c r="E1727" s="19" t="str">
        <f t="shared" si="2"/>
        <v> </v>
      </c>
      <c r="F1727" s="21"/>
    </row>
    <row r="1728">
      <c r="A1728" s="19">
        <v>12845.0</v>
      </c>
      <c r="B1728" s="19" t="s">
        <v>1759</v>
      </c>
      <c r="C1728" s="20">
        <v>21441.0</v>
      </c>
      <c r="D1728" s="19" t="str">
        <f t="shared" si="1"/>
        <v> </v>
      </c>
      <c r="E1728" s="19" t="str">
        <f t="shared" si="2"/>
        <v> </v>
      </c>
      <c r="F1728" s="21"/>
    </row>
    <row r="1729">
      <c r="A1729" s="19">
        <v>12846.0</v>
      </c>
      <c r="B1729" s="19" t="s">
        <v>1760</v>
      </c>
      <c r="C1729" s="20">
        <v>35503.0</v>
      </c>
      <c r="D1729" s="19" t="str">
        <f t="shared" si="1"/>
        <v> </v>
      </c>
      <c r="E1729" s="19" t="str">
        <f t="shared" si="2"/>
        <v> </v>
      </c>
      <c r="F1729" s="21"/>
    </row>
    <row r="1730">
      <c r="A1730" s="19">
        <v>12847.0</v>
      </c>
      <c r="B1730" s="19" t="s">
        <v>1761</v>
      </c>
      <c r="C1730" s="20">
        <v>33693.0</v>
      </c>
      <c r="D1730" s="19" t="str">
        <f t="shared" si="1"/>
        <v> </v>
      </c>
      <c r="E1730" s="19" t="str">
        <f t="shared" si="2"/>
        <v> </v>
      </c>
      <c r="F1730" s="21"/>
    </row>
    <row r="1731">
      <c r="A1731" s="19">
        <v>12848.0</v>
      </c>
      <c r="B1731" s="19" t="s">
        <v>1762</v>
      </c>
      <c r="C1731" s="20">
        <v>25989.0</v>
      </c>
      <c r="D1731" s="19" t="str">
        <f t="shared" si="1"/>
        <v> </v>
      </c>
      <c r="E1731" s="19" t="str">
        <f t="shared" si="2"/>
        <v> </v>
      </c>
      <c r="F1731" s="21"/>
    </row>
    <row r="1732">
      <c r="A1732" s="19">
        <v>12849.0</v>
      </c>
      <c r="B1732" s="19" t="s">
        <v>1763</v>
      </c>
      <c r="C1732" s="20">
        <v>19291.0</v>
      </c>
      <c r="D1732" s="19" t="str">
        <f t="shared" si="1"/>
        <v> </v>
      </c>
      <c r="E1732" s="19" t="str">
        <f t="shared" si="2"/>
        <v> </v>
      </c>
      <c r="F1732" s="21"/>
    </row>
    <row r="1733">
      <c r="A1733" s="19">
        <v>12850.0</v>
      </c>
      <c r="B1733" s="19" t="s">
        <v>1764</v>
      </c>
      <c r="C1733" s="20">
        <v>22730.0</v>
      </c>
      <c r="D1733" s="19" t="str">
        <f t="shared" si="1"/>
        <v> </v>
      </c>
      <c r="E1733" s="19" t="str">
        <f t="shared" si="2"/>
        <v> </v>
      </c>
      <c r="F1733" s="21"/>
    </row>
    <row r="1734">
      <c r="A1734" s="19">
        <v>12854.0</v>
      </c>
      <c r="B1734" s="19" t="s">
        <v>1765</v>
      </c>
      <c r="C1734" s="20">
        <v>15390.0</v>
      </c>
      <c r="D1734" s="19" t="str">
        <f t="shared" si="1"/>
        <v> </v>
      </c>
      <c r="E1734" s="19" t="str">
        <f t="shared" si="2"/>
        <v> </v>
      </c>
      <c r="F1734" s="21"/>
    </row>
    <row r="1735">
      <c r="A1735" s="19">
        <v>12855.0</v>
      </c>
      <c r="B1735" s="19" t="s">
        <v>1766</v>
      </c>
      <c r="C1735" s="20">
        <v>20868.0</v>
      </c>
      <c r="D1735" s="19" t="str">
        <f t="shared" si="1"/>
        <v> </v>
      </c>
      <c r="E1735" s="19" t="str">
        <f t="shared" si="2"/>
        <v> </v>
      </c>
      <c r="F1735" s="21"/>
    </row>
    <row r="1736">
      <c r="A1736" s="19">
        <v>12856.0</v>
      </c>
      <c r="B1736" s="19" t="s">
        <v>1767</v>
      </c>
      <c r="C1736" s="20">
        <v>17946.0</v>
      </c>
      <c r="D1736" s="19" t="str">
        <f t="shared" si="1"/>
        <v> </v>
      </c>
      <c r="E1736" s="19" t="str">
        <f t="shared" si="2"/>
        <v> </v>
      </c>
      <c r="F1736" s="21"/>
    </row>
    <row r="1737">
      <c r="A1737" s="19">
        <v>12857.0</v>
      </c>
      <c r="B1737" s="19" t="s">
        <v>1768</v>
      </c>
      <c r="C1737" s="20">
        <v>16042.0</v>
      </c>
      <c r="D1737" s="19" t="str">
        <f t="shared" si="1"/>
        <v> </v>
      </c>
      <c r="E1737" s="19" t="str">
        <f t="shared" si="2"/>
        <v> </v>
      </c>
      <c r="F1737" s="21"/>
    </row>
    <row r="1738">
      <c r="A1738" s="19">
        <v>12858.0</v>
      </c>
      <c r="B1738" s="19" t="s">
        <v>1769</v>
      </c>
      <c r="C1738" s="20">
        <v>20887.0</v>
      </c>
      <c r="D1738" s="19" t="str">
        <f t="shared" si="1"/>
        <v> </v>
      </c>
      <c r="E1738" s="19" t="str">
        <f t="shared" si="2"/>
        <v> </v>
      </c>
      <c r="F1738" s="21"/>
    </row>
    <row r="1739">
      <c r="A1739" s="19">
        <v>12859.0</v>
      </c>
      <c r="B1739" s="19" t="s">
        <v>1770</v>
      </c>
      <c r="C1739" s="20">
        <v>20430.0</v>
      </c>
      <c r="D1739" s="19" t="str">
        <f t="shared" si="1"/>
        <v> </v>
      </c>
      <c r="E1739" s="19" t="str">
        <f t="shared" si="2"/>
        <v> </v>
      </c>
      <c r="F1739" s="21"/>
    </row>
    <row r="1740">
      <c r="A1740" s="19">
        <v>12860.0</v>
      </c>
      <c r="B1740" s="19" t="s">
        <v>1771</v>
      </c>
      <c r="C1740" s="20">
        <v>21832.0</v>
      </c>
      <c r="D1740" s="19" t="str">
        <f t="shared" si="1"/>
        <v> </v>
      </c>
      <c r="E1740" s="19" t="str">
        <f t="shared" si="2"/>
        <v> </v>
      </c>
      <c r="F1740" s="21"/>
    </row>
    <row r="1741">
      <c r="A1741" s="19">
        <v>12861.0</v>
      </c>
      <c r="B1741" s="19" t="s">
        <v>1772</v>
      </c>
      <c r="C1741" s="20">
        <v>18132.0</v>
      </c>
      <c r="D1741" s="19" t="str">
        <f t="shared" si="1"/>
        <v> </v>
      </c>
      <c r="E1741" s="19" t="str">
        <f t="shared" si="2"/>
        <v> </v>
      </c>
      <c r="F1741" s="21"/>
    </row>
    <row r="1742">
      <c r="A1742" s="19">
        <v>12862.0</v>
      </c>
      <c r="B1742" s="19" t="s">
        <v>1773</v>
      </c>
      <c r="C1742" s="20">
        <v>23750.0</v>
      </c>
      <c r="D1742" s="19" t="str">
        <f t="shared" si="1"/>
        <v> </v>
      </c>
      <c r="E1742" s="19" t="str">
        <f t="shared" si="2"/>
        <v> </v>
      </c>
      <c r="F1742" s="21"/>
    </row>
    <row r="1743">
      <c r="A1743" s="19">
        <v>12863.0</v>
      </c>
      <c r="B1743" s="19" t="s">
        <v>1774</v>
      </c>
      <c r="C1743" s="20">
        <v>33503.0</v>
      </c>
      <c r="D1743" s="19" t="str">
        <f t="shared" si="1"/>
        <v> </v>
      </c>
      <c r="E1743" s="19" t="str">
        <f t="shared" si="2"/>
        <v> </v>
      </c>
      <c r="F1743" s="21"/>
    </row>
    <row r="1744">
      <c r="A1744" s="19">
        <v>12864.0</v>
      </c>
      <c r="B1744" s="19" t="s">
        <v>1775</v>
      </c>
      <c r="C1744" s="20">
        <v>34564.0</v>
      </c>
      <c r="D1744" s="19" t="str">
        <f t="shared" si="1"/>
        <v> </v>
      </c>
      <c r="E1744" s="19" t="str">
        <f t="shared" si="2"/>
        <v> </v>
      </c>
      <c r="F1744" s="21"/>
    </row>
    <row r="1745">
      <c r="A1745" s="19">
        <v>12865.0</v>
      </c>
      <c r="B1745" s="19" t="s">
        <v>1776</v>
      </c>
      <c r="C1745" s="20">
        <v>17942.0</v>
      </c>
      <c r="D1745" s="19" t="str">
        <f t="shared" si="1"/>
        <v> </v>
      </c>
      <c r="E1745" s="19" t="str">
        <f t="shared" si="2"/>
        <v> </v>
      </c>
      <c r="F1745" s="21"/>
    </row>
    <row r="1746">
      <c r="A1746" s="19">
        <v>12866.0</v>
      </c>
      <c r="B1746" s="19" t="s">
        <v>1777</v>
      </c>
      <c r="C1746" s="20">
        <v>29894.0</v>
      </c>
      <c r="D1746" s="19" t="str">
        <f t="shared" si="1"/>
        <v> </v>
      </c>
      <c r="E1746" s="19" t="str">
        <f t="shared" si="2"/>
        <v> </v>
      </c>
      <c r="F1746" s="21"/>
    </row>
    <row r="1747">
      <c r="A1747" s="19">
        <v>12867.0</v>
      </c>
      <c r="B1747" s="19" t="s">
        <v>1778</v>
      </c>
      <c r="C1747" s="20">
        <v>28716.0</v>
      </c>
      <c r="D1747" s="19" t="str">
        <f t="shared" si="1"/>
        <v> </v>
      </c>
      <c r="E1747" s="19" t="str">
        <f t="shared" si="2"/>
        <v> </v>
      </c>
      <c r="F1747" s="21"/>
    </row>
    <row r="1748">
      <c r="A1748" s="19">
        <v>12868.0</v>
      </c>
      <c r="B1748" s="19" t="s">
        <v>1779</v>
      </c>
      <c r="C1748" s="20">
        <v>32455.0</v>
      </c>
      <c r="D1748" s="19" t="str">
        <f t="shared" si="1"/>
        <v> </v>
      </c>
      <c r="E1748" s="19" t="str">
        <f t="shared" si="2"/>
        <v> </v>
      </c>
      <c r="F1748" s="21"/>
    </row>
    <row r="1749">
      <c r="A1749" s="19">
        <v>12869.0</v>
      </c>
      <c r="B1749" s="19" t="s">
        <v>1780</v>
      </c>
      <c r="C1749" s="20">
        <v>25511.0</v>
      </c>
      <c r="D1749" s="19" t="str">
        <f t="shared" si="1"/>
        <v> </v>
      </c>
      <c r="E1749" s="19" t="str">
        <f t="shared" si="2"/>
        <v> </v>
      </c>
      <c r="F1749" s="21"/>
    </row>
    <row r="1750">
      <c r="A1750" s="19">
        <v>12871.0</v>
      </c>
      <c r="B1750" s="19" t="s">
        <v>1781</v>
      </c>
      <c r="C1750" s="20">
        <v>32304.0</v>
      </c>
      <c r="D1750" s="19" t="str">
        <f t="shared" si="1"/>
        <v> </v>
      </c>
      <c r="E1750" s="19" t="str">
        <f t="shared" si="2"/>
        <v> </v>
      </c>
      <c r="F1750" s="21"/>
    </row>
    <row r="1751">
      <c r="A1751" s="19">
        <v>12872.0</v>
      </c>
      <c r="B1751" s="19" t="s">
        <v>1782</v>
      </c>
      <c r="C1751" s="20">
        <v>33003.0</v>
      </c>
      <c r="D1751" s="19" t="str">
        <f t="shared" si="1"/>
        <v> </v>
      </c>
      <c r="E1751" s="19" t="str">
        <f t="shared" si="2"/>
        <v> </v>
      </c>
      <c r="F1751" s="21"/>
    </row>
    <row r="1752">
      <c r="A1752" s="19">
        <v>12873.0</v>
      </c>
      <c r="B1752" s="19" t="s">
        <v>1783</v>
      </c>
      <c r="C1752" s="20">
        <v>25745.0</v>
      </c>
      <c r="D1752" s="19" t="str">
        <f t="shared" si="1"/>
        <v> </v>
      </c>
      <c r="E1752" s="19" t="str">
        <f t="shared" si="2"/>
        <v> </v>
      </c>
      <c r="F1752" s="21"/>
    </row>
    <row r="1753">
      <c r="A1753" s="19">
        <v>12875.0</v>
      </c>
      <c r="B1753" s="19" t="s">
        <v>1784</v>
      </c>
      <c r="C1753" s="20">
        <v>21789.0</v>
      </c>
      <c r="D1753" s="19" t="str">
        <f t="shared" si="1"/>
        <v> </v>
      </c>
      <c r="E1753" s="19" t="str">
        <f t="shared" si="2"/>
        <v> </v>
      </c>
      <c r="F1753" s="21"/>
    </row>
    <row r="1754">
      <c r="A1754" s="19">
        <v>12876.0</v>
      </c>
      <c r="B1754" s="19" t="s">
        <v>1785</v>
      </c>
      <c r="C1754" s="20">
        <v>18051.0</v>
      </c>
      <c r="D1754" s="19" t="str">
        <f t="shared" si="1"/>
        <v> </v>
      </c>
      <c r="E1754" s="19" t="str">
        <f t="shared" si="2"/>
        <v> </v>
      </c>
      <c r="F1754" s="21"/>
    </row>
    <row r="1755">
      <c r="A1755" s="19">
        <v>12877.0</v>
      </c>
      <c r="B1755" s="19" t="s">
        <v>1786</v>
      </c>
      <c r="C1755" s="20">
        <v>26230.0</v>
      </c>
      <c r="D1755" s="19" t="str">
        <f t="shared" si="1"/>
        <v> </v>
      </c>
      <c r="E1755" s="19" t="str">
        <f t="shared" si="2"/>
        <v> </v>
      </c>
      <c r="F1755" s="21"/>
    </row>
    <row r="1756">
      <c r="A1756" s="19">
        <v>12878.0</v>
      </c>
      <c r="B1756" s="19" t="s">
        <v>1787</v>
      </c>
      <c r="C1756" s="20">
        <v>28115.0</v>
      </c>
      <c r="D1756" s="19" t="str">
        <f t="shared" si="1"/>
        <v> </v>
      </c>
      <c r="E1756" s="19" t="str">
        <f t="shared" si="2"/>
        <v> </v>
      </c>
      <c r="F1756" s="21"/>
    </row>
    <row r="1757">
      <c r="A1757" s="19">
        <v>12879.0</v>
      </c>
      <c r="B1757" s="19" t="s">
        <v>1788</v>
      </c>
      <c r="C1757" s="20">
        <v>20311.0</v>
      </c>
      <c r="D1757" s="19" t="str">
        <f t="shared" si="1"/>
        <v> </v>
      </c>
      <c r="E1757" s="19" t="str">
        <f t="shared" si="2"/>
        <v> </v>
      </c>
      <c r="F1757" s="21"/>
    </row>
    <row r="1758">
      <c r="A1758" s="19">
        <v>12883.0</v>
      </c>
      <c r="B1758" s="19" t="s">
        <v>1789</v>
      </c>
      <c r="C1758" s="20">
        <v>14499.0</v>
      </c>
      <c r="D1758" s="19" t="str">
        <f t="shared" si="1"/>
        <v> </v>
      </c>
      <c r="E1758" s="19" t="str">
        <f t="shared" si="2"/>
        <v> </v>
      </c>
      <c r="F1758" s="21"/>
    </row>
    <row r="1759">
      <c r="A1759" s="19">
        <v>12884.0</v>
      </c>
      <c r="B1759" s="19" t="s">
        <v>1790</v>
      </c>
      <c r="C1759" s="20">
        <v>25501.0</v>
      </c>
      <c r="D1759" s="19" t="str">
        <f t="shared" si="1"/>
        <v> </v>
      </c>
      <c r="E1759" s="19" t="str">
        <f t="shared" si="2"/>
        <v> </v>
      </c>
      <c r="F1759" s="21"/>
    </row>
    <row r="1760">
      <c r="A1760" s="19">
        <v>12885.0</v>
      </c>
      <c r="B1760" s="19" t="s">
        <v>1791</v>
      </c>
      <c r="C1760" s="20">
        <v>29615.0</v>
      </c>
      <c r="D1760" s="19" t="str">
        <f t="shared" si="1"/>
        <v> </v>
      </c>
      <c r="E1760" s="19" t="str">
        <f t="shared" si="2"/>
        <v> </v>
      </c>
      <c r="F1760" s="21"/>
    </row>
    <row r="1761">
      <c r="A1761" s="19">
        <v>12886.0</v>
      </c>
      <c r="B1761" s="19" t="s">
        <v>1792</v>
      </c>
      <c r="C1761" s="20">
        <v>29913.0</v>
      </c>
      <c r="D1761" s="19" t="str">
        <f t="shared" si="1"/>
        <v> </v>
      </c>
      <c r="E1761" s="19" t="str">
        <f t="shared" si="2"/>
        <v> </v>
      </c>
      <c r="F1761" s="21"/>
    </row>
    <row r="1762">
      <c r="A1762" s="19">
        <v>12887.0</v>
      </c>
      <c r="B1762" s="19" t="s">
        <v>1793</v>
      </c>
      <c r="C1762" s="20">
        <v>25098.0</v>
      </c>
      <c r="D1762" s="19" t="str">
        <f t="shared" si="1"/>
        <v> </v>
      </c>
      <c r="E1762" s="19" t="str">
        <f t="shared" si="2"/>
        <v> </v>
      </c>
      <c r="F1762" s="21"/>
    </row>
    <row r="1763">
      <c r="A1763" s="19">
        <v>12888.0</v>
      </c>
      <c r="B1763" s="19" t="s">
        <v>1794</v>
      </c>
      <c r="C1763" s="20">
        <v>32685.0</v>
      </c>
      <c r="D1763" s="19" t="str">
        <f t="shared" si="1"/>
        <v> </v>
      </c>
      <c r="E1763" s="19" t="str">
        <f t="shared" si="2"/>
        <v> </v>
      </c>
      <c r="F1763" s="21"/>
    </row>
    <row r="1764">
      <c r="A1764" s="19">
        <v>12889.0</v>
      </c>
      <c r="B1764" s="19" t="s">
        <v>1795</v>
      </c>
      <c r="C1764" s="20">
        <v>22761.0</v>
      </c>
      <c r="D1764" s="19" t="str">
        <f t="shared" si="1"/>
        <v> </v>
      </c>
      <c r="E1764" s="19" t="str">
        <f t="shared" si="2"/>
        <v> </v>
      </c>
      <c r="F1764" s="21"/>
    </row>
    <row r="1765">
      <c r="A1765" s="19">
        <v>12890.0</v>
      </c>
      <c r="B1765" s="19" t="s">
        <v>1796</v>
      </c>
      <c r="C1765" s="20">
        <v>32444.0</v>
      </c>
      <c r="D1765" s="19" t="str">
        <f t="shared" si="1"/>
        <v> </v>
      </c>
      <c r="E1765" s="19" t="str">
        <f t="shared" si="2"/>
        <v> </v>
      </c>
      <c r="F1765" s="21"/>
    </row>
    <row r="1766">
      <c r="A1766" s="19">
        <v>12891.0</v>
      </c>
      <c r="B1766" s="19" t="s">
        <v>1797</v>
      </c>
      <c r="C1766" s="20">
        <v>11364.0</v>
      </c>
      <c r="D1766" s="19" t="str">
        <f t="shared" si="1"/>
        <v> </v>
      </c>
      <c r="E1766" s="19" t="str">
        <f t="shared" si="2"/>
        <v> </v>
      </c>
      <c r="F1766" s="21"/>
    </row>
    <row r="1767">
      <c r="A1767" s="19">
        <v>12892.0</v>
      </c>
      <c r="B1767" s="19" t="s">
        <v>1798</v>
      </c>
      <c r="C1767" s="20">
        <v>28750.0</v>
      </c>
      <c r="D1767" s="19" t="str">
        <f t="shared" si="1"/>
        <v> </v>
      </c>
      <c r="E1767" s="19" t="str">
        <f t="shared" si="2"/>
        <v> </v>
      </c>
      <c r="F1767" s="21"/>
    </row>
    <row r="1768">
      <c r="A1768" s="19">
        <v>12893.0</v>
      </c>
      <c r="B1768" s="19" t="s">
        <v>1799</v>
      </c>
      <c r="C1768" s="20">
        <v>23113.0</v>
      </c>
      <c r="D1768" s="19" t="str">
        <f t="shared" si="1"/>
        <v> </v>
      </c>
      <c r="E1768" s="19" t="str">
        <f t="shared" si="2"/>
        <v> </v>
      </c>
      <c r="F1768" s="21"/>
    </row>
    <row r="1769">
      <c r="A1769" s="19">
        <v>12894.0</v>
      </c>
      <c r="B1769" s="19" t="s">
        <v>1800</v>
      </c>
      <c r="C1769" s="20">
        <v>19075.0</v>
      </c>
      <c r="D1769" s="19" t="str">
        <f t="shared" si="1"/>
        <v> </v>
      </c>
      <c r="E1769" s="19" t="str">
        <f t="shared" si="2"/>
        <v> </v>
      </c>
      <c r="F1769" s="21"/>
    </row>
    <row r="1770">
      <c r="A1770" s="19">
        <v>12895.0</v>
      </c>
      <c r="B1770" s="19" t="s">
        <v>1801</v>
      </c>
      <c r="C1770" s="20">
        <v>19699.0</v>
      </c>
      <c r="D1770" s="19" t="str">
        <f t="shared" si="1"/>
        <v>Repeat</v>
      </c>
      <c r="E1770" s="19" t="str">
        <f t="shared" si="2"/>
        <v> </v>
      </c>
      <c r="F1770" s="21"/>
    </row>
    <row r="1771">
      <c r="A1771" s="19">
        <v>12896.0</v>
      </c>
      <c r="B1771" s="19" t="s">
        <v>1802</v>
      </c>
      <c r="C1771" s="20">
        <v>22192.0</v>
      </c>
      <c r="D1771" s="19" t="str">
        <f t="shared" si="1"/>
        <v> </v>
      </c>
      <c r="E1771" s="19" t="str">
        <f t="shared" si="2"/>
        <v> </v>
      </c>
      <c r="F1771" s="21"/>
    </row>
    <row r="1772">
      <c r="A1772" s="19">
        <v>12897.0</v>
      </c>
      <c r="B1772" s="19" t="s">
        <v>1803</v>
      </c>
      <c r="C1772" s="20">
        <v>28512.0</v>
      </c>
      <c r="D1772" s="19" t="str">
        <f t="shared" si="1"/>
        <v> </v>
      </c>
      <c r="E1772" s="19" t="str">
        <f t="shared" si="2"/>
        <v> </v>
      </c>
      <c r="F1772" s="21"/>
    </row>
    <row r="1773">
      <c r="A1773" s="19">
        <v>12898.0</v>
      </c>
      <c r="B1773" s="19" t="s">
        <v>1804</v>
      </c>
      <c r="C1773" s="20">
        <v>20428.0</v>
      </c>
      <c r="D1773" s="19" t="str">
        <f t="shared" si="1"/>
        <v> </v>
      </c>
      <c r="E1773" s="19" t="str">
        <f t="shared" si="2"/>
        <v> </v>
      </c>
      <c r="F1773" s="21"/>
    </row>
    <row r="1774">
      <c r="A1774" s="19">
        <v>12899.0</v>
      </c>
      <c r="B1774" s="19" t="s">
        <v>1805</v>
      </c>
      <c r="C1774" s="20">
        <v>17234.0</v>
      </c>
      <c r="D1774" s="19" t="str">
        <f t="shared" si="1"/>
        <v> </v>
      </c>
      <c r="E1774" s="19" t="str">
        <f t="shared" si="2"/>
        <v> </v>
      </c>
      <c r="F1774" s="21"/>
    </row>
    <row r="1775">
      <c r="A1775" s="19">
        <v>12900.0</v>
      </c>
      <c r="B1775" s="19" t="s">
        <v>1806</v>
      </c>
      <c r="C1775" s="20">
        <v>19049.0</v>
      </c>
      <c r="D1775" s="19" t="str">
        <f t="shared" si="1"/>
        <v> </v>
      </c>
      <c r="E1775" s="19" t="str">
        <f t="shared" si="2"/>
        <v> </v>
      </c>
      <c r="F1775" s="21"/>
    </row>
    <row r="1776">
      <c r="A1776" s="19">
        <v>12901.0</v>
      </c>
      <c r="B1776" s="19" t="s">
        <v>1807</v>
      </c>
      <c r="C1776" s="20">
        <v>19638.0</v>
      </c>
      <c r="D1776" s="19" t="str">
        <f t="shared" si="1"/>
        <v> </v>
      </c>
      <c r="E1776" s="19" t="str">
        <f t="shared" si="2"/>
        <v> </v>
      </c>
      <c r="F1776" s="21"/>
    </row>
    <row r="1777">
      <c r="A1777" s="19">
        <v>12902.0</v>
      </c>
      <c r="B1777" s="19" t="s">
        <v>1808</v>
      </c>
      <c r="C1777" s="20">
        <v>22034.0</v>
      </c>
      <c r="D1777" s="19" t="str">
        <f t="shared" si="1"/>
        <v> </v>
      </c>
      <c r="E1777" s="19" t="str">
        <f t="shared" si="2"/>
        <v> </v>
      </c>
      <c r="F1777" s="21"/>
    </row>
    <row r="1778">
      <c r="A1778" s="19">
        <v>12903.0</v>
      </c>
      <c r="B1778" s="19" t="s">
        <v>1809</v>
      </c>
      <c r="C1778" s="20">
        <v>19125.0</v>
      </c>
      <c r="D1778" s="19" t="str">
        <f t="shared" si="1"/>
        <v> </v>
      </c>
      <c r="E1778" s="19" t="str">
        <f t="shared" si="2"/>
        <v> </v>
      </c>
      <c r="F1778" s="21"/>
    </row>
    <row r="1779">
      <c r="A1779" s="19">
        <v>12904.0</v>
      </c>
      <c r="B1779" s="19" t="s">
        <v>1810</v>
      </c>
      <c r="C1779" s="20">
        <v>15004.0</v>
      </c>
      <c r="D1779" s="19" t="str">
        <f t="shared" si="1"/>
        <v> </v>
      </c>
      <c r="E1779" s="19" t="str">
        <f t="shared" si="2"/>
        <v> </v>
      </c>
      <c r="F1779" s="21"/>
    </row>
    <row r="1780">
      <c r="A1780" s="19">
        <v>12905.0</v>
      </c>
      <c r="B1780" s="19" t="s">
        <v>1811</v>
      </c>
      <c r="C1780" s="20">
        <v>27753.0</v>
      </c>
      <c r="D1780" s="19" t="str">
        <f t="shared" si="1"/>
        <v> </v>
      </c>
      <c r="E1780" s="19" t="str">
        <f t="shared" si="2"/>
        <v> </v>
      </c>
      <c r="F1780" s="21"/>
    </row>
    <row r="1781">
      <c r="A1781" s="19">
        <v>12907.0</v>
      </c>
      <c r="B1781" s="19" t="s">
        <v>1812</v>
      </c>
      <c r="C1781" s="20">
        <v>26943.0</v>
      </c>
      <c r="D1781" s="19" t="str">
        <f t="shared" si="1"/>
        <v> </v>
      </c>
      <c r="E1781" s="19" t="str">
        <f t="shared" si="2"/>
        <v> </v>
      </c>
      <c r="F1781" s="21"/>
    </row>
    <row r="1782">
      <c r="A1782" s="19">
        <v>12908.0</v>
      </c>
      <c r="B1782" s="19" t="s">
        <v>1813</v>
      </c>
      <c r="C1782" s="20">
        <v>20751.0</v>
      </c>
      <c r="D1782" s="19" t="str">
        <f t="shared" si="1"/>
        <v>Repeat</v>
      </c>
      <c r="E1782" s="19" t="str">
        <f t="shared" si="2"/>
        <v> </v>
      </c>
      <c r="F1782" s="21"/>
    </row>
    <row r="1783">
      <c r="A1783" s="19">
        <v>12909.0</v>
      </c>
      <c r="B1783" s="19" t="s">
        <v>1814</v>
      </c>
      <c r="C1783" s="20">
        <v>20679.0</v>
      </c>
      <c r="D1783" s="19" t="str">
        <f t="shared" si="1"/>
        <v> </v>
      </c>
      <c r="E1783" s="19" t="str">
        <f t="shared" si="2"/>
        <v>Repeat</v>
      </c>
      <c r="F1783" s="21"/>
    </row>
    <row r="1784">
      <c r="A1784" s="19">
        <v>12910.0</v>
      </c>
      <c r="B1784" s="19" t="s">
        <v>1815</v>
      </c>
      <c r="C1784" s="20">
        <v>18084.0</v>
      </c>
      <c r="D1784" s="19" t="str">
        <f t="shared" si="1"/>
        <v> </v>
      </c>
      <c r="E1784" s="19" t="str">
        <f t="shared" si="2"/>
        <v> </v>
      </c>
      <c r="F1784" s="21"/>
    </row>
    <row r="1785">
      <c r="A1785" s="19">
        <v>12911.0</v>
      </c>
      <c r="B1785" s="19" t="s">
        <v>1816</v>
      </c>
      <c r="C1785" s="20">
        <v>25384.0</v>
      </c>
      <c r="D1785" s="19" t="str">
        <f t="shared" si="1"/>
        <v> </v>
      </c>
      <c r="E1785" s="19" t="str">
        <f t="shared" si="2"/>
        <v> </v>
      </c>
      <c r="F1785" s="21"/>
    </row>
    <row r="1786">
      <c r="A1786" s="19">
        <v>12913.0</v>
      </c>
      <c r="B1786" s="19" t="s">
        <v>1817</v>
      </c>
      <c r="C1786" s="20">
        <v>12378.0</v>
      </c>
      <c r="D1786" s="19" t="str">
        <f t="shared" si="1"/>
        <v> </v>
      </c>
      <c r="E1786" s="19" t="str">
        <f t="shared" si="2"/>
        <v> </v>
      </c>
      <c r="F1786" s="21"/>
    </row>
    <row r="1787">
      <c r="A1787" s="19">
        <v>12914.0</v>
      </c>
      <c r="B1787" s="19" t="s">
        <v>1818</v>
      </c>
      <c r="C1787" s="20">
        <v>34387.0</v>
      </c>
      <c r="D1787" s="19" t="str">
        <f t="shared" si="1"/>
        <v> </v>
      </c>
      <c r="E1787" s="19" t="str">
        <f t="shared" si="2"/>
        <v> </v>
      </c>
      <c r="F1787" s="21"/>
    </row>
    <row r="1788">
      <c r="A1788" s="19">
        <v>12916.0</v>
      </c>
      <c r="B1788" s="19" t="s">
        <v>1819</v>
      </c>
      <c r="C1788" s="20">
        <v>16841.0</v>
      </c>
      <c r="D1788" s="19" t="str">
        <f t="shared" si="1"/>
        <v> </v>
      </c>
      <c r="E1788" s="19" t="str">
        <f t="shared" si="2"/>
        <v> </v>
      </c>
      <c r="F1788" s="21"/>
    </row>
    <row r="1789">
      <c r="A1789" s="19">
        <v>12917.0</v>
      </c>
      <c r="B1789" s="19" t="s">
        <v>1820</v>
      </c>
      <c r="C1789" s="20">
        <v>17423.0</v>
      </c>
      <c r="D1789" s="19" t="str">
        <f t="shared" si="1"/>
        <v> </v>
      </c>
      <c r="E1789" s="19" t="str">
        <f t="shared" si="2"/>
        <v> </v>
      </c>
      <c r="F1789" s="21"/>
    </row>
    <row r="1790">
      <c r="A1790" s="19">
        <v>12918.0</v>
      </c>
      <c r="B1790" s="19" t="s">
        <v>1821</v>
      </c>
      <c r="C1790" s="20">
        <v>15507.0</v>
      </c>
      <c r="D1790" s="19" t="str">
        <f t="shared" si="1"/>
        <v> </v>
      </c>
      <c r="E1790" s="19" t="str">
        <f t="shared" si="2"/>
        <v> </v>
      </c>
      <c r="F1790" s="21"/>
    </row>
    <row r="1791">
      <c r="A1791" s="19">
        <v>12919.0</v>
      </c>
      <c r="B1791" s="19" t="s">
        <v>1822</v>
      </c>
      <c r="C1791" s="20">
        <v>14381.0</v>
      </c>
      <c r="D1791" s="19" t="str">
        <f t="shared" si="1"/>
        <v> </v>
      </c>
      <c r="E1791" s="19" t="str">
        <f t="shared" si="2"/>
        <v> </v>
      </c>
      <c r="F1791" s="21"/>
    </row>
    <row r="1792">
      <c r="A1792" s="19">
        <v>12920.0</v>
      </c>
      <c r="B1792" s="19" t="s">
        <v>1823</v>
      </c>
      <c r="C1792" s="20">
        <v>23124.0</v>
      </c>
      <c r="D1792" s="19" t="str">
        <f t="shared" si="1"/>
        <v> </v>
      </c>
      <c r="E1792" s="19" t="str">
        <f t="shared" si="2"/>
        <v> </v>
      </c>
      <c r="F1792" s="21"/>
    </row>
    <row r="1793">
      <c r="A1793" s="19">
        <v>12922.0</v>
      </c>
      <c r="B1793" s="19" t="s">
        <v>1824</v>
      </c>
      <c r="C1793" s="20">
        <v>19323.0</v>
      </c>
      <c r="D1793" s="19" t="str">
        <f t="shared" si="1"/>
        <v> </v>
      </c>
      <c r="E1793" s="19" t="str">
        <f t="shared" si="2"/>
        <v> </v>
      </c>
      <c r="F1793" s="21"/>
    </row>
    <row r="1794">
      <c r="A1794" s="19">
        <v>12923.0</v>
      </c>
      <c r="B1794" s="19" t="s">
        <v>1825</v>
      </c>
      <c r="C1794" s="20">
        <v>22210.0</v>
      </c>
      <c r="D1794" s="19" t="str">
        <f t="shared" si="1"/>
        <v> </v>
      </c>
      <c r="E1794" s="19" t="str">
        <f t="shared" si="2"/>
        <v> </v>
      </c>
      <c r="F1794" s="21"/>
    </row>
    <row r="1795">
      <c r="A1795" s="19">
        <v>12926.0</v>
      </c>
      <c r="B1795" s="19" t="s">
        <v>1826</v>
      </c>
      <c r="C1795" s="20">
        <v>29444.0</v>
      </c>
      <c r="D1795" s="19" t="str">
        <f t="shared" si="1"/>
        <v> </v>
      </c>
      <c r="E1795" s="19" t="str">
        <f t="shared" si="2"/>
        <v> </v>
      </c>
      <c r="F1795" s="21"/>
    </row>
    <row r="1796">
      <c r="A1796" s="19">
        <v>12927.0</v>
      </c>
      <c r="B1796" s="19" t="s">
        <v>1827</v>
      </c>
      <c r="C1796" s="20">
        <v>17990.0</v>
      </c>
      <c r="D1796" s="19" t="str">
        <f t="shared" si="1"/>
        <v> </v>
      </c>
      <c r="E1796" s="19" t="str">
        <f t="shared" si="2"/>
        <v> </v>
      </c>
      <c r="F1796" s="21"/>
    </row>
    <row r="1797">
      <c r="A1797" s="19">
        <v>12929.0</v>
      </c>
      <c r="B1797" s="19" t="s">
        <v>1828</v>
      </c>
      <c r="C1797" s="20">
        <v>22210.0</v>
      </c>
      <c r="D1797" s="19" t="str">
        <f t="shared" si="1"/>
        <v> </v>
      </c>
      <c r="E1797" s="19" t="str">
        <f t="shared" si="2"/>
        <v> </v>
      </c>
      <c r="F1797" s="21"/>
    </row>
    <row r="1798">
      <c r="A1798" s="19">
        <v>12930.0</v>
      </c>
      <c r="B1798" s="19" t="s">
        <v>1829</v>
      </c>
      <c r="C1798" s="20">
        <v>21097.0</v>
      </c>
      <c r="D1798" s="19" t="str">
        <f t="shared" si="1"/>
        <v> </v>
      </c>
      <c r="E1798" s="19" t="str">
        <f t="shared" si="2"/>
        <v> </v>
      </c>
      <c r="F1798" s="21"/>
    </row>
    <row r="1799">
      <c r="A1799" s="19">
        <v>12931.0</v>
      </c>
      <c r="B1799" s="19" t="s">
        <v>1830</v>
      </c>
      <c r="C1799" s="20">
        <v>22212.0</v>
      </c>
      <c r="D1799" s="19" t="str">
        <f t="shared" si="1"/>
        <v> </v>
      </c>
      <c r="E1799" s="19" t="str">
        <f t="shared" si="2"/>
        <v> </v>
      </c>
      <c r="F1799" s="21"/>
    </row>
    <row r="1800">
      <c r="A1800" s="19">
        <v>12932.0</v>
      </c>
      <c r="B1800" s="19" t="s">
        <v>1831</v>
      </c>
      <c r="C1800" s="20">
        <v>10968.0</v>
      </c>
      <c r="D1800" s="19" t="str">
        <f t="shared" si="1"/>
        <v> </v>
      </c>
      <c r="E1800" s="19" t="str">
        <f t="shared" si="2"/>
        <v> </v>
      </c>
      <c r="F1800" s="21"/>
    </row>
    <row r="1801">
      <c r="A1801" s="19">
        <v>12933.0</v>
      </c>
      <c r="B1801" s="19" t="s">
        <v>1832</v>
      </c>
      <c r="C1801" s="20">
        <v>22390.0</v>
      </c>
      <c r="D1801" s="19" t="str">
        <f t="shared" si="1"/>
        <v> </v>
      </c>
      <c r="E1801" s="19" t="str">
        <f t="shared" si="2"/>
        <v> </v>
      </c>
      <c r="F1801" s="21"/>
    </row>
    <row r="1802">
      <c r="A1802" s="19">
        <v>12934.0</v>
      </c>
      <c r="B1802" s="19" t="s">
        <v>1833</v>
      </c>
      <c r="C1802" s="20">
        <v>22003.0</v>
      </c>
      <c r="D1802" s="19" t="str">
        <f t="shared" si="1"/>
        <v> </v>
      </c>
      <c r="E1802" s="19" t="str">
        <f t="shared" si="2"/>
        <v> </v>
      </c>
      <c r="F1802" s="21"/>
    </row>
    <row r="1803">
      <c r="A1803" s="19">
        <v>12935.0</v>
      </c>
      <c r="B1803" s="19" t="s">
        <v>1834</v>
      </c>
      <c r="C1803" s="20">
        <v>22154.0</v>
      </c>
      <c r="D1803" s="19" t="str">
        <f t="shared" si="1"/>
        <v> </v>
      </c>
      <c r="E1803" s="19" t="str">
        <f t="shared" si="2"/>
        <v> </v>
      </c>
      <c r="F1803" s="21"/>
    </row>
    <row r="1804">
      <c r="A1804" s="19">
        <v>12936.0</v>
      </c>
      <c r="B1804" s="19" t="s">
        <v>1835</v>
      </c>
      <c r="C1804" s="20">
        <v>17173.0</v>
      </c>
      <c r="D1804" s="19" t="str">
        <f t="shared" si="1"/>
        <v> </v>
      </c>
      <c r="E1804" s="19" t="str">
        <f t="shared" si="2"/>
        <v> </v>
      </c>
      <c r="F1804" s="21"/>
    </row>
    <row r="1805">
      <c r="A1805" s="19">
        <v>12938.0</v>
      </c>
      <c r="B1805" s="19" t="s">
        <v>1836</v>
      </c>
      <c r="C1805" s="20">
        <v>18084.0</v>
      </c>
      <c r="D1805" s="19" t="str">
        <f t="shared" si="1"/>
        <v> </v>
      </c>
      <c r="E1805" s="19" t="str">
        <f t="shared" si="2"/>
        <v> </v>
      </c>
      <c r="F1805" s="21"/>
    </row>
    <row r="1806">
      <c r="A1806" s="19">
        <v>12941.0</v>
      </c>
      <c r="B1806" s="19" t="s">
        <v>1837</v>
      </c>
      <c r="C1806" s="20">
        <v>23753.0</v>
      </c>
      <c r="D1806" s="19" t="str">
        <f t="shared" si="1"/>
        <v> </v>
      </c>
      <c r="E1806" s="19" t="str">
        <f t="shared" si="2"/>
        <v> </v>
      </c>
      <c r="F1806" s="21"/>
    </row>
    <row r="1807">
      <c r="A1807" s="19">
        <v>12942.0</v>
      </c>
      <c r="B1807" s="19" t="s">
        <v>1838</v>
      </c>
      <c r="C1807" s="20">
        <v>30738.0</v>
      </c>
      <c r="D1807" s="19" t="str">
        <f t="shared" si="1"/>
        <v> </v>
      </c>
      <c r="E1807" s="19" t="str">
        <f t="shared" si="2"/>
        <v> </v>
      </c>
      <c r="F1807" s="21"/>
    </row>
    <row r="1808">
      <c r="A1808" s="19">
        <v>12943.0</v>
      </c>
      <c r="B1808" s="19" t="s">
        <v>1839</v>
      </c>
      <c r="C1808" s="20">
        <v>21979.0</v>
      </c>
      <c r="D1808" s="19" t="str">
        <f t="shared" si="1"/>
        <v> </v>
      </c>
      <c r="E1808" s="19" t="str">
        <f t="shared" si="2"/>
        <v> </v>
      </c>
      <c r="F1808" s="21"/>
    </row>
    <row r="1809">
      <c r="A1809" s="19">
        <v>12945.0</v>
      </c>
      <c r="B1809" s="19" t="s">
        <v>1840</v>
      </c>
      <c r="C1809" s="20">
        <v>24228.0</v>
      </c>
      <c r="D1809" s="19" t="str">
        <f t="shared" si="1"/>
        <v> </v>
      </c>
      <c r="E1809" s="19" t="str">
        <f t="shared" si="2"/>
        <v> </v>
      </c>
      <c r="F1809" s="21"/>
    </row>
    <row r="1810">
      <c r="A1810" s="19">
        <v>12946.0</v>
      </c>
      <c r="B1810" s="19" t="s">
        <v>1841</v>
      </c>
      <c r="C1810" s="20">
        <v>22894.0</v>
      </c>
      <c r="D1810" s="19" t="str">
        <f t="shared" si="1"/>
        <v> </v>
      </c>
      <c r="E1810" s="19" t="str">
        <f t="shared" si="2"/>
        <v> </v>
      </c>
      <c r="F1810" s="21"/>
    </row>
    <row r="1811">
      <c r="A1811" s="19">
        <v>12947.0</v>
      </c>
      <c r="B1811" s="19" t="s">
        <v>1842</v>
      </c>
      <c r="C1811" s="20">
        <v>23766.0</v>
      </c>
      <c r="D1811" s="19" t="str">
        <f t="shared" si="1"/>
        <v> </v>
      </c>
      <c r="E1811" s="19" t="str">
        <f t="shared" si="2"/>
        <v> </v>
      </c>
      <c r="F1811" s="21"/>
    </row>
    <row r="1812">
      <c r="A1812" s="19">
        <v>12948.0</v>
      </c>
      <c r="B1812" s="19" t="s">
        <v>1843</v>
      </c>
      <c r="C1812" s="20">
        <v>23190.0</v>
      </c>
      <c r="D1812" s="19" t="str">
        <f t="shared" si="1"/>
        <v> </v>
      </c>
      <c r="E1812" s="19" t="str">
        <f t="shared" si="2"/>
        <v> </v>
      </c>
      <c r="F1812" s="21"/>
    </row>
    <row r="1813">
      <c r="A1813" s="19">
        <v>12949.0</v>
      </c>
      <c r="B1813" s="19" t="s">
        <v>1844</v>
      </c>
      <c r="C1813" s="20">
        <v>27670.0</v>
      </c>
      <c r="D1813" s="19" t="str">
        <f t="shared" si="1"/>
        <v> </v>
      </c>
      <c r="E1813" s="19" t="str">
        <f t="shared" si="2"/>
        <v> </v>
      </c>
      <c r="F1813" s="21"/>
    </row>
    <row r="1814">
      <c r="A1814" s="19">
        <v>12950.0</v>
      </c>
      <c r="B1814" s="19" t="s">
        <v>1845</v>
      </c>
      <c r="C1814" s="20">
        <v>18718.0</v>
      </c>
      <c r="D1814" s="19" t="str">
        <f t="shared" si="1"/>
        <v> </v>
      </c>
      <c r="E1814" s="19" t="str">
        <f t="shared" si="2"/>
        <v> </v>
      </c>
      <c r="F1814" s="21"/>
    </row>
    <row r="1815">
      <c r="A1815" s="19">
        <v>12951.0</v>
      </c>
      <c r="B1815" s="19" t="s">
        <v>1846</v>
      </c>
      <c r="C1815" s="20">
        <v>26036.0</v>
      </c>
      <c r="D1815" s="19" t="str">
        <f t="shared" si="1"/>
        <v> </v>
      </c>
      <c r="E1815" s="19" t="str">
        <f t="shared" si="2"/>
        <v> </v>
      </c>
      <c r="F1815" s="21"/>
    </row>
    <row r="1816">
      <c r="A1816" s="19">
        <v>12952.0</v>
      </c>
      <c r="B1816" s="19" t="s">
        <v>1847</v>
      </c>
      <c r="C1816" s="20">
        <v>23794.0</v>
      </c>
      <c r="D1816" s="19" t="str">
        <f t="shared" si="1"/>
        <v> </v>
      </c>
      <c r="E1816" s="19" t="str">
        <f t="shared" si="2"/>
        <v> </v>
      </c>
      <c r="F1816" s="21"/>
    </row>
    <row r="1817">
      <c r="A1817" s="19">
        <v>12953.0</v>
      </c>
      <c r="B1817" s="19" t="s">
        <v>1848</v>
      </c>
      <c r="C1817" s="20">
        <v>22522.0</v>
      </c>
      <c r="D1817" s="19" t="str">
        <f t="shared" si="1"/>
        <v> </v>
      </c>
      <c r="E1817" s="19" t="str">
        <f t="shared" si="2"/>
        <v> </v>
      </c>
      <c r="F1817" s="21"/>
    </row>
    <row r="1818">
      <c r="A1818" s="19">
        <v>12954.0</v>
      </c>
      <c r="B1818" s="19" t="s">
        <v>1849</v>
      </c>
      <c r="C1818" s="20">
        <v>30182.0</v>
      </c>
      <c r="D1818" s="19" t="str">
        <f t="shared" si="1"/>
        <v> </v>
      </c>
      <c r="E1818" s="19" t="str">
        <f t="shared" si="2"/>
        <v> </v>
      </c>
      <c r="F1818" s="21"/>
    </row>
    <row r="1819">
      <c r="A1819" s="19">
        <v>12956.0</v>
      </c>
      <c r="B1819" s="19" t="s">
        <v>1850</v>
      </c>
      <c r="C1819" s="20">
        <v>18176.0</v>
      </c>
      <c r="D1819" s="19" t="str">
        <f t="shared" si="1"/>
        <v> </v>
      </c>
      <c r="E1819" s="19" t="str">
        <f t="shared" si="2"/>
        <v> </v>
      </c>
      <c r="F1819" s="21"/>
    </row>
    <row r="1820">
      <c r="A1820" s="19">
        <v>12957.0</v>
      </c>
      <c r="B1820" s="19" t="s">
        <v>1851</v>
      </c>
      <c r="C1820" s="20">
        <v>26295.0</v>
      </c>
      <c r="D1820" s="19" t="str">
        <f t="shared" si="1"/>
        <v> </v>
      </c>
      <c r="E1820" s="19" t="str">
        <f t="shared" si="2"/>
        <v> </v>
      </c>
      <c r="F1820" s="21"/>
    </row>
    <row r="1821">
      <c r="A1821" s="19">
        <v>12958.0</v>
      </c>
      <c r="B1821" s="19" t="s">
        <v>1852</v>
      </c>
      <c r="C1821" s="20">
        <v>17635.0</v>
      </c>
      <c r="D1821" s="19" t="str">
        <f t="shared" si="1"/>
        <v> </v>
      </c>
      <c r="E1821" s="19" t="str">
        <f t="shared" si="2"/>
        <v> </v>
      </c>
      <c r="F1821" s="21"/>
    </row>
    <row r="1822">
      <c r="A1822" s="19">
        <v>12960.0</v>
      </c>
      <c r="B1822" s="19" t="s">
        <v>1853</v>
      </c>
      <c r="C1822" s="20">
        <v>26473.0</v>
      </c>
      <c r="D1822" s="19" t="str">
        <f t="shared" si="1"/>
        <v> </v>
      </c>
      <c r="E1822" s="19" t="str">
        <f t="shared" si="2"/>
        <v> </v>
      </c>
      <c r="F1822" s="21"/>
    </row>
    <row r="1823">
      <c r="A1823" s="19">
        <v>12962.0</v>
      </c>
      <c r="B1823" s="19" t="s">
        <v>1854</v>
      </c>
      <c r="C1823" s="20">
        <v>23610.0</v>
      </c>
      <c r="D1823" s="19" t="str">
        <f t="shared" si="1"/>
        <v> </v>
      </c>
      <c r="E1823" s="19" t="str">
        <f t="shared" si="2"/>
        <v> </v>
      </c>
      <c r="F1823" s="21"/>
    </row>
    <row r="1824">
      <c r="A1824" s="19">
        <v>12964.0</v>
      </c>
      <c r="B1824" s="19" t="s">
        <v>1855</v>
      </c>
      <c r="C1824" s="20">
        <v>17118.0</v>
      </c>
      <c r="D1824" s="19" t="str">
        <f t="shared" si="1"/>
        <v> </v>
      </c>
      <c r="E1824" s="19" t="str">
        <f t="shared" si="2"/>
        <v> </v>
      </c>
      <c r="F1824" s="21"/>
    </row>
    <row r="1825">
      <c r="A1825" s="19">
        <v>12965.0</v>
      </c>
      <c r="B1825" s="19" t="s">
        <v>1856</v>
      </c>
      <c r="C1825" s="20">
        <v>26514.0</v>
      </c>
      <c r="D1825" s="19" t="str">
        <f t="shared" si="1"/>
        <v> </v>
      </c>
      <c r="E1825" s="19" t="str">
        <f t="shared" si="2"/>
        <v> </v>
      </c>
      <c r="F1825" s="21"/>
    </row>
    <row r="1826">
      <c r="A1826" s="19">
        <v>12966.0</v>
      </c>
      <c r="B1826" s="19" t="s">
        <v>1857</v>
      </c>
      <c r="C1826" s="20">
        <v>29856.0</v>
      </c>
      <c r="D1826" s="19" t="str">
        <f t="shared" si="1"/>
        <v> </v>
      </c>
      <c r="E1826" s="19" t="str">
        <f t="shared" si="2"/>
        <v> </v>
      </c>
      <c r="F1826" s="21"/>
    </row>
    <row r="1827">
      <c r="A1827" s="19">
        <v>12967.0</v>
      </c>
      <c r="B1827" s="19" t="s">
        <v>1858</v>
      </c>
      <c r="C1827" s="20">
        <v>18314.0</v>
      </c>
      <c r="D1827" s="19" t="str">
        <f t="shared" si="1"/>
        <v> </v>
      </c>
      <c r="E1827" s="19" t="str">
        <f t="shared" si="2"/>
        <v> </v>
      </c>
      <c r="F1827" s="21"/>
    </row>
    <row r="1828">
      <c r="A1828" s="19">
        <v>12968.0</v>
      </c>
      <c r="B1828" s="19" t="s">
        <v>1859</v>
      </c>
      <c r="C1828" s="20">
        <v>17573.0</v>
      </c>
      <c r="D1828" s="19" t="str">
        <f t="shared" si="1"/>
        <v> </v>
      </c>
      <c r="E1828" s="19" t="str">
        <f t="shared" si="2"/>
        <v> </v>
      </c>
      <c r="F1828" s="21"/>
    </row>
    <row r="1829">
      <c r="A1829" s="19">
        <v>12969.0</v>
      </c>
      <c r="B1829" s="19" t="s">
        <v>1860</v>
      </c>
      <c r="C1829" s="20">
        <v>15915.0</v>
      </c>
      <c r="D1829" s="19" t="str">
        <f t="shared" si="1"/>
        <v> </v>
      </c>
      <c r="E1829" s="19" t="str">
        <f t="shared" si="2"/>
        <v> </v>
      </c>
      <c r="F1829" s="21"/>
    </row>
    <row r="1830">
      <c r="A1830" s="19">
        <v>12970.0</v>
      </c>
      <c r="B1830" s="19" t="s">
        <v>1861</v>
      </c>
      <c r="C1830" s="20">
        <v>21550.0</v>
      </c>
      <c r="D1830" s="19" t="str">
        <f t="shared" si="1"/>
        <v> </v>
      </c>
      <c r="E1830" s="19" t="str">
        <f t="shared" si="2"/>
        <v> </v>
      </c>
      <c r="F1830" s="21"/>
    </row>
    <row r="1831">
      <c r="A1831" s="19">
        <v>12971.0</v>
      </c>
      <c r="B1831" s="19" t="s">
        <v>1862</v>
      </c>
      <c r="C1831" s="20">
        <v>32680.0</v>
      </c>
      <c r="D1831" s="19" t="str">
        <f t="shared" si="1"/>
        <v> </v>
      </c>
      <c r="E1831" s="19" t="str">
        <f t="shared" si="2"/>
        <v> </v>
      </c>
      <c r="F1831" s="21"/>
    </row>
    <row r="1832">
      <c r="A1832" s="19">
        <v>12972.0</v>
      </c>
      <c r="B1832" s="19" t="s">
        <v>1863</v>
      </c>
      <c r="C1832" s="20">
        <v>11343.0</v>
      </c>
      <c r="D1832" s="19" t="str">
        <f t="shared" si="1"/>
        <v> </v>
      </c>
      <c r="E1832" s="19" t="str">
        <f t="shared" si="2"/>
        <v> </v>
      </c>
      <c r="F1832" s="21"/>
    </row>
    <row r="1833">
      <c r="A1833" s="19">
        <v>12973.0</v>
      </c>
      <c r="B1833" s="19" t="s">
        <v>1864</v>
      </c>
      <c r="C1833" s="20">
        <v>16895.0</v>
      </c>
      <c r="D1833" s="19" t="str">
        <f t="shared" si="1"/>
        <v> </v>
      </c>
      <c r="E1833" s="19" t="str">
        <f t="shared" si="2"/>
        <v> </v>
      </c>
      <c r="F1833" s="21"/>
    </row>
    <row r="1834">
      <c r="A1834" s="19">
        <v>12974.0</v>
      </c>
      <c r="B1834" s="19" t="s">
        <v>1865</v>
      </c>
      <c r="C1834" s="20">
        <v>14278.0</v>
      </c>
      <c r="D1834" s="19" t="str">
        <f t="shared" si="1"/>
        <v> </v>
      </c>
      <c r="E1834" s="19" t="str">
        <f t="shared" si="2"/>
        <v> </v>
      </c>
      <c r="F1834" s="21"/>
    </row>
    <row r="1835">
      <c r="A1835" s="19">
        <v>12975.0</v>
      </c>
      <c r="B1835" s="19" t="s">
        <v>1866</v>
      </c>
      <c r="C1835" s="20">
        <v>14177.0</v>
      </c>
      <c r="D1835" s="19" t="str">
        <f t="shared" si="1"/>
        <v> </v>
      </c>
      <c r="E1835" s="19" t="str">
        <f t="shared" si="2"/>
        <v> </v>
      </c>
      <c r="F1835" s="21"/>
    </row>
    <row r="1836">
      <c r="A1836" s="19">
        <v>12976.0</v>
      </c>
      <c r="B1836" s="19" t="s">
        <v>1867</v>
      </c>
      <c r="C1836" s="20">
        <v>21983.0</v>
      </c>
      <c r="D1836" s="19" t="str">
        <f t="shared" si="1"/>
        <v> </v>
      </c>
      <c r="E1836" s="19" t="str">
        <f t="shared" si="2"/>
        <v> </v>
      </c>
      <c r="F1836" s="21"/>
    </row>
    <row r="1837">
      <c r="A1837" s="19">
        <v>12977.0</v>
      </c>
      <c r="B1837" s="19" t="s">
        <v>1868</v>
      </c>
      <c r="C1837" s="20">
        <v>29325.0</v>
      </c>
      <c r="D1837" s="19" t="str">
        <f t="shared" si="1"/>
        <v> </v>
      </c>
      <c r="E1837" s="19" t="str">
        <f t="shared" si="2"/>
        <v> </v>
      </c>
      <c r="F1837" s="21"/>
    </row>
    <row r="1838">
      <c r="A1838" s="19">
        <v>12978.0</v>
      </c>
      <c r="B1838" s="19" t="s">
        <v>1869</v>
      </c>
      <c r="C1838" s="20">
        <v>21062.0</v>
      </c>
      <c r="D1838" s="19" t="str">
        <f t="shared" si="1"/>
        <v> </v>
      </c>
      <c r="E1838" s="19" t="str">
        <f t="shared" si="2"/>
        <v> </v>
      </c>
      <c r="F1838" s="21"/>
    </row>
    <row r="1839">
      <c r="A1839" s="19">
        <v>12979.0</v>
      </c>
      <c r="B1839" s="19" t="s">
        <v>1870</v>
      </c>
      <c r="C1839" s="20">
        <v>29141.0</v>
      </c>
      <c r="D1839" s="19" t="str">
        <f t="shared" si="1"/>
        <v> </v>
      </c>
      <c r="E1839" s="19" t="str">
        <f t="shared" si="2"/>
        <v> </v>
      </c>
      <c r="F1839" s="21"/>
    </row>
    <row r="1840">
      <c r="A1840" s="19">
        <v>12980.0</v>
      </c>
      <c r="B1840" s="19" t="s">
        <v>1871</v>
      </c>
      <c r="C1840" s="20">
        <v>25889.0</v>
      </c>
      <c r="D1840" s="19" t="str">
        <f t="shared" si="1"/>
        <v> </v>
      </c>
      <c r="E1840" s="19" t="str">
        <f t="shared" si="2"/>
        <v> </v>
      </c>
      <c r="F1840" s="21"/>
    </row>
    <row r="1841">
      <c r="A1841" s="19">
        <v>12981.0</v>
      </c>
      <c r="B1841" s="19" t="s">
        <v>1872</v>
      </c>
      <c r="C1841" s="20">
        <v>20058.0</v>
      </c>
      <c r="D1841" s="19" t="str">
        <f t="shared" si="1"/>
        <v> </v>
      </c>
      <c r="E1841" s="19" t="str">
        <f t="shared" si="2"/>
        <v> </v>
      </c>
      <c r="F1841" s="21"/>
    </row>
    <row r="1842">
      <c r="A1842" s="19">
        <v>12982.0</v>
      </c>
      <c r="B1842" s="19" t="s">
        <v>1873</v>
      </c>
      <c r="C1842" s="20">
        <v>20972.0</v>
      </c>
      <c r="D1842" s="19" t="str">
        <f t="shared" si="1"/>
        <v> </v>
      </c>
      <c r="E1842" s="19" t="str">
        <f t="shared" si="2"/>
        <v> </v>
      </c>
      <c r="F1842" s="21"/>
    </row>
    <row r="1843">
      <c r="A1843" s="19">
        <v>12983.0</v>
      </c>
      <c r="B1843" s="19" t="s">
        <v>1874</v>
      </c>
      <c r="C1843" s="20">
        <v>13621.0</v>
      </c>
      <c r="D1843" s="19" t="str">
        <f t="shared" si="1"/>
        <v> </v>
      </c>
      <c r="E1843" s="19" t="str">
        <f t="shared" si="2"/>
        <v> </v>
      </c>
      <c r="F1843" s="21"/>
    </row>
    <row r="1844">
      <c r="A1844" s="19">
        <v>12984.0</v>
      </c>
      <c r="B1844" s="19" t="s">
        <v>1875</v>
      </c>
      <c r="C1844" s="20">
        <v>15686.0</v>
      </c>
      <c r="D1844" s="19" t="str">
        <f t="shared" si="1"/>
        <v>Repeat</v>
      </c>
      <c r="E1844" s="19" t="str">
        <f t="shared" si="2"/>
        <v> </v>
      </c>
      <c r="F1844" s="21"/>
    </row>
    <row r="1845">
      <c r="A1845" s="19">
        <v>12985.0</v>
      </c>
      <c r="B1845" s="19" t="s">
        <v>1876</v>
      </c>
      <c r="C1845" s="20">
        <v>33280.0</v>
      </c>
      <c r="D1845" s="19" t="str">
        <f t="shared" si="1"/>
        <v> </v>
      </c>
      <c r="E1845" s="19" t="str">
        <f t="shared" si="2"/>
        <v> </v>
      </c>
      <c r="F1845" s="21"/>
    </row>
    <row r="1846">
      <c r="A1846" s="19">
        <v>12986.0</v>
      </c>
      <c r="B1846" s="19" t="s">
        <v>1877</v>
      </c>
      <c r="C1846" s="20">
        <v>27510.0</v>
      </c>
      <c r="D1846" s="19" t="str">
        <f t="shared" si="1"/>
        <v> </v>
      </c>
      <c r="E1846" s="19" t="str">
        <f t="shared" si="2"/>
        <v> </v>
      </c>
      <c r="F1846" s="21"/>
    </row>
    <row r="1847">
      <c r="A1847" s="19">
        <v>12987.0</v>
      </c>
      <c r="B1847" s="19" t="s">
        <v>1878</v>
      </c>
      <c r="C1847" s="20">
        <v>37045.0</v>
      </c>
      <c r="D1847" s="19" t="str">
        <f t="shared" si="1"/>
        <v> </v>
      </c>
      <c r="E1847" s="19" t="str">
        <f t="shared" si="2"/>
        <v> </v>
      </c>
      <c r="F1847" s="21"/>
    </row>
    <row r="1848">
      <c r="A1848" s="19">
        <v>12988.0</v>
      </c>
      <c r="B1848" s="19" t="s">
        <v>1879</v>
      </c>
      <c r="C1848" s="20">
        <v>20719.0</v>
      </c>
      <c r="D1848" s="19" t="str">
        <f t="shared" si="1"/>
        <v> </v>
      </c>
      <c r="E1848" s="19" t="str">
        <f t="shared" si="2"/>
        <v> </v>
      </c>
      <c r="F1848" s="21"/>
    </row>
    <row r="1849">
      <c r="A1849" s="19">
        <v>12989.0</v>
      </c>
      <c r="B1849" s="19" t="s">
        <v>1880</v>
      </c>
      <c r="C1849" s="20">
        <v>14549.0</v>
      </c>
      <c r="D1849" s="19" t="str">
        <f t="shared" si="1"/>
        <v> </v>
      </c>
      <c r="E1849" s="19" t="str">
        <f t="shared" si="2"/>
        <v> </v>
      </c>
      <c r="F1849" s="21"/>
    </row>
    <row r="1850">
      <c r="A1850" s="19">
        <v>12990.0</v>
      </c>
      <c r="B1850" s="19" t="s">
        <v>1881</v>
      </c>
      <c r="C1850" s="20">
        <v>23448.0</v>
      </c>
      <c r="D1850" s="19" t="str">
        <f t="shared" si="1"/>
        <v> </v>
      </c>
      <c r="E1850" s="19" t="str">
        <f t="shared" si="2"/>
        <v> </v>
      </c>
      <c r="F1850" s="21"/>
    </row>
    <row r="1851">
      <c r="A1851" s="19">
        <v>12991.0</v>
      </c>
      <c r="B1851" s="19" t="s">
        <v>1882</v>
      </c>
      <c r="C1851" s="20">
        <v>22995.0</v>
      </c>
      <c r="D1851" s="19" t="str">
        <f t="shared" si="1"/>
        <v> </v>
      </c>
      <c r="E1851" s="19" t="str">
        <f t="shared" si="2"/>
        <v> </v>
      </c>
      <c r="F1851" s="21"/>
    </row>
    <row r="1852">
      <c r="A1852" s="19">
        <v>12993.0</v>
      </c>
      <c r="B1852" s="19" t="s">
        <v>1883</v>
      </c>
      <c r="C1852" s="20">
        <v>19819.0</v>
      </c>
      <c r="D1852" s="19" t="str">
        <f t="shared" si="1"/>
        <v> </v>
      </c>
      <c r="E1852" s="19" t="str">
        <f t="shared" si="2"/>
        <v> </v>
      </c>
      <c r="F1852" s="21"/>
    </row>
    <row r="1853">
      <c r="A1853" s="19">
        <v>12994.0</v>
      </c>
      <c r="B1853" s="19" t="s">
        <v>1884</v>
      </c>
      <c r="C1853" s="20">
        <v>18326.0</v>
      </c>
      <c r="D1853" s="19" t="str">
        <f t="shared" si="1"/>
        <v> </v>
      </c>
      <c r="E1853" s="19" t="str">
        <f t="shared" si="2"/>
        <v> </v>
      </c>
      <c r="F1853" s="21"/>
    </row>
    <row r="1854">
      <c r="A1854" s="19">
        <v>12995.0</v>
      </c>
      <c r="B1854" s="19" t="s">
        <v>1885</v>
      </c>
      <c r="C1854" s="20">
        <v>21285.0</v>
      </c>
      <c r="D1854" s="19" t="str">
        <f t="shared" si="1"/>
        <v> </v>
      </c>
      <c r="E1854" s="19" t="str">
        <f t="shared" si="2"/>
        <v> </v>
      </c>
      <c r="F1854" s="21"/>
    </row>
    <row r="1855">
      <c r="A1855" s="19">
        <v>12999.0</v>
      </c>
      <c r="B1855" s="19" t="s">
        <v>1886</v>
      </c>
      <c r="C1855" s="20">
        <v>21682.0</v>
      </c>
      <c r="D1855" s="19" t="str">
        <f t="shared" si="1"/>
        <v> </v>
      </c>
      <c r="E1855" s="19" t="str">
        <f t="shared" si="2"/>
        <v> </v>
      </c>
      <c r="F1855" s="21"/>
    </row>
    <row r="1856">
      <c r="A1856" s="19">
        <v>13000.0</v>
      </c>
      <c r="B1856" s="19" t="s">
        <v>1887</v>
      </c>
      <c r="C1856" s="20">
        <v>31824.0</v>
      </c>
      <c r="D1856" s="19" t="str">
        <f t="shared" si="1"/>
        <v> </v>
      </c>
      <c r="E1856" s="19" t="str">
        <f t="shared" si="2"/>
        <v> </v>
      </c>
      <c r="F1856" s="21"/>
    </row>
    <row r="1857">
      <c r="A1857" s="19">
        <v>13001.0</v>
      </c>
      <c r="B1857" s="19" t="s">
        <v>1888</v>
      </c>
      <c r="C1857" s="20">
        <v>17346.0</v>
      </c>
      <c r="D1857" s="19" t="str">
        <f t="shared" si="1"/>
        <v> </v>
      </c>
      <c r="E1857" s="19" t="str">
        <f t="shared" si="2"/>
        <v> </v>
      </c>
      <c r="F1857" s="21"/>
    </row>
    <row r="1858">
      <c r="A1858" s="19">
        <v>13002.0</v>
      </c>
      <c r="B1858" s="19" t="s">
        <v>1889</v>
      </c>
      <c r="C1858" s="20">
        <v>17089.0</v>
      </c>
      <c r="D1858" s="19" t="str">
        <f t="shared" si="1"/>
        <v> </v>
      </c>
      <c r="E1858" s="19" t="str">
        <f t="shared" si="2"/>
        <v> </v>
      </c>
      <c r="F1858" s="21"/>
    </row>
    <row r="1859">
      <c r="A1859" s="19">
        <v>13003.0</v>
      </c>
      <c r="B1859" s="19" t="s">
        <v>1890</v>
      </c>
      <c r="C1859" s="20">
        <v>26497.0</v>
      </c>
      <c r="D1859" s="19" t="str">
        <f t="shared" si="1"/>
        <v> </v>
      </c>
      <c r="E1859" s="19" t="str">
        <f t="shared" si="2"/>
        <v> </v>
      </c>
      <c r="F1859" s="21"/>
    </row>
    <row r="1860">
      <c r="A1860" s="19">
        <v>13004.0</v>
      </c>
      <c r="B1860" s="19" t="s">
        <v>1891</v>
      </c>
      <c r="C1860" s="20">
        <v>12662.0</v>
      </c>
      <c r="D1860" s="19" t="str">
        <f t="shared" si="1"/>
        <v> </v>
      </c>
      <c r="E1860" s="19" t="str">
        <f t="shared" si="2"/>
        <v> </v>
      </c>
      <c r="F1860" s="21"/>
    </row>
    <row r="1861">
      <c r="A1861" s="19">
        <v>13005.0</v>
      </c>
      <c r="B1861" s="19" t="s">
        <v>1892</v>
      </c>
      <c r="C1861" s="20">
        <v>22674.0</v>
      </c>
      <c r="D1861" s="19" t="str">
        <f t="shared" si="1"/>
        <v> </v>
      </c>
      <c r="E1861" s="19" t="str">
        <f t="shared" si="2"/>
        <v> </v>
      </c>
      <c r="F1861" s="21"/>
    </row>
    <row r="1862">
      <c r="A1862" s="19">
        <v>13006.0</v>
      </c>
      <c r="B1862" s="19" t="s">
        <v>1893</v>
      </c>
      <c r="C1862" s="20">
        <v>23373.0</v>
      </c>
      <c r="D1862" s="19" t="str">
        <f t="shared" si="1"/>
        <v> </v>
      </c>
      <c r="E1862" s="19" t="str">
        <f t="shared" si="2"/>
        <v> </v>
      </c>
      <c r="F1862" s="21"/>
    </row>
    <row r="1863">
      <c r="A1863" s="19">
        <v>13007.0</v>
      </c>
      <c r="B1863" s="19" t="s">
        <v>1894</v>
      </c>
      <c r="C1863" s="20">
        <v>13680.0</v>
      </c>
      <c r="D1863" s="19" t="str">
        <f t="shared" si="1"/>
        <v> </v>
      </c>
      <c r="E1863" s="19" t="str">
        <f t="shared" si="2"/>
        <v> </v>
      </c>
      <c r="F1863" s="21"/>
    </row>
    <row r="1864">
      <c r="A1864" s="19">
        <v>13008.0</v>
      </c>
      <c r="B1864" s="19" t="s">
        <v>1895</v>
      </c>
      <c r="C1864" s="20">
        <v>15425.0</v>
      </c>
      <c r="D1864" s="19" t="str">
        <f t="shared" si="1"/>
        <v> </v>
      </c>
      <c r="E1864" s="19" t="str">
        <f t="shared" si="2"/>
        <v> </v>
      </c>
      <c r="F1864" s="21"/>
    </row>
    <row r="1865">
      <c r="A1865" s="19">
        <v>13009.0</v>
      </c>
      <c r="B1865" s="19" t="s">
        <v>1896</v>
      </c>
      <c r="C1865" s="20">
        <v>33387.0</v>
      </c>
      <c r="D1865" s="19" t="str">
        <f t="shared" si="1"/>
        <v> </v>
      </c>
      <c r="E1865" s="19" t="str">
        <f t="shared" si="2"/>
        <v> </v>
      </c>
      <c r="F1865" s="21"/>
    </row>
    <row r="1866">
      <c r="A1866" s="19">
        <v>13011.0</v>
      </c>
      <c r="B1866" s="19" t="s">
        <v>1897</v>
      </c>
      <c r="C1866" s="20">
        <v>16839.0</v>
      </c>
      <c r="D1866" s="19" t="str">
        <f t="shared" si="1"/>
        <v> </v>
      </c>
      <c r="E1866" s="19" t="str">
        <f t="shared" si="2"/>
        <v> </v>
      </c>
      <c r="F1866" s="21"/>
    </row>
    <row r="1867">
      <c r="A1867" s="19">
        <v>13012.0</v>
      </c>
      <c r="B1867" s="19" t="s">
        <v>1898</v>
      </c>
      <c r="C1867" s="20">
        <v>29217.0</v>
      </c>
      <c r="D1867" s="19" t="str">
        <f t="shared" si="1"/>
        <v> </v>
      </c>
      <c r="E1867" s="19" t="str">
        <f t="shared" si="2"/>
        <v> </v>
      </c>
      <c r="F1867" s="21"/>
    </row>
    <row r="1868">
      <c r="A1868" s="19">
        <v>13013.0</v>
      </c>
      <c r="B1868" s="19" t="s">
        <v>1899</v>
      </c>
      <c r="C1868" s="20">
        <v>23643.0</v>
      </c>
      <c r="D1868" s="19" t="str">
        <f t="shared" si="1"/>
        <v> </v>
      </c>
      <c r="E1868" s="19" t="str">
        <f t="shared" si="2"/>
        <v> </v>
      </c>
      <c r="F1868" s="21"/>
    </row>
    <row r="1869">
      <c r="A1869" s="19">
        <v>13014.0</v>
      </c>
      <c r="B1869" s="19" t="s">
        <v>1900</v>
      </c>
      <c r="C1869" s="20">
        <v>26163.0</v>
      </c>
      <c r="D1869" s="19" t="str">
        <f t="shared" si="1"/>
        <v> </v>
      </c>
      <c r="E1869" s="19" t="str">
        <f t="shared" si="2"/>
        <v> </v>
      </c>
      <c r="F1869" s="21"/>
    </row>
    <row r="1870">
      <c r="A1870" s="19">
        <v>13015.0</v>
      </c>
      <c r="B1870" s="19" t="s">
        <v>1901</v>
      </c>
      <c r="C1870" s="20">
        <v>35190.0</v>
      </c>
      <c r="D1870" s="19" t="str">
        <f t="shared" si="1"/>
        <v> </v>
      </c>
      <c r="E1870" s="19" t="str">
        <f t="shared" si="2"/>
        <v> </v>
      </c>
      <c r="F1870" s="21"/>
    </row>
    <row r="1871">
      <c r="A1871" s="19">
        <v>13016.0</v>
      </c>
      <c r="B1871" s="19" t="s">
        <v>1902</v>
      </c>
      <c r="C1871" s="20">
        <v>18558.0</v>
      </c>
      <c r="D1871" s="19" t="str">
        <f t="shared" si="1"/>
        <v>Repeat</v>
      </c>
      <c r="E1871" s="19" t="str">
        <f t="shared" si="2"/>
        <v> </v>
      </c>
      <c r="F1871" s="21"/>
    </row>
    <row r="1872">
      <c r="A1872" s="19">
        <v>13017.0</v>
      </c>
      <c r="B1872" s="19" t="s">
        <v>1903</v>
      </c>
      <c r="C1872" s="20">
        <v>14692.0</v>
      </c>
      <c r="D1872" s="19" t="str">
        <f t="shared" si="1"/>
        <v> </v>
      </c>
      <c r="E1872" s="19" t="str">
        <f t="shared" si="2"/>
        <v> </v>
      </c>
      <c r="F1872" s="21"/>
    </row>
    <row r="1873">
      <c r="A1873" s="19">
        <v>13018.0</v>
      </c>
      <c r="B1873" s="19" t="s">
        <v>1904</v>
      </c>
      <c r="C1873" s="20">
        <v>24067.0</v>
      </c>
      <c r="D1873" s="19" t="str">
        <f t="shared" si="1"/>
        <v> </v>
      </c>
      <c r="E1873" s="19" t="str">
        <f t="shared" si="2"/>
        <v> </v>
      </c>
      <c r="F1873" s="21"/>
    </row>
    <row r="1874">
      <c r="A1874" s="19">
        <v>13019.0</v>
      </c>
      <c r="B1874" s="19" t="s">
        <v>1905</v>
      </c>
      <c r="C1874" s="20">
        <v>20401.0</v>
      </c>
      <c r="D1874" s="19" t="str">
        <f t="shared" si="1"/>
        <v> </v>
      </c>
      <c r="E1874" s="19" t="str">
        <f t="shared" si="2"/>
        <v> </v>
      </c>
      <c r="F1874" s="21"/>
    </row>
    <row r="1875">
      <c r="A1875" s="19">
        <v>13020.0</v>
      </c>
      <c r="B1875" s="19" t="s">
        <v>1906</v>
      </c>
      <c r="C1875" s="20">
        <v>20565.0</v>
      </c>
      <c r="D1875" s="19" t="str">
        <f t="shared" si="1"/>
        <v> </v>
      </c>
      <c r="E1875" s="19" t="str">
        <f t="shared" si="2"/>
        <v> </v>
      </c>
      <c r="F1875" s="21"/>
    </row>
    <row r="1876">
      <c r="A1876" s="19">
        <v>13021.0</v>
      </c>
      <c r="B1876" s="19" t="s">
        <v>1907</v>
      </c>
      <c r="C1876" s="20">
        <v>28778.0</v>
      </c>
      <c r="D1876" s="19" t="str">
        <f t="shared" si="1"/>
        <v> </v>
      </c>
      <c r="E1876" s="19" t="str">
        <f t="shared" si="2"/>
        <v> </v>
      </c>
      <c r="F1876" s="21"/>
    </row>
    <row r="1877">
      <c r="A1877" s="19">
        <v>13022.0</v>
      </c>
      <c r="B1877" s="19" t="s">
        <v>1908</v>
      </c>
      <c r="C1877" s="20">
        <v>18708.0</v>
      </c>
      <c r="D1877" s="19" t="str">
        <f t="shared" si="1"/>
        <v> </v>
      </c>
      <c r="E1877" s="19" t="str">
        <f t="shared" si="2"/>
        <v> </v>
      </c>
      <c r="F1877" s="21"/>
    </row>
    <row r="1878">
      <c r="A1878" s="19">
        <v>13023.0</v>
      </c>
      <c r="B1878" s="19" t="s">
        <v>1909</v>
      </c>
      <c r="C1878" s="20">
        <v>11936.0</v>
      </c>
      <c r="D1878" s="19" t="str">
        <f t="shared" si="1"/>
        <v> </v>
      </c>
      <c r="E1878" s="19" t="str">
        <f t="shared" si="2"/>
        <v> </v>
      </c>
      <c r="F1878" s="21"/>
    </row>
    <row r="1879">
      <c r="A1879" s="19">
        <v>13025.0</v>
      </c>
      <c r="B1879" s="19" t="s">
        <v>1910</v>
      </c>
      <c r="C1879" s="20">
        <v>24535.0</v>
      </c>
      <c r="D1879" s="19" t="str">
        <f t="shared" si="1"/>
        <v> </v>
      </c>
      <c r="E1879" s="19" t="str">
        <f t="shared" si="2"/>
        <v> </v>
      </c>
      <c r="F1879" s="21"/>
    </row>
    <row r="1880">
      <c r="A1880" s="19">
        <v>13026.0</v>
      </c>
      <c r="B1880" s="19" t="s">
        <v>1911</v>
      </c>
      <c r="C1880" s="20">
        <v>23816.0</v>
      </c>
      <c r="D1880" s="19" t="str">
        <f t="shared" si="1"/>
        <v> </v>
      </c>
      <c r="E1880" s="19" t="str">
        <f t="shared" si="2"/>
        <v> </v>
      </c>
      <c r="F1880" s="21"/>
    </row>
    <row r="1881">
      <c r="A1881" s="19">
        <v>13027.0</v>
      </c>
      <c r="B1881" s="19" t="s">
        <v>1912</v>
      </c>
      <c r="C1881" s="20">
        <v>25661.0</v>
      </c>
      <c r="D1881" s="19" t="str">
        <f t="shared" si="1"/>
        <v> </v>
      </c>
      <c r="E1881" s="19" t="str">
        <f t="shared" si="2"/>
        <v> </v>
      </c>
      <c r="F1881" s="21"/>
    </row>
    <row r="1882">
      <c r="A1882" s="19">
        <v>13028.0</v>
      </c>
      <c r="B1882" s="19" t="s">
        <v>1913</v>
      </c>
      <c r="C1882" s="20">
        <v>13726.0</v>
      </c>
      <c r="D1882" s="19" t="str">
        <f t="shared" si="1"/>
        <v> </v>
      </c>
      <c r="E1882" s="19" t="str">
        <f t="shared" si="2"/>
        <v> </v>
      </c>
      <c r="F1882" s="21"/>
    </row>
    <row r="1883">
      <c r="A1883" s="19">
        <v>13029.0</v>
      </c>
      <c r="B1883" s="19" t="s">
        <v>1914</v>
      </c>
      <c r="C1883" s="20">
        <v>25828.0</v>
      </c>
      <c r="D1883" s="19" t="str">
        <f t="shared" si="1"/>
        <v> </v>
      </c>
      <c r="E1883" s="19" t="str">
        <f t="shared" si="2"/>
        <v> </v>
      </c>
      <c r="F1883" s="21"/>
    </row>
    <row r="1884">
      <c r="A1884" s="19">
        <v>13030.0</v>
      </c>
      <c r="B1884" s="19" t="s">
        <v>1915</v>
      </c>
      <c r="C1884" s="20">
        <v>25067.0</v>
      </c>
      <c r="D1884" s="19" t="str">
        <f t="shared" si="1"/>
        <v> </v>
      </c>
      <c r="E1884" s="19" t="str">
        <f t="shared" si="2"/>
        <v> </v>
      </c>
      <c r="F1884" s="21"/>
    </row>
    <row r="1885">
      <c r="A1885" s="19">
        <v>13031.0</v>
      </c>
      <c r="B1885" s="19" t="s">
        <v>1916</v>
      </c>
      <c r="C1885" s="20">
        <v>29519.0</v>
      </c>
      <c r="D1885" s="19" t="str">
        <f t="shared" si="1"/>
        <v> </v>
      </c>
      <c r="E1885" s="19" t="str">
        <f t="shared" si="2"/>
        <v> </v>
      </c>
      <c r="F1885" s="21"/>
    </row>
    <row r="1886">
      <c r="A1886" s="19">
        <v>13032.0</v>
      </c>
      <c r="B1886" s="19" t="s">
        <v>1917</v>
      </c>
      <c r="C1886" s="20">
        <v>21812.0</v>
      </c>
      <c r="D1886" s="19" t="str">
        <f t="shared" si="1"/>
        <v> </v>
      </c>
      <c r="E1886" s="19" t="str">
        <f t="shared" si="2"/>
        <v> </v>
      </c>
      <c r="F1886" s="21"/>
    </row>
    <row r="1887">
      <c r="A1887" s="19">
        <v>13033.0</v>
      </c>
      <c r="B1887" s="19" t="s">
        <v>1918</v>
      </c>
      <c r="C1887" s="20">
        <v>29923.0</v>
      </c>
      <c r="D1887" s="19" t="str">
        <f t="shared" si="1"/>
        <v> </v>
      </c>
      <c r="E1887" s="19" t="str">
        <f t="shared" si="2"/>
        <v> </v>
      </c>
      <c r="F1887" s="21"/>
    </row>
    <row r="1888">
      <c r="A1888" s="19">
        <v>13034.0</v>
      </c>
      <c r="B1888" s="19" t="s">
        <v>1919</v>
      </c>
      <c r="C1888" s="20">
        <v>24720.0</v>
      </c>
      <c r="D1888" s="19" t="str">
        <f t="shared" si="1"/>
        <v> </v>
      </c>
      <c r="E1888" s="19" t="str">
        <f t="shared" si="2"/>
        <v> </v>
      </c>
      <c r="F1888" s="21"/>
    </row>
    <row r="1889">
      <c r="A1889" s="19">
        <v>13035.0</v>
      </c>
      <c r="B1889" s="19" t="s">
        <v>1920</v>
      </c>
      <c r="C1889" s="20">
        <v>22117.0</v>
      </c>
      <c r="D1889" s="19" t="str">
        <f t="shared" si="1"/>
        <v> </v>
      </c>
      <c r="E1889" s="19" t="str">
        <f t="shared" si="2"/>
        <v> </v>
      </c>
      <c r="F1889" s="21"/>
    </row>
    <row r="1890">
      <c r="A1890" s="19">
        <v>13036.0</v>
      </c>
      <c r="B1890" s="19" t="s">
        <v>1921</v>
      </c>
      <c r="C1890" s="20">
        <v>13864.0</v>
      </c>
      <c r="D1890" s="19" t="str">
        <f t="shared" si="1"/>
        <v> </v>
      </c>
      <c r="E1890" s="19" t="str">
        <f t="shared" si="2"/>
        <v> </v>
      </c>
      <c r="F1890" s="21"/>
    </row>
    <row r="1891">
      <c r="A1891" s="19">
        <v>13037.0</v>
      </c>
      <c r="B1891" s="19" t="s">
        <v>1922</v>
      </c>
      <c r="C1891" s="20">
        <v>18662.0</v>
      </c>
      <c r="D1891" s="19" t="str">
        <f t="shared" si="1"/>
        <v> </v>
      </c>
      <c r="E1891" s="19" t="str">
        <f t="shared" si="2"/>
        <v> </v>
      </c>
      <c r="F1891" s="21"/>
    </row>
    <row r="1892">
      <c r="A1892" s="19">
        <v>13039.0</v>
      </c>
      <c r="B1892" s="19" t="s">
        <v>1923</v>
      </c>
      <c r="C1892" s="20">
        <v>15655.0</v>
      </c>
      <c r="D1892" s="19" t="str">
        <f t="shared" si="1"/>
        <v> </v>
      </c>
      <c r="E1892" s="19" t="str">
        <f t="shared" si="2"/>
        <v> </v>
      </c>
      <c r="F1892" s="21"/>
    </row>
    <row r="1893">
      <c r="A1893" s="19">
        <v>13040.0</v>
      </c>
      <c r="B1893" s="19" t="s">
        <v>1924</v>
      </c>
      <c r="C1893" s="20">
        <v>21483.0</v>
      </c>
      <c r="D1893" s="19" t="str">
        <f t="shared" si="1"/>
        <v> </v>
      </c>
      <c r="E1893" s="19" t="str">
        <f t="shared" si="2"/>
        <v> </v>
      </c>
      <c r="F1893" s="21"/>
    </row>
    <row r="1894">
      <c r="A1894" s="19">
        <v>13042.0</v>
      </c>
      <c r="B1894" s="19" t="s">
        <v>1925</v>
      </c>
      <c r="C1894" s="20">
        <v>14662.0</v>
      </c>
      <c r="D1894" s="19" t="str">
        <f t="shared" si="1"/>
        <v> </v>
      </c>
      <c r="E1894" s="19" t="str">
        <f t="shared" si="2"/>
        <v> </v>
      </c>
      <c r="F1894" s="21"/>
    </row>
    <row r="1895">
      <c r="A1895" s="19">
        <v>13043.0</v>
      </c>
      <c r="B1895" s="19" t="s">
        <v>1926</v>
      </c>
      <c r="C1895" s="20">
        <v>31097.0</v>
      </c>
      <c r="D1895" s="19" t="str">
        <f t="shared" si="1"/>
        <v> </v>
      </c>
      <c r="E1895" s="19" t="str">
        <f t="shared" si="2"/>
        <v> </v>
      </c>
      <c r="F1895" s="21"/>
    </row>
    <row r="1896">
      <c r="A1896" s="19">
        <v>13044.0</v>
      </c>
      <c r="B1896" s="19" t="s">
        <v>1927</v>
      </c>
      <c r="C1896" s="20">
        <v>21958.0</v>
      </c>
      <c r="D1896" s="19" t="str">
        <f t="shared" si="1"/>
        <v> </v>
      </c>
      <c r="E1896" s="19" t="str">
        <f t="shared" si="2"/>
        <v> </v>
      </c>
      <c r="F1896" s="21"/>
    </row>
    <row r="1897">
      <c r="A1897" s="19">
        <v>13045.0</v>
      </c>
      <c r="B1897" s="19" t="s">
        <v>1928</v>
      </c>
      <c r="C1897" s="20">
        <v>19390.0</v>
      </c>
      <c r="D1897" s="19" t="str">
        <f t="shared" si="1"/>
        <v> </v>
      </c>
      <c r="E1897" s="19" t="str">
        <f t="shared" si="2"/>
        <v> </v>
      </c>
      <c r="F1897" s="21"/>
    </row>
    <row r="1898">
      <c r="A1898" s="19">
        <v>13047.0</v>
      </c>
      <c r="B1898" s="19" t="s">
        <v>1929</v>
      </c>
      <c r="C1898" s="20">
        <v>22322.0</v>
      </c>
      <c r="D1898" s="19" t="str">
        <f t="shared" si="1"/>
        <v> </v>
      </c>
      <c r="E1898" s="19" t="str">
        <f t="shared" si="2"/>
        <v> </v>
      </c>
      <c r="F1898" s="21"/>
    </row>
    <row r="1899">
      <c r="A1899" s="19">
        <v>13048.0</v>
      </c>
      <c r="B1899" s="19" t="s">
        <v>1930</v>
      </c>
      <c r="C1899" s="20">
        <v>26988.0</v>
      </c>
      <c r="D1899" s="19" t="str">
        <f t="shared" si="1"/>
        <v> </v>
      </c>
      <c r="E1899" s="19" t="str">
        <f t="shared" si="2"/>
        <v> </v>
      </c>
      <c r="F1899" s="21"/>
    </row>
    <row r="1900">
      <c r="A1900" s="19">
        <v>13049.0</v>
      </c>
      <c r="B1900" s="19" t="s">
        <v>1931</v>
      </c>
      <c r="C1900" s="20">
        <v>34233.0</v>
      </c>
      <c r="D1900" s="19" t="str">
        <f t="shared" si="1"/>
        <v> </v>
      </c>
      <c r="E1900" s="19" t="str">
        <f t="shared" si="2"/>
        <v> </v>
      </c>
      <c r="F1900" s="21"/>
    </row>
    <row r="1901">
      <c r="A1901" s="19">
        <v>13050.0</v>
      </c>
      <c r="B1901" s="19" t="s">
        <v>1932</v>
      </c>
      <c r="C1901" s="20">
        <v>23718.0</v>
      </c>
      <c r="D1901" s="19" t="str">
        <f t="shared" si="1"/>
        <v> </v>
      </c>
      <c r="E1901" s="19" t="str">
        <f t="shared" si="2"/>
        <v> </v>
      </c>
      <c r="F1901" s="21"/>
    </row>
    <row r="1902">
      <c r="A1902" s="19">
        <v>13053.0</v>
      </c>
      <c r="B1902" s="19" t="s">
        <v>1933</v>
      </c>
      <c r="C1902" s="20">
        <v>31604.0</v>
      </c>
      <c r="D1902" s="19" t="str">
        <f t="shared" si="1"/>
        <v> </v>
      </c>
      <c r="E1902" s="19" t="str">
        <f t="shared" si="2"/>
        <v> </v>
      </c>
      <c r="F1902" s="21"/>
    </row>
    <row r="1903">
      <c r="A1903" s="19">
        <v>13055.0</v>
      </c>
      <c r="B1903" s="19" t="s">
        <v>1934</v>
      </c>
      <c r="C1903" s="20">
        <v>32678.0</v>
      </c>
      <c r="D1903" s="19" t="str">
        <f t="shared" si="1"/>
        <v> </v>
      </c>
      <c r="E1903" s="19" t="str">
        <f t="shared" si="2"/>
        <v> </v>
      </c>
      <c r="F1903" s="21"/>
    </row>
    <row r="1904">
      <c r="A1904" s="19">
        <v>13057.0</v>
      </c>
      <c r="B1904" s="19" t="s">
        <v>1935</v>
      </c>
      <c r="C1904" s="20">
        <v>28884.0</v>
      </c>
      <c r="D1904" s="19" t="str">
        <f t="shared" si="1"/>
        <v> </v>
      </c>
      <c r="E1904" s="19" t="str">
        <f t="shared" si="2"/>
        <v> </v>
      </c>
      <c r="F1904" s="21"/>
    </row>
    <row r="1905">
      <c r="A1905" s="19">
        <v>13058.0</v>
      </c>
      <c r="B1905" s="19" t="s">
        <v>1936</v>
      </c>
      <c r="C1905" s="20">
        <v>13733.0</v>
      </c>
      <c r="D1905" s="19" t="str">
        <f t="shared" si="1"/>
        <v> </v>
      </c>
      <c r="E1905" s="19" t="str">
        <f t="shared" si="2"/>
        <v> </v>
      </c>
      <c r="F1905" s="21"/>
    </row>
    <row r="1906">
      <c r="A1906" s="19">
        <v>13059.0</v>
      </c>
      <c r="B1906" s="19" t="s">
        <v>1937</v>
      </c>
      <c r="C1906" s="20">
        <v>13171.0</v>
      </c>
      <c r="D1906" s="19" t="str">
        <f t="shared" si="1"/>
        <v>Repeat</v>
      </c>
      <c r="E1906" s="19" t="str">
        <f t="shared" si="2"/>
        <v> </v>
      </c>
      <c r="F1906" s="21"/>
    </row>
    <row r="1907">
      <c r="A1907" s="19">
        <v>13060.0</v>
      </c>
      <c r="B1907" s="19" t="s">
        <v>1938</v>
      </c>
      <c r="C1907" s="20">
        <v>32409.0</v>
      </c>
      <c r="D1907" s="19" t="str">
        <f t="shared" si="1"/>
        <v> </v>
      </c>
      <c r="E1907" s="19" t="str">
        <f t="shared" si="2"/>
        <v> </v>
      </c>
      <c r="F1907" s="21"/>
    </row>
    <row r="1908">
      <c r="A1908" s="19">
        <v>13061.0</v>
      </c>
      <c r="B1908" s="19" t="s">
        <v>1939</v>
      </c>
      <c r="C1908" s="20">
        <v>17030.0</v>
      </c>
      <c r="D1908" s="19" t="str">
        <f t="shared" si="1"/>
        <v> </v>
      </c>
      <c r="E1908" s="19" t="str">
        <f t="shared" si="2"/>
        <v> </v>
      </c>
      <c r="F1908" s="21"/>
    </row>
    <row r="1909">
      <c r="A1909" s="19">
        <v>13063.0</v>
      </c>
      <c r="B1909" s="19" t="s">
        <v>1940</v>
      </c>
      <c r="C1909" s="20">
        <v>18086.0</v>
      </c>
      <c r="D1909" s="19" t="str">
        <f t="shared" si="1"/>
        <v> </v>
      </c>
      <c r="E1909" s="19" t="str">
        <f t="shared" si="2"/>
        <v> </v>
      </c>
      <c r="F1909" s="21"/>
    </row>
    <row r="1910">
      <c r="A1910" s="19">
        <v>13064.0</v>
      </c>
      <c r="B1910" s="19" t="s">
        <v>1941</v>
      </c>
      <c r="C1910" s="20">
        <v>33733.0</v>
      </c>
      <c r="D1910" s="19" t="str">
        <f t="shared" si="1"/>
        <v> </v>
      </c>
      <c r="E1910" s="19" t="str">
        <f t="shared" si="2"/>
        <v> </v>
      </c>
      <c r="F1910" s="21"/>
    </row>
    <row r="1911">
      <c r="A1911" s="19">
        <v>13067.0</v>
      </c>
      <c r="B1911" s="19" t="s">
        <v>1942</v>
      </c>
      <c r="C1911" s="20">
        <v>28488.0</v>
      </c>
      <c r="D1911" s="19" t="str">
        <f t="shared" si="1"/>
        <v> </v>
      </c>
      <c r="E1911" s="19" t="str">
        <f t="shared" si="2"/>
        <v> </v>
      </c>
      <c r="F1911" s="21"/>
    </row>
    <row r="1912">
      <c r="A1912" s="19">
        <v>13068.0</v>
      </c>
      <c r="B1912" s="19" t="s">
        <v>1943</v>
      </c>
      <c r="C1912" s="20">
        <v>20171.0</v>
      </c>
      <c r="D1912" s="19" t="str">
        <f t="shared" si="1"/>
        <v> </v>
      </c>
      <c r="E1912" s="19" t="str">
        <f t="shared" si="2"/>
        <v> </v>
      </c>
      <c r="F1912" s="21"/>
    </row>
    <row r="1913">
      <c r="A1913" s="19">
        <v>13069.0</v>
      </c>
      <c r="B1913" s="19" t="s">
        <v>1944</v>
      </c>
      <c r="C1913" s="20">
        <v>27318.0</v>
      </c>
      <c r="D1913" s="19" t="str">
        <f t="shared" si="1"/>
        <v> </v>
      </c>
      <c r="E1913" s="19" t="str">
        <f t="shared" si="2"/>
        <v> </v>
      </c>
      <c r="F1913" s="21"/>
    </row>
    <row r="1914">
      <c r="A1914" s="19">
        <v>13071.0</v>
      </c>
      <c r="B1914" s="19" t="s">
        <v>1945</v>
      </c>
      <c r="C1914" s="20">
        <v>31325.0</v>
      </c>
      <c r="D1914" s="19" t="str">
        <f t="shared" si="1"/>
        <v> </v>
      </c>
      <c r="E1914" s="19" t="str">
        <f t="shared" si="2"/>
        <v> </v>
      </c>
      <c r="F1914" s="21"/>
    </row>
    <row r="1915">
      <c r="A1915" s="19">
        <v>13072.0</v>
      </c>
      <c r="B1915" s="19" t="s">
        <v>1946</v>
      </c>
      <c r="C1915" s="20">
        <v>12365.0</v>
      </c>
      <c r="D1915" s="19" t="str">
        <f t="shared" si="1"/>
        <v> </v>
      </c>
      <c r="E1915" s="19" t="str">
        <f t="shared" si="2"/>
        <v> </v>
      </c>
      <c r="F1915" s="21"/>
    </row>
    <row r="1916">
      <c r="A1916" s="19">
        <v>13073.0</v>
      </c>
      <c r="B1916" s="19" t="s">
        <v>1947</v>
      </c>
      <c r="C1916" s="20">
        <v>22361.0</v>
      </c>
      <c r="D1916" s="19" t="str">
        <f t="shared" si="1"/>
        <v> </v>
      </c>
      <c r="E1916" s="19" t="str">
        <f t="shared" si="2"/>
        <v> </v>
      </c>
      <c r="F1916" s="21"/>
    </row>
    <row r="1917">
      <c r="A1917" s="19">
        <v>13074.0</v>
      </c>
      <c r="B1917" s="19" t="s">
        <v>1948</v>
      </c>
      <c r="C1917" s="20">
        <v>20278.0</v>
      </c>
      <c r="D1917" s="19" t="str">
        <f t="shared" si="1"/>
        <v> </v>
      </c>
      <c r="E1917" s="19" t="str">
        <f t="shared" si="2"/>
        <v> </v>
      </c>
      <c r="F1917" s="21"/>
    </row>
    <row r="1918">
      <c r="A1918" s="19">
        <v>13075.0</v>
      </c>
      <c r="B1918" s="19" t="s">
        <v>1949</v>
      </c>
      <c r="C1918" s="20">
        <v>28893.0</v>
      </c>
      <c r="D1918" s="19" t="str">
        <f t="shared" si="1"/>
        <v> </v>
      </c>
      <c r="E1918" s="19" t="str">
        <f t="shared" si="2"/>
        <v> </v>
      </c>
      <c r="F1918" s="21"/>
    </row>
    <row r="1919">
      <c r="A1919" s="19">
        <v>13076.0</v>
      </c>
      <c r="B1919" s="19" t="s">
        <v>1950</v>
      </c>
      <c r="C1919" s="20">
        <v>19928.0</v>
      </c>
      <c r="D1919" s="19" t="str">
        <f t="shared" si="1"/>
        <v> </v>
      </c>
      <c r="E1919" s="19" t="str">
        <f t="shared" si="2"/>
        <v> </v>
      </c>
      <c r="F1919" s="21"/>
    </row>
    <row r="1920">
      <c r="A1920" s="19">
        <v>13077.0</v>
      </c>
      <c r="B1920" s="19" t="s">
        <v>1951</v>
      </c>
      <c r="C1920" s="20">
        <v>15181.0</v>
      </c>
      <c r="D1920" s="19" t="str">
        <f t="shared" si="1"/>
        <v> </v>
      </c>
      <c r="E1920" s="19" t="str">
        <f t="shared" si="2"/>
        <v> </v>
      </c>
      <c r="F1920" s="21"/>
    </row>
    <row r="1921">
      <c r="A1921" s="19">
        <v>13078.0</v>
      </c>
      <c r="B1921" s="19" t="s">
        <v>1952</v>
      </c>
      <c r="C1921" s="20">
        <v>25457.0</v>
      </c>
      <c r="D1921" s="19" t="str">
        <f t="shared" si="1"/>
        <v> </v>
      </c>
      <c r="E1921" s="19" t="str">
        <f t="shared" si="2"/>
        <v> </v>
      </c>
      <c r="F1921" s="21"/>
    </row>
    <row r="1922">
      <c r="A1922" s="19">
        <v>13079.0</v>
      </c>
      <c r="B1922" s="19" t="s">
        <v>1953</v>
      </c>
      <c r="C1922" s="20">
        <v>28124.0</v>
      </c>
      <c r="D1922" s="19" t="str">
        <f t="shared" si="1"/>
        <v> </v>
      </c>
      <c r="E1922" s="19" t="str">
        <f t="shared" si="2"/>
        <v> </v>
      </c>
      <c r="F1922" s="21"/>
    </row>
    <row r="1923">
      <c r="A1923" s="19">
        <v>13080.0</v>
      </c>
      <c r="B1923" s="19" t="s">
        <v>1954</v>
      </c>
      <c r="C1923" s="20">
        <v>26629.0</v>
      </c>
      <c r="D1923" s="19" t="str">
        <f t="shared" si="1"/>
        <v> </v>
      </c>
      <c r="E1923" s="19" t="str">
        <f t="shared" si="2"/>
        <v> </v>
      </c>
      <c r="F1923" s="21"/>
    </row>
    <row r="1924">
      <c r="A1924" s="19">
        <v>13081.0</v>
      </c>
      <c r="B1924" s="19" t="s">
        <v>1955</v>
      </c>
      <c r="C1924" s="20">
        <v>22303.0</v>
      </c>
      <c r="D1924" s="19" t="str">
        <f t="shared" si="1"/>
        <v> </v>
      </c>
      <c r="E1924" s="19" t="str">
        <f t="shared" si="2"/>
        <v> </v>
      </c>
      <c r="F1924" s="21"/>
    </row>
    <row r="1925">
      <c r="A1925" s="19">
        <v>13082.0</v>
      </c>
      <c r="B1925" s="19" t="s">
        <v>1956</v>
      </c>
      <c r="C1925" s="20">
        <v>22758.0</v>
      </c>
      <c r="D1925" s="19" t="str">
        <f t="shared" si="1"/>
        <v> </v>
      </c>
      <c r="E1925" s="19" t="str">
        <f t="shared" si="2"/>
        <v> </v>
      </c>
      <c r="F1925" s="21"/>
    </row>
    <row r="1926">
      <c r="A1926" s="19">
        <v>13083.0</v>
      </c>
      <c r="B1926" s="19" t="s">
        <v>1957</v>
      </c>
      <c r="C1926" s="20">
        <v>15746.0</v>
      </c>
      <c r="D1926" s="19" t="str">
        <f t="shared" si="1"/>
        <v>Repeat</v>
      </c>
      <c r="E1926" s="19" t="str">
        <f t="shared" si="2"/>
        <v> </v>
      </c>
      <c r="F1926" s="21"/>
    </row>
    <row r="1927">
      <c r="A1927" s="19">
        <v>13084.0</v>
      </c>
      <c r="B1927" s="19" t="s">
        <v>1958</v>
      </c>
      <c r="C1927" s="20">
        <v>22740.0</v>
      </c>
      <c r="D1927" s="19" t="str">
        <f t="shared" si="1"/>
        <v> </v>
      </c>
      <c r="E1927" s="19" t="str">
        <f t="shared" si="2"/>
        <v> </v>
      </c>
      <c r="F1927" s="21"/>
    </row>
    <row r="1928">
      <c r="A1928" s="19">
        <v>13085.0</v>
      </c>
      <c r="B1928" s="19" t="s">
        <v>1959</v>
      </c>
      <c r="C1928" s="20">
        <v>29704.0</v>
      </c>
      <c r="D1928" s="19" t="str">
        <f t="shared" si="1"/>
        <v> </v>
      </c>
      <c r="E1928" s="19" t="str">
        <f t="shared" si="2"/>
        <v> </v>
      </c>
      <c r="F1928" s="21"/>
    </row>
    <row r="1929">
      <c r="A1929" s="19">
        <v>13086.0</v>
      </c>
      <c r="B1929" s="19" t="s">
        <v>1960</v>
      </c>
      <c r="C1929" s="20">
        <v>23317.0</v>
      </c>
      <c r="D1929" s="19" t="str">
        <f t="shared" si="1"/>
        <v> </v>
      </c>
      <c r="E1929" s="19" t="str">
        <f t="shared" si="2"/>
        <v> </v>
      </c>
      <c r="F1929" s="21"/>
    </row>
    <row r="1930">
      <c r="A1930" s="19">
        <v>13087.0</v>
      </c>
      <c r="B1930" s="19" t="s">
        <v>1961</v>
      </c>
      <c r="C1930" s="20">
        <v>24486.0</v>
      </c>
      <c r="D1930" s="19" t="str">
        <f t="shared" si="1"/>
        <v> </v>
      </c>
      <c r="E1930" s="19" t="str">
        <f t="shared" si="2"/>
        <v> </v>
      </c>
      <c r="F1930" s="21"/>
    </row>
    <row r="1931">
      <c r="A1931" s="19">
        <v>13090.0</v>
      </c>
      <c r="B1931" s="19" t="s">
        <v>1962</v>
      </c>
      <c r="C1931" s="20">
        <v>18189.0</v>
      </c>
      <c r="D1931" s="19" t="str">
        <f t="shared" si="1"/>
        <v> </v>
      </c>
      <c r="E1931" s="19" t="str">
        <f t="shared" si="2"/>
        <v> </v>
      </c>
      <c r="F1931" s="21"/>
    </row>
    <row r="1932">
      <c r="A1932" s="19">
        <v>13091.0</v>
      </c>
      <c r="B1932" s="19" t="s">
        <v>1963</v>
      </c>
      <c r="C1932" s="20">
        <v>21039.0</v>
      </c>
      <c r="D1932" s="19" t="str">
        <f t="shared" si="1"/>
        <v> </v>
      </c>
      <c r="E1932" s="19" t="str">
        <f t="shared" si="2"/>
        <v> </v>
      </c>
      <c r="F1932" s="21"/>
    </row>
    <row r="1933">
      <c r="A1933" s="19">
        <v>13092.0</v>
      </c>
      <c r="B1933" s="19" t="s">
        <v>1964</v>
      </c>
      <c r="C1933" s="20">
        <v>31323.0</v>
      </c>
      <c r="D1933" s="19" t="str">
        <f t="shared" si="1"/>
        <v> </v>
      </c>
      <c r="E1933" s="19" t="str">
        <f t="shared" si="2"/>
        <v> </v>
      </c>
      <c r="F1933" s="21"/>
    </row>
    <row r="1934">
      <c r="A1934" s="19">
        <v>13093.0</v>
      </c>
      <c r="B1934" s="19" t="s">
        <v>1965</v>
      </c>
      <c r="C1934" s="20">
        <v>26382.0</v>
      </c>
      <c r="D1934" s="19" t="str">
        <f t="shared" si="1"/>
        <v> </v>
      </c>
      <c r="E1934" s="19" t="str">
        <f t="shared" si="2"/>
        <v> </v>
      </c>
      <c r="F1934" s="21"/>
    </row>
    <row r="1935">
      <c r="A1935" s="19">
        <v>13095.0</v>
      </c>
      <c r="B1935" s="19" t="s">
        <v>1966</v>
      </c>
      <c r="C1935" s="20">
        <v>30073.0</v>
      </c>
      <c r="D1935" s="19" t="str">
        <f t="shared" si="1"/>
        <v> </v>
      </c>
      <c r="E1935" s="19" t="str">
        <f t="shared" si="2"/>
        <v> </v>
      </c>
      <c r="F1935" s="21"/>
    </row>
    <row r="1936">
      <c r="A1936" s="19">
        <v>13097.0</v>
      </c>
      <c r="B1936" s="19" t="s">
        <v>1967</v>
      </c>
      <c r="C1936" s="20">
        <v>16160.0</v>
      </c>
      <c r="D1936" s="19" t="str">
        <f t="shared" si="1"/>
        <v> </v>
      </c>
      <c r="E1936" s="19" t="str">
        <f t="shared" si="2"/>
        <v> </v>
      </c>
      <c r="F1936" s="21"/>
    </row>
    <row r="1937">
      <c r="A1937" s="19">
        <v>13098.0</v>
      </c>
      <c r="B1937" s="19" t="s">
        <v>1968</v>
      </c>
      <c r="C1937" s="20">
        <v>22044.0</v>
      </c>
      <c r="D1937" s="19" t="str">
        <f t="shared" si="1"/>
        <v> </v>
      </c>
      <c r="E1937" s="19" t="str">
        <f t="shared" si="2"/>
        <v> </v>
      </c>
      <c r="F1937" s="21"/>
    </row>
    <row r="1938">
      <c r="A1938" s="19">
        <v>13099.0</v>
      </c>
      <c r="B1938" s="19" t="s">
        <v>1969</v>
      </c>
      <c r="C1938" s="20">
        <v>21323.0</v>
      </c>
      <c r="D1938" s="19" t="str">
        <f t="shared" si="1"/>
        <v> </v>
      </c>
      <c r="E1938" s="19" t="str">
        <f t="shared" si="2"/>
        <v> </v>
      </c>
      <c r="F1938" s="21"/>
    </row>
    <row r="1939">
      <c r="A1939" s="19">
        <v>13100.0</v>
      </c>
      <c r="B1939" s="19" t="s">
        <v>1970</v>
      </c>
      <c r="C1939" s="20">
        <v>22421.0</v>
      </c>
      <c r="D1939" s="19" t="str">
        <f t="shared" si="1"/>
        <v> </v>
      </c>
      <c r="E1939" s="19" t="str">
        <f t="shared" si="2"/>
        <v> </v>
      </c>
      <c r="F1939" s="21"/>
    </row>
    <row r="1940">
      <c r="A1940" s="19">
        <v>13101.0</v>
      </c>
      <c r="B1940" s="19" t="s">
        <v>1971</v>
      </c>
      <c r="C1940" s="20">
        <v>11887.0</v>
      </c>
      <c r="D1940" s="19" t="str">
        <f t="shared" si="1"/>
        <v> </v>
      </c>
      <c r="E1940" s="19" t="str">
        <f t="shared" si="2"/>
        <v> </v>
      </c>
      <c r="F1940" s="21"/>
    </row>
    <row r="1941">
      <c r="A1941" s="19">
        <v>13103.0</v>
      </c>
      <c r="B1941" s="19" t="s">
        <v>1972</v>
      </c>
      <c r="C1941" s="20">
        <v>15756.0</v>
      </c>
      <c r="D1941" s="19" t="str">
        <f t="shared" si="1"/>
        <v> </v>
      </c>
      <c r="E1941" s="19" t="str">
        <f t="shared" si="2"/>
        <v> </v>
      </c>
      <c r="F1941" s="21"/>
    </row>
    <row r="1942">
      <c r="A1942" s="19">
        <v>13105.0</v>
      </c>
      <c r="B1942" s="19" t="s">
        <v>1973</v>
      </c>
      <c r="C1942" s="20">
        <v>23582.0</v>
      </c>
      <c r="D1942" s="19" t="str">
        <f t="shared" si="1"/>
        <v> </v>
      </c>
      <c r="E1942" s="19" t="str">
        <f t="shared" si="2"/>
        <v> </v>
      </c>
      <c r="F1942" s="21"/>
    </row>
    <row r="1943">
      <c r="A1943" s="19">
        <v>13106.0</v>
      </c>
      <c r="B1943" s="19" t="s">
        <v>1974</v>
      </c>
      <c r="C1943" s="20">
        <v>16337.0</v>
      </c>
      <c r="D1943" s="19" t="str">
        <f t="shared" si="1"/>
        <v> </v>
      </c>
      <c r="E1943" s="19" t="str">
        <f t="shared" si="2"/>
        <v> </v>
      </c>
      <c r="F1943" s="21"/>
    </row>
    <row r="1944">
      <c r="A1944" s="19">
        <v>13108.0</v>
      </c>
      <c r="B1944" s="19" t="s">
        <v>1975</v>
      </c>
      <c r="C1944" s="20">
        <v>22041.0</v>
      </c>
      <c r="D1944" s="19" t="str">
        <f t="shared" si="1"/>
        <v> </v>
      </c>
      <c r="E1944" s="19" t="str">
        <f t="shared" si="2"/>
        <v> </v>
      </c>
      <c r="F1944" s="21"/>
    </row>
    <row r="1945">
      <c r="A1945" s="19">
        <v>13109.0</v>
      </c>
      <c r="B1945" s="19" t="s">
        <v>1976</v>
      </c>
      <c r="C1945" s="20">
        <v>29219.0</v>
      </c>
      <c r="D1945" s="19" t="str">
        <f t="shared" si="1"/>
        <v> </v>
      </c>
      <c r="E1945" s="19" t="str">
        <f t="shared" si="2"/>
        <v> </v>
      </c>
      <c r="F1945" s="21"/>
    </row>
    <row r="1946">
      <c r="A1946" s="19">
        <v>13110.0</v>
      </c>
      <c r="B1946" s="19" t="s">
        <v>1977</v>
      </c>
      <c r="C1946" s="20">
        <v>20684.0</v>
      </c>
      <c r="D1946" s="19" t="str">
        <f t="shared" si="1"/>
        <v> </v>
      </c>
      <c r="E1946" s="19" t="str">
        <f t="shared" si="2"/>
        <v> </v>
      </c>
      <c r="F1946" s="21"/>
    </row>
    <row r="1947">
      <c r="A1947" s="19">
        <v>13111.0</v>
      </c>
      <c r="B1947" s="19" t="s">
        <v>1978</v>
      </c>
      <c r="C1947" s="20">
        <v>20919.0</v>
      </c>
      <c r="D1947" s="19" t="str">
        <f t="shared" si="1"/>
        <v> </v>
      </c>
      <c r="E1947" s="19" t="str">
        <f t="shared" si="2"/>
        <v> </v>
      </c>
      <c r="F1947" s="21"/>
    </row>
    <row r="1948">
      <c r="A1948" s="19">
        <v>13112.0</v>
      </c>
      <c r="B1948" s="19" t="s">
        <v>1979</v>
      </c>
      <c r="C1948" s="20">
        <v>28129.0</v>
      </c>
      <c r="D1948" s="19" t="str">
        <f t="shared" si="1"/>
        <v> </v>
      </c>
      <c r="E1948" s="19" t="str">
        <f t="shared" si="2"/>
        <v> </v>
      </c>
      <c r="F1948" s="21"/>
    </row>
    <row r="1949">
      <c r="A1949" s="19">
        <v>13113.0</v>
      </c>
      <c r="B1949" s="19" t="s">
        <v>1980</v>
      </c>
      <c r="C1949" s="20">
        <v>22753.0</v>
      </c>
      <c r="D1949" s="19" t="str">
        <f t="shared" si="1"/>
        <v> </v>
      </c>
      <c r="E1949" s="19" t="str">
        <f t="shared" si="2"/>
        <v> </v>
      </c>
      <c r="F1949" s="21"/>
    </row>
    <row r="1950">
      <c r="A1950" s="19">
        <v>13114.0</v>
      </c>
      <c r="B1950" s="19" t="s">
        <v>1981</v>
      </c>
      <c r="C1950" s="20">
        <v>24926.0</v>
      </c>
      <c r="D1950" s="19" t="str">
        <f t="shared" si="1"/>
        <v> </v>
      </c>
      <c r="E1950" s="19" t="str">
        <f t="shared" si="2"/>
        <v> </v>
      </c>
      <c r="F1950" s="21"/>
    </row>
    <row r="1951">
      <c r="A1951" s="19">
        <v>13115.0</v>
      </c>
      <c r="B1951" s="19" t="s">
        <v>1982</v>
      </c>
      <c r="C1951" s="20">
        <v>23761.0</v>
      </c>
      <c r="D1951" s="19" t="str">
        <f t="shared" si="1"/>
        <v> </v>
      </c>
      <c r="E1951" s="19" t="str">
        <f t="shared" si="2"/>
        <v> </v>
      </c>
      <c r="F1951" s="21"/>
    </row>
    <row r="1952">
      <c r="A1952" s="19">
        <v>13116.0</v>
      </c>
      <c r="B1952" s="19" t="s">
        <v>1983</v>
      </c>
      <c r="C1952" s="20">
        <v>22927.0</v>
      </c>
      <c r="D1952" s="19" t="str">
        <f t="shared" si="1"/>
        <v> </v>
      </c>
      <c r="E1952" s="19" t="str">
        <f t="shared" si="2"/>
        <v> </v>
      </c>
      <c r="F1952" s="21"/>
    </row>
    <row r="1953">
      <c r="A1953" s="19">
        <v>13117.0</v>
      </c>
      <c r="B1953" s="19" t="s">
        <v>1984</v>
      </c>
      <c r="C1953" s="20">
        <v>30717.0</v>
      </c>
      <c r="D1953" s="19" t="str">
        <f t="shared" si="1"/>
        <v> </v>
      </c>
      <c r="E1953" s="19" t="str">
        <f t="shared" si="2"/>
        <v> </v>
      </c>
      <c r="F1953" s="21"/>
    </row>
    <row r="1954">
      <c r="A1954" s="19">
        <v>13118.0</v>
      </c>
      <c r="B1954" s="19" t="s">
        <v>1985</v>
      </c>
      <c r="C1954" s="20">
        <v>19651.0</v>
      </c>
      <c r="D1954" s="19" t="str">
        <f t="shared" si="1"/>
        <v> </v>
      </c>
      <c r="E1954" s="19" t="str">
        <f t="shared" si="2"/>
        <v> </v>
      </c>
      <c r="F1954" s="21"/>
    </row>
    <row r="1955">
      <c r="A1955" s="19">
        <v>13119.0</v>
      </c>
      <c r="B1955" s="19" t="s">
        <v>1986</v>
      </c>
      <c r="C1955" s="20">
        <v>19599.0</v>
      </c>
      <c r="D1955" s="19" t="str">
        <f t="shared" si="1"/>
        <v> </v>
      </c>
      <c r="E1955" s="19" t="str">
        <f t="shared" si="2"/>
        <v> </v>
      </c>
      <c r="F1955" s="21"/>
    </row>
    <row r="1956">
      <c r="A1956" s="19">
        <v>13120.0</v>
      </c>
      <c r="B1956" s="19" t="s">
        <v>1987</v>
      </c>
      <c r="C1956" s="20">
        <v>22519.0</v>
      </c>
      <c r="D1956" s="19" t="str">
        <f t="shared" si="1"/>
        <v> </v>
      </c>
      <c r="E1956" s="19" t="str">
        <f t="shared" si="2"/>
        <v> </v>
      </c>
      <c r="F1956" s="21"/>
    </row>
    <row r="1957">
      <c r="A1957" s="19">
        <v>13121.0</v>
      </c>
      <c r="B1957" s="19" t="s">
        <v>1988</v>
      </c>
      <c r="C1957" s="20">
        <v>21470.0</v>
      </c>
      <c r="D1957" s="19" t="str">
        <f t="shared" si="1"/>
        <v> </v>
      </c>
      <c r="E1957" s="19" t="str">
        <f t="shared" si="2"/>
        <v> </v>
      </c>
      <c r="F1957" s="21"/>
    </row>
    <row r="1958">
      <c r="A1958" s="19">
        <v>13122.0</v>
      </c>
      <c r="B1958" s="19" t="s">
        <v>1989</v>
      </c>
      <c r="C1958" s="20">
        <v>26562.0</v>
      </c>
      <c r="D1958" s="19" t="str">
        <f t="shared" si="1"/>
        <v> </v>
      </c>
      <c r="E1958" s="19" t="str">
        <f t="shared" si="2"/>
        <v> </v>
      </c>
      <c r="F1958" s="21"/>
    </row>
    <row r="1959">
      <c r="A1959" s="19">
        <v>13123.0</v>
      </c>
      <c r="B1959" s="19" t="s">
        <v>1990</v>
      </c>
      <c r="C1959" s="20">
        <v>16969.0</v>
      </c>
      <c r="D1959" s="19" t="str">
        <f t="shared" si="1"/>
        <v> </v>
      </c>
      <c r="E1959" s="19" t="str">
        <f t="shared" si="2"/>
        <v> </v>
      </c>
      <c r="F1959" s="21"/>
    </row>
    <row r="1960">
      <c r="A1960" s="19">
        <v>13125.0</v>
      </c>
      <c r="B1960" s="19" t="s">
        <v>1991</v>
      </c>
      <c r="C1960" s="20">
        <v>21701.0</v>
      </c>
      <c r="D1960" s="19" t="str">
        <f t="shared" si="1"/>
        <v> </v>
      </c>
      <c r="E1960" s="19" t="str">
        <f t="shared" si="2"/>
        <v> </v>
      </c>
      <c r="F1960" s="21"/>
    </row>
    <row r="1961">
      <c r="A1961" s="19">
        <v>13126.0</v>
      </c>
      <c r="B1961" s="19" t="s">
        <v>1992</v>
      </c>
      <c r="C1961" s="20">
        <v>36795.0</v>
      </c>
      <c r="D1961" s="19" t="str">
        <f t="shared" si="1"/>
        <v> </v>
      </c>
      <c r="E1961" s="19" t="str">
        <f t="shared" si="2"/>
        <v> </v>
      </c>
      <c r="F1961" s="21"/>
    </row>
    <row r="1962">
      <c r="A1962" s="19">
        <v>13127.0</v>
      </c>
      <c r="B1962" s="19" t="s">
        <v>1993</v>
      </c>
      <c r="C1962" s="20">
        <v>21410.0</v>
      </c>
      <c r="D1962" s="19" t="str">
        <f t="shared" si="1"/>
        <v> </v>
      </c>
      <c r="E1962" s="19" t="str">
        <f t="shared" si="2"/>
        <v> </v>
      </c>
      <c r="F1962" s="21"/>
    </row>
    <row r="1963">
      <c r="A1963" s="19">
        <v>13129.0</v>
      </c>
      <c r="B1963" s="19" t="s">
        <v>1994</v>
      </c>
      <c r="C1963" s="20">
        <v>16956.0</v>
      </c>
      <c r="D1963" s="19" t="str">
        <f t="shared" si="1"/>
        <v> </v>
      </c>
      <c r="E1963" s="19" t="str">
        <f t="shared" si="2"/>
        <v> </v>
      </c>
      <c r="F1963" s="21"/>
    </row>
    <row r="1964">
      <c r="A1964" s="19">
        <v>13131.0</v>
      </c>
      <c r="B1964" s="19" t="s">
        <v>1995</v>
      </c>
      <c r="C1964" s="20">
        <v>10157.0</v>
      </c>
      <c r="D1964" s="19" t="str">
        <f t="shared" si="1"/>
        <v> </v>
      </c>
      <c r="E1964" s="19" t="str">
        <f t="shared" si="2"/>
        <v> </v>
      </c>
      <c r="F1964" s="21"/>
    </row>
    <row r="1965">
      <c r="A1965" s="19">
        <v>13133.0</v>
      </c>
      <c r="B1965" s="19" t="s">
        <v>1996</v>
      </c>
      <c r="C1965" s="20">
        <v>14302.0</v>
      </c>
      <c r="D1965" s="19" t="str">
        <f t="shared" si="1"/>
        <v> </v>
      </c>
      <c r="E1965" s="19" t="str">
        <f t="shared" si="2"/>
        <v> </v>
      </c>
      <c r="F1965" s="21"/>
    </row>
    <row r="1966">
      <c r="A1966" s="19">
        <v>13134.0</v>
      </c>
      <c r="B1966" s="19" t="s">
        <v>1997</v>
      </c>
      <c r="C1966" s="20">
        <v>19418.0</v>
      </c>
      <c r="D1966" s="19" t="str">
        <f t="shared" si="1"/>
        <v> </v>
      </c>
      <c r="E1966" s="19" t="str">
        <f t="shared" si="2"/>
        <v> </v>
      </c>
      <c r="F1966" s="21"/>
    </row>
    <row r="1967">
      <c r="A1967" s="19">
        <v>13135.0</v>
      </c>
      <c r="B1967" s="19" t="s">
        <v>1998</v>
      </c>
      <c r="C1967" s="20">
        <v>21114.0</v>
      </c>
      <c r="D1967" s="19" t="str">
        <f t="shared" si="1"/>
        <v> </v>
      </c>
      <c r="E1967" s="19" t="str">
        <f t="shared" si="2"/>
        <v> </v>
      </c>
      <c r="F1967" s="21"/>
    </row>
    <row r="1968">
      <c r="A1968" s="19">
        <v>13136.0</v>
      </c>
      <c r="B1968" s="19" t="s">
        <v>1999</v>
      </c>
      <c r="C1968" s="20">
        <v>15876.0</v>
      </c>
      <c r="D1968" s="19" t="str">
        <f t="shared" si="1"/>
        <v> </v>
      </c>
      <c r="E1968" s="19" t="str">
        <f t="shared" si="2"/>
        <v> </v>
      </c>
      <c r="F1968" s="21"/>
    </row>
    <row r="1969">
      <c r="A1969" s="19">
        <v>13137.0</v>
      </c>
      <c r="B1969" s="19" t="s">
        <v>2000</v>
      </c>
      <c r="C1969" s="20">
        <v>26539.0</v>
      </c>
      <c r="D1969" s="19" t="str">
        <f t="shared" si="1"/>
        <v> </v>
      </c>
      <c r="E1969" s="19" t="str">
        <f t="shared" si="2"/>
        <v> </v>
      </c>
      <c r="F1969" s="21"/>
    </row>
    <row r="1970">
      <c r="A1970" s="19">
        <v>13138.0</v>
      </c>
      <c r="B1970" s="19" t="s">
        <v>2001</v>
      </c>
      <c r="C1970" s="20">
        <v>16393.0</v>
      </c>
      <c r="D1970" s="19" t="str">
        <f t="shared" si="1"/>
        <v> </v>
      </c>
      <c r="E1970" s="19" t="str">
        <f t="shared" si="2"/>
        <v> </v>
      </c>
      <c r="F1970" s="21"/>
    </row>
    <row r="1971">
      <c r="A1971" s="19">
        <v>13139.0</v>
      </c>
      <c r="B1971" s="19" t="s">
        <v>2002</v>
      </c>
      <c r="C1971" s="20">
        <v>29676.0</v>
      </c>
      <c r="D1971" s="19" t="str">
        <f t="shared" si="1"/>
        <v> </v>
      </c>
      <c r="E1971" s="19" t="str">
        <f t="shared" si="2"/>
        <v> </v>
      </c>
      <c r="F1971" s="21"/>
    </row>
    <row r="1972">
      <c r="A1972" s="19">
        <v>13141.0</v>
      </c>
      <c r="B1972" s="19" t="s">
        <v>2003</v>
      </c>
      <c r="C1972" s="20">
        <v>20017.0</v>
      </c>
      <c r="D1972" s="19" t="str">
        <f t="shared" si="1"/>
        <v> </v>
      </c>
      <c r="E1972" s="19" t="str">
        <f t="shared" si="2"/>
        <v> </v>
      </c>
      <c r="F1972" s="21"/>
    </row>
    <row r="1973">
      <c r="A1973" s="19">
        <v>13142.0</v>
      </c>
      <c r="B1973" s="19" t="s">
        <v>2004</v>
      </c>
      <c r="C1973" s="20">
        <v>17688.0</v>
      </c>
      <c r="D1973" s="19" t="str">
        <f t="shared" si="1"/>
        <v> </v>
      </c>
      <c r="E1973" s="19" t="str">
        <f t="shared" si="2"/>
        <v> </v>
      </c>
      <c r="F1973" s="21"/>
    </row>
    <row r="1974">
      <c r="A1974" s="19">
        <v>13143.0</v>
      </c>
      <c r="B1974" s="19" t="s">
        <v>2005</v>
      </c>
      <c r="C1974" s="20">
        <v>16616.0</v>
      </c>
      <c r="D1974" s="19" t="str">
        <f t="shared" si="1"/>
        <v> </v>
      </c>
      <c r="E1974" s="19" t="str">
        <f t="shared" si="2"/>
        <v> </v>
      </c>
      <c r="F1974" s="21"/>
    </row>
    <row r="1975">
      <c r="A1975" s="19">
        <v>13145.0</v>
      </c>
      <c r="B1975" s="19" t="s">
        <v>2006</v>
      </c>
      <c r="C1975" s="20">
        <v>10543.0</v>
      </c>
      <c r="D1975" s="19" t="str">
        <f t="shared" si="1"/>
        <v> </v>
      </c>
      <c r="E1975" s="19" t="str">
        <f t="shared" si="2"/>
        <v> </v>
      </c>
      <c r="F1975" s="21"/>
    </row>
    <row r="1976">
      <c r="A1976" s="19">
        <v>13147.0</v>
      </c>
      <c r="B1976" s="19" t="s">
        <v>2007</v>
      </c>
      <c r="C1976" s="20">
        <v>23337.0</v>
      </c>
      <c r="D1976" s="19" t="str">
        <f t="shared" si="1"/>
        <v> </v>
      </c>
      <c r="E1976" s="19" t="str">
        <f t="shared" si="2"/>
        <v> </v>
      </c>
      <c r="F1976" s="21"/>
    </row>
    <row r="1977">
      <c r="A1977" s="19">
        <v>13148.0</v>
      </c>
      <c r="B1977" s="19" t="s">
        <v>2008</v>
      </c>
      <c r="C1977" s="20">
        <v>22367.0</v>
      </c>
      <c r="D1977" s="19" t="str">
        <f t="shared" si="1"/>
        <v> </v>
      </c>
      <c r="E1977" s="19" t="str">
        <f t="shared" si="2"/>
        <v> </v>
      </c>
      <c r="F1977" s="21"/>
    </row>
    <row r="1978">
      <c r="A1978" s="19">
        <v>13151.0</v>
      </c>
      <c r="B1978" s="19" t="s">
        <v>2009</v>
      </c>
      <c r="C1978" s="20">
        <v>16195.0</v>
      </c>
      <c r="D1978" s="19" t="str">
        <f t="shared" si="1"/>
        <v> </v>
      </c>
      <c r="E1978" s="19" t="str">
        <f t="shared" si="2"/>
        <v> </v>
      </c>
      <c r="F1978" s="21"/>
    </row>
    <row r="1979">
      <c r="A1979" s="19">
        <v>13152.0</v>
      </c>
      <c r="B1979" s="19" t="s">
        <v>2010</v>
      </c>
      <c r="C1979" s="20">
        <v>18561.0</v>
      </c>
      <c r="D1979" s="19" t="str">
        <f t="shared" si="1"/>
        <v> </v>
      </c>
      <c r="E1979" s="19" t="str">
        <f t="shared" si="2"/>
        <v> </v>
      </c>
      <c r="F1979" s="21"/>
    </row>
    <row r="1980">
      <c r="A1980" s="19">
        <v>13154.0</v>
      </c>
      <c r="B1980" s="19" t="s">
        <v>2011</v>
      </c>
      <c r="C1980" s="20">
        <v>21703.0</v>
      </c>
      <c r="D1980" s="19" t="str">
        <f t="shared" si="1"/>
        <v> </v>
      </c>
      <c r="E1980" s="19" t="str">
        <f t="shared" si="2"/>
        <v> </v>
      </c>
      <c r="F1980" s="21"/>
    </row>
    <row r="1981">
      <c r="A1981" s="19">
        <v>13155.0</v>
      </c>
      <c r="B1981" s="19" t="s">
        <v>2012</v>
      </c>
      <c r="C1981" s="20">
        <v>19354.0</v>
      </c>
      <c r="D1981" s="19" t="str">
        <f t="shared" si="1"/>
        <v> </v>
      </c>
      <c r="E1981" s="19" t="str">
        <f t="shared" si="2"/>
        <v> </v>
      </c>
      <c r="F1981" s="21"/>
    </row>
    <row r="1982">
      <c r="A1982" s="19">
        <v>13156.0</v>
      </c>
      <c r="B1982" s="19" t="s">
        <v>2013</v>
      </c>
      <c r="C1982" s="20">
        <v>17173.0</v>
      </c>
      <c r="D1982" s="19" t="str">
        <f t="shared" si="1"/>
        <v> </v>
      </c>
      <c r="E1982" s="19" t="str">
        <f t="shared" si="2"/>
        <v> </v>
      </c>
      <c r="F1982" s="21"/>
    </row>
    <row r="1983">
      <c r="A1983" s="19">
        <v>13157.0</v>
      </c>
      <c r="B1983" s="19" t="s">
        <v>2014</v>
      </c>
      <c r="C1983" s="20">
        <v>24796.0</v>
      </c>
      <c r="D1983" s="19" t="str">
        <f t="shared" si="1"/>
        <v> </v>
      </c>
      <c r="E1983" s="19" t="str">
        <f t="shared" si="2"/>
        <v> </v>
      </c>
      <c r="F1983" s="21"/>
    </row>
    <row r="1984">
      <c r="A1984" s="19">
        <v>13158.0</v>
      </c>
      <c r="B1984" s="19" t="s">
        <v>2015</v>
      </c>
      <c r="C1984" s="20">
        <v>15817.0</v>
      </c>
      <c r="D1984" s="19" t="str">
        <f t="shared" si="1"/>
        <v> </v>
      </c>
      <c r="E1984" s="19" t="str">
        <f t="shared" si="2"/>
        <v> </v>
      </c>
      <c r="F1984" s="21"/>
    </row>
    <row r="1985">
      <c r="A1985" s="19">
        <v>13159.0</v>
      </c>
      <c r="B1985" s="19" t="s">
        <v>2016</v>
      </c>
      <c r="C1985" s="20">
        <v>14395.0</v>
      </c>
      <c r="D1985" s="19" t="str">
        <f t="shared" si="1"/>
        <v> </v>
      </c>
      <c r="E1985" s="19" t="str">
        <f t="shared" si="2"/>
        <v> </v>
      </c>
      <c r="F1985" s="21"/>
    </row>
    <row r="1986">
      <c r="A1986" s="19">
        <v>13160.0</v>
      </c>
      <c r="B1986" s="19" t="s">
        <v>2017</v>
      </c>
      <c r="C1986" s="20">
        <v>16977.0</v>
      </c>
      <c r="D1986" s="19" t="str">
        <f t="shared" si="1"/>
        <v> </v>
      </c>
      <c r="E1986" s="19" t="str">
        <f t="shared" si="2"/>
        <v> </v>
      </c>
      <c r="F1986" s="21"/>
    </row>
    <row r="1987">
      <c r="A1987" s="19">
        <v>13161.0</v>
      </c>
      <c r="B1987" s="19" t="s">
        <v>2018</v>
      </c>
      <c r="C1987" s="20">
        <v>29344.0</v>
      </c>
      <c r="D1987" s="19" t="str">
        <f t="shared" si="1"/>
        <v> </v>
      </c>
      <c r="E1987" s="19" t="str">
        <f t="shared" si="2"/>
        <v> </v>
      </c>
      <c r="F1987" s="21"/>
    </row>
    <row r="1988">
      <c r="A1988" s="19">
        <v>13162.0</v>
      </c>
      <c r="B1988" s="19" t="s">
        <v>2019</v>
      </c>
      <c r="C1988" s="20">
        <v>18435.0</v>
      </c>
      <c r="D1988" s="19" t="str">
        <f t="shared" si="1"/>
        <v> </v>
      </c>
      <c r="E1988" s="19" t="str">
        <f t="shared" si="2"/>
        <v> </v>
      </c>
      <c r="F1988" s="21"/>
    </row>
    <row r="1989">
      <c r="A1989" s="19">
        <v>13163.0</v>
      </c>
      <c r="B1989" s="19" t="s">
        <v>2020</v>
      </c>
      <c r="C1989" s="20">
        <v>19997.0</v>
      </c>
      <c r="D1989" s="19" t="str">
        <f t="shared" si="1"/>
        <v> </v>
      </c>
      <c r="E1989" s="19" t="str">
        <f t="shared" si="2"/>
        <v> </v>
      </c>
      <c r="F1989" s="21"/>
    </row>
    <row r="1990">
      <c r="A1990" s="19">
        <v>13164.0</v>
      </c>
      <c r="B1990" s="19" t="s">
        <v>2021</v>
      </c>
      <c r="C1990" s="20">
        <v>29818.0</v>
      </c>
      <c r="D1990" s="19" t="str">
        <f t="shared" si="1"/>
        <v> </v>
      </c>
      <c r="E1990" s="19" t="str">
        <f t="shared" si="2"/>
        <v> </v>
      </c>
      <c r="F1990" s="21"/>
    </row>
    <row r="1991">
      <c r="A1991" s="19">
        <v>13165.0</v>
      </c>
      <c r="B1991" s="19" t="s">
        <v>2022</v>
      </c>
      <c r="C1991" s="20">
        <v>16689.0</v>
      </c>
      <c r="D1991" s="19" t="str">
        <f t="shared" si="1"/>
        <v> </v>
      </c>
      <c r="E1991" s="19" t="str">
        <f t="shared" si="2"/>
        <v> </v>
      </c>
      <c r="F1991" s="21"/>
    </row>
    <row r="1992">
      <c r="A1992" s="19">
        <v>13166.0</v>
      </c>
      <c r="B1992" s="19" t="s">
        <v>2023</v>
      </c>
      <c r="C1992" s="20">
        <v>26645.0</v>
      </c>
      <c r="D1992" s="19" t="str">
        <f t="shared" si="1"/>
        <v> </v>
      </c>
      <c r="E1992" s="19" t="str">
        <f t="shared" si="2"/>
        <v> </v>
      </c>
      <c r="F1992" s="21"/>
    </row>
    <row r="1993">
      <c r="A1993" s="19">
        <v>13167.0</v>
      </c>
      <c r="B1993" s="19" t="s">
        <v>2024</v>
      </c>
      <c r="C1993" s="20">
        <v>14721.0</v>
      </c>
      <c r="D1993" s="19" t="str">
        <f t="shared" si="1"/>
        <v> </v>
      </c>
      <c r="E1993" s="19" t="str">
        <f t="shared" si="2"/>
        <v> </v>
      </c>
      <c r="F1993" s="21"/>
    </row>
    <row r="1994">
      <c r="A1994" s="19">
        <v>13168.0</v>
      </c>
      <c r="B1994" s="19" t="s">
        <v>2025</v>
      </c>
      <c r="C1994" s="20">
        <v>23564.0</v>
      </c>
      <c r="D1994" s="19" t="str">
        <f t="shared" si="1"/>
        <v> </v>
      </c>
      <c r="E1994" s="19" t="str">
        <f t="shared" si="2"/>
        <v> </v>
      </c>
      <c r="F1994" s="21"/>
    </row>
    <row r="1995">
      <c r="A1995" s="19">
        <v>13170.0</v>
      </c>
      <c r="B1995" s="19" t="s">
        <v>2026</v>
      </c>
      <c r="C1995" s="20">
        <v>20543.0</v>
      </c>
      <c r="D1995" s="19" t="str">
        <f t="shared" si="1"/>
        <v> </v>
      </c>
      <c r="E1995" s="19" t="str">
        <f t="shared" si="2"/>
        <v> </v>
      </c>
      <c r="F1995" s="21"/>
    </row>
    <row r="1996">
      <c r="A1996" s="19">
        <v>13172.0</v>
      </c>
      <c r="B1996" s="19" t="s">
        <v>2027</v>
      </c>
      <c r="C1996" s="20">
        <v>15766.0</v>
      </c>
      <c r="D1996" s="19" t="str">
        <f t="shared" si="1"/>
        <v> </v>
      </c>
      <c r="E1996" s="19" t="str">
        <f t="shared" si="2"/>
        <v> </v>
      </c>
      <c r="F1996" s="21"/>
    </row>
    <row r="1997">
      <c r="A1997" s="19">
        <v>13173.0</v>
      </c>
      <c r="B1997" s="19" t="s">
        <v>2028</v>
      </c>
      <c r="C1997" s="20">
        <v>18441.0</v>
      </c>
      <c r="D1997" s="19" t="str">
        <f t="shared" si="1"/>
        <v> </v>
      </c>
      <c r="E1997" s="19" t="str">
        <f t="shared" si="2"/>
        <v> </v>
      </c>
      <c r="F1997" s="21"/>
    </row>
    <row r="1998">
      <c r="A1998" s="19">
        <v>13175.0</v>
      </c>
      <c r="B1998" s="19" t="s">
        <v>2029</v>
      </c>
      <c r="C1998" s="20">
        <v>22622.0</v>
      </c>
      <c r="D1998" s="19" t="str">
        <f t="shared" si="1"/>
        <v> </v>
      </c>
      <c r="E1998" s="19" t="str">
        <f t="shared" si="2"/>
        <v> </v>
      </c>
      <c r="F1998" s="21"/>
    </row>
    <row r="1999">
      <c r="A1999" s="19">
        <v>13176.0</v>
      </c>
      <c r="B1999" s="19" t="s">
        <v>2030</v>
      </c>
      <c r="C1999" s="20">
        <v>18491.0</v>
      </c>
      <c r="D1999" s="19" t="str">
        <f t="shared" si="1"/>
        <v> </v>
      </c>
      <c r="E1999" s="19" t="str">
        <f t="shared" si="2"/>
        <v> </v>
      </c>
      <c r="F1999" s="21"/>
    </row>
    <row r="2000">
      <c r="A2000" s="19">
        <v>13177.0</v>
      </c>
      <c r="B2000" s="19" t="s">
        <v>2031</v>
      </c>
      <c r="C2000" s="20">
        <v>18220.0</v>
      </c>
      <c r="D2000" s="19" t="str">
        <f t="shared" si="1"/>
        <v> </v>
      </c>
      <c r="E2000" s="19" t="str">
        <f t="shared" si="2"/>
        <v> </v>
      </c>
      <c r="F2000" s="21"/>
    </row>
    <row r="2001">
      <c r="A2001" s="19">
        <v>13178.0</v>
      </c>
      <c r="B2001" s="19" t="s">
        <v>2032</v>
      </c>
      <c r="C2001" s="20">
        <v>17144.0</v>
      </c>
      <c r="D2001" s="19" t="str">
        <f t="shared" si="1"/>
        <v> </v>
      </c>
      <c r="E2001" s="19" t="str">
        <f t="shared" si="2"/>
        <v> </v>
      </c>
      <c r="F2001" s="21"/>
    </row>
    <row r="2002">
      <c r="A2002" s="19">
        <v>13179.0</v>
      </c>
      <c r="B2002" s="19" t="s">
        <v>2033</v>
      </c>
      <c r="C2002" s="20">
        <v>22004.0</v>
      </c>
      <c r="D2002" s="19" t="str">
        <f t="shared" si="1"/>
        <v> </v>
      </c>
      <c r="E2002" s="19" t="str">
        <f t="shared" si="2"/>
        <v> </v>
      </c>
      <c r="F2002" s="21"/>
    </row>
    <row r="2003">
      <c r="A2003" s="19">
        <v>13180.0</v>
      </c>
      <c r="B2003" s="19" t="s">
        <v>2034</v>
      </c>
      <c r="C2003" s="20">
        <v>14986.0</v>
      </c>
      <c r="D2003" s="19" t="str">
        <f t="shared" si="1"/>
        <v> </v>
      </c>
      <c r="E2003" s="19" t="str">
        <f t="shared" si="2"/>
        <v> </v>
      </c>
      <c r="F2003" s="21"/>
    </row>
    <row r="2004">
      <c r="A2004" s="19">
        <v>13182.0</v>
      </c>
      <c r="B2004" s="19" t="s">
        <v>2035</v>
      </c>
      <c r="C2004" s="20">
        <v>25850.0</v>
      </c>
      <c r="D2004" s="19" t="str">
        <f t="shared" si="1"/>
        <v> </v>
      </c>
      <c r="E2004" s="19" t="str">
        <f t="shared" si="2"/>
        <v> </v>
      </c>
      <c r="F2004" s="21"/>
    </row>
    <row r="2005">
      <c r="A2005" s="19">
        <v>13183.0</v>
      </c>
      <c r="B2005" s="19" t="s">
        <v>2036</v>
      </c>
      <c r="C2005" s="20">
        <v>32643.0</v>
      </c>
      <c r="D2005" s="19" t="str">
        <f t="shared" si="1"/>
        <v> </v>
      </c>
      <c r="E2005" s="19" t="str">
        <f t="shared" si="2"/>
        <v> </v>
      </c>
      <c r="F2005" s="21"/>
    </row>
    <row r="2006">
      <c r="A2006" s="19">
        <v>13184.0</v>
      </c>
      <c r="B2006" s="19" t="s">
        <v>2037</v>
      </c>
      <c r="C2006" s="20">
        <v>16603.0</v>
      </c>
      <c r="D2006" s="19" t="str">
        <f t="shared" si="1"/>
        <v> </v>
      </c>
      <c r="E2006" s="19" t="str">
        <f t="shared" si="2"/>
        <v> </v>
      </c>
      <c r="F2006" s="21"/>
    </row>
    <row r="2007">
      <c r="A2007" s="19">
        <v>13185.0</v>
      </c>
      <c r="B2007" s="19" t="s">
        <v>2038</v>
      </c>
      <c r="C2007" s="20">
        <v>25611.0</v>
      </c>
      <c r="D2007" s="19" t="str">
        <f t="shared" si="1"/>
        <v> </v>
      </c>
      <c r="E2007" s="19" t="str">
        <f t="shared" si="2"/>
        <v> </v>
      </c>
      <c r="F2007" s="21"/>
    </row>
    <row r="2008">
      <c r="A2008" s="19">
        <v>13186.0</v>
      </c>
      <c r="B2008" s="19" t="s">
        <v>2039</v>
      </c>
      <c r="C2008" s="20">
        <v>18239.0</v>
      </c>
      <c r="D2008" s="19" t="str">
        <f t="shared" si="1"/>
        <v> </v>
      </c>
      <c r="E2008" s="19" t="str">
        <f t="shared" si="2"/>
        <v> </v>
      </c>
      <c r="F2008" s="21"/>
    </row>
    <row r="2009">
      <c r="A2009" s="19">
        <v>13187.0</v>
      </c>
      <c r="B2009" s="19" t="s">
        <v>2040</v>
      </c>
      <c r="C2009" s="20">
        <v>20156.0</v>
      </c>
      <c r="D2009" s="19" t="str">
        <f t="shared" si="1"/>
        <v> </v>
      </c>
      <c r="E2009" s="19" t="str">
        <f t="shared" si="2"/>
        <v>Repeat</v>
      </c>
      <c r="F2009" s="21"/>
    </row>
    <row r="2010">
      <c r="A2010" s="19">
        <v>13188.0</v>
      </c>
      <c r="B2010" s="19" t="s">
        <v>2041</v>
      </c>
      <c r="C2010" s="20">
        <v>30647.0</v>
      </c>
      <c r="D2010" s="19" t="str">
        <f t="shared" si="1"/>
        <v> </v>
      </c>
      <c r="E2010" s="19" t="str">
        <f t="shared" si="2"/>
        <v> </v>
      </c>
      <c r="F2010" s="21"/>
    </row>
    <row r="2011">
      <c r="A2011" s="19">
        <v>13189.0</v>
      </c>
      <c r="B2011" s="19" t="s">
        <v>2042</v>
      </c>
      <c r="C2011" s="20">
        <v>14536.0</v>
      </c>
      <c r="D2011" s="19" t="str">
        <f t="shared" si="1"/>
        <v> </v>
      </c>
      <c r="E2011" s="19" t="str">
        <f t="shared" si="2"/>
        <v> </v>
      </c>
      <c r="F2011" s="21"/>
    </row>
    <row r="2012">
      <c r="A2012" s="19">
        <v>13190.0</v>
      </c>
      <c r="B2012" s="19" t="s">
        <v>2043</v>
      </c>
      <c r="C2012" s="20">
        <v>16384.0</v>
      </c>
      <c r="D2012" s="19" t="str">
        <f t="shared" si="1"/>
        <v> </v>
      </c>
      <c r="E2012" s="19" t="str">
        <f t="shared" si="2"/>
        <v> </v>
      </c>
      <c r="F2012" s="21"/>
    </row>
    <row r="2013">
      <c r="A2013" s="19">
        <v>13193.0</v>
      </c>
      <c r="B2013" s="19" t="s">
        <v>2044</v>
      </c>
      <c r="C2013" s="20">
        <v>19682.0</v>
      </c>
      <c r="D2013" s="19" t="str">
        <f t="shared" si="1"/>
        <v> </v>
      </c>
      <c r="E2013" s="19" t="str">
        <f t="shared" si="2"/>
        <v> </v>
      </c>
      <c r="F2013" s="21"/>
    </row>
    <row r="2014">
      <c r="A2014" s="19">
        <v>13194.0</v>
      </c>
      <c r="B2014" s="19" t="s">
        <v>2045</v>
      </c>
      <c r="C2014" s="20">
        <v>24353.0</v>
      </c>
      <c r="D2014" s="19" t="str">
        <f t="shared" si="1"/>
        <v> </v>
      </c>
      <c r="E2014" s="19" t="str">
        <f t="shared" si="2"/>
        <v> </v>
      </c>
      <c r="F2014" s="21"/>
    </row>
    <row r="2015">
      <c r="A2015" s="19">
        <v>13198.0</v>
      </c>
      <c r="B2015" s="19" t="s">
        <v>2046</v>
      </c>
      <c r="C2015" s="20">
        <v>21237.0</v>
      </c>
      <c r="D2015" s="19" t="str">
        <f t="shared" si="1"/>
        <v> </v>
      </c>
      <c r="E2015" s="19" t="str">
        <f t="shared" si="2"/>
        <v> </v>
      </c>
      <c r="F2015" s="21"/>
    </row>
    <row r="2016">
      <c r="A2016" s="19">
        <v>13199.0</v>
      </c>
      <c r="B2016" s="19" t="s">
        <v>2047</v>
      </c>
      <c r="C2016" s="20">
        <v>31390.0</v>
      </c>
      <c r="D2016" s="19" t="str">
        <f t="shared" si="1"/>
        <v> </v>
      </c>
      <c r="E2016" s="19" t="str">
        <f t="shared" si="2"/>
        <v> </v>
      </c>
      <c r="F2016" s="21"/>
    </row>
    <row r="2017">
      <c r="A2017" s="19">
        <v>13200.0</v>
      </c>
      <c r="B2017" s="19" t="s">
        <v>2048</v>
      </c>
      <c r="C2017" s="20">
        <v>28504.0</v>
      </c>
      <c r="D2017" s="19" t="str">
        <f t="shared" si="1"/>
        <v> </v>
      </c>
      <c r="E2017" s="19" t="str">
        <f t="shared" si="2"/>
        <v> </v>
      </c>
      <c r="F2017" s="21"/>
    </row>
    <row r="2018">
      <c r="A2018" s="19">
        <v>13201.0</v>
      </c>
      <c r="B2018" s="19" t="s">
        <v>2049</v>
      </c>
      <c r="C2018" s="20">
        <v>12899.0</v>
      </c>
      <c r="D2018" s="19" t="str">
        <f t="shared" si="1"/>
        <v> </v>
      </c>
      <c r="E2018" s="19" t="str">
        <f t="shared" si="2"/>
        <v> </v>
      </c>
      <c r="F2018" s="21"/>
    </row>
    <row r="2019">
      <c r="A2019" s="19">
        <v>13202.0</v>
      </c>
      <c r="B2019" s="19" t="s">
        <v>2050</v>
      </c>
      <c r="C2019" s="20">
        <v>28992.0</v>
      </c>
      <c r="D2019" s="19" t="str">
        <f t="shared" si="1"/>
        <v> </v>
      </c>
      <c r="E2019" s="19" t="str">
        <f t="shared" si="2"/>
        <v> </v>
      </c>
      <c r="F2019" s="21"/>
    </row>
    <row r="2020">
      <c r="A2020" s="19">
        <v>13203.0</v>
      </c>
      <c r="B2020" s="19" t="s">
        <v>2051</v>
      </c>
      <c r="C2020" s="20">
        <v>27567.0</v>
      </c>
      <c r="D2020" s="19" t="str">
        <f t="shared" si="1"/>
        <v> </v>
      </c>
      <c r="E2020" s="19" t="str">
        <f t="shared" si="2"/>
        <v> </v>
      </c>
      <c r="F2020" s="21"/>
    </row>
    <row r="2021">
      <c r="A2021" s="19">
        <v>13205.0</v>
      </c>
      <c r="B2021" s="19" t="s">
        <v>2052</v>
      </c>
      <c r="C2021" s="20">
        <v>30581.0</v>
      </c>
      <c r="D2021" s="19" t="str">
        <f t="shared" si="1"/>
        <v> </v>
      </c>
      <c r="E2021" s="19" t="str">
        <f t="shared" si="2"/>
        <v> </v>
      </c>
      <c r="F2021" s="21"/>
    </row>
    <row r="2022">
      <c r="A2022" s="19">
        <v>13207.0</v>
      </c>
      <c r="B2022" s="19" t="s">
        <v>2053</v>
      </c>
      <c r="C2022" s="20">
        <v>16382.0</v>
      </c>
      <c r="D2022" s="19" t="str">
        <f t="shared" si="1"/>
        <v> </v>
      </c>
      <c r="E2022" s="19" t="str">
        <f t="shared" si="2"/>
        <v> </v>
      </c>
      <c r="F2022" s="21"/>
    </row>
    <row r="2023">
      <c r="A2023" s="19">
        <v>13208.0</v>
      </c>
      <c r="B2023" s="19" t="s">
        <v>2054</v>
      </c>
      <c r="C2023" s="20">
        <v>14296.0</v>
      </c>
      <c r="D2023" s="19" t="str">
        <f t="shared" si="1"/>
        <v> </v>
      </c>
      <c r="E2023" s="19" t="str">
        <f t="shared" si="2"/>
        <v> </v>
      </c>
      <c r="F2023" s="21"/>
    </row>
    <row r="2024">
      <c r="A2024" s="19">
        <v>13209.0</v>
      </c>
      <c r="B2024" s="19" t="s">
        <v>2055</v>
      </c>
      <c r="C2024" s="20">
        <v>16109.0</v>
      </c>
      <c r="D2024" s="19" t="str">
        <f t="shared" si="1"/>
        <v> </v>
      </c>
      <c r="E2024" s="19" t="str">
        <f t="shared" si="2"/>
        <v> </v>
      </c>
      <c r="F2024" s="21"/>
    </row>
    <row r="2025">
      <c r="A2025" s="19">
        <v>13210.0</v>
      </c>
      <c r="B2025" s="19" t="s">
        <v>2056</v>
      </c>
      <c r="C2025" s="20">
        <v>9639.0</v>
      </c>
      <c r="D2025" s="19" t="str">
        <f t="shared" si="1"/>
        <v> </v>
      </c>
      <c r="E2025" s="19" t="str">
        <f t="shared" si="2"/>
        <v> </v>
      </c>
      <c r="F2025" s="21"/>
    </row>
    <row r="2026">
      <c r="A2026" s="19">
        <v>13211.0</v>
      </c>
      <c r="B2026" s="19" t="s">
        <v>2057</v>
      </c>
      <c r="C2026" s="20">
        <v>10769.0</v>
      </c>
      <c r="D2026" s="19" t="str">
        <f t="shared" si="1"/>
        <v>Repeat</v>
      </c>
      <c r="E2026" s="19" t="str">
        <f t="shared" si="2"/>
        <v> </v>
      </c>
      <c r="F2026" s="21"/>
    </row>
    <row r="2027">
      <c r="A2027" s="19">
        <v>13212.0</v>
      </c>
      <c r="B2027" s="19" t="s">
        <v>2058</v>
      </c>
      <c r="C2027" s="20">
        <v>16689.0</v>
      </c>
      <c r="D2027" s="19" t="str">
        <f t="shared" si="1"/>
        <v> </v>
      </c>
      <c r="E2027" s="19" t="str">
        <f t="shared" si="2"/>
        <v> </v>
      </c>
      <c r="F2027" s="21"/>
    </row>
    <row r="2028">
      <c r="A2028" s="19">
        <v>13213.0</v>
      </c>
      <c r="B2028" s="19" t="s">
        <v>2059</v>
      </c>
      <c r="C2028" s="20">
        <v>11246.0</v>
      </c>
      <c r="D2028" s="19" t="str">
        <f t="shared" si="1"/>
        <v> </v>
      </c>
      <c r="E2028" s="19" t="str">
        <f t="shared" si="2"/>
        <v> </v>
      </c>
      <c r="F2028" s="21"/>
    </row>
    <row r="2029">
      <c r="A2029" s="19">
        <v>13214.0</v>
      </c>
      <c r="B2029" s="19" t="s">
        <v>2060</v>
      </c>
      <c r="C2029" s="20">
        <v>23305.0</v>
      </c>
      <c r="D2029" s="19" t="str">
        <f t="shared" si="1"/>
        <v> </v>
      </c>
      <c r="E2029" s="19" t="str">
        <f t="shared" si="2"/>
        <v> </v>
      </c>
      <c r="F2029" s="21"/>
    </row>
    <row r="2030">
      <c r="A2030" s="19">
        <v>13215.0</v>
      </c>
      <c r="B2030" s="19" t="s">
        <v>2061</v>
      </c>
      <c r="C2030" s="20">
        <v>20143.0</v>
      </c>
      <c r="D2030" s="19" t="str">
        <f t="shared" si="1"/>
        <v> </v>
      </c>
      <c r="E2030" s="19" t="str">
        <f t="shared" si="2"/>
        <v> </v>
      </c>
      <c r="F2030" s="21"/>
    </row>
    <row r="2031">
      <c r="A2031" s="19">
        <v>13216.0</v>
      </c>
      <c r="B2031" s="19" t="s">
        <v>2062</v>
      </c>
      <c r="C2031" s="20">
        <v>17675.0</v>
      </c>
      <c r="D2031" s="19" t="str">
        <f t="shared" si="1"/>
        <v> </v>
      </c>
      <c r="E2031" s="19" t="str">
        <f t="shared" si="2"/>
        <v> </v>
      </c>
      <c r="F2031" s="21"/>
    </row>
    <row r="2032">
      <c r="A2032" s="19">
        <v>13217.0</v>
      </c>
      <c r="B2032" s="19" t="s">
        <v>2063</v>
      </c>
      <c r="C2032" s="20">
        <v>17043.0</v>
      </c>
      <c r="D2032" s="19" t="str">
        <f t="shared" si="1"/>
        <v> </v>
      </c>
      <c r="E2032" s="19" t="str">
        <f t="shared" si="2"/>
        <v> </v>
      </c>
      <c r="F2032" s="21"/>
    </row>
    <row r="2033">
      <c r="A2033" s="19">
        <v>13218.0</v>
      </c>
      <c r="B2033" s="19" t="s">
        <v>2064</v>
      </c>
      <c r="C2033" s="20">
        <v>27002.0</v>
      </c>
      <c r="D2033" s="19" t="str">
        <f t="shared" si="1"/>
        <v> </v>
      </c>
      <c r="E2033" s="19" t="str">
        <f t="shared" si="2"/>
        <v> </v>
      </c>
      <c r="F2033" s="21"/>
    </row>
    <row r="2034">
      <c r="A2034" s="19">
        <v>13219.0</v>
      </c>
      <c r="B2034" s="19" t="s">
        <v>2065</v>
      </c>
      <c r="C2034" s="20">
        <v>28182.0</v>
      </c>
      <c r="D2034" s="19" t="str">
        <f t="shared" si="1"/>
        <v> </v>
      </c>
      <c r="E2034" s="19" t="str">
        <f t="shared" si="2"/>
        <v> </v>
      </c>
      <c r="F2034" s="21"/>
    </row>
    <row r="2035">
      <c r="A2035" s="19">
        <v>13220.0</v>
      </c>
      <c r="B2035" s="19" t="s">
        <v>2066</v>
      </c>
      <c r="C2035" s="20">
        <v>38379.0</v>
      </c>
      <c r="D2035" s="19" t="str">
        <f t="shared" si="1"/>
        <v> </v>
      </c>
      <c r="E2035" s="19" t="str">
        <f t="shared" si="2"/>
        <v> </v>
      </c>
      <c r="F2035" s="21"/>
    </row>
    <row r="2036">
      <c r="A2036" s="19">
        <v>13221.0</v>
      </c>
      <c r="B2036" s="19" t="s">
        <v>2067</v>
      </c>
      <c r="C2036" s="20">
        <v>14945.0</v>
      </c>
      <c r="D2036" s="19" t="str">
        <f t="shared" si="1"/>
        <v> </v>
      </c>
      <c r="E2036" s="19" t="str">
        <f t="shared" si="2"/>
        <v> </v>
      </c>
      <c r="F2036" s="21"/>
    </row>
    <row r="2037">
      <c r="A2037" s="19">
        <v>13222.0</v>
      </c>
      <c r="B2037" s="19" t="s">
        <v>2068</v>
      </c>
      <c r="C2037" s="20">
        <v>22150.0</v>
      </c>
      <c r="D2037" s="19" t="str">
        <f t="shared" si="1"/>
        <v> </v>
      </c>
      <c r="E2037" s="19" t="str">
        <f t="shared" si="2"/>
        <v> </v>
      </c>
      <c r="F2037" s="21"/>
    </row>
    <row r="2038">
      <c r="A2038" s="19">
        <v>13223.0</v>
      </c>
      <c r="B2038" s="19" t="s">
        <v>2069</v>
      </c>
      <c r="C2038" s="20">
        <v>11749.0</v>
      </c>
      <c r="D2038" s="19" t="str">
        <f t="shared" si="1"/>
        <v> </v>
      </c>
      <c r="E2038" s="19" t="str">
        <f t="shared" si="2"/>
        <v> </v>
      </c>
      <c r="F2038" s="21"/>
    </row>
    <row r="2039">
      <c r="A2039" s="19">
        <v>13225.0</v>
      </c>
      <c r="B2039" s="19" t="s">
        <v>2070</v>
      </c>
      <c r="C2039" s="20">
        <v>20670.0</v>
      </c>
      <c r="D2039" s="19" t="str">
        <f t="shared" si="1"/>
        <v> </v>
      </c>
      <c r="E2039" s="19" t="str">
        <f t="shared" si="2"/>
        <v> </v>
      </c>
      <c r="F2039" s="21"/>
    </row>
    <row r="2040">
      <c r="A2040" s="19">
        <v>13226.0</v>
      </c>
      <c r="B2040" s="19" t="s">
        <v>2071</v>
      </c>
      <c r="C2040" s="20">
        <v>25765.0</v>
      </c>
      <c r="D2040" s="19" t="str">
        <f t="shared" si="1"/>
        <v> </v>
      </c>
      <c r="E2040" s="19" t="str">
        <f t="shared" si="2"/>
        <v> </v>
      </c>
      <c r="F2040" s="21"/>
    </row>
    <row r="2041">
      <c r="A2041" s="19">
        <v>13227.0</v>
      </c>
      <c r="B2041" s="19" t="s">
        <v>2072</v>
      </c>
      <c r="C2041" s="20">
        <v>33382.0</v>
      </c>
      <c r="D2041" s="19" t="str">
        <f t="shared" si="1"/>
        <v> </v>
      </c>
      <c r="E2041" s="19" t="str">
        <f t="shared" si="2"/>
        <v> </v>
      </c>
      <c r="F2041" s="21"/>
    </row>
    <row r="2042">
      <c r="A2042" s="19">
        <v>13228.0</v>
      </c>
      <c r="B2042" s="19" t="s">
        <v>2073</v>
      </c>
      <c r="C2042" s="20">
        <v>19069.0</v>
      </c>
      <c r="D2042" s="19" t="str">
        <f t="shared" si="1"/>
        <v> </v>
      </c>
      <c r="E2042" s="19" t="str">
        <f t="shared" si="2"/>
        <v> </v>
      </c>
      <c r="F2042" s="21"/>
    </row>
    <row r="2043">
      <c r="A2043" s="19">
        <v>13229.0</v>
      </c>
      <c r="B2043" s="19" t="s">
        <v>2074</v>
      </c>
      <c r="C2043" s="20">
        <v>22321.0</v>
      </c>
      <c r="D2043" s="19" t="str">
        <f t="shared" si="1"/>
        <v> </v>
      </c>
      <c r="E2043" s="19" t="str">
        <f t="shared" si="2"/>
        <v> </v>
      </c>
      <c r="F2043" s="21"/>
    </row>
    <row r="2044">
      <c r="A2044" s="19">
        <v>13230.0</v>
      </c>
      <c r="B2044" s="19" t="s">
        <v>2075</v>
      </c>
      <c r="C2044" s="20">
        <v>13097.0</v>
      </c>
      <c r="D2044" s="19" t="str">
        <f t="shared" si="1"/>
        <v> </v>
      </c>
      <c r="E2044" s="19" t="str">
        <f t="shared" si="2"/>
        <v> </v>
      </c>
      <c r="F2044" s="21"/>
    </row>
    <row r="2045">
      <c r="A2045" s="19">
        <v>13231.0</v>
      </c>
      <c r="B2045" s="19" t="s">
        <v>2076</v>
      </c>
      <c r="C2045" s="20">
        <v>17683.0</v>
      </c>
      <c r="D2045" s="19" t="str">
        <f t="shared" si="1"/>
        <v> </v>
      </c>
      <c r="E2045" s="19" t="str">
        <f t="shared" si="2"/>
        <v> </v>
      </c>
      <c r="F2045" s="21"/>
    </row>
    <row r="2046">
      <c r="A2046" s="19">
        <v>13232.0</v>
      </c>
      <c r="B2046" s="19" t="s">
        <v>2077</v>
      </c>
      <c r="C2046" s="20">
        <v>14058.0</v>
      </c>
      <c r="D2046" s="19" t="str">
        <f t="shared" si="1"/>
        <v> </v>
      </c>
      <c r="E2046" s="19" t="str">
        <f t="shared" si="2"/>
        <v> </v>
      </c>
      <c r="F2046" s="21"/>
    </row>
    <row r="2047">
      <c r="A2047" s="19">
        <v>13234.0</v>
      </c>
      <c r="B2047" s="19" t="s">
        <v>2078</v>
      </c>
      <c r="C2047" s="20">
        <v>17399.0</v>
      </c>
      <c r="D2047" s="19" t="str">
        <f t="shared" si="1"/>
        <v> </v>
      </c>
      <c r="E2047" s="19" t="str">
        <f t="shared" si="2"/>
        <v> </v>
      </c>
      <c r="F2047" s="21"/>
    </row>
    <row r="2048">
      <c r="A2048" s="19">
        <v>13235.0</v>
      </c>
      <c r="B2048" s="19" t="s">
        <v>2079</v>
      </c>
      <c r="C2048" s="20">
        <v>25452.0</v>
      </c>
      <c r="D2048" s="19" t="str">
        <f t="shared" si="1"/>
        <v> </v>
      </c>
      <c r="E2048" s="19" t="str">
        <f t="shared" si="2"/>
        <v> </v>
      </c>
      <c r="F2048" s="21"/>
    </row>
    <row r="2049">
      <c r="A2049" s="19">
        <v>13236.0</v>
      </c>
      <c r="B2049" s="19" t="s">
        <v>2080</v>
      </c>
      <c r="C2049" s="20">
        <v>32201.0</v>
      </c>
      <c r="D2049" s="19" t="str">
        <f t="shared" si="1"/>
        <v> </v>
      </c>
      <c r="E2049" s="19" t="str">
        <f t="shared" si="2"/>
        <v> </v>
      </c>
      <c r="F2049" s="21"/>
    </row>
    <row r="2050">
      <c r="A2050" s="19">
        <v>13240.0</v>
      </c>
      <c r="B2050" s="19" t="s">
        <v>2081</v>
      </c>
      <c r="C2050" s="20">
        <v>14574.0</v>
      </c>
      <c r="D2050" s="19" t="str">
        <f t="shared" si="1"/>
        <v> </v>
      </c>
      <c r="E2050" s="19" t="str">
        <f t="shared" si="2"/>
        <v> </v>
      </c>
      <c r="F2050" s="21"/>
    </row>
    <row r="2051">
      <c r="A2051" s="19">
        <v>13241.0</v>
      </c>
      <c r="B2051" s="19" t="s">
        <v>2082</v>
      </c>
      <c r="C2051" s="20">
        <v>33447.0</v>
      </c>
      <c r="D2051" s="19" t="str">
        <f t="shared" si="1"/>
        <v> </v>
      </c>
      <c r="E2051" s="19" t="str">
        <f t="shared" si="2"/>
        <v> </v>
      </c>
      <c r="F2051" s="21"/>
    </row>
    <row r="2052">
      <c r="A2052" s="19">
        <v>13242.0</v>
      </c>
      <c r="B2052" s="19" t="s">
        <v>2083</v>
      </c>
      <c r="C2052" s="20">
        <v>15282.0</v>
      </c>
      <c r="D2052" s="19" t="str">
        <f t="shared" si="1"/>
        <v> </v>
      </c>
      <c r="E2052" s="19" t="str">
        <f t="shared" si="2"/>
        <v> </v>
      </c>
      <c r="F2052" s="21"/>
    </row>
    <row r="2053">
      <c r="A2053" s="19">
        <v>13243.0</v>
      </c>
      <c r="B2053" s="19" t="s">
        <v>2084</v>
      </c>
      <c r="C2053" s="20">
        <v>24558.0</v>
      </c>
      <c r="D2053" s="19" t="str">
        <f t="shared" si="1"/>
        <v> </v>
      </c>
      <c r="E2053" s="19" t="str">
        <f t="shared" si="2"/>
        <v> </v>
      </c>
      <c r="F2053" s="21"/>
    </row>
    <row r="2054">
      <c r="A2054" s="19">
        <v>13244.0</v>
      </c>
      <c r="B2054" s="19" t="s">
        <v>2085</v>
      </c>
      <c r="C2054" s="20">
        <v>16520.0</v>
      </c>
      <c r="D2054" s="19" t="str">
        <f t="shared" si="1"/>
        <v> </v>
      </c>
      <c r="E2054" s="19" t="str">
        <f t="shared" si="2"/>
        <v> </v>
      </c>
      <c r="F2054" s="21"/>
    </row>
    <row r="2055">
      <c r="A2055" s="19">
        <v>13245.0</v>
      </c>
      <c r="B2055" s="19" t="s">
        <v>2086</v>
      </c>
      <c r="C2055" s="20">
        <v>22091.0</v>
      </c>
      <c r="D2055" s="19" t="str">
        <f t="shared" si="1"/>
        <v> </v>
      </c>
      <c r="E2055" s="19" t="str">
        <f t="shared" si="2"/>
        <v> </v>
      </c>
      <c r="F2055" s="21"/>
    </row>
    <row r="2056">
      <c r="A2056" s="19">
        <v>13246.0</v>
      </c>
      <c r="B2056" s="19" t="s">
        <v>2087</v>
      </c>
      <c r="C2056" s="20">
        <v>17498.0</v>
      </c>
      <c r="D2056" s="19" t="str">
        <f t="shared" si="1"/>
        <v> </v>
      </c>
      <c r="E2056" s="19" t="str">
        <f t="shared" si="2"/>
        <v> </v>
      </c>
      <c r="F2056" s="21"/>
    </row>
    <row r="2057">
      <c r="A2057" s="19">
        <v>13247.0</v>
      </c>
      <c r="B2057" s="19" t="s">
        <v>2088</v>
      </c>
      <c r="C2057" s="20">
        <v>24750.0</v>
      </c>
      <c r="D2057" s="19" t="str">
        <f t="shared" si="1"/>
        <v> </v>
      </c>
      <c r="E2057" s="19" t="str">
        <f t="shared" si="2"/>
        <v> </v>
      </c>
      <c r="F2057" s="21"/>
    </row>
    <row r="2058">
      <c r="A2058" s="19">
        <v>13248.0</v>
      </c>
      <c r="B2058" s="19" t="s">
        <v>2089</v>
      </c>
      <c r="C2058" s="20">
        <v>10321.0</v>
      </c>
      <c r="D2058" s="19" t="str">
        <f t="shared" si="1"/>
        <v> </v>
      </c>
      <c r="E2058" s="19" t="str">
        <f t="shared" si="2"/>
        <v> </v>
      </c>
      <c r="F2058" s="21"/>
    </row>
    <row r="2059">
      <c r="A2059" s="19">
        <v>13249.0</v>
      </c>
      <c r="B2059" s="19" t="s">
        <v>2090</v>
      </c>
      <c r="C2059" s="20">
        <v>29930.0</v>
      </c>
      <c r="D2059" s="19" t="str">
        <f t="shared" si="1"/>
        <v> </v>
      </c>
      <c r="E2059" s="19" t="str">
        <f t="shared" si="2"/>
        <v> </v>
      </c>
      <c r="F2059" s="21"/>
    </row>
    <row r="2060">
      <c r="A2060" s="19">
        <v>13250.0</v>
      </c>
      <c r="B2060" s="19" t="s">
        <v>2091</v>
      </c>
      <c r="C2060" s="20">
        <v>21602.0</v>
      </c>
      <c r="D2060" s="19" t="str">
        <f t="shared" si="1"/>
        <v> </v>
      </c>
      <c r="E2060" s="19" t="str">
        <f t="shared" si="2"/>
        <v> </v>
      </c>
      <c r="F2060" s="21"/>
    </row>
    <row r="2061">
      <c r="A2061" s="19">
        <v>13251.0</v>
      </c>
      <c r="B2061" s="19" t="s">
        <v>2092</v>
      </c>
      <c r="C2061" s="20">
        <v>19917.0</v>
      </c>
      <c r="D2061" s="19" t="str">
        <f t="shared" si="1"/>
        <v> </v>
      </c>
      <c r="E2061" s="19" t="str">
        <f t="shared" si="2"/>
        <v> </v>
      </c>
      <c r="F2061" s="21"/>
    </row>
    <row r="2062">
      <c r="A2062" s="19">
        <v>13253.0</v>
      </c>
      <c r="B2062" s="19" t="s">
        <v>2093</v>
      </c>
      <c r="C2062" s="20">
        <v>24571.0</v>
      </c>
      <c r="D2062" s="19" t="str">
        <f t="shared" si="1"/>
        <v> </v>
      </c>
      <c r="E2062" s="19" t="str">
        <f t="shared" si="2"/>
        <v> </v>
      </c>
      <c r="F2062" s="21"/>
    </row>
    <row r="2063">
      <c r="A2063" s="19">
        <v>13255.0</v>
      </c>
      <c r="B2063" s="19" t="s">
        <v>2094</v>
      </c>
      <c r="C2063" s="20">
        <v>26899.0</v>
      </c>
      <c r="D2063" s="19" t="str">
        <f t="shared" si="1"/>
        <v> </v>
      </c>
      <c r="E2063" s="19" t="str">
        <f t="shared" si="2"/>
        <v> </v>
      </c>
      <c r="F2063" s="21"/>
    </row>
    <row r="2064">
      <c r="A2064" s="19">
        <v>13256.0</v>
      </c>
      <c r="B2064" s="19" t="s">
        <v>2095</v>
      </c>
      <c r="C2064" s="20">
        <v>33683.0</v>
      </c>
      <c r="D2064" s="19" t="str">
        <f t="shared" si="1"/>
        <v> </v>
      </c>
      <c r="E2064" s="19" t="str">
        <f t="shared" si="2"/>
        <v> </v>
      </c>
      <c r="F2064" s="21"/>
    </row>
    <row r="2065">
      <c r="A2065" s="19">
        <v>13257.0</v>
      </c>
      <c r="B2065" s="19" t="s">
        <v>2096</v>
      </c>
      <c r="C2065" s="20">
        <v>18289.0</v>
      </c>
      <c r="D2065" s="19" t="str">
        <f t="shared" si="1"/>
        <v> </v>
      </c>
      <c r="E2065" s="19" t="str">
        <f t="shared" si="2"/>
        <v> </v>
      </c>
      <c r="F2065" s="21"/>
    </row>
    <row r="2066">
      <c r="A2066" s="19">
        <v>13260.0</v>
      </c>
      <c r="B2066" s="19" t="s">
        <v>2097</v>
      </c>
      <c r="C2066" s="20">
        <v>22127.0</v>
      </c>
      <c r="D2066" s="19" t="str">
        <f t="shared" si="1"/>
        <v> </v>
      </c>
      <c r="E2066" s="19" t="str">
        <f t="shared" si="2"/>
        <v> </v>
      </c>
      <c r="F2066" s="21"/>
    </row>
    <row r="2067">
      <c r="A2067" s="19">
        <v>13261.0</v>
      </c>
      <c r="B2067" s="19" t="s">
        <v>2098</v>
      </c>
      <c r="C2067" s="20">
        <v>24102.0</v>
      </c>
      <c r="D2067" s="19" t="str">
        <f t="shared" si="1"/>
        <v> </v>
      </c>
      <c r="E2067" s="19" t="str">
        <f t="shared" si="2"/>
        <v> </v>
      </c>
      <c r="F2067" s="21"/>
    </row>
    <row r="2068">
      <c r="A2068" s="19">
        <v>13262.0</v>
      </c>
      <c r="B2068" s="19" t="s">
        <v>2099</v>
      </c>
      <c r="C2068" s="20">
        <v>17162.0</v>
      </c>
      <c r="D2068" s="19" t="str">
        <f t="shared" si="1"/>
        <v> </v>
      </c>
      <c r="E2068" s="19" t="str">
        <f t="shared" si="2"/>
        <v> </v>
      </c>
      <c r="F2068" s="21"/>
    </row>
    <row r="2069">
      <c r="A2069" s="19">
        <v>13263.0</v>
      </c>
      <c r="B2069" s="19" t="s">
        <v>2100</v>
      </c>
      <c r="C2069" s="20">
        <v>24387.0</v>
      </c>
      <c r="D2069" s="19" t="str">
        <f t="shared" si="1"/>
        <v> </v>
      </c>
      <c r="E2069" s="19" t="str">
        <f t="shared" si="2"/>
        <v> </v>
      </c>
      <c r="F2069" s="21"/>
    </row>
    <row r="2070">
      <c r="A2070" s="19">
        <v>13264.0</v>
      </c>
      <c r="B2070" s="19" t="s">
        <v>2101</v>
      </c>
      <c r="C2070" s="20">
        <v>26293.0</v>
      </c>
      <c r="D2070" s="19" t="str">
        <f t="shared" si="1"/>
        <v> </v>
      </c>
      <c r="E2070" s="19" t="str">
        <f t="shared" si="2"/>
        <v> </v>
      </c>
      <c r="F2070" s="21"/>
    </row>
    <row r="2071">
      <c r="A2071" s="19">
        <v>13267.0</v>
      </c>
      <c r="B2071" s="19" t="s">
        <v>2102</v>
      </c>
      <c r="C2071" s="20">
        <v>27789.0</v>
      </c>
      <c r="D2071" s="19" t="str">
        <f t="shared" si="1"/>
        <v> </v>
      </c>
      <c r="E2071" s="19" t="str">
        <f t="shared" si="2"/>
        <v> </v>
      </c>
      <c r="F2071" s="21"/>
    </row>
    <row r="2072">
      <c r="A2072" s="19">
        <v>13270.0</v>
      </c>
      <c r="B2072" s="19" t="s">
        <v>2103</v>
      </c>
      <c r="C2072" s="20">
        <v>32085.0</v>
      </c>
      <c r="D2072" s="19" t="str">
        <f t="shared" si="1"/>
        <v> </v>
      </c>
      <c r="E2072" s="19" t="str">
        <f t="shared" si="2"/>
        <v> </v>
      </c>
      <c r="F2072" s="21"/>
    </row>
    <row r="2073">
      <c r="A2073" s="19">
        <v>13271.0</v>
      </c>
      <c r="B2073" s="19" t="s">
        <v>2104</v>
      </c>
      <c r="C2073" s="20">
        <v>22599.0</v>
      </c>
      <c r="D2073" s="19" t="str">
        <f t="shared" si="1"/>
        <v> </v>
      </c>
      <c r="E2073" s="19" t="str">
        <f t="shared" si="2"/>
        <v> </v>
      </c>
      <c r="F2073" s="21"/>
    </row>
    <row r="2074">
      <c r="A2074" s="19">
        <v>13272.0</v>
      </c>
      <c r="B2074" s="19" t="s">
        <v>2105</v>
      </c>
      <c r="C2074" s="20">
        <v>32877.0</v>
      </c>
      <c r="D2074" s="19" t="str">
        <f t="shared" si="1"/>
        <v> </v>
      </c>
      <c r="E2074" s="19" t="str">
        <f t="shared" si="2"/>
        <v> </v>
      </c>
      <c r="F2074" s="21"/>
    </row>
    <row r="2075">
      <c r="A2075" s="19">
        <v>13273.0</v>
      </c>
      <c r="B2075" s="19" t="s">
        <v>2106</v>
      </c>
      <c r="C2075" s="20">
        <v>30146.0</v>
      </c>
      <c r="D2075" s="19" t="str">
        <f t="shared" si="1"/>
        <v> </v>
      </c>
      <c r="E2075" s="19" t="str">
        <f t="shared" si="2"/>
        <v> </v>
      </c>
      <c r="F2075" s="21"/>
    </row>
    <row r="2076">
      <c r="A2076" s="19">
        <v>13274.0</v>
      </c>
      <c r="B2076" s="19" t="s">
        <v>2107</v>
      </c>
      <c r="C2076" s="20">
        <v>36698.0</v>
      </c>
      <c r="D2076" s="19" t="str">
        <f t="shared" si="1"/>
        <v> </v>
      </c>
      <c r="E2076" s="19" t="str">
        <f t="shared" si="2"/>
        <v> </v>
      </c>
      <c r="F2076" s="21"/>
    </row>
    <row r="2077">
      <c r="A2077" s="19">
        <v>13275.0</v>
      </c>
      <c r="B2077" s="19" t="s">
        <v>2108</v>
      </c>
      <c r="C2077" s="20">
        <v>21287.0</v>
      </c>
      <c r="D2077" s="19" t="str">
        <f t="shared" si="1"/>
        <v> </v>
      </c>
      <c r="E2077" s="19" t="str">
        <f t="shared" si="2"/>
        <v> </v>
      </c>
      <c r="F2077" s="21"/>
    </row>
    <row r="2078">
      <c r="A2078" s="19">
        <v>13276.0</v>
      </c>
      <c r="B2078" s="19" t="s">
        <v>2109</v>
      </c>
      <c r="C2078" s="20">
        <v>20418.0</v>
      </c>
      <c r="D2078" s="19" t="str">
        <f t="shared" si="1"/>
        <v> </v>
      </c>
      <c r="E2078" s="19" t="str">
        <f t="shared" si="2"/>
        <v> </v>
      </c>
      <c r="F2078" s="21"/>
    </row>
    <row r="2079">
      <c r="A2079" s="19">
        <v>13277.0</v>
      </c>
      <c r="B2079" s="19" t="s">
        <v>2110</v>
      </c>
      <c r="C2079" s="20">
        <v>25578.0</v>
      </c>
      <c r="D2079" s="19" t="str">
        <f t="shared" si="1"/>
        <v> </v>
      </c>
      <c r="E2079" s="19" t="str">
        <f t="shared" si="2"/>
        <v> </v>
      </c>
      <c r="F2079" s="21"/>
    </row>
    <row r="2080">
      <c r="A2080" s="19">
        <v>13278.0</v>
      </c>
      <c r="B2080" s="19" t="s">
        <v>2111</v>
      </c>
      <c r="C2080" s="20">
        <v>20536.0</v>
      </c>
      <c r="D2080" s="19" t="str">
        <f t="shared" si="1"/>
        <v> </v>
      </c>
      <c r="E2080" s="19" t="str">
        <f t="shared" si="2"/>
        <v> </v>
      </c>
      <c r="F2080" s="21"/>
    </row>
    <row r="2081">
      <c r="A2081" s="19">
        <v>13279.0</v>
      </c>
      <c r="B2081" s="19" t="s">
        <v>2112</v>
      </c>
      <c r="C2081" s="20">
        <v>33000.0</v>
      </c>
      <c r="D2081" s="19" t="str">
        <f t="shared" si="1"/>
        <v> </v>
      </c>
      <c r="E2081" s="19" t="str">
        <f t="shared" si="2"/>
        <v> </v>
      </c>
      <c r="F2081" s="21"/>
    </row>
    <row r="2082">
      <c r="A2082" s="19">
        <v>13280.0</v>
      </c>
      <c r="B2082" s="19" t="s">
        <v>2113</v>
      </c>
      <c r="C2082" s="20">
        <v>11978.0</v>
      </c>
      <c r="D2082" s="19" t="str">
        <f t="shared" si="1"/>
        <v> </v>
      </c>
      <c r="E2082" s="19" t="str">
        <f t="shared" si="2"/>
        <v> </v>
      </c>
      <c r="F2082" s="21"/>
    </row>
    <row r="2083">
      <c r="A2083" s="19">
        <v>13281.0</v>
      </c>
      <c r="B2083" s="19" t="s">
        <v>2114</v>
      </c>
      <c r="C2083" s="20">
        <v>30188.0</v>
      </c>
      <c r="D2083" s="19" t="str">
        <f t="shared" si="1"/>
        <v> </v>
      </c>
      <c r="E2083" s="19" t="str">
        <f t="shared" si="2"/>
        <v> </v>
      </c>
      <c r="F2083" s="21"/>
    </row>
    <row r="2084">
      <c r="A2084" s="19">
        <v>13283.0</v>
      </c>
      <c r="B2084" s="19" t="s">
        <v>2115</v>
      </c>
      <c r="C2084" s="20">
        <v>28196.0</v>
      </c>
      <c r="D2084" s="19" t="str">
        <f t="shared" si="1"/>
        <v> </v>
      </c>
      <c r="E2084" s="19" t="str">
        <f t="shared" si="2"/>
        <v> </v>
      </c>
      <c r="F2084" s="21"/>
    </row>
    <row r="2085">
      <c r="A2085" s="19">
        <v>13284.0</v>
      </c>
      <c r="B2085" s="19" t="s">
        <v>2116</v>
      </c>
      <c r="C2085" s="20">
        <v>23129.0</v>
      </c>
      <c r="D2085" s="19" t="str">
        <f t="shared" si="1"/>
        <v> </v>
      </c>
      <c r="E2085" s="19" t="str">
        <f t="shared" si="2"/>
        <v> </v>
      </c>
      <c r="F2085" s="21"/>
    </row>
    <row r="2086">
      <c r="A2086" s="19">
        <v>13285.0</v>
      </c>
      <c r="B2086" s="19" t="s">
        <v>2117</v>
      </c>
      <c r="C2086" s="20">
        <v>24102.0</v>
      </c>
      <c r="D2086" s="19" t="str">
        <f t="shared" si="1"/>
        <v> </v>
      </c>
      <c r="E2086" s="19" t="str">
        <f t="shared" si="2"/>
        <v> </v>
      </c>
      <c r="F2086" s="21"/>
    </row>
    <row r="2087">
      <c r="A2087" s="19">
        <v>13288.0</v>
      </c>
      <c r="B2087" s="19" t="s">
        <v>2118</v>
      </c>
      <c r="C2087" s="20">
        <v>18606.0</v>
      </c>
      <c r="D2087" s="19" t="str">
        <f t="shared" si="1"/>
        <v> </v>
      </c>
      <c r="E2087" s="19" t="str">
        <f t="shared" si="2"/>
        <v> </v>
      </c>
      <c r="F2087" s="21"/>
    </row>
    <row r="2088">
      <c r="A2088" s="19">
        <v>13289.0</v>
      </c>
      <c r="B2088" s="19" t="s">
        <v>2119</v>
      </c>
      <c r="C2088" s="20">
        <v>19890.0</v>
      </c>
      <c r="D2088" s="19" t="str">
        <f t="shared" si="1"/>
        <v> </v>
      </c>
      <c r="E2088" s="19" t="str">
        <f t="shared" si="2"/>
        <v> </v>
      </c>
      <c r="F2088" s="21"/>
    </row>
    <row r="2089">
      <c r="A2089" s="19">
        <v>13290.0</v>
      </c>
      <c r="B2089" s="19" t="s">
        <v>2120</v>
      </c>
      <c r="C2089" s="20">
        <v>25837.0</v>
      </c>
      <c r="D2089" s="19" t="str">
        <f t="shared" si="1"/>
        <v> </v>
      </c>
      <c r="E2089" s="19" t="str">
        <f t="shared" si="2"/>
        <v> </v>
      </c>
      <c r="F2089" s="21"/>
    </row>
    <row r="2090">
      <c r="A2090" s="19">
        <v>13291.0</v>
      </c>
      <c r="B2090" s="19" t="s">
        <v>2121</v>
      </c>
      <c r="C2090" s="20">
        <v>18527.0</v>
      </c>
      <c r="D2090" s="19" t="str">
        <f t="shared" si="1"/>
        <v>Repeat</v>
      </c>
      <c r="E2090" s="19" t="str">
        <f t="shared" si="2"/>
        <v> </v>
      </c>
      <c r="F2090" s="21"/>
    </row>
    <row r="2091">
      <c r="A2091" s="19">
        <v>13292.0</v>
      </c>
      <c r="B2091" s="19" t="s">
        <v>2122</v>
      </c>
      <c r="C2091" s="20">
        <v>24152.0</v>
      </c>
      <c r="D2091" s="19" t="str">
        <f t="shared" si="1"/>
        <v> </v>
      </c>
      <c r="E2091" s="19" t="str">
        <f t="shared" si="2"/>
        <v> </v>
      </c>
      <c r="F2091" s="21"/>
    </row>
    <row r="2092">
      <c r="A2092" s="19">
        <v>13293.0</v>
      </c>
      <c r="B2092" s="19" t="s">
        <v>2123</v>
      </c>
      <c r="C2092" s="20">
        <v>30806.0</v>
      </c>
      <c r="D2092" s="19" t="str">
        <f t="shared" si="1"/>
        <v> </v>
      </c>
      <c r="E2092" s="19" t="str">
        <f t="shared" si="2"/>
        <v> </v>
      </c>
      <c r="F2092" s="21"/>
    </row>
    <row r="2093">
      <c r="A2093" s="19">
        <v>13296.0</v>
      </c>
      <c r="B2093" s="19" t="s">
        <v>2124</v>
      </c>
      <c r="C2093" s="20">
        <v>28851.0</v>
      </c>
      <c r="D2093" s="19" t="str">
        <f t="shared" si="1"/>
        <v> </v>
      </c>
      <c r="E2093" s="19" t="str">
        <f t="shared" si="2"/>
        <v> </v>
      </c>
      <c r="F2093" s="21"/>
    </row>
    <row r="2094">
      <c r="A2094" s="19">
        <v>13297.0</v>
      </c>
      <c r="B2094" s="19" t="s">
        <v>2125</v>
      </c>
      <c r="C2094" s="20">
        <v>12876.0</v>
      </c>
      <c r="D2094" s="19" t="str">
        <f t="shared" si="1"/>
        <v> </v>
      </c>
      <c r="E2094" s="19" t="str">
        <f t="shared" si="2"/>
        <v> </v>
      </c>
      <c r="F2094" s="21"/>
    </row>
    <row r="2095">
      <c r="A2095" s="19">
        <v>13299.0</v>
      </c>
      <c r="B2095" s="19" t="s">
        <v>2126</v>
      </c>
      <c r="C2095" s="20">
        <v>28288.0</v>
      </c>
      <c r="D2095" s="19" t="str">
        <f t="shared" si="1"/>
        <v> </v>
      </c>
      <c r="E2095" s="19" t="str">
        <f t="shared" si="2"/>
        <v> </v>
      </c>
      <c r="F2095" s="21"/>
    </row>
    <row r="2096">
      <c r="A2096" s="19">
        <v>13301.0</v>
      </c>
      <c r="B2096" s="19" t="s">
        <v>2127</v>
      </c>
      <c r="C2096" s="20">
        <v>17094.0</v>
      </c>
      <c r="D2096" s="19" t="str">
        <f t="shared" si="1"/>
        <v> </v>
      </c>
      <c r="E2096" s="19" t="str">
        <f t="shared" si="2"/>
        <v> </v>
      </c>
      <c r="F2096" s="21"/>
    </row>
    <row r="2097">
      <c r="A2097" s="19">
        <v>13302.0</v>
      </c>
      <c r="B2097" s="19" t="s">
        <v>2128</v>
      </c>
      <c r="C2097" s="20">
        <v>37321.0</v>
      </c>
      <c r="D2097" s="19" t="str">
        <f t="shared" si="1"/>
        <v> </v>
      </c>
      <c r="E2097" s="19" t="str">
        <f t="shared" si="2"/>
        <v> </v>
      </c>
      <c r="F2097" s="21"/>
    </row>
    <row r="2098">
      <c r="A2098" s="19">
        <v>13303.0</v>
      </c>
      <c r="B2098" s="19" t="s">
        <v>2129</v>
      </c>
      <c r="C2098" s="20">
        <v>23547.0</v>
      </c>
      <c r="D2098" s="19" t="str">
        <f t="shared" si="1"/>
        <v> </v>
      </c>
      <c r="E2098" s="19" t="str">
        <f t="shared" si="2"/>
        <v> </v>
      </c>
      <c r="F2098" s="21"/>
    </row>
    <row r="2099">
      <c r="A2099" s="19">
        <v>13304.0</v>
      </c>
      <c r="B2099" s="19" t="s">
        <v>2130</v>
      </c>
      <c r="C2099" s="20">
        <v>30797.0</v>
      </c>
      <c r="D2099" s="19" t="str">
        <f t="shared" si="1"/>
        <v> </v>
      </c>
      <c r="E2099" s="19" t="str">
        <f t="shared" si="2"/>
        <v> </v>
      </c>
      <c r="F2099" s="21"/>
    </row>
    <row r="2100">
      <c r="A2100" s="19">
        <v>13305.0</v>
      </c>
      <c r="B2100" s="19" t="s">
        <v>2131</v>
      </c>
      <c r="C2100" s="20">
        <v>20391.0</v>
      </c>
      <c r="D2100" s="19" t="str">
        <f t="shared" si="1"/>
        <v> </v>
      </c>
      <c r="E2100" s="19" t="str">
        <f t="shared" si="2"/>
        <v> </v>
      </c>
      <c r="F2100" s="21"/>
    </row>
    <row r="2101">
      <c r="A2101" s="19">
        <v>13306.0</v>
      </c>
      <c r="B2101" s="19" t="s">
        <v>2132</v>
      </c>
      <c r="C2101" s="20">
        <v>31106.0</v>
      </c>
      <c r="D2101" s="19" t="str">
        <f t="shared" si="1"/>
        <v>Repeat</v>
      </c>
      <c r="E2101" s="19" t="str">
        <f t="shared" si="2"/>
        <v> </v>
      </c>
      <c r="F2101" s="21"/>
    </row>
    <row r="2102">
      <c r="A2102" s="19">
        <v>13308.0</v>
      </c>
      <c r="B2102" s="19" t="s">
        <v>2133</v>
      </c>
      <c r="C2102" s="20">
        <v>32031.0</v>
      </c>
      <c r="D2102" s="19" t="str">
        <f t="shared" si="1"/>
        <v> </v>
      </c>
      <c r="E2102" s="19" t="str">
        <f t="shared" si="2"/>
        <v> </v>
      </c>
      <c r="F2102" s="21"/>
    </row>
    <row r="2103">
      <c r="A2103" s="19">
        <v>13309.0</v>
      </c>
      <c r="B2103" s="19" t="s">
        <v>2134</v>
      </c>
      <c r="C2103" s="20">
        <v>12991.0</v>
      </c>
      <c r="D2103" s="19" t="str">
        <f t="shared" si="1"/>
        <v> </v>
      </c>
      <c r="E2103" s="19" t="str">
        <f t="shared" si="2"/>
        <v> </v>
      </c>
      <c r="F2103" s="21"/>
    </row>
    <row r="2104">
      <c r="A2104" s="19">
        <v>13310.0</v>
      </c>
      <c r="B2104" s="19" t="s">
        <v>2135</v>
      </c>
      <c r="C2104" s="20">
        <v>36600.0</v>
      </c>
      <c r="D2104" s="19" t="str">
        <f t="shared" si="1"/>
        <v> </v>
      </c>
      <c r="E2104" s="19" t="str">
        <f t="shared" si="2"/>
        <v> </v>
      </c>
      <c r="F2104" s="21"/>
    </row>
    <row r="2105">
      <c r="A2105" s="19">
        <v>13311.0</v>
      </c>
      <c r="B2105" s="19" t="s">
        <v>2136</v>
      </c>
      <c r="C2105" s="20">
        <v>12297.0</v>
      </c>
      <c r="D2105" s="19" t="str">
        <f t="shared" si="1"/>
        <v> </v>
      </c>
      <c r="E2105" s="19" t="str">
        <f t="shared" si="2"/>
        <v> </v>
      </c>
      <c r="F2105" s="21"/>
    </row>
    <row r="2106">
      <c r="A2106" s="19">
        <v>13313.0</v>
      </c>
      <c r="B2106" s="19" t="s">
        <v>2137</v>
      </c>
      <c r="C2106" s="20">
        <v>21205.0</v>
      </c>
      <c r="D2106" s="19" t="str">
        <f t="shared" si="1"/>
        <v> </v>
      </c>
      <c r="E2106" s="19" t="str">
        <f t="shared" si="2"/>
        <v> </v>
      </c>
      <c r="F2106" s="21"/>
    </row>
    <row r="2107">
      <c r="A2107" s="19">
        <v>13315.0</v>
      </c>
      <c r="B2107" s="19" t="s">
        <v>2138</v>
      </c>
      <c r="C2107" s="20">
        <v>23603.0</v>
      </c>
      <c r="D2107" s="19" t="str">
        <f t="shared" si="1"/>
        <v> </v>
      </c>
      <c r="E2107" s="19" t="str">
        <f t="shared" si="2"/>
        <v> </v>
      </c>
      <c r="F2107" s="21"/>
    </row>
    <row r="2108">
      <c r="A2108" s="19">
        <v>13316.0</v>
      </c>
      <c r="B2108" s="19" t="s">
        <v>2139</v>
      </c>
      <c r="C2108" s="20">
        <v>19172.0</v>
      </c>
      <c r="D2108" s="19" t="str">
        <f t="shared" si="1"/>
        <v> </v>
      </c>
      <c r="E2108" s="19" t="str">
        <f t="shared" si="2"/>
        <v> </v>
      </c>
      <c r="F2108" s="21"/>
    </row>
    <row r="2109">
      <c r="A2109" s="19">
        <v>13317.0</v>
      </c>
      <c r="B2109" s="19" t="s">
        <v>2140</v>
      </c>
      <c r="C2109" s="20">
        <v>30581.0</v>
      </c>
      <c r="D2109" s="19" t="str">
        <f t="shared" si="1"/>
        <v> </v>
      </c>
      <c r="E2109" s="19" t="str">
        <f t="shared" si="2"/>
        <v> </v>
      </c>
      <c r="F2109" s="21"/>
    </row>
    <row r="2110">
      <c r="A2110" s="19">
        <v>13318.0</v>
      </c>
      <c r="B2110" s="19" t="s">
        <v>2141</v>
      </c>
      <c r="C2110" s="20">
        <v>17654.0</v>
      </c>
      <c r="D2110" s="19" t="str">
        <f t="shared" si="1"/>
        <v> </v>
      </c>
      <c r="E2110" s="19" t="str">
        <f t="shared" si="2"/>
        <v> </v>
      </c>
      <c r="F2110" s="21"/>
    </row>
    <row r="2111">
      <c r="A2111" s="19">
        <v>13319.0</v>
      </c>
      <c r="B2111" s="19" t="s">
        <v>2142</v>
      </c>
      <c r="C2111" s="20">
        <v>16761.0</v>
      </c>
      <c r="D2111" s="19" t="str">
        <f t="shared" si="1"/>
        <v> </v>
      </c>
      <c r="E2111" s="19" t="str">
        <f t="shared" si="2"/>
        <v> </v>
      </c>
      <c r="F2111" s="21"/>
    </row>
    <row r="2112">
      <c r="A2112" s="19">
        <v>13320.0</v>
      </c>
      <c r="B2112" s="19" t="s">
        <v>2143</v>
      </c>
      <c r="C2112" s="20">
        <v>17970.0</v>
      </c>
      <c r="D2112" s="19" t="str">
        <f t="shared" si="1"/>
        <v> </v>
      </c>
      <c r="E2112" s="19" t="str">
        <f t="shared" si="2"/>
        <v> </v>
      </c>
      <c r="F2112" s="21"/>
    </row>
    <row r="2113">
      <c r="A2113" s="19">
        <v>13321.0</v>
      </c>
      <c r="B2113" s="19" t="s">
        <v>2144</v>
      </c>
      <c r="C2113" s="20">
        <v>22496.0</v>
      </c>
      <c r="D2113" s="19" t="str">
        <f t="shared" si="1"/>
        <v> </v>
      </c>
      <c r="E2113" s="19" t="str">
        <f t="shared" si="2"/>
        <v> </v>
      </c>
      <c r="F2113" s="21"/>
    </row>
    <row r="2114">
      <c r="A2114" s="19">
        <v>13322.0</v>
      </c>
      <c r="B2114" s="19" t="s">
        <v>2145</v>
      </c>
      <c r="C2114" s="20">
        <v>26475.0</v>
      </c>
      <c r="D2114" s="19" t="str">
        <f t="shared" si="1"/>
        <v> </v>
      </c>
      <c r="E2114" s="19" t="str">
        <f t="shared" si="2"/>
        <v> </v>
      </c>
      <c r="F2114" s="21"/>
    </row>
    <row r="2115">
      <c r="A2115" s="19">
        <v>13323.0</v>
      </c>
      <c r="B2115" s="19" t="s">
        <v>2146</v>
      </c>
      <c r="C2115" s="20">
        <v>30587.0</v>
      </c>
      <c r="D2115" s="19" t="str">
        <f t="shared" si="1"/>
        <v> </v>
      </c>
      <c r="E2115" s="19" t="str">
        <f t="shared" si="2"/>
        <v> </v>
      </c>
      <c r="F2115" s="21"/>
    </row>
    <row r="2116">
      <c r="A2116" s="19">
        <v>13324.0</v>
      </c>
      <c r="B2116" s="19" t="s">
        <v>2147</v>
      </c>
      <c r="C2116" s="20">
        <v>30974.0</v>
      </c>
      <c r="D2116" s="19" t="str">
        <f t="shared" si="1"/>
        <v> </v>
      </c>
      <c r="E2116" s="19" t="str">
        <f t="shared" si="2"/>
        <v> </v>
      </c>
      <c r="F2116" s="21"/>
    </row>
    <row r="2117">
      <c r="A2117" s="19">
        <v>13325.0</v>
      </c>
      <c r="B2117" s="19" t="s">
        <v>2148</v>
      </c>
      <c r="C2117" s="20">
        <v>29092.0</v>
      </c>
      <c r="D2117" s="19" t="str">
        <f t="shared" si="1"/>
        <v> </v>
      </c>
      <c r="E2117" s="19" t="str">
        <f t="shared" si="2"/>
        <v> </v>
      </c>
      <c r="F2117" s="21"/>
    </row>
    <row r="2118">
      <c r="A2118" s="19">
        <v>13326.0</v>
      </c>
      <c r="B2118" s="19" t="s">
        <v>2149</v>
      </c>
      <c r="C2118" s="20">
        <v>26087.0</v>
      </c>
      <c r="D2118" s="19" t="str">
        <f t="shared" si="1"/>
        <v> </v>
      </c>
      <c r="E2118" s="19" t="str">
        <f t="shared" si="2"/>
        <v> </v>
      </c>
      <c r="F2118" s="21"/>
    </row>
    <row r="2119">
      <c r="A2119" s="19">
        <v>13328.0</v>
      </c>
      <c r="B2119" s="19" t="s">
        <v>2150</v>
      </c>
      <c r="C2119" s="20">
        <v>12357.0</v>
      </c>
      <c r="D2119" s="19" t="str">
        <f t="shared" si="1"/>
        <v> </v>
      </c>
      <c r="E2119" s="19" t="str">
        <f t="shared" si="2"/>
        <v> </v>
      </c>
      <c r="F2119" s="21"/>
    </row>
    <row r="2120">
      <c r="A2120" s="19">
        <v>13329.0</v>
      </c>
      <c r="B2120" s="19" t="s">
        <v>2151</v>
      </c>
      <c r="C2120" s="20">
        <v>26626.0</v>
      </c>
      <c r="D2120" s="19" t="str">
        <f t="shared" si="1"/>
        <v> </v>
      </c>
      <c r="E2120" s="19" t="str">
        <f t="shared" si="2"/>
        <v> </v>
      </c>
      <c r="F2120" s="21"/>
    </row>
    <row r="2121">
      <c r="A2121" s="19">
        <v>13330.0</v>
      </c>
      <c r="B2121" s="19" t="s">
        <v>2152</v>
      </c>
      <c r="C2121" s="20">
        <v>28022.0</v>
      </c>
      <c r="D2121" s="19" t="str">
        <f t="shared" si="1"/>
        <v> </v>
      </c>
      <c r="E2121" s="19" t="str">
        <f t="shared" si="2"/>
        <v> </v>
      </c>
      <c r="F2121" s="21"/>
    </row>
    <row r="2122">
      <c r="A2122" s="19">
        <v>13331.0</v>
      </c>
      <c r="B2122" s="19" t="s">
        <v>2153</v>
      </c>
      <c r="C2122" s="20">
        <v>17613.0</v>
      </c>
      <c r="D2122" s="19" t="str">
        <f t="shared" si="1"/>
        <v> </v>
      </c>
      <c r="E2122" s="19" t="str">
        <f t="shared" si="2"/>
        <v> </v>
      </c>
      <c r="F2122" s="21"/>
    </row>
    <row r="2123">
      <c r="A2123" s="19">
        <v>13332.0</v>
      </c>
      <c r="B2123" s="19" t="s">
        <v>2154</v>
      </c>
      <c r="C2123" s="20">
        <v>18573.0</v>
      </c>
      <c r="D2123" s="19" t="str">
        <f t="shared" si="1"/>
        <v> </v>
      </c>
      <c r="E2123" s="19" t="str">
        <f t="shared" si="2"/>
        <v> </v>
      </c>
      <c r="F2123" s="21"/>
    </row>
    <row r="2124">
      <c r="A2124" s="19">
        <v>13334.0</v>
      </c>
      <c r="B2124" s="19" t="s">
        <v>2155</v>
      </c>
      <c r="C2124" s="20">
        <v>22843.0</v>
      </c>
      <c r="D2124" s="19" t="str">
        <f t="shared" si="1"/>
        <v> </v>
      </c>
      <c r="E2124" s="19" t="str">
        <f t="shared" si="2"/>
        <v> </v>
      </c>
      <c r="F2124" s="21"/>
    </row>
    <row r="2125">
      <c r="A2125" s="19">
        <v>13336.0</v>
      </c>
      <c r="B2125" s="19" t="s">
        <v>2156</v>
      </c>
      <c r="C2125" s="20">
        <v>15346.0</v>
      </c>
      <c r="D2125" s="19" t="str">
        <f t="shared" si="1"/>
        <v> </v>
      </c>
      <c r="E2125" s="19" t="str">
        <f t="shared" si="2"/>
        <v> </v>
      </c>
      <c r="F2125" s="21"/>
    </row>
    <row r="2126">
      <c r="A2126" s="19">
        <v>13337.0</v>
      </c>
      <c r="B2126" s="19" t="s">
        <v>2157</v>
      </c>
      <c r="C2126" s="20">
        <v>24039.0</v>
      </c>
      <c r="D2126" s="19" t="str">
        <f t="shared" si="1"/>
        <v> </v>
      </c>
      <c r="E2126" s="19" t="str">
        <f t="shared" si="2"/>
        <v> </v>
      </c>
      <c r="F2126" s="21"/>
    </row>
    <row r="2127">
      <c r="A2127" s="19">
        <v>13338.0</v>
      </c>
      <c r="B2127" s="19" t="s">
        <v>2158</v>
      </c>
      <c r="C2127" s="20">
        <v>23074.0</v>
      </c>
      <c r="D2127" s="19" t="str">
        <f t="shared" si="1"/>
        <v> </v>
      </c>
      <c r="E2127" s="19" t="str">
        <f t="shared" si="2"/>
        <v> </v>
      </c>
      <c r="F2127" s="21"/>
    </row>
    <row r="2128">
      <c r="A2128" s="19">
        <v>13339.0</v>
      </c>
      <c r="B2128" s="19" t="s">
        <v>2159</v>
      </c>
      <c r="C2128" s="20">
        <v>21631.0</v>
      </c>
      <c r="D2128" s="19" t="str">
        <f t="shared" si="1"/>
        <v> </v>
      </c>
      <c r="E2128" s="19" t="str">
        <f t="shared" si="2"/>
        <v> </v>
      </c>
      <c r="F2128" s="21"/>
    </row>
    <row r="2129">
      <c r="A2129" s="19">
        <v>13342.0</v>
      </c>
      <c r="B2129" s="19" t="s">
        <v>2160</v>
      </c>
      <c r="C2129" s="20">
        <v>19837.0</v>
      </c>
      <c r="D2129" s="19" t="str">
        <f t="shared" si="1"/>
        <v> </v>
      </c>
      <c r="E2129" s="19" t="str">
        <f t="shared" si="2"/>
        <v> </v>
      </c>
      <c r="F2129" s="21"/>
    </row>
    <row r="2130">
      <c r="A2130" s="19">
        <v>13344.0</v>
      </c>
      <c r="B2130" s="19" t="s">
        <v>2161</v>
      </c>
      <c r="C2130" s="20">
        <v>24375.0</v>
      </c>
      <c r="D2130" s="19" t="str">
        <f t="shared" si="1"/>
        <v> </v>
      </c>
      <c r="E2130" s="19" t="str">
        <f t="shared" si="2"/>
        <v> </v>
      </c>
      <c r="F2130" s="21"/>
    </row>
    <row r="2131">
      <c r="A2131" s="19">
        <v>13348.0</v>
      </c>
      <c r="B2131" s="19" t="s">
        <v>2162</v>
      </c>
      <c r="C2131" s="20">
        <v>19524.0</v>
      </c>
      <c r="D2131" s="19" t="str">
        <f t="shared" si="1"/>
        <v> </v>
      </c>
      <c r="E2131" s="19" t="str">
        <f t="shared" si="2"/>
        <v> </v>
      </c>
      <c r="F2131" s="21"/>
    </row>
    <row r="2132">
      <c r="A2132" s="19">
        <v>13349.0</v>
      </c>
      <c r="B2132" s="19" t="s">
        <v>2163</v>
      </c>
      <c r="C2132" s="20">
        <v>24549.0</v>
      </c>
      <c r="D2132" s="19" t="str">
        <f t="shared" si="1"/>
        <v> </v>
      </c>
      <c r="E2132" s="19" t="str">
        <f t="shared" si="2"/>
        <v> </v>
      </c>
      <c r="F2132" s="21"/>
    </row>
    <row r="2133">
      <c r="A2133" s="19">
        <v>13350.0</v>
      </c>
      <c r="B2133" s="19" t="s">
        <v>2164</v>
      </c>
      <c r="C2133" s="20">
        <v>31655.0</v>
      </c>
      <c r="D2133" s="19" t="str">
        <f t="shared" si="1"/>
        <v> </v>
      </c>
      <c r="E2133" s="19" t="str">
        <f t="shared" si="2"/>
        <v> </v>
      </c>
      <c r="F2133" s="21"/>
    </row>
    <row r="2134">
      <c r="A2134" s="19">
        <v>13353.0</v>
      </c>
      <c r="B2134" s="19" t="s">
        <v>2165</v>
      </c>
      <c r="C2134" s="20">
        <v>23623.0</v>
      </c>
      <c r="D2134" s="19" t="str">
        <f t="shared" si="1"/>
        <v> </v>
      </c>
      <c r="E2134" s="19" t="str">
        <f t="shared" si="2"/>
        <v> </v>
      </c>
      <c r="F2134" s="21"/>
    </row>
    <row r="2135">
      <c r="A2135" s="19">
        <v>13355.0</v>
      </c>
      <c r="B2135" s="19" t="s">
        <v>2166</v>
      </c>
      <c r="C2135" s="20">
        <v>27322.0</v>
      </c>
      <c r="D2135" s="19" t="str">
        <f t="shared" si="1"/>
        <v> </v>
      </c>
      <c r="E2135" s="19" t="str">
        <f t="shared" si="2"/>
        <v> </v>
      </c>
      <c r="F2135" s="21"/>
    </row>
    <row r="2136">
      <c r="A2136" s="19">
        <v>13356.0</v>
      </c>
      <c r="B2136" s="19" t="s">
        <v>2167</v>
      </c>
      <c r="C2136" s="20">
        <v>30492.0</v>
      </c>
      <c r="D2136" s="19" t="str">
        <f t="shared" si="1"/>
        <v> </v>
      </c>
      <c r="E2136" s="19" t="str">
        <f t="shared" si="2"/>
        <v> </v>
      </c>
      <c r="F2136" s="21"/>
    </row>
    <row r="2137">
      <c r="A2137" s="19">
        <v>13357.0</v>
      </c>
      <c r="B2137" s="19" t="s">
        <v>2168</v>
      </c>
      <c r="C2137" s="20">
        <v>20115.0</v>
      </c>
      <c r="D2137" s="19" t="str">
        <f t="shared" si="1"/>
        <v> </v>
      </c>
      <c r="E2137" s="19" t="str">
        <f t="shared" si="2"/>
        <v> </v>
      </c>
      <c r="F2137" s="21"/>
    </row>
    <row r="2138">
      <c r="A2138" s="19">
        <v>13358.0</v>
      </c>
      <c r="B2138" s="19" t="s">
        <v>2169</v>
      </c>
      <c r="C2138" s="20">
        <v>36171.0</v>
      </c>
      <c r="D2138" s="19" t="str">
        <f t="shared" si="1"/>
        <v> </v>
      </c>
      <c r="E2138" s="19" t="str">
        <f t="shared" si="2"/>
        <v> </v>
      </c>
      <c r="F2138" s="21"/>
    </row>
    <row r="2139">
      <c r="A2139" s="19">
        <v>13359.0</v>
      </c>
      <c r="B2139" s="19" t="s">
        <v>2170</v>
      </c>
      <c r="C2139" s="20">
        <v>16573.0</v>
      </c>
      <c r="D2139" s="19" t="str">
        <f t="shared" si="1"/>
        <v> </v>
      </c>
      <c r="E2139" s="19" t="str">
        <f t="shared" si="2"/>
        <v> </v>
      </c>
      <c r="F2139" s="21"/>
    </row>
    <row r="2140">
      <c r="A2140" s="19">
        <v>13360.0</v>
      </c>
      <c r="B2140" s="19" t="s">
        <v>2171</v>
      </c>
      <c r="C2140" s="20">
        <v>18616.0</v>
      </c>
      <c r="D2140" s="19" t="str">
        <f t="shared" si="1"/>
        <v> </v>
      </c>
      <c r="E2140" s="19" t="str">
        <f t="shared" si="2"/>
        <v> </v>
      </c>
      <c r="F2140" s="21"/>
    </row>
    <row r="2141">
      <c r="A2141" s="19">
        <v>13361.0</v>
      </c>
      <c r="B2141" s="19" t="s">
        <v>2172</v>
      </c>
      <c r="C2141" s="20">
        <v>15748.0</v>
      </c>
      <c r="D2141" s="19" t="str">
        <f t="shared" si="1"/>
        <v> </v>
      </c>
      <c r="E2141" s="19" t="str">
        <f t="shared" si="2"/>
        <v> </v>
      </c>
      <c r="F2141" s="21"/>
    </row>
    <row r="2142">
      <c r="A2142" s="19">
        <v>13362.0</v>
      </c>
      <c r="B2142" s="19" t="s">
        <v>2173</v>
      </c>
      <c r="C2142" s="20">
        <v>22098.0</v>
      </c>
      <c r="D2142" s="19" t="str">
        <f t="shared" si="1"/>
        <v> </v>
      </c>
      <c r="E2142" s="19" t="str">
        <f t="shared" si="2"/>
        <v> </v>
      </c>
      <c r="F2142" s="21"/>
    </row>
    <row r="2143">
      <c r="A2143" s="19">
        <v>13363.0</v>
      </c>
      <c r="B2143" s="19" t="s">
        <v>2174</v>
      </c>
      <c r="C2143" s="20">
        <v>15853.0</v>
      </c>
      <c r="D2143" s="19" t="str">
        <f t="shared" si="1"/>
        <v> </v>
      </c>
      <c r="E2143" s="19" t="str">
        <f t="shared" si="2"/>
        <v> </v>
      </c>
      <c r="F2143" s="21"/>
    </row>
    <row r="2144">
      <c r="A2144" s="19">
        <v>13364.0</v>
      </c>
      <c r="B2144" s="19" t="s">
        <v>2175</v>
      </c>
      <c r="C2144" s="20">
        <v>35818.0</v>
      </c>
      <c r="D2144" s="19" t="str">
        <f t="shared" si="1"/>
        <v> </v>
      </c>
      <c r="E2144" s="19" t="str">
        <f t="shared" si="2"/>
        <v> </v>
      </c>
      <c r="F2144" s="21"/>
    </row>
    <row r="2145">
      <c r="A2145" s="19">
        <v>13367.0</v>
      </c>
      <c r="B2145" s="19" t="s">
        <v>2176</v>
      </c>
      <c r="C2145" s="20">
        <v>20122.0</v>
      </c>
      <c r="D2145" s="19" t="str">
        <f t="shared" si="1"/>
        <v>Repeat</v>
      </c>
      <c r="E2145" s="19" t="str">
        <f t="shared" si="2"/>
        <v> </v>
      </c>
      <c r="F2145" s="21"/>
    </row>
    <row r="2146">
      <c r="A2146" s="19">
        <v>13368.0</v>
      </c>
      <c r="B2146" s="19" t="s">
        <v>2177</v>
      </c>
      <c r="C2146" s="20">
        <v>34588.0</v>
      </c>
      <c r="D2146" s="19" t="str">
        <f t="shared" si="1"/>
        <v> </v>
      </c>
      <c r="E2146" s="19" t="str">
        <f t="shared" si="2"/>
        <v> </v>
      </c>
      <c r="F2146" s="21"/>
    </row>
    <row r="2147">
      <c r="A2147" s="19">
        <v>13369.0</v>
      </c>
      <c r="B2147" s="19" t="s">
        <v>2178</v>
      </c>
      <c r="C2147" s="20">
        <v>12842.0</v>
      </c>
      <c r="D2147" s="19" t="str">
        <f t="shared" si="1"/>
        <v>Repeat</v>
      </c>
      <c r="E2147" s="19" t="str">
        <f t="shared" si="2"/>
        <v> </v>
      </c>
      <c r="F2147" s="21"/>
    </row>
    <row r="2148">
      <c r="A2148" s="19">
        <v>13370.0</v>
      </c>
      <c r="B2148" s="19" t="s">
        <v>2179</v>
      </c>
      <c r="C2148" s="20">
        <v>35860.0</v>
      </c>
      <c r="D2148" s="19" t="str">
        <f t="shared" si="1"/>
        <v> </v>
      </c>
      <c r="E2148" s="19" t="str">
        <f t="shared" si="2"/>
        <v> </v>
      </c>
      <c r="F2148" s="21"/>
    </row>
    <row r="2149">
      <c r="A2149" s="19">
        <v>13371.0</v>
      </c>
      <c r="B2149" s="19" t="s">
        <v>2180</v>
      </c>
      <c r="C2149" s="20">
        <v>32272.0</v>
      </c>
      <c r="D2149" s="19" t="str">
        <f t="shared" si="1"/>
        <v> </v>
      </c>
      <c r="E2149" s="19" t="str">
        <f t="shared" si="2"/>
        <v> </v>
      </c>
      <c r="F2149" s="21"/>
    </row>
    <row r="2150">
      <c r="A2150" s="19">
        <v>13372.0</v>
      </c>
      <c r="B2150" s="19" t="s">
        <v>2181</v>
      </c>
      <c r="C2150" s="20">
        <v>35814.0</v>
      </c>
      <c r="D2150" s="19" t="str">
        <f t="shared" si="1"/>
        <v> </v>
      </c>
      <c r="E2150" s="19" t="str">
        <f t="shared" si="2"/>
        <v> </v>
      </c>
      <c r="F2150" s="21"/>
    </row>
    <row r="2151">
      <c r="A2151" s="19">
        <v>13373.0</v>
      </c>
      <c r="B2151" s="19" t="s">
        <v>2182</v>
      </c>
      <c r="C2151" s="20">
        <v>14775.0</v>
      </c>
      <c r="D2151" s="19" t="str">
        <f t="shared" si="1"/>
        <v>Repeat</v>
      </c>
      <c r="E2151" s="19" t="str">
        <f t="shared" si="2"/>
        <v> </v>
      </c>
      <c r="F2151" s="21"/>
    </row>
    <row r="2152">
      <c r="A2152" s="19">
        <v>13374.0</v>
      </c>
      <c r="B2152" s="19" t="s">
        <v>2183</v>
      </c>
      <c r="C2152" s="20">
        <v>24116.0</v>
      </c>
      <c r="D2152" s="19" t="str">
        <f t="shared" si="1"/>
        <v> </v>
      </c>
      <c r="E2152" s="19" t="str">
        <f t="shared" si="2"/>
        <v> </v>
      </c>
      <c r="F2152" s="21"/>
    </row>
    <row r="2153">
      <c r="A2153" s="19">
        <v>13375.0</v>
      </c>
      <c r="B2153" s="19" t="s">
        <v>2184</v>
      </c>
      <c r="C2153" s="20">
        <v>28113.0</v>
      </c>
      <c r="D2153" s="19" t="str">
        <f t="shared" si="1"/>
        <v> </v>
      </c>
      <c r="E2153" s="19" t="str">
        <f t="shared" si="2"/>
        <v> </v>
      </c>
      <c r="F2153" s="21"/>
    </row>
    <row r="2154">
      <c r="A2154" s="19">
        <v>13376.0</v>
      </c>
      <c r="B2154" s="19" t="s">
        <v>2185</v>
      </c>
      <c r="C2154" s="20">
        <v>19556.0</v>
      </c>
      <c r="D2154" s="19" t="str">
        <f t="shared" si="1"/>
        <v> </v>
      </c>
      <c r="E2154" s="19" t="str">
        <f t="shared" si="2"/>
        <v> </v>
      </c>
      <c r="F2154" s="21"/>
    </row>
    <row r="2155">
      <c r="A2155" s="19">
        <v>13377.0</v>
      </c>
      <c r="B2155" s="19" t="s">
        <v>2186</v>
      </c>
      <c r="C2155" s="20">
        <v>29960.0</v>
      </c>
      <c r="D2155" s="19" t="str">
        <f t="shared" si="1"/>
        <v> </v>
      </c>
      <c r="E2155" s="19" t="str">
        <f t="shared" si="2"/>
        <v> </v>
      </c>
      <c r="F2155" s="21"/>
    </row>
    <row r="2156">
      <c r="A2156" s="19">
        <v>13379.0</v>
      </c>
      <c r="B2156" s="19" t="s">
        <v>2187</v>
      </c>
      <c r="C2156" s="20">
        <v>11769.0</v>
      </c>
      <c r="D2156" s="19" t="str">
        <f t="shared" si="1"/>
        <v> </v>
      </c>
      <c r="E2156" s="19" t="str">
        <f t="shared" si="2"/>
        <v> </v>
      </c>
      <c r="F2156" s="21"/>
    </row>
    <row r="2157">
      <c r="A2157" s="19">
        <v>13380.0</v>
      </c>
      <c r="B2157" s="19" t="s">
        <v>2188</v>
      </c>
      <c r="C2157" s="20">
        <v>15948.0</v>
      </c>
      <c r="D2157" s="19" t="str">
        <f t="shared" si="1"/>
        <v> </v>
      </c>
      <c r="E2157" s="19" t="str">
        <f t="shared" si="2"/>
        <v> </v>
      </c>
      <c r="F2157" s="21"/>
    </row>
    <row r="2158">
      <c r="A2158" s="19">
        <v>13381.0</v>
      </c>
      <c r="B2158" s="19" t="s">
        <v>2189</v>
      </c>
      <c r="C2158" s="20">
        <v>28026.0</v>
      </c>
      <c r="D2158" s="19" t="str">
        <f t="shared" si="1"/>
        <v> </v>
      </c>
      <c r="E2158" s="19" t="str">
        <f t="shared" si="2"/>
        <v> </v>
      </c>
      <c r="F2158" s="21"/>
    </row>
    <row r="2159">
      <c r="A2159" s="19">
        <v>13383.0</v>
      </c>
      <c r="B2159" s="19" t="s">
        <v>2190</v>
      </c>
      <c r="C2159" s="20">
        <v>27079.0</v>
      </c>
      <c r="D2159" s="19" t="str">
        <f t="shared" si="1"/>
        <v> </v>
      </c>
      <c r="E2159" s="19" t="str">
        <f t="shared" si="2"/>
        <v> </v>
      </c>
      <c r="F2159" s="21"/>
    </row>
    <row r="2160">
      <c r="A2160" s="19">
        <v>13384.0</v>
      </c>
      <c r="B2160" s="19" t="s">
        <v>2191</v>
      </c>
      <c r="C2160" s="20">
        <v>24863.0</v>
      </c>
      <c r="D2160" s="19" t="str">
        <f t="shared" si="1"/>
        <v> </v>
      </c>
      <c r="E2160" s="19" t="str">
        <f t="shared" si="2"/>
        <v> </v>
      </c>
      <c r="F2160" s="21"/>
    </row>
    <row r="2161">
      <c r="A2161" s="19">
        <v>13386.0</v>
      </c>
      <c r="B2161" s="19" t="s">
        <v>2192</v>
      </c>
      <c r="C2161" s="20">
        <v>23761.0</v>
      </c>
      <c r="D2161" s="19" t="str">
        <f t="shared" si="1"/>
        <v> </v>
      </c>
      <c r="E2161" s="19" t="str">
        <f t="shared" si="2"/>
        <v> </v>
      </c>
      <c r="F2161" s="21"/>
    </row>
    <row r="2162">
      <c r="A2162" s="19">
        <v>13387.0</v>
      </c>
      <c r="B2162" s="19" t="s">
        <v>2193</v>
      </c>
      <c r="C2162" s="20">
        <v>17950.0</v>
      </c>
      <c r="D2162" s="19" t="str">
        <f t="shared" si="1"/>
        <v> </v>
      </c>
      <c r="E2162" s="19" t="str">
        <f t="shared" si="2"/>
        <v> </v>
      </c>
      <c r="F2162" s="21"/>
    </row>
    <row r="2163">
      <c r="A2163" s="19">
        <v>13388.0</v>
      </c>
      <c r="B2163" s="19" t="s">
        <v>2194</v>
      </c>
      <c r="C2163" s="20">
        <v>23605.0</v>
      </c>
      <c r="D2163" s="19" t="str">
        <f t="shared" si="1"/>
        <v> </v>
      </c>
      <c r="E2163" s="19" t="str">
        <f t="shared" si="2"/>
        <v> </v>
      </c>
      <c r="F2163" s="21"/>
    </row>
    <row r="2164">
      <c r="A2164" s="19">
        <v>13389.0</v>
      </c>
      <c r="B2164" s="19" t="s">
        <v>2195</v>
      </c>
      <c r="C2164" s="20">
        <v>11099.0</v>
      </c>
      <c r="D2164" s="19" t="str">
        <f t="shared" si="1"/>
        <v> </v>
      </c>
      <c r="E2164" s="19" t="str">
        <f t="shared" si="2"/>
        <v> </v>
      </c>
      <c r="F2164" s="21"/>
    </row>
    <row r="2165">
      <c r="A2165" s="19">
        <v>13390.0</v>
      </c>
      <c r="B2165" s="19" t="s">
        <v>2196</v>
      </c>
      <c r="C2165" s="20">
        <v>16395.0</v>
      </c>
      <c r="D2165" s="19" t="str">
        <f t="shared" si="1"/>
        <v> </v>
      </c>
      <c r="E2165" s="19" t="str">
        <f t="shared" si="2"/>
        <v> </v>
      </c>
      <c r="F2165" s="21"/>
    </row>
    <row r="2166">
      <c r="A2166" s="19">
        <v>13391.0</v>
      </c>
      <c r="B2166" s="19" t="s">
        <v>2197</v>
      </c>
      <c r="C2166" s="20">
        <v>24313.0</v>
      </c>
      <c r="D2166" s="19" t="str">
        <f t="shared" si="1"/>
        <v> </v>
      </c>
      <c r="E2166" s="19" t="str">
        <f t="shared" si="2"/>
        <v> </v>
      </c>
      <c r="F2166" s="21"/>
    </row>
    <row r="2167">
      <c r="A2167" s="19">
        <v>13394.0</v>
      </c>
      <c r="B2167" s="19" t="s">
        <v>2198</v>
      </c>
      <c r="C2167" s="20">
        <v>31473.0</v>
      </c>
      <c r="D2167" s="19" t="str">
        <f t="shared" si="1"/>
        <v> </v>
      </c>
      <c r="E2167" s="19" t="str">
        <f t="shared" si="2"/>
        <v> </v>
      </c>
      <c r="F2167" s="21"/>
    </row>
    <row r="2168">
      <c r="A2168" s="19">
        <v>13396.0</v>
      </c>
      <c r="B2168" s="19" t="s">
        <v>2199</v>
      </c>
      <c r="C2168" s="20">
        <v>26558.0</v>
      </c>
      <c r="D2168" s="19" t="str">
        <f t="shared" si="1"/>
        <v> </v>
      </c>
      <c r="E2168" s="19" t="str">
        <f t="shared" si="2"/>
        <v> </v>
      </c>
      <c r="F2168" s="21"/>
    </row>
    <row r="2169">
      <c r="A2169" s="19">
        <v>13397.0</v>
      </c>
      <c r="B2169" s="19" t="s">
        <v>2200</v>
      </c>
      <c r="C2169" s="20">
        <v>29375.0</v>
      </c>
      <c r="D2169" s="19" t="str">
        <f t="shared" si="1"/>
        <v> </v>
      </c>
      <c r="E2169" s="19" t="str">
        <f t="shared" si="2"/>
        <v> </v>
      </c>
      <c r="F2169" s="21"/>
    </row>
    <row r="2170">
      <c r="A2170" s="19">
        <v>13398.0</v>
      </c>
      <c r="B2170" s="19" t="s">
        <v>2201</v>
      </c>
      <c r="C2170" s="20">
        <v>20859.0</v>
      </c>
      <c r="D2170" s="19" t="str">
        <f t="shared" si="1"/>
        <v> </v>
      </c>
      <c r="E2170" s="19" t="str">
        <f t="shared" si="2"/>
        <v> </v>
      </c>
      <c r="F2170" s="21"/>
    </row>
    <row r="2171">
      <c r="A2171" s="19">
        <v>13401.0</v>
      </c>
      <c r="B2171" s="19" t="s">
        <v>2202</v>
      </c>
      <c r="C2171" s="20">
        <v>23906.0</v>
      </c>
      <c r="D2171" s="19" t="str">
        <f t="shared" si="1"/>
        <v> </v>
      </c>
      <c r="E2171" s="19" t="str">
        <f t="shared" si="2"/>
        <v> </v>
      </c>
      <c r="F2171" s="21"/>
    </row>
    <row r="2172">
      <c r="A2172" s="19">
        <v>13402.0</v>
      </c>
      <c r="B2172" s="19" t="s">
        <v>2203</v>
      </c>
      <c r="C2172" s="20">
        <v>27668.0</v>
      </c>
      <c r="D2172" s="19" t="str">
        <f t="shared" si="1"/>
        <v> </v>
      </c>
      <c r="E2172" s="19" t="str">
        <f t="shared" si="2"/>
        <v> </v>
      </c>
      <c r="F2172" s="21"/>
    </row>
    <row r="2173">
      <c r="A2173" s="19">
        <v>13403.0</v>
      </c>
      <c r="B2173" s="19" t="s">
        <v>2204</v>
      </c>
      <c r="C2173" s="20">
        <v>23973.0</v>
      </c>
      <c r="D2173" s="19" t="str">
        <f t="shared" si="1"/>
        <v> </v>
      </c>
      <c r="E2173" s="19" t="str">
        <f t="shared" si="2"/>
        <v> </v>
      </c>
      <c r="F2173" s="21"/>
    </row>
    <row r="2174">
      <c r="A2174" s="19">
        <v>13404.0</v>
      </c>
      <c r="B2174" s="19" t="s">
        <v>2205</v>
      </c>
      <c r="C2174" s="20">
        <v>22340.0</v>
      </c>
      <c r="D2174" s="19" t="str">
        <f t="shared" si="1"/>
        <v> </v>
      </c>
      <c r="E2174" s="19" t="str">
        <f t="shared" si="2"/>
        <v> </v>
      </c>
      <c r="F2174" s="21"/>
    </row>
    <row r="2175">
      <c r="A2175" s="19">
        <v>13405.0</v>
      </c>
      <c r="B2175" s="19" t="s">
        <v>2206</v>
      </c>
      <c r="C2175" s="20">
        <v>23929.0</v>
      </c>
      <c r="D2175" s="19" t="str">
        <f t="shared" si="1"/>
        <v> </v>
      </c>
      <c r="E2175" s="19" t="str">
        <f t="shared" si="2"/>
        <v>Repeat</v>
      </c>
      <c r="F2175" s="21"/>
    </row>
    <row r="2176">
      <c r="A2176" s="19">
        <v>13408.0</v>
      </c>
      <c r="B2176" s="19" t="s">
        <v>2207</v>
      </c>
      <c r="C2176" s="20">
        <v>17829.0</v>
      </c>
      <c r="D2176" s="19" t="str">
        <f t="shared" si="1"/>
        <v> </v>
      </c>
      <c r="E2176" s="19" t="str">
        <f t="shared" si="2"/>
        <v> </v>
      </c>
      <c r="F2176" s="21"/>
    </row>
    <row r="2177">
      <c r="A2177" s="19">
        <v>13409.0</v>
      </c>
      <c r="B2177" s="19" t="s">
        <v>2208</v>
      </c>
      <c r="C2177" s="20">
        <v>23489.0</v>
      </c>
      <c r="D2177" s="19" t="str">
        <f t="shared" si="1"/>
        <v> </v>
      </c>
      <c r="E2177" s="19" t="str">
        <f t="shared" si="2"/>
        <v> </v>
      </c>
      <c r="F2177" s="21"/>
    </row>
    <row r="2178">
      <c r="A2178" s="19">
        <v>13410.0</v>
      </c>
      <c r="B2178" s="19" t="s">
        <v>2209</v>
      </c>
      <c r="C2178" s="20">
        <v>29956.0</v>
      </c>
      <c r="D2178" s="19" t="str">
        <f t="shared" si="1"/>
        <v> </v>
      </c>
      <c r="E2178" s="19" t="str">
        <f t="shared" si="2"/>
        <v> </v>
      </c>
      <c r="F2178" s="21"/>
    </row>
    <row r="2179">
      <c r="A2179" s="19">
        <v>13411.0</v>
      </c>
      <c r="B2179" s="19" t="s">
        <v>2210</v>
      </c>
      <c r="C2179" s="20">
        <v>13234.0</v>
      </c>
      <c r="D2179" s="19" t="str">
        <f t="shared" si="1"/>
        <v> </v>
      </c>
      <c r="E2179" s="19" t="str">
        <f t="shared" si="2"/>
        <v> </v>
      </c>
      <c r="F2179" s="21"/>
    </row>
    <row r="2180">
      <c r="A2180" s="19">
        <v>13412.0</v>
      </c>
      <c r="B2180" s="19" t="s">
        <v>2211</v>
      </c>
      <c r="C2180" s="20">
        <v>23853.0</v>
      </c>
      <c r="D2180" s="19" t="str">
        <f t="shared" si="1"/>
        <v> </v>
      </c>
      <c r="E2180" s="19" t="str">
        <f t="shared" si="2"/>
        <v> </v>
      </c>
      <c r="F2180" s="21"/>
    </row>
    <row r="2181">
      <c r="A2181" s="19">
        <v>13413.0</v>
      </c>
      <c r="B2181" s="19" t="s">
        <v>2212</v>
      </c>
      <c r="C2181" s="20">
        <v>23843.0</v>
      </c>
      <c r="D2181" s="19" t="str">
        <f t="shared" si="1"/>
        <v> </v>
      </c>
      <c r="E2181" s="19" t="str">
        <f t="shared" si="2"/>
        <v> </v>
      </c>
      <c r="F2181" s="21"/>
    </row>
    <row r="2182">
      <c r="A2182" s="19">
        <v>13414.0</v>
      </c>
      <c r="B2182" s="19" t="s">
        <v>2213</v>
      </c>
      <c r="C2182" s="20">
        <v>15253.0</v>
      </c>
      <c r="D2182" s="19" t="str">
        <f t="shared" si="1"/>
        <v> </v>
      </c>
      <c r="E2182" s="19" t="str">
        <f t="shared" si="2"/>
        <v> </v>
      </c>
      <c r="F2182" s="21"/>
    </row>
    <row r="2183">
      <c r="A2183" s="19">
        <v>13416.0</v>
      </c>
      <c r="B2183" s="19" t="s">
        <v>2214</v>
      </c>
      <c r="C2183" s="20">
        <v>33613.0</v>
      </c>
      <c r="D2183" s="19" t="str">
        <f t="shared" si="1"/>
        <v> </v>
      </c>
      <c r="E2183" s="19" t="str">
        <f t="shared" si="2"/>
        <v> </v>
      </c>
      <c r="F2183" s="21"/>
    </row>
    <row r="2184">
      <c r="A2184" s="19">
        <v>13417.0</v>
      </c>
      <c r="B2184" s="19" t="s">
        <v>2215</v>
      </c>
      <c r="C2184" s="20">
        <v>25871.0</v>
      </c>
      <c r="D2184" s="19" t="str">
        <f t="shared" si="1"/>
        <v> </v>
      </c>
      <c r="E2184" s="19" t="str">
        <f t="shared" si="2"/>
        <v> </v>
      </c>
      <c r="F2184" s="21"/>
    </row>
    <row r="2185">
      <c r="A2185" s="19">
        <v>13419.0</v>
      </c>
      <c r="B2185" s="19" t="s">
        <v>2216</v>
      </c>
      <c r="C2185" s="20">
        <v>28160.0</v>
      </c>
      <c r="D2185" s="19" t="str">
        <f t="shared" si="1"/>
        <v> </v>
      </c>
      <c r="E2185" s="19" t="str">
        <f t="shared" si="2"/>
        <v> </v>
      </c>
      <c r="F2185" s="21"/>
    </row>
    <row r="2186">
      <c r="A2186" s="19">
        <v>13422.0</v>
      </c>
      <c r="B2186" s="19" t="s">
        <v>2217</v>
      </c>
      <c r="C2186" s="20">
        <v>22036.0</v>
      </c>
      <c r="D2186" s="19" t="str">
        <f t="shared" si="1"/>
        <v> </v>
      </c>
      <c r="E2186" s="19" t="str">
        <f t="shared" si="2"/>
        <v> </v>
      </c>
      <c r="F2186" s="21"/>
    </row>
    <row r="2187">
      <c r="A2187" s="19">
        <v>13424.0</v>
      </c>
      <c r="B2187" s="19" t="s">
        <v>2218</v>
      </c>
      <c r="C2187" s="20">
        <v>14544.0</v>
      </c>
      <c r="D2187" s="19" t="str">
        <f t="shared" si="1"/>
        <v> </v>
      </c>
      <c r="E2187" s="19" t="str">
        <f t="shared" si="2"/>
        <v> </v>
      </c>
      <c r="F2187" s="21"/>
    </row>
    <row r="2188">
      <c r="A2188" s="19">
        <v>13428.0</v>
      </c>
      <c r="B2188" s="19" t="s">
        <v>2219</v>
      </c>
      <c r="C2188" s="20">
        <v>16093.0</v>
      </c>
      <c r="D2188" s="19" t="str">
        <f t="shared" si="1"/>
        <v> </v>
      </c>
      <c r="E2188" s="19" t="str">
        <f t="shared" si="2"/>
        <v> </v>
      </c>
      <c r="F2188" s="21"/>
    </row>
    <row r="2189">
      <c r="A2189" s="19">
        <v>13429.0</v>
      </c>
      <c r="B2189" s="19" t="s">
        <v>2220</v>
      </c>
      <c r="C2189" s="20">
        <v>18323.0</v>
      </c>
      <c r="D2189" s="19" t="str">
        <f t="shared" si="1"/>
        <v> </v>
      </c>
      <c r="E2189" s="19" t="str">
        <f t="shared" si="2"/>
        <v> </v>
      </c>
      <c r="F2189" s="21"/>
    </row>
    <row r="2190">
      <c r="A2190" s="19">
        <v>13430.0</v>
      </c>
      <c r="B2190" s="19" t="s">
        <v>2221</v>
      </c>
      <c r="C2190" s="20">
        <v>12403.0</v>
      </c>
      <c r="D2190" s="19" t="str">
        <f t="shared" si="1"/>
        <v> </v>
      </c>
      <c r="E2190" s="19" t="str">
        <f t="shared" si="2"/>
        <v> </v>
      </c>
      <c r="F2190" s="21"/>
    </row>
    <row r="2191">
      <c r="A2191" s="19">
        <v>13432.0</v>
      </c>
      <c r="B2191" s="19" t="s">
        <v>2222</v>
      </c>
      <c r="C2191" s="20">
        <v>26678.0</v>
      </c>
      <c r="D2191" s="19" t="str">
        <f t="shared" si="1"/>
        <v> </v>
      </c>
      <c r="E2191" s="19" t="str">
        <f t="shared" si="2"/>
        <v> </v>
      </c>
      <c r="F2191" s="21"/>
    </row>
    <row r="2192">
      <c r="A2192" s="19">
        <v>13433.0</v>
      </c>
      <c r="B2192" s="19" t="s">
        <v>2223</v>
      </c>
      <c r="C2192" s="20">
        <v>35948.0</v>
      </c>
      <c r="D2192" s="19" t="str">
        <f t="shared" si="1"/>
        <v> </v>
      </c>
      <c r="E2192" s="19" t="str">
        <f t="shared" si="2"/>
        <v> </v>
      </c>
      <c r="F2192" s="21"/>
    </row>
    <row r="2193">
      <c r="A2193" s="19">
        <v>13434.0</v>
      </c>
      <c r="B2193" s="19" t="s">
        <v>2224</v>
      </c>
      <c r="C2193" s="20">
        <v>20122.0</v>
      </c>
      <c r="D2193" s="19" t="str">
        <f t="shared" si="1"/>
        <v> </v>
      </c>
      <c r="E2193" s="19" t="str">
        <f t="shared" si="2"/>
        <v> </v>
      </c>
      <c r="F2193" s="21"/>
    </row>
    <row r="2194">
      <c r="A2194" s="19">
        <v>13435.0</v>
      </c>
      <c r="B2194" s="19" t="s">
        <v>2225</v>
      </c>
      <c r="C2194" s="20">
        <v>22269.0</v>
      </c>
      <c r="D2194" s="19" t="str">
        <f t="shared" si="1"/>
        <v> </v>
      </c>
      <c r="E2194" s="19" t="str">
        <f t="shared" si="2"/>
        <v> </v>
      </c>
      <c r="F2194" s="21"/>
    </row>
    <row r="2195">
      <c r="A2195" s="19">
        <v>13436.0</v>
      </c>
      <c r="B2195" s="19" t="s">
        <v>2226</v>
      </c>
      <c r="C2195" s="20">
        <v>12775.0</v>
      </c>
      <c r="D2195" s="19" t="str">
        <f t="shared" si="1"/>
        <v> </v>
      </c>
      <c r="E2195" s="19" t="str">
        <f t="shared" si="2"/>
        <v> </v>
      </c>
      <c r="F2195" s="21"/>
    </row>
    <row r="2196">
      <c r="A2196" s="19">
        <v>13437.0</v>
      </c>
      <c r="B2196" s="19" t="s">
        <v>2227</v>
      </c>
      <c r="C2196" s="20">
        <v>18994.0</v>
      </c>
      <c r="D2196" s="19" t="str">
        <f t="shared" si="1"/>
        <v> </v>
      </c>
      <c r="E2196" s="19" t="str">
        <f t="shared" si="2"/>
        <v> </v>
      </c>
      <c r="F2196" s="21"/>
    </row>
    <row r="2197">
      <c r="A2197" s="19">
        <v>13438.0</v>
      </c>
      <c r="B2197" s="19" t="s">
        <v>2228</v>
      </c>
      <c r="C2197" s="20">
        <v>25227.0</v>
      </c>
      <c r="D2197" s="19" t="str">
        <f t="shared" si="1"/>
        <v> </v>
      </c>
      <c r="E2197" s="19" t="str">
        <f t="shared" si="2"/>
        <v> </v>
      </c>
      <c r="F2197" s="21"/>
    </row>
    <row r="2198">
      <c r="A2198" s="19">
        <v>13439.0</v>
      </c>
      <c r="B2198" s="19" t="s">
        <v>2229</v>
      </c>
      <c r="C2198" s="20">
        <v>28205.0</v>
      </c>
      <c r="D2198" s="19" t="str">
        <f t="shared" si="1"/>
        <v> </v>
      </c>
      <c r="E2198" s="19" t="str">
        <f t="shared" si="2"/>
        <v> </v>
      </c>
      <c r="F2198" s="21"/>
    </row>
    <row r="2199">
      <c r="A2199" s="19">
        <v>13440.0</v>
      </c>
      <c r="B2199" s="19" t="s">
        <v>2230</v>
      </c>
      <c r="C2199" s="20">
        <v>16642.0</v>
      </c>
      <c r="D2199" s="19" t="str">
        <f t="shared" si="1"/>
        <v> </v>
      </c>
      <c r="E2199" s="19" t="str">
        <f t="shared" si="2"/>
        <v> </v>
      </c>
      <c r="F2199" s="21"/>
    </row>
    <row r="2200">
      <c r="A2200" s="19">
        <v>13441.0</v>
      </c>
      <c r="B2200" s="19" t="s">
        <v>2231</v>
      </c>
      <c r="C2200" s="20">
        <v>18256.0</v>
      </c>
      <c r="D2200" s="19" t="str">
        <f t="shared" si="1"/>
        <v>Repeat</v>
      </c>
      <c r="E2200" s="19" t="str">
        <f t="shared" si="2"/>
        <v> </v>
      </c>
      <c r="F2200" s="21"/>
    </row>
    <row r="2201">
      <c r="A2201" s="19">
        <v>13442.0</v>
      </c>
      <c r="B2201" s="19" t="s">
        <v>2232</v>
      </c>
      <c r="C2201" s="20">
        <v>19087.0</v>
      </c>
      <c r="D2201" s="19" t="str">
        <f t="shared" si="1"/>
        <v> </v>
      </c>
      <c r="E2201" s="19" t="str">
        <f t="shared" si="2"/>
        <v> </v>
      </c>
      <c r="F2201" s="21"/>
    </row>
    <row r="2202">
      <c r="A2202" s="19">
        <v>13443.0</v>
      </c>
      <c r="B2202" s="19" t="s">
        <v>2233</v>
      </c>
      <c r="C2202" s="20">
        <v>14562.0</v>
      </c>
      <c r="D2202" s="19" t="str">
        <f t="shared" si="1"/>
        <v> </v>
      </c>
      <c r="E2202" s="19" t="str">
        <f t="shared" si="2"/>
        <v> </v>
      </c>
      <c r="F2202" s="21"/>
    </row>
    <row r="2203">
      <c r="A2203" s="19">
        <v>13444.0</v>
      </c>
      <c r="B2203" s="19" t="s">
        <v>2234</v>
      </c>
      <c r="C2203" s="20">
        <v>35496.0</v>
      </c>
      <c r="D2203" s="19" t="str">
        <f t="shared" si="1"/>
        <v> </v>
      </c>
      <c r="E2203" s="19" t="str">
        <f t="shared" si="2"/>
        <v> </v>
      </c>
      <c r="F2203" s="21"/>
    </row>
    <row r="2204">
      <c r="A2204" s="19">
        <v>13445.0</v>
      </c>
      <c r="B2204" s="19" t="s">
        <v>2235</v>
      </c>
      <c r="C2204" s="20">
        <v>30216.0</v>
      </c>
      <c r="D2204" s="19" t="str">
        <f t="shared" si="1"/>
        <v> </v>
      </c>
      <c r="E2204" s="19" t="str">
        <f t="shared" si="2"/>
        <v> </v>
      </c>
      <c r="F2204" s="21"/>
    </row>
    <row r="2205">
      <c r="A2205" s="19">
        <v>13446.0</v>
      </c>
      <c r="B2205" s="19" t="s">
        <v>2236</v>
      </c>
      <c r="C2205" s="20">
        <v>22265.0</v>
      </c>
      <c r="D2205" s="19" t="str">
        <f t="shared" si="1"/>
        <v> </v>
      </c>
      <c r="E2205" s="19" t="str">
        <f t="shared" si="2"/>
        <v> </v>
      </c>
      <c r="F2205" s="21"/>
    </row>
    <row r="2206">
      <c r="A2206" s="19">
        <v>13447.0</v>
      </c>
      <c r="B2206" s="19" t="s">
        <v>2237</v>
      </c>
      <c r="C2206" s="20">
        <v>24516.0</v>
      </c>
      <c r="D2206" s="19" t="str">
        <f t="shared" si="1"/>
        <v> </v>
      </c>
      <c r="E2206" s="19" t="str">
        <f t="shared" si="2"/>
        <v> </v>
      </c>
      <c r="F2206" s="21"/>
    </row>
    <row r="2207">
      <c r="A2207" s="19">
        <v>13448.0</v>
      </c>
      <c r="B2207" s="19" t="s">
        <v>2238</v>
      </c>
      <c r="C2207" s="20">
        <v>30002.0</v>
      </c>
      <c r="D2207" s="19" t="str">
        <f t="shared" si="1"/>
        <v> </v>
      </c>
      <c r="E2207" s="19" t="str">
        <f t="shared" si="2"/>
        <v> </v>
      </c>
      <c r="F2207" s="21"/>
    </row>
    <row r="2208">
      <c r="A2208" s="19">
        <v>13449.0</v>
      </c>
      <c r="B2208" s="19" t="s">
        <v>2239</v>
      </c>
      <c r="C2208" s="20">
        <v>18811.0</v>
      </c>
      <c r="D2208" s="19" t="str">
        <f t="shared" si="1"/>
        <v> </v>
      </c>
      <c r="E2208" s="19" t="str">
        <f t="shared" si="2"/>
        <v> </v>
      </c>
      <c r="F2208" s="21"/>
    </row>
    <row r="2209">
      <c r="A2209" s="19">
        <v>13450.0</v>
      </c>
      <c r="B2209" s="19" t="s">
        <v>2240</v>
      </c>
      <c r="C2209" s="20">
        <v>15126.0</v>
      </c>
      <c r="D2209" s="19" t="str">
        <f t="shared" si="1"/>
        <v> </v>
      </c>
      <c r="E2209" s="19" t="str">
        <f t="shared" si="2"/>
        <v> </v>
      </c>
      <c r="F2209" s="21"/>
    </row>
    <row r="2210">
      <c r="A2210" s="19">
        <v>13454.0</v>
      </c>
      <c r="B2210" s="19" t="s">
        <v>2241</v>
      </c>
      <c r="C2210" s="20">
        <v>35190.0</v>
      </c>
      <c r="D2210" s="19" t="str">
        <f t="shared" si="1"/>
        <v> </v>
      </c>
      <c r="E2210" s="19" t="str">
        <f t="shared" si="2"/>
        <v> </v>
      </c>
      <c r="F2210" s="21"/>
    </row>
    <row r="2211">
      <c r="A2211" s="19">
        <v>13455.0</v>
      </c>
      <c r="B2211" s="19" t="s">
        <v>2242</v>
      </c>
      <c r="C2211" s="20">
        <v>25474.0</v>
      </c>
      <c r="D2211" s="19" t="str">
        <f t="shared" si="1"/>
        <v> </v>
      </c>
      <c r="E2211" s="19" t="str">
        <f t="shared" si="2"/>
        <v> </v>
      </c>
      <c r="F2211" s="21"/>
    </row>
    <row r="2212">
      <c r="A2212" s="19">
        <v>13456.0</v>
      </c>
      <c r="B2212" s="19" t="s">
        <v>2243</v>
      </c>
      <c r="C2212" s="20">
        <v>20639.0</v>
      </c>
      <c r="D2212" s="19" t="str">
        <f t="shared" si="1"/>
        <v> </v>
      </c>
      <c r="E2212" s="19" t="str">
        <f t="shared" si="2"/>
        <v> </v>
      </c>
      <c r="F2212" s="21"/>
    </row>
    <row r="2213">
      <c r="A2213" s="19">
        <v>13457.0</v>
      </c>
      <c r="B2213" s="19" t="s">
        <v>2244</v>
      </c>
      <c r="C2213" s="20">
        <v>30016.0</v>
      </c>
      <c r="D2213" s="19" t="str">
        <f t="shared" si="1"/>
        <v> </v>
      </c>
      <c r="E2213" s="19" t="str">
        <f t="shared" si="2"/>
        <v> </v>
      </c>
      <c r="F2213" s="21"/>
    </row>
    <row r="2214">
      <c r="A2214" s="19">
        <v>13458.0</v>
      </c>
      <c r="B2214" s="19" t="s">
        <v>2245</v>
      </c>
      <c r="C2214" s="20">
        <v>21888.0</v>
      </c>
      <c r="D2214" s="19" t="str">
        <f t="shared" si="1"/>
        <v> </v>
      </c>
      <c r="E2214" s="19" t="str">
        <f t="shared" si="2"/>
        <v> </v>
      </c>
      <c r="F2214" s="21"/>
    </row>
    <row r="2215">
      <c r="A2215" s="19">
        <v>13460.0</v>
      </c>
      <c r="B2215" s="19" t="s">
        <v>2246</v>
      </c>
      <c r="C2215" s="20">
        <v>30417.0</v>
      </c>
      <c r="D2215" s="19" t="str">
        <f t="shared" si="1"/>
        <v> </v>
      </c>
      <c r="E2215" s="19" t="str">
        <f t="shared" si="2"/>
        <v> </v>
      </c>
      <c r="F2215" s="21"/>
    </row>
    <row r="2216">
      <c r="A2216" s="19">
        <v>13461.0</v>
      </c>
      <c r="B2216" s="19" t="s">
        <v>2247</v>
      </c>
      <c r="C2216" s="20">
        <v>30149.0</v>
      </c>
      <c r="D2216" s="19" t="str">
        <f t="shared" si="1"/>
        <v> </v>
      </c>
      <c r="E2216" s="19" t="str">
        <f t="shared" si="2"/>
        <v> </v>
      </c>
      <c r="F2216" s="21"/>
    </row>
    <row r="2217">
      <c r="A2217" s="19">
        <v>13462.0</v>
      </c>
      <c r="B2217" s="19" t="s">
        <v>2248</v>
      </c>
      <c r="C2217" s="20">
        <v>15094.0</v>
      </c>
      <c r="D2217" s="19" t="str">
        <f t="shared" si="1"/>
        <v> </v>
      </c>
      <c r="E2217" s="19" t="str">
        <f t="shared" si="2"/>
        <v> </v>
      </c>
      <c r="F2217" s="21"/>
    </row>
    <row r="2218">
      <c r="A2218" s="19">
        <v>13463.0</v>
      </c>
      <c r="B2218" s="19" t="s">
        <v>2249</v>
      </c>
      <c r="C2218" s="20">
        <v>19914.0</v>
      </c>
      <c r="D2218" s="19" t="str">
        <f t="shared" si="1"/>
        <v>Repeat</v>
      </c>
      <c r="E2218" s="19" t="str">
        <f t="shared" si="2"/>
        <v> </v>
      </c>
      <c r="F2218" s="21"/>
    </row>
    <row r="2219">
      <c r="A2219" s="19">
        <v>13464.0</v>
      </c>
      <c r="B2219" s="19" t="s">
        <v>2250</v>
      </c>
      <c r="C2219" s="20">
        <v>22564.0</v>
      </c>
      <c r="D2219" s="19" t="str">
        <f t="shared" si="1"/>
        <v> </v>
      </c>
      <c r="E2219" s="19" t="str">
        <f t="shared" si="2"/>
        <v> </v>
      </c>
      <c r="F2219" s="21"/>
    </row>
    <row r="2220">
      <c r="A2220" s="19">
        <v>13465.0</v>
      </c>
      <c r="B2220" s="19" t="s">
        <v>2251</v>
      </c>
      <c r="C2220" s="20">
        <v>16465.0</v>
      </c>
      <c r="D2220" s="19" t="str">
        <f t="shared" si="1"/>
        <v> </v>
      </c>
      <c r="E2220" s="19" t="str">
        <f t="shared" si="2"/>
        <v> </v>
      </c>
      <c r="F2220" s="21"/>
    </row>
    <row r="2221">
      <c r="A2221" s="19">
        <v>13466.0</v>
      </c>
      <c r="B2221" s="19" t="s">
        <v>2252</v>
      </c>
      <c r="C2221" s="20">
        <v>26953.0</v>
      </c>
      <c r="D2221" s="19" t="str">
        <f t="shared" si="1"/>
        <v> </v>
      </c>
      <c r="E2221" s="19" t="str">
        <f t="shared" si="2"/>
        <v> </v>
      </c>
      <c r="F2221" s="21"/>
    </row>
    <row r="2222">
      <c r="A2222" s="19">
        <v>13467.0</v>
      </c>
      <c r="B2222" s="19" t="s">
        <v>2253</v>
      </c>
      <c r="C2222" s="20">
        <v>14935.0</v>
      </c>
      <c r="D2222" s="19" t="str">
        <f t="shared" si="1"/>
        <v>Repeat</v>
      </c>
      <c r="E2222" s="19" t="str">
        <f t="shared" si="2"/>
        <v> </v>
      </c>
      <c r="F2222" s="21"/>
    </row>
    <row r="2223">
      <c r="A2223" s="19">
        <v>13468.0</v>
      </c>
      <c r="B2223" s="19" t="s">
        <v>2254</v>
      </c>
      <c r="C2223" s="20">
        <v>17893.0</v>
      </c>
      <c r="D2223" s="19" t="str">
        <f t="shared" si="1"/>
        <v> </v>
      </c>
      <c r="E2223" s="19" t="str">
        <f t="shared" si="2"/>
        <v> </v>
      </c>
      <c r="F2223" s="21"/>
    </row>
    <row r="2224">
      <c r="A2224" s="19">
        <v>13470.0</v>
      </c>
      <c r="B2224" s="19" t="s">
        <v>2255</v>
      </c>
      <c r="C2224" s="20">
        <v>20176.0</v>
      </c>
      <c r="D2224" s="19" t="str">
        <f t="shared" si="1"/>
        <v> </v>
      </c>
      <c r="E2224" s="19" t="str">
        <f t="shared" si="2"/>
        <v> </v>
      </c>
      <c r="F2224" s="21"/>
    </row>
    <row r="2225">
      <c r="A2225" s="19">
        <v>13471.0</v>
      </c>
      <c r="B2225" s="19" t="s">
        <v>2256</v>
      </c>
      <c r="C2225" s="20">
        <v>19313.0</v>
      </c>
      <c r="D2225" s="19" t="str">
        <f t="shared" si="1"/>
        <v> </v>
      </c>
      <c r="E2225" s="19" t="str">
        <f t="shared" si="2"/>
        <v> </v>
      </c>
      <c r="F2225" s="21"/>
    </row>
    <row r="2226">
      <c r="A2226" s="19">
        <v>13472.0</v>
      </c>
      <c r="B2226" s="19" t="s">
        <v>556</v>
      </c>
      <c r="C2226" s="20">
        <v>21682.0</v>
      </c>
      <c r="D2226" s="19" t="str">
        <f t="shared" si="1"/>
        <v>Repeat</v>
      </c>
      <c r="E2226" s="19" t="str">
        <f t="shared" si="2"/>
        <v> </v>
      </c>
      <c r="F2226" s="21"/>
    </row>
    <row r="2227">
      <c r="A2227" s="19">
        <v>13473.0</v>
      </c>
      <c r="B2227" s="19" t="s">
        <v>2257</v>
      </c>
      <c r="C2227" s="20">
        <v>34643.0</v>
      </c>
      <c r="D2227" s="19" t="str">
        <f t="shared" si="1"/>
        <v> </v>
      </c>
      <c r="E2227" s="19" t="str">
        <f t="shared" si="2"/>
        <v> </v>
      </c>
      <c r="F2227" s="21"/>
    </row>
    <row r="2228">
      <c r="A2228" s="19">
        <v>13474.0</v>
      </c>
      <c r="B2228" s="19" t="s">
        <v>2258</v>
      </c>
      <c r="C2228" s="20">
        <v>21510.0</v>
      </c>
      <c r="D2228" s="19" t="str">
        <f t="shared" si="1"/>
        <v> </v>
      </c>
      <c r="E2228" s="19" t="str">
        <f t="shared" si="2"/>
        <v> </v>
      </c>
      <c r="F2228" s="21"/>
    </row>
    <row r="2229">
      <c r="A2229" s="19">
        <v>13475.0</v>
      </c>
      <c r="B2229" s="19" t="s">
        <v>2259</v>
      </c>
      <c r="C2229" s="20">
        <v>22517.0</v>
      </c>
      <c r="D2229" s="19" t="str">
        <f t="shared" si="1"/>
        <v> </v>
      </c>
      <c r="E2229" s="19" t="str">
        <f t="shared" si="2"/>
        <v> </v>
      </c>
      <c r="F2229" s="21"/>
    </row>
    <row r="2230">
      <c r="A2230" s="19">
        <v>13476.0</v>
      </c>
      <c r="B2230" s="19" t="s">
        <v>2260</v>
      </c>
      <c r="C2230" s="20">
        <v>35752.0</v>
      </c>
      <c r="D2230" s="19" t="str">
        <f t="shared" si="1"/>
        <v> </v>
      </c>
      <c r="E2230" s="19" t="str">
        <f t="shared" si="2"/>
        <v> </v>
      </c>
      <c r="F2230" s="21"/>
    </row>
    <row r="2231">
      <c r="A2231" s="19">
        <v>13477.0</v>
      </c>
      <c r="B2231" s="19" t="s">
        <v>2261</v>
      </c>
      <c r="C2231" s="20">
        <v>19238.0</v>
      </c>
      <c r="D2231" s="19" t="str">
        <f t="shared" si="1"/>
        <v> </v>
      </c>
      <c r="E2231" s="19" t="str">
        <f t="shared" si="2"/>
        <v> </v>
      </c>
      <c r="F2231" s="21"/>
    </row>
    <row r="2232">
      <c r="A2232" s="19">
        <v>13478.0</v>
      </c>
      <c r="B2232" s="19" t="s">
        <v>2262</v>
      </c>
      <c r="C2232" s="20">
        <v>19379.0</v>
      </c>
      <c r="D2232" s="19" t="str">
        <f t="shared" si="1"/>
        <v> </v>
      </c>
      <c r="E2232" s="19" t="str">
        <f t="shared" si="2"/>
        <v> </v>
      </c>
      <c r="F2232" s="21"/>
    </row>
    <row r="2233">
      <c r="A2233" s="19">
        <v>13481.0</v>
      </c>
      <c r="B2233" s="19" t="s">
        <v>2263</v>
      </c>
      <c r="C2233" s="20">
        <v>26181.0</v>
      </c>
      <c r="D2233" s="19" t="str">
        <f t="shared" si="1"/>
        <v> </v>
      </c>
      <c r="E2233" s="19" t="str">
        <f t="shared" si="2"/>
        <v> </v>
      </c>
      <c r="F2233" s="21"/>
    </row>
    <row r="2234">
      <c r="A2234" s="19">
        <v>13482.0</v>
      </c>
      <c r="B2234" s="19" t="s">
        <v>2264</v>
      </c>
      <c r="C2234" s="20">
        <v>19958.0</v>
      </c>
      <c r="D2234" s="19" t="str">
        <f t="shared" si="1"/>
        <v> </v>
      </c>
      <c r="E2234" s="19" t="str">
        <f t="shared" si="2"/>
        <v> </v>
      </c>
      <c r="F2234" s="21"/>
    </row>
    <row r="2235">
      <c r="A2235" s="19">
        <v>13483.0</v>
      </c>
      <c r="B2235" s="19" t="s">
        <v>2265</v>
      </c>
      <c r="C2235" s="20">
        <v>20816.0</v>
      </c>
      <c r="D2235" s="19" t="str">
        <f t="shared" si="1"/>
        <v> </v>
      </c>
      <c r="E2235" s="19" t="str">
        <f t="shared" si="2"/>
        <v> </v>
      </c>
      <c r="F2235" s="21"/>
    </row>
    <row r="2236">
      <c r="A2236" s="19">
        <v>13484.0</v>
      </c>
      <c r="B2236" s="19" t="s">
        <v>2266</v>
      </c>
      <c r="C2236" s="20">
        <v>15575.0</v>
      </c>
      <c r="D2236" s="19" t="str">
        <f t="shared" si="1"/>
        <v> </v>
      </c>
      <c r="E2236" s="19" t="str">
        <f t="shared" si="2"/>
        <v> </v>
      </c>
      <c r="F2236" s="21"/>
    </row>
    <row r="2237">
      <c r="A2237" s="19">
        <v>13485.0</v>
      </c>
      <c r="B2237" s="19" t="s">
        <v>2267</v>
      </c>
      <c r="C2237" s="20">
        <v>19927.0</v>
      </c>
      <c r="D2237" s="19" t="str">
        <f t="shared" si="1"/>
        <v> </v>
      </c>
      <c r="E2237" s="19" t="str">
        <f t="shared" si="2"/>
        <v> </v>
      </c>
      <c r="F2237" s="21"/>
    </row>
    <row r="2238">
      <c r="A2238" s="19">
        <v>13486.0</v>
      </c>
      <c r="B2238" s="19" t="s">
        <v>2268</v>
      </c>
      <c r="C2238" s="20">
        <v>17682.0</v>
      </c>
      <c r="D2238" s="19" t="str">
        <f t="shared" si="1"/>
        <v> </v>
      </c>
      <c r="E2238" s="19" t="str">
        <f t="shared" si="2"/>
        <v> </v>
      </c>
      <c r="F2238" s="21"/>
    </row>
    <row r="2239">
      <c r="A2239" s="19">
        <v>13487.0</v>
      </c>
      <c r="B2239" s="19" t="s">
        <v>2269</v>
      </c>
      <c r="C2239" s="20">
        <v>16900.0</v>
      </c>
      <c r="D2239" s="19" t="str">
        <f t="shared" si="1"/>
        <v> </v>
      </c>
      <c r="E2239" s="19" t="str">
        <f t="shared" si="2"/>
        <v> </v>
      </c>
      <c r="F2239" s="21"/>
    </row>
    <row r="2240">
      <c r="A2240" s="19">
        <v>13488.0</v>
      </c>
      <c r="B2240" s="19" t="s">
        <v>2270</v>
      </c>
      <c r="C2240" s="20">
        <v>16872.0</v>
      </c>
      <c r="D2240" s="19" t="str">
        <f t="shared" si="1"/>
        <v> </v>
      </c>
      <c r="E2240" s="19" t="str">
        <f t="shared" si="2"/>
        <v> </v>
      </c>
      <c r="F2240" s="21"/>
    </row>
    <row r="2241">
      <c r="A2241" s="19">
        <v>13491.0</v>
      </c>
      <c r="B2241" s="19" t="s">
        <v>2271</v>
      </c>
      <c r="C2241" s="20">
        <v>29764.0</v>
      </c>
      <c r="D2241" s="19" t="str">
        <f t="shared" si="1"/>
        <v> </v>
      </c>
      <c r="E2241" s="19" t="str">
        <f t="shared" si="2"/>
        <v> </v>
      </c>
      <c r="F2241" s="21"/>
    </row>
    <row r="2242">
      <c r="A2242" s="19">
        <v>13492.0</v>
      </c>
      <c r="B2242" s="19" t="s">
        <v>2272</v>
      </c>
      <c r="C2242" s="20">
        <v>25055.0</v>
      </c>
      <c r="D2242" s="19" t="str">
        <f t="shared" si="1"/>
        <v> </v>
      </c>
      <c r="E2242" s="19" t="str">
        <f t="shared" si="2"/>
        <v> </v>
      </c>
      <c r="F2242" s="21"/>
    </row>
    <row r="2243">
      <c r="A2243" s="19">
        <v>13493.0</v>
      </c>
      <c r="B2243" s="19" t="s">
        <v>2273</v>
      </c>
      <c r="C2243" s="20">
        <v>24244.0</v>
      </c>
      <c r="D2243" s="19" t="str">
        <f t="shared" si="1"/>
        <v> </v>
      </c>
      <c r="E2243" s="19" t="str">
        <f t="shared" si="2"/>
        <v> </v>
      </c>
      <c r="F2243" s="21"/>
    </row>
    <row r="2244">
      <c r="A2244" s="19">
        <v>13494.0</v>
      </c>
      <c r="B2244" s="19" t="s">
        <v>2274</v>
      </c>
      <c r="C2244" s="20">
        <v>30826.0</v>
      </c>
      <c r="D2244" s="19" t="str">
        <f t="shared" si="1"/>
        <v> </v>
      </c>
      <c r="E2244" s="19" t="str">
        <f t="shared" si="2"/>
        <v> </v>
      </c>
      <c r="F2244" s="21"/>
    </row>
    <row r="2245">
      <c r="A2245" s="19">
        <v>13495.0</v>
      </c>
      <c r="B2245" s="19" t="s">
        <v>2275</v>
      </c>
      <c r="C2245" s="20">
        <v>25394.0</v>
      </c>
      <c r="D2245" s="19" t="str">
        <f t="shared" si="1"/>
        <v> </v>
      </c>
      <c r="E2245" s="19" t="str">
        <f t="shared" si="2"/>
        <v> </v>
      </c>
      <c r="F2245" s="21"/>
    </row>
    <row r="2246">
      <c r="A2246" s="19">
        <v>13496.0</v>
      </c>
      <c r="B2246" s="19" t="s">
        <v>2276</v>
      </c>
      <c r="C2246" s="20">
        <v>11820.0</v>
      </c>
      <c r="D2246" s="19" t="str">
        <f t="shared" si="1"/>
        <v>Repeat</v>
      </c>
      <c r="E2246" s="19" t="str">
        <f t="shared" si="2"/>
        <v> </v>
      </c>
      <c r="F2246" s="21"/>
    </row>
    <row r="2247">
      <c r="A2247" s="19">
        <v>13497.0</v>
      </c>
      <c r="B2247" s="19" t="s">
        <v>2277</v>
      </c>
      <c r="C2247" s="20">
        <v>23228.0</v>
      </c>
      <c r="D2247" s="19" t="str">
        <f t="shared" si="1"/>
        <v> </v>
      </c>
      <c r="E2247" s="19" t="str">
        <f t="shared" si="2"/>
        <v> </v>
      </c>
      <c r="F2247" s="21"/>
    </row>
    <row r="2248">
      <c r="A2248" s="19">
        <v>13498.0</v>
      </c>
      <c r="B2248" s="19" t="s">
        <v>2278</v>
      </c>
      <c r="C2248" s="20">
        <v>20405.0</v>
      </c>
      <c r="D2248" s="19" t="str">
        <f t="shared" si="1"/>
        <v> </v>
      </c>
      <c r="E2248" s="19" t="str">
        <f t="shared" si="2"/>
        <v> </v>
      </c>
      <c r="F2248" s="21"/>
    </row>
    <row r="2249">
      <c r="A2249" s="19">
        <v>13499.0</v>
      </c>
      <c r="B2249" s="19" t="s">
        <v>2279</v>
      </c>
      <c r="C2249" s="20">
        <v>14736.0</v>
      </c>
      <c r="D2249" s="19" t="str">
        <f t="shared" si="1"/>
        <v> </v>
      </c>
      <c r="E2249" s="19" t="str">
        <f t="shared" si="2"/>
        <v> </v>
      </c>
      <c r="F2249" s="21"/>
    </row>
    <row r="2250">
      <c r="A2250" s="19">
        <v>13500.0</v>
      </c>
      <c r="B2250" s="19" t="s">
        <v>2280</v>
      </c>
      <c r="C2250" s="20">
        <v>32518.0</v>
      </c>
      <c r="D2250" s="19" t="str">
        <f t="shared" si="1"/>
        <v> </v>
      </c>
      <c r="E2250" s="19" t="str">
        <f t="shared" si="2"/>
        <v> </v>
      </c>
      <c r="F2250" s="21"/>
    </row>
    <row r="2251">
      <c r="A2251" s="19">
        <v>13501.0</v>
      </c>
      <c r="B2251" s="19" t="s">
        <v>2281</v>
      </c>
      <c r="C2251" s="20">
        <v>18976.0</v>
      </c>
      <c r="D2251" s="19" t="str">
        <f t="shared" si="1"/>
        <v> </v>
      </c>
      <c r="E2251" s="19" t="str">
        <f t="shared" si="2"/>
        <v> </v>
      </c>
      <c r="F2251" s="21"/>
    </row>
    <row r="2252">
      <c r="A2252" s="19">
        <v>13503.0</v>
      </c>
      <c r="B2252" s="19" t="s">
        <v>2282</v>
      </c>
      <c r="C2252" s="20">
        <v>19464.0</v>
      </c>
      <c r="D2252" s="19" t="str">
        <f t="shared" si="1"/>
        <v> </v>
      </c>
      <c r="E2252" s="19" t="str">
        <f t="shared" si="2"/>
        <v> </v>
      </c>
      <c r="F2252" s="21"/>
    </row>
    <row r="2253">
      <c r="A2253" s="19">
        <v>13504.0</v>
      </c>
      <c r="B2253" s="19" t="s">
        <v>2283</v>
      </c>
      <c r="C2253" s="20">
        <v>27478.0</v>
      </c>
      <c r="D2253" s="19" t="str">
        <f t="shared" si="1"/>
        <v> </v>
      </c>
      <c r="E2253" s="19" t="str">
        <f t="shared" si="2"/>
        <v> </v>
      </c>
      <c r="F2253" s="21"/>
    </row>
    <row r="2254">
      <c r="A2254" s="19">
        <v>13505.0</v>
      </c>
      <c r="B2254" s="19" t="s">
        <v>2284</v>
      </c>
      <c r="C2254" s="20">
        <v>24325.0</v>
      </c>
      <c r="D2254" s="19" t="str">
        <f t="shared" si="1"/>
        <v> </v>
      </c>
      <c r="E2254" s="19" t="str">
        <f t="shared" si="2"/>
        <v> </v>
      </c>
      <c r="F2254" s="21"/>
    </row>
    <row r="2255">
      <c r="A2255" s="19">
        <v>13507.0</v>
      </c>
      <c r="B2255" s="19" t="s">
        <v>2285</v>
      </c>
      <c r="C2255" s="20">
        <v>19994.0</v>
      </c>
      <c r="D2255" s="19" t="str">
        <f t="shared" si="1"/>
        <v> </v>
      </c>
      <c r="E2255" s="19" t="str">
        <f t="shared" si="2"/>
        <v> </v>
      </c>
      <c r="F2255" s="21"/>
    </row>
    <row r="2256">
      <c r="A2256" s="19">
        <v>13508.0</v>
      </c>
      <c r="B2256" s="19" t="s">
        <v>2286</v>
      </c>
      <c r="C2256" s="20">
        <v>32601.0</v>
      </c>
      <c r="D2256" s="19" t="str">
        <f t="shared" si="1"/>
        <v> </v>
      </c>
      <c r="E2256" s="19" t="str">
        <f t="shared" si="2"/>
        <v> </v>
      </c>
      <c r="F2256" s="21"/>
    </row>
    <row r="2257">
      <c r="A2257" s="19">
        <v>13509.0</v>
      </c>
      <c r="B2257" s="19" t="s">
        <v>2287</v>
      </c>
      <c r="C2257" s="20">
        <v>21573.0</v>
      </c>
      <c r="D2257" s="19" t="str">
        <f t="shared" si="1"/>
        <v> </v>
      </c>
      <c r="E2257" s="19" t="str">
        <f t="shared" si="2"/>
        <v> </v>
      </c>
      <c r="F2257" s="21"/>
    </row>
    <row r="2258">
      <c r="A2258" s="19">
        <v>13510.0</v>
      </c>
      <c r="B2258" s="19" t="s">
        <v>2288</v>
      </c>
      <c r="C2258" s="20">
        <v>19730.0</v>
      </c>
      <c r="D2258" s="19" t="str">
        <f t="shared" si="1"/>
        <v> </v>
      </c>
      <c r="E2258" s="19" t="str">
        <f t="shared" si="2"/>
        <v> </v>
      </c>
      <c r="F2258" s="21"/>
    </row>
    <row r="2259">
      <c r="A2259" s="19">
        <v>13511.0</v>
      </c>
      <c r="B2259" s="19" t="s">
        <v>2289</v>
      </c>
      <c r="C2259" s="20">
        <v>19048.0</v>
      </c>
      <c r="D2259" s="19" t="str">
        <f t="shared" si="1"/>
        <v> </v>
      </c>
      <c r="E2259" s="19" t="str">
        <f t="shared" si="2"/>
        <v> </v>
      </c>
      <c r="F2259" s="21"/>
    </row>
    <row r="2260">
      <c r="A2260" s="19">
        <v>13512.0</v>
      </c>
      <c r="B2260" s="19" t="s">
        <v>2290</v>
      </c>
      <c r="C2260" s="20">
        <v>14802.0</v>
      </c>
      <c r="D2260" s="19" t="str">
        <f t="shared" si="1"/>
        <v> </v>
      </c>
      <c r="E2260" s="19" t="str">
        <f t="shared" si="2"/>
        <v> </v>
      </c>
      <c r="F2260" s="21"/>
    </row>
    <row r="2261">
      <c r="A2261" s="19">
        <v>13514.0</v>
      </c>
      <c r="B2261" s="19" t="s">
        <v>2291</v>
      </c>
      <c r="C2261" s="20">
        <v>33238.0</v>
      </c>
      <c r="D2261" s="19" t="str">
        <f t="shared" si="1"/>
        <v> </v>
      </c>
      <c r="E2261" s="19" t="str">
        <f t="shared" si="2"/>
        <v> </v>
      </c>
      <c r="F2261" s="21"/>
    </row>
    <row r="2262">
      <c r="A2262" s="19">
        <v>13517.0</v>
      </c>
      <c r="B2262" s="19" t="s">
        <v>2292</v>
      </c>
      <c r="C2262" s="20">
        <v>33708.0</v>
      </c>
      <c r="D2262" s="19" t="str">
        <f t="shared" si="1"/>
        <v> </v>
      </c>
      <c r="E2262" s="19" t="str">
        <f t="shared" si="2"/>
        <v> </v>
      </c>
      <c r="F2262" s="21"/>
    </row>
    <row r="2263">
      <c r="A2263" s="19">
        <v>13518.0</v>
      </c>
      <c r="B2263" s="19" t="s">
        <v>2293</v>
      </c>
      <c r="C2263" s="20">
        <v>32525.0</v>
      </c>
      <c r="D2263" s="19" t="str">
        <f t="shared" si="1"/>
        <v> </v>
      </c>
      <c r="E2263" s="19" t="str">
        <f t="shared" si="2"/>
        <v> </v>
      </c>
      <c r="F2263" s="21"/>
    </row>
    <row r="2264">
      <c r="A2264" s="19">
        <v>13519.0</v>
      </c>
      <c r="B2264" s="19" t="s">
        <v>2294</v>
      </c>
      <c r="C2264" s="20">
        <v>31405.0</v>
      </c>
      <c r="D2264" s="19" t="str">
        <f t="shared" si="1"/>
        <v> </v>
      </c>
      <c r="E2264" s="19" t="str">
        <f t="shared" si="2"/>
        <v> </v>
      </c>
      <c r="F2264" s="21"/>
    </row>
    <row r="2265">
      <c r="A2265" s="19">
        <v>13520.0</v>
      </c>
      <c r="B2265" s="19" t="s">
        <v>2295</v>
      </c>
      <c r="C2265" s="20">
        <v>18761.0</v>
      </c>
      <c r="D2265" s="19" t="str">
        <f t="shared" si="1"/>
        <v> </v>
      </c>
      <c r="E2265" s="19" t="str">
        <f t="shared" si="2"/>
        <v> </v>
      </c>
      <c r="F2265" s="21"/>
    </row>
    <row r="2266">
      <c r="A2266" s="19">
        <v>13521.0</v>
      </c>
      <c r="B2266" s="19" t="s">
        <v>2296</v>
      </c>
      <c r="C2266" s="20">
        <v>21332.0</v>
      </c>
      <c r="D2266" s="19" t="str">
        <f t="shared" si="1"/>
        <v> </v>
      </c>
      <c r="E2266" s="19" t="str">
        <f t="shared" si="2"/>
        <v> </v>
      </c>
      <c r="F2266" s="21"/>
    </row>
    <row r="2267">
      <c r="A2267" s="19">
        <v>13522.0</v>
      </c>
      <c r="B2267" s="19" t="s">
        <v>2297</v>
      </c>
      <c r="C2267" s="20">
        <v>20308.0</v>
      </c>
      <c r="D2267" s="19" t="str">
        <f t="shared" si="1"/>
        <v> </v>
      </c>
      <c r="E2267" s="19" t="str">
        <f t="shared" si="2"/>
        <v> </v>
      </c>
      <c r="F2267" s="21"/>
    </row>
    <row r="2268">
      <c r="A2268" s="19">
        <v>13523.0</v>
      </c>
      <c r="B2268" s="19" t="s">
        <v>2298</v>
      </c>
      <c r="C2268" s="20">
        <v>27942.0</v>
      </c>
      <c r="D2268" s="19" t="str">
        <f t="shared" si="1"/>
        <v> </v>
      </c>
      <c r="E2268" s="19" t="str">
        <f t="shared" si="2"/>
        <v> </v>
      </c>
      <c r="F2268" s="21"/>
    </row>
    <row r="2269">
      <c r="A2269" s="19">
        <v>13524.0</v>
      </c>
      <c r="B2269" s="19" t="s">
        <v>2299</v>
      </c>
      <c r="C2269" s="20">
        <v>17996.0</v>
      </c>
      <c r="D2269" s="19" t="str">
        <f t="shared" si="1"/>
        <v> </v>
      </c>
      <c r="E2269" s="19" t="str">
        <f t="shared" si="2"/>
        <v> </v>
      </c>
      <c r="F2269" s="21"/>
    </row>
    <row r="2270">
      <c r="A2270" s="19">
        <v>13526.0</v>
      </c>
      <c r="B2270" s="19" t="s">
        <v>2300</v>
      </c>
      <c r="C2270" s="20">
        <v>27534.0</v>
      </c>
      <c r="D2270" s="19" t="str">
        <f t="shared" si="1"/>
        <v> </v>
      </c>
      <c r="E2270" s="19" t="str">
        <f t="shared" si="2"/>
        <v> </v>
      </c>
      <c r="F2270" s="21"/>
    </row>
    <row r="2271">
      <c r="A2271" s="19">
        <v>13528.0</v>
      </c>
      <c r="B2271" s="19" t="s">
        <v>2301</v>
      </c>
      <c r="C2271" s="20">
        <v>30439.0</v>
      </c>
      <c r="D2271" s="19" t="str">
        <f t="shared" si="1"/>
        <v> </v>
      </c>
      <c r="E2271" s="19" t="str">
        <f t="shared" si="2"/>
        <v> </v>
      </c>
      <c r="F2271" s="21"/>
    </row>
    <row r="2272">
      <c r="A2272" s="19">
        <v>13529.0</v>
      </c>
      <c r="B2272" s="19" t="s">
        <v>2302</v>
      </c>
      <c r="C2272" s="20">
        <v>21129.0</v>
      </c>
      <c r="D2272" s="19" t="str">
        <f t="shared" si="1"/>
        <v> </v>
      </c>
      <c r="E2272" s="19" t="str">
        <f t="shared" si="2"/>
        <v> </v>
      </c>
      <c r="F2272" s="21"/>
    </row>
    <row r="2273">
      <c r="A2273" s="19">
        <v>13530.0</v>
      </c>
      <c r="B2273" s="19" t="s">
        <v>2303</v>
      </c>
      <c r="C2273" s="20">
        <v>31162.0</v>
      </c>
      <c r="D2273" s="19" t="str">
        <f t="shared" si="1"/>
        <v> </v>
      </c>
      <c r="E2273" s="19" t="str">
        <f t="shared" si="2"/>
        <v> </v>
      </c>
      <c r="F2273" s="21"/>
    </row>
    <row r="2274">
      <c r="A2274" s="19">
        <v>13531.0</v>
      </c>
      <c r="B2274" s="19" t="s">
        <v>2304</v>
      </c>
      <c r="C2274" s="20">
        <v>18204.0</v>
      </c>
      <c r="D2274" s="19" t="str">
        <f t="shared" si="1"/>
        <v> </v>
      </c>
      <c r="E2274" s="19" t="str">
        <f t="shared" si="2"/>
        <v> </v>
      </c>
      <c r="F2274" s="21"/>
    </row>
    <row r="2275">
      <c r="A2275" s="19">
        <v>13532.0</v>
      </c>
      <c r="B2275" s="19" t="s">
        <v>2305</v>
      </c>
      <c r="C2275" s="20">
        <v>32420.0</v>
      </c>
      <c r="D2275" s="19" t="str">
        <f t="shared" si="1"/>
        <v> </v>
      </c>
      <c r="E2275" s="19" t="str">
        <f t="shared" si="2"/>
        <v> </v>
      </c>
      <c r="F2275" s="21"/>
    </row>
    <row r="2276">
      <c r="A2276" s="19">
        <v>13534.0</v>
      </c>
      <c r="B2276" s="19" t="s">
        <v>2306</v>
      </c>
      <c r="C2276" s="20">
        <v>15822.0</v>
      </c>
      <c r="D2276" s="19" t="str">
        <f t="shared" si="1"/>
        <v> </v>
      </c>
      <c r="E2276" s="19" t="str">
        <f t="shared" si="2"/>
        <v> </v>
      </c>
      <c r="F2276" s="21"/>
    </row>
    <row r="2277">
      <c r="A2277" s="19">
        <v>13535.0</v>
      </c>
      <c r="B2277" s="19" t="s">
        <v>2307</v>
      </c>
      <c r="C2277" s="20">
        <v>16244.0</v>
      </c>
      <c r="D2277" s="19" t="str">
        <f t="shared" si="1"/>
        <v> </v>
      </c>
      <c r="E2277" s="19" t="str">
        <f t="shared" si="2"/>
        <v> </v>
      </c>
      <c r="F2277" s="21"/>
    </row>
    <row r="2278">
      <c r="A2278" s="19">
        <v>13536.0</v>
      </c>
      <c r="B2278" s="19" t="s">
        <v>2308</v>
      </c>
      <c r="C2278" s="20">
        <v>24208.0</v>
      </c>
      <c r="D2278" s="19" t="str">
        <f t="shared" si="1"/>
        <v> </v>
      </c>
      <c r="E2278" s="19" t="str">
        <f t="shared" si="2"/>
        <v> </v>
      </c>
      <c r="F2278" s="21"/>
    </row>
    <row r="2279">
      <c r="A2279" s="19">
        <v>13537.0</v>
      </c>
      <c r="B2279" s="19" t="s">
        <v>2309</v>
      </c>
      <c r="C2279" s="20">
        <v>14342.0</v>
      </c>
      <c r="D2279" s="19" t="str">
        <f t="shared" si="1"/>
        <v> </v>
      </c>
      <c r="E2279" s="19" t="str">
        <f t="shared" si="2"/>
        <v> </v>
      </c>
      <c r="F2279" s="21"/>
    </row>
    <row r="2280">
      <c r="A2280" s="19">
        <v>13538.0</v>
      </c>
      <c r="B2280" s="19" t="s">
        <v>2310</v>
      </c>
      <c r="C2280" s="20">
        <v>12390.0</v>
      </c>
      <c r="D2280" s="19" t="str">
        <f t="shared" si="1"/>
        <v> </v>
      </c>
      <c r="E2280" s="19" t="str">
        <f t="shared" si="2"/>
        <v> </v>
      </c>
      <c r="F2280" s="21"/>
    </row>
    <row r="2281">
      <c r="A2281" s="19">
        <v>13539.0</v>
      </c>
      <c r="B2281" s="19" t="s">
        <v>2311</v>
      </c>
      <c r="C2281" s="20">
        <v>25509.0</v>
      </c>
      <c r="D2281" s="19" t="str">
        <f t="shared" si="1"/>
        <v> </v>
      </c>
      <c r="E2281" s="19" t="str">
        <f t="shared" si="2"/>
        <v> </v>
      </c>
      <c r="F2281" s="21"/>
    </row>
    <row r="2282">
      <c r="A2282" s="19">
        <v>13540.0</v>
      </c>
      <c r="B2282" s="19" t="s">
        <v>2312</v>
      </c>
      <c r="C2282" s="20">
        <v>30909.0</v>
      </c>
      <c r="D2282" s="19" t="str">
        <f t="shared" si="1"/>
        <v> </v>
      </c>
      <c r="E2282" s="19" t="str">
        <f t="shared" si="2"/>
        <v> </v>
      </c>
      <c r="F2282" s="21"/>
    </row>
    <row r="2283">
      <c r="A2283" s="19">
        <v>13541.0</v>
      </c>
      <c r="B2283" s="19" t="s">
        <v>2313</v>
      </c>
      <c r="C2283" s="20">
        <v>20150.0</v>
      </c>
      <c r="D2283" s="19" t="str">
        <f t="shared" si="1"/>
        <v> </v>
      </c>
      <c r="E2283" s="19" t="str">
        <f t="shared" si="2"/>
        <v> </v>
      </c>
      <c r="F2283" s="21"/>
    </row>
    <row r="2284">
      <c r="A2284" s="19">
        <v>13542.0</v>
      </c>
      <c r="B2284" s="19" t="s">
        <v>2314</v>
      </c>
      <c r="C2284" s="20">
        <v>19911.0</v>
      </c>
      <c r="D2284" s="19" t="str">
        <f t="shared" si="1"/>
        <v> </v>
      </c>
      <c r="E2284" s="19" t="str">
        <f t="shared" si="2"/>
        <v> </v>
      </c>
      <c r="F2284" s="21"/>
    </row>
    <row r="2285">
      <c r="A2285" s="19">
        <v>13543.0</v>
      </c>
      <c r="B2285" s="19" t="s">
        <v>2315</v>
      </c>
      <c r="C2285" s="20">
        <v>19276.0</v>
      </c>
      <c r="D2285" s="19" t="str">
        <f t="shared" si="1"/>
        <v> </v>
      </c>
      <c r="E2285" s="19" t="str">
        <f t="shared" si="2"/>
        <v> </v>
      </c>
      <c r="F2285" s="21"/>
    </row>
    <row r="2286">
      <c r="A2286" s="19">
        <v>13544.0</v>
      </c>
      <c r="B2286" s="19" t="s">
        <v>2316</v>
      </c>
      <c r="C2286" s="20">
        <v>27937.0</v>
      </c>
      <c r="D2286" s="19" t="str">
        <f t="shared" si="1"/>
        <v> </v>
      </c>
      <c r="E2286" s="19" t="str">
        <f t="shared" si="2"/>
        <v> </v>
      </c>
      <c r="F2286" s="21"/>
    </row>
    <row r="2287">
      <c r="A2287" s="19">
        <v>13545.0</v>
      </c>
      <c r="B2287" s="19" t="s">
        <v>2317</v>
      </c>
      <c r="C2287" s="20">
        <v>16636.0</v>
      </c>
      <c r="D2287" s="19" t="str">
        <f t="shared" si="1"/>
        <v> </v>
      </c>
      <c r="E2287" s="19" t="str">
        <f t="shared" si="2"/>
        <v> </v>
      </c>
      <c r="F2287" s="21"/>
    </row>
    <row r="2288">
      <c r="A2288" s="19">
        <v>13546.0</v>
      </c>
      <c r="B2288" s="19" t="s">
        <v>2318</v>
      </c>
      <c r="C2288" s="20">
        <v>17856.0</v>
      </c>
      <c r="D2288" s="19" t="str">
        <f t="shared" si="1"/>
        <v> </v>
      </c>
      <c r="E2288" s="19" t="str">
        <f t="shared" si="2"/>
        <v> </v>
      </c>
      <c r="F2288" s="21"/>
    </row>
    <row r="2289">
      <c r="A2289" s="19">
        <v>13547.0</v>
      </c>
      <c r="B2289" s="19" t="s">
        <v>2319</v>
      </c>
      <c r="C2289" s="20">
        <v>23898.0</v>
      </c>
      <c r="D2289" s="19" t="str">
        <f t="shared" si="1"/>
        <v> </v>
      </c>
      <c r="E2289" s="19" t="str">
        <f t="shared" si="2"/>
        <v> </v>
      </c>
      <c r="F2289" s="21"/>
    </row>
    <row r="2290">
      <c r="A2290" s="19">
        <v>13548.0</v>
      </c>
      <c r="B2290" s="19" t="s">
        <v>2320</v>
      </c>
      <c r="C2290" s="20">
        <v>18979.0</v>
      </c>
      <c r="D2290" s="19" t="str">
        <f t="shared" si="1"/>
        <v> </v>
      </c>
      <c r="E2290" s="19" t="str">
        <f t="shared" si="2"/>
        <v> </v>
      </c>
      <c r="F2290" s="21"/>
    </row>
    <row r="2291">
      <c r="A2291" s="19">
        <v>13549.0</v>
      </c>
      <c r="B2291" s="19" t="s">
        <v>2321</v>
      </c>
      <c r="C2291" s="20">
        <v>31150.0</v>
      </c>
      <c r="D2291" s="19" t="str">
        <f t="shared" si="1"/>
        <v> </v>
      </c>
      <c r="E2291" s="19" t="str">
        <f t="shared" si="2"/>
        <v> </v>
      </c>
      <c r="F2291" s="21"/>
    </row>
    <row r="2292">
      <c r="A2292" s="19">
        <v>13550.0</v>
      </c>
      <c r="B2292" s="19" t="s">
        <v>2322</v>
      </c>
      <c r="C2292" s="20">
        <v>25360.0</v>
      </c>
      <c r="D2292" s="19" t="str">
        <f t="shared" si="1"/>
        <v> </v>
      </c>
      <c r="E2292" s="19" t="str">
        <f t="shared" si="2"/>
        <v> </v>
      </c>
      <c r="F2292" s="21"/>
    </row>
    <row r="2293">
      <c r="A2293" s="19">
        <v>13551.0</v>
      </c>
      <c r="B2293" s="19" t="s">
        <v>2323</v>
      </c>
      <c r="C2293" s="20">
        <v>26476.0</v>
      </c>
      <c r="D2293" s="19" t="str">
        <f t="shared" si="1"/>
        <v> </v>
      </c>
      <c r="E2293" s="19" t="str">
        <f t="shared" si="2"/>
        <v> </v>
      </c>
      <c r="F2293" s="21"/>
    </row>
    <row r="2294">
      <c r="A2294" s="19">
        <v>13553.0</v>
      </c>
      <c r="B2294" s="19" t="s">
        <v>2324</v>
      </c>
      <c r="C2294" s="20">
        <v>20818.0</v>
      </c>
      <c r="D2294" s="19" t="str">
        <f t="shared" si="1"/>
        <v> </v>
      </c>
      <c r="E2294" s="19" t="str">
        <f t="shared" si="2"/>
        <v> </v>
      </c>
      <c r="F2294" s="21"/>
    </row>
    <row r="2295">
      <c r="A2295" s="19">
        <v>13555.0</v>
      </c>
      <c r="B2295" s="19" t="s">
        <v>2325</v>
      </c>
      <c r="C2295" s="20">
        <v>20366.0</v>
      </c>
      <c r="D2295" s="19" t="str">
        <f t="shared" si="1"/>
        <v> </v>
      </c>
      <c r="E2295" s="19" t="str">
        <f t="shared" si="2"/>
        <v> </v>
      </c>
      <c r="F2295" s="21"/>
    </row>
    <row r="2296">
      <c r="A2296" s="19">
        <v>13557.0</v>
      </c>
      <c r="B2296" s="19" t="s">
        <v>2326</v>
      </c>
      <c r="C2296" s="20">
        <v>16769.0</v>
      </c>
      <c r="D2296" s="19" t="str">
        <f t="shared" si="1"/>
        <v> </v>
      </c>
      <c r="E2296" s="19" t="str">
        <f t="shared" si="2"/>
        <v> </v>
      </c>
      <c r="F2296" s="21"/>
    </row>
    <row r="2297">
      <c r="A2297" s="19">
        <v>13558.0</v>
      </c>
      <c r="B2297" s="19" t="s">
        <v>2327</v>
      </c>
      <c r="C2297" s="20">
        <v>32354.0</v>
      </c>
      <c r="D2297" s="19" t="str">
        <f t="shared" si="1"/>
        <v> </v>
      </c>
      <c r="E2297" s="19" t="str">
        <f t="shared" si="2"/>
        <v> </v>
      </c>
      <c r="F2297" s="21"/>
    </row>
    <row r="2298">
      <c r="A2298" s="19">
        <v>13559.0</v>
      </c>
      <c r="B2298" s="19" t="s">
        <v>2328</v>
      </c>
      <c r="C2298" s="20">
        <v>10327.0</v>
      </c>
      <c r="D2298" s="19" t="str">
        <f t="shared" si="1"/>
        <v> </v>
      </c>
      <c r="E2298" s="19" t="str">
        <f t="shared" si="2"/>
        <v> </v>
      </c>
      <c r="F2298" s="21"/>
    </row>
    <row r="2299">
      <c r="A2299" s="19">
        <v>13560.0</v>
      </c>
      <c r="B2299" s="19" t="s">
        <v>2329</v>
      </c>
      <c r="C2299" s="20">
        <v>22256.0</v>
      </c>
      <c r="D2299" s="19" t="str">
        <f t="shared" si="1"/>
        <v> </v>
      </c>
      <c r="E2299" s="19" t="str">
        <f t="shared" si="2"/>
        <v> </v>
      </c>
      <c r="F2299" s="21"/>
    </row>
    <row r="2300">
      <c r="A2300" s="19">
        <v>13561.0</v>
      </c>
      <c r="B2300" s="19" t="s">
        <v>2330</v>
      </c>
      <c r="C2300" s="20">
        <v>25984.0</v>
      </c>
      <c r="D2300" s="19" t="str">
        <f t="shared" si="1"/>
        <v> </v>
      </c>
      <c r="E2300" s="19" t="str">
        <f t="shared" si="2"/>
        <v> </v>
      </c>
      <c r="F2300" s="21"/>
    </row>
    <row r="2301">
      <c r="A2301" s="19">
        <v>13562.0</v>
      </c>
      <c r="B2301" s="19" t="s">
        <v>2331</v>
      </c>
      <c r="C2301" s="20">
        <v>25545.0</v>
      </c>
      <c r="D2301" s="19" t="str">
        <f t="shared" si="1"/>
        <v> </v>
      </c>
      <c r="E2301" s="19" t="str">
        <f t="shared" si="2"/>
        <v> </v>
      </c>
      <c r="F2301" s="21"/>
    </row>
    <row r="2302">
      <c r="A2302" s="19">
        <v>13563.0</v>
      </c>
      <c r="B2302" s="19" t="s">
        <v>2332</v>
      </c>
      <c r="C2302" s="20">
        <v>12257.0</v>
      </c>
      <c r="D2302" s="19" t="str">
        <f t="shared" si="1"/>
        <v> </v>
      </c>
      <c r="E2302" s="19" t="str">
        <f t="shared" si="2"/>
        <v> </v>
      </c>
      <c r="F2302" s="21"/>
    </row>
    <row r="2303">
      <c r="A2303" s="19">
        <v>13564.0</v>
      </c>
      <c r="B2303" s="19" t="s">
        <v>2333</v>
      </c>
      <c r="C2303" s="20">
        <v>20350.0</v>
      </c>
      <c r="D2303" s="19" t="str">
        <f t="shared" si="1"/>
        <v> </v>
      </c>
      <c r="E2303" s="19" t="str">
        <f t="shared" si="2"/>
        <v> </v>
      </c>
      <c r="F2303" s="21"/>
    </row>
    <row r="2304">
      <c r="A2304" s="19">
        <v>13565.0</v>
      </c>
      <c r="B2304" s="19" t="s">
        <v>2334</v>
      </c>
      <c r="C2304" s="20">
        <v>21229.0</v>
      </c>
      <c r="D2304" s="19" t="str">
        <f t="shared" si="1"/>
        <v> </v>
      </c>
      <c r="E2304" s="19" t="str">
        <f t="shared" si="2"/>
        <v> </v>
      </c>
      <c r="F2304" s="21"/>
    </row>
    <row r="2305">
      <c r="A2305" s="19">
        <v>13567.0</v>
      </c>
      <c r="B2305" s="19" t="s">
        <v>2335</v>
      </c>
      <c r="C2305" s="20">
        <v>19088.0</v>
      </c>
      <c r="D2305" s="19" t="str">
        <f t="shared" si="1"/>
        <v> </v>
      </c>
      <c r="E2305" s="19" t="str">
        <f t="shared" si="2"/>
        <v> </v>
      </c>
      <c r="F2305" s="21"/>
    </row>
    <row r="2306">
      <c r="A2306" s="19">
        <v>13568.0</v>
      </c>
      <c r="B2306" s="19" t="s">
        <v>2336</v>
      </c>
      <c r="C2306" s="20">
        <v>19224.0</v>
      </c>
      <c r="D2306" s="19" t="str">
        <f t="shared" si="1"/>
        <v> </v>
      </c>
      <c r="E2306" s="19" t="str">
        <f t="shared" si="2"/>
        <v> </v>
      </c>
      <c r="F2306" s="21"/>
    </row>
    <row r="2307">
      <c r="A2307" s="19">
        <v>13569.0</v>
      </c>
      <c r="B2307" s="19" t="s">
        <v>2337</v>
      </c>
      <c r="C2307" s="20">
        <v>21558.0</v>
      </c>
      <c r="D2307" s="19" t="str">
        <f t="shared" si="1"/>
        <v> </v>
      </c>
      <c r="E2307" s="19" t="str">
        <f t="shared" si="2"/>
        <v> </v>
      </c>
      <c r="F2307" s="21"/>
    </row>
    <row r="2308">
      <c r="A2308" s="19">
        <v>13571.0</v>
      </c>
      <c r="B2308" s="19" t="s">
        <v>2338</v>
      </c>
      <c r="C2308" s="20">
        <v>14919.0</v>
      </c>
      <c r="D2308" s="19" t="str">
        <f t="shared" si="1"/>
        <v> </v>
      </c>
      <c r="E2308" s="19" t="str">
        <f t="shared" si="2"/>
        <v> </v>
      </c>
      <c r="F2308" s="21"/>
    </row>
    <row r="2309">
      <c r="A2309" s="19">
        <v>13572.0</v>
      </c>
      <c r="B2309" s="19" t="s">
        <v>2339</v>
      </c>
      <c r="C2309" s="20">
        <v>16016.0</v>
      </c>
      <c r="D2309" s="19" t="str">
        <f t="shared" si="1"/>
        <v> </v>
      </c>
      <c r="E2309" s="19" t="str">
        <f t="shared" si="2"/>
        <v> </v>
      </c>
      <c r="F2309" s="21"/>
    </row>
    <row r="2310">
      <c r="A2310" s="19">
        <v>13573.0</v>
      </c>
      <c r="B2310" s="19" t="s">
        <v>2340</v>
      </c>
      <c r="C2310" s="20">
        <v>23679.0</v>
      </c>
      <c r="D2310" s="19" t="str">
        <f t="shared" si="1"/>
        <v> </v>
      </c>
      <c r="E2310" s="19" t="str">
        <f t="shared" si="2"/>
        <v> </v>
      </c>
      <c r="F2310" s="21"/>
    </row>
    <row r="2311">
      <c r="A2311" s="19">
        <v>13574.0</v>
      </c>
      <c r="B2311" s="19" t="s">
        <v>2341</v>
      </c>
      <c r="C2311" s="20">
        <v>20084.0</v>
      </c>
      <c r="D2311" s="19" t="str">
        <f t="shared" si="1"/>
        <v> </v>
      </c>
      <c r="E2311" s="19" t="str">
        <f t="shared" si="2"/>
        <v> </v>
      </c>
      <c r="F2311" s="21"/>
    </row>
    <row r="2312">
      <c r="A2312" s="19">
        <v>13575.0</v>
      </c>
      <c r="B2312" s="19" t="s">
        <v>2342</v>
      </c>
      <c r="C2312" s="20">
        <v>11830.0</v>
      </c>
      <c r="D2312" s="19" t="str">
        <f t="shared" si="1"/>
        <v> </v>
      </c>
      <c r="E2312" s="19" t="str">
        <f t="shared" si="2"/>
        <v> </v>
      </c>
      <c r="F2312" s="21"/>
    </row>
    <row r="2313">
      <c r="A2313" s="19">
        <v>13576.0</v>
      </c>
      <c r="B2313" s="19" t="s">
        <v>2343</v>
      </c>
      <c r="C2313" s="20">
        <v>31182.0</v>
      </c>
      <c r="D2313" s="19" t="str">
        <f t="shared" si="1"/>
        <v> </v>
      </c>
      <c r="E2313" s="19" t="str">
        <f t="shared" si="2"/>
        <v> </v>
      </c>
      <c r="F2313" s="21"/>
    </row>
    <row r="2314">
      <c r="A2314" s="19">
        <v>13577.0</v>
      </c>
      <c r="B2314" s="19" t="s">
        <v>2344</v>
      </c>
      <c r="C2314" s="20">
        <v>24260.0</v>
      </c>
      <c r="D2314" s="19" t="str">
        <f t="shared" si="1"/>
        <v> </v>
      </c>
      <c r="E2314" s="19" t="str">
        <f t="shared" si="2"/>
        <v> </v>
      </c>
      <c r="F2314" s="21"/>
    </row>
    <row r="2315">
      <c r="A2315" s="19">
        <v>13579.0</v>
      </c>
      <c r="B2315" s="19" t="s">
        <v>2345</v>
      </c>
      <c r="C2315" s="20">
        <v>23956.0</v>
      </c>
      <c r="D2315" s="19" t="str">
        <f t="shared" si="1"/>
        <v> </v>
      </c>
      <c r="E2315" s="19" t="str">
        <f t="shared" si="2"/>
        <v> </v>
      </c>
      <c r="F2315" s="21"/>
    </row>
    <row r="2316">
      <c r="A2316" s="19">
        <v>13580.0</v>
      </c>
      <c r="B2316" s="19" t="s">
        <v>2346</v>
      </c>
      <c r="C2316" s="20">
        <v>35210.0</v>
      </c>
      <c r="D2316" s="19" t="str">
        <f t="shared" si="1"/>
        <v> </v>
      </c>
      <c r="E2316" s="19" t="str">
        <f t="shared" si="2"/>
        <v> </v>
      </c>
      <c r="F2316" s="21"/>
    </row>
    <row r="2317">
      <c r="A2317" s="19">
        <v>13581.0</v>
      </c>
      <c r="B2317" s="19" t="s">
        <v>2347</v>
      </c>
      <c r="C2317" s="20">
        <v>22079.0</v>
      </c>
      <c r="D2317" s="19" t="str">
        <f t="shared" si="1"/>
        <v> </v>
      </c>
      <c r="E2317" s="19" t="str">
        <f t="shared" si="2"/>
        <v> </v>
      </c>
      <c r="F2317" s="21"/>
    </row>
    <row r="2318">
      <c r="A2318" s="19">
        <v>13582.0</v>
      </c>
      <c r="B2318" s="19" t="s">
        <v>2348</v>
      </c>
      <c r="C2318" s="20">
        <v>13522.0</v>
      </c>
      <c r="D2318" s="19" t="str">
        <f t="shared" si="1"/>
        <v> </v>
      </c>
      <c r="E2318" s="19" t="str">
        <f t="shared" si="2"/>
        <v> </v>
      </c>
      <c r="F2318" s="21"/>
    </row>
    <row r="2319">
      <c r="A2319" s="19">
        <v>13584.0</v>
      </c>
      <c r="B2319" s="19" t="s">
        <v>2349</v>
      </c>
      <c r="C2319" s="20">
        <v>35733.0</v>
      </c>
      <c r="D2319" s="19" t="str">
        <f t="shared" si="1"/>
        <v> </v>
      </c>
      <c r="E2319" s="19" t="str">
        <f t="shared" si="2"/>
        <v> </v>
      </c>
      <c r="F2319" s="21"/>
    </row>
    <row r="2320">
      <c r="A2320" s="19">
        <v>13585.0</v>
      </c>
      <c r="B2320" s="19" t="s">
        <v>2350</v>
      </c>
      <c r="C2320" s="20">
        <v>33881.0</v>
      </c>
      <c r="D2320" s="19" t="str">
        <f t="shared" si="1"/>
        <v> </v>
      </c>
      <c r="E2320" s="19" t="str">
        <f t="shared" si="2"/>
        <v> </v>
      </c>
      <c r="F2320" s="21"/>
    </row>
    <row r="2321">
      <c r="A2321" s="19">
        <v>13586.0</v>
      </c>
      <c r="B2321" s="19" t="s">
        <v>2351</v>
      </c>
      <c r="C2321" s="20">
        <v>34212.0</v>
      </c>
      <c r="D2321" s="19" t="str">
        <f t="shared" si="1"/>
        <v> </v>
      </c>
      <c r="E2321" s="19" t="str">
        <f t="shared" si="2"/>
        <v> </v>
      </c>
      <c r="F2321" s="21"/>
    </row>
    <row r="2322">
      <c r="A2322" s="19">
        <v>13589.0</v>
      </c>
      <c r="B2322" s="19" t="s">
        <v>2352</v>
      </c>
      <c r="C2322" s="20">
        <v>24069.0</v>
      </c>
      <c r="D2322" s="19" t="str">
        <f t="shared" si="1"/>
        <v> </v>
      </c>
      <c r="E2322" s="19" t="str">
        <f t="shared" si="2"/>
        <v> </v>
      </c>
      <c r="F2322" s="21"/>
    </row>
    <row r="2323">
      <c r="A2323" s="19">
        <v>13590.0</v>
      </c>
      <c r="B2323" s="19" t="s">
        <v>2353</v>
      </c>
      <c r="C2323" s="20">
        <v>17787.0</v>
      </c>
      <c r="D2323" s="19" t="str">
        <f t="shared" si="1"/>
        <v> </v>
      </c>
      <c r="E2323" s="19" t="str">
        <f t="shared" si="2"/>
        <v> </v>
      </c>
      <c r="F2323" s="21"/>
    </row>
    <row r="2324">
      <c r="A2324" s="19">
        <v>13591.0</v>
      </c>
      <c r="B2324" s="19" t="s">
        <v>2354</v>
      </c>
      <c r="C2324" s="20">
        <v>20195.0</v>
      </c>
      <c r="D2324" s="19" t="str">
        <f t="shared" si="1"/>
        <v> </v>
      </c>
      <c r="E2324" s="19" t="str">
        <f t="shared" si="2"/>
        <v> </v>
      </c>
      <c r="F2324" s="21"/>
    </row>
    <row r="2325">
      <c r="A2325" s="19">
        <v>13592.0</v>
      </c>
      <c r="B2325" s="19" t="s">
        <v>2355</v>
      </c>
      <c r="C2325" s="20">
        <v>28413.0</v>
      </c>
      <c r="D2325" s="19" t="str">
        <f t="shared" si="1"/>
        <v> </v>
      </c>
      <c r="E2325" s="19" t="str">
        <f t="shared" si="2"/>
        <v> </v>
      </c>
      <c r="F2325" s="21"/>
    </row>
    <row r="2326">
      <c r="A2326" s="19">
        <v>13593.0</v>
      </c>
      <c r="B2326" s="19" t="s">
        <v>1223</v>
      </c>
      <c r="C2326" s="20">
        <v>24996.0</v>
      </c>
      <c r="D2326" s="19" t="str">
        <f t="shared" si="1"/>
        <v>Repeat</v>
      </c>
      <c r="E2326" s="19" t="str">
        <f t="shared" si="2"/>
        <v> </v>
      </c>
      <c r="F2326" s="21"/>
    </row>
    <row r="2327">
      <c r="A2327" s="19">
        <v>13594.0</v>
      </c>
      <c r="B2327" s="19" t="s">
        <v>2356</v>
      </c>
      <c r="C2327" s="20">
        <v>15432.0</v>
      </c>
      <c r="D2327" s="19" t="str">
        <f t="shared" si="1"/>
        <v> </v>
      </c>
      <c r="E2327" s="19" t="str">
        <f t="shared" si="2"/>
        <v> </v>
      </c>
      <c r="F2327" s="21"/>
    </row>
    <row r="2328">
      <c r="A2328" s="19">
        <v>13595.0</v>
      </c>
      <c r="B2328" s="19" t="s">
        <v>2357</v>
      </c>
      <c r="C2328" s="20">
        <v>12895.0</v>
      </c>
      <c r="D2328" s="19" t="str">
        <f t="shared" si="1"/>
        <v> </v>
      </c>
      <c r="E2328" s="19" t="str">
        <f t="shared" si="2"/>
        <v> </v>
      </c>
      <c r="F2328" s="21"/>
    </row>
    <row r="2329">
      <c r="A2329" s="19">
        <v>13596.0</v>
      </c>
      <c r="B2329" s="19" t="s">
        <v>2358</v>
      </c>
      <c r="C2329" s="20">
        <v>18130.0</v>
      </c>
      <c r="D2329" s="19" t="str">
        <f t="shared" si="1"/>
        <v> </v>
      </c>
      <c r="E2329" s="19" t="str">
        <f t="shared" si="2"/>
        <v> </v>
      </c>
      <c r="F2329" s="21"/>
    </row>
    <row r="2330">
      <c r="A2330" s="19">
        <v>13597.0</v>
      </c>
      <c r="B2330" s="19" t="s">
        <v>2359</v>
      </c>
      <c r="C2330" s="20">
        <v>11955.0</v>
      </c>
      <c r="D2330" s="19" t="str">
        <f t="shared" si="1"/>
        <v> </v>
      </c>
      <c r="E2330" s="19" t="str">
        <f t="shared" si="2"/>
        <v> </v>
      </c>
      <c r="F2330" s="21"/>
    </row>
    <row r="2331">
      <c r="A2331" s="19">
        <v>13599.0</v>
      </c>
      <c r="B2331" s="19" t="s">
        <v>2360</v>
      </c>
      <c r="C2331" s="20">
        <v>18851.0</v>
      </c>
      <c r="D2331" s="19" t="str">
        <f t="shared" si="1"/>
        <v> </v>
      </c>
      <c r="E2331" s="19" t="str">
        <f t="shared" si="2"/>
        <v> </v>
      </c>
      <c r="F2331" s="21"/>
    </row>
    <row r="2332">
      <c r="A2332" s="19">
        <v>13601.0</v>
      </c>
      <c r="B2332" s="19" t="s">
        <v>2361</v>
      </c>
      <c r="C2332" s="20">
        <v>19131.0</v>
      </c>
      <c r="D2332" s="19" t="str">
        <f t="shared" si="1"/>
        <v> </v>
      </c>
      <c r="E2332" s="19" t="str">
        <f t="shared" si="2"/>
        <v> </v>
      </c>
      <c r="F2332" s="21"/>
    </row>
    <row r="2333">
      <c r="A2333" s="19">
        <v>13602.0</v>
      </c>
      <c r="B2333" s="19" t="s">
        <v>2362</v>
      </c>
      <c r="C2333" s="20">
        <v>24396.0</v>
      </c>
      <c r="D2333" s="19" t="str">
        <f t="shared" si="1"/>
        <v> </v>
      </c>
      <c r="E2333" s="19" t="str">
        <f t="shared" si="2"/>
        <v> </v>
      </c>
      <c r="F2333" s="21"/>
    </row>
    <row r="2334">
      <c r="A2334" s="19">
        <v>13606.0</v>
      </c>
      <c r="B2334" s="19" t="s">
        <v>2363</v>
      </c>
      <c r="C2334" s="20">
        <v>20028.0</v>
      </c>
      <c r="D2334" s="19" t="str">
        <f t="shared" si="1"/>
        <v> </v>
      </c>
      <c r="E2334" s="19" t="str">
        <f t="shared" si="2"/>
        <v> </v>
      </c>
      <c r="F2334" s="21"/>
    </row>
    <row r="2335">
      <c r="A2335" s="19">
        <v>13607.0</v>
      </c>
      <c r="B2335" s="19" t="s">
        <v>2364</v>
      </c>
      <c r="C2335" s="20">
        <v>16248.0</v>
      </c>
      <c r="D2335" s="19" t="str">
        <f t="shared" si="1"/>
        <v> </v>
      </c>
      <c r="E2335" s="19" t="str">
        <f t="shared" si="2"/>
        <v> </v>
      </c>
      <c r="F2335" s="21"/>
    </row>
    <row r="2336">
      <c r="A2336" s="19">
        <v>13609.0</v>
      </c>
      <c r="B2336" s="19" t="s">
        <v>2365</v>
      </c>
      <c r="C2336" s="20">
        <v>29347.0</v>
      </c>
      <c r="D2336" s="19" t="str">
        <f t="shared" si="1"/>
        <v> </v>
      </c>
      <c r="E2336" s="19" t="str">
        <f t="shared" si="2"/>
        <v> </v>
      </c>
      <c r="F2336" s="21"/>
    </row>
    <row r="2337">
      <c r="A2337" s="19">
        <v>13610.0</v>
      </c>
      <c r="B2337" s="19" t="s">
        <v>2366</v>
      </c>
      <c r="C2337" s="20">
        <v>18047.0</v>
      </c>
      <c r="D2337" s="19" t="str">
        <f t="shared" si="1"/>
        <v> </v>
      </c>
      <c r="E2337" s="19" t="str">
        <f t="shared" si="2"/>
        <v> </v>
      </c>
      <c r="F2337" s="21"/>
    </row>
    <row r="2338">
      <c r="A2338" s="19">
        <v>13611.0</v>
      </c>
      <c r="B2338" s="19" t="s">
        <v>2367</v>
      </c>
      <c r="C2338" s="20">
        <v>17151.0</v>
      </c>
      <c r="D2338" s="19" t="str">
        <f t="shared" si="1"/>
        <v> </v>
      </c>
      <c r="E2338" s="19" t="str">
        <f t="shared" si="2"/>
        <v> </v>
      </c>
      <c r="F2338" s="21"/>
    </row>
    <row r="2339">
      <c r="A2339" s="19">
        <v>13613.0</v>
      </c>
      <c r="B2339" s="19" t="s">
        <v>2368</v>
      </c>
      <c r="C2339" s="20">
        <v>21732.0</v>
      </c>
      <c r="D2339" s="19" t="str">
        <f t="shared" si="1"/>
        <v> </v>
      </c>
      <c r="E2339" s="19" t="str">
        <f t="shared" si="2"/>
        <v> </v>
      </c>
      <c r="F2339" s="21"/>
    </row>
    <row r="2340">
      <c r="A2340" s="19">
        <v>13614.0</v>
      </c>
      <c r="B2340" s="19" t="s">
        <v>2369</v>
      </c>
      <c r="C2340" s="20">
        <v>25645.0</v>
      </c>
      <c r="D2340" s="19" t="str">
        <f t="shared" si="1"/>
        <v> </v>
      </c>
      <c r="E2340" s="19" t="str">
        <f t="shared" si="2"/>
        <v> </v>
      </c>
      <c r="F2340" s="21"/>
    </row>
    <row r="2341">
      <c r="A2341" s="19">
        <v>13615.0</v>
      </c>
      <c r="B2341" s="19" t="s">
        <v>2370</v>
      </c>
      <c r="C2341" s="20">
        <v>29128.0</v>
      </c>
      <c r="D2341" s="19" t="str">
        <f t="shared" si="1"/>
        <v> </v>
      </c>
      <c r="E2341" s="19" t="str">
        <f t="shared" si="2"/>
        <v> </v>
      </c>
      <c r="F2341" s="21"/>
    </row>
    <row r="2342">
      <c r="A2342" s="19">
        <v>13616.0</v>
      </c>
      <c r="B2342" s="19" t="s">
        <v>2371</v>
      </c>
      <c r="C2342" s="20">
        <v>15202.0</v>
      </c>
      <c r="D2342" s="19" t="str">
        <f t="shared" si="1"/>
        <v> </v>
      </c>
      <c r="E2342" s="19" t="str">
        <f t="shared" si="2"/>
        <v> </v>
      </c>
      <c r="F2342" s="21"/>
    </row>
    <row r="2343">
      <c r="A2343" s="19">
        <v>13617.0</v>
      </c>
      <c r="B2343" s="19" t="s">
        <v>2372</v>
      </c>
      <c r="C2343" s="20">
        <v>15068.0</v>
      </c>
      <c r="D2343" s="19" t="str">
        <f t="shared" si="1"/>
        <v> </v>
      </c>
      <c r="E2343" s="19" t="str">
        <f t="shared" si="2"/>
        <v> </v>
      </c>
      <c r="F2343" s="21"/>
    </row>
    <row r="2344">
      <c r="A2344" s="19">
        <v>13618.0</v>
      </c>
      <c r="B2344" s="19" t="s">
        <v>2373</v>
      </c>
      <c r="C2344" s="20">
        <v>16810.0</v>
      </c>
      <c r="D2344" s="19" t="str">
        <f t="shared" si="1"/>
        <v> </v>
      </c>
      <c r="E2344" s="19" t="str">
        <f t="shared" si="2"/>
        <v> </v>
      </c>
      <c r="F2344" s="21"/>
    </row>
    <row r="2345">
      <c r="A2345" s="19">
        <v>13619.0</v>
      </c>
      <c r="B2345" s="19" t="s">
        <v>2374</v>
      </c>
      <c r="C2345" s="20">
        <v>21700.0</v>
      </c>
      <c r="D2345" s="19" t="str">
        <f t="shared" si="1"/>
        <v> </v>
      </c>
      <c r="E2345" s="19" t="str">
        <f t="shared" si="2"/>
        <v> </v>
      </c>
      <c r="F2345" s="21"/>
    </row>
    <row r="2346">
      <c r="A2346" s="19">
        <v>13620.0</v>
      </c>
      <c r="B2346" s="19" t="s">
        <v>2375</v>
      </c>
      <c r="C2346" s="20">
        <v>21609.0</v>
      </c>
      <c r="D2346" s="19" t="str">
        <f t="shared" si="1"/>
        <v> </v>
      </c>
      <c r="E2346" s="19" t="str">
        <f t="shared" si="2"/>
        <v> </v>
      </c>
      <c r="F2346" s="21"/>
    </row>
    <row r="2347">
      <c r="A2347" s="19">
        <v>13621.0</v>
      </c>
      <c r="B2347" s="19" t="s">
        <v>2376</v>
      </c>
      <c r="C2347" s="20">
        <v>14254.0</v>
      </c>
      <c r="D2347" s="19" t="str">
        <f t="shared" si="1"/>
        <v> </v>
      </c>
      <c r="E2347" s="19" t="str">
        <f t="shared" si="2"/>
        <v> </v>
      </c>
      <c r="F2347" s="21"/>
    </row>
    <row r="2348">
      <c r="A2348" s="19">
        <v>13622.0</v>
      </c>
      <c r="B2348" s="19" t="s">
        <v>2377</v>
      </c>
      <c r="C2348" s="20">
        <v>27214.0</v>
      </c>
      <c r="D2348" s="19" t="str">
        <f t="shared" si="1"/>
        <v> </v>
      </c>
      <c r="E2348" s="19" t="str">
        <f t="shared" si="2"/>
        <v> </v>
      </c>
      <c r="F2348" s="21"/>
    </row>
    <row r="2349">
      <c r="A2349" s="19">
        <v>13623.0</v>
      </c>
      <c r="B2349" s="19" t="s">
        <v>2378</v>
      </c>
      <c r="C2349" s="20">
        <v>34982.0</v>
      </c>
      <c r="D2349" s="19" t="str">
        <f t="shared" si="1"/>
        <v> </v>
      </c>
      <c r="E2349" s="19" t="str">
        <f t="shared" si="2"/>
        <v> </v>
      </c>
      <c r="F2349" s="21"/>
    </row>
    <row r="2350">
      <c r="A2350" s="19">
        <v>13624.0</v>
      </c>
      <c r="B2350" s="19" t="s">
        <v>2379</v>
      </c>
      <c r="C2350" s="20">
        <v>22832.0</v>
      </c>
      <c r="D2350" s="19" t="str">
        <f t="shared" si="1"/>
        <v> </v>
      </c>
      <c r="E2350" s="19" t="str">
        <f t="shared" si="2"/>
        <v> </v>
      </c>
      <c r="F2350" s="21"/>
    </row>
    <row r="2351">
      <c r="A2351" s="19">
        <v>13626.0</v>
      </c>
      <c r="B2351" s="19" t="s">
        <v>2380</v>
      </c>
      <c r="C2351" s="20">
        <v>20361.0</v>
      </c>
      <c r="D2351" s="19" t="str">
        <f t="shared" si="1"/>
        <v> </v>
      </c>
      <c r="E2351" s="19" t="str">
        <f t="shared" si="2"/>
        <v> </v>
      </c>
      <c r="F2351" s="21"/>
    </row>
    <row r="2352">
      <c r="A2352" s="19">
        <v>13628.0</v>
      </c>
      <c r="B2352" s="19" t="s">
        <v>2381</v>
      </c>
      <c r="C2352" s="20">
        <v>30762.0</v>
      </c>
      <c r="D2352" s="19" t="str">
        <f t="shared" si="1"/>
        <v> </v>
      </c>
      <c r="E2352" s="19" t="str">
        <f t="shared" si="2"/>
        <v> </v>
      </c>
      <c r="F2352" s="21"/>
    </row>
    <row r="2353">
      <c r="A2353" s="19">
        <v>13629.0</v>
      </c>
      <c r="B2353" s="19" t="s">
        <v>2382</v>
      </c>
      <c r="C2353" s="20">
        <v>25991.0</v>
      </c>
      <c r="D2353" s="19" t="str">
        <f t="shared" si="1"/>
        <v> </v>
      </c>
      <c r="E2353" s="19" t="str">
        <f t="shared" si="2"/>
        <v> </v>
      </c>
      <c r="F2353" s="21"/>
    </row>
    <row r="2354">
      <c r="A2354" s="19">
        <v>13630.0</v>
      </c>
      <c r="B2354" s="19" t="s">
        <v>2383</v>
      </c>
      <c r="C2354" s="20">
        <v>15456.0</v>
      </c>
      <c r="D2354" s="19" t="str">
        <f t="shared" si="1"/>
        <v> </v>
      </c>
      <c r="E2354" s="19" t="str">
        <f t="shared" si="2"/>
        <v> </v>
      </c>
      <c r="F2354" s="21"/>
    </row>
    <row r="2355">
      <c r="A2355" s="19">
        <v>13631.0</v>
      </c>
      <c r="B2355" s="19" t="s">
        <v>2384</v>
      </c>
      <c r="C2355" s="20">
        <v>27442.0</v>
      </c>
      <c r="D2355" s="19" t="str">
        <f t="shared" si="1"/>
        <v>Repeat</v>
      </c>
      <c r="E2355" s="19" t="str">
        <f t="shared" si="2"/>
        <v> </v>
      </c>
      <c r="F2355" s="21"/>
    </row>
    <row r="2356">
      <c r="A2356" s="19">
        <v>13632.0</v>
      </c>
      <c r="B2356" s="19" t="s">
        <v>2385</v>
      </c>
      <c r="C2356" s="20">
        <v>31951.0</v>
      </c>
      <c r="D2356" s="19" t="str">
        <f t="shared" si="1"/>
        <v> </v>
      </c>
      <c r="E2356" s="19" t="str">
        <f t="shared" si="2"/>
        <v> </v>
      </c>
      <c r="F2356" s="21"/>
    </row>
    <row r="2357">
      <c r="A2357" s="19">
        <v>13634.0</v>
      </c>
      <c r="B2357" s="19" t="s">
        <v>2386</v>
      </c>
      <c r="C2357" s="20">
        <v>32465.0</v>
      </c>
      <c r="D2357" s="19" t="str">
        <f t="shared" si="1"/>
        <v> </v>
      </c>
      <c r="E2357" s="19" t="str">
        <f t="shared" si="2"/>
        <v> </v>
      </c>
      <c r="F2357" s="21"/>
    </row>
    <row r="2358">
      <c r="A2358" s="19">
        <v>13635.0</v>
      </c>
      <c r="B2358" s="19" t="s">
        <v>2387</v>
      </c>
      <c r="C2358" s="20">
        <v>19726.0</v>
      </c>
      <c r="D2358" s="19" t="str">
        <f t="shared" si="1"/>
        <v> </v>
      </c>
      <c r="E2358" s="19" t="str">
        <f t="shared" si="2"/>
        <v> </v>
      </c>
      <c r="F2358" s="21"/>
    </row>
    <row r="2359">
      <c r="A2359" s="19">
        <v>13636.0</v>
      </c>
      <c r="B2359" s="19" t="s">
        <v>2388</v>
      </c>
      <c r="C2359" s="20">
        <v>32106.0</v>
      </c>
      <c r="D2359" s="19" t="str">
        <f t="shared" si="1"/>
        <v> </v>
      </c>
      <c r="E2359" s="19" t="str">
        <f t="shared" si="2"/>
        <v> </v>
      </c>
      <c r="F2359" s="21"/>
    </row>
    <row r="2360">
      <c r="A2360" s="19">
        <v>13638.0</v>
      </c>
      <c r="B2360" s="19" t="s">
        <v>2389</v>
      </c>
      <c r="C2360" s="20">
        <v>15264.0</v>
      </c>
      <c r="D2360" s="19" t="str">
        <f t="shared" si="1"/>
        <v> </v>
      </c>
      <c r="E2360" s="19" t="str">
        <f t="shared" si="2"/>
        <v> </v>
      </c>
      <c r="F2360" s="21"/>
    </row>
    <row r="2361">
      <c r="A2361" s="19">
        <v>13639.0</v>
      </c>
      <c r="B2361" s="19" t="s">
        <v>2390</v>
      </c>
      <c r="C2361" s="20">
        <v>21123.0</v>
      </c>
      <c r="D2361" s="19" t="str">
        <f t="shared" si="1"/>
        <v> </v>
      </c>
      <c r="E2361" s="19" t="str">
        <f t="shared" si="2"/>
        <v> </v>
      </c>
      <c r="F2361" s="21"/>
    </row>
    <row r="2362">
      <c r="A2362" s="19">
        <v>13640.0</v>
      </c>
      <c r="B2362" s="19" t="s">
        <v>2391</v>
      </c>
      <c r="C2362" s="20">
        <v>26655.0</v>
      </c>
      <c r="D2362" s="19" t="str">
        <f t="shared" si="1"/>
        <v> </v>
      </c>
      <c r="E2362" s="19" t="str">
        <f t="shared" si="2"/>
        <v> </v>
      </c>
      <c r="F2362" s="21"/>
    </row>
    <row r="2363">
      <c r="A2363" s="19">
        <v>13641.0</v>
      </c>
      <c r="B2363" s="19" t="s">
        <v>2392</v>
      </c>
      <c r="C2363" s="20">
        <v>29118.0</v>
      </c>
      <c r="D2363" s="19" t="str">
        <f t="shared" si="1"/>
        <v> </v>
      </c>
      <c r="E2363" s="19" t="str">
        <f t="shared" si="2"/>
        <v> </v>
      </c>
      <c r="F2363" s="21"/>
    </row>
    <row r="2364">
      <c r="A2364" s="19">
        <v>13642.0</v>
      </c>
      <c r="B2364" s="19" t="s">
        <v>2393</v>
      </c>
      <c r="C2364" s="20">
        <v>32757.0</v>
      </c>
      <c r="D2364" s="19" t="str">
        <f t="shared" si="1"/>
        <v> </v>
      </c>
      <c r="E2364" s="19" t="str">
        <f t="shared" si="2"/>
        <v> </v>
      </c>
      <c r="F2364" s="21"/>
    </row>
    <row r="2365">
      <c r="A2365" s="19">
        <v>13643.0</v>
      </c>
      <c r="B2365" s="19" t="s">
        <v>2394</v>
      </c>
      <c r="C2365" s="20">
        <v>33352.0</v>
      </c>
      <c r="D2365" s="19" t="str">
        <f t="shared" si="1"/>
        <v> </v>
      </c>
      <c r="E2365" s="19" t="str">
        <f t="shared" si="2"/>
        <v> </v>
      </c>
      <c r="F2365" s="21"/>
    </row>
    <row r="2366">
      <c r="A2366" s="19">
        <v>13644.0</v>
      </c>
      <c r="B2366" s="19" t="s">
        <v>2395</v>
      </c>
      <c r="C2366" s="20">
        <v>21131.0</v>
      </c>
      <c r="D2366" s="19" t="str">
        <f t="shared" si="1"/>
        <v> </v>
      </c>
      <c r="E2366" s="19" t="str">
        <f t="shared" si="2"/>
        <v> </v>
      </c>
      <c r="F2366" s="21"/>
    </row>
    <row r="2367">
      <c r="A2367" s="19">
        <v>13645.0</v>
      </c>
      <c r="B2367" s="19" t="s">
        <v>2396</v>
      </c>
      <c r="C2367" s="20">
        <v>15537.0</v>
      </c>
      <c r="D2367" s="19" t="str">
        <f t="shared" si="1"/>
        <v> </v>
      </c>
      <c r="E2367" s="19" t="str">
        <f t="shared" si="2"/>
        <v> </v>
      </c>
      <c r="F2367" s="21"/>
    </row>
    <row r="2368">
      <c r="A2368" s="19">
        <v>13646.0</v>
      </c>
      <c r="B2368" s="19" t="s">
        <v>2397</v>
      </c>
      <c r="C2368" s="20">
        <v>28177.0</v>
      </c>
      <c r="D2368" s="19" t="str">
        <f t="shared" si="1"/>
        <v>Repeat</v>
      </c>
      <c r="E2368" s="19" t="str">
        <f t="shared" si="2"/>
        <v> </v>
      </c>
      <c r="F2368" s="21"/>
    </row>
    <row r="2369">
      <c r="A2369" s="19">
        <v>13647.0</v>
      </c>
      <c r="B2369" s="19" t="s">
        <v>2398</v>
      </c>
      <c r="C2369" s="20">
        <v>22262.0</v>
      </c>
      <c r="D2369" s="19" t="str">
        <f t="shared" si="1"/>
        <v> </v>
      </c>
      <c r="E2369" s="19" t="str">
        <f t="shared" si="2"/>
        <v> </v>
      </c>
      <c r="F2369" s="21"/>
    </row>
    <row r="2370">
      <c r="A2370" s="19">
        <v>13648.0</v>
      </c>
      <c r="B2370" s="19" t="s">
        <v>2399</v>
      </c>
      <c r="C2370" s="20">
        <v>34504.0</v>
      </c>
      <c r="D2370" s="19" t="str">
        <f t="shared" si="1"/>
        <v> </v>
      </c>
      <c r="E2370" s="19" t="str">
        <f t="shared" si="2"/>
        <v> </v>
      </c>
      <c r="F2370" s="21"/>
    </row>
    <row r="2371">
      <c r="A2371" s="19">
        <v>13649.0</v>
      </c>
      <c r="B2371" s="19" t="s">
        <v>2400</v>
      </c>
      <c r="C2371" s="20">
        <v>30088.0</v>
      </c>
      <c r="D2371" s="19" t="str">
        <f t="shared" si="1"/>
        <v> </v>
      </c>
      <c r="E2371" s="19" t="str">
        <f t="shared" si="2"/>
        <v> </v>
      </c>
      <c r="F2371" s="21"/>
    </row>
    <row r="2372">
      <c r="A2372" s="19">
        <v>13650.0</v>
      </c>
      <c r="B2372" s="19" t="s">
        <v>2401</v>
      </c>
      <c r="C2372" s="20">
        <v>28407.0</v>
      </c>
      <c r="D2372" s="19" t="str">
        <f t="shared" si="1"/>
        <v> </v>
      </c>
      <c r="E2372" s="19" t="str">
        <f t="shared" si="2"/>
        <v> </v>
      </c>
      <c r="F2372" s="21"/>
    </row>
    <row r="2373">
      <c r="A2373" s="19">
        <v>13651.0</v>
      </c>
      <c r="B2373" s="19" t="s">
        <v>2402</v>
      </c>
      <c r="C2373" s="20">
        <v>20270.0</v>
      </c>
      <c r="D2373" s="19" t="str">
        <f t="shared" si="1"/>
        <v> </v>
      </c>
      <c r="E2373" s="19" t="str">
        <f t="shared" si="2"/>
        <v> </v>
      </c>
      <c r="F2373" s="21"/>
    </row>
    <row r="2374">
      <c r="A2374" s="19">
        <v>13652.0</v>
      </c>
      <c r="B2374" s="19" t="s">
        <v>2403</v>
      </c>
      <c r="C2374" s="20">
        <v>17019.0</v>
      </c>
      <c r="D2374" s="19" t="str">
        <f t="shared" si="1"/>
        <v> </v>
      </c>
      <c r="E2374" s="19" t="str">
        <f t="shared" si="2"/>
        <v> </v>
      </c>
      <c r="F2374" s="21"/>
    </row>
    <row r="2375">
      <c r="A2375" s="19">
        <v>13653.0</v>
      </c>
      <c r="B2375" s="19" t="s">
        <v>2404</v>
      </c>
      <c r="C2375" s="20">
        <v>16837.0</v>
      </c>
      <c r="D2375" s="19" t="str">
        <f t="shared" si="1"/>
        <v> </v>
      </c>
      <c r="E2375" s="19" t="str">
        <f t="shared" si="2"/>
        <v> </v>
      </c>
      <c r="F2375" s="21"/>
    </row>
    <row r="2376">
      <c r="A2376" s="19">
        <v>13654.0</v>
      </c>
      <c r="B2376" s="19" t="s">
        <v>2405</v>
      </c>
      <c r="C2376" s="20">
        <v>20616.0</v>
      </c>
      <c r="D2376" s="19" t="str">
        <f t="shared" si="1"/>
        <v> </v>
      </c>
      <c r="E2376" s="19" t="str">
        <f t="shared" si="2"/>
        <v> </v>
      </c>
      <c r="F2376" s="21"/>
    </row>
    <row r="2377">
      <c r="A2377" s="19">
        <v>13655.0</v>
      </c>
      <c r="B2377" s="19" t="s">
        <v>2406</v>
      </c>
      <c r="C2377" s="20">
        <v>16762.0</v>
      </c>
      <c r="D2377" s="19" t="str">
        <f t="shared" si="1"/>
        <v> </v>
      </c>
      <c r="E2377" s="19" t="str">
        <f t="shared" si="2"/>
        <v> </v>
      </c>
      <c r="F2377" s="21"/>
    </row>
    <row r="2378">
      <c r="A2378" s="19">
        <v>13656.0</v>
      </c>
      <c r="B2378" s="19" t="s">
        <v>2407</v>
      </c>
      <c r="C2378" s="20">
        <v>18552.0</v>
      </c>
      <c r="D2378" s="19" t="str">
        <f t="shared" si="1"/>
        <v> </v>
      </c>
      <c r="E2378" s="19" t="str">
        <f t="shared" si="2"/>
        <v> </v>
      </c>
      <c r="F2378" s="21"/>
    </row>
    <row r="2379">
      <c r="A2379" s="19">
        <v>13659.0</v>
      </c>
      <c r="B2379" s="19" t="s">
        <v>2408</v>
      </c>
      <c r="C2379" s="20">
        <v>36570.0</v>
      </c>
      <c r="D2379" s="19" t="str">
        <f t="shared" si="1"/>
        <v> </v>
      </c>
      <c r="E2379" s="19" t="str">
        <f t="shared" si="2"/>
        <v> </v>
      </c>
      <c r="F2379" s="21"/>
    </row>
    <row r="2380">
      <c r="A2380" s="19">
        <v>13661.0</v>
      </c>
      <c r="B2380" s="19" t="s">
        <v>2409</v>
      </c>
      <c r="C2380" s="20">
        <v>27375.0</v>
      </c>
      <c r="D2380" s="19" t="str">
        <f t="shared" si="1"/>
        <v> </v>
      </c>
      <c r="E2380" s="19" t="str">
        <f t="shared" si="2"/>
        <v> </v>
      </c>
      <c r="F2380" s="21"/>
    </row>
    <row r="2381">
      <c r="A2381" s="19">
        <v>13662.0</v>
      </c>
      <c r="B2381" s="19" t="s">
        <v>2410</v>
      </c>
      <c r="C2381" s="20">
        <v>21491.0</v>
      </c>
      <c r="D2381" s="19" t="str">
        <f t="shared" si="1"/>
        <v> </v>
      </c>
      <c r="E2381" s="19" t="str">
        <f t="shared" si="2"/>
        <v> </v>
      </c>
      <c r="F2381" s="21"/>
    </row>
    <row r="2382">
      <c r="A2382" s="19">
        <v>13666.0</v>
      </c>
      <c r="B2382" s="19" t="s">
        <v>2411</v>
      </c>
      <c r="C2382" s="20">
        <v>27283.0</v>
      </c>
      <c r="D2382" s="19" t="str">
        <f t="shared" si="1"/>
        <v> </v>
      </c>
      <c r="E2382" s="19" t="str">
        <f t="shared" si="2"/>
        <v> </v>
      </c>
      <c r="F2382" s="21"/>
    </row>
    <row r="2383">
      <c r="A2383" s="19">
        <v>13667.0</v>
      </c>
      <c r="B2383" s="19" t="s">
        <v>2412</v>
      </c>
      <c r="C2383" s="20">
        <v>30708.0</v>
      </c>
      <c r="D2383" s="19" t="str">
        <f t="shared" si="1"/>
        <v> </v>
      </c>
      <c r="E2383" s="19" t="str">
        <f t="shared" si="2"/>
        <v> </v>
      </c>
      <c r="F2383" s="21"/>
    </row>
    <row r="2384">
      <c r="A2384" s="19">
        <v>13668.0</v>
      </c>
      <c r="B2384" s="19" t="s">
        <v>2413</v>
      </c>
      <c r="C2384" s="20">
        <v>23634.0</v>
      </c>
      <c r="D2384" s="19" t="str">
        <f t="shared" si="1"/>
        <v> </v>
      </c>
      <c r="E2384" s="19" t="str">
        <f t="shared" si="2"/>
        <v> </v>
      </c>
      <c r="F2384" s="21"/>
    </row>
    <row r="2385">
      <c r="A2385" s="19">
        <v>13669.0</v>
      </c>
      <c r="B2385" s="19" t="s">
        <v>2414</v>
      </c>
      <c r="C2385" s="20">
        <v>20219.0</v>
      </c>
      <c r="D2385" s="19" t="str">
        <f t="shared" si="1"/>
        <v> </v>
      </c>
      <c r="E2385" s="19" t="str">
        <f t="shared" si="2"/>
        <v> </v>
      </c>
      <c r="F2385" s="21"/>
    </row>
    <row r="2386">
      <c r="A2386" s="19">
        <v>13670.0</v>
      </c>
      <c r="B2386" s="19" t="s">
        <v>2415</v>
      </c>
      <c r="C2386" s="20">
        <v>22166.0</v>
      </c>
      <c r="D2386" s="19" t="str">
        <f t="shared" si="1"/>
        <v> </v>
      </c>
      <c r="E2386" s="19" t="str">
        <f t="shared" si="2"/>
        <v> </v>
      </c>
      <c r="F2386" s="21"/>
    </row>
    <row r="2387">
      <c r="A2387" s="19">
        <v>13671.0</v>
      </c>
      <c r="B2387" s="19" t="s">
        <v>2416</v>
      </c>
      <c r="C2387" s="20">
        <v>11500.0</v>
      </c>
      <c r="D2387" s="19" t="str">
        <f t="shared" si="1"/>
        <v> </v>
      </c>
      <c r="E2387" s="19" t="str">
        <f t="shared" si="2"/>
        <v> </v>
      </c>
      <c r="F2387" s="21"/>
    </row>
    <row r="2388">
      <c r="A2388" s="19">
        <v>13672.0</v>
      </c>
      <c r="B2388" s="19" t="s">
        <v>2417</v>
      </c>
      <c r="C2388" s="20">
        <v>34201.0</v>
      </c>
      <c r="D2388" s="19" t="str">
        <f t="shared" si="1"/>
        <v> </v>
      </c>
      <c r="E2388" s="19" t="str">
        <f t="shared" si="2"/>
        <v> </v>
      </c>
      <c r="F2388" s="21"/>
    </row>
    <row r="2389">
      <c r="A2389" s="19">
        <v>13673.0</v>
      </c>
      <c r="B2389" s="19" t="s">
        <v>2418</v>
      </c>
      <c r="C2389" s="20">
        <v>25366.0</v>
      </c>
      <c r="D2389" s="19" t="str">
        <f t="shared" si="1"/>
        <v> </v>
      </c>
      <c r="E2389" s="19" t="str">
        <f t="shared" si="2"/>
        <v> </v>
      </c>
      <c r="F2389" s="21"/>
    </row>
    <row r="2390">
      <c r="A2390" s="19">
        <v>13674.0</v>
      </c>
      <c r="B2390" s="19" t="s">
        <v>2419</v>
      </c>
      <c r="C2390" s="20">
        <v>27380.0</v>
      </c>
      <c r="D2390" s="19" t="str">
        <f t="shared" si="1"/>
        <v> </v>
      </c>
      <c r="E2390" s="19" t="str">
        <f t="shared" si="2"/>
        <v> </v>
      </c>
      <c r="F2390" s="21"/>
    </row>
    <row r="2391">
      <c r="A2391" s="19">
        <v>13675.0</v>
      </c>
      <c r="B2391" s="19" t="s">
        <v>2420</v>
      </c>
      <c r="C2391" s="20">
        <v>22144.0</v>
      </c>
      <c r="D2391" s="19" t="str">
        <f t="shared" si="1"/>
        <v> </v>
      </c>
      <c r="E2391" s="19" t="str">
        <f t="shared" si="2"/>
        <v> </v>
      </c>
      <c r="F2391" s="21"/>
    </row>
    <row r="2392">
      <c r="A2392" s="19">
        <v>13676.0</v>
      </c>
      <c r="B2392" s="19" t="s">
        <v>2421</v>
      </c>
      <c r="C2392" s="20">
        <v>35926.0</v>
      </c>
      <c r="D2392" s="19" t="str">
        <f t="shared" si="1"/>
        <v> </v>
      </c>
      <c r="E2392" s="19" t="str">
        <f t="shared" si="2"/>
        <v> </v>
      </c>
      <c r="F2392" s="21"/>
    </row>
    <row r="2393">
      <c r="A2393" s="19">
        <v>13678.0</v>
      </c>
      <c r="B2393" s="19" t="s">
        <v>2422</v>
      </c>
      <c r="C2393" s="20">
        <v>23610.0</v>
      </c>
      <c r="D2393" s="19" t="str">
        <f t="shared" si="1"/>
        <v> </v>
      </c>
      <c r="E2393" s="19" t="str">
        <f t="shared" si="2"/>
        <v> </v>
      </c>
      <c r="F2393" s="21"/>
    </row>
    <row r="2394">
      <c r="A2394" s="19">
        <v>13679.0</v>
      </c>
      <c r="B2394" s="19" t="s">
        <v>2423</v>
      </c>
      <c r="C2394" s="20">
        <v>21112.0</v>
      </c>
      <c r="D2394" s="19" t="str">
        <f t="shared" si="1"/>
        <v> </v>
      </c>
      <c r="E2394" s="19" t="str">
        <f t="shared" si="2"/>
        <v> </v>
      </c>
      <c r="F2394" s="21"/>
    </row>
    <row r="2395">
      <c r="A2395" s="19">
        <v>13680.0</v>
      </c>
      <c r="B2395" s="19" t="s">
        <v>2424</v>
      </c>
      <c r="C2395" s="20">
        <v>26459.0</v>
      </c>
      <c r="D2395" s="19" t="str">
        <f t="shared" si="1"/>
        <v> </v>
      </c>
      <c r="E2395" s="19" t="str">
        <f t="shared" si="2"/>
        <v> </v>
      </c>
      <c r="F2395" s="21"/>
    </row>
    <row r="2396">
      <c r="A2396" s="19">
        <v>13681.0</v>
      </c>
      <c r="B2396" s="19" t="s">
        <v>2425</v>
      </c>
      <c r="C2396" s="20">
        <v>18078.0</v>
      </c>
      <c r="D2396" s="19" t="str">
        <f t="shared" si="1"/>
        <v> </v>
      </c>
      <c r="E2396" s="19" t="str">
        <f t="shared" si="2"/>
        <v> </v>
      </c>
      <c r="F2396" s="21"/>
    </row>
    <row r="2397">
      <c r="A2397" s="19">
        <v>13682.0</v>
      </c>
      <c r="B2397" s="19" t="s">
        <v>2426</v>
      </c>
      <c r="C2397" s="20">
        <v>21579.0</v>
      </c>
      <c r="D2397" s="19" t="str">
        <f t="shared" si="1"/>
        <v> </v>
      </c>
      <c r="E2397" s="19" t="str">
        <f t="shared" si="2"/>
        <v> </v>
      </c>
      <c r="F2397" s="21"/>
    </row>
    <row r="2398">
      <c r="A2398" s="19">
        <v>13683.0</v>
      </c>
      <c r="B2398" s="19" t="s">
        <v>2427</v>
      </c>
      <c r="C2398" s="20">
        <v>28926.0</v>
      </c>
      <c r="D2398" s="19" t="str">
        <f t="shared" si="1"/>
        <v> </v>
      </c>
      <c r="E2398" s="19" t="str">
        <f t="shared" si="2"/>
        <v> </v>
      </c>
      <c r="F2398" s="21"/>
    </row>
    <row r="2399">
      <c r="A2399" s="19">
        <v>13687.0</v>
      </c>
      <c r="B2399" s="19" t="s">
        <v>2428</v>
      </c>
      <c r="C2399" s="20">
        <v>19102.0</v>
      </c>
      <c r="D2399" s="19" t="str">
        <f t="shared" si="1"/>
        <v> </v>
      </c>
      <c r="E2399" s="19" t="str">
        <f t="shared" si="2"/>
        <v> </v>
      </c>
      <c r="F2399" s="21"/>
    </row>
    <row r="2400">
      <c r="A2400" s="19">
        <v>13688.0</v>
      </c>
      <c r="B2400" s="19" t="s">
        <v>2429</v>
      </c>
      <c r="C2400" s="20">
        <v>29023.0</v>
      </c>
      <c r="D2400" s="19" t="str">
        <f t="shared" si="1"/>
        <v> </v>
      </c>
      <c r="E2400" s="19" t="str">
        <f t="shared" si="2"/>
        <v> </v>
      </c>
      <c r="F2400" s="21"/>
    </row>
    <row r="2401">
      <c r="A2401" s="19">
        <v>13689.0</v>
      </c>
      <c r="B2401" s="19" t="s">
        <v>2430</v>
      </c>
      <c r="C2401" s="20">
        <v>28254.0</v>
      </c>
      <c r="D2401" s="19" t="str">
        <f t="shared" si="1"/>
        <v> </v>
      </c>
      <c r="E2401" s="19" t="str">
        <f t="shared" si="2"/>
        <v> </v>
      </c>
      <c r="F2401" s="21"/>
    </row>
    <row r="2402">
      <c r="A2402" s="19">
        <v>13690.0</v>
      </c>
      <c r="B2402" s="19" t="s">
        <v>2431</v>
      </c>
      <c r="C2402" s="20">
        <v>20464.0</v>
      </c>
      <c r="D2402" s="19" t="str">
        <f t="shared" si="1"/>
        <v> </v>
      </c>
      <c r="E2402" s="19" t="str">
        <f t="shared" si="2"/>
        <v> </v>
      </c>
      <c r="F2402" s="21"/>
    </row>
    <row r="2403">
      <c r="A2403" s="19">
        <v>13691.0</v>
      </c>
      <c r="B2403" s="19" t="s">
        <v>2432</v>
      </c>
      <c r="C2403" s="20">
        <v>23661.0</v>
      </c>
      <c r="D2403" s="19" t="str">
        <f t="shared" si="1"/>
        <v> </v>
      </c>
      <c r="E2403" s="19" t="str">
        <f t="shared" si="2"/>
        <v> </v>
      </c>
      <c r="F2403" s="21"/>
    </row>
    <row r="2404">
      <c r="A2404" s="19">
        <v>13692.0</v>
      </c>
      <c r="B2404" s="19" t="s">
        <v>2433</v>
      </c>
      <c r="C2404" s="20">
        <v>27687.0</v>
      </c>
      <c r="D2404" s="19" t="str">
        <f t="shared" si="1"/>
        <v> </v>
      </c>
      <c r="E2404" s="19" t="str">
        <f t="shared" si="2"/>
        <v> </v>
      </c>
      <c r="F2404" s="21"/>
    </row>
    <row r="2405">
      <c r="A2405" s="19">
        <v>13694.0</v>
      </c>
      <c r="B2405" s="19" t="s">
        <v>2434</v>
      </c>
      <c r="C2405" s="20">
        <v>19876.0</v>
      </c>
      <c r="D2405" s="19" t="str">
        <f t="shared" si="1"/>
        <v> </v>
      </c>
      <c r="E2405" s="19" t="str">
        <f t="shared" si="2"/>
        <v> </v>
      </c>
      <c r="F2405" s="21"/>
    </row>
    <row r="2406">
      <c r="A2406" s="19">
        <v>13695.0</v>
      </c>
      <c r="B2406" s="19" t="s">
        <v>2435</v>
      </c>
      <c r="C2406" s="20">
        <v>20076.0</v>
      </c>
      <c r="D2406" s="19" t="str">
        <f t="shared" si="1"/>
        <v> </v>
      </c>
      <c r="E2406" s="19" t="str">
        <f t="shared" si="2"/>
        <v> </v>
      </c>
      <c r="F2406" s="21"/>
    </row>
    <row r="2407">
      <c r="A2407" s="19">
        <v>13696.0</v>
      </c>
      <c r="B2407" s="19" t="s">
        <v>2436</v>
      </c>
      <c r="C2407" s="20">
        <v>30221.0</v>
      </c>
      <c r="D2407" s="19" t="str">
        <f t="shared" si="1"/>
        <v> </v>
      </c>
      <c r="E2407" s="19" t="str">
        <f t="shared" si="2"/>
        <v> </v>
      </c>
      <c r="F2407" s="21"/>
    </row>
    <row r="2408">
      <c r="A2408" s="19">
        <v>13697.0</v>
      </c>
      <c r="B2408" s="19" t="s">
        <v>2437</v>
      </c>
      <c r="C2408" s="20">
        <v>15250.0</v>
      </c>
      <c r="D2408" s="19" t="str">
        <f t="shared" si="1"/>
        <v> </v>
      </c>
      <c r="E2408" s="19" t="str">
        <f t="shared" si="2"/>
        <v> </v>
      </c>
      <c r="F2408" s="21"/>
    </row>
    <row r="2409">
      <c r="A2409" s="19">
        <v>13699.0</v>
      </c>
      <c r="B2409" s="19" t="s">
        <v>2438</v>
      </c>
      <c r="C2409" s="20">
        <v>26641.0</v>
      </c>
      <c r="D2409" s="19" t="str">
        <f t="shared" si="1"/>
        <v> </v>
      </c>
      <c r="E2409" s="19" t="str">
        <f t="shared" si="2"/>
        <v> </v>
      </c>
      <c r="F2409" s="21"/>
    </row>
    <row r="2410">
      <c r="A2410" s="19">
        <v>13700.0</v>
      </c>
      <c r="B2410" s="19" t="s">
        <v>2439</v>
      </c>
      <c r="C2410" s="20">
        <v>36951.0</v>
      </c>
      <c r="D2410" s="19" t="str">
        <f t="shared" si="1"/>
        <v> </v>
      </c>
      <c r="E2410" s="19" t="str">
        <f t="shared" si="2"/>
        <v> </v>
      </c>
      <c r="F2410" s="21"/>
    </row>
    <row r="2411">
      <c r="A2411" s="19">
        <v>13701.0</v>
      </c>
      <c r="B2411" s="19" t="s">
        <v>2440</v>
      </c>
      <c r="C2411" s="20">
        <v>22643.0</v>
      </c>
      <c r="D2411" s="19" t="str">
        <f t="shared" si="1"/>
        <v> </v>
      </c>
      <c r="E2411" s="19" t="str">
        <f t="shared" si="2"/>
        <v> </v>
      </c>
      <c r="F2411" s="21"/>
    </row>
    <row r="2412">
      <c r="A2412" s="19">
        <v>13702.0</v>
      </c>
      <c r="B2412" s="19" t="s">
        <v>2441</v>
      </c>
      <c r="C2412" s="20">
        <v>16728.0</v>
      </c>
      <c r="D2412" s="19" t="str">
        <f t="shared" si="1"/>
        <v> </v>
      </c>
      <c r="E2412" s="19" t="str">
        <f t="shared" si="2"/>
        <v> </v>
      </c>
      <c r="F2412" s="21"/>
    </row>
    <row r="2413">
      <c r="A2413" s="19">
        <v>13704.0</v>
      </c>
      <c r="B2413" s="19" t="s">
        <v>2442</v>
      </c>
      <c r="C2413" s="20">
        <v>14158.0</v>
      </c>
      <c r="D2413" s="19" t="str">
        <f t="shared" si="1"/>
        <v> </v>
      </c>
      <c r="E2413" s="19" t="str">
        <f t="shared" si="2"/>
        <v> </v>
      </c>
      <c r="F2413" s="21"/>
    </row>
    <row r="2414">
      <c r="A2414" s="19">
        <v>13705.0</v>
      </c>
      <c r="B2414" s="19" t="s">
        <v>2443</v>
      </c>
      <c r="C2414" s="20">
        <v>21839.0</v>
      </c>
      <c r="D2414" s="19" t="str">
        <f t="shared" si="1"/>
        <v> </v>
      </c>
      <c r="E2414" s="19" t="str">
        <f t="shared" si="2"/>
        <v> </v>
      </c>
      <c r="F2414" s="21"/>
    </row>
    <row r="2415">
      <c r="A2415" s="19">
        <v>13707.0</v>
      </c>
      <c r="B2415" s="19" t="s">
        <v>2444</v>
      </c>
      <c r="C2415" s="20">
        <v>31559.0</v>
      </c>
      <c r="D2415" s="19" t="str">
        <f t="shared" si="1"/>
        <v> </v>
      </c>
      <c r="E2415" s="19" t="str">
        <f t="shared" si="2"/>
        <v> </v>
      </c>
      <c r="F2415" s="21"/>
    </row>
    <row r="2416">
      <c r="A2416" s="19">
        <v>13709.0</v>
      </c>
      <c r="B2416" s="19" t="s">
        <v>2445</v>
      </c>
      <c r="C2416" s="20">
        <v>24250.0</v>
      </c>
      <c r="D2416" s="19" t="str">
        <f t="shared" si="1"/>
        <v> </v>
      </c>
      <c r="E2416" s="19" t="str">
        <f t="shared" si="2"/>
        <v> </v>
      </c>
      <c r="F2416" s="21"/>
    </row>
    <row r="2417">
      <c r="A2417" s="19">
        <v>13712.0</v>
      </c>
      <c r="B2417" s="19" t="s">
        <v>2446</v>
      </c>
      <c r="C2417" s="20">
        <v>24227.0</v>
      </c>
      <c r="D2417" s="19" t="str">
        <f t="shared" si="1"/>
        <v> </v>
      </c>
      <c r="E2417" s="19" t="str">
        <f t="shared" si="2"/>
        <v> </v>
      </c>
      <c r="F2417" s="21"/>
    </row>
    <row r="2418">
      <c r="A2418" s="19">
        <v>13713.0</v>
      </c>
      <c r="B2418" s="19" t="s">
        <v>2447</v>
      </c>
      <c r="C2418" s="20">
        <v>23396.0</v>
      </c>
      <c r="D2418" s="19" t="str">
        <f t="shared" si="1"/>
        <v> </v>
      </c>
      <c r="E2418" s="19" t="str">
        <f t="shared" si="2"/>
        <v> </v>
      </c>
      <c r="F2418" s="21"/>
    </row>
    <row r="2419">
      <c r="A2419" s="19">
        <v>13714.0</v>
      </c>
      <c r="B2419" s="19" t="s">
        <v>2448</v>
      </c>
      <c r="C2419" s="20">
        <v>19714.0</v>
      </c>
      <c r="D2419" s="19" t="str">
        <f t="shared" si="1"/>
        <v> </v>
      </c>
      <c r="E2419" s="19" t="str">
        <f t="shared" si="2"/>
        <v> </v>
      </c>
      <c r="F2419" s="21"/>
    </row>
    <row r="2420">
      <c r="A2420" s="19">
        <v>13716.0</v>
      </c>
      <c r="B2420" s="19" t="s">
        <v>2449</v>
      </c>
      <c r="C2420" s="20">
        <v>29389.0</v>
      </c>
      <c r="D2420" s="19" t="str">
        <f t="shared" si="1"/>
        <v> </v>
      </c>
      <c r="E2420" s="19" t="str">
        <f t="shared" si="2"/>
        <v> </v>
      </c>
      <c r="F2420" s="21"/>
    </row>
    <row r="2421">
      <c r="A2421" s="19">
        <v>13717.0</v>
      </c>
      <c r="B2421" s="19" t="s">
        <v>2450</v>
      </c>
      <c r="C2421" s="20">
        <v>20542.0</v>
      </c>
      <c r="D2421" s="19" t="str">
        <f t="shared" si="1"/>
        <v> </v>
      </c>
      <c r="E2421" s="19" t="str">
        <f t="shared" si="2"/>
        <v> </v>
      </c>
      <c r="F2421" s="21"/>
    </row>
    <row r="2422">
      <c r="A2422" s="19">
        <v>13718.0</v>
      </c>
      <c r="B2422" s="19" t="s">
        <v>2451</v>
      </c>
      <c r="C2422" s="20">
        <v>32834.0</v>
      </c>
      <c r="D2422" s="19" t="str">
        <f t="shared" si="1"/>
        <v>Repeat</v>
      </c>
      <c r="E2422" s="19" t="str">
        <f t="shared" si="2"/>
        <v> </v>
      </c>
      <c r="F2422" s="21"/>
    </row>
    <row r="2423">
      <c r="A2423" s="19">
        <v>13721.0</v>
      </c>
      <c r="B2423" s="19" t="s">
        <v>2452</v>
      </c>
      <c r="C2423" s="20">
        <v>24069.0</v>
      </c>
      <c r="D2423" s="19" t="str">
        <f t="shared" si="1"/>
        <v> </v>
      </c>
      <c r="E2423" s="19" t="str">
        <f t="shared" si="2"/>
        <v> </v>
      </c>
      <c r="F2423" s="21"/>
    </row>
    <row r="2424">
      <c r="A2424" s="19">
        <v>13722.0</v>
      </c>
      <c r="B2424" s="19" t="s">
        <v>2453</v>
      </c>
      <c r="C2424" s="20">
        <v>20736.0</v>
      </c>
      <c r="D2424" s="19" t="str">
        <f t="shared" si="1"/>
        <v> </v>
      </c>
      <c r="E2424" s="19" t="str">
        <f t="shared" si="2"/>
        <v> </v>
      </c>
      <c r="F2424" s="21"/>
    </row>
    <row r="2425">
      <c r="A2425" s="19">
        <v>13724.0</v>
      </c>
      <c r="B2425" s="19" t="s">
        <v>2454</v>
      </c>
      <c r="C2425" s="20">
        <v>19708.0</v>
      </c>
      <c r="D2425" s="19" t="str">
        <f t="shared" si="1"/>
        <v> </v>
      </c>
      <c r="E2425" s="19" t="str">
        <f t="shared" si="2"/>
        <v> </v>
      </c>
      <c r="F2425" s="21"/>
    </row>
    <row r="2426">
      <c r="A2426" s="19">
        <v>13725.0</v>
      </c>
      <c r="B2426" s="19" t="s">
        <v>2455</v>
      </c>
      <c r="C2426" s="20">
        <v>18585.0</v>
      </c>
      <c r="D2426" s="19" t="str">
        <f t="shared" si="1"/>
        <v> </v>
      </c>
      <c r="E2426" s="19" t="str">
        <f t="shared" si="2"/>
        <v> </v>
      </c>
      <c r="F2426" s="21"/>
    </row>
    <row r="2427">
      <c r="A2427" s="19">
        <v>13726.0</v>
      </c>
      <c r="B2427" s="19" t="s">
        <v>2456</v>
      </c>
      <c r="C2427" s="20">
        <v>16759.0</v>
      </c>
      <c r="D2427" s="19" t="str">
        <f t="shared" si="1"/>
        <v> </v>
      </c>
      <c r="E2427" s="19" t="str">
        <f t="shared" si="2"/>
        <v> </v>
      </c>
      <c r="F2427" s="21"/>
    </row>
    <row r="2428">
      <c r="A2428" s="19">
        <v>13727.0</v>
      </c>
      <c r="B2428" s="19" t="s">
        <v>2457</v>
      </c>
      <c r="C2428" s="20">
        <v>14475.0</v>
      </c>
      <c r="D2428" s="19" t="str">
        <f t="shared" si="1"/>
        <v> </v>
      </c>
      <c r="E2428" s="19" t="str">
        <f t="shared" si="2"/>
        <v> </v>
      </c>
      <c r="F2428" s="21"/>
    </row>
    <row r="2429">
      <c r="A2429" s="19">
        <v>13728.0</v>
      </c>
      <c r="B2429" s="19" t="s">
        <v>2458</v>
      </c>
      <c r="C2429" s="20">
        <v>11681.0</v>
      </c>
      <c r="D2429" s="19" t="str">
        <f t="shared" si="1"/>
        <v> </v>
      </c>
      <c r="E2429" s="19" t="str">
        <f t="shared" si="2"/>
        <v> </v>
      </c>
      <c r="F2429" s="21"/>
    </row>
    <row r="2430">
      <c r="A2430" s="19">
        <v>13729.0</v>
      </c>
      <c r="B2430" s="19" t="s">
        <v>2459</v>
      </c>
      <c r="C2430" s="20">
        <v>18068.0</v>
      </c>
      <c r="D2430" s="19" t="str">
        <f t="shared" si="1"/>
        <v> </v>
      </c>
      <c r="E2430" s="19" t="str">
        <f t="shared" si="2"/>
        <v> </v>
      </c>
      <c r="F2430" s="21"/>
    </row>
    <row r="2431">
      <c r="A2431" s="19">
        <v>13730.0</v>
      </c>
      <c r="B2431" s="19" t="s">
        <v>2460</v>
      </c>
      <c r="C2431" s="20">
        <v>18115.0</v>
      </c>
      <c r="D2431" s="19" t="str">
        <f t="shared" si="1"/>
        <v> </v>
      </c>
      <c r="E2431" s="19" t="str">
        <f t="shared" si="2"/>
        <v> </v>
      </c>
      <c r="F2431" s="21"/>
    </row>
    <row r="2432">
      <c r="A2432" s="19">
        <v>13731.0</v>
      </c>
      <c r="B2432" s="19" t="s">
        <v>2461</v>
      </c>
      <c r="C2432" s="20">
        <v>34963.0</v>
      </c>
      <c r="D2432" s="19" t="str">
        <f t="shared" si="1"/>
        <v>Repeat</v>
      </c>
      <c r="E2432" s="19" t="str">
        <f t="shared" si="2"/>
        <v> </v>
      </c>
      <c r="F2432" s="21"/>
    </row>
    <row r="2433">
      <c r="A2433" s="19">
        <v>13732.0</v>
      </c>
      <c r="B2433" s="19" t="s">
        <v>2462</v>
      </c>
      <c r="C2433" s="20">
        <v>23397.0</v>
      </c>
      <c r="D2433" s="19" t="str">
        <f t="shared" si="1"/>
        <v>Repeat</v>
      </c>
      <c r="E2433" s="19" t="str">
        <f t="shared" si="2"/>
        <v> </v>
      </c>
      <c r="F2433" s="21"/>
    </row>
    <row r="2434">
      <c r="A2434" s="19">
        <v>13733.0</v>
      </c>
      <c r="B2434" s="19" t="s">
        <v>2463</v>
      </c>
      <c r="C2434" s="20">
        <v>24461.0</v>
      </c>
      <c r="D2434" s="19" t="str">
        <f t="shared" si="1"/>
        <v> </v>
      </c>
      <c r="E2434" s="19" t="str">
        <f t="shared" si="2"/>
        <v>Repeat</v>
      </c>
      <c r="F2434" s="21"/>
    </row>
    <row r="2435">
      <c r="A2435" s="19">
        <v>13734.0</v>
      </c>
      <c r="B2435" s="19" t="s">
        <v>2464</v>
      </c>
      <c r="C2435" s="20">
        <v>26521.0</v>
      </c>
      <c r="D2435" s="19" t="str">
        <f t="shared" si="1"/>
        <v> </v>
      </c>
      <c r="E2435" s="19" t="str">
        <f t="shared" si="2"/>
        <v> </v>
      </c>
      <c r="F2435" s="21"/>
    </row>
    <row r="2436">
      <c r="A2436" s="19">
        <v>13735.0</v>
      </c>
      <c r="B2436" s="19" t="s">
        <v>2465</v>
      </c>
      <c r="C2436" s="20">
        <v>19315.0</v>
      </c>
      <c r="D2436" s="19" t="str">
        <f t="shared" si="1"/>
        <v> </v>
      </c>
      <c r="E2436" s="19" t="str">
        <f t="shared" si="2"/>
        <v> </v>
      </c>
      <c r="F2436" s="21"/>
    </row>
    <row r="2437">
      <c r="A2437" s="19">
        <v>13736.0</v>
      </c>
      <c r="B2437" s="19" t="s">
        <v>2466</v>
      </c>
      <c r="C2437" s="20">
        <v>16899.0</v>
      </c>
      <c r="D2437" s="19" t="str">
        <f t="shared" si="1"/>
        <v> </v>
      </c>
      <c r="E2437" s="19" t="str">
        <f t="shared" si="2"/>
        <v> </v>
      </c>
      <c r="F2437" s="21"/>
    </row>
    <row r="2438">
      <c r="A2438" s="19">
        <v>13737.0</v>
      </c>
      <c r="B2438" s="19" t="s">
        <v>2467</v>
      </c>
      <c r="C2438" s="20">
        <v>33250.0</v>
      </c>
      <c r="D2438" s="19" t="str">
        <f t="shared" si="1"/>
        <v> </v>
      </c>
      <c r="E2438" s="19" t="str">
        <f t="shared" si="2"/>
        <v> </v>
      </c>
      <c r="F2438" s="21"/>
    </row>
    <row r="2439">
      <c r="A2439" s="19">
        <v>13738.0</v>
      </c>
      <c r="B2439" s="19" t="s">
        <v>2468</v>
      </c>
      <c r="C2439" s="20">
        <v>30067.0</v>
      </c>
      <c r="D2439" s="19" t="str">
        <f t="shared" si="1"/>
        <v> </v>
      </c>
      <c r="E2439" s="19" t="str">
        <f t="shared" si="2"/>
        <v> </v>
      </c>
      <c r="F2439" s="21"/>
    </row>
    <row r="2440">
      <c r="A2440" s="19">
        <v>13739.0</v>
      </c>
      <c r="B2440" s="19" t="s">
        <v>2469</v>
      </c>
      <c r="C2440" s="20">
        <v>22361.0</v>
      </c>
      <c r="D2440" s="19" t="str">
        <f t="shared" si="1"/>
        <v> </v>
      </c>
      <c r="E2440" s="19" t="str">
        <f t="shared" si="2"/>
        <v> </v>
      </c>
      <c r="F2440" s="21"/>
    </row>
    <row r="2441">
      <c r="A2441" s="19">
        <v>13740.0</v>
      </c>
      <c r="B2441" s="19" t="s">
        <v>2470</v>
      </c>
      <c r="C2441" s="20">
        <v>18108.0</v>
      </c>
      <c r="D2441" s="19" t="str">
        <f t="shared" si="1"/>
        <v> </v>
      </c>
      <c r="E2441" s="19" t="str">
        <f t="shared" si="2"/>
        <v> </v>
      </c>
      <c r="F2441" s="21"/>
    </row>
    <row r="2442">
      <c r="A2442" s="19">
        <v>13742.0</v>
      </c>
      <c r="B2442" s="19" t="s">
        <v>2471</v>
      </c>
      <c r="C2442" s="20">
        <v>23769.0</v>
      </c>
      <c r="D2442" s="19" t="str">
        <f t="shared" si="1"/>
        <v> </v>
      </c>
      <c r="E2442" s="19" t="str">
        <f t="shared" si="2"/>
        <v> </v>
      </c>
      <c r="F2442" s="21"/>
    </row>
    <row r="2443">
      <c r="A2443" s="19">
        <v>13743.0</v>
      </c>
      <c r="B2443" s="19" t="s">
        <v>2472</v>
      </c>
      <c r="C2443" s="20">
        <v>33316.0</v>
      </c>
      <c r="D2443" s="19" t="str">
        <f t="shared" si="1"/>
        <v> </v>
      </c>
      <c r="E2443" s="19" t="str">
        <f t="shared" si="2"/>
        <v> </v>
      </c>
      <c r="F2443" s="21"/>
    </row>
    <row r="2444">
      <c r="A2444" s="19">
        <v>13745.0</v>
      </c>
      <c r="B2444" s="19" t="s">
        <v>2473</v>
      </c>
      <c r="C2444" s="20">
        <v>18202.0</v>
      </c>
      <c r="D2444" s="19" t="str">
        <f t="shared" si="1"/>
        <v> </v>
      </c>
      <c r="E2444" s="19" t="str">
        <f t="shared" si="2"/>
        <v> </v>
      </c>
      <c r="F2444" s="21"/>
    </row>
    <row r="2445">
      <c r="A2445" s="19">
        <v>13746.0</v>
      </c>
      <c r="B2445" s="19" t="s">
        <v>2474</v>
      </c>
      <c r="C2445" s="20">
        <v>28309.0</v>
      </c>
      <c r="D2445" s="19" t="str">
        <f t="shared" si="1"/>
        <v> </v>
      </c>
      <c r="E2445" s="19" t="str">
        <f t="shared" si="2"/>
        <v> </v>
      </c>
      <c r="F2445" s="21"/>
    </row>
    <row r="2446">
      <c r="A2446" s="19">
        <v>13747.0</v>
      </c>
      <c r="B2446" s="19" t="s">
        <v>2475</v>
      </c>
      <c r="C2446" s="20">
        <v>24634.0</v>
      </c>
      <c r="D2446" s="19" t="str">
        <f t="shared" si="1"/>
        <v> </v>
      </c>
      <c r="E2446" s="19" t="str">
        <f t="shared" si="2"/>
        <v> </v>
      </c>
      <c r="F2446" s="21"/>
    </row>
    <row r="2447">
      <c r="A2447" s="19">
        <v>13748.0</v>
      </c>
      <c r="B2447" s="19" t="s">
        <v>2476</v>
      </c>
      <c r="C2447" s="20">
        <v>18584.0</v>
      </c>
      <c r="D2447" s="19" t="str">
        <f t="shared" si="1"/>
        <v> </v>
      </c>
      <c r="E2447" s="19" t="str">
        <f t="shared" si="2"/>
        <v> </v>
      </c>
      <c r="F2447" s="21"/>
    </row>
    <row r="2448">
      <c r="A2448" s="19">
        <v>13749.0</v>
      </c>
      <c r="B2448" s="19" t="s">
        <v>2477</v>
      </c>
      <c r="C2448" s="20">
        <v>30118.0</v>
      </c>
      <c r="D2448" s="19" t="str">
        <f t="shared" si="1"/>
        <v>Repeat</v>
      </c>
      <c r="E2448" s="19" t="str">
        <f t="shared" si="2"/>
        <v> </v>
      </c>
      <c r="F2448" s="21"/>
    </row>
    <row r="2449">
      <c r="A2449" s="19">
        <v>13750.0</v>
      </c>
      <c r="B2449" s="19" t="s">
        <v>2478</v>
      </c>
      <c r="C2449" s="20">
        <v>37509.0</v>
      </c>
      <c r="D2449" s="19" t="str">
        <f t="shared" si="1"/>
        <v> </v>
      </c>
      <c r="E2449" s="19" t="str">
        <f t="shared" si="2"/>
        <v> </v>
      </c>
      <c r="F2449" s="21"/>
    </row>
    <row r="2450">
      <c r="A2450" s="19">
        <v>13751.0</v>
      </c>
      <c r="B2450" s="19" t="s">
        <v>2479</v>
      </c>
      <c r="C2450" s="20">
        <v>19881.0</v>
      </c>
      <c r="D2450" s="19" t="str">
        <f t="shared" si="1"/>
        <v> </v>
      </c>
      <c r="E2450" s="19" t="str">
        <f t="shared" si="2"/>
        <v> </v>
      </c>
      <c r="F2450" s="21"/>
    </row>
    <row r="2451">
      <c r="A2451" s="19">
        <v>13752.0</v>
      </c>
      <c r="B2451" s="19" t="s">
        <v>2480</v>
      </c>
      <c r="C2451" s="20">
        <v>25156.0</v>
      </c>
      <c r="D2451" s="19" t="str">
        <f t="shared" si="1"/>
        <v> </v>
      </c>
      <c r="E2451" s="19" t="str">
        <f t="shared" si="2"/>
        <v> </v>
      </c>
      <c r="F2451" s="21"/>
    </row>
    <row r="2452">
      <c r="A2452" s="19">
        <v>13753.0</v>
      </c>
      <c r="B2452" s="19" t="s">
        <v>2481</v>
      </c>
      <c r="C2452" s="20">
        <v>20454.0</v>
      </c>
      <c r="D2452" s="19" t="str">
        <f t="shared" si="1"/>
        <v> </v>
      </c>
      <c r="E2452" s="19" t="str">
        <f t="shared" si="2"/>
        <v> </v>
      </c>
      <c r="F2452" s="21"/>
    </row>
    <row r="2453">
      <c r="A2453" s="19">
        <v>13754.0</v>
      </c>
      <c r="B2453" s="19" t="s">
        <v>2482</v>
      </c>
      <c r="C2453" s="20">
        <v>35622.0</v>
      </c>
      <c r="D2453" s="19" t="str">
        <f t="shared" si="1"/>
        <v> </v>
      </c>
      <c r="E2453" s="19" t="str">
        <f t="shared" si="2"/>
        <v> </v>
      </c>
      <c r="F2453" s="21"/>
    </row>
    <row r="2454">
      <c r="A2454" s="19">
        <v>13755.0</v>
      </c>
      <c r="B2454" s="19" t="s">
        <v>2483</v>
      </c>
      <c r="C2454" s="20">
        <v>27636.0</v>
      </c>
      <c r="D2454" s="19" t="str">
        <f t="shared" si="1"/>
        <v> </v>
      </c>
      <c r="E2454" s="19" t="str">
        <f t="shared" si="2"/>
        <v> </v>
      </c>
      <c r="F2454" s="21"/>
    </row>
    <row r="2455">
      <c r="A2455" s="19">
        <v>13757.0</v>
      </c>
      <c r="B2455" s="19" t="s">
        <v>2484</v>
      </c>
      <c r="C2455" s="20">
        <v>24280.0</v>
      </c>
      <c r="D2455" s="19" t="str">
        <f t="shared" si="1"/>
        <v> </v>
      </c>
      <c r="E2455" s="19" t="str">
        <f t="shared" si="2"/>
        <v> </v>
      </c>
      <c r="F2455" s="21"/>
    </row>
    <row r="2456">
      <c r="A2456" s="19">
        <v>13758.0</v>
      </c>
      <c r="B2456" s="19" t="s">
        <v>2485</v>
      </c>
      <c r="C2456" s="20">
        <v>21058.0</v>
      </c>
      <c r="D2456" s="19" t="str">
        <f t="shared" si="1"/>
        <v> </v>
      </c>
      <c r="E2456" s="19" t="str">
        <f t="shared" si="2"/>
        <v> </v>
      </c>
      <c r="F2456" s="21"/>
    </row>
    <row r="2457">
      <c r="A2457" s="19">
        <v>13759.0</v>
      </c>
      <c r="B2457" s="19" t="s">
        <v>2486</v>
      </c>
      <c r="C2457" s="20">
        <v>24325.0</v>
      </c>
      <c r="D2457" s="19" t="str">
        <f t="shared" si="1"/>
        <v> </v>
      </c>
      <c r="E2457" s="19" t="str">
        <f t="shared" si="2"/>
        <v> </v>
      </c>
      <c r="F2457" s="21"/>
    </row>
    <row r="2458">
      <c r="A2458" s="19">
        <v>13760.0</v>
      </c>
      <c r="B2458" s="19" t="s">
        <v>2487</v>
      </c>
      <c r="C2458" s="20">
        <v>33025.0</v>
      </c>
      <c r="D2458" s="19" t="str">
        <f t="shared" si="1"/>
        <v> </v>
      </c>
      <c r="E2458" s="19" t="str">
        <f t="shared" si="2"/>
        <v> </v>
      </c>
      <c r="F2458" s="21"/>
    </row>
    <row r="2459">
      <c r="A2459" s="19">
        <v>13762.0</v>
      </c>
      <c r="B2459" s="19" t="s">
        <v>2488</v>
      </c>
      <c r="C2459" s="20">
        <v>24167.0</v>
      </c>
      <c r="D2459" s="19" t="str">
        <f t="shared" si="1"/>
        <v> </v>
      </c>
      <c r="E2459" s="19" t="str">
        <f t="shared" si="2"/>
        <v> </v>
      </c>
      <c r="F2459" s="21"/>
    </row>
    <row r="2460">
      <c r="A2460" s="19">
        <v>13763.0</v>
      </c>
      <c r="B2460" s="19" t="s">
        <v>2489</v>
      </c>
      <c r="C2460" s="20">
        <v>17226.0</v>
      </c>
      <c r="D2460" s="19" t="str">
        <f t="shared" si="1"/>
        <v> </v>
      </c>
      <c r="E2460" s="19" t="str">
        <f t="shared" si="2"/>
        <v> </v>
      </c>
      <c r="F2460" s="21"/>
    </row>
    <row r="2461">
      <c r="A2461" s="19">
        <v>13764.0</v>
      </c>
      <c r="B2461" s="19" t="s">
        <v>2490</v>
      </c>
      <c r="C2461" s="20">
        <v>19758.0</v>
      </c>
      <c r="D2461" s="19" t="str">
        <f t="shared" si="1"/>
        <v> </v>
      </c>
      <c r="E2461" s="19" t="str">
        <f t="shared" si="2"/>
        <v> </v>
      </c>
      <c r="F2461" s="21"/>
    </row>
    <row r="2462">
      <c r="A2462" s="19">
        <v>13765.0</v>
      </c>
      <c r="B2462" s="19" t="s">
        <v>2491</v>
      </c>
      <c r="C2462" s="20">
        <v>24812.0</v>
      </c>
      <c r="D2462" s="19" t="str">
        <f t="shared" si="1"/>
        <v>Repeat</v>
      </c>
      <c r="E2462" s="19" t="str">
        <f t="shared" si="2"/>
        <v> </v>
      </c>
      <c r="F2462" s="21"/>
    </row>
    <row r="2463">
      <c r="A2463" s="19">
        <v>13766.0</v>
      </c>
      <c r="B2463" s="19" t="s">
        <v>2492</v>
      </c>
      <c r="C2463" s="20">
        <v>27553.0</v>
      </c>
      <c r="D2463" s="19" t="str">
        <f t="shared" si="1"/>
        <v> </v>
      </c>
      <c r="E2463" s="19" t="str">
        <f t="shared" si="2"/>
        <v> </v>
      </c>
      <c r="F2463" s="21"/>
    </row>
    <row r="2464">
      <c r="A2464" s="19">
        <v>13767.0</v>
      </c>
      <c r="B2464" s="19" t="s">
        <v>2493</v>
      </c>
      <c r="C2464" s="20">
        <v>13164.0</v>
      </c>
      <c r="D2464" s="19" t="str">
        <f t="shared" si="1"/>
        <v> </v>
      </c>
      <c r="E2464" s="19" t="str">
        <f t="shared" si="2"/>
        <v> </v>
      </c>
      <c r="F2464" s="21"/>
    </row>
    <row r="2465">
      <c r="A2465" s="19">
        <v>13768.0</v>
      </c>
      <c r="B2465" s="19" t="s">
        <v>2494</v>
      </c>
      <c r="C2465" s="20">
        <v>14281.0</v>
      </c>
      <c r="D2465" s="19" t="str">
        <f t="shared" si="1"/>
        <v> </v>
      </c>
      <c r="E2465" s="19" t="str">
        <f t="shared" si="2"/>
        <v> </v>
      </c>
      <c r="F2465" s="21"/>
    </row>
    <row r="2466">
      <c r="A2466" s="19">
        <v>13769.0</v>
      </c>
      <c r="B2466" s="19" t="s">
        <v>2495</v>
      </c>
      <c r="C2466" s="20">
        <v>28488.0</v>
      </c>
      <c r="D2466" s="19" t="str">
        <f t="shared" si="1"/>
        <v> </v>
      </c>
      <c r="E2466" s="19" t="str">
        <f t="shared" si="2"/>
        <v> </v>
      </c>
      <c r="F2466" s="21"/>
    </row>
    <row r="2467">
      <c r="A2467" s="19">
        <v>13771.0</v>
      </c>
      <c r="B2467" s="19" t="s">
        <v>2496</v>
      </c>
      <c r="C2467" s="20">
        <v>31700.0</v>
      </c>
      <c r="D2467" s="19" t="str">
        <f t="shared" si="1"/>
        <v> </v>
      </c>
      <c r="E2467" s="19" t="str">
        <f t="shared" si="2"/>
        <v> </v>
      </c>
      <c r="F2467" s="21"/>
    </row>
    <row r="2468">
      <c r="A2468" s="19">
        <v>13772.0</v>
      </c>
      <c r="B2468" s="19" t="s">
        <v>2497</v>
      </c>
      <c r="C2468" s="20">
        <v>28182.0</v>
      </c>
      <c r="D2468" s="19" t="str">
        <f t="shared" si="1"/>
        <v> </v>
      </c>
      <c r="E2468" s="19" t="str">
        <f t="shared" si="2"/>
        <v> </v>
      </c>
      <c r="F2468" s="21"/>
    </row>
    <row r="2469">
      <c r="A2469" s="19">
        <v>13773.0</v>
      </c>
      <c r="B2469" s="19" t="s">
        <v>2498</v>
      </c>
      <c r="C2469" s="20">
        <v>32265.0</v>
      </c>
      <c r="D2469" s="19" t="str">
        <f t="shared" si="1"/>
        <v> </v>
      </c>
      <c r="E2469" s="19" t="str">
        <f t="shared" si="2"/>
        <v> </v>
      </c>
      <c r="F2469" s="21"/>
    </row>
    <row r="2470">
      <c r="A2470" s="19">
        <v>13774.0</v>
      </c>
      <c r="B2470" s="19" t="s">
        <v>2499</v>
      </c>
      <c r="C2470" s="20">
        <v>18337.0</v>
      </c>
      <c r="D2470" s="19" t="str">
        <f t="shared" si="1"/>
        <v> </v>
      </c>
      <c r="E2470" s="19" t="str">
        <f t="shared" si="2"/>
        <v> </v>
      </c>
      <c r="F2470" s="21"/>
    </row>
    <row r="2471">
      <c r="A2471" s="19">
        <v>13775.0</v>
      </c>
      <c r="B2471" s="19" t="s">
        <v>2500</v>
      </c>
      <c r="C2471" s="20">
        <v>12712.0</v>
      </c>
      <c r="D2471" s="19" t="str">
        <f t="shared" si="1"/>
        <v> </v>
      </c>
      <c r="E2471" s="19" t="str">
        <f t="shared" si="2"/>
        <v> </v>
      </c>
      <c r="F2471" s="21"/>
    </row>
    <row r="2472">
      <c r="A2472" s="19">
        <v>13776.0</v>
      </c>
      <c r="B2472" s="19" t="s">
        <v>2501</v>
      </c>
      <c r="C2472" s="20">
        <v>34971.0</v>
      </c>
      <c r="D2472" s="19" t="str">
        <f t="shared" si="1"/>
        <v> </v>
      </c>
      <c r="E2472" s="19" t="str">
        <f t="shared" si="2"/>
        <v> </v>
      </c>
      <c r="F2472" s="21"/>
    </row>
    <row r="2473">
      <c r="A2473" s="19">
        <v>13777.0</v>
      </c>
      <c r="B2473" s="19" t="s">
        <v>2502</v>
      </c>
      <c r="C2473" s="20">
        <v>29196.0</v>
      </c>
      <c r="D2473" s="19" t="str">
        <f t="shared" si="1"/>
        <v> </v>
      </c>
      <c r="E2473" s="19" t="str">
        <f t="shared" si="2"/>
        <v> </v>
      </c>
      <c r="F2473" s="21"/>
    </row>
    <row r="2474">
      <c r="A2474" s="19">
        <v>13779.0</v>
      </c>
      <c r="B2474" s="19" t="s">
        <v>2503</v>
      </c>
      <c r="C2474" s="20">
        <v>24043.0</v>
      </c>
      <c r="D2474" s="19" t="str">
        <f t="shared" si="1"/>
        <v> </v>
      </c>
      <c r="E2474" s="19" t="str">
        <f t="shared" si="2"/>
        <v> </v>
      </c>
      <c r="F2474" s="21"/>
    </row>
    <row r="2475">
      <c r="A2475" s="19">
        <v>13780.0</v>
      </c>
      <c r="B2475" s="19" t="s">
        <v>2504</v>
      </c>
      <c r="C2475" s="20">
        <v>12733.0</v>
      </c>
      <c r="D2475" s="19" t="str">
        <f t="shared" si="1"/>
        <v> </v>
      </c>
      <c r="E2475" s="19" t="str">
        <f t="shared" si="2"/>
        <v> </v>
      </c>
      <c r="F2475" s="21"/>
    </row>
    <row r="2476">
      <c r="A2476" s="19">
        <v>13781.0</v>
      </c>
      <c r="B2476" s="19" t="s">
        <v>2505</v>
      </c>
      <c r="C2476" s="20">
        <v>17940.0</v>
      </c>
      <c r="D2476" s="19" t="str">
        <f t="shared" si="1"/>
        <v> </v>
      </c>
      <c r="E2476" s="19" t="str">
        <f t="shared" si="2"/>
        <v> </v>
      </c>
      <c r="F2476" s="21"/>
    </row>
    <row r="2477">
      <c r="A2477" s="19">
        <v>13782.0</v>
      </c>
      <c r="B2477" s="19" t="s">
        <v>2506</v>
      </c>
      <c r="C2477" s="20">
        <v>19549.0</v>
      </c>
      <c r="D2477" s="19" t="str">
        <f t="shared" si="1"/>
        <v> </v>
      </c>
      <c r="E2477" s="19" t="str">
        <f t="shared" si="2"/>
        <v> </v>
      </c>
      <c r="F2477" s="21"/>
    </row>
    <row r="2478">
      <c r="A2478" s="19">
        <v>13783.0</v>
      </c>
      <c r="B2478" s="19" t="s">
        <v>2507</v>
      </c>
      <c r="C2478" s="20">
        <v>21103.0</v>
      </c>
      <c r="D2478" s="19" t="str">
        <f t="shared" si="1"/>
        <v> </v>
      </c>
      <c r="E2478" s="19" t="str">
        <f t="shared" si="2"/>
        <v> </v>
      </c>
      <c r="F2478" s="21"/>
    </row>
    <row r="2479">
      <c r="A2479" s="19">
        <v>13784.0</v>
      </c>
      <c r="B2479" s="19" t="s">
        <v>2508</v>
      </c>
      <c r="C2479" s="20">
        <v>21088.0</v>
      </c>
      <c r="D2479" s="19" t="str">
        <f t="shared" si="1"/>
        <v> </v>
      </c>
      <c r="E2479" s="19" t="str">
        <f t="shared" si="2"/>
        <v> </v>
      </c>
      <c r="F2479" s="21"/>
    </row>
    <row r="2480">
      <c r="A2480" s="19">
        <v>13785.0</v>
      </c>
      <c r="B2480" s="19" t="s">
        <v>2509</v>
      </c>
      <c r="C2480" s="20">
        <v>35647.0</v>
      </c>
      <c r="D2480" s="19" t="str">
        <f t="shared" si="1"/>
        <v> </v>
      </c>
      <c r="E2480" s="19" t="str">
        <f t="shared" si="2"/>
        <v> </v>
      </c>
      <c r="F2480" s="21"/>
    </row>
    <row r="2481">
      <c r="A2481" s="19">
        <v>13786.0</v>
      </c>
      <c r="B2481" s="19" t="s">
        <v>2510</v>
      </c>
      <c r="C2481" s="20">
        <v>17563.0</v>
      </c>
      <c r="D2481" s="19" t="str">
        <f t="shared" si="1"/>
        <v> </v>
      </c>
      <c r="E2481" s="19" t="str">
        <f t="shared" si="2"/>
        <v> </v>
      </c>
      <c r="F2481" s="21"/>
    </row>
    <row r="2482">
      <c r="A2482" s="19">
        <v>13788.0</v>
      </c>
      <c r="B2482" s="19" t="s">
        <v>2511</v>
      </c>
      <c r="C2482" s="20">
        <v>19149.0</v>
      </c>
      <c r="D2482" s="19" t="str">
        <f t="shared" si="1"/>
        <v> </v>
      </c>
      <c r="E2482" s="19" t="str">
        <f t="shared" si="2"/>
        <v> </v>
      </c>
      <c r="F2482" s="21"/>
    </row>
    <row r="2483">
      <c r="A2483" s="19">
        <v>13789.0</v>
      </c>
      <c r="B2483" s="19" t="s">
        <v>2512</v>
      </c>
      <c r="C2483" s="20">
        <v>22249.0</v>
      </c>
      <c r="D2483" s="19" t="str">
        <f t="shared" si="1"/>
        <v> </v>
      </c>
      <c r="E2483" s="19" t="str">
        <f t="shared" si="2"/>
        <v> </v>
      </c>
      <c r="F2483" s="21"/>
    </row>
    <row r="2484">
      <c r="A2484" s="19">
        <v>13790.0</v>
      </c>
      <c r="B2484" s="19" t="s">
        <v>2513</v>
      </c>
      <c r="C2484" s="20">
        <v>31180.0</v>
      </c>
      <c r="D2484" s="19" t="str">
        <f t="shared" si="1"/>
        <v> </v>
      </c>
      <c r="E2484" s="19" t="str">
        <f t="shared" si="2"/>
        <v> </v>
      </c>
      <c r="F2484" s="21"/>
    </row>
    <row r="2485">
      <c r="A2485" s="19">
        <v>13791.0</v>
      </c>
      <c r="B2485" s="19" t="s">
        <v>2514</v>
      </c>
      <c r="C2485" s="20">
        <v>22547.0</v>
      </c>
      <c r="D2485" s="19" t="str">
        <f t="shared" si="1"/>
        <v> </v>
      </c>
      <c r="E2485" s="19" t="str">
        <f t="shared" si="2"/>
        <v> </v>
      </c>
      <c r="F2485" s="21"/>
    </row>
    <row r="2486">
      <c r="A2486" s="19">
        <v>13794.0</v>
      </c>
      <c r="B2486" s="19" t="s">
        <v>2515</v>
      </c>
      <c r="C2486" s="20">
        <v>18355.0</v>
      </c>
      <c r="D2486" s="19" t="str">
        <f t="shared" si="1"/>
        <v> </v>
      </c>
      <c r="E2486" s="19" t="str">
        <f t="shared" si="2"/>
        <v> </v>
      </c>
      <c r="F2486" s="21"/>
    </row>
    <row r="2487">
      <c r="A2487" s="19">
        <v>13796.0</v>
      </c>
      <c r="B2487" s="19" t="s">
        <v>2516</v>
      </c>
      <c r="C2487" s="20">
        <v>13230.0</v>
      </c>
      <c r="D2487" s="19" t="str">
        <f t="shared" si="1"/>
        <v> </v>
      </c>
      <c r="E2487" s="19" t="str">
        <f t="shared" si="2"/>
        <v> </v>
      </c>
      <c r="F2487" s="21"/>
    </row>
    <row r="2488">
      <c r="A2488" s="19">
        <v>13797.0</v>
      </c>
      <c r="B2488" s="19" t="s">
        <v>2517</v>
      </c>
      <c r="C2488" s="20">
        <v>18819.0</v>
      </c>
      <c r="D2488" s="19" t="str">
        <f t="shared" si="1"/>
        <v> </v>
      </c>
      <c r="E2488" s="19" t="str">
        <f t="shared" si="2"/>
        <v> </v>
      </c>
      <c r="F2488" s="21"/>
    </row>
    <row r="2489">
      <c r="A2489" s="19">
        <v>13798.0</v>
      </c>
      <c r="B2489" s="19" t="s">
        <v>2518</v>
      </c>
      <c r="C2489" s="20">
        <v>34259.0</v>
      </c>
      <c r="D2489" s="19" t="str">
        <f t="shared" si="1"/>
        <v> </v>
      </c>
      <c r="E2489" s="19" t="str">
        <f t="shared" si="2"/>
        <v> </v>
      </c>
      <c r="F2489" s="21"/>
    </row>
    <row r="2490">
      <c r="A2490" s="19">
        <v>13799.0</v>
      </c>
      <c r="B2490" s="19" t="s">
        <v>2519</v>
      </c>
      <c r="C2490" s="20">
        <v>24564.0</v>
      </c>
      <c r="D2490" s="19" t="str">
        <f t="shared" si="1"/>
        <v> </v>
      </c>
      <c r="E2490" s="19" t="str">
        <f t="shared" si="2"/>
        <v> </v>
      </c>
      <c r="F2490" s="21"/>
    </row>
    <row r="2491">
      <c r="A2491" s="19">
        <v>13800.0</v>
      </c>
      <c r="B2491" s="19" t="s">
        <v>2520</v>
      </c>
      <c r="C2491" s="20">
        <v>21061.0</v>
      </c>
      <c r="D2491" s="19" t="str">
        <f t="shared" si="1"/>
        <v> </v>
      </c>
      <c r="E2491" s="19" t="str">
        <f t="shared" si="2"/>
        <v> </v>
      </c>
      <c r="F2491" s="21"/>
    </row>
    <row r="2492">
      <c r="A2492" s="19">
        <v>13801.0</v>
      </c>
      <c r="B2492" s="19" t="s">
        <v>2521</v>
      </c>
      <c r="C2492" s="20">
        <v>20187.0</v>
      </c>
      <c r="D2492" s="19" t="str">
        <f t="shared" si="1"/>
        <v> </v>
      </c>
      <c r="E2492" s="19" t="str">
        <f t="shared" si="2"/>
        <v> </v>
      </c>
      <c r="F2492" s="21"/>
    </row>
    <row r="2493">
      <c r="A2493" s="19">
        <v>13804.0</v>
      </c>
      <c r="B2493" s="19" t="s">
        <v>2522</v>
      </c>
      <c r="C2493" s="20">
        <v>21870.0</v>
      </c>
      <c r="D2493" s="19" t="str">
        <f t="shared" si="1"/>
        <v> </v>
      </c>
      <c r="E2493" s="19" t="str">
        <f t="shared" si="2"/>
        <v> </v>
      </c>
      <c r="F2493" s="21"/>
    </row>
    <row r="2494">
      <c r="A2494" s="19">
        <v>13805.0</v>
      </c>
      <c r="B2494" s="19" t="s">
        <v>2523</v>
      </c>
      <c r="C2494" s="20">
        <v>14566.0</v>
      </c>
      <c r="D2494" s="19" t="str">
        <f t="shared" si="1"/>
        <v> </v>
      </c>
      <c r="E2494" s="19" t="str">
        <f t="shared" si="2"/>
        <v> </v>
      </c>
      <c r="F2494" s="21"/>
    </row>
    <row r="2495">
      <c r="A2495" s="19">
        <v>13806.0</v>
      </c>
      <c r="B2495" s="19" t="s">
        <v>2524</v>
      </c>
      <c r="C2495" s="20">
        <v>21159.0</v>
      </c>
      <c r="D2495" s="19" t="str">
        <f t="shared" si="1"/>
        <v> </v>
      </c>
      <c r="E2495" s="19" t="str">
        <f t="shared" si="2"/>
        <v> </v>
      </c>
      <c r="F2495" s="21"/>
    </row>
    <row r="2496">
      <c r="A2496" s="19">
        <v>13807.0</v>
      </c>
      <c r="B2496" s="19" t="s">
        <v>2525</v>
      </c>
      <c r="C2496" s="20">
        <v>30989.0</v>
      </c>
      <c r="D2496" s="19" t="str">
        <f t="shared" si="1"/>
        <v> </v>
      </c>
      <c r="E2496" s="19" t="str">
        <f t="shared" si="2"/>
        <v> </v>
      </c>
      <c r="F2496" s="21"/>
    </row>
    <row r="2497">
      <c r="A2497" s="19">
        <v>13808.0</v>
      </c>
      <c r="B2497" s="19" t="s">
        <v>2526</v>
      </c>
      <c r="C2497" s="20">
        <v>21081.0</v>
      </c>
      <c r="D2497" s="19" t="str">
        <f t="shared" si="1"/>
        <v> </v>
      </c>
      <c r="E2497" s="19" t="str">
        <f t="shared" si="2"/>
        <v> </v>
      </c>
      <c r="F2497" s="21"/>
    </row>
    <row r="2498">
      <c r="A2498" s="19">
        <v>13809.0</v>
      </c>
      <c r="B2498" s="19" t="s">
        <v>2527</v>
      </c>
      <c r="C2498" s="20">
        <v>35631.0</v>
      </c>
      <c r="D2498" s="19" t="str">
        <f t="shared" si="1"/>
        <v> </v>
      </c>
      <c r="E2498" s="19" t="str">
        <f t="shared" si="2"/>
        <v> </v>
      </c>
      <c r="F2498" s="21"/>
    </row>
    <row r="2499">
      <c r="A2499" s="19">
        <v>13810.0</v>
      </c>
      <c r="B2499" s="19" t="s">
        <v>2528</v>
      </c>
      <c r="C2499" s="20">
        <v>15873.0</v>
      </c>
      <c r="D2499" s="19" t="str">
        <f t="shared" si="1"/>
        <v> </v>
      </c>
      <c r="E2499" s="19" t="str">
        <f t="shared" si="2"/>
        <v> </v>
      </c>
      <c r="F2499" s="21"/>
    </row>
    <row r="2500">
      <c r="A2500" s="19">
        <v>13812.0</v>
      </c>
      <c r="B2500" s="19" t="s">
        <v>2529</v>
      </c>
      <c r="C2500" s="20">
        <v>32069.0</v>
      </c>
      <c r="D2500" s="19" t="str">
        <f t="shared" si="1"/>
        <v> </v>
      </c>
      <c r="E2500" s="19" t="str">
        <f t="shared" si="2"/>
        <v> </v>
      </c>
      <c r="F2500" s="21"/>
    </row>
    <row r="2501">
      <c r="A2501" s="19">
        <v>13813.0</v>
      </c>
      <c r="B2501" s="19" t="s">
        <v>2530</v>
      </c>
      <c r="C2501" s="20">
        <v>21045.0</v>
      </c>
      <c r="D2501" s="19" t="str">
        <f t="shared" si="1"/>
        <v> </v>
      </c>
      <c r="E2501" s="19" t="str">
        <f t="shared" si="2"/>
        <v> </v>
      </c>
      <c r="F2501" s="21"/>
    </row>
    <row r="2502">
      <c r="A2502" s="19">
        <v>13814.0</v>
      </c>
      <c r="B2502" s="19" t="s">
        <v>2531</v>
      </c>
      <c r="C2502" s="20">
        <v>16406.0</v>
      </c>
      <c r="D2502" s="19" t="str">
        <f t="shared" si="1"/>
        <v> </v>
      </c>
      <c r="E2502" s="19" t="str">
        <f t="shared" si="2"/>
        <v> </v>
      </c>
      <c r="F2502" s="21"/>
    </row>
    <row r="2503">
      <c r="A2503" s="19">
        <v>13816.0</v>
      </c>
      <c r="B2503" s="19" t="s">
        <v>2532</v>
      </c>
      <c r="C2503" s="20">
        <v>20966.0</v>
      </c>
      <c r="D2503" s="19" t="str">
        <f t="shared" si="1"/>
        <v> </v>
      </c>
      <c r="E2503" s="19" t="str">
        <f t="shared" si="2"/>
        <v> </v>
      </c>
      <c r="F2503" s="21"/>
    </row>
    <row r="2504">
      <c r="A2504" s="19">
        <v>13817.0</v>
      </c>
      <c r="B2504" s="19" t="s">
        <v>2533</v>
      </c>
      <c r="C2504" s="20">
        <v>25264.0</v>
      </c>
      <c r="D2504" s="19" t="str">
        <f t="shared" si="1"/>
        <v> </v>
      </c>
      <c r="E2504" s="19" t="str">
        <f t="shared" si="2"/>
        <v> </v>
      </c>
      <c r="F2504" s="21"/>
    </row>
    <row r="2505">
      <c r="A2505" s="19">
        <v>13818.0</v>
      </c>
      <c r="B2505" s="19" t="s">
        <v>2534</v>
      </c>
      <c r="C2505" s="20">
        <v>16380.0</v>
      </c>
      <c r="D2505" s="19" t="str">
        <f t="shared" si="1"/>
        <v> </v>
      </c>
      <c r="E2505" s="19" t="str">
        <f t="shared" si="2"/>
        <v> </v>
      </c>
      <c r="F2505" s="21"/>
    </row>
    <row r="2506">
      <c r="A2506" s="19">
        <v>13819.0</v>
      </c>
      <c r="B2506" s="19" t="s">
        <v>2535</v>
      </c>
      <c r="C2506" s="20">
        <v>21650.0</v>
      </c>
      <c r="D2506" s="19" t="str">
        <f t="shared" si="1"/>
        <v> </v>
      </c>
      <c r="E2506" s="19" t="str">
        <f t="shared" si="2"/>
        <v> </v>
      </c>
      <c r="F2506" s="21"/>
    </row>
    <row r="2507">
      <c r="A2507" s="19">
        <v>13821.0</v>
      </c>
      <c r="B2507" s="19" t="s">
        <v>2536</v>
      </c>
      <c r="C2507" s="20">
        <v>18596.0</v>
      </c>
      <c r="D2507" s="19" t="str">
        <f t="shared" si="1"/>
        <v> </v>
      </c>
      <c r="E2507" s="19" t="str">
        <f t="shared" si="2"/>
        <v> </v>
      </c>
      <c r="F2507" s="21"/>
    </row>
    <row r="2508">
      <c r="A2508" s="19">
        <v>13822.0</v>
      </c>
      <c r="B2508" s="19" t="s">
        <v>2537</v>
      </c>
      <c r="C2508" s="20">
        <v>25814.0</v>
      </c>
      <c r="D2508" s="19" t="str">
        <f t="shared" si="1"/>
        <v> </v>
      </c>
      <c r="E2508" s="19" t="str">
        <f t="shared" si="2"/>
        <v> </v>
      </c>
      <c r="F2508" s="21"/>
    </row>
    <row r="2509">
      <c r="A2509" s="19">
        <v>13826.0</v>
      </c>
      <c r="B2509" s="19" t="s">
        <v>2538</v>
      </c>
      <c r="C2509" s="20">
        <v>25097.0</v>
      </c>
      <c r="D2509" s="19" t="str">
        <f t="shared" si="1"/>
        <v> </v>
      </c>
      <c r="E2509" s="19" t="str">
        <f t="shared" si="2"/>
        <v> </v>
      </c>
      <c r="F2509" s="21"/>
    </row>
    <row r="2510">
      <c r="A2510" s="19">
        <v>13828.0</v>
      </c>
      <c r="B2510" s="19" t="s">
        <v>2539</v>
      </c>
      <c r="C2510" s="20">
        <v>30380.0</v>
      </c>
      <c r="D2510" s="19" t="str">
        <f t="shared" si="1"/>
        <v> </v>
      </c>
      <c r="E2510" s="19" t="str">
        <f t="shared" si="2"/>
        <v> </v>
      </c>
      <c r="F2510" s="21"/>
    </row>
    <row r="2511">
      <c r="A2511" s="19">
        <v>13829.0</v>
      </c>
      <c r="B2511" s="19" t="s">
        <v>2540</v>
      </c>
      <c r="C2511" s="20">
        <v>19504.0</v>
      </c>
      <c r="D2511" s="19" t="str">
        <f t="shared" si="1"/>
        <v> </v>
      </c>
      <c r="E2511" s="19" t="str">
        <f t="shared" si="2"/>
        <v> </v>
      </c>
      <c r="F2511" s="21"/>
    </row>
    <row r="2512">
      <c r="A2512" s="19">
        <v>13830.0</v>
      </c>
      <c r="B2512" s="19" t="s">
        <v>2541</v>
      </c>
      <c r="C2512" s="20">
        <v>29294.0</v>
      </c>
      <c r="D2512" s="19" t="str">
        <f t="shared" si="1"/>
        <v> </v>
      </c>
      <c r="E2512" s="19" t="str">
        <f t="shared" si="2"/>
        <v> </v>
      </c>
      <c r="F2512" s="21"/>
    </row>
    <row r="2513">
      <c r="A2513" s="19">
        <v>13832.0</v>
      </c>
      <c r="B2513" s="19" t="s">
        <v>2542</v>
      </c>
      <c r="C2513" s="20">
        <v>23391.0</v>
      </c>
      <c r="D2513" s="19" t="str">
        <f t="shared" si="1"/>
        <v> </v>
      </c>
      <c r="E2513" s="19" t="str">
        <f t="shared" si="2"/>
        <v> </v>
      </c>
      <c r="F2513" s="21"/>
    </row>
    <row r="2514">
      <c r="A2514" s="19">
        <v>13835.0</v>
      </c>
      <c r="B2514" s="19" t="s">
        <v>2543</v>
      </c>
      <c r="C2514" s="20">
        <v>18179.0</v>
      </c>
      <c r="D2514" s="19" t="str">
        <f t="shared" si="1"/>
        <v> </v>
      </c>
      <c r="E2514" s="19" t="str">
        <f t="shared" si="2"/>
        <v> </v>
      </c>
      <c r="F2514" s="21"/>
    </row>
    <row r="2515">
      <c r="A2515" s="19">
        <v>13836.0</v>
      </c>
      <c r="B2515" s="19" t="s">
        <v>2544</v>
      </c>
      <c r="C2515" s="20">
        <v>31916.0</v>
      </c>
      <c r="D2515" s="19" t="str">
        <f t="shared" si="1"/>
        <v> </v>
      </c>
      <c r="E2515" s="19" t="str">
        <f t="shared" si="2"/>
        <v> </v>
      </c>
      <c r="F2515" s="21"/>
    </row>
    <row r="2516">
      <c r="A2516" s="19">
        <v>13837.0</v>
      </c>
      <c r="B2516" s="19" t="s">
        <v>2545</v>
      </c>
      <c r="C2516" s="20">
        <v>25995.0</v>
      </c>
      <c r="D2516" s="19" t="str">
        <f t="shared" si="1"/>
        <v> </v>
      </c>
      <c r="E2516" s="19" t="str">
        <f t="shared" si="2"/>
        <v> </v>
      </c>
      <c r="F2516" s="21"/>
    </row>
    <row r="2517">
      <c r="A2517" s="19">
        <v>13838.0</v>
      </c>
      <c r="B2517" s="19" t="s">
        <v>2546</v>
      </c>
      <c r="C2517" s="20">
        <v>26338.0</v>
      </c>
      <c r="D2517" s="19" t="str">
        <f t="shared" si="1"/>
        <v> </v>
      </c>
      <c r="E2517" s="19" t="str">
        <f t="shared" si="2"/>
        <v> </v>
      </c>
      <c r="F2517" s="21"/>
    </row>
    <row r="2518">
      <c r="A2518" s="19">
        <v>13839.0</v>
      </c>
      <c r="B2518" s="19" t="s">
        <v>2547</v>
      </c>
      <c r="C2518" s="20">
        <v>21341.0</v>
      </c>
      <c r="D2518" s="19" t="str">
        <f t="shared" si="1"/>
        <v> </v>
      </c>
      <c r="E2518" s="19" t="str">
        <f t="shared" si="2"/>
        <v> </v>
      </c>
      <c r="F2518" s="21"/>
    </row>
    <row r="2519">
      <c r="A2519" s="19">
        <v>13840.0</v>
      </c>
      <c r="B2519" s="19" t="s">
        <v>2548</v>
      </c>
      <c r="C2519" s="20">
        <v>17959.0</v>
      </c>
      <c r="D2519" s="19" t="str">
        <f t="shared" si="1"/>
        <v> </v>
      </c>
      <c r="E2519" s="19" t="str">
        <f t="shared" si="2"/>
        <v> </v>
      </c>
      <c r="F2519" s="21"/>
    </row>
    <row r="2520">
      <c r="A2520" s="19">
        <v>13842.0</v>
      </c>
      <c r="B2520" s="19" t="s">
        <v>2549</v>
      </c>
      <c r="C2520" s="20">
        <v>18921.0</v>
      </c>
      <c r="D2520" s="19" t="str">
        <f t="shared" si="1"/>
        <v> </v>
      </c>
      <c r="E2520" s="19" t="str">
        <f t="shared" si="2"/>
        <v> </v>
      </c>
      <c r="F2520" s="21"/>
    </row>
    <row r="2521">
      <c r="A2521" s="19">
        <v>13843.0</v>
      </c>
      <c r="B2521" s="19" t="s">
        <v>2550</v>
      </c>
      <c r="C2521" s="20">
        <v>22681.0</v>
      </c>
      <c r="D2521" s="19" t="str">
        <f t="shared" si="1"/>
        <v> </v>
      </c>
      <c r="E2521" s="19" t="str">
        <f t="shared" si="2"/>
        <v> </v>
      </c>
      <c r="F2521" s="21"/>
    </row>
    <row r="2522">
      <c r="A2522" s="19">
        <v>13844.0</v>
      </c>
      <c r="B2522" s="19" t="s">
        <v>2551</v>
      </c>
      <c r="C2522" s="20">
        <v>20664.0</v>
      </c>
      <c r="D2522" s="19" t="str">
        <f t="shared" si="1"/>
        <v> </v>
      </c>
      <c r="E2522" s="19" t="str">
        <f t="shared" si="2"/>
        <v> </v>
      </c>
      <c r="F2522" s="21"/>
    </row>
    <row r="2523">
      <c r="A2523" s="19">
        <v>13845.0</v>
      </c>
      <c r="B2523" s="19" t="s">
        <v>2552</v>
      </c>
      <c r="C2523" s="20">
        <v>18613.0</v>
      </c>
      <c r="D2523" s="19" t="str">
        <f t="shared" si="1"/>
        <v> </v>
      </c>
      <c r="E2523" s="19" t="str">
        <f t="shared" si="2"/>
        <v> </v>
      </c>
      <c r="F2523" s="21"/>
    </row>
    <row r="2524">
      <c r="A2524" s="19">
        <v>13847.0</v>
      </c>
      <c r="B2524" s="19" t="s">
        <v>2553</v>
      </c>
      <c r="C2524" s="20">
        <v>24349.0</v>
      </c>
      <c r="D2524" s="19" t="str">
        <f t="shared" si="1"/>
        <v>Repeat</v>
      </c>
      <c r="E2524" s="19" t="str">
        <f t="shared" si="2"/>
        <v> </v>
      </c>
      <c r="F2524" s="21"/>
    </row>
    <row r="2525">
      <c r="A2525" s="19">
        <v>13848.0</v>
      </c>
      <c r="B2525" s="19" t="s">
        <v>2554</v>
      </c>
      <c r="C2525" s="20">
        <v>16483.0</v>
      </c>
      <c r="D2525" s="19" t="str">
        <f t="shared" si="1"/>
        <v> </v>
      </c>
      <c r="E2525" s="19" t="str">
        <f t="shared" si="2"/>
        <v> </v>
      </c>
      <c r="F2525" s="21"/>
    </row>
    <row r="2526">
      <c r="A2526" s="19">
        <v>13849.0</v>
      </c>
      <c r="B2526" s="19" t="s">
        <v>2555</v>
      </c>
      <c r="C2526" s="20">
        <v>24867.0</v>
      </c>
      <c r="D2526" s="19" t="str">
        <f t="shared" si="1"/>
        <v> </v>
      </c>
      <c r="E2526" s="19" t="str">
        <f t="shared" si="2"/>
        <v> </v>
      </c>
      <c r="F2526" s="21"/>
    </row>
    <row r="2527">
      <c r="A2527" s="19">
        <v>13850.0</v>
      </c>
      <c r="B2527" s="19" t="s">
        <v>2556</v>
      </c>
      <c r="C2527" s="20">
        <v>27494.0</v>
      </c>
      <c r="D2527" s="19" t="str">
        <f t="shared" si="1"/>
        <v> </v>
      </c>
      <c r="E2527" s="19" t="str">
        <f t="shared" si="2"/>
        <v> </v>
      </c>
      <c r="F2527" s="21"/>
    </row>
    <row r="2528">
      <c r="A2528" s="19">
        <v>13851.0</v>
      </c>
      <c r="B2528" s="19" t="s">
        <v>2557</v>
      </c>
      <c r="C2528" s="20">
        <v>35656.0</v>
      </c>
      <c r="D2528" s="19" t="str">
        <f t="shared" si="1"/>
        <v> </v>
      </c>
      <c r="E2528" s="19" t="str">
        <f t="shared" si="2"/>
        <v> </v>
      </c>
      <c r="F2528" s="21"/>
    </row>
    <row r="2529">
      <c r="A2529" s="19">
        <v>13852.0</v>
      </c>
      <c r="B2529" s="19" t="s">
        <v>2558</v>
      </c>
      <c r="C2529" s="20">
        <v>19703.0</v>
      </c>
      <c r="D2529" s="19" t="str">
        <f t="shared" si="1"/>
        <v> </v>
      </c>
      <c r="E2529" s="19" t="str">
        <f t="shared" si="2"/>
        <v> </v>
      </c>
      <c r="F2529" s="21"/>
    </row>
    <row r="2530">
      <c r="A2530" s="19">
        <v>13853.0</v>
      </c>
      <c r="B2530" s="19" t="s">
        <v>2559</v>
      </c>
      <c r="C2530" s="20">
        <v>27275.0</v>
      </c>
      <c r="D2530" s="19" t="str">
        <f t="shared" si="1"/>
        <v> </v>
      </c>
      <c r="E2530" s="19" t="str">
        <f t="shared" si="2"/>
        <v> </v>
      </c>
      <c r="F2530" s="21"/>
    </row>
    <row r="2531">
      <c r="A2531" s="19">
        <v>13854.0</v>
      </c>
      <c r="B2531" s="19" t="s">
        <v>2560</v>
      </c>
      <c r="C2531" s="20">
        <v>19452.0</v>
      </c>
      <c r="D2531" s="19" t="str">
        <f t="shared" si="1"/>
        <v> </v>
      </c>
      <c r="E2531" s="19" t="str">
        <f t="shared" si="2"/>
        <v> </v>
      </c>
      <c r="F2531" s="21"/>
    </row>
    <row r="2532">
      <c r="A2532" s="19">
        <v>13859.0</v>
      </c>
      <c r="B2532" s="19" t="s">
        <v>2561</v>
      </c>
      <c r="C2532" s="20">
        <v>21612.0</v>
      </c>
      <c r="D2532" s="19" t="str">
        <f t="shared" si="1"/>
        <v> </v>
      </c>
      <c r="E2532" s="19" t="str">
        <f t="shared" si="2"/>
        <v> </v>
      </c>
      <c r="F2532" s="21"/>
    </row>
    <row r="2533">
      <c r="A2533" s="19">
        <v>13860.0</v>
      </c>
      <c r="B2533" s="19" t="s">
        <v>2562</v>
      </c>
      <c r="C2533" s="20">
        <v>23450.0</v>
      </c>
      <c r="D2533" s="19" t="str">
        <f t="shared" si="1"/>
        <v> </v>
      </c>
      <c r="E2533" s="19" t="str">
        <f t="shared" si="2"/>
        <v> </v>
      </c>
      <c r="F2533" s="21"/>
    </row>
    <row r="2534">
      <c r="A2534" s="19">
        <v>13861.0</v>
      </c>
      <c r="B2534" s="19" t="s">
        <v>2563</v>
      </c>
      <c r="C2534" s="20">
        <v>26754.0</v>
      </c>
      <c r="D2534" s="19" t="str">
        <f t="shared" si="1"/>
        <v> </v>
      </c>
      <c r="E2534" s="19" t="str">
        <f t="shared" si="2"/>
        <v> </v>
      </c>
      <c r="F2534" s="21"/>
    </row>
    <row r="2535">
      <c r="A2535" s="19">
        <v>13862.0</v>
      </c>
      <c r="B2535" s="19" t="s">
        <v>2564</v>
      </c>
      <c r="C2535" s="20">
        <v>21070.0</v>
      </c>
      <c r="D2535" s="19" t="str">
        <f t="shared" si="1"/>
        <v> </v>
      </c>
      <c r="E2535" s="19" t="str">
        <f t="shared" si="2"/>
        <v> </v>
      </c>
      <c r="F2535" s="21"/>
    </row>
    <row r="2536">
      <c r="A2536" s="19">
        <v>13863.0</v>
      </c>
      <c r="B2536" s="19" t="s">
        <v>2565</v>
      </c>
      <c r="C2536" s="20">
        <v>29842.0</v>
      </c>
      <c r="D2536" s="19" t="str">
        <f t="shared" si="1"/>
        <v> </v>
      </c>
      <c r="E2536" s="19" t="str">
        <f t="shared" si="2"/>
        <v> </v>
      </c>
      <c r="F2536" s="21"/>
    </row>
    <row r="2537">
      <c r="A2537" s="19">
        <v>13864.0</v>
      </c>
      <c r="B2537" s="19" t="s">
        <v>2566</v>
      </c>
      <c r="C2537" s="20">
        <v>15715.0</v>
      </c>
      <c r="D2537" s="19" t="str">
        <f t="shared" si="1"/>
        <v> </v>
      </c>
      <c r="E2537" s="19" t="str">
        <f t="shared" si="2"/>
        <v> </v>
      </c>
      <c r="F2537" s="21"/>
    </row>
    <row r="2538">
      <c r="A2538" s="19">
        <v>13866.0</v>
      </c>
      <c r="B2538" s="19" t="s">
        <v>2567</v>
      </c>
      <c r="C2538" s="20">
        <v>22581.0</v>
      </c>
      <c r="D2538" s="19" t="str">
        <f t="shared" si="1"/>
        <v> </v>
      </c>
      <c r="E2538" s="19" t="str">
        <f t="shared" si="2"/>
        <v> </v>
      </c>
      <c r="F2538" s="21"/>
    </row>
    <row r="2539">
      <c r="A2539" s="19">
        <v>13867.0</v>
      </c>
      <c r="B2539" s="19" t="s">
        <v>2568</v>
      </c>
      <c r="C2539" s="20">
        <v>20950.0</v>
      </c>
      <c r="D2539" s="19" t="str">
        <f t="shared" si="1"/>
        <v> </v>
      </c>
      <c r="E2539" s="19" t="str">
        <f t="shared" si="2"/>
        <v> </v>
      </c>
      <c r="F2539" s="21"/>
    </row>
    <row r="2540">
      <c r="A2540" s="19">
        <v>13869.0</v>
      </c>
      <c r="B2540" s="19" t="s">
        <v>2569</v>
      </c>
      <c r="C2540" s="20">
        <v>25705.0</v>
      </c>
      <c r="D2540" s="19" t="str">
        <f t="shared" si="1"/>
        <v> </v>
      </c>
      <c r="E2540" s="19" t="str">
        <f t="shared" si="2"/>
        <v> </v>
      </c>
      <c r="F2540" s="21"/>
    </row>
    <row r="2541">
      <c r="A2541" s="19">
        <v>13870.0</v>
      </c>
      <c r="B2541" s="19" t="s">
        <v>2570</v>
      </c>
      <c r="C2541" s="20">
        <v>20217.0</v>
      </c>
      <c r="D2541" s="19" t="str">
        <f t="shared" si="1"/>
        <v> </v>
      </c>
      <c r="E2541" s="19" t="str">
        <f t="shared" si="2"/>
        <v> </v>
      </c>
      <c r="F2541" s="21"/>
    </row>
    <row r="2542">
      <c r="A2542" s="19">
        <v>13871.0</v>
      </c>
      <c r="B2542" s="19" t="s">
        <v>2571</v>
      </c>
      <c r="C2542" s="20">
        <v>10982.0</v>
      </c>
      <c r="D2542" s="19" t="str">
        <f t="shared" si="1"/>
        <v> </v>
      </c>
      <c r="E2542" s="19" t="str">
        <f t="shared" si="2"/>
        <v> </v>
      </c>
      <c r="F2542" s="21"/>
    </row>
    <row r="2543">
      <c r="A2543" s="19">
        <v>13872.0</v>
      </c>
      <c r="B2543" s="19" t="s">
        <v>2572</v>
      </c>
      <c r="C2543" s="20">
        <v>17563.0</v>
      </c>
      <c r="D2543" s="19" t="str">
        <f t="shared" si="1"/>
        <v> </v>
      </c>
      <c r="E2543" s="19" t="str">
        <f t="shared" si="2"/>
        <v> </v>
      </c>
      <c r="F2543" s="21"/>
    </row>
    <row r="2544">
      <c r="A2544" s="19">
        <v>13873.0</v>
      </c>
      <c r="B2544" s="19" t="s">
        <v>2573</v>
      </c>
      <c r="C2544" s="20">
        <v>32895.0</v>
      </c>
      <c r="D2544" s="19" t="str">
        <f t="shared" si="1"/>
        <v> </v>
      </c>
      <c r="E2544" s="19" t="str">
        <f t="shared" si="2"/>
        <v> </v>
      </c>
      <c r="F2544" s="21"/>
    </row>
    <row r="2545">
      <c r="A2545" s="19">
        <v>13874.0</v>
      </c>
      <c r="B2545" s="19" t="s">
        <v>2574</v>
      </c>
      <c r="C2545" s="20">
        <v>23446.0</v>
      </c>
      <c r="D2545" s="19" t="str">
        <f t="shared" si="1"/>
        <v> </v>
      </c>
      <c r="E2545" s="19" t="str">
        <f t="shared" si="2"/>
        <v> </v>
      </c>
      <c r="F2545" s="21"/>
    </row>
    <row r="2546">
      <c r="A2546" s="19">
        <v>13878.0</v>
      </c>
      <c r="B2546" s="19" t="s">
        <v>2575</v>
      </c>
      <c r="C2546" s="20">
        <v>18179.0</v>
      </c>
      <c r="D2546" s="19" t="str">
        <f t="shared" si="1"/>
        <v> </v>
      </c>
      <c r="E2546" s="19" t="str">
        <f t="shared" si="2"/>
        <v> </v>
      </c>
      <c r="F2546" s="21"/>
    </row>
    <row r="2547">
      <c r="A2547" s="19">
        <v>13879.0</v>
      </c>
      <c r="B2547" s="19" t="s">
        <v>2576</v>
      </c>
      <c r="C2547" s="20">
        <v>11423.0</v>
      </c>
      <c r="D2547" s="19" t="str">
        <f t="shared" si="1"/>
        <v> </v>
      </c>
      <c r="E2547" s="19" t="str">
        <f t="shared" si="2"/>
        <v> </v>
      </c>
      <c r="F2547" s="21"/>
    </row>
    <row r="2548">
      <c r="A2548" s="19">
        <v>13880.0</v>
      </c>
      <c r="B2548" s="19" t="s">
        <v>2577</v>
      </c>
      <c r="C2548" s="20">
        <v>18348.0</v>
      </c>
      <c r="D2548" s="19" t="str">
        <f t="shared" si="1"/>
        <v> </v>
      </c>
      <c r="E2548" s="19" t="str">
        <f t="shared" si="2"/>
        <v> </v>
      </c>
      <c r="F2548" s="21"/>
    </row>
    <row r="2549">
      <c r="A2549" s="19">
        <v>13881.0</v>
      </c>
      <c r="B2549" s="19" t="s">
        <v>2578</v>
      </c>
      <c r="C2549" s="20">
        <v>14625.0</v>
      </c>
      <c r="D2549" s="19" t="str">
        <f t="shared" si="1"/>
        <v> </v>
      </c>
      <c r="E2549" s="19" t="str">
        <f t="shared" si="2"/>
        <v> </v>
      </c>
      <c r="F2549" s="21"/>
    </row>
    <row r="2550">
      <c r="A2550" s="19">
        <v>13882.0</v>
      </c>
      <c r="B2550" s="19" t="s">
        <v>2579</v>
      </c>
      <c r="C2550" s="20">
        <v>28965.0</v>
      </c>
      <c r="D2550" s="19" t="str">
        <f t="shared" si="1"/>
        <v> </v>
      </c>
      <c r="E2550" s="19" t="str">
        <f t="shared" si="2"/>
        <v> </v>
      </c>
      <c r="F2550" s="21"/>
    </row>
    <row r="2551">
      <c r="A2551" s="19">
        <v>13883.0</v>
      </c>
      <c r="B2551" s="19" t="s">
        <v>2580</v>
      </c>
      <c r="C2551" s="20">
        <v>17545.0</v>
      </c>
      <c r="D2551" s="19" t="str">
        <f t="shared" si="1"/>
        <v> </v>
      </c>
      <c r="E2551" s="19" t="str">
        <f t="shared" si="2"/>
        <v> </v>
      </c>
      <c r="F2551" s="21"/>
    </row>
    <row r="2552">
      <c r="A2552" s="19">
        <v>13884.0</v>
      </c>
      <c r="B2552" s="19" t="s">
        <v>2581</v>
      </c>
      <c r="C2552" s="20">
        <v>21982.0</v>
      </c>
      <c r="D2552" s="19" t="str">
        <f t="shared" si="1"/>
        <v> </v>
      </c>
      <c r="E2552" s="19" t="str">
        <f t="shared" si="2"/>
        <v> </v>
      </c>
      <c r="F2552" s="21"/>
    </row>
    <row r="2553">
      <c r="A2553" s="19">
        <v>13885.0</v>
      </c>
      <c r="B2553" s="19" t="s">
        <v>2582</v>
      </c>
      <c r="C2553" s="20">
        <v>22542.0</v>
      </c>
      <c r="D2553" s="19" t="str">
        <f t="shared" si="1"/>
        <v> </v>
      </c>
      <c r="E2553" s="19" t="str">
        <f t="shared" si="2"/>
        <v> </v>
      </c>
      <c r="F2553" s="21"/>
    </row>
    <row r="2554">
      <c r="A2554" s="19">
        <v>13887.0</v>
      </c>
      <c r="B2554" s="19" t="s">
        <v>2583</v>
      </c>
      <c r="C2554" s="20">
        <v>26068.0</v>
      </c>
      <c r="D2554" s="19" t="str">
        <f t="shared" si="1"/>
        <v> </v>
      </c>
      <c r="E2554" s="19" t="str">
        <f t="shared" si="2"/>
        <v> </v>
      </c>
      <c r="F2554" s="21"/>
    </row>
    <row r="2555">
      <c r="A2555" s="19">
        <v>13888.0</v>
      </c>
      <c r="B2555" s="19" t="s">
        <v>2584</v>
      </c>
      <c r="C2555" s="20">
        <v>18556.0</v>
      </c>
      <c r="D2555" s="19" t="str">
        <f t="shared" si="1"/>
        <v> </v>
      </c>
      <c r="E2555" s="19" t="str">
        <f t="shared" si="2"/>
        <v> </v>
      </c>
      <c r="F2555" s="21"/>
    </row>
    <row r="2556">
      <c r="A2556" s="19">
        <v>13889.0</v>
      </c>
      <c r="B2556" s="19" t="s">
        <v>2585</v>
      </c>
      <c r="C2556" s="20">
        <v>22220.0</v>
      </c>
      <c r="D2556" s="19" t="str">
        <f t="shared" si="1"/>
        <v> </v>
      </c>
      <c r="E2556" s="19" t="str">
        <f t="shared" si="2"/>
        <v> </v>
      </c>
      <c r="F2556" s="21"/>
    </row>
    <row r="2557">
      <c r="A2557" s="19">
        <v>13890.0</v>
      </c>
      <c r="B2557" s="19" t="s">
        <v>2586</v>
      </c>
      <c r="C2557" s="20">
        <v>19818.0</v>
      </c>
      <c r="D2557" s="19" t="str">
        <f t="shared" si="1"/>
        <v> </v>
      </c>
      <c r="E2557" s="19" t="str">
        <f t="shared" si="2"/>
        <v> </v>
      </c>
      <c r="F2557" s="21"/>
    </row>
    <row r="2558">
      <c r="A2558" s="19">
        <v>13891.0</v>
      </c>
      <c r="B2558" s="19" t="s">
        <v>2587</v>
      </c>
      <c r="C2558" s="20">
        <v>20160.0</v>
      </c>
      <c r="D2558" s="19" t="str">
        <f t="shared" si="1"/>
        <v> </v>
      </c>
      <c r="E2558" s="19" t="str">
        <f t="shared" si="2"/>
        <v> </v>
      </c>
      <c r="F2558" s="21"/>
    </row>
    <row r="2559">
      <c r="A2559" s="19">
        <v>13892.0</v>
      </c>
      <c r="B2559" s="19" t="s">
        <v>2588</v>
      </c>
      <c r="C2559" s="20">
        <v>25062.0</v>
      </c>
      <c r="D2559" s="19" t="str">
        <f t="shared" si="1"/>
        <v> </v>
      </c>
      <c r="E2559" s="19" t="str">
        <f t="shared" si="2"/>
        <v> </v>
      </c>
      <c r="F2559" s="21"/>
    </row>
    <row r="2560">
      <c r="A2560" s="19">
        <v>13893.0</v>
      </c>
      <c r="B2560" s="19" t="s">
        <v>2589</v>
      </c>
      <c r="C2560" s="20">
        <v>31166.0</v>
      </c>
      <c r="D2560" s="19" t="str">
        <f t="shared" si="1"/>
        <v> </v>
      </c>
      <c r="E2560" s="19" t="str">
        <f t="shared" si="2"/>
        <v> </v>
      </c>
      <c r="F2560" s="21"/>
    </row>
    <row r="2561">
      <c r="A2561" s="19">
        <v>13894.0</v>
      </c>
      <c r="B2561" s="19" t="s">
        <v>2590</v>
      </c>
      <c r="C2561" s="20">
        <v>22165.0</v>
      </c>
      <c r="D2561" s="19" t="str">
        <f t="shared" si="1"/>
        <v> </v>
      </c>
      <c r="E2561" s="19" t="str">
        <f t="shared" si="2"/>
        <v> </v>
      </c>
      <c r="F2561" s="21"/>
    </row>
    <row r="2562">
      <c r="A2562" s="19">
        <v>13895.0</v>
      </c>
      <c r="B2562" s="19" t="s">
        <v>2591</v>
      </c>
      <c r="C2562" s="20">
        <v>32005.0</v>
      </c>
      <c r="D2562" s="19" t="str">
        <f t="shared" si="1"/>
        <v> </v>
      </c>
      <c r="E2562" s="19" t="str">
        <f t="shared" si="2"/>
        <v> </v>
      </c>
      <c r="F2562" s="21"/>
    </row>
    <row r="2563">
      <c r="A2563" s="19">
        <v>13896.0</v>
      </c>
      <c r="B2563" s="19" t="s">
        <v>2592</v>
      </c>
      <c r="C2563" s="20">
        <v>19943.0</v>
      </c>
      <c r="D2563" s="19" t="str">
        <f t="shared" si="1"/>
        <v> </v>
      </c>
      <c r="E2563" s="19" t="str">
        <f t="shared" si="2"/>
        <v> </v>
      </c>
      <c r="F2563" s="21"/>
    </row>
    <row r="2564">
      <c r="A2564" s="19">
        <v>13897.0</v>
      </c>
      <c r="B2564" s="19" t="s">
        <v>2593</v>
      </c>
      <c r="C2564" s="20">
        <v>19099.0</v>
      </c>
      <c r="D2564" s="19" t="str">
        <f t="shared" si="1"/>
        <v> </v>
      </c>
      <c r="E2564" s="19" t="str">
        <f t="shared" si="2"/>
        <v> </v>
      </c>
      <c r="F2564" s="21"/>
    </row>
    <row r="2565">
      <c r="A2565" s="19">
        <v>13900.0</v>
      </c>
      <c r="B2565" s="19" t="s">
        <v>2594</v>
      </c>
      <c r="C2565" s="20">
        <v>24357.0</v>
      </c>
      <c r="D2565" s="19" t="str">
        <f t="shared" si="1"/>
        <v> </v>
      </c>
      <c r="E2565" s="19" t="str">
        <f t="shared" si="2"/>
        <v> </v>
      </c>
      <c r="F2565" s="21"/>
    </row>
    <row r="2566">
      <c r="A2566" s="19">
        <v>13901.0</v>
      </c>
      <c r="B2566" s="19" t="s">
        <v>2595</v>
      </c>
      <c r="C2566" s="20">
        <v>21219.0</v>
      </c>
      <c r="D2566" s="19" t="str">
        <f t="shared" si="1"/>
        <v> </v>
      </c>
      <c r="E2566" s="19" t="str">
        <f t="shared" si="2"/>
        <v> </v>
      </c>
      <c r="F2566" s="21"/>
    </row>
    <row r="2567">
      <c r="A2567" s="19">
        <v>13903.0</v>
      </c>
      <c r="B2567" s="19" t="s">
        <v>2596</v>
      </c>
      <c r="C2567" s="20">
        <v>22038.0</v>
      </c>
      <c r="D2567" s="19" t="str">
        <f t="shared" si="1"/>
        <v> </v>
      </c>
      <c r="E2567" s="19" t="str">
        <f t="shared" si="2"/>
        <v> </v>
      </c>
      <c r="F2567" s="21"/>
    </row>
    <row r="2568">
      <c r="A2568" s="19">
        <v>13904.0</v>
      </c>
      <c r="B2568" s="19" t="s">
        <v>2597</v>
      </c>
      <c r="C2568" s="20">
        <v>25630.0</v>
      </c>
      <c r="D2568" s="19" t="str">
        <f t="shared" si="1"/>
        <v> </v>
      </c>
      <c r="E2568" s="19" t="str">
        <f t="shared" si="2"/>
        <v> </v>
      </c>
      <c r="F2568" s="21"/>
    </row>
    <row r="2569">
      <c r="A2569" s="19">
        <v>13906.0</v>
      </c>
      <c r="B2569" s="19" t="s">
        <v>2598</v>
      </c>
      <c r="C2569" s="20">
        <v>21277.0</v>
      </c>
      <c r="D2569" s="19" t="str">
        <f t="shared" si="1"/>
        <v> </v>
      </c>
      <c r="E2569" s="19" t="str">
        <f t="shared" si="2"/>
        <v> </v>
      </c>
      <c r="F2569" s="21"/>
    </row>
    <row r="2570">
      <c r="A2570" s="19">
        <v>13907.0</v>
      </c>
      <c r="B2570" s="19" t="s">
        <v>2599</v>
      </c>
      <c r="C2570" s="20">
        <v>21643.0</v>
      </c>
      <c r="D2570" s="19" t="str">
        <f t="shared" si="1"/>
        <v>Repeat</v>
      </c>
      <c r="E2570" s="19" t="str">
        <f t="shared" si="2"/>
        <v> </v>
      </c>
      <c r="F2570" s="21"/>
    </row>
    <row r="2571">
      <c r="A2571" s="19">
        <v>13908.0</v>
      </c>
      <c r="B2571" s="19" t="s">
        <v>2600</v>
      </c>
      <c r="C2571" s="20">
        <v>28184.0</v>
      </c>
      <c r="D2571" s="19" t="str">
        <f t="shared" si="1"/>
        <v> </v>
      </c>
      <c r="E2571" s="19" t="str">
        <f t="shared" si="2"/>
        <v> </v>
      </c>
      <c r="F2571" s="21"/>
    </row>
    <row r="2572">
      <c r="A2572" s="19">
        <v>13909.0</v>
      </c>
      <c r="B2572" s="19" t="s">
        <v>2601</v>
      </c>
      <c r="C2572" s="20">
        <v>24060.0</v>
      </c>
      <c r="D2572" s="19" t="str">
        <f t="shared" si="1"/>
        <v> </v>
      </c>
      <c r="E2572" s="19" t="str">
        <f t="shared" si="2"/>
        <v> </v>
      </c>
      <c r="F2572" s="21"/>
    </row>
    <row r="2573">
      <c r="A2573" s="19">
        <v>13910.0</v>
      </c>
      <c r="B2573" s="19" t="s">
        <v>2602</v>
      </c>
      <c r="C2573" s="20">
        <v>17530.0</v>
      </c>
      <c r="D2573" s="19" t="str">
        <f t="shared" si="1"/>
        <v> </v>
      </c>
      <c r="E2573" s="19" t="str">
        <f t="shared" si="2"/>
        <v> </v>
      </c>
      <c r="F2573" s="21"/>
    </row>
    <row r="2574">
      <c r="A2574" s="19">
        <v>13911.0</v>
      </c>
      <c r="B2574" s="19" t="s">
        <v>2603</v>
      </c>
      <c r="C2574" s="20">
        <v>32583.0</v>
      </c>
      <c r="D2574" s="19" t="str">
        <f t="shared" si="1"/>
        <v> </v>
      </c>
      <c r="E2574" s="19" t="str">
        <f t="shared" si="2"/>
        <v> </v>
      </c>
      <c r="F2574" s="21"/>
    </row>
    <row r="2575">
      <c r="A2575" s="19">
        <v>13912.0</v>
      </c>
      <c r="B2575" s="19" t="s">
        <v>2604</v>
      </c>
      <c r="C2575" s="20">
        <v>30995.0</v>
      </c>
      <c r="D2575" s="19" t="str">
        <f t="shared" si="1"/>
        <v> </v>
      </c>
      <c r="E2575" s="19" t="str">
        <f t="shared" si="2"/>
        <v> </v>
      </c>
      <c r="F2575" s="21"/>
    </row>
    <row r="2576">
      <c r="A2576" s="19">
        <v>13915.0</v>
      </c>
      <c r="B2576" s="19" t="s">
        <v>2605</v>
      </c>
      <c r="C2576" s="20">
        <v>33230.0</v>
      </c>
      <c r="D2576" s="19" t="str">
        <f t="shared" si="1"/>
        <v> </v>
      </c>
      <c r="E2576" s="19" t="str">
        <f t="shared" si="2"/>
        <v> </v>
      </c>
      <c r="F2576" s="21"/>
    </row>
    <row r="2577">
      <c r="A2577" s="19">
        <v>13916.0</v>
      </c>
      <c r="B2577" s="19" t="s">
        <v>2606</v>
      </c>
      <c r="C2577" s="20">
        <v>27764.0</v>
      </c>
      <c r="D2577" s="19" t="str">
        <f t="shared" si="1"/>
        <v> </v>
      </c>
      <c r="E2577" s="19" t="str">
        <f t="shared" si="2"/>
        <v> </v>
      </c>
      <c r="F2577" s="21"/>
    </row>
    <row r="2578">
      <c r="A2578" s="19">
        <v>13918.0</v>
      </c>
      <c r="B2578" s="19" t="s">
        <v>2607</v>
      </c>
      <c r="C2578" s="20">
        <v>19692.0</v>
      </c>
      <c r="D2578" s="19" t="str">
        <f t="shared" si="1"/>
        <v> </v>
      </c>
      <c r="E2578" s="19" t="str">
        <f t="shared" si="2"/>
        <v> </v>
      </c>
      <c r="F2578" s="21"/>
    </row>
    <row r="2579">
      <c r="A2579" s="19">
        <v>13919.0</v>
      </c>
      <c r="B2579" s="19" t="s">
        <v>2608</v>
      </c>
      <c r="C2579" s="20">
        <v>26724.0</v>
      </c>
      <c r="D2579" s="19" t="str">
        <f t="shared" si="1"/>
        <v> </v>
      </c>
      <c r="E2579" s="19" t="str">
        <f t="shared" si="2"/>
        <v> </v>
      </c>
      <c r="F2579" s="21"/>
    </row>
    <row r="2580">
      <c r="A2580" s="19">
        <v>13920.0</v>
      </c>
      <c r="B2580" s="19" t="s">
        <v>2609</v>
      </c>
      <c r="C2580" s="20">
        <v>27293.0</v>
      </c>
      <c r="D2580" s="19" t="str">
        <f t="shared" si="1"/>
        <v> </v>
      </c>
      <c r="E2580" s="19" t="str">
        <f t="shared" si="2"/>
        <v> </v>
      </c>
      <c r="F2580" s="21"/>
    </row>
    <row r="2581">
      <c r="A2581" s="19">
        <v>13921.0</v>
      </c>
      <c r="B2581" s="19" t="s">
        <v>2610</v>
      </c>
      <c r="C2581" s="20">
        <v>26239.0</v>
      </c>
      <c r="D2581" s="19" t="str">
        <f t="shared" si="1"/>
        <v> </v>
      </c>
      <c r="E2581" s="19" t="str">
        <f t="shared" si="2"/>
        <v> </v>
      </c>
      <c r="F2581" s="21"/>
    </row>
    <row r="2582">
      <c r="A2582" s="19">
        <v>13922.0</v>
      </c>
      <c r="B2582" s="19" t="s">
        <v>2611</v>
      </c>
      <c r="C2582" s="20">
        <v>25674.0</v>
      </c>
      <c r="D2582" s="19" t="str">
        <f t="shared" si="1"/>
        <v> </v>
      </c>
      <c r="E2582" s="19" t="str">
        <f t="shared" si="2"/>
        <v> </v>
      </c>
      <c r="F2582" s="21"/>
    </row>
    <row r="2583">
      <c r="A2583" s="19">
        <v>13925.0</v>
      </c>
      <c r="B2583" s="19" t="s">
        <v>2612</v>
      </c>
      <c r="C2583" s="20">
        <v>20757.0</v>
      </c>
      <c r="D2583" s="19" t="str">
        <f t="shared" si="1"/>
        <v> </v>
      </c>
      <c r="E2583" s="19" t="str">
        <f t="shared" si="2"/>
        <v> </v>
      </c>
      <c r="F2583" s="21"/>
    </row>
    <row r="2584">
      <c r="A2584" s="19">
        <v>13927.0</v>
      </c>
      <c r="B2584" s="19" t="s">
        <v>2613</v>
      </c>
      <c r="C2584" s="20">
        <v>24913.0</v>
      </c>
      <c r="D2584" s="19" t="str">
        <f t="shared" si="1"/>
        <v> </v>
      </c>
      <c r="E2584" s="19" t="str">
        <f t="shared" si="2"/>
        <v> </v>
      </c>
      <c r="F2584" s="21"/>
    </row>
    <row r="2585">
      <c r="A2585" s="19">
        <v>13928.0</v>
      </c>
      <c r="B2585" s="19" t="s">
        <v>2614</v>
      </c>
      <c r="C2585" s="20">
        <v>24570.0</v>
      </c>
      <c r="D2585" s="19" t="str">
        <f t="shared" si="1"/>
        <v>Repeat</v>
      </c>
      <c r="E2585" s="19" t="str">
        <f t="shared" si="2"/>
        <v> </v>
      </c>
      <c r="F2585" s="21"/>
    </row>
    <row r="2586">
      <c r="A2586" s="19">
        <v>13929.0</v>
      </c>
      <c r="B2586" s="19" t="s">
        <v>2615</v>
      </c>
      <c r="C2586" s="20">
        <v>32797.0</v>
      </c>
      <c r="D2586" s="19" t="str">
        <f t="shared" si="1"/>
        <v> </v>
      </c>
      <c r="E2586" s="19" t="str">
        <f t="shared" si="2"/>
        <v> </v>
      </c>
      <c r="F2586" s="21"/>
    </row>
    <row r="2587">
      <c r="A2587" s="19">
        <v>13930.0</v>
      </c>
      <c r="B2587" s="19" t="s">
        <v>2616</v>
      </c>
      <c r="C2587" s="20">
        <v>27348.0</v>
      </c>
      <c r="D2587" s="19" t="str">
        <f t="shared" si="1"/>
        <v> </v>
      </c>
      <c r="E2587" s="19" t="str">
        <f t="shared" si="2"/>
        <v> </v>
      </c>
      <c r="F2587" s="21"/>
    </row>
    <row r="2588">
      <c r="A2588" s="19">
        <v>13931.0</v>
      </c>
      <c r="B2588" s="19" t="s">
        <v>2617</v>
      </c>
      <c r="C2588" s="20">
        <v>11150.0</v>
      </c>
      <c r="D2588" s="19" t="str">
        <f t="shared" si="1"/>
        <v> </v>
      </c>
      <c r="E2588" s="19" t="str">
        <f t="shared" si="2"/>
        <v> </v>
      </c>
      <c r="F2588" s="21"/>
    </row>
    <row r="2589">
      <c r="A2589" s="19">
        <v>13932.0</v>
      </c>
      <c r="B2589" s="19" t="s">
        <v>2618</v>
      </c>
      <c r="C2589" s="20">
        <v>26038.0</v>
      </c>
      <c r="D2589" s="19" t="str">
        <f t="shared" si="1"/>
        <v> </v>
      </c>
      <c r="E2589" s="19" t="str">
        <f t="shared" si="2"/>
        <v> </v>
      </c>
      <c r="F2589" s="21"/>
    </row>
    <row r="2590">
      <c r="A2590" s="19">
        <v>13934.0</v>
      </c>
      <c r="B2590" s="19" t="s">
        <v>2619</v>
      </c>
      <c r="C2590" s="20">
        <v>23231.0</v>
      </c>
      <c r="D2590" s="19" t="str">
        <f t="shared" si="1"/>
        <v> </v>
      </c>
      <c r="E2590" s="19" t="str">
        <f t="shared" si="2"/>
        <v> </v>
      </c>
      <c r="F2590" s="21"/>
    </row>
    <row r="2591">
      <c r="A2591" s="19">
        <v>13935.0</v>
      </c>
      <c r="B2591" s="19" t="s">
        <v>2620</v>
      </c>
      <c r="C2591" s="20">
        <v>29223.0</v>
      </c>
      <c r="D2591" s="19" t="str">
        <f t="shared" si="1"/>
        <v> </v>
      </c>
      <c r="E2591" s="19" t="str">
        <f t="shared" si="2"/>
        <v> </v>
      </c>
      <c r="F2591" s="21"/>
    </row>
    <row r="2592">
      <c r="A2592" s="19">
        <v>13936.0</v>
      </c>
      <c r="B2592" s="19" t="s">
        <v>2621</v>
      </c>
      <c r="C2592" s="20">
        <v>32726.0</v>
      </c>
      <c r="D2592" s="19" t="str">
        <f t="shared" si="1"/>
        <v> </v>
      </c>
      <c r="E2592" s="19" t="str">
        <f t="shared" si="2"/>
        <v> </v>
      </c>
      <c r="F2592" s="21"/>
    </row>
    <row r="2593">
      <c r="A2593" s="19">
        <v>13937.0</v>
      </c>
      <c r="B2593" s="19" t="s">
        <v>2622</v>
      </c>
      <c r="C2593" s="20">
        <v>33308.0</v>
      </c>
      <c r="D2593" s="19" t="str">
        <f t="shared" si="1"/>
        <v> </v>
      </c>
      <c r="E2593" s="19" t="str">
        <f t="shared" si="2"/>
        <v> </v>
      </c>
      <c r="F2593" s="21"/>
    </row>
    <row r="2594">
      <c r="A2594" s="19">
        <v>13938.0</v>
      </c>
      <c r="B2594" s="19" t="s">
        <v>2623</v>
      </c>
      <c r="C2594" s="20">
        <v>17231.0</v>
      </c>
      <c r="D2594" s="19" t="str">
        <f t="shared" si="1"/>
        <v> </v>
      </c>
      <c r="E2594" s="19" t="str">
        <f t="shared" si="2"/>
        <v> </v>
      </c>
      <c r="F2594" s="21"/>
    </row>
    <row r="2595">
      <c r="A2595" s="19">
        <v>13939.0</v>
      </c>
      <c r="B2595" s="19" t="s">
        <v>2624</v>
      </c>
      <c r="C2595" s="20">
        <v>35267.0</v>
      </c>
      <c r="D2595" s="19" t="str">
        <f t="shared" si="1"/>
        <v> </v>
      </c>
      <c r="E2595" s="19" t="str">
        <f t="shared" si="2"/>
        <v> </v>
      </c>
      <c r="F2595" s="21"/>
    </row>
    <row r="2596">
      <c r="A2596" s="19">
        <v>13940.0</v>
      </c>
      <c r="B2596" s="19" t="s">
        <v>2625</v>
      </c>
      <c r="C2596" s="20">
        <v>28730.0</v>
      </c>
      <c r="D2596" s="19" t="str">
        <f t="shared" si="1"/>
        <v> </v>
      </c>
      <c r="E2596" s="19" t="str">
        <f t="shared" si="2"/>
        <v> </v>
      </c>
      <c r="F2596" s="21"/>
    </row>
    <row r="2597">
      <c r="A2597" s="19">
        <v>13941.0</v>
      </c>
      <c r="B2597" s="19" t="s">
        <v>2626</v>
      </c>
      <c r="C2597" s="20">
        <v>25424.0</v>
      </c>
      <c r="D2597" s="19" t="str">
        <f t="shared" si="1"/>
        <v> </v>
      </c>
      <c r="E2597" s="19" t="str">
        <f t="shared" si="2"/>
        <v> </v>
      </c>
      <c r="F2597" s="21"/>
    </row>
    <row r="2598">
      <c r="A2598" s="19">
        <v>13942.0</v>
      </c>
      <c r="B2598" s="19" t="s">
        <v>2627</v>
      </c>
      <c r="C2598" s="20">
        <v>21494.0</v>
      </c>
      <c r="D2598" s="19" t="str">
        <f t="shared" si="1"/>
        <v> </v>
      </c>
      <c r="E2598" s="19" t="str">
        <f t="shared" si="2"/>
        <v> </v>
      </c>
      <c r="F2598" s="21"/>
    </row>
    <row r="2599">
      <c r="A2599" s="19">
        <v>13943.0</v>
      </c>
      <c r="B2599" s="19" t="s">
        <v>2628</v>
      </c>
      <c r="C2599" s="20">
        <v>20851.0</v>
      </c>
      <c r="D2599" s="19" t="str">
        <f t="shared" si="1"/>
        <v> </v>
      </c>
      <c r="E2599" s="19" t="str">
        <f t="shared" si="2"/>
        <v> </v>
      </c>
      <c r="F2599" s="21"/>
    </row>
    <row r="2600">
      <c r="A2600" s="19">
        <v>13944.0</v>
      </c>
      <c r="B2600" s="19" t="s">
        <v>2629</v>
      </c>
      <c r="C2600" s="20">
        <v>21843.0</v>
      </c>
      <c r="D2600" s="19" t="str">
        <f t="shared" si="1"/>
        <v> </v>
      </c>
      <c r="E2600" s="19" t="str">
        <f t="shared" si="2"/>
        <v> </v>
      </c>
      <c r="F2600" s="21"/>
    </row>
    <row r="2601">
      <c r="A2601" s="19">
        <v>13945.0</v>
      </c>
      <c r="B2601" s="19" t="s">
        <v>2630</v>
      </c>
      <c r="C2601" s="20">
        <v>20083.0</v>
      </c>
      <c r="D2601" s="19" t="str">
        <f t="shared" si="1"/>
        <v> </v>
      </c>
      <c r="E2601" s="19" t="str">
        <f t="shared" si="2"/>
        <v> </v>
      </c>
      <c r="F2601" s="21"/>
    </row>
    <row r="2602">
      <c r="A2602" s="19">
        <v>13946.0</v>
      </c>
      <c r="B2602" s="19" t="s">
        <v>2631</v>
      </c>
      <c r="C2602" s="20">
        <v>26251.0</v>
      </c>
      <c r="D2602" s="19" t="str">
        <f t="shared" si="1"/>
        <v> </v>
      </c>
      <c r="E2602" s="19" t="str">
        <f t="shared" si="2"/>
        <v> </v>
      </c>
      <c r="F2602" s="21"/>
    </row>
    <row r="2603">
      <c r="A2603" s="19">
        <v>13948.0</v>
      </c>
      <c r="B2603" s="19" t="s">
        <v>2632</v>
      </c>
      <c r="C2603" s="20">
        <v>17647.0</v>
      </c>
      <c r="D2603" s="19" t="str">
        <f t="shared" si="1"/>
        <v> </v>
      </c>
      <c r="E2603" s="19" t="str">
        <f t="shared" si="2"/>
        <v> </v>
      </c>
      <c r="F2603" s="21"/>
    </row>
    <row r="2604">
      <c r="A2604" s="19">
        <v>13949.0</v>
      </c>
      <c r="B2604" s="19" t="s">
        <v>2633</v>
      </c>
      <c r="C2604" s="20">
        <v>27103.0</v>
      </c>
      <c r="D2604" s="19" t="str">
        <f t="shared" si="1"/>
        <v> </v>
      </c>
      <c r="E2604" s="19" t="str">
        <f t="shared" si="2"/>
        <v> </v>
      </c>
      <c r="F2604" s="21"/>
    </row>
    <row r="2605">
      <c r="A2605" s="19">
        <v>13950.0</v>
      </c>
      <c r="B2605" s="19" t="s">
        <v>2634</v>
      </c>
      <c r="C2605" s="20">
        <v>21926.0</v>
      </c>
      <c r="D2605" s="19" t="str">
        <f t="shared" si="1"/>
        <v> </v>
      </c>
      <c r="E2605" s="19" t="str">
        <f t="shared" si="2"/>
        <v> </v>
      </c>
      <c r="F2605" s="21"/>
    </row>
    <row r="2606">
      <c r="A2606" s="19">
        <v>13951.0</v>
      </c>
      <c r="B2606" s="19" t="s">
        <v>2635</v>
      </c>
      <c r="C2606" s="20">
        <v>18130.0</v>
      </c>
      <c r="D2606" s="19" t="str">
        <f t="shared" si="1"/>
        <v> </v>
      </c>
      <c r="E2606" s="19" t="str">
        <f t="shared" si="2"/>
        <v> </v>
      </c>
      <c r="F2606" s="21"/>
    </row>
    <row r="2607">
      <c r="A2607" s="19">
        <v>13954.0</v>
      </c>
      <c r="B2607" s="19" t="s">
        <v>2636</v>
      </c>
      <c r="C2607" s="20">
        <v>25241.0</v>
      </c>
      <c r="D2607" s="19" t="str">
        <f t="shared" si="1"/>
        <v> </v>
      </c>
      <c r="E2607" s="19" t="str">
        <f t="shared" si="2"/>
        <v> </v>
      </c>
      <c r="F2607" s="21"/>
    </row>
    <row r="2608">
      <c r="A2608" s="19">
        <v>13955.0</v>
      </c>
      <c r="B2608" s="19" t="s">
        <v>2637</v>
      </c>
      <c r="C2608" s="20">
        <v>23519.0</v>
      </c>
      <c r="D2608" s="19" t="str">
        <f t="shared" si="1"/>
        <v> </v>
      </c>
      <c r="E2608" s="19" t="str">
        <f t="shared" si="2"/>
        <v> </v>
      </c>
      <c r="F2608" s="21"/>
    </row>
    <row r="2609">
      <c r="A2609" s="19">
        <v>13956.0</v>
      </c>
      <c r="B2609" s="19" t="s">
        <v>2638</v>
      </c>
      <c r="C2609" s="20">
        <v>16581.0</v>
      </c>
      <c r="D2609" s="19" t="str">
        <f t="shared" si="1"/>
        <v> </v>
      </c>
      <c r="E2609" s="19" t="str">
        <f t="shared" si="2"/>
        <v> </v>
      </c>
      <c r="F2609" s="21"/>
    </row>
    <row r="2610">
      <c r="A2610" s="19">
        <v>13957.0</v>
      </c>
      <c r="B2610" s="19" t="s">
        <v>2639</v>
      </c>
      <c r="C2610" s="20">
        <v>18093.0</v>
      </c>
      <c r="D2610" s="19" t="str">
        <f t="shared" si="1"/>
        <v> </v>
      </c>
      <c r="E2610" s="19" t="str">
        <f t="shared" si="2"/>
        <v> </v>
      </c>
      <c r="F2610" s="21"/>
    </row>
    <row r="2611">
      <c r="A2611" s="19">
        <v>13958.0</v>
      </c>
      <c r="B2611" s="19" t="s">
        <v>2640</v>
      </c>
      <c r="C2611" s="20">
        <v>18454.0</v>
      </c>
      <c r="D2611" s="19" t="str">
        <f t="shared" si="1"/>
        <v> </v>
      </c>
      <c r="E2611" s="19" t="str">
        <f t="shared" si="2"/>
        <v> </v>
      </c>
      <c r="F2611" s="21"/>
    </row>
    <row r="2612">
      <c r="A2612" s="19">
        <v>13959.0</v>
      </c>
      <c r="B2612" s="19" t="s">
        <v>2641</v>
      </c>
      <c r="C2612" s="20">
        <v>17526.0</v>
      </c>
      <c r="D2612" s="19" t="str">
        <f t="shared" si="1"/>
        <v> </v>
      </c>
      <c r="E2612" s="19" t="str">
        <f t="shared" si="2"/>
        <v> </v>
      </c>
      <c r="F2612" s="21"/>
    </row>
    <row r="2613">
      <c r="A2613" s="19">
        <v>13960.0</v>
      </c>
      <c r="B2613" s="19" t="s">
        <v>2642</v>
      </c>
      <c r="C2613" s="20">
        <v>15189.0</v>
      </c>
      <c r="D2613" s="19" t="str">
        <f t="shared" si="1"/>
        <v> </v>
      </c>
      <c r="E2613" s="19" t="str">
        <f t="shared" si="2"/>
        <v> </v>
      </c>
      <c r="F2613" s="21"/>
    </row>
    <row r="2614">
      <c r="A2614" s="19">
        <v>13961.0</v>
      </c>
      <c r="B2614" s="19" t="s">
        <v>2643</v>
      </c>
      <c r="C2614" s="20">
        <v>17659.0</v>
      </c>
      <c r="D2614" s="19" t="str">
        <f t="shared" si="1"/>
        <v> </v>
      </c>
      <c r="E2614" s="19" t="str">
        <f t="shared" si="2"/>
        <v> </v>
      </c>
      <c r="F2614" s="21"/>
    </row>
    <row r="2615">
      <c r="A2615" s="19">
        <v>13962.0</v>
      </c>
      <c r="B2615" s="19" t="s">
        <v>2644</v>
      </c>
      <c r="C2615" s="20">
        <v>23708.0</v>
      </c>
      <c r="D2615" s="19" t="str">
        <f t="shared" si="1"/>
        <v> </v>
      </c>
      <c r="E2615" s="19" t="str">
        <f t="shared" si="2"/>
        <v> </v>
      </c>
      <c r="F2615" s="21"/>
    </row>
    <row r="2616">
      <c r="A2616" s="19">
        <v>13963.0</v>
      </c>
      <c r="B2616" s="19" t="s">
        <v>2645</v>
      </c>
      <c r="C2616" s="20">
        <v>26014.0</v>
      </c>
      <c r="D2616" s="19" t="str">
        <f t="shared" si="1"/>
        <v> </v>
      </c>
      <c r="E2616" s="19" t="str">
        <f t="shared" si="2"/>
        <v> </v>
      </c>
      <c r="F2616" s="21"/>
    </row>
    <row r="2617">
      <c r="A2617" s="19">
        <v>13964.0</v>
      </c>
      <c r="B2617" s="19" t="s">
        <v>2646</v>
      </c>
      <c r="C2617" s="20">
        <v>15894.0</v>
      </c>
      <c r="D2617" s="19" t="str">
        <f t="shared" si="1"/>
        <v> </v>
      </c>
      <c r="E2617" s="19" t="str">
        <f t="shared" si="2"/>
        <v> </v>
      </c>
      <c r="F2617" s="21"/>
    </row>
    <row r="2618">
      <c r="A2618" s="19">
        <v>13967.0</v>
      </c>
      <c r="B2618" s="19" t="s">
        <v>2647</v>
      </c>
      <c r="C2618" s="20">
        <v>16308.0</v>
      </c>
      <c r="D2618" s="19" t="str">
        <f t="shared" si="1"/>
        <v> </v>
      </c>
      <c r="E2618" s="19" t="str">
        <f t="shared" si="2"/>
        <v> </v>
      </c>
      <c r="F2618" s="21"/>
    </row>
    <row r="2619">
      <c r="A2619" s="19">
        <v>13969.0</v>
      </c>
      <c r="B2619" s="19" t="s">
        <v>2648</v>
      </c>
      <c r="C2619" s="20">
        <v>27299.0</v>
      </c>
      <c r="D2619" s="19" t="str">
        <f t="shared" si="1"/>
        <v> </v>
      </c>
      <c r="E2619" s="19" t="str">
        <f t="shared" si="2"/>
        <v> </v>
      </c>
      <c r="F2619" s="21"/>
    </row>
    <row r="2620">
      <c r="A2620" s="19">
        <v>13970.0</v>
      </c>
      <c r="B2620" s="19" t="s">
        <v>2649</v>
      </c>
      <c r="C2620" s="20">
        <v>16671.0</v>
      </c>
      <c r="D2620" s="19" t="str">
        <f t="shared" si="1"/>
        <v> </v>
      </c>
      <c r="E2620" s="19" t="str">
        <f t="shared" si="2"/>
        <v> </v>
      </c>
      <c r="F2620" s="21"/>
    </row>
    <row r="2621">
      <c r="A2621" s="19">
        <v>13972.0</v>
      </c>
      <c r="B2621" s="19" t="s">
        <v>2650</v>
      </c>
      <c r="C2621" s="20">
        <v>17231.0</v>
      </c>
      <c r="D2621" s="19" t="str">
        <f t="shared" si="1"/>
        <v> </v>
      </c>
      <c r="E2621" s="19" t="str">
        <f t="shared" si="2"/>
        <v> </v>
      </c>
      <c r="F2621" s="21"/>
    </row>
    <row r="2622">
      <c r="A2622" s="19">
        <v>13973.0</v>
      </c>
      <c r="B2622" s="19" t="s">
        <v>2651</v>
      </c>
      <c r="C2622" s="20">
        <v>17572.0</v>
      </c>
      <c r="D2622" s="19" t="str">
        <f t="shared" si="1"/>
        <v> </v>
      </c>
      <c r="E2622" s="19" t="str">
        <f t="shared" si="2"/>
        <v> </v>
      </c>
      <c r="F2622" s="21"/>
    </row>
    <row r="2623">
      <c r="A2623" s="19">
        <v>13978.0</v>
      </c>
      <c r="B2623" s="19" t="s">
        <v>2652</v>
      </c>
      <c r="C2623" s="20">
        <v>27403.0</v>
      </c>
      <c r="D2623" s="19" t="str">
        <f t="shared" si="1"/>
        <v> </v>
      </c>
      <c r="E2623" s="19" t="str">
        <f t="shared" si="2"/>
        <v> </v>
      </c>
      <c r="F2623" s="21"/>
    </row>
    <row r="2624">
      <c r="A2624" s="19">
        <v>13981.0</v>
      </c>
      <c r="B2624" s="19" t="s">
        <v>2653</v>
      </c>
      <c r="C2624" s="20">
        <v>15632.0</v>
      </c>
      <c r="D2624" s="19" t="str">
        <f t="shared" si="1"/>
        <v> </v>
      </c>
      <c r="E2624" s="19" t="str">
        <f t="shared" si="2"/>
        <v> </v>
      </c>
      <c r="F2624" s="21"/>
    </row>
    <row r="2625">
      <c r="A2625" s="19">
        <v>13983.0</v>
      </c>
      <c r="B2625" s="19" t="s">
        <v>2654</v>
      </c>
      <c r="C2625" s="20">
        <v>20219.0</v>
      </c>
      <c r="D2625" s="19" t="str">
        <f t="shared" si="1"/>
        <v> </v>
      </c>
      <c r="E2625" s="19" t="str">
        <f t="shared" si="2"/>
        <v> </v>
      </c>
      <c r="F2625" s="21"/>
    </row>
    <row r="2626">
      <c r="A2626" s="19">
        <v>13986.0</v>
      </c>
      <c r="B2626" s="19" t="s">
        <v>2655</v>
      </c>
      <c r="C2626" s="20">
        <v>29393.0</v>
      </c>
      <c r="D2626" s="19" t="str">
        <f t="shared" si="1"/>
        <v> </v>
      </c>
      <c r="E2626" s="19" t="str">
        <f t="shared" si="2"/>
        <v> </v>
      </c>
      <c r="F2626" s="21"/>
    </row>
    <row r="2627">
      <c r="A2627" s="19">
        <v>13989.0</v>
      </c>
      <c r="B2627" s="19" t="s">
        <v>2656</v>
      </c>
      <c r="C2627" s="20">
        <v>25975.0</v>
      </c>
      <c r="D2627" s="19" t="str">
        <f t="shared" si="1"/>
        <v> </v>
      </c>
      <c r="E2627" s="19" t="str">
        <f t="shared" si="2"/>
        <v> </v>
      </c>
      <c r="F2627" s="21"/>
    </row>
    <row r="2628">
      <c r="A2628" s="19">
        <v>13990.0</v>
      </c>
      <c r="B2628" s="19" t="s">
        <v>2657</v>
      </c>
      <c r="C2628" s="20">
        <v>17140.0</v>
      </c>
      <c r="D2628" s="19" t="str">
        <f t="shared" si="1"/>
        <v> </v>
      </c>
      <c r="E2628" s="19" t="str">
        <f t="shared" si="2"/>
        <v> </v>
      </c>
      <c r="F2628" s="21"/>
    </row>
    <row r="2629">
      <c r="A2629" s="19">
        <v>13992.0</v>
      </c>
      <c r="B2629" s="19" t="s">
        <v>2658</v>
      </c>
      <c r="C2629" s="20">
        <v>22001.0</v>
      </c>
      <c r="D2629" s="19" t="str">
        <f t="shared" si="1"/>
        <v> </v>
      </c>
      <c r="E2629" s="19" t="str">
        <f t="shared" si="2"/>
        <v> </v>
      </c>
      <c r="F2629" s="21"/>
    </row>
    <row r="2630">
      <c r="A2630" s="19">
        <v>13994.0</v>
      </c>
      <c r="B2630" s="19" t="s">
        <v>2659</v>
      </c>
      <c r="C2630" s="20">
        <v>28275.0</v>
      </c>
      <c r="D2630" s="19" t="str">
        <f t="shared" si="1"/>
        <v> </v>
      </c>
      <c r="E2630" s="19" t="str">
        <f t="shared" si="2"/>
        <v> </v>
      </c>
      <c r="F2630" s="21"/>
    </row>
    <row r="2631">
      <c r="A2631" s="19">
        <v>13996.0</v>
      </c>
      <c r="B2631" s="19" t="s">
        <v>2660</v>
      </c>
      <c r="C2631" s="20">
        <v>24823.0</v>
      </c>
      <c r="D2631" s="19" t="str">
        <f t="shared" si="1"/>
        <v>Repeat</v>
      </c>
      <c r="E2631" s="19" t="str">
        <f t="shared" si="2"/>
        <v> </v>
      </c>
      <c r="F2631" s="21"/>
    </row>
    <row r="2632">
      <c r="A2632" s="19">
        <v>13998.0</v>
      </c>
      <c r="B2632" s="19" t="s">
        <v>2661</v>
      </c>
      <c r="C2632" s="20">
        <v>31976.0</v>
      </c>
      <c r="D2632" s="19" t="str">
        <f t="shared" si="1"/>
        <v> </v>
      </c>
      <c r="E2632" s="19" t="str">
        <f t="shared" si="2"/>
        <v> </v>
      </c>
      <c r="F2632" s="21"/>
    </row>
    <row r="2633">
      <c r="A2633" s="19">
        <v>13999.0</v>
      </c>
      <c r="B2633" s="19" t="s">
        <v>2662</v>
      </c>
      <c r="C2633" s="20">
        <v>15330.0</v>
      </c>
      <c r="D2633" s="19" t="str">
        <f t="shared" si="1"/>
        <v> </v>
      </c>
      <c r="E2633" s="19" t="str">
        <f t="shared" si="2"/>
        <v> </v>
      </c>
      <c r="F2633" s="21"/>
    </row>
    <row r="2634">
      <c r="A2634" s="19">
        <v>14000.0</v>
      </c>
      <c r="B2634" s="19" t="s">
        <v>2663</v>
      </c>
      <c r="C2634" s="20">
        <v>23026.0</v>
      </c>
      <c r="D2634" s="19" t="str">
        <f t="shared" si="1"/>
        <v> </v>
      </c>
      <c r="E2634" s="19" t="str">
        <f t="shared" si="2"/>
        <v> </v>
      </c>
      <c r="F2634" s="21"/>
    </row>
    <row r="2635">
      <c r="A2635" s="19">
        <v>14001.0</v>
      </c>
      <c r="B2635" s="19" t="s">
        <v>2664</v>
      </c>
      <c r="C2635" s="20">
        <v>25773.0</v>
      </c>
      <c r="D2635" s="19" t="str">
        <f t="shared" si="1"/>
        <v> </v>
      </c>
      <c r="E2635" s="19" t="str">
        <f t="shared" si="2"/>
        <v> </v>
      </c>
      <c r="F2635" s="21"/>
    </row>
    <row r="2636">
      <c r="A2636" s="19">
        <v>14002.0</v>
      </c>
      <c r="B2636" s="19" t="s">
        <v>2665</v>
      </c>
      <c r="C2636" s="20">
        <v>16901.0</v>
      </c>
      <c r="D2636" s="19" t="str">
        <f t="shared" si="1"/>
        <v> </v>
      </c>
      <c r="E2636" s="19" t="str">
        <f t="shared" si="2"/>
        <v> </v>
      </c>
      <c r="F2636" s="21"/>
    </row>
    <row r="2637">
      <c r="A2637" s="19">
        <v>14003.0</v>
      </c>
      <c r="B2637" s="19" t="s">
        <v>2666</v>
      </c>
      <c r="C2637" s="20">
        <v>24137.0</v>
      </c>
      <c r="D2637" s="19" t="str">
        <f t="shared" si="1"/>
        <v> </v>
      </c>
      <c r="E2637" s="19" t="str">
        <f t="shared" si="2"/>
        <v> </v>
      </c>
      <c r="F2637" s="21"/>
    </row>
    <row r="2638">
      <c r="A2638" s="19">
        <v>14004.0</v>
      </c>
      <c r="B2638" s="19" t="s">
        <v>2667</v>
      </c>
      <c r="C2638" s="20">
        <v>17535.0</v>
      </c>
      <c r="D2638" s="19" t="str">
        <f t="shared" si="1"/>
        <v> </v>
      </c>
      <c r="E2638" s="19" t="str">
        <f t="shared" si="2"/>
        <v> </v>
      </c>
      <c r="F2638" s="21"/>
    </row>
    <row r="2639">
      <c r="A2639" s="19">
        <v>14005.0</v>
      </c>
      <c r="B2639" s="19" t="s">
        <v>2668</v>
      </c>
      <c r="C2639" s="20">
        <v>16346.0</v>
      </c>
      <c r="D2639" s="19" t="str">
        <f t="shared" si="1"/>
        <v> </v>
      </c>
      <c r="E2639" s="19" t="str">
        <f t="shared" si="2"/>
        <v> </v>
      </c>
      <c r="F2639" s="21"/>
    </row>
    <row r="2640">
      <c r="A2640" s="19">
        <v>14006.0</v>
      </c>
      <c r="B2640" s="19" t="s">
        <v>2669</v>
      </c>
      <c r="C2640" s="20">
        <v>28299.0</v>
      </c>
      <c r="D2640" s="19" t="str">
        <f t="shared" si="1"/>
        <v> </v>
      </c>
      <c r="E2640" s="19" t="str">
        <f t="shared" si="2"/>
        <v> </v>
      </c>
      <c r="F2640" s="21"/>
    </row>
    <row r="2641">
      <c r="A2641" s="19">
        <v>14008.0</v>
      </c>
      <c r="B2641" s="19" t="s">
        <v>2670</v>
      </c>
      <c r="C2641" s="20">
        <v>23643.0</v>
      </c>
      <c r="D2641" s="19" t="str">
        <f t="shared" si="1"/>
        <v> </v>
      </c>
      <c r="E2641" s="19" t="str">
        <f t="shared" si="2"/>
        <v> </v>
      </c>
      <c r="F2641" s="21"/>
    </row>
    <row r="2642">
      <c r="A2642" s="19">
        <v>14009.0</v>
      </c>
      <c r="B2642" s="19" t="s">
        <v>2671</v>
      </c>
      <c r="C2642" s="20">
        <v>26227.0</v>
      </c>
      <c r="D2642" s="19" t="str">
        <f t="shared" si="1"/>
        <v> </v>
      </c>
      <c r="E2642" s="19" t="str">
        <f t="shared" si="2"/>
        <v> </v>
      </c>
      <c r="F2642" s="21"/>
    </row>
    <row r="2643">
      <c r="A2643" s="19">
        <v>14010.0</v>
      </c>
      <c r="B2643" s="19" t="s">
        <v>2672</v>
      </c>
      <c r="C2643" s="20">
        <v>21325.0</v>
      </c>
      <c r="D2643" s="19" t="str">
        <f t="shared" si="1"/>
        <v> </v>
      </c>
      <c r="E2643" s="19" t="str">
        <f t="shared" si="2"/>
        <v> </v>
      </c>
      <c r="F2643" s="21"/>
    </row>
    <row r="2644">
      <c r="A2644" s="19">
        <v>14011.0</v>
      </c>
      <c r="B2644" s="19" t="s">
        <v>2673</v>
      </c>
      <c r="C2644" s="20">
        <v>20836.0</v>
      </c>
      <c r="D2644" s="19" t="str">
        <f t="shared" si="1"/>
        <v> </v>
      </c>
      <c r="E2644" s="19" t="str">
        <f t="shared" si="2"/>
        <v> </v>
      </c>
      <c r="F2644" s="21"/>
    </row>
    <row r="2645">
      <c r="A2645" s="19">
        <v>14012.0</v>
      </c>
      <c r="B2645" s="19" t="s">
        <v>2674</v>
      </c>
      <c r="C2645" s="20">
        <v>18523.0</v>
      </c>
      <c r="D2645" s="19" t="str">
        <f t="shared" si="1"/>
        <v> </v>
      </c>
      <c r="E2645" s="19" t="str">
        <f t="shared" si="2"/>
        <v> </v>
      </c>
      <c r="F2645" s="21"/>
    </row>
    <row r="2646">
      <c r="A2646" s="19">
        <v>14013.0</v>
      </c>
      <c r="B2646" s="19" t="s">
        <v>2675</v>
      </c>
      <c r="C2646" s="20">
        <v>20269.0</v>
      </c>
      <c r="D2646" s="19" t="str">
        <f t="shared" si="1"/>
        <v> </v>
      </c>
      <c r="E2646" s="19" t="str">
        <f t="shared" si="2"/>
        <v> </v>
      </c>
      <c r="F2646" s="21"/>
    </row>
    <row r="2647">
      <c r="A2647" s="19">
        <v>14015.0</v>
      </c>
      <c r="B2647" s="19" t="s">
        <v>2676</v>
      </c>
      <c r="C2647" s="20">
        <v>23046.0</v>
      </c>
      <c r="D2647" s="19" t="str">
        <f t="shared" si="1"/>
        <v> </v>
      </c>
      <c r="E2647" s="19" t="str">
        <f t="shared" si="2"/>
        <v> </v>
      </c>
      <c r="F2647" s="21"/>
    </row>
    <row r="2648">
      <c r="A2648" s="19">
        <v>14016.0</v>
      </c>
      <c r="B2648" s="19" t="s">
        <v>2677</v>
      </c>
      <c r="C2648" s="20">
        <v>20109.0</v>
      </c>
      <c r="D2648" s="19" t="str">
        <f t="shared" si="1"/>
        <v> </v>
      </c>
      <c r="E2648" s="19" t="str">
        <f t="shared" si="2"/>
        <v> </v>
      </c>
      <c r="F2648" s="21"/>
    </row>
    <row r="2649">
      <c r="A2649" s="19">
        <v>14017.0</v>
      </c>
      <c r="B2649" s="19" t="s">
        <v>2678</v>
      </c>
      <c r="C2649" s="20">
        <v>20618.0</v>
      </c>
      <c r="D2649" s="19" t="str">
        <f t="shared" si="1"/>
        <v> </v>
      </c>
      <c r="E2649" s="19" t="str">
        <f t="shared" si="2"/>
        <v> </v>
      </c>
      <c r="F2649" s="21"/>
    </row>
    <row r="2650">
      <c r="A2650" s="19">
        <v>14018.0</v>
      </c>
      <c r="B2650" s="19" t="s">
        <v>2679</v>
      </c>
      <c r="C2650" s="20">
        <v>27273.0</v>
      </c>
      <c r="D2650" s="19" t="str">
        <f t="shared" si="1"/>
        <v> </v>
      </c>
      <c r="E2650" s="19" t="str">
        <f t="shared" si="2"/>
        <v> </v>
      </c>
      <c r="F2650" s="21"/>
    </row>
    <row r="2651">
      <c r="A2651" s="19">
        <v>14019.0</v>
      </c>
      <c r="B2651" s="19" t="s">
        <v>2680</v>
      </c>
      <c r="C2651" s="20">
        <v>23292.0</v>
      </c>
      <c r="D2651" s="19" t="str">
        <f t="shared" si="1"/>
        <v> </v>
      </c>
      <c r="E2651" s="19" t="str">
        <f t="shared" si="2"/>
        <v> </v>
      </c>
      <c r="F2651" s="21"/>
    </row>
    <row r="2652">
      <c r="A2652" s="19">
        <v>14020.0</v>
      </c>
      <c r="B2652" s="19" t="s">
        <v>2681</v>
      </c>
      <c r="C2652" s="20">
        <v>19315.0</v>
      </c>
      <c r="D2652" s="19" t="str">
        <f t="shared" si="1"/>
        <v> </v>
      </c>
      <c r="E2652" s="19" t="str">
        <f t="shared" si="2"/>
        <v> </v>
      </c>
      <c r="F2652" s="21"/>
    </row>
    <row r="2653">
      <c r="A2653" s="19">
        <v>14021.0</v>
      </c>
      <c r="B2653" s="19" t="s">
        <v>2682</v>
      </c>
      <c r="C2653" s="20">
        <v>21451.0</v>
      </c>
      <c r="D2653" s="19" t="str">
        <f t="shared" si="1"/>
        <v> </v>
      </c>
      <c r="E2653" s="19" t="str">
        <f t="shared" si="2"/>
        <v> </v>
      </c>
      <c r="F2653" s="21"/>
    </row>
    <row r="2654">
      <c r="A2654" s="19">
        <v>14024.0</v>
      </c>
      <c r="B2654" s="19" t="s">
        <v>2683</v>
      </c>
      <c r="C2654" s="20">
        <v>15850.0</v>
      </c>
      <c r="D2654" s="19" t="str">
        <f t="shared" si="1"/>
        <v> </v>
      </c>
      <c r="E2654" s="19" t="str">
        <f t="shared" si="2"/>
        <v> </v>
      </c>
      <c r="F2654" s="21"/>
    </row>
    <row r="2655">
      <c r="A2655" s="19">
        <v>14025.0</v>
      </c>
      <c r="B2655" s="19" t="s">
        <v>2684</v>
      </c>
      <c r="C2655" s="20">
        <v>17130.0</v>
      </c>
      <c r="D2655" s="19" t="str">
        <f t="shared" si="1"/>
        <v> </v>
      </c>
      <c r="E2655" s="19" t="str">
        <f t="shared" si="2"/>
        <v> </v>
      </c>
      <c r="F2655" s="21"/>
    </row>
    <row r="2656">
      <c r="A2656" s="19">
        <v>14026.0</v>
      </c>
      <c r="B2656" s="19" t="s">
        <v>2685</v>
      </c>
      <c r="C2656" s="20">
        <v>25018.0</v>
      </c>
      <c r="D2656" s="19" t="str">
        <f t="shared" si="1"/>
        <v> </v>
      </c>
      <c r="E2656" s="19" t="str">
        <f t="shared" si="2"/>
        <v> </v>
      </c>
      <c r="F2656" s="21"/>
    </row>
    <row r="2657">
      <c r="A2657" s="19">
        <v>14027.0</v>
      </c>
      <c r="B2657" s="19" t="s">
        <v>2686</v>
      </c>
      <c r="C2657" s="20">
        <v>27228.0</v>
      </c>
      <c r="D2657" s="19" t="str">
        <f t="shared" si="1"/>
        <v> </v>
      </c>
      <c r="E2657" s="19" t="str">
        <f t="shared" si="2"/>
        <v> </v>
      </c>
      <c r="F2657" s="21"/>
    </row>
    <row r="2658">
      <c r="A2658" s="19">
        <v>14028.0</v>
      </c>
      <c r="B2658" s="19" t="s">
        <v>2687</v>
      </c>
      <c r="C2658" s="20">
        <v>31415.0</v>
      </c>
      <c r="D2658" s="19" t="str">
        <f t="shared" si="1"/>
        <v> </v>
      </c>
      <c r="E2658" s="19" t="str">
        <f t="shared" si="2"/>
        <v> </v>
      </c>
      <c r="F2658" s="21"/>
    </row>
    <row r="2659">
      <c r="A2659" s="19">
        <v>14029.0</v>
      </c>
      <c r="B2659" s="19" t="s">
        <v>2688</v>
      </c>
      <c r="C2659" s="20">
        <v>23337.0</v>
      </c>
      <c r="D2659" s="19" t="str">
        <f t="shared" si="1"/>
        <v> </v>
      </c>
      <c r="E2659" s="19" t="str">
        <f t="shared" si="2"/>
        <v> </v>
      </c>
      <c r="F2659" s="21"/>
    </row>
    <row r="2660">
      <c r="A2660" s="19">
        <v>14030.0</v>
      </c>
      <c r="B2660" s="19" t="s">
        <v>2689</v>
      </c>
      <c r="C2660" s="20">
        <v>17261.0</v>
      </c>
      <c r="D2660" s="19" t="str">
        <f t="shared" si="1"/>
        <v> </v>
      </c>
      <c r="E2660" s="19" t="str">
        <f t="shared" si="2"/>
        <v> </v>
      </c>
      <c r="F2660" s="21"/>
    </row>
    <row r="2661">
      <c r="A2661" s="19">
        <v>14031.0</v>
      </c>
      <c r="B2661" s="19" t="s">
        <v>2690</v>
      </c>
      <c r="C2661" s="20">
        <v>24739.0</v>
      </c>
      <c r="D2661" s="19" t="str">
        <f t="shared" si="1"/>
        <v> </v>
      </c>
      <c r="E2661" s="19" t="str">
        <f t="shared" si="2"/>
        <v> </v>
      </c>
      <c r="F2661" s="21"/>
    </row>
    <row r="2662">
      <c r="A2662" s="19">
        <v>14032.0</v>
      </c>
      <c r="B2662" s="19" t="s">
        <v>2691</v>
      </c>
      <c r="C2662" s="20">
        <v>12889.0</v>
      </c>
      <c r="D2662" s="19" t="str">
        <f t="shared" si="1"/>
        <v> </v>
      </c>
      <c r="E2662" s="19" t="str">
        <f t="shared" si="2"/>
        <v> </v>
      </c>
      <c r="F2662" s="21"/>
    </row>
    <row r="2663">
      <c r="A2663" s="19">
        <v>14034.0</v>
      </c>
      <c r="B2663" s="19" t="s">
        <v>2692</v>
      </c>
      <c r="C2663" s="20">
        <v>19737.0</v>
      </c>
      <c r="D2663" s="19" t="str">
        <f t="shared" si="1"/>
        <v> </v>
      </c>
      <c r="E2663" s="19" t="str">
        <f t="shared" si="2"/>
        <v> </v>
      </c>
      <c r="F2663" s="21"/>
    </row>
    <row r="2664">
      <c r="A2664" s="19">
        <v>14035.0</v>
      </c>
      <c r="B2664" s="19" t="s">
        <v>2693</v>
      </c>
      <c r="C2664" s="20">
        <v>22362.0</v>
      </c>
      <c r="D2664" s="19" t="str">
        <f t="shared" si="1"/>
        <v> </v>
      </c>
      <c r="E2664" s="19" t="str">
        <f t="shared" si="2"/>
        <v> </v>
      </c>
      <c r="F2664" s="21"/>
    </row>
    <row r="2665">
      <c r="A2665" s="19">
        <v>14036.0</v>
      </c>
      <c r="B2665" s="19" t="s">
        <v>2694</v>
      </c>
      <c r="C2665" s="20">
        <v>22715.0</v>
      </c>
      <c r="D2665" s="19" t="str">
        <f t="shared" si="1"/>
        <v> </v>
      </c>
      <c r="E2665" s="19" t="str">
        <f t="shared" si="2"/>
        <v> </v>
      </c>
      <c r="F2665" s="21"/>
    </row>
    <row r="2666">
      <c r="A2666" s="19">
        <v>14037.0</v>
      </c>
      <c r="B2666" s="19" t="s">
        <v>2695</v>
      </c>
      <c r="C2666" s="20">
        <v>16970.0</v>
      </c>
      <c r="D2666" s="19" t="str">
        <f t="shared" si="1"/>
        <v> </v>
      </c>
      <c r="E2666" s="19" t="str">
        <f t="shared" si="2"/>
        <v> </v>
      </c>
      <c r="F2666" s="21"/>
    </row>
    <row r="2667">
      <c r="A2667" s="19">
        <v>14038.0</v>
      </c>
      <c r="B2667" s="19" t="s">
        <v>2696</v>
      </c>
      <c r="C2667" s="20">
        <v>19026.0</v>
      </c>
      <c r="D2667" s="19" t="str">
        <f t="shared" si="1"/>
        <v> </v>
      </c>
      <c r="E2667" s="19" t="str">
        <f t="shared" si="2"/>
        <v> </v>
      </c>
      <c r="F2667" s="21"/>
    </row>
    <row r="2668">
      <c r="A2668" s="19">
        <v>14042.0</v>
      </c>
      <c r="B2668" s="19" t="s">
        <v>2697</v>
      </c>
      <c r="C2668" s="20">
        <v>15727.0</v>
      </c>
      <c r="D2668" s="19" t="str">
        <f t="shared" si="1"/>
        <v> </v>
      </c>
      <c r="E2668" s="19" t="str">
        <f t="shared" si="2"/>
        <v> </v>
      </c>
      <c r="F2668" s="21"/>
    </row>
    <row r="2669">
      <c r="A2669" s="19">
        <v>14044.0</v>
      </c>
      <c r="B2669" s="19" t="s">
        <v>2698</v>
      </c>
      <c r="C2669" s="20">
        <v>15928.0</v>
      </c>
      <c r="D2669" s="19" t="str">
        <f t="shared" si="1"/>
        <v> </v>
      </c>
      <c r="E2669" s="19" t="str">
        <f t="shared" si="2"/>
        <v> </v>
      </c>
      <c r="F2669" s="21"/>
    </row>
    <row r="2670">
      <c r="A2670" s="19">
        <v>14046.0</v>
      </c>
      <c r="B2670" s="19" t="s">
        <v>2699</v>
      </c>
      <c r="C2670" s="20">
        <v>18509.0</v>
      </c>
      <c r="D2670" s="19" t="str">
        <f t="shared" si="1"/>
        <v> </v>
      </c>
      <c r="E2670" s="19" t="str">
        <f t="shared" si="2"/>
        <v> </v>
      </c>
      <c r="F2670" s="21"/>
    </row>
    <row r="2671">
      <c r="A2671" s="19">
        <v>14047.0</v>
      </c>
      <c r="B2671" s="19" t="s">
        <v>2700</v>
      </c>
      <c r="C2671" s="20">
        <v>21885.0</v>
      </c>
      <c r="D2671" s="19" t="str">
        <f t="shared" si="1"/>
        <v> </v>
      </c>
      <c r="E2671" s="19" t="str">
        <f t="shared" si="2"/>
        <v> </v>
      </c>
      <c r="F2671" s="21"/>
    </row>
    <row r="2672">
      <c r="A2672" s="19">
        <v>14049.0</v>
      </c>
      <c r="B2672" s="19" t="s">
        <v>2701</v>
      </c>
      <c r="C2672" s="20">
        <v>31322.0</v>
      </c>
      <c r="D2672" s="19" t="str">
        <f t="shared" si="1"/>
        <v> </v>
      </c>
      <c r="E2672" s="19" t="str">
        <f t="shared" si="2"/>
        <v> </v>
      </c>
      <c r="F2672" s="21"/>
    </row>
    <row r="2673">
      <c r="A2673" s="19">
        <v>14050.0</v>
      </c>
      <c r="B2673" s="19" t="s">
        <v>2702</v>
      </c>
      <c r="C2673" s="20">
        <v>20523.0</v>
      </c>
      <c r="D2673" s="19" t="str">
        <f t="shared" si="1"/>
        <v> </v>
      </c>
      <c r="E2673" s="19" t="str">
        <f t="shared" si="2"/>
        <v> </v>
      </c>
      <c r="F2673" s="21"/>
    </row>
    <row r="2674">
      <c r="A2674" s="19">
        <v>14051.0</v>
      </c>
      <c r="B2674" s="19" t="s">
        <v>2703</v>
      </c>
      <c r="C2674" s="20">
        <v>23129.0</v>
      </c>
      <c r="D2674" s="19" t="str">
        <f t="shared" si="1"/>
        <v> </v>
      </c>
      <c r="E2674" s="19" t="str">
        <f t="shared" si="2"/>
        <v> </v>
      </c>
      <c r="F2674" s="21"/>
    </row>
    <row r="2675">
      <c r="A2675" s="19">
        <v>14052.0</v>
      </c>
      <c r="B2675" s="19" t="s">
        <v>2704</v>
      </c>
      <c r="C2675" s="20">
        <v>29046.0</v>
      </c>
      <c r="D2675" s="19" t="str">
        <f t="shared" si="1"/>
        <v> </v>
      </c>
      <c r="E2675" s="19" t="str">
        <f t="shared" si="2"/>
        <v> </v>
      </c>
      <c r="F2675" s="21"/>
    </row>
    <row r="2676">
      <c r="A2676" s="19">
        <v>14053.0</v>
      </c>
      <c r="B2676" s="19" t="s">
        <v>2705</v>
      </c>
      <c r="C2676" s="20">
        <v>18535.0</v>
      </c>
      <c r="D2676" s="19" t="str">
        <f t="shared" si="1"/>
        <v>Repeat</v>
      </c>
      <c r="E2676" s="19" t="str">
        <f t="shared" si="2"/>
        <v> </v>
      </c>
      <c r="F2676" s="21"/>
    </row>
    <row r="2677">
      <c r="A2677" s="19">
        <v>14054.0</v>
      </c>
      <c r="B2677" s="19" t="s">
        <v>2706</v>
      </c>
      <c r="C2677" s="20">
        <v>19098.0</v>
      </c>
      <c r="D2677" s="19" t="str">
        <f t="shared" si="1"/>
        <v> </v>
      </c>
      <c r="E2677" s="19" t="str">
        <f t="shared" si="2"/>
        <v> </v>
      </c>
      <c r="F2677" s="21"/>
    </row>
    <row r="2678">
      <c r="A2678" s="19">
        <v>14055.0</v>
      </c>
      <c r="B2678" s="19" t="s">
        <v>2707</v>
      </c>
      <c r="C2678" s="20">
        <v>30077.0</v>
      </c>
      <c r="D2678" s="19" t="str">
        <f t="shared" si="1"/>
        <v> </v>
      </c>
      <c r="E2678" s="19" t="str">
        <f t="shared" si="2"/>
        <v> </v>
      </c>
      <c r="F2678" s="21"/>
    </row>
    <row r="2679">
      <c r="A2679" s="19">
        <v>14056.0</v>
      </c>
      <c r="B2679" s="19" t="s">
        <v>2708</v>
      </c>
      <c r="C2679" s="20">
        <v>16341.0</v>
      </c>
      <c r="D2679" s="19" t="str">
        <f t="shared" si="1"/>
        <v> </v>
      </c>
      <c r="E2679" s="19" t="str">
        <f t="shared" si="2"/>
        <v> </v>
      </c>
      <c r="F2679" s="21"/>
    </row>
    <row r="2680">
      <c r="A2680" s="19">
        <v>14058.0</v>
      </c>
      <c r="B2680" s="19" t="s">
        <v>2709</v>
      </c>
      <c r="C2680" s="20">
        <v>14375.0</v>
      </c>
      <c r="D2680" s="19" t="str">
        <f t="shared" si="1"/>
        <v> </v>
      </c>
      <c r="E2680" s="19" t="str">
        <f t="shared" si="2"/>
        <v> </v>
      </c>
      <c r="F2680" s="21"/>
    </row>
    <row r="2681">
      <c r="A2681" s="19">
        <v>14062.0</v>
      </c>
      <c r="B2681" s="19" t="s">
        <v>2710</v>
      </c>
      <c r="C2681" s="20">
        <v>24045.0</v>
      </c>
      <c r="D2681" s="19" t="str">
        <f t="shared" si="1"/>
        <v> </v>
      </c>
      <c r="E2681" s="19" t="str">
        <f t="shared" si="2"/>
        <v> </v>
      </c>
      <c r="F2681" s="21"/>
    </row>
    <row r="2682">
      <c r="A2682" s="19">
        <v>14063.0</v>
      </c>
      <c r="B2682" s="19" t="s">
        <v>2711</v>
      </c>
      <c r="C2682" s="20">
        <v>22822.0</v>
      </c>
      <c r="D2682" s="19" t="str">
        <f t="shared" si="1"/>
        <v> </v>
      </c>
      <c r="E2682" s="19" t="str">
        <f t="shared" si="2"/>
        <v> </v>
      </c>
      <c r="F2682" s="21"/>
    </row>
    <row r="2683">
      <c r="A2683" s="19">
        <v>14064.0</v>
      </c>
      <c r="B2683" s="19" t="s">
        <v>2712</v>
      </c>
      <c r="C2683" s="20">
        <v>17859.0</v>
      </c>
      <c r="D2683" s="19" t="str">
        <f t="shared" si="1"/>
        <v> </v>
      </c>
      <c r="E2683" s="19" t="str">
        <f t="shared" si="2"/>
        <v> </v>
      </c>
      <c r="F2683" s="21"/>
    </row>
    <row r="2684">
      <c r="A2684" s="19">
        <v>14065.0</v>
      </c>
      <c r="B2684" s="19" t="s">
        <v>2713</v>
      </c>
      <c r="C2684" s="20">
        <v>16477.0</v>
      </c>
      <c r="D2684" s="19" t="str">
        <f t="shared" si="1"/>
        <v> </v>
      </c>
      <c r="E2684" s="19" t="str">
        <f t="shared" si="2"/>
        <v> </v>
      </c>
      <c r="F2684" s="21"/>
    </row>
    <row r="2685">
      <c r="A2685" s="19">
        <v>14066.0</v>
      </c>
      <c r="B2685" s="19" t="s">
        <v>2714</v>
      </c>
      <c r="C2685" s="20">
        <v>35192.0</v>
      </c>
      <c r="D2685" s="19" t="str">
        <f t="shared" si="1"/>
        <v> </v>
      </c>
      <c r="E2685" s="19" t="str">
        <f t="shared" si="2"/>
        <v> </v>
      </c>
      <c r="F2685" s="21"/>
    </row>
    <row r="2686">
      <c r="A2686" s="19">
        <v>14068.0</v>
      </c>
      <c r="B2686" s="19" t="s">
        <v>2715</v>
      </c>
      <c r="C2686" s="20">
        <v>26572.0</v>
      </c>
      <c r="D2686" s="19" t="str">
        <f t="shared" si="1"/>
        <v> </v>
      </c>
      <c r="E2686" s="19" t="str">
        <f t="shared" si="2"/>
        <v> </v>
      </c>
      <c r="F2686" s="21"/>
    </row>
    <row r="2687">
      <c r="A2687" s="19">
        <v>14069.0</v>
      </c>
      <c r="B2687" s="19" t="s">
        <v>2716</v>
      </c>
      <c r="C2687" s="20">
        <v>20721.0</v>
      </c>
      <c r="D2687" s="19" t="str">
        <f t="shared" si="1"/>
        <v> </v>
      </c>
      <c r="E2687" s="19" t="str">
        <f t="shared" si="2"/>
        <v> </v>
      </c>
      <c r="F2687" s="21"/>
    </row>
    <row r="2688">
      <c r="A2688" s="19">
        <v>14070.0</v>
      </c>
      <c r="B2688" s="19" t="s">
        <v>2717</v>
      </c>
      <c r="C2688" s="20">
        <v>26355.0</v>
      </c>
      <c r="D2688" s="19" t="str">
        <f t="shared" si="1"/>
        <v> </v>
      </c>
      <c r="E2688" s="19" t="str">
        <f t="shared" si="2"/>
        <v> </v>
      </c>
      <c r="F2688" s="21"/>
    </row>
    <row r="2689">
      <c r="A2689" s="19">
        <v>14071.0</v>
      </c>
      <c r="B2689" s="19" t="s">
        <v>2718</v>
      </c>
      <c r="C2689" s="20">
        <v>25236.0</v>
      </c>
      <c r="D2689" s="19" t="str">
        <f t="shared" si="1"/>
        <v> </v>
      </c>
      <c r="E2689" s="19" t="str">
        <f t="shared" si="2"/>
        <v> </v>
      </c>
      <c r="F2689" s="21"/>
    </row>
    <row r="2690">
      <c r="A2690" s="19">
        <v>14072.0</v>
      </c>
      <c r="B2690" s="19" t="s">
        <v>2719</v>
      </c>
      <c r="C2690" s="20">
        <v>15854.0</v>
      </c>
      <c r="D2690" s="19" t="str">
        <f t="shared" si="1"/>
        <v> </v>
      </c>
      <c r="E2690" s="19" t="str">
        <f t="shared" si="2"/>
        <v> </v>
      </c>
      <c r="F2690" s="21"/>
    </row>
    <row r="2691">
      <c r="A2691" s="19">
        <v>14073.0</v>
      </c>
      <c r="B2691" s="19" t="s">
        <v>2720</v>
      </c>
      <c r="C2691" s="20">
        <v>19245.0</v>
      </c>
      <c r="D2691" s="19" t="str">
        <f t="shared" si="1"/>
        <v> </v>
      </c>
      <c r="E2691" s="19" t="str">
        <f t="shared" si="2"/>
        <v> </v>
      </c>
      <c r="F2691" s="21"/>
    </row>
    <row r="2692">
      <c r="A2692" s="19">
        <v>14074.0</v>
      </c>
      <c r="B2692" s="19" t="s">
        <v>2721</v>
      </c>
      <c r="C2692" s="20">
        <v>26061.0</v>
      </c>
      <c r="D2692" s="19" t="str">
        <f t="shared" si="1"/>
        <v> </v>
      </c>
      <c r="E2692" s="19" t="str">
        <f t="shared" si="2"/>
        <v> </v>
      </c>
      <c r="F2692" s="21"/>
    </row>
    <row r="2693">
      <c r="A2693" s="19">
        <v>14075.0</v>
      </c>
      <c r="B2693" s="19" t="s">
        <v>2722</v>
      </c>
      <c r="C2693" s="20">
        <v>17613.0</v>
      </c>
      <c r="D2693" s="19" t="str">
        <f t="shared" si="1"/>
        <v> </v>
      </c>
      <c r="E2693" s="19" t="str">
        <f t="shared" si="2"/>
        <v> </v>
      </c>
      <c r="F2693" s="21"/>
    </row>
    <row r="2694">
      <c r="A2694" s="19">
        <v>14076.0</v>
      </c>
      <c r="B2694" s="19" t="s">
        <v>2723</v>
      </c>
      <c r="C2694" s="20">
        <v>29289.0</v>
      </c>
      <c r="D2694" s="19" t="str">
        <f t="shared" si="1"/>
        <v> </v>
      </c>
      <c r="E2694" s="19" t="str">
        <f t="shared" si="2"/>
        <v> </v>
      </c>
      <c r="F2694" s="21"/>
    </row>
    <row r="2695">
      <c r="A2695" s="19">
        <v>14078.0</v>
      </c>
      <c r="B2695" s="19" t="s">
        <v>2724</v>
      </c>
      <c r="C2695" s="20">
        <v>17865.0</v>
      </c>
      <c r="D2695" s="19" t="str">
        <f t="shared" si="1"/>
        <v> </v>
      </c>
      <c r="E2695" s="19" t="str">
        <f t="shared" si="2"/>
        <v> </v>
      </c>
      <c r="F2695" s="21"/>
    </row>
    <row r="2696">
      <c r="A2696" s="19">
        <v>14079.0</v>
      </c>
      <c r="B2696" s="19" t="s">
        <v>1743</v>
      </c>
      <c r="C2696" s="20">
        <v>18184.0</v>
      </c>
      <c r="D2696" s="19" t="str">
        <f t="shared" si="1"/>
        <v>Repeat</v>
      </c>
      <c r="E2696" s="19" t="str">
        <f t="shared" si="2"/>
        <v> </v>
      </c>
      <c r="F2696" s="21"/>
    </row>
    <row r="2697">
      <c r="A2697" s="19">
        <v>14080.0</v>
      </c>
      <c r="B2697" s="19" t="s">
        <v>2725</v>
      </c>
      <c r="C2697" s="20">
        <v>28706.0</v>
      </c>
      <c r="D2697" s="19" t="str">
        <f t="shared" si="1"/>
        <v> </v>
      </c>
      <c r="E2697" s="19" t="str">
        <f t="shared" si="2"/>
        <v> </v>
      </c>
      <c r="F2697" s="21"/>
    </row>
    <row r="2698">
      <c r="A2698" s="19">
        <v>14081.0</v>
      </c>
      <c r="B2698" s="19" t="s">
        <v>2726</v>
      </c>
      <c r="C2698" s="20">
        <v>32882.0</v>
      </c>
      <c r="D2698" s="19" t="str">
        <f t="shared" si="1"/>
        <v> </v>
      </c>
      <c r="E2698" s="19" t="str">
        <f t="shared" si="2"/>
        <v> </v>
      </c>
      <c r="F2698" s="21"/>
    </row>
    <row r="2699">
      <c r="A2699" s="19">
        <v>14082.0</v>
      </c>
      <c r="B2699" s="19" t="s">
        <v>2727</v>
      </c>
      <c r="C2699" s="20">
        <v>12052.0</v>
      </c>
      <c r="D2699" s="19" t="str">
        <f t="shared" si="1"/>
        <v> </v>
      </c>
      <c r="E2699" s="19" t="str">
        <f t="shared" si="2"/>
        <v> </v>
      </c>
      <c r="F2699" s="21"/>
    </row>
    <row r="2700">
      <c r="A2700" s="19">
        <v>14083.0</v>
      </c>
      <c r="B2700" s="19" t="s">
        <v>2728</v>
      </c>
      <c r="C2700" s="20">
        <v>22869.0</v>
      </c>
      <c r="D2700" s="19" t="str">
        <f t="shared" si="1"/>
        <v> </v>
      </c>
      <c r="E2700" s="19" t="str">
        <f t="shared" si="2"/>
        <v> </v>
      </c>
      <c r="F2700" s="21"/>
    </row>
    <row r="2701">
      <c r="A2701" s="19">
        <v>14084.0</v>
      </c>
      <c r="B2701" s="19" t="s">
        <v>2729</v>
      </c>
      <c r="C2701" s="20">
        <v>29711.0</v>
      </c>
      <c r="D2701" s="19" t="str">
        <f t="shared" si="1"/>
        <v> </v>
      </c>
      <c r="E2701" s="19" t="str">
        <f t="shared" si="2"/>
        <v> </v>
      </c>
      <c r="F2701" s="21"/>
    </row>
    <row r="2702">
      <c r="A2702" s="19">
        <v>14085.0</v>
      </c>
      <c r="B2702" s="19" t="s">
        <v>2730</v>
      </c>
      <c r="C2702" s="20">
        <v>15888.0</v>
      </c>
      <c r="D2702" s="19" t="str">
        <f t="shared" si="1"/>
        <v> </v>
      </c>
      <c r="E2702" s="19" t="str">
        <f t="shared" si="2"/>
        <v> </v>
      </c>
      <c r="F2702" s="21"/>
    </row>
    <row r="2703">
      <c r="A2703" s="19">
        <v>14086.0</v>
      </c>
      <c r="B2703" s="19" t="s">
        <v>2731</v>
      </c>
      <c r="C2703" s="20">
        <v>25562.0</v>
      </c>
      <c r="D2703" s="19" t="str">
        <f t="shared" si="1"/>
        <v> </v>
      </c>
      <c r="E2703" s="19" t="str">
        <f t="shared" si="2"/>
        <v> </v>
      </c>
      <c r="F2703" s="21"/>
    </row>
    <row r="2704">
      <c r="A2704" s="19">
        <v>14087.0</v>
      </c>
      <c r="B2704" s="19" t="s">
        <v>2732</v>
      </c>
      <c r="C2704" s="20">
        <v>20668.0</v>
      </c>
      <c r="D2704" s="19" t="str">
        <f t="shared" si="1"/>
        <v> </v>
      </c>
      <c r="E2704" s="19" t="str">
        <f t="shared" si="2"/>
        <v> </v>
      </c>
      <c r="F2704" s="21"/>
    </row>
    <row r="2705">
      <c r="A2705" s="19">
        <v>14088.0</v>
      </c>
      <c r="B2705" s="19" t="s">
        <v>2733</v>
      </c>
      <c r="C2705" s="20">
        <v>22147.0</v>
      </c>
      <c r="D2705" s="19" t="str">
        <f t="shared" si="1"/>
        <v> </v>
      </c>
      <c r="E2705" s="19" t="str">
        <f t="shared" si="2"/>
        <v> </v>
      </c>
      <c r="F2705" s="21"/>
    </row>
    <row r="2706">
      <c r="A2706" s="19">
        <v>14089.0</v>
      </c>
      <c r="B2706" s="19" t="s">
        <v>2734</v>
      </c>
      <c r="C2706" s="20">
        <v>17713.0</v>
      </c>
      <c r="D2706" s="19" t="str">
        <f t="shared" si="1"/>
        <v> </v>
      </c>
      <c r="E2706" s="19" t="str">
        <f t="shared" si="2"/>
        <v> </v>
      </c>
      <c r="F2706" s="21"/>
    </row>
    <row r="2707">
      <c r="A2707" s="19">
        <v>14090.0</v>
      </c>
      <c r="B2707" s="19" t="s">
        <v>2735</v>
      </c>
      <c r="C2707" s="20">
        <v>35828.0</v>
      </c>
      <c r="D2707" s="19" t="str">
        <f t="shared" si="1"/>
        <v> </v>
      </c>
      <c r="E2707" s="19" t="str">
        <f t="shared" si="2"/>
        <v> </v>
      </c>
      <c r="F2707" s="21"/>
    </row>
    <row r="2708">
      <c r="A2708" s="19">
        <v>14091.0</v>
      </c>
      <c r="B2708" s="19" t="s">
        <v>2736</v>
      </c>
      <c r="C2708" s="20">
        <v>26587.0</v>
      </c>
      <c r="D2708" s="19" t="str">
        <f t="shared" si="1"/>
        <v> </v>
      </c>
      <c r="E2708" s="19" t="str">
        <f t="shared" si="2"/>
        <v> </v>
      </c>
      <c r="F2708" s="21"/>
    </row>
    <row r="2709">
      <c r="A2709" s="19">
        <v>14092.0</v>
      </c>
      <c r="B2709" s="19" t="s">
        <v>2737</v>
      </c>
      <c r="C2709" s="20">
        <v>18278.0</v>
      </c>
      <c r="D2709" s="19" t="str">
        <f t="shared" si="1"/>
        <v> </v>
      </c>
      <c r="E2709" s="19" t="str">
        <f t="shared" si="2"/>
        <v> </v>
      </c>
      <c r="F2709" s="21"/>
    </row>
    <row r="2710">
      <c r="A2710" s="19">
        <v>14093.0</v>
      </c>
      <c r="B2710" s="19" t="s">
        <v>2738</v>
      </c>
      <c r="C2710" s="20">
        <v>26917.0</v>
      </c>
      <c r="D2710" s="19" t="str">
        <f t="shared" si="1"/>
        <v> </v>
      </c>
      <c r="E2710" s="19" t="str">
        <f t="shared" si="2"/>
        <v> </v>
      </c>
      <c r="F2710" s="21"/>
    </row>
    <row r="2711">
      <c r="A2711" s="19">
        <v>14094.0</v>
      </c>
      <c r="B2711" s="19" t="s">
        <v>2739</v>
      </c>
      <c r="C2711" s="20">
        <v>16176.0</v>
      </c>
      <c r="D2711" s="19" t="str">
        <f t="shared" si="1"/>
        <v> </v>
      </c>
      <c r="E2711" s="19" t="str">
        <f t="shared" si="2"/>
        <v> </v>
      </c>
      <c r="F2711" s="21"/>
    </row>
    <row r="2712">
      <c r="A2712" s="19">
        <v>14095.0</v>
      </c>
      <c r="B2712" s="19" t="s">
        <v>2740</v>
      </c>
      <c r="C2712" s="20">
        <v>22965.0</v>
      </c>
      <c r="D2712" s="19" t="str">
        <f t="shared" si="1"/>
        <v> </v>
      </c>
      <c r="E2712" s="19" t="str">
        <f t="shared" si="2"/>
        <v> </v>
      </c>
      <c r="F2712" s="21"/>
    </row>
    <row r="2713">
      <c r="A2713" s="19">
        <v>14096.0</v>
      </c>
      <c r="B2713" s="19" t="s">
        <v>2741</v>
      </c>
      <c r="C2713" s="20">
        <v>19879.0</v>
      </c>
      <c r="D2713" s="19" t="str">
        <f t="shared" si="1"/>
        <v> </v>
      </c>
      <c r="E2713" s="19" t="str">
        <f t="shared" si="2"/>
        <v> </v>
      </c>
      <c r="F2713" s="21"/>
    </row>
    <row r="2714">
      <c r="A2714" s="19">
        <v>14097.0</v>
      </c>
      <c r="B2714" s="19" t="s">
        <v>2742</v>
      </c>
      <c r="C2714" s="20">
        <v>24483.0</v>
      </c>
      <c r="D2714" s="19" t="str">
        <f t="shared" si="1"/>
        <v>Repeat</v>
      </c>
      <c r="E2714" s="19" t="str">
        <f t="shared" si="2"/>
        <v> </v>
      </c>
      <c r="F2714" s="21"/>
    </row>
    <row r="2715">
      <c r="A2715" s="19">
        <v>14099.0</v>
      </c>
      <c r="B2715" s="19" t="s">
        <v>2743</v>
      </c>
      <c r="C2715" s="20">
        <v>19291.0</v>
      </c>
      <c r="D2715" s="19" t="str">
        <f t="shared" si="1"/>
        <v> </v>
      </c>
      <c r="E2715" s="19" t="str">
        <f t="shared" si="2"/>
        <v> </v>
      </c>
      <c r="F2715" s="21"/>
    </row>
    <row r="2716">
      <c r="A2716" s="19">
        <v>14100.0</v>
      </c>
      <c r="B2716" s="19" t="s">
        <v>2744</v>
      </c>
      <c r="C2716" s="20">
        <v>17679.0</v>
      </c>
      <c r="D2716" s="19" t="str">
        <f t="shared" si="1"/>
        <v> </v>
      </c>
      <c r="E2716" s="19" t="str">
        <f t="shared" si="2"/>
        <v> </v>
      </c>
      <c r="F2716" s="21"/>
    </row>
    <row r="2717">
      <c r="A2717" s="19">
        <v>14101.0</v>
      </c>
      <c r="B2717" s="19" t="s">
        <v>2745</v>
      </c>
      <c r="C2717" s="20">
        <v>20670.0</v>
      </c>
      <c r="D2717" s="19" t="str">
        <f t="shared" si="1"/>
        <v> </v>
      </c>
      <c r="E2717" s="19" t="str">
        <f t="shared" si="2"/>
        <v> </v>
      </c>
      <c r="F2717" s="21"/>
    </row>
    <row r="2718">
      <c r="A2718" s="19">
        <v>14102.0</v>
      </c>
      <c r="B2718" s="19" t="s">
        <v>2746</v>
      </c>
      <c r="C2718" s="20">
        <v>12832.0</v>
      </c>
      <c r="D2718" s="19" t="str">
        <f t="shared" si="1"/>
        <v> </v>
      </c>
      <c r="E2718" s="19" t="str">
        <f t="shared" si="2"/>
        <v> </v>
      </c>
      <c r="F2718" s="21"/>
    </row>
    <row r="2719">
      <c r="A2719" s="19">
        <v>14103.0</v>
      </c>
      <c r="B2719" s="19" t="s">
        <v>2747</v>
      </c>
      <c r="C2719" s="20">
        <v>16960.0</v>
      </c>
      <c r="D2719" s="19" t="str">
        <f t="shared" si="1"/>
        <v> </v>
      </c>
      <c r="E2719" s="19" t="str">
        <f t="shared" si="2"/>
        <v> </v>
      </c>
      <c r="F2719" s="21"/>
    </row>
    <row r="2720">
      <c r="A2720" s="19">
        <v>14104.0</v>
      </c>
      <c r="B2720" s="19" t="s">
        <v>2748</v>
      </c>
      <c r="C2720" s="20">
        <v>19685.0</v>
      </c>
      <c r="D2720" s="19" t="str">
        <f t="shared" si="1"/>
        <v> </v>
      </c>
      <c r="E2720" s="19" t="str">
        <f t="shared" si="2"/>
        <v> </v>
      </c>
      <c r="F2720" s="21"/>
    </row>
    <row r="2721">
      <c r="A2721" s="19">
        <v>14106.0</v>
      </c>
      <c r="B2721" s="19" t="s">
        <v>2749</v>
      </c>
      <c r="C2721" s="20">
        <v>29830.0</v>
      </c>
      <c r="D2721" s="19" t="str">
        <f t="shared" si="1"/>
        <v> </v>
      </c>
      <c r="E2721" s="19" t="str">
        <f t="shared" si="2"/>
        <v> </v>
      </c>
      <c r="F2721" s="21"/>
    </row>
    <row r="2722">
      <c r="A2722" s="19">
        <v>14107.0</v>
      </c>
      <c r="B2722" s="19" t="s">
        <v>2750</v>
      </c>
      <c r="C2722" s="20">
        <v>30940.0</v>
      </c>
      <c r="D2722" s="19" t="str">
        <f t="shared" si="1"/>
        <v> </v>
      </c>
      <c r="E2722" s="19" t="str">
        <f t="shared" si="2"/>
        <v> </v>
      </c>
      <c r="F2722" s="21"/>
    </row>
    <row r="2723">
      <c r="A2723" s="19">
        <v>14108.0</v>
      </c>
      <c r="B2723" s="19" t="s">
        <v>2751</v>
      </c>
      <c r="C2723" s="20">
        <v>28241.0</v>
      </c>
      <c r="D2723" s="19" t="str">
        <f t="shared" si="1"/>
        <v> </v>
      </c>
      <c r="E2723" s="19" t="str">
        <f t="shared" si="2"/>
        <v> </v>
      </c>
      <c r="F2723" s="21"/>
    </row>
    <row r="2724">
      <c r="A2724" s="19">
        <v>14110.0</v>
      </c>
      <c r="B2724" s="19" t="s">
        <v>2752</v>
      </c>
      <c r="C2724" s="20">
        <v>24135.0</v>
      </c>
      <c r="D2724" s="19" t="str">
        <f t="shared" si="1"/>
        <v> </v>
      </c>
      <c r="E2724" s="19" t="str">
        <f t="shared" si="2"/>
        <v> </v>
      </c>
      <c r="F2724" s="21"/>
    </row>
    <row r="2725">
      <c r="A2725" s="19">
        <v>14111.0</v>
      </c>
      <c r="B2725" s="19" t="s">
        <v>2753</v>
      </c>
      <c r="C2725" s="20">
        <v>31980.0</v>
      </c>
      <c r="D2725" s="19" t="str">
        <f t="shared" si="1"/>
        <v> </v>
      </c>
      <c r="E2725" s="19" t="str">
        <f t="shared" si="2"/>
        <v> </v>
      </c>
      <c r="F2725" s="21"/>
    </row>
    <row r="2726">
      <c r="A2726" s="19">
        <v>14112.0</v>
      </c>
      <c r="B2726" s="19" t="s">
        <v>2754</v>
      </c>
      <c r="C2726" s="20">
        <v>31471.0</v>
      </c>
      <c r="D2726" s="19" t="str">
        <f t="shared" si="1"/>
        <v> </v>
      </c>
      <c r="E2726" s="19" t="str">
        <f t="shared" si="2"/>
        <v> </v>
      </c>
      <c r="F2726" s="21"/>
    </row>
    <row r="2727">
      <c r="A2727" s="19">
        <v>14113.0</v>
      </c>
      <c r="B2727" s="19" t="s">
        <v>2755</v>
      </c>
      <c r="C2727" s="20">
        <v>21851.0</v>
      </c>
      <c r="D2727" s="19" t="str">
        <f t="shared" si="1"/>
        <v> </v>
      </c>
      <c r="E2727" s="19" t="str">
        <f t="shared" si="2"/>
        <v>Repeat</v>
      </c>
      <c r="F2727" s="21"/>
    </row>
    <row r="2728">
      <c r="A2728" s="19">
        <v>14114.0</v>
      </c>
      <c r="B2728" s="19" t="s">
        <v>2756</v>
      </c>
      <c r="C2728" s="20">
        <v>26059.0</v>
      </c>
      <c r="D2728" s="19" t="str">
        <f t="shared" si="1"/>
        <v> </v>
      </c>
      <c r="E2728" s="19" t="str">
        <f t="shared" si="2"/>
        <v> </v>
      </c>
      <c r="F2728" s="21"/>
    </row>
    <row r="2729">
      <c r="A2729" s="19">
        <v>14116.0</v>
      </c>
      <c r="B2729" s="19" t="s">
        <v>2757</v>
      </c>
      <c r="C2729" s="20">
        <v>28332.0</v>
      </c>
      <c r="D2729" s="19" t="str">
        <f t="shared" si="1"/>
        <v> </v>
      </c>
      <c r="E2729" s="19" t="str">
        <f t="shared" si="2"/>
        <v> </v>
      </c>
      <c r="F2729" s="21"/>
    </row>
    <row r="2730">
      <c r="A2730" s="19">
        <v>14117.0</v>
      </c>
      <c r="B2730" s="19" t="s">
        <v>2758</v>
      </c>
      <c r="C2730" s="20">
        <v>24626.0</v>
      </c>
      <c r="D2730" s="19" t="str">
        <f t="shared" si="1"/>
        <v> </v>
      </c>
      <c r="E2730" s="19" t="str">
        <f t="shared" si="2"/>
        <v> </v>
      </c>
      <c r="F2730" s="21"/>
    </row>
    <row r="2731">
      <c r="A2731" s="19">
        <v>14119.0</v>
      </c>
      <c r="B2731" s="19" t="s">
        <v>2759</v>
      </c>
      <c r="C2731" s="20">
        <v>19885.0</v>
      </c>
      <c r="D2731" s="19" t="str">
        <f t="shared" si="1"/>
        <v> </v>
      </c>
      <c r="E2731" s="19" t="str">
        <f t="shared" si="2"/>
        <v> </v>
      </c>
      <c r="F2731" s="21"/>
    </row>
    <row r="2732">
      <c r="A2732" s="19">
        <v>14120.0</v>
      </c>
      <c r="B2732" s="19" t="s">
        <v>2760</v>
      </c>
      <c r="C2732" s="20">
        <v>19553.0</v>
      </c>
      <c r="D2732" s="19" t="str">
        <f t="shared" si="1"/>
        <v> </v>
      </c>
      <c r="E2732" s="19" t="str">
        <f t="shared" si="2"/>
        <v> </v>
      </c>
      <c r="F2732" s="21"/>
    </row>
    <row r="2733">
      <c r="A2733" s="19">
        <v>14121.0</v>
      </c>
      <c r="B2733" s="19" t="s">
        <v>2761</v>
      </c>
      <c r="C2733" s="20">
        <v>21929.0</v>
      </c>
      <c r="D2733" s="19" t="str">
        <f t="shared" si="1"/>
        <v> </v>
      </c>
      <c r="E2733" s="19" t="str">
        <f t="shared" si="2"/>
        <v> </v>
      </c>
      <c r="F2733" s="21"/>
    </row>
    <row r="2734">
      <c r="A2734" s="19">
        <v>14123.0</v>
      </c>
      <c r="B2734" s="19" t="s">
        <v>2762</v>
      </c>
      <c r="C2734" s="20">
        <v>32620.0</v>
      </c>
      <c r="D2734" s="19" t="str">
        <f t="shared" si="1"/>
        <v> </v>
      </c>
      <c r="E2734" s="19" t="str">
        <f t="shared" si="2"/>
        <v> </v>
      </c>
      <c r="F2734" s="21"/>
    </row>
    <row r="2735">
      <c r="A2735" s="19">
        <v>14124.0</v>
      </c>
      <c r="B2735" s="19" t="s">
        <v>2763</v>
      </c>
      <c r="C2735" s="20">
        <v>17258.0</v>
      </c>
      <c r="D2735" s="19" t="str">
        <f t="shared" si="1"/>
        <v> </v>
      </c>
      <c r="E2735" s="19" t="str">
        <f t="shared" si="2"/>
        <v> </v>
      </c>
      <c r="F2735" s="21"/>
    </row>
    <row r="2736">
      <c r="A2736" s="19">
        <v>14125.0</v>
      </c>
      <c r="B2736" s="19" t="s">
        <v>2764</v>
      </c>
      <c r="C2736" s="20">
        <v>20213.0</v>
      </c>
      <c r="D2736" s="19" t="str">
        <f t="shared" si="1"/>
        <v> </v>
      </c>
      <c r="E2736" s="19" t="str">
        <f t="shared" si="2"/>
        <v> </v>
      </c>
      <c r="F2736" s="21"/>
    </row>
    <row r="2737">
      <c r="A2737" s="19">
        <v>14126.0</v>
      </c>
      <c r="B2737" s="19" t="s">
        <v>2765</v>
      </c>
      <c r="C2737" s="20">
        <v>18823.0</v>
      </c>
      <c r="D2737" s="19" t="str">
        <f t="shared" si="1"/>
        <v> </v>
      </c>
      <c r="E2737" s="19" t="str">
        <f t="shared" si="2"/>
        <v> </v>
      </c>
      <c r="F2737" s="21"/>
    </row>
    <row r="2738">
      <c r="A2738" s="19">
        <v>14127.0</v>
      </c>
      <c r="B2738" s="19" t="s">
        <v>2766</v>
      </c>
      <c r="C2738" s="20">
        <v>28053.0</v>
      </c>
      <c r="D2738" s="19" t="str">
        <f t="shared" si="1"/>
        <v> </v>
      </c>
      <c r="E2738" s="19" t="str">
        <f t="shared" si="2"/>
        <v> </v>
      </c>
      <c r="F2738" s="21"/>
    </row>
    <row r="2739">
      <c r="A2739" s="19">
        <v>14128.0</v>
      </c>
      <c r="B2739" s="19" t="s">
        <v>2767</v>
      </c>
      <c r="C2739" s="20">
        <v>26319.0</v>
      </c>
      <c r="D2739" s="19" t="str">
        <f t="shared" si="1"/>
        <v> </v>
      </c>
      <c r="E2739" s="19" t="str">
        <f t="shared" si="2"/>
        <v> </v>
      </c>
      <c r="F2739" s="21"/>
    </row>
    <row r="2740">
      <c r="A2740" s="19">
        <v>14129.0</v>
      </c>
      <c r="B2740" s="19" t="s">
        <v>2768</v>
      </c>
      <c r="C2740" s="20">
        <v>32875.0</v>
      </c>
      <c r="D2740" s="19" t="str">
        <f t="shared" si="1"/>
        <v> </v>
      </c>
      <c r="E2740" s="19" t="str">
        <f t="shared" si="2"/>
        <v> </v>
      </c>
      <c r="F2740" s="21"/>
    </row>
    <row r="2741">
      <c r="A2741" s="19">
        <v>14130.0</v>
      </c>
      <c r="B2741" s="19" t="s">
        <v>2769</v>
      </c>
      <c r="C2741" s="20">
        <v>28018.0</v>
      </c>
      <c r="D2741" s="19" t="str">
        <f t="shared" si="1"/>
        <v> </v>
      </c>
      <c r="E2741" s="19" t="str">
        <f t="shared" si="2"/>
        <v> </v>
      </c>
      <c r="F2741" s="21"/>
    </row>
    <row r="2742">
      <c r="A2742" s="19">
        <v>14131.0</v>
      </c>
      <c r="B2742" s="19" t="s">
        <v>2770</v>
      </c>
      <c r="C2742" s="20">
        <v>29855.0</v>
      </c>
      <c r="D2742" s="19" t="str">
        <f t="shared" si="1"/>
        <v> </v>
      </c>
      <c r="E2742" s="19" t="str">
        <f t="shared" si="2"/>
        <v> </v>
      </c>
      <c r="F2742" s="21"/>
    </row>
    <row r="2743">
      <c r="A2743" s="19">
        <v>14132.0</v>
      </c>
      <c r="B2743" s="19" t="s">
        <v>2771</v>
      </c>
      <c r="C2743" s="20">
        <v>22172.0</v>
      </c>
      <c r="D2743" s="19" t="str">
        <f t="shared" si="1"/>
        <v> </v>
      </c>
      <c r="E2743" s="19" t="str">
        <f t="shared" si="2"/>
        <v> </v>
      </c>
      <c r="F2743" s="21"/>
    </row>
    <row r="2744">
      <c r="A2744" s="19">
        <v>14134.0</v>
      </c>
      <c r="B2744" s="19" t="s">
        <v>2772</v>
      </c>
      <c r="C2744" s="20">
        <v>22167.0</v>
      </c>
      <c r="D2744" s="19" t="str">
        <f t="shared" si="1"/>
        <v> </v>
      </c>
      <c r="E2744" s="19" t="str">
        <f t="shared" si="2"/>
        <v> </v>
      </c>
      <c r="F2744" s="21"/>
    </row>
    <row r="2745">
      <c r="A2745" s="19">
        <v>14135.0</v>
      </c>
      <c r="B2745" s="19" t="s">
        <v>2773</v>
      </c>
      <c r="C2745" s="20">
        <v>17862.0</v>
      </c>
      <c r="D2745" s="19" t="str">
        <f t="shared" si="1"/>
        <v> </v>
      </c>
      <c r="E2745" s="19" t="str">
        <f t="shared" si="2"/>
        <v> </v>
      </c>
      <c r="F2745" s="21"/>
    </row>
    <row r="2746">
      <c r="A2746" s="19">
        <v>14136.0</v>
      </c>
      <c r="B2746" s="19" t="s">
        <v>2774</v>
      </c>
      <c r="C2746" s="20">
        <v>10575.0</v>
      </c>
      <c r="D2746" s="19" t="str">
        <f t="shared" si="1"/>
        <v> </v>
      </c>
      <c r="E2746" s="19" t="str">
        <f t="shared" si="2"/>
        <v> </v>
      </c>
      <c r="F2746" s="21"/>
    </row>
    <row r="2747">
      <c r="A2747" s="19">
        <v>14137.0</v>
      </c>
      <c r="B2747" s="19" t="s">
        <v>2775</v>
      </c>
      <c r="C2747" s="20">
        <v>19849.0</v>
      </c>
      <c r="D2747" s="19" t="str">
        <f t="shared" si="1"/>
        <v> </v>
      </c>
      <c r="E2747" s="19" t="str">
        <f t="shared" si="2"/>
        <v> </v>
      </c>
      <c r="F2747" s="21"/>
    </row>
    <row r="2748">
      <c r="A2748" s="19">
        <v>14138.0</v>
      </c>
      <c r="B2748" s="19" t="s">
        <v>2776</v>
      </c>
      <c r="C2748" s="20">
        <v>30220.0</v>
      </c>
      <c r="D2748" s="19" t="str">
        <f t="shared" si="1"/>
        <v> </v>
      </c>
      <c r="E2748" s="19" t="str">
        <f t="shared" si="2"/>
        <v> </v>
      </c>
      <c r="F2748" s="21"/>
    </row>
    <row r="2749">
      <c r="A2749" s="19">
        <v>14139.0</v>
      </c>
      <c r="B2749" s="19" t="s">
        <v>2777</v>
      </c>
      <c r="C2749" s="20">
        <v>17430.0</v>
      </c>
      <c r="D2749" s="19" t="str">
        <f t="shared" si="1"/>
        <v> </v>
      </c>
      <c r="E2749" s="19" t="str">
        <f t="shared" si="2"/>
        <v> </v>
      </c>
      <c r="F2749" s="21"/>
    </row>
    <row r="2750">
      <c r="A2750" s="19">
        <v>14140.0</v>
      </c>
      <c r="B2750" s="19" t="s">
        <v>2778</v>
      </c>
      <c r="C2750" s="20">
        <v>19016.0</v>
      </c>
      <c r="D2750" s="19" t="str">
        <f t="shared" si="1"/>
        <v> </v>
      </c>
      <c r="E2750" s="19" t="str">
        <f t="shared" si="2"/>
        <v> </v>
      </c>
      <c r="F2750" s="21"/>
    </row>
    <row r="2751">
      <c r="A2751" s="19">
        <v>14141.0</v>
      </c>
      <c r="B2751" s="19" t="s">
        <v>2779</v>
      </c>
      <c r="C2751" s="20">
        <v>24288.0</v>
      </c>
      <c r="D2751" s="19" t="str">
        <f t="shared" si="1"/>
        <v> </v>
      </c>
      <c r="E2751" s="19" t="str">
        <f t="shared" si="2"/>
        <v> </v>
      </c>
      <c r="F2751" s="21"/>
    </row>
    <row r="2752">
      <c r="A2752" s="19">
        <v>14142.0</v>
      </c>
      <c r="B2752" s="19" t="s">
        <v>2780</v>
      </c>
      <c r="C2752" s="20">
        <v>10205.0</v>
      </c>
      <c r="D2752" s="19" t="str">
        <f t="shared" si="1"/>
        <v> </v>
      </c>
      <c r="E2752" s="19" t="str">
        <f t="shared" si="2"/>
        <v> </v>
      </c>
      <c r="F2752" s="21"/>
    </row>
    <row r="2753">
      <c r="A2753" s="19">
        <v>14143.0</v>
      </c>
      <c r="B2753" s="19" t="s">
        <v>2781</v>
      </c>
      <c r="C2753" s="20">
        <v>27676.0</v>
      </c>
      <c r="D2753" s="19" t="str">
        <f t="shared" si="1"/>
        <v> </v>
      </c>
      <c r="E2753" s="19" t="str">
        <f t="shared" si="2"/>
        <v> </v>
      </c>
      <c r="F2753" s="21"/>
    </row>
    <row r="2754">
      <c r="A2754" s="19">
        <v>14144.0</v>
      </c>
      <c r="B2754" s="19" t="s">
        <v>2782</v>
      </c>
      <c r="C2754" s="20">
        <v>15387.0</v>
      </c>
      <c r="D2754" s="19" t="str">
        <f t="shared" si="1"/>
        <v> </v>
      </c>
      <c r="E2754" s="19" t="str">
        <f t="shared" si="2"/>
        <v> </v>
      </c>
      <c r="F2754" s="21"/>
    </row>
    <row r="2755">
      <c r="A2755" s="19">
        <v>14148.0</v>
      </c>
      <c r="B2755" s="19" t="s">
        <v>2783</v>
      </c>
      <c r="C2755" s="20">
        <v>25500.0</v>
      </c>
      <c r="D2755" s="19" t="str">
        <f t="shared" si="1"/>
        <v> </v>
      </c>
      <c r="E2755" s="19" t="str">
        <f t="shared" si="2"/>
        <v> </v>
      </c>
      <c r="F2755" s="21"/>
    </row>
    <row r="2756">
      <c r="A2756" s="19">
        <v>14151.0</v>
      </c>
      <c r="B2756" s="19" t="s">
        <v>2784</v>
      </c>
      <c r="C2756" s="20">
        <v>17139.0</v>
      </c>
      <c r="D2756" s="19" t="str">
        <f t="shared" si="1"/>
        <v> </v>
      </c>
      <c r="E2756" s="19" t="str">
        <f t="shared" si="2"/>
        <v> </v>
      </c>
      <c r="F2756" s="21"/>
    </row>
    <row r="2757">
      <c r="A2757" s="19">
        <v>14152.0</v>
      </c>
      <c r="B2757" s="19" t="s">
        <v>2785</v>
      </c>
      <c r="C2757" s="20">
        <v>25368.0</v>
      </c>
      <c r="D2757" s="19" t="str">
        <f t="shared" si="1"/>
        <v> </v>
      </c>
      <c r="E2757" s="19" t="str">
        <f t="shared" si="2"/>
        <v> </v>
      </c>
      <c r="F2757" s="21"/>
    </row>
    <row r="2758">
      <c r="A2758" s="19">
        <v>14155.0</v>
      </c>
      <c r="B2758" s="19" t="s">
        <v>2786</v>
      </c>
      <c r="C2758" s="20">
        <v>20002.0</v>
      </c>
      <c r="D2758" s="19" t="str">
        <f t="shared" si="1"/>
        <v> </v>
      </c>
      <c r="E2758" s="19" t="str">
        <f t="shared" si="2"/>
        <v> </v>
      </c>
      <c r="F2758" s="21"/>
    </row>
    <row r="2759">
      <c r="A2759" s="19">
        <v>14156.0</v>
      </c>
      <c r="B2759" s="19" t="s">
        <v>2787</v>
      </c>
      <c r="C2759" s="20">
        <v>18022.0</v>
      </c>
      <c r="D2759" s="19" t="str">
        <f t="shared" si="1"/>
        <v> </v>
      </c>
      <c r="E2759" s="19" t="str">
        <f t="shared" si="2"/>
        <v> </v>
      </c>
      <c r="F2759" s="21"/>
    </row>
    <row r="2760">
      <c r="A2760" s="19">
        <v>14158.0</v>
      </c>
      <c r="B2760" s="19" t="s">
        <v>2788</v>
      </c>
      <c r="C2760" s="20">
        <v>14321.0</v>
      </c>
      <c r="D2760" s="19" t="str">
        <f t="shared" si="1"/>
        <v> </v>
      </c>
      <c r="E2760" s="19" t="str">
        <f t="shared" si="2"/>
        <v> </v>
      </c>
      <c r="F2760" s="21"/>
    </row>
    <row r="2761">
      <c r="A2761" s="19">
        <v>14159.0</v>
      </c>
      <c r="B2761" s="19" t="s">
        <v>2789</v>
      </c>
      <c r="C2761" s="20">
        <v>31274.0</v>
      </c>
      <c r="D2761" s="19" t="str">
        <f t="shared" si="1"/>
        <v> </v>
      </c>
      <c r="E2761" s="19" t="str">
        <f t="shared" si="2"/>
        <v> </v>
      </c>
      <c r="F2761" s="21"/>
    </row>
    <row r="2762">
      <c r="A2762" s="19">
        <v>14160.0</v>
      </c>
      <c r="B2762" s="19" t="s">
        <v>2790</v>
      </c>
      <c r="C2762" s="20">
        <v>29818.0</v>
      </c>
      <c r="D2762" s="19" t="str">
        <f t="shared" si="1"/>
        <v> </v>
      </c>
      <c r="E2762" s="19" t="str">
        <f t="shared" si="2"/>
        <v> </v>
      </c>
      <c r="F2762" s="21"/>
    </row>
    <row r="2763">
      <c r="A2763" s="19">
        <v>14161.0</v>
      </c>
      <c r="B2763" s="19" t="s">
        <v>2791</v>
      </c>
      <c r="C2763" s="20">
        <v>18739.0</v>
      </c>
      <c r="D2763" s="19" t="str">
        <f t="shared" si="1"/>
        <v> </v>
      </c>
      <c r="E2763" s="19" t="str">
        <f t="shared" si="2"/>
        <v> </v>
      </c>
      <c r="F2763" s="21"/>
    </row>
    <row r="2764">
      <c r="A2764" s="19">
        <v>14162.0</v>
      </c>
      <c r="B2764" s="19" t="s">
        <v>2792</v>
      </c>
      <c r="C2764" s="20">
        <v>35966.0</v>
      </c>
      <c r="D2764" s="19" t="str">
        <f t="shared" si="1"/>
        <v> </v>
      </c>
      <c r="E2764" s="19" t="str">
        <f t="shared" si="2"/>
        <v> </v>
      </c>
      <c r="F2764" s="21"/>
    </row>
    <row r="2765">
      <c r="A2765" s="19">
        <v>14167.0</v>
      </c>
      <c r="B2765" s="19" t="s">
        <v>2793</v>
      </c>
      <c r="C2765" s="20">
        <v>30502.0</v>
      </c>
      <c r="D2765" s="19" t="str">
        <f t="shared" si="1"/>
        <v> </v>
      </c>
      <c r="E2765" s="19" t="str">
        <f t="shared" si="2"/>
        <v> </v>
      </c>
      <c r="F2765" s="21"/>
    </row>
    <row r="2766">
      <c r="A2766" s="19">
        <v>14169.0</v>
      </c>
      <c r="B2766" s="19" t="s">
        <v>2794</v>
      </c>
      <c r="C2766" s="20">
        <v>21779.0</v>
      </c>
      <c r="D2766" s="19" t="str">
        <f t="shared" si="1"/>
        <v> </v>
      </c>
      <c r="E2766" s="19" t="str">
        <f t="shared" si="2"/>
        <v> </v>
      </c>
      <c r="F2766" s="21"/>
    </row>
    <row r="2767">
      <c r="A2767" s="19">
        <v>14170.0</v>
      </c>
      <c r="B2767" s="19" t="s">
        <v>2795</v>
      </c>
      <c r="C2767" s="20">
        <v>21080.0</v>
      </c>
      <c r="D2767" s="19" t="str">
        <f t="shared" si="1"/>
        <v> </v>
      </c>
      <c r="E2767" s="19" t="str">
        <f t="shared" si="2"/>
        <v> </v>
      </c>
      <c r="F2767" s="21"/>
    </row>
    <row r="2768">
      <c r="A2768" s="19">
        <v>14172.0</v>
      </c>
      <c r="B2768" s="19" t="s">
        <v>2796</v>
      </c>
      <c r="C2768" s="20">
        <v>17875.0</v>
      </c>
      <c r="D2768" s="19" t="str">
        <f t="shared" si="1"/>
        <v>Repeat</v>
      </c>
      <c r="E2768" s="19" t="str">
        <f t="shared" si="2"/>
        <v> </v>
      </c>
      <c r="F2768" s="21"/>
    </row>
    <row r="2769">
      <c r="A2769" s="19">
        <v>14173.0</v>
      </c>
      <c r="B2769" s="19" t="s">
        <v>2797</v>
      </c>
      <c r="C2769" s="20">
        <v>24813.0</v>
      </c>
      <c r="D2769" s="19" t="str">
        <f t="shared" si="1"/>
        <v> </v>
      </c>
      <c r="E2769" s="19" t="str">
        <f t="shared" si="2"/>
        <v> </v>
      </c>
      <c r="F2769" s="21"/>
    </row>
    <row r="2770">
      <c r="A2770" s="19">
        <v>14174.0</v>
      </c>
      <c r="B2770" s="19" t="s">
        <v>2798</v>
      </c>
      <c r="C2770" s="20">
        <v>20551.0</v>
      </c>
      <c r="D2770" s="19" t="str">
        <f t="shared" si="1"/>
        <v> </v>
      </c>
      <c r="E2770" s="19" t="str">
        <f t="shared" si="2"/>
        <v> </v>
      </c>
      <c r="F2770" s="21"/>
    </row>
    <row r="2771">
      <c r="A2771" s="19">
        <v>14176.0</v>
      </c>
      <c r="B2771" s="19" t="s">
        <v>2799</v>
      </c>
      <c r="C2771" s="20">
        <v>25015.0</v>
      </c>
      <c r="D2771" s="19" t="str">
        <f t="shared" si="1"/>
        <v> </v>
      </c>
      <c r="E2771" s="19" t="str">
        <f t="shared" si="2"/>
        <v> </v>
      </c>
      <c r="F2771" s="21"/>
    </row>
    <row r="2772">
      <c r="A2772" s="19">
        <v>14177.0</v>
      </c>
      <c r="B2772" s="19" t="s">
        <v>2800</v>
      </c>
      <c r="C2772" s="20">
        <v>17826.0</v>
      </c>
      <c r="D2772" s="19" t="str">
        <f t="shared" si="1"/>
        <v> </v>
      </c>
      <c r="E2772" s="19" t="str">
        <f t="shared" si="2"/>
        <v> </v>
      </c>
      <c r="F2772" s="21"/>
    </row>
    <row r="2773">
      <c r="A2773" s="19">
        <v>14178.0</v>
      </c>
      <c r="B2773" s="19" t="s">
        <v>2801</v>
      </c>
      <c r="C2773" s="20">
        <v>20540.0</v>
      </c>
      <c r="D2773" s="19" t="str">
        <f t="shared" si="1"/>
        <v> </v>
      </c>
      <c r="E2773" s="19" t="str">
        <f t="shared" si="2"/>
        <v> </v>
      </c>
      <c r="F2773" s="21"/>
    </row>
    <row r="2774">
      <c r="A2774" s="19">
        <v>14179.0</v>
      </c>
      <c r="B2774" s="19" t="s">
        <v>2802</v>
      </c>
      <c r="C2774" s="20">
        <v>19507.0</v>
      </c>
      <c r="D2774" s="19" t="str">
        <f t="shared" si="1"/>
        <v> </v>
      </c>
      <c r="E2774" s="19" t="str">
        <f t="shared" si="2"/>
        <v> </v>
      </c>
      <c r="F2774" s="21"/>
    </row>
    <row r="2775">
      <c r="A2775" s="19">
        <v>14180.0</v>
      </c>
      <c r="B2775" s="19" t="s">
        <v>2803</v>
      </c>
      <c r="C2775" s="20">
        <v>33139.0</v>
      </c>
      <c r="D2775" s="19" t="str">
        <f t="shared" si="1"/>
        <v> </v>
      </c>
      <c r="E2775" s="19" t="str">
        <f t="shared" si="2"/>
        <v> </v>
      </c>
      <c r="F2775" s="21"/>
    </row>
    <row r="2776">
      <c r="A2776" s="19">
        <v>14181.0</v>
      </c>
      <c r="B2776" s="19" t="s">
        <v>2804</v>
      </c>
      <c r="C2776" s="20">
        <v>14883.0</v>
      </c>
      <c r="D2776" s="19" t="str">
        <f t="shared" si="1"/>
        <v> </v>
      </c>
      <c r="E2776" s="19" t="str">
        <f t="shared" si="2"/>
        <v> </v>
      </c>
      <c r="F2776" s="21"/>
    </row>
    <row r="2777">
      <c r="A2777" s="19">
        <v>14183.0</v>
      </c>
      <c r="B2777" s="19" t="s">
        <v>2805</v>
      </c>
      <c r="C2777" s="20">
        <v>17152.0</v>
      </c>
      <c r="D2777" s="19" t="str">
        <f t="shared" si="1"/>
        <v> </v>
      </c>
      <c r="E2777" s="19" t="str">
        <f t="shared" si="2"/>
        <v> </v>
      </c>
      <c r="F2777" s="21"/>
    </row>
    <row r="2778">
      <c r="A2778" s="19">
        <v>14184.0</v>
      </c>
      <c r="B2778" s="19" t="s">
        <v>2806</v>
      </c>
      <c r="C2778" s="20">
        <v>21084.0</v>
      </c>
      <c r="D2778" s="19" t="str">
        <f t="shared" si="1"/>
        <v> </v>
      </c>
      <c r="E2778" s="19" t="str">
        <f t="shared" si="2"/>
        <v> </v>
      </c>
      <c r="F2778" s="21"/>
    </row>
    <row r="2779">
      <c r="A2779" s="19">
        <v>14185.0</v>
      </c>
      <c r="B2779" s="19" t="s">
        <v>2807</v>
      </c>
      <c r="C2779" s="20">
        <v>9736.0</v>
      </c>
      <c r="D2779" s="19" t="str">
        <f t="shared" si="1"/>
        <v> </v>
      </c>
      <c r="E2779" s="19" t="str">
        <f t="shared" si="2"/>
        <v> </v>
      </c>
      <c r="F2779" s="21"/>
    </row>
    <row r="2780">
      <c r="A2780" s="19">
        <v>14186.0</v>
      </c>
      <c r="B2780" s="19" t="s">
        <v>2808</v>
      </c>
      <c r="C2780" s="20">
        <v>22075.0</v>
      </c>
      <c r="D2780" s="19" t="str">
        <f t="shared" si="1"/>
        <v> </v>
      </c>
      <c r="E2780" s="19" t="str">
        <f t="shared" si="2"/>
        <v> </v>
      </c>
      <c r="F2780" s="21"/>
    </row>
    <row r="2781">
      <c r="A2781" s="19">
        <v>14187.0</v>
      </c>
      <c r="B2781" s="19" t="s">
        <v>2809</v>
      </c>
      <c r="C2781" s="20">
        <v>29547.0</v>
      </c>
      <c r="D2781" s="19" t="str">
        <f t="shared" si="1"/>
        <v> </v>
      </c>
      <c r="E2781" s="19" t="str">
        <f t="shared" si="2"/>
        <v> </v>
      </c>
      <c r="F2781" s="21"/>
    </row>
    <row r="2782">
      <c r="A2782" s="19">
        <v>14188.0</v>
      </c>
      <c r="B2782" s="19" t="s">
        <v>2810</v>
      </c>
      <c r="C2782" s="20">
        <v>23480.0</v>
      </c>
      <c r="D2782" s="19" t="str">
        <f t="shared" si="1"/>
        <v> </v>
      </c>
      <c r="E2782" s="19" t="str">
        <f t="shared" si="2"/>
        <v> </v>
      </c>
      <c r="F2782" s="21"/>
    </row>
    <row r="2783">
      <c r="A2783" s="19">
        <v>14189.0</v>
      </c>
      <c r="B2783" s="19" t="s">
        <v>2811</v>
      </c>
      <c r="C2783" s="20">
        <v>22743.0</v>
      </c>
      <c r="D2783" s="19" t="str">
        <f t="shared" si="1"/>
        <v> </v>
      </c>
      <c r="E2783" s="19" t="str">
        <f t="shared" si="2"/>
        <v> </v>
      </c>
      <c r="F2783" s="21"/>
    </row>
    <row r="2784">
      <c r="A2784" s="19">
        <v>14190.0</v>
      </c>
      <c r="B2784" s="19" t="s">
        <v>2812</v>
      </c>
      <c r="C2784" s="20">
        <v>19659.0</v>
      </c>
      <c r="D2784" s="19" t="str">
        <f t="shared" si="1"/>
        <v> </v>
      </c>
      <c r="E2784" s="19" t="str">
        <f t="shared" si="2"/>
        <v> </v>
      </c>
      <c r="F2784" s="21"/>
    </row>
    <row r="2785">
      <c r="A2785" s="19">
        <v>14191.0</v>
      </c>
      <c r="B2785" s="19" t="s">
        <v>2813</v>
      </c>
      <c r="C2785" s="20">
        <v>28526.0</v>
      </c>
      <c r="D2785" s="19" t="str">
        <f t="shared" si="1"/>
        <v> </v>
      </c>
      <c r="E2785" s="19" t="str">
        <f t="shared" si="2"/>
        <v> </v>
      </c>
      <c r="F2785" s="21"/>
    </row>
    <row r="2786">
      <c r="A2786" s="19">
        <v>14193.0</v>
      </c>
      <c r="B2786" s="19" t="s">
        <v>2814</v>
      </c>
      <c r="C2786" s="20">
        <v>24527.0</v>
      </c>
      <c r="D2786" s="19" t="str">
        <f t="shared" si="1"/>
        <v> </v>
      </c>
      <c r="E2786" s="19" t="str">
        <f t="shared" si="2"/>
        <v> </v>
      </c>
      <c r="F2786" s="21"/>
    </row>
    <row r="2787">
      <c r="A2787" s="19">
        <v>14194.0</v>
      </c>
      <c r="B2787" s="19" t="s">
        <v>2815</v>
      </c>
      <c r="C2787" s="20">
        <v>25721.0</v>
      </c>
      <c r="D2787" s="19" t="str">
        <f t="shared" si="1"/>
        <v> </v>
      </c>
      <c r="E2787" s="19" t="str">
        <f t="shared" si="2"/>
        <v> </v>
      </c>
      <c r="F2787" s="21"/>
    </row>
    <row r="2788">
      <c r="A2788" s="19">
        <v>14195.0</v>
      </c>
      <c r="B2788" s="19" t="s">
        <v>2816</v>
      </c>
      <c r="C2788" s="20">
        <v>12757.0</v>
      </c>
      <c r="D2788" s="19" t="str">
        <f t="shared" si="1"/>
        <v> </v>
      </c>
      <c r="E2788" s="19" t="str">
        <f t="shared" si="2"/>
        <v> </v>
      </c>
      <c r="F2788" s="21"/>
    </row>
    <row r="2789">
      <c r="A2789" s="19">
        <v>14196.0</v>
      </c>
      <c r="B2789" s="19" t="s">
        <v>2817</v>
      </c>
      <c r="C2789" s="20">
        <v>12003.0</v>
      </c>
      <c r="D2789" s="19" t="str">
        <f t="shared" si="1"/>
        <v> </v>
      </c>
      <c r="E2789" s="19" t="str">
        <f t="shared" si="2"/>
        <v> </v>
      </c>
      <c r="F2789" s="21"/>
    </row>
    <row r="2790">
      <c r="A2790" s="19">
        <v>14198.0</v>
      </c>
      <c r="B2790" s="19" t="s">
        <v>2818</v>
      </c>
      <c r="C2790" s="20">
        <v>25589.0</v>
      </c>
      <c r="D2790" s="19" t="str">
        <f t="shared" si="1"/>
        <v> </v>
      </c>
      <c r="E2790" s="19" t="str">
        <f t="shared" si="2"/>
        <v> </v>
      </c>
      <c r="F2790" s="21"/>
    </row>
    <row r="2791">
      <c r="A2791" s="19">
        <v>14199.0</v>
      </c>
      <c r="B2791" s="19" t="s">
        <v>2819</v>
      </c>
      <c r="C2791" s="20">
        <v>18703.0</v>
      </c>
      <c r="D2791" s="19" t="str">
        <f t="shared" si="1"/>
        <v> </v>
      </c>
      <c r="E2791" s="19" t="str">
        <f t="shared" si="2"/>
        <v> </v>
      </c>
      <c r="F2791" s="21"/>
    </row>
    <row r="2792">
      <c r="A2792" s="19">
        <v>14200.0</v>
      </c>
      <c r="B2792" s="19" t="s">
        <v>2820</v>
      </c>
      <c r="C2792" s="20">
        <v>25722.0</v>
      </c>
      <c r="D2792" s="19" t="str">
        <f t="shared" si="1"/>
        <v> </v>
      </c>
      <c r="E2792" s="19" t="str">
        <f t="shared" si="2"/>
        <v> </v>
      </c>
      <c r="F2792" s="21"/>
    </row>
    <row r="2793">
      <c r="A2793" s="19">
        <v>14202.0</v>
      </c>
      <c r="B2793" s="19" t="s">
        <v>2821</v>
      </c>
      <c r="C2793" s="20">
        <v>16650.0</v>
      </c>
      <c r="D2793" s="19" t="str">
        <f t="shared" si="1"/>
        <v> </v>
      </c>
      <c r="E2793" s="19" t="str">
        <f t="shared" si="2"/>
        <v> </v>
      </c>
      <c r="F2793" s="21"/>
    </row>
    <row r="2794">
      <c r="A2794" s="19">
        <v>14206.0</v>
      </c>
      <c r="B2794" s="19" t="s">
        <v>26</v>
      </c>
      <c r="C2794" s="20">
        <v>15810.0</v>
      </c>
      <c r="D2794" s="19" t="str">
        <f t="shared" si="1"/>
        <v>Repeat</v>
      </c>
      <c r="E2794" s="19" t="str">
        <f t="shared" si="2"/>
        <v> </v>
      </c>
      <c r="F2794" s="21"/>
    </row>
    <row r="2795">
      <c r="A2795" s="19">
        <v>14207.0</v>
      </c>
      <c r="B2795" s="19" t="s">
        <v>2822</v>
      </c>
      <c r="C2795" s="20">
        <v>29917.0</v>
      </c>
      <c r="D2795" s="19" t="str">
        <f t="shared" si="1"/>
        <v> </v>
      </c>
      <c r="E2795" s="19" t="str">
        <f t="shared" si="2"/>
        <v> </v>
      </c>
      <c r="F2795" s="21"/>
    </row>
    <row r="2796">
      <c r="A2796" s="19">
        <v>14208.0</v>
      </c>
      <c r="B2796" s="19" t="s">
        <v>2823</v>
      </c>
      <c r="C2796" s="20">
        <v>27050.0</v>
      </c>
      <c r="D2796" s="19" t="str">
        <f t="shared" si="1"/>
        <v> </v>
      </c>
      <c r="E2796" s="19" t="str">
        <f t="shared" si="2"/>
        <v> </v>
      </c>
      <c r="F2796" s="21"/>
    </row>
    <row r="2797">
      <c r="A2797" s="19">
        <v>14209.0</v>
      </c>
      <c r="B2797" s="19" t="s">
        <v>2824</v>
      </c>
      <c r="C2797" s="20">
        <v>20012.0</v>
      </c>
      <c r="D2797" s="19" t="str">
        <f t="shared" si="1"/>
        <v> </v>
      </c>
      <c r="E2797" s="19" t="str">
        <f t="shared" si="2"/>
        <v> </v>
      </c>
      <c r="F2797" s="21"/>
    </row>
    <row r="2798">
      <c r="A2798" s="19">
        <v>14210.0</v>
      </c>
      <c r="B2798" s="19" t="s">
        <v>2825</v>
      </c>
      <c r="C2798" s="20">
        <v>19397.0</v>
      </c>
      <c r="D2798" s="19" t="str">
        <f t="shared" si="1"/>
        <v> </v>
      </c>
      <c r="E2798" s="19" t="str">
        <f t="shared" si="2"/>
        <v> </v>
      </c>
      <c r="F2798" s="21"/>
    </row>
    <row r="2799">
      <c r="A2799" s="19">
        <v>14211.0</v>
      </c>
      <c r="B2799" s="19" t="s">
        <v>2826</v>
      </c>
      <c r="C2799" s="20">
        <v>32369.0</v>
      </c>
      <c r="D2799" s="19" t="str">
        <f t="shared" si="1"/>
        <v> </v>
      </c>
      <c r="E2799" s="19" t="str">
        <f t="shared" si="2"/>
        <v> </v>
      </c>
      <c r="F2799" s="21"/>
    </row>
    <row r="2800">
      <c r="A2800" s="19">
        <v>14212.0</v>
      </c>
      <c r="B2800" s="19" t="s">
        <v>2827</v>
      </c>
      <c r="C2800" s="20">
        <v>21952.0</v>
      </c>
      <c r="D2800" s="19" t="str">
        <f t="shared" si="1"/>
        <v> </v>
      </c>
      <c r="E2800" s="19" t="str">
        <f t="shared" si="2"/>
        <v> </v>
      </c>
      <c r="F2800" s="21"/>
    </row>
    <row r="2801">
      <c r="A2801" s="19">
        <v>14214.0</v>
      </c>
      <c r="B2801" s="19" t="s">
        <v>2828</v>
      </c>
      <c r="C2801" s="20">
        <v>18489.0</v>
      </c>
      <c r="D2801" s="19" t="str">
        <f t="shared" si="1"/>
        <v> </v>
      </c>
      <c r="E2801" s="19" t="str">
        <f t="shared" si="2"/>
        <v> </v>
      </c>
      <c r="F2801" s="21"/>
    </row>
    <row r="2802">
      <c r="A2802" s="19">
        <v>14215.0</v>
      </c>
      <c r="B2802" s="19" t="s">
        <v>2829</v>
      </c>
      <c r="C2802" s="20">
        <v>11993.0</v>
      </c>
      <c r="D2802" s="19" t="str">
        <f t="shared" si="1"/>
        <v> </v>
      </c>
      <c r="E2802" s="19" t="str">
        <f t="shared" si="2"/>
        <v> </v>
      </c>
      <c r="F2802" s="21"/>
    </row>
    <row r="2803">
      <c r="A2803" s="19">
        <v>14216.0</v>
      </c>
      <c r="B2803" s="19" t="s">
        <v>2830</v>
      </c>
      <c r="C2803" s="20">
        <v>22769.0</v>
      </c>
      <c r="D2803" s="19" t="str">
        <f t="shared" si="1"/>
        <v> </v>
      </c>
      <c r="E2803" s="19" t="str">
        <f t="shared" si="2"/>
        <v> </v>
      </c>
      <c r="F2803" s="21"/>
    </row>
    <row r="2804">
      <c r="A2804" s="19">
        <v>14217.0</v>
      </c>
      <c r="B2804" s="19" t="s">
        <v>2831</v>
      </c>
      <c r="C2804" s="20">
        <v>18042.0</v>
      </c>
      <c r="D2804" s="19" t="str">
        <f t="shared" si="1"/>
        <v> </v>
      </c>
      <c r="E2804" s="19" t="str">
        <f t="shared" si="2"/>
        <v> </v>
      </c>
      <c r="F2804" s="21"/>
    </row>
    <row r="2805">
      <c r="A2805" s="19">
        <v>14219.0</v>
      </c>
      <c r="B2805" s="19" t="s">
        <v>2832</v>
      </c>
      <c r="C2805" s="20">
        <v>24977.0</v>
      </c>
      <c r="D2805" s="19" t="str">
        <f t="shared" si="1"/>
        <v> </v>
      </c>
      <c r="E2805" s="19" t="str">
        <f t="shared" si="2"/>
        <v> </v>
      </c>
      <c r="F2805" s="21"/>
    </row>
    <row r="2806">
      <c r="A2806" s="19">
        <v>14220.0</v>
      </c>
      <c r="B2806" s="19" t="s">
        <v>2833</v>
      </c>
      <c r="C2806" s="20">
        <v>19644.0</v>
      </c>
      <c r="D2806" s="19" t="str">
        <f t="shared" si="1"/>
        <v> </v>
      </c>
      <c r="E2806" s="19" t="str">
        <f t="shared" si="2"/>
        <v> </v>
      </c>
      <c r="F2806" s="21"/>
    </row>
    <row r="2807">
      <c r="A2807" s="19">
        <v>14221.0</v>
      </c>
      <c r="B2807" s="19" t="s">
        <v>2834</v>
      </c>
      <c r="C2807" s="20">
        <v>21290.0</v>
      </c>
      <c r="D2807" s="19" t="str">
        <f t="shared" si="1"/>
        <v> </v>
      </c>
      <c r="E2807" s="19" t="str">
        <f t="shared" si="2"/>
        <v> </v>
      </c>
      <c r="F2807" s="21"/>
    </row>
    <row r="2808">
      <c r="A2808" s="19">
        <v>14222.0</v>
      </c>
      <c r="B2808" s="19" t="s">
        <v>1252</v>
      </c>
      <c r="C2808" s="20">
        <v>28004.0</v>
      </c>
      <c r="D2808" s="19" t="str">
        <f t="shared" si="1"/>
        <v>Repeat</v>
      </c>
      <c r="E2808" s="19" t="str">
        <f t="shared" si="2"/>
        <v> </v>
      </c>
      <c r="F2808" s="21"/>
    </row>
    <row r="2809">
      <c r="A2809" s="19">
        <v>14223.0</v>
      </c>
      <c r="B2809" s="19" t="s">
        <v>2835</v>
      </c>
      <c r="C2809" s="20">
        <v>20577.0</v>
      </c>
      <c r="D2809" s="19" t="str">
        <f t="shared" si="1"/>
        <v> </v>
      </c>
      <c r="E2809" s="19" t="str">
        <f t="shared" si="2"/>
        <v> </v>
      </c>
      <c r="F2809" s="21"/>
    </row>
    <row r="2810">
      <c r="A2810" s="19">
        <v>14225.0</v>
      </c>
      <c r="B2810" s="19" t="s">
        <v>2836</v>
      </c>
      <c r="C2810" s="20">
        <v>17071.0</v>
      </c>
      <c r="D2810" s="19" t="str">
        <f t="shared" si="1"/>
        <v> </v>
      </c>
      <c r="E2810" s="19" t="str">
        <f t="shared" si="2"/>
        <v> </v>
      </c>
      <c r="F2810" s="21"/>
    </row>
    <row r="2811">
      <c r="A2811" s="19">
        <v>14226.0</v>
      </c>
      <c r="B2811" s="19" t="s">
        <v>2837</v>
      </c>
      <c r="C2811" s="20">
        <v>16704.0</v>
      </c>
      <c r="D2811" s="19" t="str">
        <f t="shared" si="1"/>
        <v> </v>
      </c>
      <c r="E2811" s="19" t="str">
        <f t="shared" si="2"/>
        <v> </v>
      </c>
      <c r="F2811" s="21"/>
    </row>
    <row r="2812">
      <c r="A2812" s="19">
        <v>14228.0</v>
      </c>
      <c r="B2812" s="19" t="s">
        <v>2838</v>
      </c>
      <c r="C2812" s="20">
        <v>22037.0</v>
      </c>
      <c r="D2812" s="19" t="str">
        <f t="shared" si="1"/>
        <v> </v>
      </c>
      <c r="E2812" s="19" t="str">
        <f t="shared" si="2"/>
        <v> </v>
      </c>
      <c r="F2812" s="21"/>
    </row>
    <row r="2813">
      <c r="A2813" s="19">
        <v>14229.0</v>
      </c>
      <c r="B2813" s="19" t="s">
        <v>2839</v>
      </c>
      <c r="C2813" s="20">
        <v>24199.0</v>
      </c>
      <c r="D2813" s="19" t="str">
        <f t="shared" si="1"/>
        <v> </v>
      </c>
      <c r="E2813" s="19" t="str">
        <f t="shared" si="2"/>
        <v> </v>
      </c>
      <c r="F2813" s="21"/>
    </row>
    <row r="2814">
      <c r="A2814" s="19">
        <v>14230.0</v>
      </c>
      <c r="B2814" s="19" t="s">
        <v>2840</v>
      </c>
      <c r="C2814" s="20">
        <v>33648.0</v>
      </c>
      <c r="D2814" s="19" t="str">
        <f t="shared" si="1"/>
        <v> </v>
      </c>
      <c r="E2814" s="19" t="str">
        <f t="shared" si="2"/>
        <v> </v>
      </c>
      <c r="F2814" s="21"/>
    </row>
    <row r="2815">
      <c r="A2815" s="19">
        <v>14232.0</v>
      </c>
      <c r="B2815" s="19" t="s">
        <v>2841</v>
      </c>
      <c r="C2815" s="20">
        <v>22432.0</v>
      </c>
      <c r="D2815" s="19" t="str">
        <f t="shared" si="1"/>
        <v> </v>
      </c>
      <c r="E2815" s="19" t="str">
        <f t="shared" si="2"/>
        <v> </v>
      </c>
      <c r="F2815" s="21"/>
    </row>
    <row r="2816">
      <c r="A2816" s="19">
        <v>14233.0</v>
      </c>
      <c r="B2816" s="19" t="s">
        <v>2842</v>
      </c>
      <c r="C2816" s="20">
        <v>27132.0</v>
      </c>
      <c r="D2816" s="19" t="str">
        <f t="shared" si="1"/>
        <v> </v>
      </c>
      <c r="E2816" s="19" t="str">
        <f t="shared" si="2"/>
        <v> </v>
      </c>
      <c r="F2816" s="21"/>
    </row>
    <row r="2817">
      <c r="A2817" s="19">
        <v>14234.0</v>
      </c>
      <c r="B2817" s="19" t="s">
        <v>2843</v>
      </c>
      <c r="C2817" s="20">
        <v>16918.0</v>
      </c>
      <c r="D2817" s="19" t="str">
        <f t="shared" si="1"/>
        <v> </v>
      </c>
      <c r="E2817" s="19" t="str">
        <f t="shared" si="2"/>
        <v> </v>
      </c>
      <c r="F2817" s="21"/>
    </row>
    <row r="2818">
      <c r="A2818" s="19">
        <v>14236.0</v>
      </c>
      <c r="B2818" s="19" t="s">
        <v>2844</v>
      </c>
      <c r="C2818" s="20">
        <v>32103.0</v>
      </c>
      <c r="D2818" s="19" t="str">
        <f t="shared" si="1"/>
        <v>Repeat</v>
      </c>
      <c r="E2818" s="19" t="str">
        <f t="shared" si="2"/>
        <v> </v>
      </c>
      <c r="F2818" s="21"/>
    </row>
    <row r="2819">
      <c r="A2819" s="19">
        <v>14238.0</v>
      </c>
      <c r="B2819" s="19" t="s">
        <v>2845</v>
      </c>
      <c r="C2819" s="20">
        <v>19643.0</v>
      </c>
      <c r="D2819" s="19" t="str">
        <f t="shared" si="1"/>
        <v> </v>
      </c>
      <c r="E2819" s="19" t="str">
        <f t="shared" si="2"/>
        <v> </v>
      </c>
      <c r="F2819" s="21"/>
    </row>
    <row r="2820">
      <c r="A2820" s="19">
        <v>14239.0</v>
      </c>
      <c r="B2820" s="19" t="s">
        <v>2846</v>
      </c>
      <c r="C2820" s="20">
        <v>22076.0</v>
      </c>
      <c r="D2820" s="19" t="str">
        <f t="shared" si="1"/>
        <v>Repeat</v>
      </c>
      <c r="E2820" s="19" t="str">
        <f t="shared" si="2"/>
        <v> </v>
      </c>
      <c r="F2820" s="21"/>
    </row>
    <row r="2821">
      <c r="A2821" s="19">
        <v>14240.0</v>
      </c>
      <c r="B2821" s="19" t="s">
        <v>2847</v>
      </c>
      <c r="C2821" s="20">
        <v>22012.0</v>
      </c>
      <c r="D2821" s="19" t="str">
        <f t="shared" si="1"/>
        <v> </v>
      </c>
      <c r="E2821" s="19" t="str">
        <f t="shared" si="2"/>
        <v> </v>
      </c>
      <c r="F2821" s="21"/>
    </row>
    <row r="2822">
      <c r="A2822" s="19">
        <v>14241.0</v>
      </c>
      <c r="B2822" s="19" t="s">
        <v>2848</v>
      </c>
      <c r="C2822" s="20">
        <v>29086.0</v>
      </c>
      <c r="D2822" s="19" t="str">
        <f t="shared" si="1"/>
        <v> </v>
      </c>
      <c r="E2822" s="19" t="str">
        <f t="shared" si="2"/>
        <v> </v>
      </c>
      <c r="F2822" s="21"/>
    </row>
    <row r="2823">
      <c r="A2823" s="19">
        <v>14242.0</v>
      </c>
      <c r="B2823" s="19" t="s">
        <v>2849</v>
      </c>
      <c r="C2823" s="20">
        <v>25655.0</v>
      </c>
      <c r="D2823" s="19" t="str">
        <f t="shared" si="1"/>
        <v> </v>
      </c>
      <c r="E2823" s="19" t="str">
        <f t="shared" si="2"/>
        <v> </v>
      </c>
      <c r="F2823" s="21"/>
    </row>
    <row r="2824">
      <c r="A2824" s="19">
        <v>14243.0</v>
      </c>
      <c r="B2824" s="19" t="s">
        <v>2850</v>
      </c>
      <c r="C2824" s="20">
        <v>30456.0</v>
      </c>
      <c r="D2824" s="19" t="str">
        <f t="shared" si="1"/>
        <v> </v>
      </c>
      <c r="E2824" s="19" t="str">
        <f t="shared" si="2"/>
        <v> </v>
      </c>
      <c r="F2824" s="21"/>
    </row>
    <row r="2825">
      <c r="A2825" s="19">
        <v>14244.0</v>
      </c>
      <c r="B2825" s="19" t="s">
        <v>2851</v>
      </c>
      <c r="C2825" s="20">
        <v>15317.0</v>
      </c>
      <c r="D2825" s="19" t="str">
        <f t="shared" si="1"/>
        <v> </v>
      </c>
      <c r="E2825" s="19" t="str">
        <f t="shared" si="2"/>
        <v> </v>
      </c>
      <c r="F2825" s="21"/>
    </row>
    <row r="2826">
      <c r="A2826" s="19">
        <v>14245.0</v>
      </c>
      <c r="B2826" s="19" t="s">
        <v>2852</v>
      </c>
      <c r="C2826" s="20">
        <v>29823.0</v>
      </c>
      <c r="D2826" s="19" t="str">
        <f t="shared" si="1"/>
        <v> </v>
      </c>
      <c r="E2826" s="19" t="str">
        <f t="shared" si="2"/>
        <v> </v>
      </c>
      <c r="F2826" s="21"/>
    </row>
    <row r="2827">
      <c r="A2827" s="19">
        <v>14247.0</v>
      </c>
      <c r="B2827" s="19" t="s">
        <v>2853</v>
      </c>
      <c r="C2827" s="20">
        <v>25563.0</v>
      </c>
      <c r="D2827" s="19" t="str">
        <f t="shared" si="1"/>
        <v> </v>
      </c>
      <c r="E2827" s="19" t="str">
        <f t="shared" si="2"/>
        <v> </v>
      </c>
      <c r="F2827" s="21"/>
    </row>
    <row r="2828">
      <c r="A2828" s="19">
        <v>14248.0</v>
      </c>
      <c r="B2828" s="19" t="s">
        <v>2854</v>
      </c>
      <c r="C2828" s="20">
        <v>21730.0</v>
      </c>
      <c r="D2828" s="19" t="str">
        <f t="shared" si="1"/>
        <v> </v>
      </c>
      <c r="E2828" s="19" t="str">
        <f t="shared" si="2"/>
        <v> </v>
      </c>
      <c r="F2828" s="21"/>
    </row>
    <row r="2829">
      <c r="A2829" s="19">
        <v>14249.0</v>
      </c>
      <c r="B2829" s="19" t="s">
        <v>2855</v>
      </c>
      <c r="C2829" s="20">
        <v>27991.0</v>
      </c>
      <c r="D2829" s="19" t="str">
        <f t="shared" si="1"/>
        <v> </v>
      </c>
      <c r="E2829" s="19" t="str">
        <f t="shared" si="2"/>
        <v> </v>
      </c>
      <c r="F2829" s="21"/>
    </row>
    <row r="2830">
      <c r="A2830" s="19">
        <v>14251.0</v>
      </c>
      <c r="B2830" s="19" t="s">
        <v>2856</v>
      </c>
      <c r="C2830" s="20">
        <v>16186.0</v>
      </c>
      <c r="D2830" s="19" t="str">
        <f t="shared" si="1"/>
        <v> </v>
      </c>
      <c r="E2830" s="19" t="str">
        <f t="shared" si="2"/>
        <v> </v>
      </c>
      <c r="F2830" s="21"/>
    </row>
    <row r="2831">
      <c r="A2831" s="19">
        <v>14253.0</v>
      </c>
      <c r="B2831" s="19" t="s">
        <v>2857</v>
      </c>
      <c r="C2831" s="20">
        <v>18688.0</v>
      </c>
      <c r="D2831" s="19" t="str">
        <f t="shared" si="1"/>
        <v> </v>
      </c>
      <c r="E2831" s="19" t="str">
        <f t="shared" si="2"/>
        <v> </v>
      </c>
      <c r="F2831" s="21"/>
    </row>
    <row r="2832">
      <c r="A2832" s="19">
        <v>14254.0</v>
      </c>
      <c r="B2832" s="19" t="s">
        <v>2858</v>
      </c>
      <c r="C2832" s="20">
        <v>21715.0</v>
      </c>
      <c r="D2832" s="19" t="str">
        <f t="shared" si="1"/>
        <v> </v>
      </c>
      <c r="E2832" s="19" t="str">
        <f t="shared" si="2"/>
        <v> </v>
      </c>
      <c r="F2832" s="21"/>
    </row>
    <row r="2833">
      <c r="A2833" s="19">
        <v>14255.0</v>
      </c>
      <c r="B2833" s="19" t="s">
        <v>2859</v>
      </c>
      <c r="C2833" s="20">
        <v>17986.0</v>
      </c>
      <c r="D2833" s="19" t="str">
        <f t="shared" si="1"/>
        <v> </v>
      </c>
      <c r="E2833" s="19" t="str">
        <f t="shared" si="2"/>
        <v> </v>
      </c>
      <c r="F2833" s="21"/>
    </row>
    <row r="2834">
      <c r="A2834" s="19">
        <v>14256.0</v>
      </c>
      <c r="B2834" s="19" t="s">
        <v>2860</v>
      </c>
      <c r="C2834" s="20">
        <v>9908.0</v>
      </c>
      <c r="D2834" s="19" t="str">
        <f t="shared" si="1"/>
        <v> </v>
      </c>
      <c r="E2834" s="19" t="str">
        <f t="shared" si="2"/>
        <v> </v>
      </c>
      <c r="F2834" s="21"/>
    </row>
    <row r="2835">
      <c r="A2835" s="19">
        <v>14257.0</v>
      </c>
      <c r="B2835" s="19" t="s">
        <v>2861</v>
      </c>
      <c r="C2835" s="20">
        <v>15843.0</v>
      </c>
      <c r="D2835" s="19" t="str">
        <f t="shared" si="1"/>
        <v> </v>
      </c>
      <c r="E2835" s="19" t="str">
        <f t="shared" si="2"/>
        <v> </v>
      </c>
      <c r="F2835" s="21"/>
    </row>
    <row r="2836">
      <c r="A2836" s="19">
        <v>14258.0</v>
      </c>
      <c r="B2836" s="19" t="s">
        <v>2862</v>
      </c>
      <c r="C2836" s="20">
        <v>19414.0</v>
      </c>
      <c r="D2836" s="19" t="str">
        <f t="shared" si="1"/>
        <v> </v>
      </c>
      <c r="E2836" s="19" t="str">
        <f t="shared" si="2"/>
        <v> </v>
      </c>
      <c r="F2836" s="21"/>
    </row>
    <row r="2837">
      <c r="A2837" s="19">
        <v>14260.0</v>
      </c>
      <c r="B2837" s="19" t="s">
        <v>2863</v>
      </c>
      <c r="C2837" s="20">
        <v>15703.0</v>
      </c>
      <c r="D2837" s="19" t="str">
        <f t="shared" si="1"/>
        <v> </v>
      </c>
      <c r="E2837" s="19" t="str">
        <f t="shared" si="2"/>
        <v> </v>
      </c>
      <c r="F2837" s="21"/>
    </row>
    <row r="2838">
      <c r="A2838" s="19">
        <v>14262.0</v>
      </c>
      <c r="B2838" s="19" t="s">
        <v>2864</v>
      </c>
      <c r="C2838" s="20">
        <v>31118.0</v>
      </c>
      <c r="D2838" s="19" t="str">
        <f t="shared" si="1"/>
        <v> </v>
      </c>
      <c r="E2838" s="19" t="str">
        <f t="shared" si="2"/>
        <v> </v>
      </c>
      <c r="F2838" s="21"/>
    </row>
    <row r="2839">
      <c r="A2839" s="19">
        <v>14263.0</v>
      </c>
      <c r="B2839" s="19" t="s">
        <v>2865</v>
      </c>
      <c r="C2839" s="20">
        <v>23301.0</v>
      </c>
      <c r="D2839" s="19" t="str">
        <f t="shared" si="1"/>
        <v> </v>
      </c>
      <c r="E2839" s="19" t="str">
        <f t="shared" si="2"/>
        <v> </v>
      </c>
      <c r="F2839" s="21"/>
    </row>
    <row r="2840">
      <c r="A2840" s="19">
        <v>14264.0</v>
      </c>
      <c r="B2840" s="19" t="s">
        <v>2866</v>
      </c>
      <c r="C2840" s="20">
        <v>18441.0</v>
      </c>
      <c r="D2840" s="19" t="str">
        <f t="shared" si="1"/>
        <v> </v>
      </c>
      <c r="E2840" s="19" t="str">
        <f t="shared" si="2"/>
        <v> </v>
      </c>
      <c r="F2840" s="21"/>
    </row>
    <row r="2841">
      <c r="A2841" s="19">
        <v>14265.0</v>
      </c>
      <c r="B2841" s="19" t="s">
        <v>2867</v>
      </c>
      <c r="C2841" s="20">
        <v>24940.0</v>
      </c>
      <c r="D2841" s="19" t="str">
        <f t="shared" si="1"/>
        <v> </v>
      </c>
      <c r="E2841" s="19" t="str">
        <f t="shared" si="2"/>
        <v> </v>
      </c>
      <c r="F2841" s="21"/>
    </row>
    <row r="2842">
      <c r="A2842" s="19">
        <v>14266.0</v>
      </c>
      <c r="B2842" s="19" t="s">
        <v>2868</v>
      </c>
      <c r="C2842" s="20">
        <v>18397.0</v>
      </c>
      <c r="D2842" s="19" t="str">
        <f t="shared" si="1"/>
        <v> </v>
      </c>
      <c r="E2842" s="19" t="str">
        <f t="shared" si="2"/>
        <v> </v>
      </c>
      <c r="F2842" s="21"/>
    </row>
    <row r="2843">
      <c r="A2843" s="19">
        <v>14267.0</v>
      </c>
      <c r="B2843" s="19" t="s">
        <v>2869</v>
      </c>
      <c r="C2843" s="20">
        <v>20779.0</v>
      </c>
      <c r="D2843" s="19" t="str">
        <f t="shared" si="1"/>
        <v> </v>
      </c>
      <c r="E2843" s="19" t="str">
        <f t="shared" si="2"/>
        <v> </v>
      </c>
      <c r="F2843" s="21"/>
    </row>
    <row r="2844">
      <c r="A2844" s="19">
        <v>14268.0</v>
      </c>
      <c r="B2844" s="19" t="s">
        <v>2870</v>
      </c>
      <c r="C2844" s="20">
        <v>19812.0</v>
      </c>
      <c r="D2844" s="19" t="str">
        <f t="shared" si="1"/>
        <v> </v>
      </c>
      <c r="E2844" s="19" t="str">
        <f t="shared" si="2"/>
        <v> </v>
      </c>
      <c r="F2844" s="21"/>
    </row>
    <row r="2845">
      <c r="A2845" s="19">
        <v>14269.0</v>
      </c>
      <c r="B2845" s="19" t="s">
        <v>2871</v>
      </c>
      <c r="C2845" s="20">
        <v>20761.0</v>
      </c>
      <c r="D2845" s="19" t="str">
        <f t="shared" si="1"/>
        <v> </v>
      </c>
      <c r="E2845" s="19" t="str">
        <f t="shared" si="2"/>
        <v> </v>
      </c>
      <c r="F2845" s="21"/>
    </row>
    <row r="2846">
      <c r="A2846" s="19">
        <v>14270.0</v>
      </c>
      <c r="B2846" s="19" t="s">
        <v>2872</v>
      </c>
      <c r="C2846" s="20">
        <v>16655.0</v>
      </c>
      <c r="D2846" s="19" t="str">
        <f t="shared" si="1"/>
        <v> </v>
      </c>
      <c r="E2846" s="19" t="str">
        <f t="shared" si="2"/>
        <v> </v>
      </c>
      <c r="F2846" s="21"/>
    </row>
    <row r="2847">
      <c r="A2847" s="19">
        <v>14271.0</v>
      </c>
      <c r="B2847" s="19" t="s">
        <v>2873</v>
      </c>
      <c r="C2847" s="20">
        <v>21394.0</v>
      </c>
      <c r="D2847" s="19" t="str">
        <f t="shared" si="1"/>
        <v> </v>
      </c>
      <c r="E2847" s="19" t="str">
        <f t="shared" si="2"/>
        <v> </v>
      </c>
      <c r="F2847" s="21"/>
    </row>
    <row r="2848">
      <c r="A2848" s="19">
        <v>14272.0</v>
      </c>
      <c r="B2848" s="19" t="s">
        <v>2874</v>
      </c>
      <c r="C2848" s="20">
        <v>27989.0</v>
      </c>
      <c r="D2848" s="19" t="str">
        <f t="shared" si="1"/>
        <v> </v>
      </c>
      <c r="E2848" s="19" t="str">
        <f t="shared" si="2"/>
        <v> </v>
      </c>
      <c r="F2848" s="21"/>
    </row>
    <row r="2849">
      <c r="A2849" s="19">
        <v>14273.0</v>
      </c>
      <c r="B2849" s="19" t="s">
        <v>2875</v>
      </c>
      <c r="C2849" s="20">
        <v>19997.0</v>
      </c>
      <c r="D2849" s="19" t="str">
        <f t="shared" si="1"/>
        <v> </v>
      </c>
      <c r="E2849" s="19" t="str">
        <f t="shared" si="2"/>
        <v> </v>
      </c>
      <c r="F2849" s="21"/>
    </row>
    <row r="2850">
      <c r="A2850" s="19">
        <v>14274.0</v>
      </c>
      <c r="B2850" s="19" t="s">
        <v>2876</v>
      </c>
      <c r="C2850" s="20">
        <v>33182.0</v>
      </c>
      <c r="D2850" s="19" t="str">
        <f t="shared" si="1"/>
        <v> </v>
      </c>
      <c r="E2850" s="19" t="str">
        <f t="shared" si="2"/>
        <v> </v>
      </c>
      <c r="F2850" s="21"/>
    </row>
    <row r="2851">
      <c r="A2851" s="19">
        <v>14275.0</v>
      </c>
      <c r="B2851" s="19" t="s">
        <v>2877</v>
      </c>
      <c r="C2851" s="20">
        <v>14212.0</v>
      </c>
      <c r="D2851" s="19" t="str">
        <f t="shared" si="1"/>
        <v> </v>
      </c>
      <c r="E2851" s="19" t="str">
        <f t="shared" si="2"/>
        <v> </v>
      </c>
      <c r="F2851" s="21"/>
    </row>
    <row r="2852">
      <c r="A2852" s="19">
        <v>14276.0</v>
      </c>
      <c r="B2852" s="19" t="s">
        <v>2878</v>
      </c>
      <c r="C2852" s="20">
        <v>27880.0</v>
      </c>
      <c r="D2852" s="19" t="str">
        <f t="shared" si="1"/>
        <v> </v>
      </c>
      <c r="E2852" s="19" t="str">
        <f t="shared" si="2"/>
        <v> </v>
      </c>
      <c r="F2852" s="21"/>
    </row>
    <row r="2853">
      <c r="A2853" s="19">
        <v>14277.0</v>
      </c>
      <c r="B2853" s="19" t="s">
        <v>2879</v>
      </c>
      <c r="C2853" s="20">
        <v>13878.0</v>
      </c>
      <c r="D2853" s="19" t="str">
        <f t="shared" si="1"/>
        <v> </v>
      </c>
      <c r="E2853" s="19" t="str">
        <f t="shared" si="2"/>
        <v> </v>
      </c>
      <c r="F2853" s="21"/>
    </row>
    <row r="2854">
      <c r="A2854" s="19">
        <v>14278.0</v>
      </c>
      <c r="B2854" s="19" t="s">
        <v>2880</v>
      </c>
      <c r="C2854" s="20">
        <v>21242.0</v>
      </c>
      <c r="D2854" s="19" t="str">
        <f t="shared" si="1"/>
        <v> </v>
      </c>
      <c r="E2854" s="19" t="str">
        <f t="shared" si="2"/>
        <v> </v>
      </c>
      <c r="F2854" s="21"/>
    </row>
    <row r="2855">
      <c r="A2855" s="19">
        <v>14279.0</v>
      </c>
      <c r="B2855" s="19" t="s">
        <v>2881</v>
      </c>
      <c r="C2855" s="20">
        <v>28206.0</v>
      </c>
      <c r="D2855" s="19" t="str">
        <f t="shared" si="1"/>
        <v> </v>
      </c>
      <c r="E2855" s="19" t="str">
        <f t="shared" si="2"/>
        <v> </v>
      </c>
      <c r="F2855" s="21"/>
    </row>
    <row r="2856">
      <c r="A2856" s="19">
        <v>14281.0</v>
      </c>
      <c r="B2856" s="19" t="s">
        <v>2882</v>
      </c>
      <c r="C2856" s="20">
        <v>20136.0</v>
      </c>
      <c r="D2856" s="19" t="str">
        <f t="shared" si="1"/>
        <v> </v>
      </c>
      <c r="E2856" s="19" t="str">
        <f t="shared" si="2"/>
        <v> </v>
      </c>
      <c r="F2856" s="21"/>
    </row>
    <row r="2857">
      <c r="A2857" s="19">
        <v>14285.0</v>
      </c>
      <c r="B2857" s="19" t="s">
        <v>2883</v>
      </c>
      <c r="C2857" s="20">
        <v>35763.0</v>
      </c>
      <c r="D2857" s="19" t="str">
        <f t="shared" si="1"/>
        <v> </v>
      </c>
      <c r="E2857" s="19" t="str">
        <f t="shared" si="2"/>
        <v> </v>
      </c>
      <c r="F2857" s="21"/>
    </row>
    <row r="2858">
      <c r="A2858" s="19">
        <v>14286.0</v>
      </c>
      <c r="B2858" s="19" t="s">
        <v>2884</v>
      </c>
      <c r="C2858" s="20">
        <v>23758.0</v>
      </c>
      <c r="D2858" s="19" t="str">
        <f t="shared" si="1"/>
        <v> </v>
      </c>
      <c r="E2858" s="19" t="str">
        <f t="shared" si="2"/>
        <v> </v>
      </c>
      <c r="F2858" s="21"/>
    </row>
    <row r="2859">
      <c r="A2859" s="19">
        <v>14287.0</v>
      </c>
      <c r="B2859" s="19" t="s">
        <v>2885</v>
      </c>
      <c r="C2859" s="20">
        <v>26044.0</v>
      </c>
      <c r="D2859" s="19" t="str">
        <f t="shared" si="1"/>
        <v> </v>
      </c>
      <c r="E2859" s="19" t="str">
        <f t="shared" si="2"/>
        <v> </v>
      </c>
      <c r="F2859" s="21"/>
    </row>
    <row r="2860">
      <c r="A2860" s="19">
        <v>14288.0</v>
      </c>
      <c r="B2860" s="19" t="s">
        <v>2886</v>
      </c>
      <c r="C2860" s="20">
        <v>26576.0</v>
      </c>
      <c r="D2860" s="19" t="str">
        <f t="shared" si="1"/>
        <v> </v>
      </c>
      <c r="E2860" s="19" t="str">
        <f t="shared" si="2"/>
        <v> </v>
      </c>
      <c r="F2860" s="21"/>
    </row>
    <row r="2861">
      <c r="A2861" s="19">
        <v>14289.0</v>
      </c>
      <c r="B2861" s="19" t="s">
        <v>2887</v>
      </c>
      <c r="C2861" s="20">
        <v>21140.0</v>
      </c>
      <c r="D2861" s="19" t="str">
        <f t="shared" si="1"/>
        <v> </v>
      </c>
      <c r="E2861" s="19" t="str">
        <f t="shared" si="2"/>
        <v> </v>
      </c>
      <c r="F2861" s="21"/>
    </row>
    <row r="2862">
      <c r="A2862" s="19">
        <v>14290.0</v>
      </c>
      <c r="B2862" s="19" t="s">
        <v>2888</v>
      </c>
      <c r="C2862" s="20">
        <v>21385.0</v>
      </c>
      <c r="D2862" s="19" t="str">
        <f t="shared" si="1"/>
        <v> </v>
      </c>
      <c r="E2862" s="19" t="str">
        <f t="shared" si="2"/>
        <v> </v>
      </c>
      <c r="F2862" s="21"/>
    </row>
    <row r="2863">
      <c r="A2863" s="19">
        <v>14291.0</v>
      </c>
      <c r="B2863" s="19" t="s">
        <v>2889</v>
      </c>
      <c r="C2863" s="20">
        <v>20668.0</v>
      </c>
      <c r="D2863" s="19" t="str">
        <f t="shared" si="1"/>
        <v> </v>
      </c>
      <c r="E2863" s="19" t="str">
        <f t="shared" si="2"/>
        <v> </v>
      </c>
      <c r="F2863" s="21"/>
    </row>
    <row r="2864">
      <c r="A2864" s="19">
        <v>14292.0</v>
      </c>
      <c r="B2864" s="19" t="s">
        <v>2890</v>
      </c>
      <c r="C2864" s="20">
        <v>14720.0</v>
      </c>
      <c r="D2864" s="19" t="str">
        <f t="shared" si="1"/>
        <v> </v>
      </c>
      <c r="E2864" s="19" t="str">
        <f t="shared" si="2"/>
        <v> </v>
      </c>
      <c r="F2864" s="21"/>
    </row>
    <row r="2865">
      <c r="A2865" s="19">
        <v>14293.0</v>
      </c>
      <c r="B2865" s="19" t="s">
        <v>2891</v>
      </c>
      <c r="C2865" s="20">
        <v>15468.0</v>
      </c>
      <c r="D2865" s="19" t="str">
        <f t="shared" si="1"/>
        <v> </v>
      </c>
      <c r="E2865" s="19" t="str">
        <f t="shared" si="2"/>
        <v> </v>
      </c>
      <c r="F2865" s="21"/>
    </row>
    <row r="2866">
      <c r="A2866" s="19">
        <v>14295.0</v>
      </c>
      <c r="B2866" s="19" t="s">
        <v>2892</v>
      </c>
      <c r="C2866" s="20">
        <v>11929.0</v>
      </c>
      <c r="D2866" s="19" t="str">
        <f t="shared" si="1"/>
        <v> </v>
      </c>
      <c r="E2866" s="19" t="str">
        <f t="shared" si="2"/>
        <v> </v>
      </c>
      <c r="F2866" s="21"/>
    </row>
    <row r="2867">
      <c r="A2867" s="19">
        <v>14296.0</v>
      </c>
      <c r="B2867" s="19" t="s">
        <v>2893</v>
      </c>
      <c r="C2867" s="20">
        <v>31274.0</v>
      </c>
      <c r="D2867" s="19" t="str">
        <f t="shared" si="1"/>
        <v> </v>
      </c>
      <c r="E2867" s="19" t="str">
        <f t="shared" si="2"/>
        <v> </v>
      </c>
      <c r="F2867" s="21"/>
    </row>
    <row r="2868">
      <c r="A2868" s="19">
        <v>14297.0</v>
      </c>
      <c r="B2868" s="19" t="s">
        <v>2894</v>
      </c>
      <c r="C2868" s="20">
        <v>22443.0</v>
      </c>
      <c r="D2868" s="19" t="str">
        <f t="shared" si="1"/>
        <v> </v>
      </c>
      <c r="E2868" s="19" t="str">
        <f t="shared" si="2"/>
        <v> </v>
      </c>
      <c r="F2868" s="21"/>
    </row>
    <row r="2869">
      <c r="A2869" s="19">
        <v>14298.0</v>
      </c>
      <c r="B2869" s="19" t="s">
        <v>2895</v>
      </c>
      <c r="C2869" s="20">
        <v>24518.0</v>
      </c>
      <c r="D2869" s="19" t="str">
        <f t="shared" si="1"/>
        <v> </v>
      </c>
      <c r="E2869" s="19" t="str">
        <f t="shared" si="2"/>
        <v> </v>
      </c>
      <c r="F2869" s="21"/>
    </row>
    <row r="2870">
      <c r="A2870" s="19">
        <v>14299.0</v>
      </c>
      <c r="B2870" s="19" t="s">
        <v>2896</v>
      </c>
      <c r="C2870" s="20">
        <v>17234.0</v>
      </c>
      <c r="D2870" s="19" t="str">
        <f t="shared" si="1"/>
        <v> </v>
      </c>
      <c r="E2870" s="19" t="str">
        <f t="shared" si="2"/>
        <v> </v>
      </c>
      <c r="F2870" s="21"/>
    </row>
    <row r="2871">
      <c r="A2871" s="19">
        <v>14300.0</v>
      </c>
      <c r="B2871" s="19" t="s">
        <v>2897</v>
      </c>
      <c r="C2871" s="20">
        <v>15999.0</v>
      </c>
      <c r="D2871" s="19" t="str">
        <f t="shared" si="1"/>
        <v> </v>
      </c>
      <c r="E2871" s="19" t="str">
        <f t="shared" si="2"/>
        <v> </v>
      </c>
      <c r="F2871" s="21"/>
    </row>
    <row r="2872">
      <c r="A2872" s="19">
        <v>14301.0</v>
      </c>
      <c r="B2872" s="19" t="s">
        <v>2898</v>
      </c>
      <c r="C2872" s="20">
        <v>29745.0</v>
      </c>
      <c r="D2872" s="19" t="str">
        <f t="shared" si="1"/>
        <v> </v>
      </c>
      <c r="E2872" s="19" t="str">
        <f t="shared" si="2"/>
        <v> </v>
      </c>
      <c r="F2872" s="21"/>
    </row>
    <row r="2873">
      <c r="A2873" s="19">
        <v>14302.0</v>
      </c>
      <c r="B2873" s="19" t="s">
        <v>2899</v>
      </c>
      <c r="C2873" s="20">
        <v>22334.0</v>
      </c>
      <c r="D2873" s="19" t="str">
        <f t="shared" si="1"/>
        <v> </v>
      </c>
      <c r="E2873" s="19" t="str">
        <f t="shared" si="2"/>
        <v> </v>
      </c>
      <c r="F2873" s="21"/>
    </row>
    <row r="2874">
      <c r="A2874" s="19">
        <v>14303.0</v>
      </c>
      <c r="B2874" s="19" t="s">
        <v>2900</v>
      </c>
      <c r="C2874" s="20">
        <v>35894.0</v>
      </c>
      <c r="D2874" s="19" t="str">
        <f t="shared" si="1"/>
        <v> </v>
      </c>
      <c r="E2874" s="19" t="str">
        <f t="shared" si="2"/>
        <v> </v>
      </c>
      <c r="F2874" s="21"/>
    </row>
    <row r="2875">
      <c r="A2875" s="19">
        <v>14304.0</v>
      </c>
      <c r="B2875" s="19" t="s">
        <v>2901</v>
      </c>
      <c r="C2875" s="20">
        <v>24014.0</v>
      </c>
      <c r="D2875" s="19" t="str">
        <f t="shared" si="1"/>
        <v> </v>
      </c>
      <c r="E2875" s="19" t="str">
        <f t="shared" si="2"/>
        <v> </v>
      </c>
      <c r="F2875" s="21"/>
    </row>
    <row r="2876">
      <c r="A2876" s="19">
        <v>14305.0</v>
      </c>
      <c r="B2876" s="19" t="s">
        <v>2902</v>
      </c>
      <c r="C2876" s="20">
        <v>25675.0</v>
      </c>
      <c r="D2876" s="19" t="str">
        <f t="shared" si="1"/>
        <v> </v>
      </c>
      <c r="E2876" s="19" t="str">
        <f t="shared" si="2"/>
        <v> </v>
      </c>
      <c r="F2876" s="21"/>
    </row>
    <row r="2877">
      <c r="A2877" s="19">
        <v>14306.0</v>
      </c>
      <c r="B2877" s="19" t="s">
        <v>2903</v>
      </c>
      <c r="C2877" s="20">
        <v>22927.0</v>
      </c>
      <c r="D2877" s="19" t="str">
        <f t="shared" si="1"/>
        <v> </v>
      </c>
      <c r="E2877" s="19" t="str">
        <f t="shared" si="2"/>
        <v> </v>
      </c>
      <c r="F2877" s="21"/>
    </row>
    <row r="2878">
      <c r="A2878" s="19">
        <v>14307.0</v>
      </c>
      <c r="B2878" s="19" t="s">
        <v>2904</v>
      </c>
      <c r="C2878" s="20">
        <v>19933.0</v>
      </c>
      <c r="D2878" s="19" t="str">
        <f t="shared" si="1"/>
        <v> </v>
      </c>
      <c r="E2878" s="19" t="str">
        <f t="shared" si="2"/>
        <v> </v>
      </c>
      <c r="F2878" s="21"/>
    </row>
    <row r="2879">
      <c r="A2879" s="19">
        <v>14309.0</v>
      </c>
      <c r="B2879" s="19" t="s">
        <v>2905</v>
      </c>
      <c r="C2879" s="20">
        <v>20996.0</v>
      </c>
      <c r="D2879" s="19" t="str">
        <f t="shared" si="1"/>
        <v> </v>
      </c>
      <c r="E2879" s="19" t="str">
        <f t="shared" si="2"/>
        <v> </v>
      </c>
      <c r="F2879" s="21"/>
    </row>
    <row r="2880">
      <c r="A2880" s="19">
        <v>14310.0</v>
      </c>
      <c r="B2880" s="19" t="s">
        <v>2906</v>
      </c>
      <c r="C2880" s="20">
        <v>34567.0</v>
      </c>
      <c r="D2880" s="19" t="str">
        <f t="shared" si="1"/>
        <v> </v>
      </c>
      <c r="E2880" s="19" t="str">
        <f t="shared" si="2"/>
        <v> </v>
      </c>
      <c r="F2880" s="21"/>
    </row>
    <row r="2881">
      <c r="A2881" s="19">
        <v>14311.0</v>
      </c>
      <c r="B2881" s="19" t="s">
        <v>2907</v>
      </c>
      <c r="C2881" s="20">
        <v>20832.0</v>
      </c>
      <c r="D2881" s="19" t="str">
        <f t="shared" si="1"/>
        <v> </v>
      </c>
      <c r="E2881" s="19" t="str">
        <f t="shared" si="2"/>
        <v> </v>
      </c>
      <c r="F2881" s="21"/>
    </row>
    <row r="2882">
      <c r="A2882" s="19">
        <v>14312.0</v>
      </c>
      <c r="B2882" s="19" t="s">
        <v>2908</v>
      </c>
      <c r="C2882" s="20">
        <v>27429.0</v>
      </c>
      <c r="D2882" s="19" t="str">
        <f t="shared" si="1"/>
        <v> </v>
      </c>
      <c r="E2882" s="19" t="str">
        <f t="shared" si="2"/>
        <v> </v>
      </c>
      <c r="F2882" s="21"/>
    </row>
    <row r="2883">
      <c r="A2883" s="19">
        <v>14313.0</v>
      </c>
      <c r="B2883" s="19" t="s">
        <v>2909</v>
      </c>
      <c r="C2883" s="20">
        <v>30032.0</v>
      </c>
      <c r="D2883" s="19" t="str">
        <f t="shared" si="1"/>
        <v> </v>
      </c>
      <c r="E2883" s="19" t="str">
        <f t="shared" si="2"/>
        <v> </v>
      </c>
      <c r="F2883" s="21"/>
    </row>
    <row r="2884">
      <c r="A2884" s="19">
        <v>14314.0</v>
      </c>
      <c r="B2884" s="19" t="s">
        <v>2910</v>
      </c>
      <c r="C2884" s="20">
        <v>22921.0</v>
      </c>
      <c r="D2884" s="19" t="str">
        <f t="shared" si="1"/>
        <v> </v>
      </c>
      <c r="E2884" s="19" t="str">
        <f t="shared" si="2"/>
        <v> </v>
      </c>
      <c r="F2884" s="21"/>
    </row>
    <row r="2885">
      <c r="A2885" s="19">
        <v>14316.0</v>
      </c>
      <c r="B2885" s="19" t="s">
        <v>2911</v>
      </c>
      <c r="C2885" s="20">
        <v>18805.0</v>
      </c>
      <c r="D2885" s="19" t="str">
        <f t="shared" si="1"/>
        <v> </v>
      </c>
      <c r="E2885" s="19" t="str">
        <f t="shared" si="2"/>
        <v> </v>
      </c>
      <c r="F2885" s="21"/>
    </row>
    <row r="2886">
      <c r="A2886" s="19">
        <v>14317.0</v>
      </c>
      <c r="B2886" s="19" t="s">
        <v>2912</v>
      </c>
      <c r="C2886" s="20">
        <v>24775.0</v>
      </c>
      <c r="D2886" s="19" t="str">
        <f t="shared" si="1"/>
        <v> </v>
      </c>
      <c r="E2886" s="19" t="str">
        <f t="shared" si="2"/>
        <v> </v>
      </c>
      <c r="F2886" s="21"/>
    </row>
    <row r="2887">
      <c r="A2887" s="19">
        <v>14318.0</v>
      </c>
      <c r="B2887" s="19" t="s">
        <v>2913</v>
      </c>
      <c r="C2887" s="20">
        <v>18193.0</v>
      </c>
      <c r="D2887" s="19" t="str">
        <f t="shared" si="1"/>
        <v> </v>
      </c>
      <c r="E2887" s="19" t="str">
        <f t="shared" si="2"/>
        <v> </v>
      </c>
      <c r="F2887" s="21"/>
    </row>
    <row r="2888">
      <c r="A2888" s="19">
        <v>14319.0</v>
      </c>
      <c r="B2888" s="19" t="s">
        <v>2914</v>
      </c>
      <c r="C2888" s="20">
        <v>26339.0</v>
      </c>
      <c r="D2888" s="19" t="str">
        <f t="shared" si="1"/>
        <v> </v>
      </c>
      <c r="E2888" s="19" t="str">
        <f t="shared" si="2"/>
        <v> </v>
      </c>
      <c r="F2888" s="21"/>
    </row>
    <row r="2889">
      <c r="A2889" s="19">
        <v>14320.0</v>
      </c>
      <c r="B2889" s="19" t="s">
        <v>2915</v>
      </c>
      <c r="C2889" s="20">
        <v>31224.0</v>
      </c>
      <c r="D2889" s="19" t="str">
        <f t="shared" si="1"/>
        <v> </v>
      </c>
      <c r="E2889" s="19" t="str">
        <f t="shared" si="2"/>
        <v> </v>
      </c>
      <c r="F2889" s="21"/>
    </row>
    <row r="2890">
      <c r="A2890" s="19">
        <v>14321.0</v>
      </c>
      <c r="B2890" s="19" t="s">
        <v>2916</v>
      </c>
      <c r="C2890" s="20">
        <v>19244.0</v>
      </c>
      <c r="D2890" s="19" t="str">
        <f t="shared" si="1"/>
        <v> </v>
      </c>
      <c r="E2890" s="19" t="str">
        <f t="shared" si="2"/>
        <v> </v>
      </c>
      <c r="F2890" s="21"/>
    </row>
    <row r="2891">
      <c r="A2891" s="19">
        <v>14322.0</v>
      </c>
      <c r="B2891" s="19" t="s">
        <v>2917</v>
      </c>
      <c r="C2891" s="20">
        <v>26478.0</v>
      </c>
      <c r="D2891" s="19" t="str">
        <f t="shared" si="1"/>
        <v> </v>
      </c>
      <c r="E2891" s="19" t="str">
        <f t="shared" si="2"/>
        <v> </v>
      </c>
      <c r="F2891" s="21"/>
    </row>
    <row r="2892">
      <c r="A2892" s="19">
        <v>14323.0</v>
      </c>
      <c r="B2892" s="19" t="s">
        <v>2918</v>
      </c>
      <c r="C2892" s="20">
        <v>16672.0</v>
      </c>
      <c r="D2892" s="19" t="str">
        <f t="shared" si="1"/>
        <v> </v>
      </c>
      <c r="E2892" s="19" t="str">
        <f t="shared" si="2"/>
        <v> </v>
      </c>
      <c r="F2892" s="21"/>
    </row>
    <row r="2893">
      <c r="A2893" s="19">
        <v>14325.0</v>
      </c>
      <c r="B2893" s="19" t="s">
        <v>2919</v>
      </c>
      <c r="C2893" s="20">
        <v>27771.0</v>
      </c>
      <c r="D2893" s="19" t="str">
        <f t="shared" si="1"/>
        <v> </v>
      </c>
      <c r="E2893" s="19" t="str">
        <f t="shared" si="2"/>
        <v> </v>
      </c>
      <c r="F2893" s="21"/>
    </row>
    <row r="2894">
      <c r="A2894" s="19">
        <v>14326.0</v>
      </c>
      <c r="B2894" s="19" t="s">
        <v>2920</v>
      </c>
      <c r="C2894" s="20">
        <v>20768.0</v>
      </c>
      <c r="D2894" s="19" t="str">
        <f t="shared" si="1"/>
        <v> </v>
      </c>
      <c r="E2894" s="19" t="str">
        <f t="shared" si="2"/>
        <v> </v>
      </c>
      <c r="F2894" s="21"/>
    </row>
    <row r="2895">
      <c r="A2895" s="19">
        <v>14327.0</v>
      </c>
      <c r="B2895" s="19" t="s">
        <v>2921</v>
      </c>
      <c r="C2895" s="20">
        <v>27363.0</v>
      </c>
      <c r="D2895" s="19" t="str">
        <f t="shared" si="1"/>
        <v> </v>
      </c>
      <c r="E2895" s="19" t="str">
        <f t="shared" si="2"/>
        <v> </v>
      </c>
      <c r="F2895" s="21"/>
    </row>
    <row r="2896">
      <c r="A2896" s="19">
        <v>14328.0</v>
      </c>
      <c r="B2896" s="19" t="s">
        <v>2922</v>
      </c>
      <c r="C2896" s="20">
        <v>30720.0</v>
      </c>
      <c r="D2896" s="19" t="str">
        <f t="shared" si="1"/>
        <v> </v>
      </c>
      <c r="E2896" s="19" t="str">
        <f t="shared" si="2"/>
        <v> </v>
      </c>
      <c r="F2896" s="21"/>
    </row>
    <row r="2897">
      <c r="A2897" s="19">
        <v>14329.0</v>
      </c>
      <c r="B2897" s="19" t="s">
        <v>2923</v>
      </c>
      <c r="C2897" s="20">
        <v>27222.0</v>
      </c>
      <c r="D2897" s="19" t="str">
        <f t="shared" si="1"/>
        <v> </v>
      </c>
      <c r="E2897" s="19" t="str">
        <f t="shared" si="2"/>
        <v> </v>
      </c>
      <c r="F2897" s="21"/>
    </row>
    <row r="2898">
      <c r="A2898" s="19">
        <v>14330.0</v>
      </c>
      <c r="B2898" s="19" t="s">
        <v>2924</v>
      </c>
      <c r="C2898" s="20">
        <v>17506.0</v>
      </c>
      <c r="D2898" s="19" t="str">
        <f t="shared" si="1"/>
        <v> </v>
      </c>
      <c r="E2898" s="19" t="str">
        <f t="shared" si="2"/>
        <v> </v>
      </c>
      <c r="F2898" s="21"/>
    </row>
    <row r="2899">
      <c r="A2899" s="19">
        <v>14331.0</v>
      </c>
      <c r="B2899" s="19" t="s">
        <v>2925</v>
      </c>
      <c r="C2899" s="20">
        <v>21404.0</v>
      </c>
      <c r="D2899" s="19" t="str">
        <f t="shared" si="1"/>
        <v> </v>
      </c>
      <c r="E2899" s="19" t="str">
        <f t="shared" si="2"/>
        <v> </v>
      </c>
      <c r="F2899" s="21"/>
    </row>
    <row r="2900">
      <c r="A2900" s="19">
        <v>14332.0</v>
      </c>
      <c r="B2900" s="19" t="s">
        <v>2926</v>
      </c>
      <c r="C2900" s="20">
        <v>23076.0</v>
      </c>
      <c r="D2900" s="19" t="str">
        <f t="shared" si="1"/>
        <v> </v>
      </c>
      <c r="E2900" s="19" t="str">
        <f t="shared" si="2"/>
        <v> </v>
      </c>
      <c r="F2900" s="21"/>
    </row>
    <row r="2901">
      <c r="A2901" s="19">
        <v>14333.0</v>
      </c>
      <c r="B2901" s="19" t="s">
        <v>2927</v>
      </c>
      <c r="C2901" s="20">
        <v>26847.0</v>
      </c>
      <c r="D2901" s="19" t="str">
        <f t="shared" si="1"/>
        <v> </v>
      </c>
      <c r="E2901" s="19" t="str">
        <f t="shared" si="2"/>
        <v> </v>
      </c>
      <c r="F2901" s="21"/>
    </row>
    <row r="2902">
      <c r="A2902" s="19">
        <v>14334.0</v>
      </c>
      <c r="B2902" s="19" t="s">
        <v>2928</v>
      </c>
      <c r="C2902" s="20">
        <v>17187.0</v>
      </c>
      <c r="D2902" s="19" t="str">
        <f t="shared" si="1"/>
        <v> </v>
      </c>
      <c r="E2902" s="19" t="str">
        <f t="shared" si="2"/>
        <v> </v>
      </c>
      <c r="F2902" s="21"/>
    </row>
    <row r="2903">
      <c r="A2903" s="19">
        <v>14335.0</v>
      </c>
      <c r="B2903" s="19" t="s">
        <v>2929</v>
      </c>
      <c r="C2903" s="20">
        <v>22805.0</v>
      </c>
      <c r="D2903" s="19" t="str">
        <f t="shared" si="1"/>
        <v> </v>
      </c>
      <c r="E2903" s="19" t="str">
        <f t="shared" si="2"/>
        <v> </v>
      </c>
      <c r="F2903" s="21"/>
    </row>
    <row r="2904">
      <c r="A2904" s="19">
        <v>14336.0</v>
      </c>
      <c r="B2904" s="19" t="s">
        <v>2930</v>
      </c>
      <c r="C2904" s="20">
        <v>29285.0</v>
      </c>
      <c r="D2904" s="19" t="str">
        <f t="shared" si="1"/>
        <v> </v>
      </c>
      <c r="E2904" s="19" t="str">
        <f t="shared" si="2"/>
        <v> </v>
      </c>
      <c r="F2904" s="21"/>
    </row>
    <row r="2905">
      <c r="A2905" s="19">
        <v>14337.0</v>
      </c>
      <c r="B2905" s="19" t="s">
        <v>2931</v>
      </c>
      <c r="C2905" s="20">
        <v>20282.0</v>
      </c>
      <c r="D2905" s="19" t="str">
        <f t="shared" si="1"/>
        <v> </v>
      </c>
      <c r="E2905" s="19" t="str">
        <f t="shared" si="2"/>
        <v> </v>
      </c>
      <c r="F2905" s="21"/>
    </row>
    <row r="2906">
      <c r="A2906" s="19">
        <v>14338.0</v>
      </c>
      <c r="B2906" s="19" t="s">
        <v>2932</v>
      </c>
      <c r="C2906" s="20">
        <v>29008.0</v>
      </c>
      <c r="D2906" s="19" t="str">
        <f t="shared" si="1"/>
        <v>Repeat</v>
      </c>
      <c r="E2906" s="19" t="str">
        <f t="shared" si="2"/>
        <v> </v>
      </c>
      <c r="F2906" s="21"/>
    </row>
    <row r="2907">
      <c r="A2907" s="19">
        <v>14339.0</v>
      </c>
      <c r="B2907" s="19" t="s">
        <v>2933</v>
      </c>
      <c r="C2907" s="20">
        <v>19142.0</v>
      </c>
      <c r="D2907" s="19" t="str">
        <f t="shared" si="1"/>
        <v> </v>
      </c>
      <c r="E2907" s="19" t="str">
        <f t="shared" si="2"/>
        <v> </v>
      </c>
      <c r="F2907" s="21"/>
    </row>
    <row r="2908">
      <c r="A2908" s="19">
        <v>14340.0</v>
      </c>
      <c r="B2908" s="19" t="s">
        <v>2934</v>
      </c>
      <c r="C2908" s="20">
        <v>18616.0</v>
      </c>
      <c r="D2908" s="19" t="str">
        <f t="shared" si="1"/>
        <v> </v>
      </c>
      <c r="E2908" s="19" t="str">
        <f t="shared" si="2"/>
        <v> </v>
      </c>
      <c r="F2908" s="21"/>
    </row>
    <row r="2909">
      <c r="A2909" s="19">
        <v>14341.0</v>
      </c>
      <c r="B2909" s="19" t="s">
        <v>2935</v>
      </c>
      <c r="C2909" s="20">
        <v>17687.0</v>
      </c>
      <c r="D2909" s="19" t="str">
        <f t="shared" si="1"/>
        <v> </v>
      </c>
      <c r="E2909" s="19" t="str">
        <f t="shared" si="2"/>
        <v> </v>
      </c>
      <c r="F2909" s="21"/>
    </row>
    <row r="2910">
      <c r="A2910" s="19">
        <v>14342.0</v>
      </c>
      <c r="B2910" s="19" t="s">
        <v>2936</v>
      </c>
      <c r="C2910" s="20">
        <v>26440.0</v>
      </c>
      <c r="D2910" s="19" t="str">
        <f t="shared" si="1"/>
        <v> </v>
      </c>
      <c r="E2910" s="19" t="str">
        <f t="shared" si="2"/>
        <v> </v>
      </c>
      <c r="F2910" s="21"/>
    </row>
    <row r="2911">
      <c r="A2911" s="19">
        <v>14344.0</v>
      </c>
      <c r="B2911" s="19" t="s">
        <v>2937</v>
      </c>
      <c r="C2911" s="20">
        <v>20391.0</v>
      </c>
      <c r="D2911" s="19" t="str">
        <f t="shared" si="1"/>
        <v> </v>
      </c>
      <c r="E2911" s="19" t="str">
        <f t="shared" si="2"/>
        <v> </v>
      </c>
      <c r="F2911" s="21"/>
    </row>
    <row r="2912">
      <c r="A2912" s="19">
        <v>14345.0</v>
      </c>
      <c r="B2912" s="19" t="s">
        <v>2938</v>
      </c>
      <c r="C2912" s="20">
        <v>36442.0</v>
      </c>
      <c r="D2912" s="19" t="str">
        <f t="shared" si="1"/>
        <v> </v>
      </c>
      <c r="E2912" s="19" t="str">
        <f t="shared" si="2"/>
        <v> </v>
      </c>
      <c r="F2912" s="21"/>
    </row>
    <row r="2913">
      <c r="A2913" s="19">
        <v>14346.0</v>
      </c>
      <c r="B2913" s="19" t="s">
        <v>2939</v>
      </c>
      <c r="C2913" s="20">
        <v>22541.0</v>
      </c>
      <c r="D2913" s="19" t="str">
        <f t="shared" si="1"/>
        <v> </v>
      </c>
      <c r="E2913" s="19" t="str">
        <f t="shared" si="2"/>
        <v> </v>
      </c>
      <c r="F2913" s="21"/>
    </row>
    <row r="2914">
      <c r="A2914" s="19">
        <v>14347.0</v>
      </c>
      <c r="B2914" s="19" t="s">
        <v>2940</v>
      </c>
      <c r="C2914" s="20">
        <v>22976.0</v>
      </c>
      <c r="D2914" s="19" t="str">
        <f t="shared" si="1"/>
        <v> </v>
      </c>
      <c r="E2914" s="19" t="str">
        <f t="shared" si="2"/>
        <v> </v>
      </c>
      <c r="F2914" s="21"/>
    </row>
    <row r="2915">
      <c r="A2915" s="19">
        <v>14348.0</v>
      </c>
      <c r="B2915" s="19" t="s">
        <v>2941</v>
      </c>
      <c r="C2915" s="20">
        <v>21760.0</v>
      </c>
      <c r="D2915" s="19" t="str">
        <f t="shared" si="1"/>
        <v> </v>
      </c>
      <c r="E2915" s="19" t="str">
        <f t="shared" si="2"/>
        <v> </v>
      </c>
      <c r="F2915" s="21"/>
    </row>
    <row r="2916">
      <c r="A2916" s="19">
        <v>14349.0</v>
      </c>
      <c r="B2916" s="19" t="s">
        <v>2942</v>
      </c>
      <c r="C2916" s="20">
        <v>23878.0</v>
      </c>
      <c r="D2916" s="19" t="str">
        <f t="shared" si="1"/>
        <v> </v>
      </c>
      <c r="E2916" s="19" t="str">
        <f t="shared" si="2"/>
        <v> </v>
      </c>
      <c r="F2916" s="21"/>
    </row>
    <row r="2917">
      <c r="A2917" s="19">
        <v>14350.0</v>
      </c>
      <c r="B2917" s="19" t="s">
        <v>2943</v>
      </c>
      <c r="C2917" s="20">
        <v>16937.0</v>
      </c>
      <c r="D2917" s="19" t="str">
        <f t="shared" si="1"/>
        <v> </v>
      </c>
      <c r="E2917" s="19" t="str">
        <f t="shared" si="2"/>
        <v> </v>
      </c>
      <c r="F2917" s="21"/>
    </row>
    <row r="2918">
      <c r="A2918" s="19">
        <v>14351.0</v>
      </c>
      <c r="B2918" s="19" t="s">
        <v>2944</v>
      </c>
      <c r="C2918" s="20">
        <v>24419.0</v>
      </c>
      <c r="D2918" s="19" t="str">
        <f t="shared" si="1"/>
        <v> </v>
      </c>
      <c r="E2918" s="19" t="str">
        <f t="shared" si="2"/>
        <v> </v>
      </c>
      <c r="F2918" s="21"/>
    </row>
    <row r="2919">
      <c r="A2919" s="19">
        <v>14353.0</v>
      </c>
      <c r="B2919" s="19" t="s">
        <v>2945</v>
      </c>
      <c r="C2919" s="20">
        <v>20338.0</v>
      </c>
      <c r="D2919" s="19" t="str">
        <f t="shared" si="1"/>
        <v> </v>
      </c>
      <c r="E2919" s="19" t="str">
        <f t="shared" si="2"/>
        <v> </v>
      </c>
      <c r="F2919" s="21"/>
    </row>
    <row r="2920">
      <c r="A2920" s="19">
        <v>14354.0</v>
      </c>
      <c r="B2920" s="19" t="s">
        <v>2946</v>
      </c>
      <c r="C2920" s="20">
        <v>29877.0</v>
      </c>
      <c r="D2920" s="19" t="str">
        <f t="shared" si="1"/>
        <v> </v>
      </c>
      <c r="E2920" s="19" t="str">
        <f t="shared" si="2"/>
        <v> </v>
      </c>
      <c r="F2920" s="21"/>
    </row>
    <row r="2921">
      <c r="A2921" s="19">
        <v>14355.0</v>
      </c>
      <c r="B2921" s="19" t="s">
        <v>2947</v>
      </c>
      <c r="C2921" s="20">
        <v>19165.0</v>
      </c>
      <c r="D2921" s="19" t="str">
        <f t="shared" si="1"/>
        <v> </v>
      </c>
      <c r="E2921" s="19" t="str">
        <f t="shared" si="2"/>
        <v> </v>
      </c>
      <c r="F2921" s="21"/>
    </row>
    <row r="2922">
      <c r="A2922" s="19">
        <v>14356.0</v>
      </c>
      <c r="B2922" s="19" t="s">
        <v>2948</v>
      </c>
      <c r="C2922" s="20">
        <v>17942.0</v>
      </c>
      <c r="D2922" s="19" t="str">
        <f t="shared" si="1"/>
        <v> </v>
      </c>
      <c r="E2922" s="19" t="str">
        <f t="shared" si="2"/>
        <v> </v>
      </c>
      <c r="F2922" s="21"/>
    </row>
    <row r="2923">
      <c r="A2923" s="19">
        <v>14357.0</v>
      </c>
      <c r="B2923" s="19" t="s">
        <v>2949</v>
      </c>
      <c r="C2923" s="20">
        <v>15000.0</v>
      </c>
      <c r="D2923" s="19" t="str">
        <f t="shared" si="1"/>
        <v> </v>
      </c>
      <c r="E2923" s="19" t="str">
        <f t="shared" si="2"/>
        <v> </v>
      </c>
      <c r="F2923" s="21"/>
    </row>
    <row r="2924">
      <c r="A2924" s="19">
        <v>14358.0</v>
      </c>
      <c r="B2924" s="19" t="s">
        <v>2950</v>
      </c>
      <c r="C2924" s="20">
        <v>19725.0</v>
      </c>
      <c r="D2924" s="19" t="str">
        <f t="shared" si="1"/>
        <v> </v>
      </c>
      <c r="E2924" s="19" t="str">
        <f t="shared" si="2"/>
        <v> </v>
      </c>
      <c r="F2924" s="21"/>
    </row>
    <row r="2925">
      <c r="A2925" s="19">
        <v>14359.0</v>
      </c>
      <c r="B2925" s="19" t="s">
        <v>2951</v>
      </c>
      <c r="C2925" s="20">
        <v>22662.0</v>
      </c>
      <c r="D2925" s="19" t="str">
        <f t="shared" si="1"/>
        <v> </v>
      </c>
      <c r="E2925" s="19" t="str">
        <f t="shared" si="2"/>
        <v> </v>
      </c>
      <c r="F2925" s="21"/>
    </row>
    <row r="2926">
      <c r="A2926" s="19">
        <v>14360.0</v>
      </c>
      <c r="B2926" s="19" t="s">
        <v>2952</v>
      </c>
      <c r="C2926" s="20">
        <v>25785.0</v>
      </c>
      <c r="D2926" s="19" t="str">
        <f t="shared" si="1"/>
        <v> </v>
      </c>
      <c r="E2926" s="19" t="str">
        <f t="shared" si="2"/>
        <v> </v>
      </c>
      <c r="F2926" s="21"/>
    </row>
    <row r="2927">
      <c r="A2927" s="19">
        <v>14361.0</v>
      </c>
      <c r="B2927" s="19" t="s">
        <v>2953</v>
      </c>
      <c r="C2927" s="20">
        <v>10095.0</v>
      </c>
      <c r="D2927" s="19" t="str">
        <f t="shared" si="1"/>
        <v> </v>
      </c>
      <c r="E2927" s="19" t="str">
        <f t="shared" si="2"/>
        <v> </v>
      </c>
      <c r="F2927" s="21"/>
    </row>
    <row r="2928">
      <c r="A2928" s="19">
        <v>14362.0</v>
      </c>
      <c r="B2928" s="19" t="s">
        <v>2954</v>
      </c>
      <c r="C2928" s="20">
        <v>32801.0</v>
      </c>
      <c r="D2928" s="19" t="str">
        <f t="shared" si="1"/>
        <v> </v>
      </c>
      <c r="E2928" s="19" t="str">
        <f t="shared" si="2"/>
        <v> </v>
      </c>
      <c r="F2928" s="21"/>
    </row>
    <row r="2929">
      <c r="A2929" s="19">
        <v>14363.0</v>
      </c>
      <c r="B2929" s="19" t="s">
        <v>2955</v>
      </c>
      <c r="C2929" s="20">
        <v>27240.0</v>
      </c>
      <c r="D2929" s="19" t="str">
        <f t="shared" si="1"/>
        <v> </v>
      </c>
      <c r="E2929" s="19" t="str">
        <f t="shared" si="2"/>
        <v> </v>
      </c>
      <c r="F2929" s="21"/>
    </row>
    <row r="2930">
      <c r="A2930" s="19">
        <v>14364.0</v>
      </c>
      <c r="B2930" s="19" t="s">
        <v>2956</v>
      </c>
      <c r="C2930" s="20">
        <v>35414.0</v>
      </c>
      <c r="D2930" s="19" t="str">
        <f t="shared" si="1"/>
        <v> </v>
      </c>
      <c r="E2930" s="19" t="str">
        <f t="shared" si="2"/>
        <v> </v>
      </c>
      <c r="F2930" s="21"/>
    </row>
    <row r="2931">
      <c r="A2931" s="19">
        <v>14367.0</v>
      </c>
      <c r="B2931" s="19" t="s">
        <v>2957</v>
      </c>
      <c r="C2931" s="20">
        <v>30917.0</v>
      </c>
      <c r="D2931" s="19" t="str">
        <f t="shared" si="1"/>
        <v> </v>
      </c>
      <c r="E2931" s="19" t="str">
        <f t="shared" si="2"/>
        <v> </v>
      </c>
      <c r="F2931" s="21"/>
    </row>
    <row r="2932">
      <c r="A2932" s="19">
        <v>14368.0</v>
      </c>
      <c r="B2932" s="19" t="s">
        <v>2958</v>
      </c>
      <c r="C2932" s="20">
        <v>14180.0</v>
      </c>
      <c r="D2932" s="19" t="str">
        <f t="shared" si="1"/>
        <v> </v>
      </c>
      <c r="E2932" s="19" t="str">
        <f t="shared" si="2"/>
        <v> </v>
      </c>
      <c r="F2932" s="21"/>
    </row>
    <row r="2933">
      <c r="A2933" s="19">
        <v>14371.0</v>
      </c>
      <c r="B2933" s="19" t="s">
        <v>2959</v>
      </c>
      <c r="C2933" s="20">
        <v>33791.0</v>
      </c>
      <c r="D2933" s="19" t="str">
        <f t="shared" si="1"/>
        <v> </v>
      </c>
      <c r="E2933" s="19" t="str">
        <f t="shared" si="2"/>
        <v> </v>
      </c>
      <c r="F2933" s="21"/>
    </row>
    <row r="2934">
      <c r="A2934" s="19">
        <v>14372.0</v>
      </c>
      <c r="B2934" s="19" t="s">
        <v>2960</v>
      </c>
      <c r="C2934" s="20">
        <v>24866.0</v>
      </c>
      <c r="D2934" s="19" t="str">
        <f t="shared" si="1"/>
        <v> </v>
      </c>
      <c r="E2934" s="19" t="str">
        <f t="shared" si="2"/>
        <v> </v>
      </c>
      <c r="F2934" s="21"/>
    </row>
    <row r="2935">
      <c r="A2935" s="19">
        <v>14373.0</v>
      </c>
      <c r="B2935" s="19" t="s">
        <v>2961</v>
      </c>
      <c r="C2935" s="20">
        <v>28183.0</v>
      </c>
      <c r="D2935" s="19" t="str">
        <f t="shared" si="1"/>
        <v> </v>
      </c>
      <c r="E2935" s="19" t="str">
        <f t="shared" si="2"/>
        <v> </v>
      </c>
      <c r="F2935" s="21"/>
    </row>
    <row r="2936">
      <c r="A2936" s="19">
        <v>14374.0</v>
      </c>
      <c r="B2936" s="19" t="s">
        <v>2962</v>
      </c>
      <c r="C2936" s="20">
        <v>25846.0</v>
      </c>
      <c r="D2936" s="19" t="str">
        <f t="shared" si="1"/>
        <v> </v>
      </c>
      <c r="E2936" s="19" t="str">
        <f t="shared" si="2"/>
        <v> </v>
      </c>
      <c r="F2936" s="21"/>
    </row>
    <row r="2937">
      <c r="A2937" s="19">
        <v>14375.0</v>
      </c>
      <c r="B2937" s="19" t="s">
        <v>2963</v>
      </c>
      <c r="C2937" s="20">
        <v>13104.0</v>
      </c>
      <c r="D2937" s="19" t="str">
        <f t="shared" si="1"/>
        <v> </v>
      </c>
      <c r="E2937" s="19" t="str">
        <f t="shared" si="2"/>
        <v> </v>
      </c>
      <c r="F2937" s="21"/>
    </row>
    <row r="2938">
      <c r="A2938" s="19">
        <v>14376.0</v>
      </c>
      <c r="B2938" s="19" t="s">
        <v>2964</v>
      </c>
      <c r="C2938" s="20">
        <v>19032.0</v>
      </c>
      <c r="D2938" s="19" t="str">
        <f t="shared" si="1"/>
        <v> </v>
      </c>
      <c r="E2938" s="19" t="str">
        <f t="shared" si="2"/>
        <v> </v>
      </c>
      <c r="F2938" s="21"/>
    </row>
    <row r="2939">
      <c r="A2939" s="19">
        <v>14377.0</v>
      </c>
      <c r="B2939" s="19" t="s">
        <v>2965</v>
      </c>
      <c r="C2939" s="20">
        <v>26211.0</v>
      </c>
      <c r="D2939" s="19" t="str">
        <f t="shared" si="1"/>
        <v> </v>
      </c>
      <c r="E2939" s="19" t="str">
        <f t="shared" si="2"/>
        <v> </v>
      </c>
      <c r="F2939" s="21"/>
    </row>
    <row r="2940">
      <c r="A2940" s="19">
        <v>14379.0</v>
      </c>
      <c r="B2940" s="19" t="s">
        <v>2966</v>
      </c>
      <c r="C2940" s="20">
        <v>28485.0</v>
      </c>
      <c r="D2940" s="19" t="str">
        <f t="shared" si="1"/>
        <v> </v>
      </c>
      <c r="E2940" s="19" t="str">
        <f t="shared" si="2"/>
        <v> </v>
      </c>
      <c r="F2940" s="21"/>
    </row>
    <row r="2941">
      <c r="A2941" s="19">
        <v>14381.0</v>
      </c>
      <c r="B2941" s="19" t="s">
        <v>2967</v>
      </c>
      <c r="C2941" s="20">
        <v>16771.0</v>
      </c>
      <c r="D2941" s="19" t="str">
        <f t="shared" si="1"/>
        <v> </v>
      </c>
      <c r="E2941" s="19" t="str">
        <f t="shared" si="2"/>
        <v> </v>
      </c>
      <c r="F2941" s="21"/>
    </row>
    <row r="2942">
      <c r="A2942" s="19">
        <v>14383.0</v>
      </c>
      <c r="B2942" s="19" t="s">
        <v>2968</v>
      </c>
      <c r="C2942" s="20">
        <v>19460.0</v>
      </c>
      <c r="D2942" s="19" t="str">
        <f t="shared" si="1"/>
        <v> </v>
      </c>
      <c r="E2942" s="19" t="str">
        <f t="shared" si="2"/>
        <v> </v>
      </c>
      <c r="F2942" s="21"/>
    </row>
    <row r="2943">
      <c r="A2943" s="19">
        <v>14384.0</v>
      </c>
      <c r="B2943" s="19" t="s">
        <v>2969</v>
      </c>
      <c r="C2943" s="20">
        <v>27807.0</v>
      </c>
      <c r="D2943" s="19" t="str">
        <f t="shared" si="1"/>
        <v> </v>
      </c>
      <c r="E2943" s="19" t="str">
        <f t="shared" si="2"/>
        <v> </v>
      </c>
      <c r="F2943" s="21"/>
    </row>
    <row r="2944">
      <c r="A2944" s="19">
        <v>14385.0</v>
      </c>
      <c r="B2944" s="19" t="s">
        <v>2970</v>
      </c>
      <c r="C2944" s="20">
        <v>15808.0</v>
      </c>
      <c r="D2944" s="19" t="str">
        <f t="shared" si="1"/>
        <v> </v>
      </c>
      <c r="E2944" s="19" t="str">
        <f t="shared" si="2"/>
        <v> </v>
      </c>
      <c r="F2944" s="21"/>
    </row>
    <row r="2945">
      <c r="A2945" s="19">
        <v>14386.0</v>
      </c>
      <c r="B2945" s="19" t="s">
        <v>2971</v>
      </c>
      <c r="C2945" s="20">
        <v>19365.0</v>
      </c>
      <c r="D2945" s="19" t="str">
        <f t="shared" si="1"/>
        <v> </v>
      </c>
      <c r="E2945" s="19" t="str">
        <f t="shared" si="2"/>
        <v> </v>
      </c>
      <c r="F2945" s="21"/>
    </row>
    <row r="2946">
      <c r="A2946" s="19">
        <v>14387.0</v>
      </c>
      <c r="B2946" s="19" t="s">
        <v>2972</v>
      </c>
      <c r="C2946" s="20">
        <v>23397.0</v>
      </c>
      <c r="D2946" s="19" t="str">
        <f t="shared" si="1"/>
        <v> </v>
      </c>
      <c r="E2946" s="19" t="str">
        <f t="shared" si="2"/>
        <v> </v>
      </c>
      <c r="F2946" s="21"/>
    </row>
    <row r="2947">
      <c r="A2947" s="19">
        <v>14388.0</v>
      </c>
      <c r="B2947" s="19" t="s">
        <v>2973</v>
      </c>
      <c r="C2947" s="20">
        <v>20264.0</v>
      </c>
      <c r="D2947" s="19" t="str">
        <f t="shared" si="1"/>
        <v> </v>
      </c>
      <c r="E2947" s="19" t="str">
        <f t="shared" si="2"/>
        <v> </v>
      </c>
      <c r="F2947" s="21"/>
    </row>
    <row r="2948">
      <c r="A2948" s="19">
        <v>14390.0</v>
      </c>
      <c r="B2948" s="19" t="s">
        <v>2974</v>
      </c>
      <c r="C2948" s="20">
        <v>19605.0</v>
      </c>
      <c r="D2948" s="19" t="str">
        <f t="shared" si="1"/>
        <v> </v>
      </c>
      <c r="E2948" s="19" t="str">
        <f t="shared" si="2"/>
        <v> </v>
      </c>
      <c r="F2948" s="21"/>
    </row>
    <row r="2949">
      <c r="A2949" s="19">
        <v>14391.0</v>
      </c>
      <c r="B2949" s="19" t="s">
        <v>2975</v>
      </c>
      <c r="C2949" s="20">
        <v>30997.0</v>
      </c>
      <c r="D2949" s="19" t="str">
        <f t="shared" si="1"/>
        <v> </v>
      </c>
      <c r="E2949" s="19" t="str">
        <f t="shared" si="2"/>
        <v> </v>
      </c>
      <c r="F2949" s="21"/>
    </row>
    <row r="2950">
      <c r="A2950" s="19">
        <v>14392.0</v>
      </c>
      <c r="B2950" s="19" t="s">
        <v>2976</v>
      </c>
      <c r="C2950" s="20">
        <v>21549.0</v>
      </c>
      <c r="D2950" s="19" t="str">
        <f t="shared" si="1"/>
        <v> </v>
      </c>
      <c r="E2950" s="19" t="str">
        <f t="shared" si="2"/>
        <v> </v>
      </c>
      <c r="F2950" s="21"/>
    </row>
    <row r="2951">
      <c r="A2951" s="19">
        <v>14393.0</v>
      </c>
      <c r="B2951" s="19" t="s">
        <v>2977</v>
      </c>
      <c r="C2951" s="20">
        <v>14127.0</v>
      </c>
      <c r="D2951" s="19" t="str">
        <f t="shared" si="1"/>
        <v> </v>
      </c>
      <c r="E2951" s="19" t="str">
        <f t="shared" si="2"/>
        <v> </v>
      </c>
      <c r="F2951" s="21"/>
    </row>
    <row r="2952">
      <c r="A2952" s="19">
        <v>14395.0</v>
      </c>
      <c r="B2952" s="19" t="s">
        <v>2978</v>
      </c>
      <c r="C2952" s="20">
        <v>22705.0</v>
      </c>
      <c r="D2952" s="19" t="str">
        <f t="shared" si="1"/>
        <v> </v>
      </c>
      <c r="E2952" s="19" t="str">
        <f t="shared" si="2"/>
        <v> </v>
      </c>
      <c r="F2952" s="21"/>
    </row>
    <row r="2953">
      <c r="A2953" s="19">
        <v>14396.0</v>
      </c>
      <c r="B2953" s="19" t="s">
        <v>2979</v>
      </c>
      <c r="C2953" s="20">
        <v>16525.0</v>
      </c>
      <c r="D2953" s="19" t="str">
        <f t="shared" si="1"/>
        <v> </v>
      </c>
      <c r="E2953" s="19" t="str">
        <f t="shared" si="2"/>
        <v> </v>
      </c>
      <c r="F2953" s="21"/>
    </row>
    <row r="2954">
      <c r="A2954" s="19">
        <v>14398.0</v>
      </c>
      <c r="B2954" s="19" t="s">
        <v>2980</v>
      </c>
      <c r="C2954" s="20">
        <v>16079.0</v>
      </c>
      <c r="D2954" s="19" t="str">
        <f t="shared" si="1"/>
        <v> </v>
      </c>
      <c r="E2954" s="19" t="str">
        <f t="shared" si="2"/>
        <v> </v>
      </c>
      <c r="F2954" s="21"/>
    </row>
    <row r="2955">
      <c r="A2955" s="19">
        <v>14401.0</v>
      </c>
      <c r="B2955" s="19" t="s">
        <v>2981</v>
      </c>
      <c r="C2955" s="20">
        <v>12436.0</v>
      </c>
      <c r="D2955" s="19" t="str">
        <f t="shared" si="1"/>
        <v> </v>
      </c>
      <c r="E2955" s="19" t="str">
        <f t="shared" si="2"/>
        <v> </v>
      </c>
      <c r="F2955" s="21"/>
    </row>
    <row r="2956">
      <c r="A2956" s="19">
        <v>14402.0</v>
      </c>
      <c r="B2956" s="19" t="s">
        <v>2982</v>
      </c>
      <c r="C2956" s="20">
        <v>19473.0</v>
      </c>
      <c r="D2956" s="19" t="str">
        <f t="shared" si="1"/>
        <v> </v>
      </c>
      <c r="E2956" s="19" t="str">
        <f t="shared" si="2"/>
        <v> </v>
      </c>
      <c r="F2956" s="21"/>
    </row>
    <row r="2957">
      <c r="A2957" s="19">
        <v>14403.0</v>
      </c>
      <c r="B2957" s="19" t="s">
        <v>2983</v>
      </c>
      <c r="C2957" s="20">
        <v>22013.0</v>
      </c>
      <c r="D2957" s="19" t="str">
        <f t="shared" si="1"/>
        <v> </v>
      </c>
      <c r="E2957" s="19" t="str">
        <f t="shared" si="2"/>
        <v> </v>
      </c>
      <c r="F2957" s="21"/>
    </row>
    <row r="2958">
      <c r="A2958" s="19">
        <v>14404.0</v>
      </c>
      <c r="B2958" s="19" t="s">
        <v>2984</v>
      </c>
      <c r="C2958" s="20">
        <v>21878.0</v>
      </c>
      <c r="D2958" s="19" t="str">
        <f t="shared" si="1"/>
        <v> </v>
      </c>
      <c r="E2958" s="19" t="str">
        <f t="shared" si="2"/>
        <v> </v>
      </c>
      <c r="F2958" s="21"/>
    </row>
    <row r="2959">
      <c r="A2959" s="19">
        <v>14406.0</v>
      </c>
      <c r="B2959" s="19" t="s">
        <v>2985</v>
      </c>
      <c r="C2959" s="20">
        <v>28161.0</v>
      </c>
      <c r="D2959" s="19" t="str">
        <f t="shared" si="1"/>
        <v> </v>
      </c>
      <c r="E2959" s="19" t="str">
        <f t="shared" si="2"/>
        <v> </v>
      </c>
      <c r="F2959" s="21"/>
    </row>
    <row r="2960">
      <c r="A2960" s="19">
        <v>14407.0</v>
      </c>
      <c r="B2960" s="19" t="s">
        <v>2986</v>
      </c>
      <c r="C2960" s="20">
        <v>21917.0</v>
      </c>
      <c r="D2960" s="19" t="str">
        <f t="shared" si="1"/>
        <v> </v>
      </c>
      <c r="E2960" s="19" t="str">
        <f t="shared" si="2"/>
        <v> </v>
      </c>
      <c r="F2960" s="21"/>
    </row>
    <row r="2961">
      <c r="A2961" s="19">
        <v>14409.0</v>
      </c>
      <c r="B2961" s="19" t="s">
        <v>2987</v>
      </c>
      <c r="C2961" s="20">
        <v>15632.0</v>
      </c>
      <c r="D2961" s="19" t="str">
        <f t="shared" si="1"/>
        <v> </v>
      </c>
      <c r="E2961" s="19" t="str">
        <f t="shared" si="2"/>
        <v> </v>
      </c>
      <c r="F2961" s="21"/>
    </row>
    <row r="2962">
      <c r="A2962" s="19">
        <v>14410.0</v>
      </c>
      <c r="B2962" s="19" t="s">
        <v>2988</v>
      </c>
      <c r="C2962" s="20">
        <v>14388.0</v>
      </c>
      <c r="D2962" s="19" t="str">
        <f t="shared" si="1"/>
        <v> </v>
      </c>
      <c r="E2962" s="19" t="str">
        <f t="shared" si="2"/>
        <v> </v>
      </c>
      <c r="F2962" s="21"/>
    </row>
    <row r="2963">
      <c r="A2963" s="19">
        <v>14411.0</v>
      </c>
      <c r="B2963" s="19" t="s">
        <v>2989</v>
      </c>
      <c r="C2963" s="20">
        <v>20328.0</v>
      </c>
      <c r="D2963" s="19" t="str">
        <f t="shared" si="1"/>
        <v> </v>
      </c>
      <c r="E2963" s="19" t="str">
        <f t="shared" si="2"/>
        <v> </v>
      </c>
      <c r="F2963" s="21"/>
    </row>
    <row r="2964">
      <c r="A2964" s="19">
        <v>14413.0</v>
      </c>
      <c r="B2964" s="19" t="s">
        <v>2990</v>
      </c>
      <c r="C2964" s="20">
        <v>22653.0</v>
      </c>
      <c r="D2964" s="19" t="str">
        <f t="shared" si="1"/>
        <v> </v>
      </c>
      <c r="E2964" s="19" t="str">
        <f t="shared" si="2"/>
        <v> </v>
      </c>
      <c r="F2964" s="21"/>
    </row>
    <row r="2965">
      <c r="A2965" s="19">
        <v>14414.0</v>
      </c>
      <c r="B2965" s="19" t="s">
        <v>2991</v>
      </c>
      <c r="C2965" s="20">
        <v>20051.0</v>
      </c>
      <c r="D2965" s="19" t="str">
        <f t="shared" si="1"/>
        <v> </v>
      </c>
      <c r="E2965" s="19" t="str">
        <f t="shared" si="2"/>
        <v> </v>
      </c>
      <c r="F2965" s="21"/>
    </row>
    <row r="2966">
      <c r="A2966" s="19">
        <v>14415.0</v>
      </c>
      <c r="B2966" s="19" t="s">
        <v>2992</v>
      </c>
      <c r="C2966" s="20">
        <v>24214.0</v>
      </c>
      <c r="D2966" s="19" t="str">
        <f t="shared" si="1"/>
        <v> </v>
      </c>
      <c r="E2966" s="19" t="str">
        <f t="shared" si="2"/>
        <v> </v>
      </c>
      <c r="F2966" s="21"/>
    </row>
    <row r="2967">
      <c r="A2967" s="19">
        <v>14416.0</v>
      </c>
      <c r="B2967" s="19" t="s">
        <v>2993</v>
      </c>
      <c r="C2967" s="20">
        <v>26484.0</v>
      </c>
      <c r="D2967" s="19" t="str">
        <f t="shared" si="1"/>
        <v> </v>
      </c>
      <c r="E2967" s="19" t="str">
        <f t="shared" si="2"/>
        <v> </v>
      </c>
      <c r="F2967" s="21"/>
    </row>
    <row r="2968">
      <c r="A2968" s="19">
        <v>14417.0</v>
      </c>
      <c r="B2968" s="19" t="s">
        <v>2994</v>
      </c>
      <c r="C2968" s="20">
        <v>32314.0</v>
      </c>
      <c r="D2968" s="19" t="str">
        <f t="shared" si="1"/>
        <v> </v>
      </c>
      <c r="E2968" s="19" t="str">
        <f t="shared" si="2"/>
        <v> </v>
      </c>
      <c r="F2968" s="21"/>
    </row>
    <row r="2969">
      <c r="A2969" s="19">
        <v>14419.0</v>
      </c>
      <c r="B2969" s="19" t="s">
        <v>2995</v>
      </c>
      <c r="C2969" s="20">
        <v>19617.0</v>
      </c>
      <c r="D2969" s="19" t="str">
        <f t="shared" si="1"/>
        <v> </v>
      </c>
      <c r="E2969" s="19" t="str">
        <f t="shared" si="2"/>
        <v> </v>
      </c>
      <c r="F2969" s="21"/>
    </row>
    <row r="2970">
      <c r="A2970" s="19">
        <v>14420.0</v>
      </c>
      <c r="B2970" s="19" t="s">
        <v>2996</v>
      </c>
      <c r="C2970" s="20">
        <v>23277.0</v>
      </c>
      <c r="D2970" s="19" t="str">
        <f t="shared" si="1"/>
        <v> </v>
      </c>
      <c r="E2970" s="19" t="str">
        <f t="shared" si="2"/>
        <v> </v>
      </c>
      <c r="F2970" s="21"/>
    </row>
    <row r="2971">
      <c r="A2971" s="19">
        <v>14421.0</v>
      </c>
      <c r="B2971" s="19" t="s">
        <v>2997</v>
      </c>
      <c r="C2971" s="20">
        <v>26326.0</v>
      </c>
      <c r="D2971" s="19" t="str">
        <f t="shared" si="1"/>
        <v> </v>
      </c>
      <c r="E2971" s="19" t="str">
        <f t="shared" si="2"/>
        <v> </v>
      </c>
      <c r="F2971" s="21"/>
    </row>
    <row r="2972">
      <c r="A2972" s="19">
        <v>14422.0</v>
      </c>
      <c r="B2972" s="19" t="s">
        <v>2998</v>
      </c>
      <c r="C2972" s="20">
        <v>30841.0</v>
      </c>
      <c r="D2972" s="19" t="str">
        <f t="shared" si="1"/>
        <v> </v>
      </c>
      <c r="E2972" s="19" t="str">
        <f t="shared" si="2"/>
        <v> </v>
      </c>
      <c r="F2972" s="21"/>
    </row>
    <row r="2973">
      <c r="A2973" s="19">
        <v>14423.0</v>
      </c>
      <c r="B2973" s="19" t="s">
        <v>2999</v>
      </c>
      <c r="C2973" s="20">
        <v>19690.0</v>
      </c>
      <c r="D2973" s="19" t="str">
        <f t="shared" si="1"/>
        <v> </v>
      </c>
      <c r="E2973" s="19" t="str">
        <f t="shared" si="2"/>
        <v> </v>
      </c>
      <c r="F2973" s="21"/>
    </row>
    <row r="2974">
      <c r="A2974" s="19">
        <v>14424.0</v>
      </c>
      <c r="B2974" s="19" t="s">
        <v>3000</v>
      </c>
      <c r="C2974" s="20">
        <v>23030.0</v>
      </c>
      <c r="D2974" s="19" t="str">
        <f t="shared" si="1"/>
        <v> </v>
      </c>
      <c r="E2974" s="19" t="str">
        <f t="shared" si="2"/>
        <v> </v>
      </c>
      <c r="F2974" s="21"/>
    </row>
    <row r="2975">
      <c r="A2975" s="19">
        <v>14425.0</v>
      </c>
      <c r="B2975" s="19" t="s">
        <v>3001</v>
      </c>
      <c r="C2975" s="20">
        <v>33435.0</v>
      </c>
      <c r="D2975" s="19" t="str">
        <f t="shared" si="1"/>
        <v> </v>
      </c>
      <c r="E2975" s="19" t="str">
        <f t="shared" si="2"/>
        <v> </v>
      </c>
      <c r="F2975" s="21"/>
    </row>
    <row r="2976">
      <c r="A2976" s="19">
        <v>14427.0</v>
      </c>
      <c r="B2976" s="19" t="s">
        <v>3002</v>
      </c>
      <c r="C2976" s="20">
        <v>12094.0</v>
      </c>
      <c r="D2976" s="19" t="str">
        <f t="shared" si="1"/>
        <v> </v>
      </c>
      <c r="E2976" s="19" t="str">
        <f t="shared" si="2"/>
        <v> </v>
      </c>
      <c r="F2976" s="21"/>
    </row>
    <row r="2977">
      <c r="A2977" s="19">
        <v>14429.0</v>
      </c>
      <c r="B2977" s="19" t="s">
        <v>3003</v>
      </c>
      <c r="C2977" s="20">
        <v>31555.0</v>
      </c>
      <c r="D2977" s="19" t="str">
        <f t="shared" si="1"/>
        <v> </v>
      </c>
      <c r="E2977" s="19" t="str">
        <f t="shared" si="2"/>
        <v> </v>
      </c>
      <c r="F2977" s="21"/>
    </row>
    <row r="2978">
      <c r="A2978" s="19">
        <v>14433.0</v>
      </c>
      <c r="B2978" s="19" t="s">
        <v>3004</v>
      </c>
      <c r="C2978" s="20">
        <v>26535.0</v>
      </c>
      <c r="D2978" s="19" t="str">
        <f t="shared" si="1"/>
        <v> </v>
      </c>
      <c r="E2978" s="19" t="str">
        <f t="shared" si="2"/>
        <v> </v>
      </c>
      <c r="F2978" s="21"/>
    </row>
    <row r="2979">
      <c r="A2979" s="19">
        <v>14434.0</v>
      </c>
      <c r="B2979" s="19" t="s">
        <v>3005</v>
      </c>
      <c r="C2979" s="20">
        <v>22526.0</v>
      </c>
      <c r="D2979" s="19" t="str">
        <f t="shared" si="1"/>
        <v> </v>
      </c>
      <c r="E2979" s="19" t="str">
        <f t="shared" si="2"/>
        <v> </v>
      </c>
      <c r="F2979" s="21"/>
    </row>
    <row r="2980">
      <c r="A2980" s="19">
        <v>14436.0</v>
      </c>
      <c r="B2980" s="19" t="s">
        <v>3006</v>
      </c>
      <c r="C2980" s="20">
        <v>20101.0</v>
      </c>
      <c r="D2980" s="19" t="str">
        <f t="shared" si="1"/>
        <v> </v>
      </c>
      <c r="E2980" s="19" t="str">
        <f t="shared" si="2"/>
        <v> </v>
      </c>
      <c r="F2980" s="21"/>
    </row>
    <row r="2981">
      <c r="A2981" s="19">
        <v>14438.0</v>
      </c>
      <c r="B2981" s="19" t="s">
        <v>3007</v>
      </c>
      <c r="C2981" s="20">
        <v>31526.0</v>
      </c>
      <c r="D2981" s="19" t="str">
        <f t="shared" si="1"/>
        <v> </v>
      </c>
      <c r="E2981" s="19" t="str">
        <f t="shared" si="2"/>
        <v> </v>
      </c>
      <c r="F2981" s="21"/>
    </row>
    <row r="2982">
      <c r="A2982" s="19">
        <v>14442.0</v>
      </c>
      <c r="B2982" s="19" t="s">
        <v>3008</v>
      </c>
      <c r="C2982" s="20">
        <v>36358.0</v>
      </c>
      <c r="D2982" s="19" t="str">
        <f t="shared" si="1"/>
        <v> </v>
      </c>
      <c r="E2982" s="19" t="str">
        <f t="shared" si="2"/>
        <v> </v>
      </c>
      <c r="F2982" s="21"/>
    </row>
    <row r="2983">
      <c r="A2983" s="19">
        <v>14443.0</v>
      </c>
      <c r="B2983" s="19" t="s">
        <v>3009</v>
      </c>
      <c r="C2983" s="20">
        <v>20672.0</v>
      </c>
      <c r="D2983" s="19" t="str">
        <f t="shared" si="1"/>
        <v> </v>
      </c>
      <c r="E2983" s="19" t="str">
        <f t="shared" si="2"/>
        <v> </v>
      </c>
      <c r="F2983" s="21"/>
    </row>
    <row r="2984">
      <c r="A2984" s="19">
        <v>14444.0</v>
      </c>
      <c r="B2984" s="19" t="s">
        <v>3010</v>
      </c>
      <c r="C2984" s="20">
        <v>10845.0</v>
      </c>
      <c r="D2984" s="19" t="str">
        <f t="shared" si="1"/>
        <v> </v>
      </c>
      <c r="E2984" s="19" t="str">
        <f t="shared" si="2"/>
        <v> </v>
      </c>
      <c r="F2984" s="21"/>
    </row>
    <row r="2985">
      <c r="A2985" s="19">
        <v>14445.0</v>
      </c>
      <c r="B2985" s="19" t="s">
        <v>3011</v>
      </c>
      <c r="C2985" s="20">
        <v>36474.0</v>
      </c>
      <c r="D2985" s="19" t="str">
        <f t="shared" si="1"/>
        <v> </v>
      </c>
      <c r="E2985" s="19" t="str">
        <f t="shared" si="2"/>
        <v> </v>
      </c>
      <c r="F2985" s="21"/>
    </row>
    <row r="2986">
      <c r="A2986" s="19">
        <v>14447.0</v>
      </c>
      <c r="B2986" s="19" t="s">
        <v>3012</v>
      </c>
      <c r="C2986" s="20">
        <v>20541.0</v>
      </c>
      <c r="D2986" s="19" t="str">
        <f t="shared" si="1"/>
        <v> </v>
      </c>
      <c r="E2986" s="19" t="str">
        <f t="shared" si="2"/>
        <v> </v>
      </c>
      <c r="F2986" s="21"/>
    </row>
    <row r="2987">
      <c r="A2987" s="19">
        <v>14450.0</v>
      </c>
      <c r="B2987" s="19" t="s">
        <v>3013</v>
      </c>
      <c r="C2987" s="20">
        <v>19010.0</v>
      </c>
      <c r="D2987" s="19" t="str">
        <f t="shared" si="1"/>
        <v> </v>
      </c>
      <c r="E2987" s="19" t="str">
        <f t="shared" si="2"/>
        <v> </v>
      </c>
      <c r="F2987" s="21"/>
    </row>
    <row r="2988">
      <c r="A2988" s="19">
        <v>14451.0</v>
      </c>
      <c r="B2988" s="19" t="s">
        <v>3014</v>
      </c>
      <c r="C2988" s="20">
        <v>20706.0</v>
      </c>
      <c r="D2988" s="19" t="str">
        <f t="shared" si="1"/>
        <v> </v>
      </c>
      <c r="E2988" s="19" t="str">
        <f t="shared" si="2"/>
        <v> </v>
      </c>
      <c r="F2988" s="21"/>
    </row>
    <row r="2989">
      <c r="A2989" s="19">
        <v>14452.0</v>
      </c>
      <c r="B2989" s="19" t="s">
        <v>3015</v>
      </c>
      <c r="C2989" s="20">
        <v>33356.0</v>
      </c>
      <c r="D2989" s="19" t="str">
        <f t="shared" si="1"/>
        <v> </v>
      </c>
      <c r="E2989" s="19" t="str">
        <f t="shared" si="2"/>
        <v> </v>
      </c>
      <c r="F2989" s="21"/>
    </row>
    <row r="2990">
      <c r="A2990" s="19">
        <v>14453.0</v>
      </c>
      <c r="B2990" s="19" t="s">
        <v>3016</v>
      </c>
      <c r="C2990" s="20">
        <v>19690.0</v>
      </c>
      <c r="D2990" s="19" t="str">
        <f t="shared" si="1"/>
        <v> </v>
      </c>
      <c r="E2990" s="19" t="str">
        <f t="shared" si="2"/>
        <v> </v>
      </c>
      <c r="F2990" s="21"/>
    </row>
    <row r="2991">
      <c r="A2991" s="19">
        <v>14454.0</v>
      </c>
      <c r="B2991" s="19" t="s">
        <v>3017</v>
      </c>
      <c r="C2991" s="20">
        <v>20458.0</v>
      </c>
      <c r="D2991" s="19" t="str">
        <f t="shared" si="1"/>
        <v> </v>
      </c>
      <c r="E2991" s="19" t="str">
        <f t="shared" si="2"/>
        <v> </v>
      </c>
      <c r="F2991" s="21"/>
    </row>
    <row r="2992">
      <c r="A2992" s="19">
        <v>14455.0</v>
      </c>
      <c r="B2992" s="19" t="s">
        <v>3018</v>
      </c>
      <c r="C2992" s="20">
        <v>24528.0</v>
      </c>
      <c r="D2992" s="19" t="str">
        <f t="shared" si="1"/>
        <v> </v>
      </c>
      <c r="E2992" s="19" t="str">
        <f t="shared" si="2"/>
        <v> </v>
      </c>
      <c r="F2992" s="21"/>
    </row>
    <row r="2993">
      <c r="A2993" s="19">
        <v>14457.0</v>
      </c>
      <c r="B2993" s="19" t="s">
        <v>3019</v>
      </c>
      <c r="C2993" s="20">
        <v>16279.0</v>
      </c>
      <c r="D2993" s="19" t="str">
        <f t="shared" si="1"/>
        <v> </v>
      </c>
      <c r="E2993" s="19" t="str">
        <f t="shared" si="2"/>
        <v> </v>
      </c>
      <c r="F2993" s="21"/>
    </row>
    <row r="2994">
      <c r="A2994" s="19">
        <v>14461.0</v>
      </c>
      <c r="B2994" s="19" t="s">
        <v>3020</v>
      </c>
      <c r="C2994" s="20">
        <v>20114.0</v>
      </c>
      <c r="D2994" s="19" t="str">
        <f t="shared" si="1"/>
        <v> </v>
      </c>
      <c r="E2994" s="19" t="str">
        <f t="shared" si="2"/>
        <v> </v>
      </c>
      <c r="F2994" s="21"/>
    </row>
    <row r="2995">
      <c r="A2995" s="19">
        <v>14462.0</v>
      </c>
      <c r="B2995" s="19" t="s">
        <v>3021</v>
      </c>
      <c r="C2995" s="20">
        <v>26281.0</v>
      </c>
      <c r="D2995" s="19" t="str">
        <f t="shared" si="1"/>
        <v> </v>
      </c>
      <c r="E2995" s="19" t="str">
        <f t="shared" si="2"/>
        <v> </v>
      </c>
      <c r="F2995" s="21"/>
    </row>
    <row r="2996">
      <c r="A2996" s="19">
        <v>14463.0</v>
      </c>
      <c r="B2996" s="19" t="s">
        <v>3022</v>
      </c>
      <c r="C2996" s="20">
        <v>31037.0</v>
      </c>
      <c r="D2996" s="19" t="str">
        <f t="shared" si="1"/>
        <v> </v>
      </c>
      <c r="E2996" s="19" t="str">
        <f t="shared" si="2"/>
        <v> </v>
      </c>
      <c r="F2996" s="21"/>
    </row>
    <row r="2997">
      <c r="A2997" s="19">
        <v>14464.0</v>
      </c>
      <c r="B2997" s="19" t="s">
        <v>3023</v>
      </c>
      <c r="C2997" s="20">
        <v>26486.0</v>
      </c>
      <c r="D2997" s="19" t="str">
        <f t="shared" si="1"/>
        <v> </v>
      </c>
      <c r="E2997" s="19" t="str">
        <f t="shared" si="2"/>
        <v> </v>
      </c>
      <c r="F2997" s="21"/>
    </row>
    <row r="2998">
      <c r="A2998" s="19">
        <v>14465.0</v>
      </c>
      <c r="B2998" s="19" t="s">
        <v>3024</v>
      </c>
      <c r="C2998" s="20">
        <v>18173.0</v>
      </c>
      <c r="D2998" s="19" t="str">
        <f t="shared" si="1"/>
        <v> </v>
      </c>
      <c r="E2998" s="19" t="str">
        <f t="shared" si="2"/>
        <v> </v>
      </c>
      <c r="F2998" s="21"/>
    </row>
    <row r="2999">
      <c r="A2999" s="19">
        <v>14466.0</v>
      </c>
      <c r="B2999" s="19" t="s">
        <v>3025</v>
      </c>
      <c r="C2999" s="20">
        <v>15805.0</v>
      </c>
      <c r="D2999" s="19" t="str">
        <f t="shared" si="1"/>
        <v> </v>
      </c>
      <c r="E2999" s="19" t="str">
        <f t="shared" si="2"/>
        <v> </v>
      </c>
      <c r="F2999" s="21"/>
    </row>
    <row r="3000">
      <c r="A3000" s="19">
        <v>14467.0</v>
      </c>
      <c r="B3000" s="19" t="s">
        <v>3026</v>
      </c>
      <c r="C3000" s="20">
        <v>24809.0</v>
      </c>
      <c r="D3000" s="19" t="str">
        <f t="shared" si="1"/>
        <v> </v>
      </c>
      <c r="E3000" s="19" t="str">
        <f t="shared" si="2"/>
        <v> </v>
      </c>
      <c r="F3000" s="21"/>
    </row>
    <row r="3001">
      <c r="A3001" s="19">
        <v>14468.0</v>
      </c>
      <c r="B3001" s="19" t="s">
        <v>3027</v>
      </c>
      <c r="C3001" s="20">
        <v>23939.0</v>
      </c>
      <c r="D3001" s="19" t="str">
        <f t="shared" si="1"/>
        <v> </v>
      </c>
      <c r="E3001" s="19" t="str">
        <f t="shared" si="2"/>
        <v> </v>
      </c>
      <c r="F3001" s="21"/>
    </row>
    <row r="3002">
      <c r="A3002" s="19">
        <v>14469.0</v>
      </c>
      <c r="B3002" s="19" t="s">
        <v>3028</v>
      </c>
      <c r="C3002" s="20">
        <v>13712.0</v>
      </c>
      <c r="D3002" s="19" t="str">
        <f t="shared" si="1"/>
        <v> </v>
      </c>
      <c r="E3002" s="19" t="str">
        <f t="shared" si="2"/>
        <v> </v>
      </c>
      <c r="F3002" s="21"/>
    </row>
    <row r="3003">
      <c r="A3003" s="19">
        <v>14471.0</v>
      </c>
      <c r="B3003" s="19" t="s">
        <v>3029</v>
      </c>
      <c r="C3003" s="20">
        <v>22550.0</v>
      </c>
      <c r="D3003" s="19" t="str">
        <f t="shared" si="1"/>
        <v> </v>
      </c>
      <c r="E3003" s="19" t="str">
        <f t="shared" si="2"/>
        <v> </v>
      </c>
      <c r="F3003" s="21"/>
    </row>
    <row r="3004">
      <c r="A3004" s="19">
        <v>14472.0</v>
      </c>
      <c r="B3004" s="19" t="s">
        <v>3030</v>
      </c>
      <c r="C3004" s="20">
        <v>36208.0</v>
      </c>
      <c r="D3004" s="19" t="str">
        <f t="shared" si="1"/>
        <v> </v>
      </c>
      <c r="E3004" s="19" t="str">
        <f t="shared" si="2"/>
        <v> </v>
      </c>
      <c r="F3004" s="21"/>
    </row>
    <row r="3005">
      <c r="A3005" s="19">
        <v>14473.0</v>
      </c>
      <c r="B3005" s="19" t="s">
        <v>3031</v>
      </c>
      <c r="C3005" s="20">
        <v>24541.0</v>
      </c>
      <c r="D3005" s="19" t="str">
        <f t="shared" si="1"/>
        <v> </v>
      </c>
      <c r="E3005" s="19" t="str">
        <f t="shared" si="2"/>
        <v> </v>
      </c>
      <c r="F3005" s="21"/>
    </row>
    <row r="3006">
      <c r="A3006" s="19">
        <v>14474.0</v>
      </c>
      <c r="B3006" s="19" t="s">
        <v>3032</v>
      </c>
      <c r="C3006" s="20">
        <v>29775.0</v>
      </c>
      <c r="D3006" s="19" t="str">
        <f t="shared" si="1"/>
        <v> </v>
      </c>
      <c r="E3006" s="19" t="str">
        <f t="shared" si="2"/>
        <v> </v>
      </c>
      <c r="F3006" s="21"/>
    </row>
    <row r="3007">
      <c r="A3007" s="19">
        <v>14475.0</v>
      </c>
      <c r="B3007" s="19" t="s">
        <v>3033</v>
      </c>
      <c r="C3007" s="20">
        <v>33557.0</v>
      </c>
      <c r="D3007" s="19" t="str">
        <f t="shared" si="1"/>
        <v> </v>
      </c>
      <c r="E3007" s="19" t="str">
        <f t="shared" si="2"/>
        <v> </v>
      </c>
      <c r="F3007" s="21"/>
    </row>
    <row r="3008">
      <c r="A3008" s="19">
        <v>14476.0</v>
      </c>
      <c r="B3008" s="19" t="s">
        <v>3034</v>
      </c>
      <c r="C3008" s="20">
        <v>29663.0</v>
      </c>
      <c r="D3008" s="19" t="str">
        <f t="shared" si="1"/>
        <v> </v>
      </c>
      <c r="E3008" s="19" t="str">
        <f t="shared" si="2"/>
        <v> </v>
      </c>
      <c r="F3008" s="21"/>
    </row>
    <row r="3009">
      <c r="A3009" s="19">
        <v>14477.0</v>
      </c>
      <c r="B3009" s="19" t="s">
        <v>3035</v>
      </c>
      <c r="C3009" s="20">
        <v>26501.0</v>
      </c>
      <c r="D3009" s="19" t="str">
        <f t="shared" si="1"/>
        <v> </v>
      </c>
      <c r="E3009" s="19" t="str">
        <f t="shared" si="2"/>
        <v> </v>
      </c>
      <c r="F3009" s="21"/>
    </row>
    <row r="3010">
      <c r="A3010" s="19">
        <v>14480.0</v>
      </c>
      <c r="B3010" s="19" t="s">
        <v>3036</v>
      </c>
      <c r="C3010" s="20">
        <v>28109.0</v>
      </c>
      <c r="D3010" s="19" t="str">
        <f t="shared" si="1"/>
        <v> </v>
      </c>
      <c r="E3010" s="19" t="str">
        <f t="shared" si="2"/>
        <v> </v>
      </c>
      <c r="F3010" s="21"/>
    </row>
    <row r="3011">
      <c r="A3011" s="19">
        <v>14481.0</v>
      </c>
      <c r="B3011" s="19" t="s">
        <v>3037</v>
      </c>
      <c r="C3011" s="20">
        <v>25440.0</v>
      </c>
      <c r="D3011" s="19" t="str">
        <f t="shared" si="1"/>
        <v> </v>
      </c>
      <c r="E3011" s="19" t="str">
        <f t="shared" si="2"/>
        <v> </v>
      </c>
      <c r="F3011" s="21"/>
    </row>
    <row r="3012">
      <c r="A3012" s="19">
        <v>14482.0</v>
      </c>
      <c r="B3012" s="19" t="s">
        <v>3038</v>
      </c>
      <c r="C3012" s="20">
        <v>22304.0</v>
      </c>
      <c r="D3012" s="19" t="str">
        <f t="shared" si="1"/>
        <v> </v>
      </c>
      <c r="E3012" s="19" t="str">
        <f t="shared" si="2"/>
        <v> </v>
      </c>
      <c r="F3012" s="21"/>
    </row>
    <row r="3013">
      <c r="A3013" s="19">
        <v>14483.0</v>
      </c>
      <c r="B3013" s="19" t="s">
        <v>3039</v>
      </c>
      <c r="C3013" s="20">
        <v>22579.0</v>
      </c>
      <c r="D3013" s="19" t="str">
        <f t="shared" si="1"/>
        <v> </v>
      </c>
      <c r="E3013" s="19" t="str">
        <f t="shared" si="2"/>
        <v> </v>
      </c>
      <c r="F3013" s="21"/>
    </row>
    <row r="3014">
      <c r="A3014" s="19">
        <v>14484.0</v>
      </c>
      <c r="B3014" s="19" t="s">
        <v>3040</v>
      </c>
      <c r="C3014" s="20">
        <v>16476.0</v>
      </c>
      <c r="D3014" s="19" t="str">
        <f t="shared" si="1"/>
        <v> </v>
      </c>
      <c r="E3014" s="19" t="str">
        <f t="shared" si="2"/>
        <v> </v>
      </c>
      <c r="F3014" s="21"/>
    </row>
    <row r="3015">
      <c r="A3015" s="19">
        <v>14485.0</v>
      </c>
      <c r="B3015" s="19" t="s">
        <v>3041</v>
      </c>
      <c r="C3015" s="20">
        <v>17670.0</v>
      </c>
      <c r="D3015" s="19" t="str">
        <f t="shared" si="1"/>
        <v> </v>
      </c>
      <c r="E3015" s="19" t="str">
        <f t="shared" si="2"/>
        <v> </v>
      </c>
      <c r="F3015" s="21"/>
    </row>
    <row r="3016">
      <c r="A3016" s="19">
        <v>14486.0</v>
      </c>
      <c r="B3016" s="19" t="s">
        <v>3042</v>
      </c>
      <c r="C3016" s="20">
        <v>31297.0</v>
      </c>
      <c r="D3016" s="19" t="str">
        <f t="shared" si="1"/>
        <v> </v>
      </c>
      <c r="E3016" s="19" t="str">
        <f t="shared" si="2"/>
        <v> </v>
      </c>
      <c r="F3016" s="21"/>
    </row>
    <row r="3017">
      <c r="A3017" s="19">
        <v>14487.0</v>
      </c>
      <c r="B3017" s="19" t="s">
        <v>3043</v>
      </c>
      <c r="C3017" s="20">
        <v>36382.0</v>
      </c>
      <c r="D3017" s="19" t="str">
        <f t="shared" si="1"/>
        <v> </v>
      </c>
      <c r="E3017" s="19" t="str">
        <f t="shared" si="2"/>
        <v> </v>
      </c>
      <c r="F3017" s="21"/>
    </row>
    <row r="3018">
      <c r="A3018" s="19">
        <v>14488.0</v>
      </c>
      <c r="B3018" s="19" t="s">
        <v>3044</v>
      </c>
      <c r="C3018" s="20">
        <v>26664.0</v>
      </c>
      <c r="D3018" s="19" t="str">
        <f t="shared" si="1"/>
        <v> </v>
      </c>
      <c r="E3018" s="19" t="str">
        <f t="shared" si="2"/>
        <v> </v>
      </c>
      <c r="F3018" s="21"/>
    </row>
    <row r="3019">
      <c r="A3019" s="19">
        <v>14489.0</v>
      </c>
      <c r="B3019" s="19" t="s">
        <v>3045</v>
      </c>
      <c r="C3019" s="20">
        <v>26451.0</v>
      </c>
      <c r="D3019" s="19" t="str">
        <f t="shared" si="1"/>
        <v> </v>
      </c>
      <c r="E3019" s="19" t="str">
        <f t="shared" si="2"/>
        <v> </v>
      </c>
      <c r="F3019" s="21"/>
    </row>
    <row r="3020">
      <c r="A3020" s="19">
        <v>14490.0</v>
      </c>
      <c r="B3020" s="19" t="s">
        <v>3046</v>
      </c>
      <c r="C3020" s="20">
        <v>23548.0</v>
      </c>
      <c r="D3020" s="19" t="str">
        <f t="shared" si="1"/>
        <v> </v>
      </c>
      <c r="E3020" s="19" t="str">
        <f t="shared" si="2"/>
        <v> </v>
      </c>
      <c r="F3020" s="21"/>
    </row>
    <row r="3021">
      <c r="A3021" s="19">
        <v>14491.0</v>
      </c>
      <c r="B3021" s="19" t="s">
        <v>3047</v>
      </c>
      <c r="C3021" s="20">
        <v>18037.0</v>
      </c>
      <c r="D3021" s="19" t="str">
        <f t="shared" si="1"/>
        <v> </v>
      </c>
      <c r="E3021" s="19" t="str">
        <f t="shared" si="2"/>
        <v> </v>
      </c>
      <c r="F3021" s="21"/>
    </row>
    <row r="3022">
      <c r="A3022" s="19">
        <v>14492.0</v>
      </c>
      <c r="B3022" s="19" t="s">
        <v>3048</v>
      </c>
      <c r="C3022" s="20">
        <v>19593.0</v>
      </c>
      <c r="D3022" s="19" t="str">
        <f t="shared" si="1"/>
        <v> </v>
      </c>
      <c r="E3022" s="19" t="str">
        <f t="shared" si="2"/>
        <v> </v>
      </c>
      <c r="F3022" s="21"/>
    </row>
    <row r="3023">
      <c r="A3023" s="19">
        <v>14493.0</v>
      </c>
      <c r="B3023" s="19" t="s">
        <v>3049</v>
      </c>
      <c r="C3023" s="20">
        <v>26700.0</v>
      </c>
      <c r="D3023" s="19" t="str">
        <f t="shared" si="1"/>
        <v> </v>
      </c>
      <c r="E3023" s="19" t="str">
        <f t="shared" si="2"/>
        <v> </v>
      </c>
      <c r="F3023" s="21"/>
    </row>
    <row r="3024">
      <c r="A3024" s="19">
        <v>14494.0</v>
      </c>
      <c r="B3024" s="19" t="s">
        <v>3050</v>
      </c>
      <c r="C3024" s="20">
        <v>27463.0</v>
      </c>
      <c r="D3024" s="19" t="str">
        <f t="shared" si="1"/>
        <v> </v>
      </c>
      <c r="E3024" s="19" t="str">
        <f t="shared" si="2"/>
        <v> </v>
      </c>
      <c r="F3024" s="21"/>
    </row>
    <row r="3025">
      <c r="A3025" s="19">
        <v>14495.0</v>
      </c>
      <c r="B3025" s="19" t="s">
        <v>3051</v>
      </c>
      <c r="C3025" s="20">
        <v>25870.0</v>
      </c>
      <c r="D3025" s="19" t="str">
        <f t="shared" si="1"/>
        <v> </v>
      </c>
      <c r="E3025" s="19" t="str">
        <f t="shared" si="2"/>
        <v> </v>
      </c>
      <c r="F3025" s="21"/>
    </row>
    <row r="3026">
      <c r="A3026" s="19">
        <v>14496.0</v>
      </c>
      <c r="B3026" s="19" t="s">
        <v>3052</v>
      </c>
      <c r="C3026" s="20">
        <v>18498.0</v>
      </c>
      <c r="D3026" s="19" t="str">
        <f t="shared" si="1"/>
        <v>Repeat</v>
      </c>
      <c r="E3026" s="19" t="str">
        <f t="shared" si="2"/>
        <v> </v>
      </c>
      <c r="F3026" s="21"/>
    </row>
    <row r="3027">
      <c r="A3027" s="19">
        <v>14497.0</v>
      </c>
      <c r="B3027" s="19" t="s">
        <v>3053</v>
      </c>
      <c r="C3027" s="20">
        <v>31087.0</v>
      </c>
      <c r="D3027" s="19" t="str">
        <f t="shared" si="1"/>
        <v> </v>
      </c>
      <c r="E3027" s="19" t="str">
        <f t="shared" si="2"/>
        <v> </v>
      </c>
      <c r="F3027" s="21"/>
    </row>
    <row r="3028">
      <c r="A3028" s="19">
        <v>14498.0</v>
      </c>
      <c r="B3028" s="19" t="s">
        <v>3054</v>
      </c>
      <c r="C3028" s="20">
        <v>27586.0</v>
      </c>
      <c r="D3028" s="19" t="str">
        <f t="shared" si="1"/>
        <v> </v>
      </c>
      <c r="E3028" s="19" t="str">
        <f t="shared" si="2"/>
        <v> </v>
      </c>
      <c r="F3028" s="21"/>
    </row>
    <row r="3029">
      <c r="A3029" s="19">
        <v>14500.0</v>
      </c>
      <c r="B3029" s="19" t="s">
        <v>3055</v>
      </c>
      <c r="C3029" s="20">
        <v>18346.0</v>
      </c>
      <c r="D3029" s="19" t="str">
        <f t="shared" si="1"/>
        <v> </v>
      </c>
      <c r="E3029" s="19" t="str">
        <f t="shared" si="2"/>
        <v> </v>
      </c>
      <c r="F3029" s="21"/>
    </row>
    <row r="3030">
      <c r="A3030" s="19">
        <v>14502.0</v>
      </c>
      <c r="B3030" s="19" t="s">
        <v>3056</v>
      </c>
      <c r="C3030" s="20">
        <v>26323.0</v>
      </c>
      <c r="D3030" s="19" t="str">
        <f t="shared" si="1"/>
        <v> </v>
      </c>
      <c r="E3030" s="19" t="str">
        <f t="shared" si="2"/>
        <v> </v>
      </c>
      <c r="F3030" s="21"/>
    </row>
    <row r="3031">
      <c r="A3031" s="19">
        <v>14503.0</v>
      </c>
      <c r="B3031" s="19" t="s">
        <v>3057</v>
      </c>
      <c r="C3031" s="20">
        <v>22835.0</v>
      </c>
      <c r="D3031" s="19" t="str">
        <f t="shared" si="1"/>
        <v> </v>
      </c>
      <c r="E3031" s="19" t="str">
        <f t="shared" si="2"/>
        <v> </v>
      </c>
      <c r="F3031" s="21"/>
    </row>
    <row r="3032">
      <c r="A3032" s="19">
        <v>14504.0</v>
      </c>
      <c r="B3032" s="19" t="s">
        <v>3058</v>
      </c>
      <c r="C3032" s="20">
        <v>16968.0</v>
      </c>
      <c r="D3032" s="19" t="str">
        <f t="shared" si="1"/>
        <v> </v>
      </c>
      <c r="E3032" s="19" t="str">
        <f t="shared" si="2"/>
        <v> </v>
      </c>
      <c r="F3032" s="21"/>
    </row>
    <row r="3033">
      <c r="A3033" s="19">
        <v>14505.0</v>
      </c>
      <c r="B3033" s="19" t="s">
        <v>3059</v>
      </c>
      <c r="C3033" s="20">
        <v>20392.0</v>
      </c>
      <c r="D3033" s="19" t="str">
        <f t="shared" si="1"/>
        <v> </v>
      </c>
      <c r="E3033" s="19" t="str">
        <f t="shared" si="2"/>
        <v> </v>
      </c>
      <c r="F3033" s="21"/>
    </row>
    <row r="3034">
      <c r="A3034" s="19">
        <v>14506.0</v>
      </c>
      <c r="B3034" s="19" t="s">
        <v>3060</v>
      </c>
      <c r="C3034" s="20">
        <v>29785.0</v>
      </c>
      <c r="D3034" s="19" t="str">
        <f t="shared" si="1"/>
        <v> </v>
      </c>
      <c r="E3034" s="19" t="str">
        <f t="shared" si="2"/>
        <v> </v>
      </c>
      <c r="F3034" s="21"/>
    </row>
    <row r="3035">
      <c r="A3035" s="19">
        <v>14507.0</v>
      </c>
      <c r="B3035" s="19" t="s">
        <v>3061</v>
      </c>
      <c r="C3035" s="20">
        <v>19850.0</v>
      </c>
      <c r="D3035" s="19" t="str">
        <f t="shared" si="1"/>
        <v> </v>
      </c>
      <c r="E3035" s="19" t="str">
        <f t="shared" si="2"/>
        <v> </v>
      </c>
      <c r="F3035" s="21"/>
    </row>
    <row r="3036">
      <c r="A3036" s="19">
        <v>14508.0</v>
      </c>
      <c r="B3036" s="19" t="s">
        <v>3062</v>
      </c>
      <c r="C3036" s="20">
        <v>32070.0</v>
      </c>
      <c r="D3036" s="19" t="str">
        <f t="shared" si="1"/>
        <v> </v>
      </c>
      <c r="E3036" s="19" t="str">
        <f t="shared" si="2"/>
        <v> </v>
      </c>
      <c r="F3036" s="21"/>
    </row>
    <row r="3037">
      <c r="A3037" s="19">
        <v>14510.0</v>
      </c>
      <c r="B3037" s="19" t="s">
        <v>3063</v>
      </c>
      <c r="C3037" s="20">
        <v>17174.0</v>
      </c>
      <c r="D3037" s="19" t="str">
        <f t="shared" si="1"/>
        <v> </v>
      </c>
      <c r="E3037" s="19" t="str">
        <f t="shared" si="2"/>
        <v> </v>
      </c>
      <c r="F3037" s="21"/>
    </row>
    <row r="3038">
      <c r="A3038" s="19">
        <v>14512.0</v>
      </c>
      <c r="B3038" s="19" t="s">
        <v>3064</v>
      </c>
      <c r="C3038" s="20">
        <v>21945.0</v>
      </c>
      <c r="D3038" s="19" t="str">
        <f t="shared" si="1"/>
        <v> </v>
      </c>
      <c r="E3038" s="19" t="str">
        <f t="shared" si="2"/>
        <v> </v>
      </c>
      <c r="F3038" s="21"/>
    </row>
    <row r="3039">
      <c r="A3039" s="19">
        <v>14513.0</v>
      </c>
      <c r="B3039" s="19" t="s">
        <v>3065</v>
      </c>
      <c r="C3039" s="20">
        <v>18101.0</v>
      </c>
      <c r="D3039" s="19" t="str">
        <f t="shared" si="1"/>
        <v>Repeat</v>
      </c>
      <c r="E3039" s="19" t="str">
        <f t="shared" si="2"/>
        <v> </v>
      </c>
      <c r="F3039" s="21"/>
    </row>
    <row r="3040">
      <c r="A3040" s="19">
        <v>14514.0</v>
      </c>
      <c r="B3040" s="19" t="s">
        <v>3066</v>
      </c>
      <c r="C3040" s="20">
        <v>27568.0</v>
      </c>
      <c r="D3040" s="19" t="str">
        <f t="shared" si="1"/>
        <v> </v>
      </c>
      <c r="E3040" s="19" t="str">
        <f t="shared" si="2"/>
        <v> </v>
      </c>
      <c r="F3040" s="21"/>
    </row>
    <row r="3041">
      <c r="A3041" s="19">
        <v>14515.0</v>
      </c>
      <c r="B3041" s="19" t="s">
        <v>3067</v>
      </c>
      <c r="C3041" s="20">
        <v>19509.0</v>
      </c>
      <c r="D3041" s="19" t="str">
        <f t="shared" si="1"/>
        <v> </v>
      </c>
      <c r="E3041" s="19" t="str">
        <f t="shared" si="2"/>
        <v> </v>
      </c>
      <c r="F3041" s="21"/>
    </row>
    <row r="3042">
      <c r="A3042" s="19">
        <v>14516.0</v>
      </c>
      <c r="B3042" s="19" t="s">
        <v>3068</v>
      </c>
      <c r="C3042" s="20">
        <v>24011.0</v>
      </c>
      <c r="D3042" s="19" t="str">
        <f t="shared" si="1"/>
        <v> </v>
      </c>
      <c r="E3042" s="19" t="str">
        <f t="shared" si="2"/>
        <v> </v>
      </c>
      <c r="F3042" s="21"/>
    </row>
    <row r="3043">
      <c r="A3043" s="19">
        <v>14517.0</v>
      </c>
      <c r="B3043" s="19" t="s">
        <v>3069</v>
      </c>
      <c r="C3043" s="20">
        <v>26286.0</v>
      </c>
      <c r="D3043" s="19" t="str">
        <f t="shared" si="1"/>
        <v> </v>
      </c>
      <c r="E3043" s="19" t="str">
        <f t="shared" si="2"/>
        <v> </v>
      </c>
      <c r="F3043" s="21"/>
    </row>
    <row r="3044">
      <c r="A3044" s="19">
        <v>14518.0</v>
      </c>
      <c r="B3044" s="19" t="s">
        <v>3070</v>
      </c>
      <c r="C3044" s="20">
        <v>14623.0</v>
      </c>
      <c r="D3044" s="19" t="str">
        <f t="shared" si="1"/>
        <v> </v>
      </c>
      <c r="E3044" s="19" t="str">
        <f t="shared" si="2"/>
        <v> </v>
      </c>
      <c r="F3044" s="21"/>
    </row>
    <row r="3045">
      <c r="A3045" s="19">
        <v>14519.0</v>
      </c>
      <c r="B3045" s="19" t="s">
        <v>3071</v>
      </c>
      <c r="C3045" s="20">
        <v>16864.0</v>
      </c>
      <c r="D3045" s="19" t="str">
        <f t="shared" si="1"/>
        <v> </v>
      </c>
      <c r="E3045" s="19" t="str">
        <f t="shared" si="2"/>
        <v> </v>
      </c>
      <c r="F3045" s="21"/>
    </row>
    <row r="3046">
      <c r="A3046" s="19">
        <v>14520.0</v>
      </c>
      <c r="B3046" s="19" t="s">
        <v>3072</v>
      </c>
      <c r="C3046" s="20">
        <v>28140.0</v>
      </c>
      <c r="D3046" s="19" t="str">
        <f t="shared" si="1"/>
        <v> </v>
      </c>
      <c r="E3046" s="19" t="str">
        <f t="shared" si="2"/>
        <v> </v>
      </c>
      <c r="F3046" s="21"/>
    </row>
    <row r="3047">
      <c r="A3047" s="19">
        <v>14521.0</v>
      </c>
      <c r="B3047" s="19" t="s">
        <v>3073</v>
      </c>
      <c r="C3047" s="20">
        <v>30337.0</v>
      </c>
      <c r="D3047" s="19" t="str">
        <f t="shared" si="1"/>
        <v>Repeat</v>
      </c>
      <c r="E3047" s="19" t="str">
        <f t="shared" si="2"/>
        <v> </v>
      </c>
      <c r="F3047" s="21"/>
    </row>
    <row r="3048">
      <c r="A3048" s="19">
        <v>14522.0</v>
      </c>
      <c r="B3048" s="19" t="s">
        <v>3074</v>
      </c>
      <c r="C3048" s="20">
        <v>23626.0</v>
      </c>
      <c r="D3048" s="19" t="str">
        <f t="shared" si="1"/>
        <v> </v>
      </c>
      <c r="E3048" s="19" t="str">
        <f t="shared" si="2"/>
        <v> </v>
      </c>
      <c r="F3048" s="21"/>
    </row>
    <row r="3049">
      <c r="A3049" s="19">
        <v>14524.0</v>
      </c>
      <c r="B3049" s="19" t="s">
        <v>3075</v>
      </c>
      <c r="C3049" s="20">
        <v>36551.0</v>
      </c>
      <c r="D3049" s="19" t="str">
        <f t="shared" si="1"/>
        <v>Repeat</v>
      </c>
      <c r="E3049" s="19" t="str">
        <f t="shared" si="2"/>
        <v> </v>
      </c>
      <c r="F3049" s="21"/>
    </row>
    <row r="3050">
      <c r="A3050" s="19">
        <v>14525.0</v>
      </c>
      <c r="B3050" s="19" t="s">
        <v>3076</v>
      </c>
      <c r="C3050" s="20">
        <v>36109.0</v>
      </c>
      <c r="D3050" s="19" t="str">
        <f t="shared" si="1"/>
        <v> </v>
      </c>
      <c r="E3050" s="19" t="str">
        <f t="shared" si="2"/>
        <v> </v>
      </c>
      <c r="F3050" s="21"/>
    </row>
    <row r="3051">
      <c r="A3051" s="19">
        <v>14526.0</v>
      </c>
      <c r="B3051" s="19" t="s">
        <v>3077</v>
      </c>
      <c r="C3051" s="20">
        <v>18643.0</v>
      </c>
      <c r="D3051" s="19" t="str">
        <f t="shared" si="1"/>
        <v> </v>
      </c>
      <c r="E3051" s="19" t="str">
        <f t="shared" si="2"/>
        <v> </v>
      </c>
      <c r="F3051" s="21"/>
    </row>
    <row r="3052">
      <c r="A3052" s="19">
        <v>14527.0</v>
      </c>
      <c r="B3052" s="19" t="s">
        <v>3078</v>
      </c>
      <c r="C3052" s="20">
        <v>19043.0</v>
      </c>
      <c r="D3052" s="19" t="str">
        <f t="shared" si="1"/>
        <v> </v>
      </c>
      <c r="E3052" s="19" t="str">
        <f t="shared" si="2"/>
        <v> </v>
      </c>
      <c r="F3052" s="21"/>
    </row>
    <row r="3053">
      <c r="A3053" s="19">
        <v>14528.0</v>
      </c>
      <c r="B3053" s="19" t="s">
        <v>3079</v>
      </c>
      <c r="C3053" s="20">
        <v>16899.0</v>
      </c>
      <c r="D3053" s="19" t="str">
        <f t="shared" si="1"/>
        <v> </v>
      </c>
      <c r="E3053" s="19" t="str">
        <f t="shared" si="2"/>
        <v> </v>
      </c>
      <c r="F3053" s="21"/>
    </row>
    <row r="3054">
      <c r="A3054" s="19">
        <v>14529.0</v>
      </c>
      <c r="B3054" s="19" t="s">
        <v>3080</v>
      </c>
      <c r="C3054" s="20">
        <v>22114.0</v>
      </c>
      <c r="D3054" s="19" t="str">
        <f t="shared" si="1"/>
        <v>Repeat</v>
      </c>
      <c r="E3054" s="19" t="str">
        <f t="shared" si="2"/>
        <v> </v>
      </c>
      <c r="F3054" s="21"/>
    </row>
    <row r="3055">
      <c r="A3055" s="19">
        <v>14530.0</v>
      </c>
      <c r="B3055" s="19" t="s">
        <v>3081</v>
      </c>
      <c r="C3055" s="20">
        <v>23943.0</v>
      </c>
      <c r="D3055" s="19" t="str">
        <f t="shared" si="1"/>
        <v> </v>
      </c>
      <c r="E3055" s="19" t="str">
        <f t="shared" si="2"/>
        <v> </v>
      </c>
      <c r="F3055" s="21"/>
    </row>
    <row r="3056">
      <c r="A3056" s="19">
        <v>14531.0</v>
      </c>
      <c r="B3056" s="19" t="s">
        <v>3082</v>
      </c>
      <c r="C3056" s="20">
        <v>25524.0</v>
      </c>
      <c r="D3056" s="19" t="str">
        <f t="shared" si="1"/>
        <v> </v>
      </c>
      <c r="E3056" s="19" t="str">
        <f t="shared" si="2"/>
        <v> </v>
      </c>
      <c r="F3056" s="21"/>
    </row>
    <row r="3057">
      <c r="A3057" s="19">
        <v>14532.0</v>
      </c>
      <c r="B3057" s="19" t="s">
        <v>3083</v>
      </c>
      <c r="C3057" s="20">
        <v>25680.0</v>
      </c>
      <c r="D3057" s="19" t="str">
        <f t="shared" si="1"/>
        <v> </v>
      </c>
      <c r="E3057" s="19" t="str">
        <f t="shared" si="2"/>
        <v> </v>
      </c>
      <c r="F3057" s="21"/>
    </row>
    <row r="3058">
      <c r="A3058" s="19">
        <v>14533.0</v>
      </c>
      <c r="B3058" s="19" t="s">
        <v>3084</v>
      </c>
      <c r="C3058" s="20">
        <v>20046.0</v>
      </c>
      <c r="D3058" s="19" t="str">
        <f t="shared" si="1"/>
        <v> </v>
      </c>
      <c r="E3058" s="19" t="str">
        <f t="shared" si="2"/>
        <v> </v>
      </c>
      <c r="F3058" s="21"/>
    </row>
    <row r="3059">
      <c r="A3059" s="19">
        <v>14534.0</v>
      </c>
      <c r="B3059" s="19" t="s">
        <v>3085</v>
      </c>
      <c r="C3059" s="20">
        <v>19924.0</v>
      </c>
      <c r="D3059" s="19" t="str">
        <f t="shared" si="1"/>
        <v> </v>
      </c>
      <c r="E3059" s="19" t="str">
        <f t="shared" si="2"/>
        <v> </v>
      </c>
      <c r="F3059" s="21"/>
    </row>
    <row r="3060">
      <c r="A3060" s="19">
        <v>14535.0</v>
      </c>
      <c r="B3060" s="19" t="s">
        <v>3086</v>
      </c>
      <c r="C3060" s="20">
        <v>21423.0</v>
      </c>
      <c r="D3060" s="19" t="str">
        <f t="shared" si="1"/>
        <v> </v>
      </c>
      <c r="E3060" s="19" t="str">
        <f t="shared" si="2"/>
        <v> </v>
      </c>
      <c r="F3060" s="21"/>
    </row>
    <row r="3061">
      <c r="A3061" s="19">
        <v>14536.0</v>
      </c>
      <c r="B3061" s="19" t="s">
        <v>3087</v>
      </c>
      <c r="C3061" s="20">
        <v>20359.0</v>
      </c>
      <c r="D3061" s="19" t="str">
        <f t="shared" si="1"/>
        <v> </v>
      </c>
      <c r="E3061" s="19" t="str">
        <f t="shared" si="2"/>
        <v> </v>
      </c>
      <c r="F3061" s="21"/>
    </row>
    <row r="3062">
      <c r="A3062" s="19">
        <v>14537.0</v>
      </c>
      <c r="B3062" s="19" t="s">
        <v>3088</v>
      </c>
      <c r="C3062" s="20">
        <v>17732.0</v>
      </c>
      <c r="D3062" s="19" t="str">
        <f t="shared" si="1"/>
        <v> </v>
      </c>
      <c r="E3062" s="19" t="str">
        <f t="shared" si="2"/>
        <v> </v>
      </c>
      <c r="F3062" s="21"/>
    </row>
    <row r="3063">
      <c r="A3063" s="19">
        <v>14540.0</v>
      </c>
      <c r="B3063" s="19" t="s">
        <v>3089</v>
      </c>
      <c r="C3063" s="20">
        <v>19059.0</v>
      </c>
      <c r="D3063" s="19" t="str">
        <f t="shared" si="1"/>
        <v> </v>
      </c>
      <c r="E3063" s="19" t="str">
        <f t="shared" si="2"/>
        <v> </v>
      </c>
      <c r="F3063" s="21"/>
    </row>
    <row r="3064">
      <c r="A3064" s="19">
        <v>14541.0</v>
      </c>
      <c r="B3064" s="19" t="s">
        <v>3090</v>
      </c>
      <c r="C3064" s="20">
        <v>26244.0</v>
      </c>
      <c r="D3064" s="19" t="str">
        <f t="shared" si="1"/>
        <v> </v>
      </c>
      <c r="E3064" s="19" t="str">
        <f t="shared" si="2"/>
        <v> </v>
      </c>
      <c r="F3064" s="21"/>
    </row>
    <row r="3065">
      <c r="A3065" s="19">
        <v>14542.0</v>
      </c>
      <c r="B3065" s="19" t="s">
        <v>3091</v>
      </c>
      <c r="C3065" s="20">
        <v>23682.0</v>
      </c>
      <c r="D3065" s="19" t="str">
        <f t="shared" si="1"/>
        <v> </v>
      </c>
      <c r="E3065" s="19" t="str">
        <f t="shared" si="2"/>
        <v> </v>
      </c>
      <c r="F3065" s="21"/>
    </row>
    <row r="3066">
      <c r="A3066" s="19">
        <v>14543.0</v>
      </c>
      <c r="B3066" s="19" t="s">
        <v>3092</v>
      </c>
      <c r="C3066" s="20">
        <v>21625.0</v>
      </c>
      <c r="D3066" s="19" t="str">
        <f t="shared" si="1"/>
        <v> </v>
      </c>
      <c r="E3066" s="19" t="str">
        <f t="shared" si="2"/>
        <v> </v>
      </c>
      <c r="F3066" s="21"/>
    </row>
    <row r="3067">
      <c r="A3067" s="19">
        <v>14544.0</v>
      </c>
      <c r="B3067" s="19" t="s">
        <v>3093</v>
      </c>
      <c r="C3067" s="20">
        <v>10722.0</v>
      </c>
      <c r="D3067" s="19" t="str">
        <f t="shared" si="1"/>
        <v> </v>
      </c>
      <c r="E3067" s="19" t="str">
        <f t="shared" si="2"/>
        <v> </v>
      </c>
      <c r="F3067" s="21"/>
    </row>
    <row r="3068">
      <c r="A3068" s="19">
        <v>14545.0</v>
      </c>
      <c r="B3068" s="19" t="s">
        <v>3094</v>
      </c>
      <c r="C3068" s="20">
        <v>22468.0</v>
      </c>
      <c r="D3068" s="19" t="str">
        <f t="shared" si="1"/>
        <v> </v>
      </c>
      <c r="E3068" s="19" t="str">
        <f t="shared" si="2"/>
        <v> </v>
      </c>
      <c r="F3068" s="21"/>
    </row>
    <row r="3069">
      <c r="A3069" s="19">
        <v>14546.0</v>
      </c>
      <c r="B3069" s="19" t="s">
        <v>3095</v>
      </c>
      <c r="C3069" s="20">
        <v>11689.0</v>
      </c>
      <c r="D3069" s="19" t="str">
        <f t="shared" si="1"/>
        <v> </v>
      </c>
      <c r="E3069" s="19" t="str">
        <f t="shared" si="2"/>
        <v> </v>
      </c>
      <c r="F3069" s="21"/>
    </row>
    <row r="3070">
      <c r="A3070" s="19">
        <v>14547.0</v>
      </c>
      <c r="B3070" s="19" t="s">
        <v>3096</v>
      </c>
      <c r="C3070" s="20">
        <v>22867.0</v>
      </c>
      <c r="D3070" s="19" t="str">
        <f t="shared" si="1"/>
        <v> </v>
      </c>
      <c r="E3070" s="19" t="str">
        <f t="shared" si="2"/>
        <v> </v>
      </c>
      <c r="F3070" s="21"/>
    </row>
    <row r="3071">
      <c r="A3071" s="19">
        <v>14548.0</v>
      </c>
      <c r="B3071" s="19" t="s">
        <v>3097</v>
      </c>
      <c r="C3071" s="20">
        <v>28399.0</v>
      </c>
      <c r="D3071" s="19" t="str">
        <f t="shared" si="1"/>
        <v> </v>
      </c>
      <c r="E3071" s="19" t="str">
        <f t="shared" si="2"/>
        <v> </v>
      </c>
      <c r="F3071" s="21"/>
    </row>
    <row r="3072">
      <c r="A3072" s="19">
        <v>14549.0</v>
      </c>
      <c r="B3072" s="19" t="s">
        <v>3098</v>
      </c>
      <c r="C3072" s="20">
        <v>22279.0</v>
      </c>
      <c r="D3072" s="19" t="str">
        <f t="shared" si="1"/>
        <v> </v>
      </c>
      <c r="E3072" s="19" t="str">
        <f t="shared" si="2"/>
        <v> </v>
      </c>
      <c r="F3072" s="21"/>
    </row>
    <row r="3073">
      <c r="A3073" s="19">
        <v>14550.0</v>
      </c>
      <c r="B3073" s="19" t="s">
        <v>3099</v>
      </c>
      <c r="C3073" s="20">
        <v>23451.0</v>
      </c>
      <c r="D3073" s="19" t="str">
        <f t="shared" si="1"/>
        <v> </v>
      </c>
      <c r="E3073" s="19" t="str">
        <f t="shared" si="2"/>
        <v> </v>
      </c>
      <c r="F3073" s="21"/>
    </row>
    <row r="3074">
      <c r="A3074" s="19">
        <v>14551.0</v>
      </c>
      <c r="B3074" s="19" t="s">
        <v>3100</v>
      </c>
      <c r="C3074" s="20">
        <v>32976.0</v>
      </c>
      <c r="D3074" s="19" t="str">
        <f t="shared" si="1"/>
        <v> </v>
      </c>
      <c r="E3074" s="19" t="str">
        <f t="shared" si="2"/>
        <v> </v>
      </c>
      <c r="F3074" s="21"/>
    </row>
    <row r="3075">
      <c r="A3075" s="19">
        <v>14552.0</v>
      </c>
      <c r="B3075" s="19" t="s">
        <v>3101</v>
      </c>
      <c r="C3075" s="20">
        <v>19137.0</v>
      </c>
      <c r="D3075" s="19" t="str">
        <f t="shared" si="1"/>
        <v> </v>
      </c>
      <c r="E3075" s="19" t="str">
        <f t="shared" si="2"/>
        <v> </v>
      </c>
      <c r="F3075" s="21"/>
    </row>
    <row r="3076">
      <c r="A3076" s="19">
        <v>14554.0</v>
      </c>
      <c r="B3076" s="19" t="s">
        <v>3102</v>
      </c>
      <c r="C3076" s="20">
        <v>22158.0</v>
      </c>
      <c r="D3076" s="19" t="str">
        <f t="shared" si="1"/>
        <v> </v>
      </c>
      <c r="E3076" s="19" t="str">
        <f t="shared" si="2"/>
        <v> </v>
      </c>
      <c r="F3076" s="21"/>
    </row>
    <row r="3077">
      <c r="A3077" s="19">
        <v>14555.0</v>
      </c>
      <c r="B3077" s="19" t="s">
        <v>3103</v>
      </c>
      <c r="C3077" s="20">
        <v>19516.0</v>
      </c>
      <c r="D3077" s="19" t="str">
        <f t="shared" si="1"/>
        <v> </v>
      </c>
      <c r="E3077" s="19" t="str">
        <f t="shared" si="2"/>
        <v> </v>
      </c>
      <c r="F3077" s="21"/>
    </row>
    <row r="3078">
      <c r="A3078" s="19">
        <v>14556.0</v>
      </c>
      <c r="B3078" s="19" t="s">
        <v>3104</v>
      </c>
      <c r="C3078" s="20">
        <v>22632.0</v>
      </c>
      <c r="D3078" s="19" t="str">
        <f t="shared" si="1"/>
        <v> </v>
      </c>
      <c r="E3078" s="19" t="str">
        <f t="shared" si="2"/>
        <v> </v>
      </c>
      <c r="F3078" s="21"/>
    </row>
    <row r="3079">
      <c r="A3079" s="19">
        <v>14557.0</v>
      </c>
      <c r="B3079" s="19" t="s">
        <v>3105</v>
      </c>
      <c r="C3079" s="20">
        <v>23974.0</v>
      </c>
      <c r="D3079" s="19" t="str">
        <f t="shared" si="1"/>
        <v> </v>
      </c>
      <c r="E3079" s="19" t="str">
        <f t="shared" si="2"/>
        <v> </v>
      </c>
      <c r="F3079" s="21"/>
    </row>
    <row r="3080">
      <c r="A3080" s="19">
        <v>14559.0</v>
      </c>
      <c r="B3080" s="19" t="s">
        <v>3106</v>
      </c>
      <c r="C3080" s="20">
        <v>27017.0</v>
      </c>
      <c r="D3080" s="19" t="str">
        <f t="shared" si="1"/>
        <v> </v>
      </c>
      <c r="E3080" s="19" t="str">
        <f t="shared" si="2"/>
        <v> </v>
      </c>
      <c r="F3080" s="21"/>
    </row>
    <row r="3081">
      <c r="A3081" s="19">
        <v>14560.0</v>
      </c>
      <c r="B3081" s="19" t="s">
        <v>3107</v>
      </c>
      <c r="C3081" s="20">
        <v>26016.0</v>
      </c>
      <c r="D3081" s="19" t="str">
        <f t="shared" si="1"/>
        <v> </v>
      </c>
      <c r="E3081" s="19" t="str">
        <f t="shared" si="2"/>
        <v> </v>
      </c>
      <c r="F3081" s="21"/>
    </row>
    <row r="3082">
      <c r="A3082" s="19">
        <v>14561.0</v>
      </c>
      <c r="B3082" s="19" t="s">
        <v>3108</v>
      </c>
      <c r="C3082" s="20">
        <v>20438.0</v>
      </c>
      <c r="D3082" s="19" t="str">
        <f t="shared" si="1"/>
        <v> </v>
      </c>
      <c r="E3082" s="19" t="str">
        <f t="shared" si="2"/>
        <v> </v>
      </c>
      <c r="F3082" s="21"/>
    </row>
    <row r="3083">
      <c r="A3083" s="19">
        <v>14562.0</v>
      </c>
      <c r="B3083" s="19" t="s">
        <v>3109</v>
      </c>
      <c r="C3083" s="20">
        <v>25049.0</v>
      </c>
      <c r="D3083" s="19" t="str">
        <f t="shared" si="1"/>
        <v> </v>
      </c>
      <c r="E3083" s="19" t="str">
        <f t="shared" si="2"/>
        <v> </v>
      </c>
      <c r="F3083" s="21"/>
    </row>
    <row r="3084">
      <c r="A3084" s="19">
        <v>14563.0</v>
      </c>
      <c r="B3084" s="19" t="s">
        <v>3110</v>
      </c>
      <c r="C3084" s="20">
        <v>16771.0</v>
      </c>
      <c r="D3084" s="19" t="str">
        <f t="shared" si="1"/>
        <v> </v>
      </c>
      <c r="E3084" s="19" t="str">
        <f t="shared" si="2"/>
        <v> </v>
      </c>
      <c r="F3084" s="21"/>
    </row>
    <row r="3085">
      <c r="A3085" s="19">
        <v>14564.0</v>
      </c>
      <c r="B3085" s="19" t="s">
        <v>3111</v>
      </c>
      <c r="C3085" s="20">
        <v>30782.0</v>
      </c>
      <c r="D3085" s="19" t="str">
        <f t="shared" si="1"/>
        <v> </v>
      </c>
      <c r="E3085" s="19" t="str">
        <f t="shared" si="2"/>
        <v> </v>
      </c>
      <c r="F3085" s="21"/>
    </row>
    <row r="3086">
      <c r="A3086" s="19">
        <v>14566.0</v>
      </c>
      <c r="B3086" s="19" t="s">
        <v>3112</v>
      </c>
      <c r="C3086" s="20">
        <v>19783.0</v>
      </c>
      <c r="D3086" s="19" t="str">
        <f t="shared" si="1"/>
        <v> </v>
      </c>
      <c r="E3086" s="19" t="str">
        <f t="shared" si="2"/>
        <v> </v>
      </c>
      <c r="F3086" s="21"/>
    </row>
    <row r="3087">
      <c r="A3087" s="19">
        <v>14567.0</v>
      </c>
      <c r="B3087" s="19" t="s">
        <v>3113</v>
      </c>
      <c r="C3087" s="20">
        <v>18576.0</v>
      </c>
      <c r="D3087" s="19" t="str">
        <f t="shared" si="1"/>
        <v> </v>
      </c>
      <c r="E3087" s="19" t="str">
        <f t="shared" si="2"/>
        <v> </v>
      </c>
      <c r="F3087" s="21"/>
    </row>
    <row r="3088">
      <c r="A3088" s="19">
        <v>14568.0</v>
      </c>
      <c r="B3088" s="19" t="s">
        <v>3114</v>
      </c>
      <c r="C3088" s="20">
        <v>31317.0</v>
      </c>
      <c r="D3088" s="19" t="str">
        <f t="shared" si="1"/>
        <v> </v>
      </c>
      <c r="E3088" s="19" t="str">
        <f t="shared" si="2"/>
        <v> </v>
      </c>
      <c r="F3088" s="21"/>
    </row>
    <row r="3089">
      <c r="A3089" s="19">
        <v>14569.0</v>
      </c>
      <c r="B3089" s="19" t="s">
        <v>3115</v>
      </c>
      <c r="C3089" s="20">
        <v>25195.0</v>
      </c>
      <c r="D3089" s="19" t="str">
        <f t="shared" si="1"/>
        <v> </v>
      </c>
      <c r="E3089" s="19" t="str">
        <f t="shared" si="2"/>
        <v> </v>
      </c>
      <c r="F3089" s="21"/>
    </row>
    <row r="3090">
      <c r="A3090" s="19">
        <v>14570.0</v>
      </c>
      <c r="B3090" s="19" t="s">
        <v>3116</v>
      </c>
      <c r="C3090" s="20">
        <v>28539.0</v>
      </c>
      <c r="D3090" s="19" t="str">
        <f t="shared" si="1"/>
        <v> </v>
      </c>
      <c r="E3090" s="19" t="str">
        <f t="shared" si="2"/>
        <v> </v>
      </c>
      <c r="F3090" s="21"/>
    </row>
    <row r="3091">
      <c r="A3091" s="19">
        <v>14571.0</v>
      </c>
      <c r="B3091" s="19" t="s">
        <v>3117</v>
      </c>
      <c r="C3091" s="20">
        <v>25774.0</v>
      </c>
      <c r="D3091" s="19" t="str">
        <f t="shared" si="1"/>
        <v> </v>
      </c>
      <c r="E3091" s="19" t="str">
        <f t="shared" si="2"/>
        <v> </v>
      </c>
      <c r="F3091" s="21"/>
    </row>
    <row r="3092">
      <c r="A3092" s="19">
        <v>14572.0</v>
      </c>
      <c r="B3092" s="19" t="s">
        <v>3118</v>
      </c>
      <c r="C3092" s="20">
        <v>15472.0</v>
      </c>
      <c r="D3092" s="19" t="str">
        <f t="shared" si="1"/>
        <v> </v>
      </c>
      <c r="E3092" s="19" t="str">
        <f t="shared" si="2"/>
        <v> </v>
      </c>
      <c r="F3092" s="21"/>
    </row>
    <row r="3093">
      <c r="A3093" s="19">
        <v>14573.0</v>
      </c>
      <c r="B3093" s="19" t="s">
        <v>3119</v>
      </c>
      <c r="C3093" s="20">
        <v>15424.0</v>
      </c>
      <c r="D3093" s="19" t="str">
        <f t="shared" si="1"/>
        <v> </v>
      </c>
      <c r="E3093" s="19" t="str">
        <f t="shared" si="2"/>
        <v> </v>
      </c>
      <c r="F3093" s="21"/>
    </row>
    <row r="3094">
      <c r="A3094" s="19">
        <v>14574.0</v>
      </c>
      <c r="B3094" s="19" t="s">
        <v>3120</v>
      </c>
      <c r="C3094" s="20">
        <v>25692.0</v>
      </c>
      <c r="D3094" s="19" t="str">
        <f t="shared" si="1"/>
        <v> </v>
      </c>
      <c r="E3094" s="19" t="str">
        <f t="shared" si="2"/>
        <v> </v>
      </c>
      <c r="F3094" s="21"/>
    </row>
    <row r="3095">
      <c r="A3095" s="19">
        <v>14575.0</v>
      </c>
      <c r="B3095" s="19" t="s">
        <v>3121</v>
      </c>
      <c r="C3095" s="20">
        <v>32220.0</v>
      </c>
      <c r="D3095" s="19" t="str">
        <f t="shared" si="1"/>
        <v> </v>
      </c>
      <c r="E3095" s="19" t="str">
        <f t="shared" si="2"/>
        <v> </v>
      </c>
      <c r="F3095" s="21"/>
    </row>
    <row r="3096">
      <c r="A3096" s="19">
        <v>14576.0</v>
      </c>
      <c r="B3096" s="19" t="s">
        <v>3122</v>
      </c>
      <c r="C3096" s="20">
        <v>26944.0</v>
      </c>
      <c r="D3096" s="19" t="str">
        <f t="shared" si="1"/>
        <v> </v>
      </c>
      <c r="E3096" s="19" t="str">
        <f t="shared" si="2"/>
        <v> </v>
      </c>
      <c r="F3096" s="21"/>
    </row>
    <row r="3097">
      <c r="A3097" s="19">
        <v>14578.0</v>
      </c>
      <c r="B3097" s="19" t="s">
        <v>3123</v>
      </c>
      <c r="C3097" s="20">
        <v>17697.0</v>
      </c>
      <c r="D3097" s="19" t="str">
        <f t="shared" si="1"/>
        <v> </v>
      </c>
      <c r="E3097" s="19" t="str">
        <f t="shared" si="2"/>
        <v> </v>
      </c>
      <c r="F3097" s="21"/>
    </row>
    <row r="3098">
      <c r="A3098" s="19">
        <v>14580.0</v>
      </c>
      <c r="B3098" s="19" t="s">
        <v>3124</v>
      </c>
      <c r="C3098" s="20">
        <v>17407.0</v>
      </c>
      <c r="D3098" s="19" t="str">
        <f t="shared" si="1"/>
        <v> </v>
      </c>
      <c r="E3098" s="19" t="str">
        <f t="shared" si="2"/>
        <v> </v>
      </c>
      <c r="F3098" s="21"/>
    </row>
    <row r="3099">
      <c r="A3099" s="19">
        <v>14581.0</v>
      </c>
      <c r="B3099" s="19" t="s">
        <v>3125</v>
      </c>
      <c r="C3099" s="20">
        <v>21223.0</v>
      </c>
      <c r="D3099" s="19" t="str">
        <f t="shared" si="1"/>
        <v>Repeat</v>
      </c>
      <c r="E3099" s="19" t="str">
        <f t="shared" si="2"/>
        <v> </v>
      </c>
      <c r="F3099" s="21"/>
    </row>
    <row r="3100">
      <c r="A3100" s="19">
        <v>14582.0</v>
      </c>
      <c r="B3100" s="19" t="s">
        <v>3126</v>
      </c>
      <c r="C3100" s="20">
        <v>30084.0</v>
      </c>
      <c r="D3100" s="19" t="str">
        <f t="shared" si="1"/>
        <v> </v>
      </c>
      <c r="E3100" s="19" t="str">
        <f t="shared" si="2"/>
        <v> </v>
      </c>
      <c r="F3100" s="21"/>
    </row>
    <row r="3101">
      <c r="A3101" s="19">
        <v>14584.0</v>
      </c>
      <c r="B3101" s="19" t="s">
        <v>3127</v>
      </c>
      <c r="C3101" s="20">
        <v>18073.0</v>
      </c>
      <c r="D3101" s="19" t="str">
        <f t="shared" si="1"/>
        <v> </v>
      </c>
      <c r="E3101" s="19" t="str">
        <f t="shared" si="2"/>
        <v> </v>
      </c>
      <c r="F3101" s="21"/>
    </row>
    <row r="3102">
      <c r="A3102" s="19">
        <v>14585.0</v>
      </c>
      <c r="B3102" s="19" t="s">
        <v>3128</v>
      </c>
      <c r="C3102" s="20">
        <v>26705.0</v>
      </c>
      <c r="D3102" s="19" t="str">
        <f t="shared" si="1"/>
        <v> </v>
      </c>
      <c r="E3102" s="19" t="str">
        <f t="shared" si="2"/>
        <v> </v>
      </c>
      <c r="F3102" s="21"/>
    </row>
    <row r="3103">
      <c r="A3103" s="19">
        <v>14586.0</v>
      </c>
      <c r="B3103" s="19" t="s">
        <v>3129</v>
      </c>
      <c r="C3103" s="20">
        <v>21510.0</v>
      </c>
      <c r="D3103" s="19" t="str">
        <f t="shared" si="1"/>
        <v> </v>
      </c>
      <c r="E3103" s="19" t="str">
        <f t="shared" si="2"/>
        <v> </v>
      </c>
      <c r="F3103" s="21"/>
    </row>
    <row r="3104">
      <c r="A3104" s="19">
        <v>14587.0</v>
      </c>
      <c r="B3104" s="19" t="s">
        <v>3130</v>
      </c>
      <c r="C3104" s="20">
        <v>22546.0</v>
      </c>
      <c r="D3104" s="19" t="str">
        <f t="shared" si="1"/>
        <v> </v>
      </c>
      <c r="E3104" s="19" t="str">
        <f t="shared" si="2"/>
        <v> </v>
      </c>
      <c r="F3104" s="21"/>
    </row>
    <row r="3105">
      <c r="A3105" s="19">
        <v>14588.0</v>
      </c>
      <c r="B3105" s="19" t="s">
        <v>3131</v>
      </c>
      <c r="C3105" s="20">
        <v>24734.0</v>
      </c>
      <c r="D3105" s="19" t="str">
        <f t="shared" si="1"/>
        <v> </v>
      </c>
      <c r="E3105" s="19" t="str">
        <f t="shared" si="2"/>
        <v> </v>
      </c>
      <c r="F3105" s="21"/>
    </row>
    <row r="3106">
      <c r="A3106" s="19">
        <v>14589.0</v>
      </c>
      <c r="B3106" s="19" t="s">
        <v>3132</v>
      </c>
      <c r="C3106" s="20">
        <v>24291.0</v>
      </c>
      <c r="D3106" s="19" t="str">
        <f t="shared" si="1"/>
        <v> </v>
      </c>
      <c r="E3106" s="19" t="str">
        <f t="shared" si="2"/>
        <v> </v>
      </c>
      <c r="F3106" s="21"/>
    </row>
    <row r="3107">
      <c r="A3107" s="19">
        <v>14590.0</v>
      </c>
      <c r="B3107" s="19" t="s">
        <v>3133</v>
      </c>
      <c r="C3107" s="20">
        <v>36375.0</v>
      </c>
      <c r="D3107" s="19" t="str">
        <f t="shared" si="1"/>
        <v> </v>
      </c>
      <c r="E3107" s="19" t="str">
        <f t="shared" si="2"/>
        <v> </v>
      </c>
      <c r="F3107" s="21"/>
    </row>
    <row r="3108">
      <c r="A3108" s="19">
        <v>14591.0</v>
      </c>
      <c r="B3108" s="19" t="s">
        <v>3134</v>
      </c>
      <c r="C3108" s="20">
        <v>30665.0</v>
      </c>
      <c r="D3108" s="19" t="str">
        <f t="shared" si="1"/>
        <v> </v>
      </c>
      <c r="E3108" s="19" t="str">
        <f t="shared" si="2"/>
        <v> </v>
      </c>
      <c r="F3108" s="21"/>
    </row>
    <row r="3109">
      <c r="A3109" s="19">
        <v>14592.0</v>
      </c>
      <c r="B3109" s="19" t="s">
        <v>3135</v>
      </c>
      <c r="C3109" s="20">
        <v>21204.0</v>
      </c>
      <c r="D3109" s="19" t="str">
        <f t="shared" si="1"/>
        <v> </v>
      </c>
      <c r="E3109" s="19" t="str">
        <f t="shared" si="2"/>
        <v> </v>
      </c>
      <c r="F3109" s="21"/>
    </row>
    <row r="3110">
      <c r="A3110" s="19">
        <v>14594.0</v>
      </c>
      <c r="B3110" s="19" t="s">
        <v>3136</v>
      </c>
      <c r="C3110" s="20">
        <v>29339.0</v>
      </c>
      <c r="D3110" s="19" t="str">
        <f t="shared" si="1"/>
        <v> </v>
      </c>
      <c r="E3110" s="19" t="str">
        <f t="shared" si="2"/>
        <v> </v>
      </c>
      <c r="F3110" s="21"/>
    </row>
    <row r="3111">
      <c r="A3111" s="19">
        <v>14595.0</v>
      </c>
      <c r="B3111" s="19" t="s">
        <v>3137</v>
      </c>
      <c r="C3111" s="20">
        <v>13584.0</v>
      </c>
      <c r="D3111" s="19" t="str">
        <f t="shared" si="1"/>
        <v> </v>
      </c>
      <c r="E3111" s="19" t="str">
        <f t="shared" si="2"/>
        <v> </v>
      </c>
      <c r="F3111" s="21"/>
    </row>
    <row r="3112">
      <c r="A3112" s="19">
        <v>14597.0</v>
      </c>
      <c r="B3112" s="19" t="s">
        <v>3138</v>
      </c>
      <c r="C3112" s="20">
        <v>26810.0</v>
      </c>
      <c r="D3112" s="19" t="str">
        <f t="shared" si="1"/>
        <v> </v>
      </c>
      <c r="E3112" s="19" t="str">
        <f t="shared" si="2"/>
        <v> </v>
      </c>
      <c r="F3112" s="21"/>
    </row>
    <row r="3113">
      <c r="A3113" s="19">
        <v>14598.0</v>
      </c>
      <c r="B3113" s="19" t="s">
        <v>3139</v>
      </c>
      <c r="C3113" s="20">
        <v>21165.0</v>
      </c>
      <c r="D3113" s="19" t="str">
        <f t="shared" si="1"/>
        <v> </v>
      </c>
      <c r="E3113" s="19" t="str">
        <f t="shared" si="2"/>
        <v> </v>
      </c>
      <c r="F3113" s="21"/>
    </row>
    <row r="3114">
      <c r="A3114" s="19">
        <v>14600.0</v>
      </c>
      <c r="B3114" s="19" t="s">
        <v>3140</v>
      </c>
      <c r="C3114" s="20">
        <v>18872.0</v>
      </c>
      <c r="D3114" s="19" t="str">
        <f t="shared" si="1"/>
        <v>Repeat</v>
      </c>
      <c r="E3114" s="19" t="str">
        <f t="shared" si="2"/>
        <v> </v>
      </c>
      <c r="F3114" s="21"/>
    </row>
    <row r="3115">
      <c r="A3115" s="19">
        <v>14601.0</v>
      </c>
      <c r="B3115" s="19" t="s">
        <v>3141</v>
      </c>
      <c r="C3115" s="20">
        <v>21465.0</v>
      </c>
      <c r="D3115" s="19" t="str">
        <f t="shared" si="1"/>
        <v>Repeat</v>
      </c>
      <c r="E3115" s="19" t="str">
        <f t="shared" si="2"/>
        <v> </v>
      </c>
      <c r="F3115" s="21"/>
    </row>
    <row r="3116">
      <c r="A3116" s="19">
        <v>14602.0</v>
      </c>
      <c r="B3116" s="19" t="s">
        <v>3142</v>
      </c>
      <c r="C3116" s="20">
        <v>24599.0</v>
      </c>
      <c r="D3116" s="19" t="str">
        <f t="shared" si="1"/>
        <v> </v>
      </c>
      <c r="E3116" s="19" t="str">
        <f t="shared" si="2"/>
        <v> </v>
      </c>
      <c r="F3116" s="21"/>
    </row>
    <row r="3117">
      <c r="A3117" s="19">
        <v>14603.0</v>
      </c>
      <c r="B3117" s="19" t="s">
        <v>3143</v>
      </c>
      <c r="C3117" s="20">
        <v>15892.0</v>
      </c>
      <c r="D3117" s="19" t="str">
        <f t="shared" si="1"/>
        <v> </v>
      </c>
      <c r="E3117" s="19" t="str">
        <f t="shared" si="2"/>
        <v> </v>
      </c>
      <c r="F3117" s="21"/>
    </row>
    <row r="3118">
      <c r="A3118" s="19">
        <v>14604.0</v>
      </c>
      <c r="B3118" s="19" t="s">
        <v>3144</v>
      </c>
      <c r="C3118" s="20">
        <v>32668.0</v>
      </c>
      <c r="D3118" s="19" t="str">
        <f t="shared" si="1"/>
        <v> </v>
      </c>
      <c r="E3118" s="19" t="str">
        <f t="shared" si="2"/>
        <v> </v>
      </c>
      <c r="F3118" s="21"/>
    </row>
    <row r="3119">
      <c r="A3119" s="19">
        <v>14606.0</v>
      </c>
      <c r="B3119" s="19" t="s">
        <v>3145</v>
      </c>
      <c r="C3119" s="20">
        <v>36306.0</v>
      </c>
      <c r="D3119" s="19" t="str">
        <f t="shared" si="1"/>
        <v> </v>
      </c>
      <c r="E3119" s="19" t="str">
        <f t="shared" si="2"/>
        <v> </v>
      </c>
      <c r="F3119" s="21"/>
    </row>
    <row r="3120">
      <c r="A3120" s="19">
        <v>14607.0</v>
      </c>
      <c r="B3120" s="19" t="s">
        <v>3146</v>
      </c>
      <c r="C3120" s="20">
        <v>35936.0</v>
      </c>
      <c r="D3120" s="19" t="str">
        <f t="shared" si="1"/>
        <v> </v>
      </c>
      <c r="E3120" s="19" t="str">
        <f t="shared" si="2"/>
        <v> </v>
      </c>
      <c r="F3120" s="21"/>
    </row>
    <row r="3121">
      <c r="A3121" s="19">
        <v>14608.0</v>
      </c>
      <c r="B3121" s="19" t="s">
        <v>3147</v>
      </c>
      <c r="C3121" s="20">
        <v>31891.0</v>
      </c>
      <c r="D3121" s="19" t="str">
        <f t="shared" si="1"/>
        <v> </v>
      </c>
      <c r="E3121" s="19" t="str">
        <f t="shared" si="2"/>
        <v> </v>
      </c>
      <c r="F3121" s="21"/>
    </row>
    <row r="3122">
      <c r="A3122" s="19">
        <v>14609.0</v>
      </c>
      <c r="B3122" s="19" t="s">
        <v>3148</v>
      </c>
      <c r="C3122" s="20">
        <v>35075.0</v>
      </c>
      <c r="D3122" s="19" t="str">
        <f t="shared" si="1"/>
        <v> </v>
      </c>
      <c r="E3122" s="19" t="str">
        <f t="shared" si="2"/>
        <v> </v>
      </c>
      <c r="F3122" s="21"/>
    </row>
    <row r="3123">
      <c r="A3123" s="19">
        <v>14610.0</v>
      </c>
      <c r="B3123" s="19" t="s">
        <v>3149</v>
      </c>
      <c r="C3123" s="20">
        <v>25077.0</v>
      </c>
      <c r="D3123" s="19" t="str">
        <f t="shared" si="1"/>
        <v> </v>
      </c>
      <c r="E3123" s="19" t="str">
        <f t="shared" si="2"/>
        <v> </v>
      </c>
      <c r="F3123" s="21"/>
    </row>
    <row r="3124">
      <c r="A3124" s="19">
        <v>14611.0</v>
      </c>
      <c r="B3124" s="19" t="s">
        <v>3150</v>
      </c>
      <c r="C3124" s="20">
        <v>24831.0</v>
      </c>
      <c r="D3124" s="19" t="str">
        <f t="shared" si="1"/>
        <v> </v>
      </c>
      <c r="E3124" s="19" t="str">
        <f t="shared" si="2"/>
        <v> </v>
      </c>
      <c r="F3124" s="21"/>
    </row>
    <row r="3125">
      <c r="A3125" s="19">
        <v>14612.0</v>
      </c>
      <c r="B3125" s="19" t="s">
        <v>3151</v>
      </c>
      <c r="C3125" s="20">
        <v>15554.0</v>
      </c>
      <c r="D3125" s="19" t="str">
        <f t="shared" si="1"/>
        <v> </v>
      </c>
      <c r="E3125" s="19" t="str">
        <f t="shared" si="2"/>
        <v> </v>
      </c>
      <c r="F3125" s="21"/>
    </row>
    <row r="3126">
      <c r="A3126" s="19">
        <v>14613.0</v>
      </c>
      <c r="B3126" s="19" t="s">
        <v>3152</v>
      </c>
      <c r="C3126" s="20">
        <v>32621.0</v>
      </c>
      <c r="D3126" s="19" t="str">
        <f t="shared" si="1"/>
        <v> </v>
      </c>
      <c r="E3126" s="19" t="str">
        <f t="shared" si="2"/>
        <v> </v>
      </c>
      <c r="F3126" s="21"/>
    </row>
    <row r="3127">
      <c r="A3127" s="19">
        <v>14615.0</v>
      </c>
      <c r="B3127" s="19" t="s">
        <v>3153</v>
      </c>
      <c r="C3127" s="20">
        <v>18580.0</v>
      </c>
      <c r="D3127" s="19" t="str">
        <f t="shared" si="1"/>
        <v> </v>
      </c>
      <c r="E3127" s="19" t="str">
        <f t="shared" si="2"/>
        <v> </v>
      </c>
      <c r="F3127" s="21"/>
    </row>
    <row r="3128">
      <c r="A3128" s="19">
        <v>14617.0</v>
      </c>
      <c r="B3128" s="19" t="s">
        <v>3154</v>
      </c>
      <c r="C3128" s="20">
        <v>17695.0</v>
      </c>
      <c r="D3128" s="19" t="str">
        <f t="shared" si="1"/>
        <v> </v>
      </c>
      <c r="E3128" s="19" t="str">
        <f t="shared" si="2"/>
        <v> </v>
      </c>
      <c r="F3128" s="21"/>
    </row>
    <row r="3129">
      <c r="A3129" s="19">
        <v>14618.0</v>
      </c>
      <c r="B3129" s="19" t="s">
        <v>3155</v>
      </c>
      <c r="C3129" s="20">
        <v>34941.0</v>
      </c>
      <c r="D3129" s="19" t="str">
        <f t="shared" si="1"/>
        <v> </v>
      </c>
      <c r="E3129" s="19" t="str">
        <f t="shared" si="2"/>
        <v> </v>
      </c>
      <c r="F3129" s="21"/>
    </row>
    <row r="3130">
      <c r="A3130" s="19">
        <v>14619.0</v>
      </c>
      <c r="B3130" s="19" t="s">
        <v>3156</v>
      </c>
      <c r="C3130" s="20">
        <v>27658.0</v>
      </c>
      <c r="D3130" s="19" t="str">
        <f t="shared" si="1"/>
        <v> </v>
      </c>
      <c r="E3130" s="19" t="str">
        <f t="shared" si="2"/>
        <v> </v>
      </c>
      <c r="F3130" s="21"/>
    </row>
    <row r="3131">
      <c r="A3131" s="19">
        <v>14620.0</v>
      </c>
      <c r="B3131" s="19" t="s">
        <v>3157</v>
      </c>
      <c r="C3131" s="20">
        <v>15059.0</v>
      </c>
      <c r="D3131" s="19" t="str">
        <f t="shared" si="1"/>
        <v> </v>
      </c>
      <c r="E3131" s="19" t="str">
        <f t="shared" si="2"/>
        <v> </v>
      </c>
      <c r="F3131" s="21"/>
    </row>
    <row r="3132">
      <c r="A3132" s="19">
        <v>14621.0</v>
      </c>
      <c r="B3132" s="19" t="s">
        <v>3158</v>
      </c>
      <c r="C3132" s="20">
        <v>27034.0</v>
      </c>
      <c r="D3132" s="19" t="str">
        <f t="shared" si="1"/>
        <v> </v>
      </c>
      <c r="E3132" s="19" t="str">
        <f t="shared" si="2"/>
        <v> </v>
      </c>
      <c r="F3132" s="21"/>
    </row>
    <row r="3133">
      <c r="A3133" s="19">
        <v>14622.0</v>
      </c>
      <c r="B3133" s="19" t="s">
        <v>3159</v>
      </c>
      <c r="C3133" s="20">
        <v>36734.0</v>
      </c>
      <c r="D3133" s="19" t="str">
        <f t="shared" si="1"/>
        <v> </v>
      </c>
      <c r="E3133" s="19" t="str">
        <f t="shared" si="2"/>
        <v> </v>
      </c>
      <c r="F3133" s="21"/>
    </row>
    <row r="3134">
      <c r="A3134" s="19">
        <v>14623.0</v>
      </c>
      <c r="B3134" s="19" t="s">
        <v>3160</v>
      </c>
      <c r="C3134" s="20">
        <v>31659.0</v>
      </c>
      <c r="D3134" s="19" t="str">
        <f t="shared" si="1"/>
        <v> </v>
      </c>
      <c r="E3134" s="19" t="str">
        <f t="shared" si="2"/>
        <v> </v>
      </c>
      <c r="F3134" s="21"/>
    </row>
    <row r="3135">
      <c r="A3135" s="19">
        <v>14624.0</v>
      </c>
      <c r="B3135" s="19" t="s">
        <v>3161</v>
      </c>
      <c r="C3135" s="20">
        <v>15745.0</v>
      </c>
      <c r="D3135" s="19" t="str">
        <f t="shared" si="1"/>
        <v> </v>
      </c>
      <c r="E3135" s="19" t="str">
        <f t="shared" si="2"/>
        <v> </v>
      </c>
      <c r="F3135" s="21"/>
    </row>
    <row r="3136">
      <c r="A3136" s="19">
        <v>14625.0</v>
      </c>
      <c r="B3136" s="19" t="s">
        <v>3162</v>
      </c>
      <c r="C3136" s="20">
        <v>34939.0</v>
      </c>
      <c r="D3136" s="19" t="str">
        <f t="shared" si="1"/>
        <v> </v>
      </c>
      <c r="E3136" s="19" t="str">
        <f t="shared" si="2"/>
        <v> </v>
      </c>
      <c r="F3136" s="21"/>
    </row>
    <row r="3137">
      <c r="A3137" s="19">
        <v>14626.0</v>
      </c>
      <c r="B3137" s="19" t="s">
        <v>3163</v>
      </c>
      <c r="C3137" s="20">
        <v>36073.0</v>
      </c>
      <c r="D3137" s="19" t="str">
        <f t="shared" si="1"/>
        <v> </v>
      </c>
      <c r="E3137" s="19" t="str">
        <f t="shared" si="2"/>
        <v> </v>
      </c>
      <c r="F3137" s="21"/>
    </row>
    <row r="3138">
      <c r="A3138" s="19">
        <v>14627.0</v>
      </c>
      <c r="B3138" s="19" t="s">
        <v>3164</v>
      </c>
      <c r="C3138" s="20">
        <v>35108.0</v>
      </c>
      <c r="D3138" s="19" t="str">
        <f t="shared" si="1"/>
        <v> </v>
      </c>
      <c r="E3138" s="19" t="str">
        <f t="shared" si="2"/>
        <v> </v>
      </c>
      <c r="F3138" s="21"/>
    </row>
    <row r="3139">
      <c r="A3139" s="19">
        <v>14628.0</v>
      </c>
      <c r="B3139" s="19" t="s">
        <v>3165</v>
      </c>
      <c r="C3139" s="20">
        <v>19571.0</v>
      </c>
      <c r="D3139" s="19" t="str">
        <f t="shared" si="1"/>
        <v> </v>
      </c>
      <c r="E3139" s="19" t="str">
        <f t="shared" si="2"/>
        <v> </v>
      </c>
      <c r="F3139" s="21"/>
    </row>
    <row r="3140">
      <c r="A3140" s="19">
        <v>14629.0</v>
      </c>
      <c r="B3140" s="19" t="s">
        <v>3166</v>
      </c>
      <c r="C3140" s="20">
        <v>29613.0</v>
      </c>
      <c r="D3140" s="19" t="str">
        <f t="shared" si="1"/>
        <v> </v>
      </c>
      <c r="E3140" s="19" t="str">
        <f t="shared" si="2"/>
        <v> </v>
      </c>
      <c r="F3140" s="21"/>
    </row>
    <row r="3141">
      <c r="A3141" s="19">
        <v>14630.0</v>
      </c>
      <c r="B3141" s="19" t="s">
        <v>3167</v>
      </c>
      <c r="C3141" s="20">
        <v>23052.0</v>
      </c>
      <c r="D3141" s="19" t="str">
        <f t="shared" si="1"/>
        <v> </v>
      </c>
      <c r="E3141" s="19" t="str">
        <f t="shared" si="2"/>
        <v> </v>
      </c>
      <c r="F3141" s="21"/>
    </row>
    <row r="3142">
      <c r="A3142" s="19">
        <v>14631.0</v>
      </c>
      <c r="B3142" s="19" t="s">
        <v>3168</v>
      </c>
      <c r="C3142" s="20">
        <v>21550.0</v>
      </c>
      <c r="D3142" s="19" t="str">
        <f t="shared" si="1"/>
        <v>Repeat</v>
      </c>
      <c r="E3142" s="19" t="str">
        <f t="shared" si="2"/>
        <v> </v>
      </c>
      <c r="F3142" s="21"/>
    </row>
    <row r="3143">
      <c r="A3143" s="19">
        <v>14632.0</v>
      </c>
      <c r="B3143" s="19" t="s">
        <v>3169</v>
      </c>
      <c r="C3143" s="20">
        <v>18269.0</v>
      </c>
      <c r="D3143" s="19" t="str">
        <f t="shared" si="1"/>
        <v> </v>
      </c>
      <c r="E3143" s="19" t="str">
        <f t="shared" si="2"/>
        <v> </v>
      </c>
      <c r="F3143" s="21"/>
    </row>
    <row r="3144">
      <c r="A3144" s="19">
        <v>14633.0</v>
      </c>
      <c r="B3144" s="19" t="s">
        <v>3170</v>
      </c>
      <c r="C3144" s="20">
        <v>18304.0</v>
      </c>
      <c r="D3144" s="19" t="str">
        <f t="shared" si="1"/>
        <v> </v>
      </c>
      <c r="E3144" s="19" t="str">
        <f t="shared" si="2"/>
        <v> </v>
      </c>
      <c r="F3144" s="21"/>
    </row>
    <row r="3145">
      <c r="A3145" s="19">
        <v>14634.0</v>
      </c>
      <c r="B3145" s="19" t="s">
        <v>3171</v>
      </c>
      <c r="C3145" s="20">
        <v>12188.0</v>
      </c>
      <c r="D3145" s="19" t="str">
        <f t="shared" si="1"/>
        <v> </v>
      </c>
      <c r="E3145" s="19" t="str">
        <f t="shared" si="2"/>
        <v> </v>
      </c>
      <c r="F3145" s="21"/>
    </row>
    <row r="3146">
      <c r="A3146" s="19">
        <v>14635.0</v>
      </c>
      <c r="B3146" s="19" t="s">
        <v>3172</v>
      </c>
      <c r="C3146" s="20">
        <v>19450.0</v>
      </c>
      <c r="D3146" s="19" t="str">
        <f t="shared" si="1"/>
        <v> </v>
      </c>
      <c r="E3146" s="19" t="str">
        <f t="shared" si="2"/>
        <v> </v>
      </c>
      <c r="F3146" s="21"/>
    </row>
    <row r="3147">
      <c r="A3147" s="19">
        <v>14637.0</v>
      </c>
      <c r="B3147" s="19" t="s">
        <v>3173</v>
      </c>
      <c r="C3147" s="20">
        <v>18447.0</v>
      </c>
      <c r="D3147" s="19" t="str">
        <f t="shared" si="1"/>
        <v> </v>
      </c>
      <c r="E3147" s="19" t="str">
        <f t="shared" si="2"/>
        <v> </v>
      </c>
      <c r="F3147" s="21"/>
    </row>
    <row r="3148">
      <c r="A3148" s="19">
        <v>14639.0</v>
      </c>
      <c r="B3148" s="19" t="s">
        <v>3174</v>
      </c>
      <c r="C3148" s="20">
        <v>12754.0</v>
      </c>
      <c r="D3148" s="19" t="str">
        <f t="shared" si="1"/>
        <v> </v>
      </c>
      <c r="E3148" s="19" t="str">
        <f t="shared" si="2"/>
        <v> </v>
      </c>
      <c r="F3148" s="21"/>
    </row>
    <row r="3149">
      <c r="A3149" s="19">
        <v>14640.0</v>
      </c>
      <c r="B3149" s="19" t="s">
        <v>3175</v>
      </c>
      <c r="C3149" s="20">
        <v>24268.0</v>
      </c>
      <c r="D3149" s="19" t="str">
        <f t="shared" si="1"/>
        <v> </v>
      </c>
      <c r="E3149" s="19" t="str">
        <f t="shared" si="2"/>
        <v> </v>
      </c>
      <c r="F3149" s="21"/>
    </row>
    <row r="3150">
      <c r="A3150" s="19">
        <v>14641.0</v>
      </c>
      <c r="B3150" s="19" t="s">
        <v>3176</v>
      </c>
      <c r="C3150" s="20">
        <v>15652.0</v>
      </c>
      <c r="D3150" s="19" t="str">
        <f t="shared" si="1"/>
        <v> </v>
      </c>
      <c r="E3150" s="19" t="str">
        <f t="shared" si="2"/>
        <v> </v>
      </c>
      <c r="F3150" s="21"/>
    </row>
    <row r="3151">
      <c r="A3151" s="19">
        <v>14642.0</v>
      </c>
      <c r="B3151" s="19" t="s">
        <v>3177</v>
      </c>
      <c r="C3151" s="20">
        <v>26339.0</v>
      </c>
      <c r="D3151" s="19" t="str">
        <f t="shared" si="1"/>
        <v> </v>
      </c>
      <c r="E3151" s="19" t="str">
        <f t="shared" si="2"/>
        <v> </v>
      </c>
      <c r="F3151" s="21"/>
    </row>
    <row r="3152">
      <c r="A3152" s="19">
        <v>14643.0</v>
      </c>
      <c r="B3152" s="19" t="s">
        <v>3178</v>
      </c>
      <c r="C3152" s="20">
        <v>23890.0</v>
      </c>
      <c r="D3152" s="19" t="str">
        <f t="shared" si="1"/>
        <v> </v>
      </c>
      <c r="E3152" s="19" t="str">
        <f t="shared" si="2"/>
        <v> </v>
      </c>
      <c r="F3152" s="21"/>
    </row>
    <row r="3153">
      <c r="A3153" s="19">
        <v>14644.0</v>
      </c>
      <c r="B3153" s="19" t="s">
        <v>3179</v>
      </c>
      <c r="C3153" s="20">
        <v>25849.0</v>
      </c>
      <c r="D3153" s="19" t="str">
        <f t="shared" si="1"/>
        <v> </v>
      </c>
      <c r="E3153" s="19" t="str">
        <f t="shared" si="2"/>
        <v> </v>
      </c>
      <c r="F3153" s="21"/>
    </row>
    <row r="3154">
      <c r="A3154" s="19">
        <v>14645.0</v>
      </c>
      <c r="B3154" s="19" t="s">
        <v>3180</v>
      </c>
      <c r="C3154" s="20">
        <v>35832.0</v>
      </c>
      <c r="D3154" s="19" t="str">
        <f t="shared" si="1"/>
        <v> </v>
      </c>
      <c r="E3154" s="19" t="str">
        <f t="shared" si="2"/>
        <v> </v>
      </c>
      <c r="F3154" s="21"/>
    </row>
    <row r="3155">
      <c r="A3155" s="19">
        <v>14646.0</v>
      </c>
      <c r="B3155" s="19" t="s">
        <v>3181</v>
      </c>
      <c r="C3155" s="20">
        <v>30179.0</v>
      </c>
      <c r="D3155" s="19" t="str">
        <f t="shared" si="1"/>
        <v> </v>
      </c>
      <c r="E3155" s="19" t="str">
        <f t="shared" si="2"/>
        <v> </v>
      </c>
      <c r="F3155" s="21"/>
    </row>
    <row r="3156">
      <c r="A3156" s="19">
        <v>14647.0</v>
      </c>
      <c r="B3156" s="19" t="s">
        <v>3182</v>
      </c>
      <c r="C3156" s="20">
        <v>33280.0</v>
      </c>
      <c r="D3156" s="19" t="str">
        <f t="shared" si="1"/>
        <v> </v>
      </c>
      <c r="E3156" s="19" t="str">
        <f t="shared" si="2"/>
        <v> </v>
      </c>
      <c r="F3156" s="21"/>
    </row>
    <row r="3157">
      <c r="A3157" s="19">
        <v>14649.0</v>
      </c>
      <c r="B3157" s="19" t="s">
        <v>3183</v>
      </c>
      <c r="C3157" s="20">
        <v>17046.0</v>
      </c>
      <c r="D3157" s="19" t="str">
        <f t="shared" si="1"/>
        <v> </v>
      </c>
      <c r="E3157" s="19" t="str">
        <f t="shared" si="2"/>
        <v> </v>
      </c>
      <c r="F3157" s="21"/>
    </row>
    <row r="3158">
      <c r="A3158" s="19">
        <v>14651.0</v>
      </c>
      <c r="B3158" s="19" t="s">
        <v>3184</v>
      </c>
      <c r="C3158" s="20">
        <v>33354.0</v>
      </c>
      <c r="D3158" s="19" t="str">
        <f t="shared" si="1"/>
        <v> </v>
      </c>
      <c r="E3158" s="19" t="str">
        <f t="shared" si="2"/>
        <v> </v>
      </c>
      <c r="F3158" s="21"/>
    </row>
    <row r="3159">
      <c r="A3159" s="19">
        <v>14653.0</v>
      </c>
      <c r="B3159" s="19" t="s">
        <v>3185</v>
      </c>
      <c r="C3159" s="20">
        <v>15110.0</v>
      </c>
      <c r="D3159" s="19" t="str">
        <f t="shared" si="1"/>
        <v> </v>
      </c>
      <c r="E3159" s="19" t="str">
        <f t="shared" si="2"/>
        <v> </v>
      </c>
      <c r="F3159" s="21"/>
    </row>
    <row r="3160">
      <c r="A3160" s="19">
        <v>14655.0</v>
      </c>
      <c r="B3160" s="19" t="s">
        <v>3186</v>
      </c>
      <c r="C3160" s="20">
        <v>27656.0</v>
      </c>
      <c r="D3160" s="19" t="str">
        <f t="shared" si="1"/>
        <v> </v>
      </c>
      <c r="E3160" s="19" t="str">
        <f t="shared" si="2"/>
        <v> </v>
      </c>
      <c r="F3160" s="21"/>
    </row>
    <row r="3161">
      <c r="A3161" s="19">
        <v>14656.0</v>
      </c>
      <c r="B3161" s="19" t="s">
        <v>3187</v>
      </c>
      <c r="C3161" s="20">
        <v>31611.0</v>
      </c>
      <c r="D3161" s="19" t="str">
        <f t="shared" si="1"/>
        <v> </v>
      </c>
      <c r="E3161" s="19" t="str">
        <f t="shared" si="2"/>
        <v> </v>
      </c>
      <c r="F3161" s="21"/>
    </row>
    <row r="3162">
      <c r="A3162" s="19">
        <v>14657.0</v>
      </c>
      <c r="B3162" s="19" t="s">
        <v>3188</v>
      </c>
      <c r="C3162" s="20">
        <v>15262.0</v>
      </c>
      <c r="D3162" s="19" t="str">
        <f t="shared" si="1"/>
        <v> </v>
      </c>
      <c r="E3162" s="19" t="str">
        <f t="shared" si="2"/>
        <v> </v>
      </c>
      <c r="F3162" s="21"/>
    </row>
    <row r="3163">
      <c r="A3163" s="19">
        <v>14658.0</v>
      </c>
      <c r="B3163" s="19" t="s">
        <v>3189</v>
      </c>
      <c r="C3163" s="20">
        <v>18222.0</v>
      </c>
      <c r="D3163" s="19" t="str">
        <f t="shared" si="1"/>
        <v> </v>
      </c>
      <c r="E3163" s="19" t="str">
        <f t="shared" si="2"/>
        <v> </v>
      </c>
      <c r="F3163" s="21"/>
    </row>
    <row r="3164">
      <c r="A3164" s="19">
        <v>14659.0</v>
      </c>
      <c r="B3164" s="19" t="s">
        <v>3190</v>
      </c>
      <c r="C3164" s="20">
        <v>23213.0</v>
      </c>
      <c r="D3164" s="19" t="str">
        <f t="shared" si="1"/>
        <v> </v>
      </c>
      <c r="E3164" s="19" t="str">
        <f t="shared" si="2"/>
        <v> </v>
      </c>
      <c r="F3164" s="21"/>
    </row>
    <row r="3165">
      <c r="A3165" s="19">
        <v>14660.0</v>
      </c>
      <c r="B3165" s="19" t="s">
        <v>3191</v>
      </c>
      <c r="C3165" s="20">
        <v>32046.0</v>
      </c>
      <c r="D3165" s="19" t="str">
        <f t="shared" si="1"/>
        <v> </v>
      </c>
      <c r="E3165" s="19" t="str">
        <f t="shared" si="2"/>
        <v> </v>
      </c>
      <c r="F3165" s="21"/>
    </row>
    <row r="3166">
      <c r="A3166" s="19">
        <v>14661.0</v>
      </c>
      <c r="B3166" s="19" t="s">
        <v>3192</v>
      </c>
      <c r="C3166" s="20">
        <v>34475.0</v>
      </c>
      <c r="D3166" s="19" t="str">
        <f t="shared" si="1"/>
        <v> </v>
      </c>
      <c r="E3166" s="19" t="str">
        <f t="shared" si="2"/>
        <v> </v>
      </c>
      <c r="F3166" s="21"/>
    </row>
    <row r="3167">
      <c r="A3167" s="19">
        <v>14662.0</v>
      </c>
      <c r="B3167" s="19" t="s">
        <v>3193</v>
      </c>
      <c r="C3167" s="20">
        <v>35392.0</v>
      </c>
      <c r="D3167" s="19" t="str">
        <f t="shared" si="1"/>
        <v> </v>
      </c>
      <c r="E3167" s="19" t="str">
        <f t="shared" si="2"/>
        <v> </v>
      </c>
      <c r="F3167" s="21"/>
    </row>
    <row r="3168">
      <c r="A3168" s="19">
        <v>14663.0</v>
      </c>
      <c r="B3168" s="19" t="s">
        <v>3194</v>
      </c>
      <c r="C3168" s="20">
        <v>22578.0</v>
      </c>
      <c r="D3168" s="19" t="str">
        <f t="shared" si="1"/>
        <v> </v>
      </c>
      <c r="E3168" s="19" t="str">
        <f t="shared" si="2"/>
        <v> </v>
      </c>
      <c r="F3168" s="21"/>
    </row>
    <row r="3169">
      <c r="A3169" s="19">
        <v>14664.0</v>
      </c>
      <c r="B3169" s="19" t="s">
        <v>3195</v>
      </c>
      <c r="C3169" s="20">
        <v>20060.0</v>
      </c>
      <c r="D3169" s="19" t="str">
        <f t="shared" si="1"/>
        <v> </v>
      </c>
      <c r="E3169" s="19" t="str">
        <f t="shared" si="2"/>
        <v> </v>
      </c>
      <c r="F3169" s="21"/>
    </row>
    <row r="3170">
      <c r="A3170" s="19">
        <v>14665.0</v>
      </c>
      <c r="B3170" s="19" t="s">
        <v>3196</v>
      </c>
      <c r="C3170" s="20">
        <v>17943.0</v>
      </c>
      <c r="D3170" s="19" t="str">
        <f t="shared" si="1"/>
        <v> </v>
      </c>
      <c r="E3170" s="19" t="str">
        <f t="shared" si="2"/>
        <v> </v>
      </c>
      <c r="F3170" s="21"/>
    </row>
    <row r="3171">
      <c r="A3171" s="19">
        <v>14666.0</v>
      </c>
      <c r="B3171" s="19" t="s">
        <v>3197</v>
      </c>
      <c r="C3171" s="20">
        <v>12836.0</v>
      </c>
      <c r="D3171" s="19" t="str">
        <f t="shared" si="1"/>
        <v> </v>
      </c>
      <c r="E3171" s="19" t="str">
        <f t="shared" si="2"/>
        <v> </v>
      </c>
      <c r="F3171" s="21"/>
    </row>
    <row r="3172">
      <c r="A3172" s="19">
        <v>14667.0</v>
      </c>
      <c r="B3172" s="19" t="s">
        <v>3198</v>
      </c>
      <c r="C3172" s="20">
        <v>20289.0</v>
      </c>
      <c r="D3172" s="19" t="str">
        <f t="shared" si="1"/>
        <v> </v>
      </c>
      <c r="E3172" s="19" t="str">
        <f t="shared" si="2"/>
        <v> </v>
      </c>
      <c r="F3172" s="21"/>
    </row>
    <row r="3173">
      <c r="A3173" s="19">
        <v>14668.0</v>
      </c>
      <c r="B3173" s="19" t="s">
        <v>3199</v>
      </c>
      <c r="C3173" s="20">
        <v>23488.0</v>
      </c>
      <c r="D3173" s="19" t="str">
        <f t="shared" si="1"/>
        <v> </v>
      </c>
      <c r="E3173" s="19" t="str">
        <f t="shared" si="2"/>
        <v> </v>
      </c>
      <c r="F3173" s="21"/>
    </row>
    <row r="3174">
      <c r="A3174" s="19">
        <v>14669.0</v>
      </c>
      <c r="B3174" s="19" t="s">
        <v>3200</v>
      </c>
      <c r="C3174" s="20">
        <v>14682.0</v>
      </c>
      <c r="D3174" s="19" t="str">
        <f t="shared" si="1"/>
        <v> </v>
      </c>
      <c r="E3174" s="19" t="str">
        <f t="shared" si="2"/>
        <v> </v>
      </c>
      <c r="F3174" s="21"/>
    </row>
    <row r="3175">
      <c r="A3175" s="19">
        <v>14670.0</v>
      </c>
      <c r="B3175" s="19" t="s">
        <v>3201</v>
      </c>
      <c r="C3175" s="20">
        <v>25721.0</v>
      </c>
      <c r="D3175" s="19" t="str">
        <f t="shared" si="1"/>
        <v> </v>
      </c>
      <c r="E3175" s="19" t="str">
        <f t="shared" si="2"/>
        <v> </v>
      </c>
      <c r="F3175" s="21"/>
    </row>
    <row r="3176">
      <c r="A3176" s="19">
        <v>14671.0</v>
      </c>
      <c r="B3176" s="19" t="s">
        <v>3202</v>
      </c>
      <c r="C3176" s="20">
        <v>33472.0</v>
      </c>
      <c r="D3176" s="19" t="str">
        <f t="shared" si="1"/>
        <v> </v>
      </c>
      <c r="E3176" s="19" t="str">
        <f t="shared" si="2"/>
        <v> </v>
      </c>
      <c r="F3176" s="21"/>
    </row>
    <row r="3177">
      <c r="A3177" s="19">
        <v>14675.0</v>
      </c>
      <c r="B3177" s="19" t="s">
        <v>3203</v>
      </c>
      <c r="C3177" s="20">
        <v>25689.0</v>
      </c>
      <c r="D3177" s="19" t="str">
        <f t="shared" si="1"/>
        <v> </v>
      </c>
      <c r="E3177" s="19" t="str">
        <f t="shared" si="2"/>
        <v> </v>
      </c>
      <c r="F3177" s="21"/>
    </row>
    <row r="3178">
      <c r="A3178" s="19">
        <v>14676.0</v>
      </c>
      <c r="B3178" s="19" t="s">
        <v>3204</v>
      </c>
      <c r="C3178" s="20">
        <v>36063.0</v>
      </c>
      <c r="D3178" s="19" t="str">
        <f t="shared" si="1"/>
        <v> </v>
      </c>
      <c r="E3178" s="19" t="str">
        <f t="shared" si="2"/>
        <v> </v>
      </c>
      <c r="F3178" s="21"/>
    </row>
    <row r="3179">
      <c r="A3179" s="19">
        <v>14677.0</v>
      </c>
      <c r="B3179" s="19" t="s">
        <v>3205</v>
      </c>
      <c r="C3179" s="20">
        <v>11746.0</v>
      </c>
      <c r="D3179" s="19" t="str">
        <f t="shared" si="1"/>
        <v> </v>
      </c>
      <c r="E3179" s="19" t="str">
        <f t="shared" si="2"/>
        <v> </v>
      </c>
      <c r="F3179" s="21"/>
    </row>
    <row r="3180">
      <c r="A3180" s="19">
        <v>14678.0</v>
      </c>
      <c r="B3180" s="19" t="s">
        <v>3206</v>
      </c>
      <c r="C3180" s="20">
        <v>18513.0</v>
      </c>
      <c r="D3180" s="19" t="str">
        <f t="shared" si="1"/>
        <v> </v>
      </c>
      <c r="E3180" s="19" t="str">
        <f t="shared" si="2"/>
        <v> </v>
      </c>
      <c r="F3180" s="21"/>
    </row>
    <row r="3181">
      <c r="A3181" s="19">
        <v>14679.0</v>
      </c>
      <c r="B3181" s="19" t="s">
        <v>3207</v>
      </c>
      <c r="C3181" s="20">
        <v>18488.0</v>
      </c>
      <c r="D3181" s="19" t="str">
        <f t="shared" si="1"/>
        <v> </v>
      </c>
      <c r="E3181" s="19" t="str">
        <f t="shared" si="2"/>
        <v> </v>
      </c>
      <c r="F3181" s="21"/>
    </row>
    <row r="3182">
      <c r="A3182" s="19">
        <v>14681.0</v>
      </c>
      <c r="B3182" s="19" t="s">
        <v>3208</v>
      </c>
      <c r="C3182" s="20">
        <v>24825.0</v>
      </c>
      <c r="D3182" s="19" t="str">
        <f t="shared" si="1"/>
        <v> </v>
      </c>
      <c r="E3182" s="19" t="str">
        <f t="shared" si="2"/>
        <v> </v>
      </c>
      <c r="F3182" s="21"/>
    </row>
    <row r="3183">
      <c r="A3183" s="19">
        <v>14682.0</v>
      </c>
      <c r="B3183" s="19" t="s">
        <v>3209</v>
      </c>
      <c r="C3183" s="20">
        <v>33997.0</v>
      </c>
      <c r="D3183" s="19" t="str">
        <f t="shared" si="1"/>
        <v> </v>
      </c>
      <c r="E3183" s="19" t="str">
        <f t="shared" si="2"/>
        <v> </v>
      </c>
      <c r="F3183" s="21"/>
    </row>
    <row r="3184">
      <c r="A3184" s="19">
        <v>14683.0</v>
      </c>
      <c r="B3184" s="19" t="s">
        <v>3210</v>
      </c>
      <c r="C3184" s="20">
        <v>18722.0</v>
      </c>
      <c r="D3184" s="19" t="str">
        <f t="shared" si="1"/>
        <v> </v>
      </c>
      <c r="E3184" s="19" t="str">
        <f t="shared" si="2"/>
        <v> </v>
      </c>
      <c r="F3184" s="21"/>
    </row>
    <row r="3185">
      <c r="A3185" s="19">
        <v>14685.0</v>
      </c>
      <c r="B3185" s="19" t="s">
        <v>3211</v>
      </c>
      <c r="C3185" s="20">
        <v>18112.0</v>
      </c>
      <c r="D3185" s="19" t="str">
        <f t="shared" si="1"/>
        <v> </v>
      </c>
      <c r="E3185" s="19" t="str">
        <f t="shared" si="2"/>
        <v> </v>
      </c>
      <c r="F3185" s="21"/>
    </row>
    <row r="3186">
      <c r="A3186" s="19">
        <v>14686.0</v>
      </c>
      <c r="B3186" s="19" t="s">
        <v>3212</v>
      </c>
      <c r="C3186" s="20">
        <v>18635.0</v>
      </c>
      <c r="D3186" s="19" t="str">
        <f t="shared" si="1"/>
        <v> </v>
      </c>
      <c r="E3186" s="19" t="str">
        <f t="shared" si="2"/>
        <v> </v>
      </c>
      <c r="F3186" s="21"/>
    </row>
    <row r="3187">
      <c r="A3187" s="19">
        <v>14687.0</v>
      </c>
      <c r="B3187" s="19" t="s">
        <v>3213</v>
      </c>
      <c r="C3187" s="20">
        <v>15334.0</v>
      </c>
      <c r="D3187" s="19" t="str">
        <f t="shared" si="1"/>
        <v> </v>
      </c>
      <c r="E3187" s="19" t="str">
        <f t="shared" si="2"/>
        <v> </v>
      </c>
      <c r="F3187" s="21"/>
    </row>
    <row r="3188">
      <c r="A3188" s="19">
        <v>14688.0</v>
      </c>
      <c r="B3188" s="19" t="s">
        <v>3214</v>
      </c>
      <c r="C3188" s="20">
        <v>31136.0</v>
      </c>
      <c r="D3188" s="19" t="str">
        <f t="shared" si="1"/>
        <v> </v>
      </c>
      <c r="E3188" s="19" t="str">
        <f t="shared" si="2"/>
        <v> </v>
      </c>
      <c r="F3188" s="21"/>
    </row>
    <row r="3189">
      <c r="A3189" s="19">
        <v>14689.0</v>
      </c>
      <c r="B3189" s="19" t="s">
        <v>3215</v>
      </c>
      <c r="C3189" s="20">
        <v>19801.0</v>
      </c>
      <c r="D3189" s="19" t="str">
        <f t="shared" si="1"/>
        <v> </v>
      </c>
      <c r="E3189" s="19" t="str">
        <f t="shared" si="2"/>
        <v> </v>
      </c>
      <c r="F3189" s="21"/>
    </row>
    <row r="3190">
      <c r="A3190" s="19">
        <v>14690.0</v>
      </c>
      <c r="B3190" s="19" t="s">
        <v>3216</v>
      </c>
      <c r="C3190" s="20">
        <v>23183.0</v>
      </c>
      <c r="D3190" s="19" t="str">
        <f t="shared" si="1"/>
        <v> </v>
      </c>
      <c r="E3190" s="19" t="str">
        <f t="shared" si="2"/>
        <v> </v>
      </c>
      <c r="F3190" s="21"/>
    </row>
    <row r="3191">
      <c r="A3191" s="19">
        <v>14691.0</v>
      </c>
      <c r="B3191" s="19" t="s">
        <v>3217</v>
      </c>
      <c r="C3191" s="20">
        <v>18045.0</v>
      </c>
      <c r="D3191" s="19" t="str">
        <f t="shared" si="1"/>
        <v> </v>
      </c>
      <c r="E3191" s="19" t="str">
        <f t="shared" si="2"/>
        <v> </v>
      </c>
      <c r="F3191" s="21"/>
    </row>
    <row r="3192">
      <c r="A3192" s="19">
        <v>14692.0</v>
      </c>
      <c r="B3192" s="19" t="s">
        <v>3218</v>
      </c>
      <c r="C3192" s="20">
        <v>30488.0</v>
      </c>
      <c r="D3192" s="19" t="str">
        <f t="shared" si="1"/>
        <v> </v>
      </c>
      <c r="E3192" s="19" t="str">
        <f t="shared" si="2"/>
        <v> </v>
      </c>
      <c r="F3192" s="21"/>
    </row>
    <row r="3193">
      <c r="A3193" s="19">
        <v>14694.0</v>
      </c>
      <c r="B3193" s="19" t="s">
        <v>3219</v>
      </c>
      <c r="C3193" s="20">
        <v>26697.0</v>
      </c>
      <c r="D3193" s="19" t="str">
        <f t="shared" si="1"/>
        <v> </v>
      </c>
      <c r="E3193" s="19" t="str">
        <f t="shared" si="2"/>
        <v> </v>
      </c>
      <c r="F3193" s="21"/>
    </row>
    <row r="3194">
      <c r="A3194" s="19">
        <v>14695.0</v>
      </c>
      <c r="B3194" s="19" t="s">
        <v>3220</v>
      </c>
      <c r="C3194" s="20">
        <v>20258.0</v>
      </c>
      <c r="D3194" s="19" t="str">
        <f t="shared" si="1"/>
        <v> </v>
      </c>
      <c r="E3194" s="19" t="str">
        <f t="shared" si="2"/>
        <v> </v>
      </c>
      <c r="F3194" s="21"/>
    </row>
    <row r="3195">
      <c r="A3195" s="19">
        <v>14696.0</v>
      </c>
      <c r="B3195" s="19" t="s">
        <v>3221</v>
      </c>
      <c r="C3195" s="20">
        <v>21874.0</v>
      </c>
      <c r="D3195" s="19" t="str">
        <f t="shared" si="1"/>
        <v> </v>
      </c>
      <c r="E3195" s="19" t="str">
        <f t="shared" si="2"/>
        <v> </v>
      </c>
      <c r="F3195" s="21"/>
    </row>
    <row r="3196">
      <c r="A3196" s="19">
        <v>14697.0</v>
      </c>
      <c r="B3196" s="19" t="s">
        <v>3222</v>
      </c>
      <c r="C3196" s="20">
        <v>20361.0</v>
      </c>
      <c r="D3196" s="19" t="str">
        <f t="shared" si="1"/>
        <v> </v>
      </c>
      <c r="E3196" s="19" t="str">
        <f t="shared" si="2"/>
        <v> </v>
      </c>
      <c r="F3196" s="21"/>
    </row>
    <row r="3197">
      <c r="A3197" s="19">
        <v>14698.0</v>
      </c>
      <c r="B3197" s="19" t="s">
        <v>3223</v>
      </c>
      <c r="C3197" s="20">
        <v>25292.0</v>
      </c>
      <c r="D3197" s="19" t="str">
        <f t="shared" si="1"/>
        <v> </v>
      </c>
      <c r="E3197" s="19" t="str">
        <f t="shared" si="2"/>
        <v> </v>
      </c>
      <c r="F3197" s="21"/>
    </row>
    <row r="3198">
      <c r="A3198" s="19">
        <v>14700.0</v>
      </c>
      <c r="B3198" s="19" t="s">
        <v>3224</v>
      </c>
      <c r="C3198" s="20">
        <v>32080.0</v>
      </c>
      <c r="D3198" s="19" t="str">
        <f t="shared" si="1"/>
        <v> </v>
      </c>
      <c r="E3198" s="19" t="str">
        <f t="shared" si="2"/>
        <v> </v>
      </c>
      <c r="F3198" s="21"/>
    </row>
    <row r="3199">
      <c r="A3199" s="19">
        <v>14701.0</v>
      </c>
      <c r="B3199" s="19" t="s">
        <v>3225</v>
      </c>
      <c r="C3199" s="20">
        <v>27308.0</v>
      </c>
      <c r="D3199" s="19" t="str">
        <f t="shared" si="1"/>
        <v> </v>
      </c>
      <c r="E3199" s="19" t="str">
        <f t="shared" si="2"/>
        <v> </v>
      </c>
      <c r="F3199" s="21"/>
    </row>
    <row r="3200">
      <c r="A3200" s="19">
        <v>14702.0</v>
      </c>
      <c r="B3200" s="19" t="s">
        <v>3226</v>
      </c>
      <c r="C3200" s="20">
        <v>19745.0</v>
      </c>
      <c r="D3200" s="19" t="str">
        <f t="shared" si="1"/>
        <v> </v>
      </c>
      <c r="E3200" s="19" t="str">
        <f t="shared" si="2"/>
        <v> </v>
      </c>
      <c r="F3200" s="21"/>
    </row>
    <row r="3201">
      <c r="A3201" s="19">
        <v>14703.0</v>
      </c>
      <c r="B3201" s="19" t="s">
        <v>3227</v>
      </c>
      <c r="C3201" s="20">
        <v>29092.0</v>
      </c>
      <c r="D3201" s="19" t="str">
        <f t="shared" si="1"/>
        <v> </v>
      </c>
      <c r="E3201" s="19" t="str">
        <f t="shared" si="2"/>
        <v> </v>
      </c>
      <c r="F3201" s="21"/>
    </row>
    <row r="3202">
      <c r="A3202" s="19">
        <v>14705.0</v>
      </c>
      <c r="B3202" s="19" t="s">
        <v>3228</v>
      </c>
      <c r="C3202" s="20">
        <v>31140.0</v>
      </c>
      <c r="D3202" s="19" t="str">
        <f t="shared" si="1"/>
        <v> </v>
      </c>
      <c r="E3202" s="19" t="str">
        <f t="shared" si="2"/>
        <v> </v>
      </c>
      <c r="F3202" s="21"/>
    </row>
    <row r="3203">
      <c r="A3203" s="19">
        <v>14706.0</v>
      </c>
      <c r="B3203" s="19" t="s">
        <v>3229</v>
      </c>
      <c r="C3203" s="20">
        <v>33782.0</v>
      </c>
      <c r="D3203" s="19" t="str">
        <f t="shared" si="1"/>
        <v> </v>
      </c>
      <c r="E3203" s="19" t="str">
        <f t="shared" si="2"/>
        <v> </v>
      </c>
      <c r="F3203" s="21"/>
    </row>
    <row r="3204">
      <c r="A3204" s="19">
        <v>14707.0</v>
      </c>
      <c r="B3204" s="19" t="s">
        <v>3230</v>
      </c>
      <c r="C3204" s="20">
        <v>19785.0</v>
      </c>
      <c r="D3204" s="19" t="str">
        <f t="shared" si="1"/>
        <v>Repeat</v>
      </c>
      <c r="E3204" s="19" t="str">
        <f t="shared" si="2"/>
        <v> </v>
      </c>
      <c r="F3204" s="21"/>
    </row>
    <row r="3205">
      <c r="A3205" s="19">
        <v>14708.0</v>
      </c>
      <c r="B3205" s="19" t="s">
        <v>3231</v>
      </c>
      <c r="C3205" s="20">
        <v>22732.0</v>
      </c>
      <c r="D3205" s="19" t="str">
        <f t="shared" si="1"/>
        <v> </v>
      </c>
      <c r="E3205" s="19" t="str">
        <f t="shared" si="2"/>
        <v> </v>
      </c>
      <c r="F3205" s="21"/>
    </row>
    <row r="3206">
      <c r="A3206" s="19">
        <v>14709.0</v>
      </c>
      <c r="B3206" s="19" t="s">
        <v>3232</v>
      </c>
      <c r="C3206" s="20">
        <v>15476.0</v>
      </c>
      <c r="D3206" s="19" t="str">
        <f t="shared" si="1"/>
        <v> </v>
      </c>
      <c r="E3206" s="19" t="str">
        <f t="shared" si="2"/>
        <v> </v>
      </c>
      <c r="F3206" s="21"/>
    </row>
    <row r="3207">
      <c r="A3207" s="19">
        <v>14710.0</v>
      </c>
      <c r="B3207" s="19" t="s">
        <v>3233</v>
      </c>
      <c r="C3207" s="20">
        <v>17797.0</v>
      </c>
      <c r="D3207" s="19" t="str">
        <f t="shared" si="1"/>
        <v> </v>
      </c>
      <c r="E3207" s="19" t="str">
        <f t="shared" si="2"/>
        <v> </v>
      </c>
      <c r="F3207" s="21"/>
    </row>
    <row r="3208">
      <c r="A3208" s="19">
        <v>14711.0</v>
      </c>
      <c r="B3208" s="19" t="s">
        <v>3234</v>
      </c>
      <c r="C3208" s="20">
        <v>33505.0</v>
      </c>
      <c r="D3208" s="19" t="str">
        <f t="shared" si="1"/>
        <v> </v>
      </c>
      <c r="E3208" s="19" t="str">
        <f t="shared" si="2"/>
        <v> </v>
      </c>
      <c r="F3208" s="21"/>
    </row>
    <row r="3209">
      <c r="A3209" s="19">
        <v>14712.0</v>
      </c>
      <c r="B3209" s="19" t="s">
        <v>3235</v>
      </c>
      <c r="C3209" s="20">
        <v>12767.0</v>
      </c>
      <c r="D3209" s="19" t="str">
        <f t="shared" si="1"/>
        <v> </v>
      </c>
      <c r="E3209" s="19" t="str">
        <f t="shared" si="2"/>
        <v> </v>
      </c>
      <c r="F3209" s="21"/>
    </row>
    <row r="3210">
      <c r="A3210" s="19">
        <v>14713.0</v>
      </c>
      <c r="B3210" s="19" t="s">
        <v>3236</v>
      </c>
      <c r="C3210" s="20">
        <v>17115.0</v>
      </c>
      <c r="D3210" s="19" t="str">
        <f t="shared" si="1"/>
        <v> </v>
      </c>
      <c r="E3210" s="19" t="str">
        <f t="shared" si="2"/>
        <v> </v>
      </c>
      <c r="F3210" s="21"/>
    </row>
    <row r="3211">
      <c r="A3211" s="19">
        <v>14714.0</v>
      </c>
      <c r="B3211" s="19" t="s">
        <v>3237</v>
      </c>
      <c r="C3211" s="20">
        <v>22910.0</v>
      </c>
      <c r="D3211" s="19" t="str">
        <f t="shared" si="1"/>
        <v> </v>
      </c>
      <c r="E3211" s="19" t="str">
        <f t="shared" si="2"/>
        <v> </v>
      </c>
      <c r="F3211" s="21"/>
    </row>
    <row r="3212">
      <c r="A3212" s="19">
        <v>14715.0</v>
      </c>
      <c r="B3212" s="19" t="s">
        <v>3238</v>
      </c>
      <c r="C3212" s="20">
        <v>13388.0</v>
      </c>
      <c r="D3212" s="19" t="str">
        <f t="shared" si="1"/>
        <v> </v>
      </c>
      <c r="E3212" s="19" t="str">
        <f t="shared" si="2"/>
        <v> </v>
      </c>
      <c r="F3212" s="21"/>
    </row>
    <row r="3213">
      <c r="A3213" s="19">
        <v>14716.0</v>
      </c>
      <c r="B3213" s="19" t="s">
        <v>3239</v>
      </c>
      <c r="C3213" s="20">
        <v>22562.0</v>
      </c>
      <c r="D3213" s="19" t="str">
        <f t="shared" si="1"/>
        <v> </v>
      </c>
      <c r="E3213" s="19" t="str">
        <f t="shared" si="2"/>
        <v> </v>
      </c>
      <c r="F3213" s="21"/>
    </row>
    <row r="3214">
      <c r="A3214" s="19">
        <v>14717.0</v>
      </c>
      <c r="B3214" s="19" t="s">
        <v>3240</v>
      </c>
      <c r="C3214" s="20">
        <v>18987.0</v>
      </c>
      <c r="D3214" s="19" t="str">
        <f t="shared" si="1"/>
        <v> </v>
      </c>
      <c r="E3214" s="19" t="str">
        <f t="shared" si="2"/>
        <v> </v>
      </c>
      <c r="F3214" s="21"/>
    </row>
    <row r="3215">
      <c r="A3215" s="19">
        <v>14718.0</v>
      </c>
      <c r="B3215" s="19" t="s">
        <v>3241</v>
      </c>
      <c r="C3215" s="20">
        <v>19516.0</v>
      </c>
      <c r="D3215" s="19" t="str">
        <f t="shared" si="1"/>
        <v> </v>
      </c>
      <c r="E3215" s="19" t="str">
        <f t="shared" si="2"/>
        <v> </v>
      </c>
      <c r="F3215" s="21"/>
    </row>
    <row r="3216">
      <c r="A3216" s="19">
        <v>14719.0</v>
      </c>
      <c r="B3216" s="19" t="s">
        <v>3242</v>
      </c>
      <c r="C3216" s="20">
        <v>20628.0</v>
      </c>
      <c r="D3216" s="19" t="str">
        <f t="shared" si="1"/>
        <v> </v>
      </c>
      <c r="E3216" s="19" t="str">
        <f t="shared" si="2"/>
        <v> </v>
      </c>
      <c r="F3216" s="21"/>
    </row>
    <row r="3217">
      <c r="A3217" s="19">
        <v>14720.0</v>
      </c>
      <c r="B3217" s="19" t="s">
        <v>3243</v>
      </c>
      <c r="C3217" s="20">
        <v>26359.0</v>
      </c>
      <c r="D3217" s="19" t="str">
        <f t="shared" si="1"/>
        <v> </v>
      </c>
      <c r="E3217" s="19" t="str">
        <f t="shared" si="2"/>
        <v> </v>
      </c>
      <c r="F3217" s="21"/>
    </row>
    <row r="3218">
      <c r="A3218" s="19">
        <v>14721.0</v>
      </c>
      <c r="B3218" s="19" t="s">
        <v>3244</v>
      </c>
      <c r="C3218" s="20">
        <v>33610.0</v>
      </c>
      <c r="D3218" s="19" t="str">
        <f t="shared" si="1"/>
        <v> </v>
      </c>
      <c r="E3218" s="19" t="str">
        <f t="shared" si="2"/>
        <v> </v>
      </c>
      <c r="F3218" s="21"/>
    </row>
    <row r="3219">
      <c r="A3219" s="19">
        <v>14722.0</v>
      </c>
      <c r="B3219" s="19" t="s">
        <v>3245</v>
      </c>
      <c r="C3219" s="20">
        <v>23713.0</v>
      </c>
      <c r="D3219" s="19" t="str">
        <f t="shared" si="1"/>
        <v> </v>
      </c>
      <c r="E3219" s="19" t="str">
        <f t="shared" si="2"/>
        <v> </v>
      </c>
      <c r="F3219" s="21"/>
    </row>
    <row r="3220">
      <c r="A3220" s="19">
        <v>14723.0</v>
      </c>
      <c r="B3220" s="19" t="s">
        <v>3246</v>
      </c>
      <c r="C3220" s="20">
        <v>19447.0</v>
      </c>
      <c r="D3220" s="19" t="str">
        <f t="shared" si="1"/>
        <v> </v>
      </c>
      <c r="E3220" s="19" t="str">
        <f t="shared" si="2"/>
        <v> </v>
      </c>
      <c r="F3220" s="21"/>
    </row>
    <row r="3221">
      <c r="A3221" s="19">
        <v>14724.0</v>
      </c>
      <c r="B3221" s="19" t="s">
        <v>3247</v>
      </c>
      <c r="C3221" s="20">
        <v>26728.0</v>
      </c>
      <c r="D3221" s="19" t="str">
        <f t="shared" si="1"/>
        <v> </v>
      </c>
      <c r="E3221" s="19" t="str">
        <f t="shared" si="2"/>
        <v> </v>
      </c>
      <c r="F3221" s="21"/>
    </row>
    <row r="3222">
      <c r="A3222" s="19">
        <v>14725.0</v>
      </c>
      <c r="B3222" s="19" t="s">
        <v>3248</v>
      </c>
      <c r="C3222" s="20">
        <v>24665.0</v>
      </c>
      <c r="D3222" s="19" t="str">
        <f t="shared" si="1"/>
        <v> </v>
      </c>
      <c r="E3222" s="19" t="str">
        <f t="shared" si="2"/>
        <v> </v>
      </c>
      <c r="F3222" s="21"/>
    </row>
    <row r="3223">
      <c r="A3223" s="19">
        <v>14726.0</v>
      </c>
      <c r="B3223" s="19" t="s">
        <v>3249</v>
      </c>
      <c r="C3223" s="20">
        <v>12703.0</v>
      </c>
      <c r="D3223" s="19" t="str">
        <f t="shared" si="1"/>
        <v> </v>
      </c>
      <c r="E3223" s="19" t="str">
        <f t="shared" si="2"/>
        <v> </v>
      </c>
      <c r="F3223" s="21"/>
    </row>
    <row r="3224">
      <c r="A3224" s="19">
        <v>14727.0</v>
      </c>
      <c r="B3224" s="19" t="s">
        <v>3250</v>
      </c>
      <c r="C3224" s="20">
        <v>16939.0</v>
      </c>
      <c r="D3224" s="19" t="str">
        <f t="shared" si="1"/>
        <v> </v>
      </c>
      <c r="E3224" s="19" t="str">
        <f t="shared" si="2"/>
        <v> </v>
      </c>
      <c r="F3224" s="21"/>
    </row>
    <row r="3225">
      <c r="A3225" s="19">
        <v>14728.0</v>
      </c>
      <c r="B3225" s="19" t="s">
        <v>3251</v>
      </c>
      <c r="C3225" s="20">
        <v>13682.0</v>
      </c>
      <c r="D3225" s="19" t="str">
        <f t="shared" si="1"/>
        <v> </v>
      </c>
      <c r="E3225" s="19" t="str">
        <f t="shared" si="2"/>
        <v> </v>
      </c>
      <c r="F3225" s="21"/>
    </row>
    <row r="3226">
      <c r="A3226" s="19">
        <v>14729.0</v>
      </c>
      <c r="B3226" s="19" t="s">
        <v>3252</v>
      </c>
      <c r="C3226" s="20">
        <v>30461.0</v>
      </c>
      <c r="D3226" s="19" t="str">
        <f t="shared" si="1"/>
        <v> </v>
      </c>
      <c r="E3226" s="19" t="str">
        <f t="shared" si="2"/>
        <v> </v>
      </c>
      <c r="F3226" s="21"/>
    </row>
    <row r="3227">
      <c r="A3227" s="19">
        <v>14730.0</v>
      </c>
      <c r="B3227" s="19" t="s">
        <v>3253</v>
      </c>
      <c r="C3227" s="20">
        <v>33254.0</v>
      </c>
      <c r="D3227" s="19" t="str">
        <f t="shared" si="1"/>
        <v> </v>
      </c>
      <c r="E3227" s="19" t="str">
        <f t="shared" si="2"/>
        <v> </v>
      </c>
      <c r="F3227" s="21"/>
    </row>
    <row r="3228">
      <c r="A3228" s="19">
        <v>14731.0</v>
      </c>
      <c r="B3228" s="19" t="s">
        <v>3254</v>
      </c>
      <c r="C3228" s="20">
        <v>23151.0</v>
      </c>
      <c r="D3228" s="19" t="str">
        <f t="shared" si="1"/>
        <v> </v>
      </c>
      <c r="E3228" s="19" t="str">
        <f t="shared" si="2"/>
        <v> </v>
      </c>
      <c r="F3228" s="21"/>
    </row>
    <row r="3229">
      <c r="A3229" s="19">
        <v>14734.0</v>
      </c>
      <c r="B3229" s="19" t="s">
        <v>3255</v>
      </c>
      <c r="C3229" s="20">
        <v>18667.0</v>
      </c>
      <c r="D3229" s="19" t="str">
        <f t="shared" si="1"/>
        <v> </v>
      </c>
      <c r="E3229" s="19" t="str">
        <f t="shared" si="2"/>
        <v> </v>
      </c>
      <c r="F3229" s="21"/>
    </row>
    <row r="3230">
      <c r="A3230" s="19">
        <v>14735.0</v>
      </c>
      <c r="B3230" s="19" t="s">
        <v>3256</v>
      </c>
      <c r="C3230" s="20">
        <v>27710.0</v>
      </c>
      <c r="D3230" s="19" t="str">
        <f t="shared" si="1"/>
        <v> </v>
      </c>
      <c r="E3230" s="19" t="str">
        <f t="shared" si="2"/>
        <v> </v>
      </c>
      <c r="F3230" s="21"/>
    </row>
    <row r="3231">
      <c r="A3231" s="19">
        <v>14736.0</v>
      </c>
      <c r="B3231" s="19" t="s">
        <v>3257</v>
      </c>
      <c r="C3231" s="20">
        <v>35192.0</v>
      </c>
      <c r="D3231" s="19" t="str">
        <f t="shared" si="1"/>
        <v> </v>
      </c>
      <c r="E3231" s="19" t="str">
        <f t="shared" si="2"/>
        <v> </v>
      </c>
      <c r="F3231" s="21"/>
    </row>
    <row r="3232">
      <c r="A3232" s="19">
        <v>14737.0</v>
      </c>
      <c r="B3232" s="19" t="s">
        <v>3258</v>
      </c>
      <c r="C3232" s="20">
        <v>30844.0</v>
      </c>
      <c r="D3232" s="19" t="str">
        <f t="shared" si="1"/>
        <v> </v>
      </c>
      <c r="E3232" s="19" t="str">
        <f t="shared" si="2"/>
        <v> </v>
      </c>
      <c r="F3232" s="21"/>
    </row>
    <row r="3233">
      <c r="A3233" s="19">
        <v>14738.0</v>
      </c>
      <c r="B3233" s="19" t="s">
        <v>3259</v>
      </c>
      <c r="C3233" s="20">
        <v>23696.0</v>
      </c>
      <c r="D3233" s="19" t="str">
        <f t="shared" si="1"/>
        <v> </v>
      </c>
      <c r="E3233" s="19" t="str">
        <f t="shared" si="2"/>
        <v> </v>
      </c>
      <c r="F3233" s="21"/>
    </row>
    <row r="3234">
      <c r="A3234" s="19">
        <v>14739.0</v>
      </c>
      <c r="B3234" s="19" t="s">
        <v>3260</v>
      </c>
      <c r="C3234" s="20">
        <v>27562.0</v>
      </c>
      <c r="D3234" s="19" t="str">
        <f t="shared" si="1"/>
        <v> </v>
      </c>
      <c r="E3234" s="19" t="str">
        <f t="shared" si="2"/>
        <v> </v>
      </c>
      <c r="F3234" s="21"/>
    </row>
    <row r="3235">
      <c r="A3235" s="19">
        <v>14740.0</v>
      </c>
      <c r="B3235" s="19" t="s">
        <v>3261</v>
      </c>
      <c r="C3235" s="20">
        <v>20046.0</v>
      </c>
      <c r="D3235" s="19" t="str">
        <f t="shared" si="1"/>
        <v> </v>
      </c>
      <c r="E3235" s="19" t="str">
        <f t="shared" si="2"/>
        <v> </v>
      </c>
      <c r="F3235" s="21"/>
    </row>
    <row r="3236">
      <c r="A3236" s="19">
        <v>14741.0</v>
      </c>
      <c r="B3236" s="19" t="s">
        <v>3262</v>
      </c>
      <c r="C3236" s="20">
        <v>26965.0</v>
      </c>
      <c r="D3236" s="19" t="str">
        <f t="shared" si="1"/>
        <v> </v>
      </c>
      <c r="E3236" s="19" t="str">
        <f t="shared" si="2"/>
        <v> </v>
      </c>
      <c r="F3236" s="21"/>
    </row>
    <row r="3237">
      <c r="A3237" s="19">
        <v>14742.0</v>
      </c>
      <c r="B3237" s="19" t="s">
        <v>3263</v>
      </c>
      <c r="C3237" s="20">
        <v>19050.0</v>
      </c>
      <c r="D3237" s="19" t="str">
        <f t="shared" si="1"/>
        <v> </v>
      </c>
      <c r="E3237" s="19" t="str">
        <f t="shared" si="2"/>
        <v> </v>
      </c>
      <c r="F3237" s="21"/>
    </row>
    <row r="3238">
      <c r="A3238" s="19">
        <v>14743.0</v>
      </c>
      <c r="B3238" s="19" t="s">
        <v>3264</v>
      </c>
      <c r="C3238" s="20">
        <v>29200.0</v>
      </c>
      <c r="D3238" s="19" t="str">
        <f t="shared" si="1"/>
        <v> </v>
      </c>
      <c r="E3238" s="19" t="str">
        <f t="shared" si="2"/>
        <v> </v>
      </c>
      <c r="F3238" s="21"/>
    </row>
    <row r="3239">
      <c r="A3239" s="19">
        <v>14744.0</v>
      </c>
      <c r="B3239" s="19" t="s">
        <v>3265</v>
      </c>
      <c r="C3239" s="20">
        <v>23909.0</v>
      </c>
      <c r="D3239" s="19" t="str">
        <f t="shared" si="1"/>
        <v> </v>
      </c>
      <c r="E3239" s="19" t="str">
        <f t="shared" si="2"/>
        <v> </v>
      </c>
      <c r="F3239" s="21"/>
    </row>
    <row r="3240">
      <c r="A3240" s="19">
        <v>14745.0</v>
      </c>
      <c r="B3240" s="19" t="s">
        <v>3266</v>
      </c>
      <c r="C3240" s="20">
        <v>25301.0</v>
      </c>
      <c r="D3240" s="19" t="str">
        <f t="shared" si="1"/>
        <v> </v>
      </c>
      <c r="E3240" s="19" t="str">
        <f t="shared" si="2"/>
        <v> </v>
      </c>
      <c r="F3240" s="21"/>
    </row>
    <row r="3241">
      <c r="A3241" s="19">
        <v>14746.0</v>
      </c>
      <c r="B3241" s="19" t="s">
        <v>3267</v>
      </c>
      <c r="C3241" s="20">
        <v>13193.0</v>
      </c>
      <c r="D3241" s="19" t="str">
        <f t="shared" si="1"/>
        <v> </v>
      </c>
      <c r="E3241" s="19" t="str">
        <f t="shared" si="2"/>
        <v> </v>
      </c>
      <c r="F3241" s="21"/>
    </row>
    <row r="3242">
      <c r="A3242" s="19">
        <v>14747.0</v>
      </c>
      <c r="B3242" s="19" t="s">
        <v>3268</v>
      </c>
      <c r="C3242" s="20">
        <v>22430.0</v>
      </c>
      <c r="D3242" s="19" t="str">
        <f t="shared" si="1"/>
        <v> </v>
      </c>
      <c r="E3242" s="19" t="str">
        <f t="shared" si="2"/>
        <v> </v>
      </c>
      <c r="F3242" s="21"/>
    </row>
    <row r="3243">
      <c r="A3243" s="19">
        <v>14751.0</v>
      </c>
      <c r="B3243" s="19" t="s">
        <v>3269</v>
      </c>
      <c r="C3243" s="20">
        <v>19187.0</v>
      </c>
      <c r="D3243" s="19" t="str">
        <f t="shared" si="1"/>
        <v> </v>
      </c>
      <c r="E3243" s="19" t="str">
        <f t="shared" si="2"/>
        <v> </v>
      </c>
      <c r="F3243" s="21"/>
    </row>
    <row r="3244">
      <c r="A3244" s="19">
        <v>14752.0</v>
      </c>
      <c r="B3244" s="19" t="s">
        <v>3270</v>
      </c>
      <c r="C3244" s="20">
        <v>32861.0</v>
      </c>
      <c r="D3244" s="19" t="str">
        <f t="shared" si="1"/>
        <v> </v>
      </c>
      <c r="E3244" s="19" t="str">
        <f t="shared" si="2"/>
        <v> </v>
      </c>
      <c r="F3244" s="21"/>
    </row>
    <row r="3245">
      <c r="A3245" s="19">
        <v>14753.0</v>
      </c>
      <c r="B3245" s="19" t="s">
        <v>3271</v>
      </c>
      <c r="C3245" s="20">
        <v>27070.0</v>
      </c>
      <c r="D3245" s="19" t="str">
        <f t="shared" si="1"/>
        <v> </v>
      </c>
      <c r="E3245" s="19" t="str">
        <f t="shared" si="2"/>
        <v> </v>
      </c>
      <c r="F3245" s="21"/>
    </row>
    <row r="3246">
      <c r="A3246" s="19">
        <v>14754.0</v>
      </c>
      <c r="B3246" s="19" t="s">
        <v>3272</v>
      </c>
      <c r="C3246" s="20">
        <v>16528.0</v>
      </c>
      <c r="D3246" s="19" t="str">
        <f t="shared" si="1"/>
        <v> </v>
      </c>
      <c r="E3246" s="19" t="str">
        <f t="shared" si="2"/>
        <v> </v>
      </c>
      <c r="F3246" s="21"/>
    </row>
    <row r="3247">
      <c r="A3247" s="19">
        <v>14755.0</v>
      </c>
      <c r="B3247" s="19" t="s">
        <v>3273</v>
      </c>
      <c r="C3247" s="20">
        <v>23780.0</v>
      </c>
      <c r="D3247" s="19" t="str">
        <f t="shared" si="1"/>
        <v> </v>
      </c>
      <c r="E3247" s="19" t="str">
        <f t="shared" si="2"/>
        <v> </v>
      </c>
      <c r="F3247" s="21"/>
    </row>
    <row r="3248">
      <c r="A3248" s="19">
        <v>14756.0</v>
      </c>
      <c r="B3248" s="19" t="s">
        <v>3274</v>
      </c>
      <c r="C3248" s="20">
        <v>22966.0</v>
      </c>
      <c r="D3248" s="19" t="str">
        <f t="shared" si="1"/>
        <v> </v>
      </c>
      <c r="E3248" s="19" t="str">
        <f t="shared" si="2"/>
        <v> </v>
      </c>
      <c r="F3248" s="21"/>
    </row>
    <row r="3249">
      <c r="A3249" s="19">
        <v>14757.0</v>
      </c>
      <c r="B3249" s="19" t="s">
        <v>3275</v>
      </c>
      <c r="C3249" s="20">
        <v>14870.0</v>
      </c>
      <c r="D3249" s="19" t="str">
        <f t="shared" si="1"/>
        <v> </v>
      </c>
      <c r="E3249" s="19" t="str">
        <f t="shared" si="2"/>
        <v> </v>
      </c>
      <c r="F3249" s="21"/>
    </row>
    <row r="3250">
      <c r="A3250" s="19">
        <v>14759.0</v>
      </c>
      <c r="B3250" s="19" t="s">
        <v>3276</v>
      </c>
      <c r="C3250" s="20">
        <v>23552.0</v>
      </c>
      <c r="D3250" s="19" t="str">
        <f t="shared" si="1"/>
        <v> </v>
      </c>
      <c r="E3250" s="19" t="str">
        <f t="shared" si="2"/>
        <v> </v>
      </c>
      <c r="F3250" s="21"/>
    </row>
    <row r="3251">
      <c r="A3251" s="19">
        <v>14760.0</v>
      </c>
      <c r="B3251" s="19" t="s">
        <v>3277</v>
      </c>
      <c r="C3251" s="20">
        <v>19356.0</v>
      </c>
      <c r="D3251" s="19" t="str">
        <f t="shared" si="1"/>
        <v> </v>
      </c>
      <c r="E3251" s="19" t="str">
        <f t="shared" si="2"/>
        <v> </v>
      </c>
      <c r="F3251" s="21"/>
    </row>
    <row r="3252">
      <c r="A3252" s="19">
        <v>14761.0</v>
      </c>
      <c r="B3252" s="19" t="s">
        <v>3278</v>
      </c>
      <c r="C3252" s="20">
        <v>21966.0</v>
      </c>
      <c r="D3252" s="19" t="str">
        <f t="shared" si="1"/>
        <v> </v>
      </c>
      <c r="E3252" s="19" t="str">
        <f t="shared" si="2"/>
        <v> </v>
      </c>
      <c r="F3252" s="21"/>
    </row>
    <row r="3253">
      <c r="A3253" s="19">
        <v>14762.0</v>
      </c>
      <c r="B3253" s="19" t="s">
        <v>3279</v>
      </c>
      <c r="C3253" s="20">
        <v>28836.0</v>
      </c>
      <c r="D3253" s="19" t="str">
        <f t="shared" si="1"/>
        <v> </v>
      </c>
      <c r="E3253" s="19" t="str">
        <f t="shared" si="2"/>
        <v> </v>
      </c>
      <c r="F3253" s="21"/>
    </row>
    <row r="3254">
      <c r="A3254" s="19">
        <v>14763.0</v>
      </c>
      <c r="B3254" s="19" t="s">
        <v>3280</v>
      </c>
      <c r="C3254" s="20">
        <v>29623.0</v>
      </c>
      <c r="D3254" s="19" t="str">
        <f t="shared" si="1"/>
        <v> </v>
      </c>
      <c r="E3254" s="19" t="str">
        <f t="shared" si="2"/>
        <v> </v>
      </c>
      <c r="F3254" s="21"/>
    </row>
    <row r="3255">
      <c r="A3255" s="19">
        <v>14765.0</v>
      </c>
      <c r="B3255" s="19" t="s">
        <v>3281</v>
      </c>
      <c r="C3255" s="20">
        <v>17197.0</v>
      </c>
      <c r="D3255" s="19" t="str">
        <f t="shared" si="1"/>
        <v> </v>
      </c>
      <c r="E3255" s="19" t="str">
        <f t="shared" si="2"/>
        <v> </v>
      </c>
      <c r="F3255" s="21"/>
    </row>
    <row r="3256">
      <c r="A3256" s="19">
        <v>14766.0</v>
      </c>
      <c r="B3256" s="19" t="s">
        <v>3282</v>
      </c>
      <c r="C3256" s="20">
        <v>20966.0</v>
      </c>
      <c r="D3256" s="19" t="str">
        <f t="shared" si="1"/>
        <v> </v>
      </c>
      <c r="E3256" s="19" t="str">
        <f t="shared" si="2"/>
        <v> </v>
      </c>
      <c r="F3256" s="21"/>
    </row>
    <row r="3257">
      <c r="A3257" s="19">
        <v>14767.0</v>
      </c>
      <c r="B3257" s="19" t="s">
        <v>3283</v>
      </c>
      <c r="C3257" s="20">
        <v>17556.0</v>
      </c>
      <c r="D3257" s="19" t="str">
        <f t="shared" si="1"/>
        <v> </v>
      </c>
      <c r="E3257" s="19" t="str">
        <f t="shared" si="2"/>
        <v> </v>
      </c>
      <c r="F3257" s="21"/>
    </row>
    <row r="3258">
      <c r="A3258" s="19">
        <v>14768.0</v>
      </c>
      <c r="B3258" s="19" t="s">
        <v>3284</v>
      </c>
      <c r="C3258" s="20">
        <v>23766.0</v>
      </c>
      <c r="D3258" s="19" t="str">
        <f t="shared" si="1"/>
        <v> </v>
      </c>
      <c r="E3258" s="19" t="str">
        <f t="shared" si="2"/>
        <v> </v>
      </c>
      <c r="F3258" s="21"/>
    </row>
    <row r="3259">
      <c r="A3259" s="19">
        <v>14770.0</v>
      </c>
      <c r="B3259" s="19" t="s">
        <v>3285</v>
      </c>
      <c r="C3259" s="20">
        <v>28344.0</v>
      </c>
      <c r="D3259" s="19" t="str">
        <f t="shared" si="1"/>
        <v> </v>
      </c>
      <c r="E3259" s="19" t="str">
        <f t="shared" si="2"/>
        <v> </v>
      </c>
      <c r="F3259" s="21"/>
    </row>
    <row r="3260">
      <c r="A3260" s="19">
        <v>14771.0</v>
      </c>
      <c r="B3260" s="19" t="s">
        <v>3286</v>
      </c>
      <c r="C3260" s="20">
        <v>12531.0</v>
      </c>
      <c r="D3260" s="19" t="str">
        <f t="shared" si="1"/>
        <v> </v>
      </c>
      <c r="E3260" s="19" t="str">
        <f t="shared" si="2"/>
        <v> </v>
      </c>
      <c r="F3260" s="21"/>
    </row>
    <row r="3261">
      <c r="A3261" s="19">
        <v>14774.0</v>
      </c>
      <c r="B3261" s="19" t="s">
        <v>3287</v>
      </c>
      <c r="C3261" s="20">
        <v>34998.0</v>
      </c>
      <c r="D3261" s="19" t="str">
        <f t="shared" si="1"/>
        <v> </v>
      </c>
      <c r="E3261" s="19" t="str">
        <f t="shared" si="2"/>
        <v> </v>
      </c>
      <c r="F3261" s="21"/>
    </row>
    <row r="3262">
      <c r="A3262" s="19">
        <v>14775.0</v>
      </c>
      <c r="B3262" s="19" t="s">
        <v>3288</v>
      </c>
      <c r="C3262" s="20">
        <v>28768.0</v>
      </c>
      <c r="D3262" s="19" t="str">
        <f t="shared" si="1"/>
        <v> </v>
      </c>
      <c r="E3262" s="19" t="str">
        <f t="shared" si="2"/>
        <v> </v>
      </c>
      <c r="F3262" s="21"/>
    </row>
    <row r="3263">
      <c r="A3263" s="19">
        <v>14777.0</v>
      </c>
      <c r="B3263" s="19" t="s">
        <v>3289</v>
      </c>
      <c r="C3263" s="20">
        <v>17611.0</v>
      </c>
      <c r="D3263" s="19" t="str">
        <f t="shared" si="1"/>
        <v> </v>
      </c>
      <c r="E3263" s="19" t="str">
        <f t="shared" si="2"/>
        <v> </v>
      </c>
      <c r="F3263" s="21"/>
    </row>
    <row r="3264">
      <c r="A3264" s="19">
        <v>14778.0</v>
      </c>
      <c r="B3264" s="19" t="s">
        <v>3290</v>
      </c>
      <c r="C3264" s="20">
        <v>22949.0</v>
      </c>
      <c r="D3264" s="19" t="str">
        <f t="shared" si="1"/>
        <v> </v>
      </c>
      <c r="E3264" s="19" t="str">
        <f t="shared" si="2"/>
        <v> </v>
      </c>
      <c r="F3264" s="21"/>
    </row>
    <row r="3265">
      <c r="A3265" s="19">
        <v>14779.0</v>
      </c>
      <c r="B3265" s="19" t="s">
        <v>3291</v>
      </c>
      <c r="C3265" s="20">
        <v>17761.0</v>
      </c>
      <c r="D3265" s="19" t="str">
        <f t="shared" si="1"/>
        <v> </v>
      </c>
      <c r="E3265" s="19" t="str">
        <f t="shared" si="2"/>
        <v> </v>
      </c>
      <c r="F3265" s="21"/>
    </row>
    <row r="3266">
      <c r="A3266" s="19">
        <v>14780.0</v>
      </c>
      <c r="B3266" s="19" t="s">
        <v>3292</v>
      </c>
      <c r="C3266" s="20">
        <v>22127.0</v>
      </c>
      <c r="D3266" s="19" t="str">
        <f t="shared" si="1"/>
        <v> </v>
      </c>
      <c r="E3266" s="19" t="str">
        <f t="shared" si="2"/>
        <v> </v>
      </c>
      <c r="F3266" s="21"/>
    </row>
    <row r="3267">
      <c r="A3267" s="19">
        <v>14782.0</v>
      </c>
      <c r="B3267" s="19" t="s">
        <v>3293</v>
      </c>
      <c r="C3267" s="20">
        <v>13229.0</v>
      </c>
      <c r="D3267" s="19" t="str">
        <f t="shared" si="1"/>
        <v> </v>
      </c>
      <c r="E3267" s="19" t="str">
        <f t="shared" si="2"/>
        <v> </v>
      </c>
      <c r="F3267" s="21"/>
    </row>
    <row r="3268">
      <c r="A3268" s="19">
        <v>14784.0</v>
      </c>
      <c r="B3268" s="19" t="s">
        <v>3294</v>
      </c>
      <c r="C3268" s="20">
        <v>24194.0</v>
      </c>
      <c r="D3268" s="19" t="str">
        <f t="shared" si="1"/>
        <v> </v>
      </c>
      <c r="E3268" s="19" t="str">
        <f t="shared" si="2"/>
        <v> </v>
      </c>
      <c r="F3268" s="21"/>
    </row>
    <row r="3269">
      <c r="A3269" s="19">
        <v>14785.0</v>
      </c>
      <c r="B3269" s="19" t="s">
        <v>3295</v>
      </c>
      <c r="C3269" s="20">
        <v>17593.0</v>
      </c>
      <c r="D3269" s="19" t="str">
        <f t="shared" si="1"/>
        <v> </v>
      </c>
      <c r="E3269" s="19" t="str">
        <f t="shared" si="2"/>
        <v> </v>
      </c>
      <c r="F3269" s="21"/>
    </row>
    <row r="3270">
      <c r="A3270" s="19">
        <v>14787.0</v>
      </c>
      <c r="B3270" s="19" t="s">
        <v>3296</v>
      </c>
      <c r="C3270" s="20">
        <v>12487.0</v>
      </c>
      <c r="D3270" s="19" t="str">
        <f t="shared" si="1"/>
        <v> </v>
      </c>
      <c r="E3270" s="19" t="str">
        <f t="shared" si="2"/>
        <v> </v>
      </c>
      <c r="F3270" s="21"/>
    </row>
    <row r="3271">
      <c r="A3271" s="19">
        <v>14789.0</v>
      </c>
      <c r="B3271" s="19" t="s">
        <v>3297</v>
      </c>
      <c r="C3271" s="20">
        <v>23233.0</v>
      </c>
      <c r="D3271" s="19" t="str">
        <f t="shared" si="1"/>
        <v> </v>
      </c>
      <c r="E3271" s="19" t="str">
        <f t="shared" si="2"/>
        <v> </v>
      </c>
      <c r="F3271" s="21"/>
    </row>
    <row r="3272">
      <c r="A3272" s="19">
        <v>14790.0</v>
      </c>
      <c r="B3272" s="19" t="s">
        <v>3298</v>
      </c>
      <c r="C3272" s="20">
        <v>24134.0</v>
      </c>
      <c r="D3272" s="19" t="str">
        <f t="shared" si="1"/>
        <v> </v>
      </c>
      <c r="E3272" s="19" t="str">
        <f t="shared" si="2"/>
        <v> </v>
      </c>
      <c r="F3272" s="21"/>
    </row>
    <row r="3273">
      <c r="A3273" s="19">
        <v>14791.0</v>
      </c>
      <c r="B3273" s="19" t="s">
        <v>3299</v>
      </c>
      <c r="C3273" s="20">
        <v>12311.0</v>
      </c>
      <c r="D3273" s="19" t="str">
        <f t="shared" si="1"/>
        <v> </v>
      </c>
      <c r="E3273" s="19" t="str">
        <f t="shared" si="2"/>
        <v> </v>
      </c>
      <c r="F3273" s="21"/>
    </row>
    <row r="3274">
      <c r="A3274" s="19">
        <v>14793.0</v>
      </c>
      <c r="B3274" s="19" t="s">
        <v>3300</v>
      </c>
      <c r="C3274" s="20">
        <v>22658.0</v>
      </c>
      <c r="D3274" s="19" t="str">
        <f t="shared" si="1"/>
        <v> </v>
      </c>
      <c r="E3274" s="19" t="str">
        <f t="shared" si="2"/>
        <v> </v>
      </c>
      <c r="F3274" s="21"/>
    </row>
    <row r="3275">
      <c r="A3275" s="19">
        <v>14794.0</v>
      </c>
      <c r="B3275" s="19" t="s">
        <v>3301</v>
      </c>
      <c r="C3275" s="20">
        <v>21927.0</v>
      </c>
      <c r="D3275" s="19" t="str">
        <f t="shared" si="1"/>
        <v> </v>
      </c>
      <c r="E3275" s="19" t="str">
        <f t="shared" si="2"/>
        <v> </v>
      </c>
      <c r="F3275" s="21"/>
    </row>
    <row r="3276">
      <c r="A3276" s="19">
        <v>14795.0</v>
      </c>
      <c r="B3276" s="19" t="s">
        <v>3302</v>
      </c>
      <c r="C3276" s="20">
        <v>15683.0</v>
      </c>
      <c r="D3276" s="19" t="str">
        <f t="shared" si="1"/>
        <v> </v>
      </c>
      <c r="E3276" s="19" t="str">
        <f t="shared" si="2"/>
        <v> </v>
      </c>
      <c r="F3276" s="21"/>
    </row>
    <row r="3277">
      <c r="A3277" s="19">
        <v>14796.0</v>
      </c>
      <c r="B3277" s="19" t="s">
        <v>3303</v>
      </c>
      <c r="C3277" s="20">
        <v>17109.0</v>
      </c>
      <c r="D3277" s="19" t="str">
        <f t="shared" si="1"/>
        <v> </v>
      </c>
      <c r="E3277" s="19" t="str">
        <f t="shared" si="2"/>
        <v> </v>
      </c>
      <c r="F3277" s="21"/>
    </row>
    <row r="3278">
      <c r="A3278" s="19">
        <v>14798.0</v>
      </c>
      <c r="B3278" s="19" t="s">
        <v>3304</v>
      </c>
      <c r="C3278" s="20">
        <v>26611.0</v>
      </c>
      <c r="D3278" s="19" t="str">
        <f t="shared" si="1"/>
        <v> </v>
      </c>
      <c r="E3278" s="19" t="str">
        <f t="shared" si="2"/>
        <v> </v>
      </c>
      <c r="F3278" s="21"/>
    </row>
    <row r="3279">
      <c r="A3279" s="19">
        <v>14799.0</v>
      </c>
      <c r="B3279" s="19" t="s">
        <v>3305</v>
      </c>
      <c r="C3279" s="20">
        <v>12172.0</v>
      </c>
      <c r="D3279" s="19" t="str">
        <f t="shared" si="1"/>
        <v> </v>
      </c>
      <c r="E3279" s="19" t="str">
        <f t="shared" si="2"/>
        <v> </v>
      </c>
      <c r="F3279" s="21"/>
    </row>
    <row r="3280">
      <c r="A3280" s="19">
        <v>14800.0</v>
      </c>
      <c r="B3280" s="19" t="s">
        <v>3306</v>
      </c>
      <c r="C3280" s="20">
        <v>15582.0</v>
      </c>
      <c r="D3280" s="19" t="str">
        <f t="shared" si="1"/>
        <v> </v>
      </c>
      <c r="E3280" s="19" t="str">
        <f t="shared" si="2"/>
        <v> </v>
      </c>
      <c r="F3280" s="21"/>
    </row>
    <row r="3281">
      <c r="A3281" s="19">
        <v>14801.0</v>
      </c>
      <c r="B3281" s="19" t="s">
        <v>3307</v>
      </c>
      <c r="C3281" s="20">
        <v>21122.0</v>
      </c>
      <c r="D3281" s="19" t="str">
        <f t="shared" si="1"/>
        <v> </v>
      </c>
      <c r="E3281" s="19" t="str">
        <f t="shared" si="2"/>
        <v> </v>
      </c>
      <c r="F3281" s="21"/>
    </row>
    <row r="3282">
      <c r="A3282" s="19">
        <v>14802.0</v>
      </c>
      <c r="B3282" s="19" t="s">
        <v>3308</v>
      </c>
      <c r="C3282" s="20">
        <v>33158.0</v>
      </c>
      <c r="D3282" s="19" t="str">
        <f t="shared" si="1"/>
        <v> </v>
      </c>
      <c r="E3282" s="19" t="str">
        <f t="shared" si="2"/>
        <v> </v>
      </c>
      <c r="F3282" s="21"/>
    </row>
    <row r="3283">
      <c r="A3283" s="19">
        <v>14803.0</v>
      </c>
      <c r="B3283" s="19" t="s">
        <v>3309</v>
      </c>
      <c r="C3283" s="20">
        <v>20254.0</v>
      </c>
      <c r="D3283" s="19" t="str">
        <f t="shared" si="1"/>
        <v> </v>
      </c>
      <c r="E3283" s="19" t="str">
        <f t="shared" si="2"/>
        <v> </v>
      </c>
      <c r="F3283" s="21"/>
    </row>
    <row r="3284">
      <c r="A3284" s="19">
        <v>14804.0</v>
      </c>
      <c r="B3284" s="19" t="s">
        <v>3310</v>
      </c>
      <c r="C3284" s="20">
        <v>21163.0</v>
      </c>
      <c r="D3284" s="19" t="str">
        <f t="shared" si="1"/>
        <v> </v>
      </c>
      <c r="E3284" s="19" t="str">
        <f t="shared" si="2"/>
        <v> </v>
      </c>
      <c r="F3284" s="21"/>
    </row>
    <row r="3285">
      <c r="A3285" s="19">
        <v>14805.0</v>
      </c>
      <c r="B3285" s="19" t="s">
        <v>3311</v>
      </c>
      <c r="C3285" s="20">
        <v>22808.0</v>
      </c>
      <c r="D3285" s="19" t="str">
        <f t="shared" si="1"/>
        <v> </v>
      </c>
      <c r="E3285" s="19" t="str">
        <f t="shared" si="2"/>
        <v> </v>
      </c>
      <c r="F3285" s="21"/>
    </row>
    <row r="3286">
      <c r="A3286" s="19">
        <v>14806.0</v>
      </c>
      <c r="B3286" s="19" t="s">
        <v>3312</v>
      </c>
      <c r="C3286" s="20">
        <v>18246.0</v>
      </c>
      <c r="D3286" s="19" t="str">
        <f t="shared" si="1"/>
        <v> </v>
      </c>
      <c r="E3286" s="19" t="str">
        <f t="shared" si="2"/>
        <v> </v>
      </c>
      <c r="F3286" s="21"/>
    </row>
    <row r="3287">
      <c r="A3287" s="19">
        <v>14807.0</v>
      </c>
      <c r="B3287" s="19" t="s">
        <v>3313</v>
      </c>
      <c r="C3287" s="20">
        <v>24129.0</v>
      </c>
      <c r="D3287" s="19" t="str">
        <f t="shared" si="1"/>
        <v> </v>
      </c>
      <c r="E3287" s="19" t="str">
        <f t="shared" si="2"/>
        <v> </v>
      </c>
      <c r="F3287" s="21"/>
    </row>
    <row r="3288">
      <c r="A3288" s="19">
        <v>14808.0</v>
      </c>
      <c r="B3288" s="19" t="s">
        <v>3314</v>
      </c>
      <c r="C3288" s="20">
        <v>23339.0</v>
      </c>
      <c r="D3288" s="19" t="str">
        <f t="shared" si="1"/>
        <v> </v>
      </c>
      <c r="E3288" s="19" t="str">
        <f t="shared" si="2"/>
        <v> </v>
      </c>
      <c r="F3288" s="21"/>
    </row>
    <row r="3289">
      <c r="A3289" s="19">
        <v>14809.0</v>
      </c>
      <c r="B3289" s="19" t="s">
        <v>3315</v>
      </c>
      <c r="C3289" s="20">
        <v>35957.0</v>
      </c>
      <c r="D3289" s="19" t="str">
        <f t="shared" si="1"/>
        <v> </v>
      </c>
      <c r="E3289" s="19" t="str">
        <f t="shared" si="2"/>
        <v> </v>
      </c>
      <c r="F3289" s="21"/>
    </row>
    <row r="3290">
      <c r="A3290" s="19">
        <v>14810.0</v>
      </c>
      <c r="B3290" s="19" t="s">
        <v>3316</v>
      </c>
      <c r="C3290" s="20">
        <v>18103.0</v>
      </c>
      <c r="D3290" s="19" t="str">
        <f t="shared" si="1"/>
        <v> </v>
      </c>
      <c r="E3290" s="19" t="str">
        <f t="shared" si="2"/>
        <v> </v>
      </c>
      <c r="F3290" s="21"/>
    </row>
    <row r="3291">
      <c r="A3291" s="19">
        <v>14811.0</v>
      </c>
      <c r="B3291" s="19" t="s">
        <v>3317</v>
      </c>
      <c r="C3291" s="20">
        <v>25214.0</v>
      </c>
      <c r="D3291" s="19" t="str">
        <f t="shared" si="1"/>
        <v> </v>
      </c>
      <c r="E3291" s="19" t="str">
        <f t="shared" si="2"/>
        <v> </v>
      </c>
      <c r="F3291" s="21"/>
    </row>
    <row r="3292">
      <c r="A3292" s="19">
        <v>14812.0</v>
      </c>
      <c r="B3292" s="19" t="s">
        <v>3318</v>
      </c>
      <c r="C3292" s="20">
        <v>25356.0</v>
      </c>
      <c r="D3292" s="19" t="str">
        <f t="shared" si="1"/>
        <v> </v>
      </c>
      <c r="E3292" s="19" t="str">
        <f t="shared" si="2"/>
        <v> </v>
      </c>
      <c r="F3292" s="21"/>
    </row>
    <row r="3293">
      <c r="A3293" s="19">
        <v>14813.0</v>
      </c>
      <c r="B3293" s="19" t="s">
        <v>3319</v>
      </c>
      <c r="C3293" s="20">
        <v>24132.0</v>
      </c>
      <c r="D3293" s="19" t="str">
        <f t="shared" si="1"/>
        <v> </v>
      </c>
      <c r="E3293" s="19" t="str">
        <f t="shared" si="2"/>
        <v> </v>
      </c>
      <c r="F3293" s="21"/>
    </row>
    <row r="3294">
      <c r="A3294" s="19">
        <v>14814.0</v>
      </c>
      <c r="B3294" s="19" t="s">
        <v>3320</v>
      </c>
      <c r="C3294" s="20">
        <v>20167.0</v>
      </c>
      <c r="D3294" s="19" t="str">
        <f t="shared" si="1"/>
        <v> </v>
      </c>
      <c r="E3294" s="19" t="str">
        <f t="shared" si="2"/>
        <v> </v>
      </c>
      <c r="F3294" s="21"/>
    </row>
    <row r="3295">
      <c r="A3295" s="19">
        <v>14815.0</v>
      </c>
      <c r="B3295" s="19" t="s">
        <v>3321</v>
      </c>
      <c r="C3295" s="20">
        <v>17067.0</v>
      </c>
      <c r="D3295" s="19" t="str">
        <f t="shared" si="1"/>
        <v> </v>
      </c>
      <c r="E3295" s="19" t="str">
        <f t="shared" si="2"/>
        <v> </v>
      </c>
      <c r="F3295" s="21"/>
    </row>
    <row r="3296">
      <c r="A3296" s="19">
        <v>14816.0</v>
      </c>
      <c r="B3296" s="19" t="s">
        <v>3322</v>
      </c>
      <c r="C3296" s="20">
        <v>23495.0</v>
      </c>
      <c r="D3296" s="19" t="str">
        <f t="shared" si="1"/>
        <v> </v>
      </c>
      <c r="E3296" s="19" t="str">
        <f t="shared" si="2"/>
        <v> </v>
      </c>
      <c r="F3296" s="21"/>
    </row>
    <row r="3297">
      <c r="A3297" s="19">
        <v>14817.0</v>
      </c>
      <c r="B3297" s="19" t="s">
        <v>3323</v>
      </c>
      <c r="C3297" s="20">
        <v>19249.0</v>
      </c>
      <c r="D3297" s="19" t="str">
        <f t="shared" si="1"/>
        <v> </v>
      </c>
      <c r="E3297" s="19" t="str">
        <f t="shared" si="2"/>
        <v> </v>
      </c>
      <c r="F3297" s="21"/>
    </row>
    <row r="3298">
      <c r="A3298" s="19">
        <v>14818.0</v>
      </c>
      <c r="B3298" s="19" t="s">
        <v>3324</v>
      </c>
      <c r="C3298" s="20">
        <v>25335.0</v>
      </c>
      <c r="D3298" s="19" t="str">
        <f t="shared" si="1"/>
        <v> </v>
      </c>
      <c r="E3298" s="19" t="str">
        <f t="shared" si="2"/>
        <v> </v>
      </c>
      <c r="F3298" s="21"/>
    </row>
    <row r="3299">
      <c r="A3299" s="19">
        <v>14819.0</v>
      </c>
      <c r="B3299" s="19" t="s">
        <v>3325</v>
      </c>
      <c r="C3299" s="20">
        <v>18799.0</v>
      </c>
      <c r="D3299" s="19" t="str">
        <f t="shared" si="1"/>
        <v> </v>
      </c>
      <c r="E3299" s="19" t="str">
        <f t="shared" si="2"/>
        <v> </v>
      </c>
      <c r="F3299" s="21"/>
    </row>
    <row r="3300">
      <c r="A3300" s="19">
        <v>14820.0</v>
      </c>
      <c r="B3300" s="19" t="s">
        <v>3326</v>
      </c>
      <c r="C3300" s="20">
        <v>35573.0</v>
      </c>
      <c r="D3300" s="19" t="str">
        <f t="shared" si="1"/>
        <v> </v>
      </c>
      <c r="E3300" s="19" t="str">
        <f t="shared" si="2"/>
        <v> </v>
      </c>
      <c r="F3300" s="21"/>
    </row>
    <row r="3301">
      <c r="A3301" s="19">
        <v>14821.0</v>
      </c>
      <c r="B3301" s="19" t="s">
        <v>3327</v>
      </c>
      <c r="C3301" s="20">
        <v>21380.0</v>
      </c>
      <c r="D3301" s="19" t="str">
        <f t="shared" si="1"/>
        <v> </v>
      </c>
      <c r="E3301" s="19" t="str">
        <f t="shared" si="2"/>
        <v> </v>
      </c>
      <c r="F3301" s="21"/>
    </row>
    <row r="3302">
      <c r="A3302" s="19">
        <v>14824.0</v>
      </c>
      <c r="B3302" s="19" t="s">
        <v>3328</v>
      </c>
      <c r="C3302" s="20">
        <v>34392.0</v>
      </c>
      <c r="D3302" s="19" t="str">
        <f t="shared" si="1"/>
        <v> </v>
      </c>
      <c r="E3302" s="19" t="str">
        <f t="shared" si="2"/>
        <v> </v>
      </c>
      <c r="F3302" s="21"/>
    </row>
    <row r="3303">
      <c r="A3303" s="19">
        <v>14825.0</v>
      </c>
      <c r="B3303" s="19" t="s">
        <v>3329</v>
      </c>
      <c r="C3303" s="20">
        <v>21755.0</v>
      </c>
      <c r="D3303" s="19" t="str">
        <f t="shared" si="1"/>
        <v> </v>
      </c>
      <c r="E3303" s="19" t="str">
        <f t="shared" si="2"/>
        <v> </v>
      </c>
      <c r="F3303" s="21"/>
    </row>
    <row r="3304">
      <c r="A3304" s="19">
        <v>14826.0</v>
      </c>
      <c r="B3304" s="19" t="s">
        <v>3330</v>
      </c>
      <c r="C3304" s="20">
        <v>16646.0</v>
      </c>
      <c r="D3304" s="19" t="str">
        <f t="shared" si="1"/>
        <v> </v>
      </c>
      <c r="E3304" s="19" t="str">
        <f t="shared" si="2"/>
        <v> </v>
      </c>
      <c r="F3304" s="21"/>
    </row>
    <row r="3305">
      <c r="A3305" s="19">
        <v>14827.0</v>
      </c>
      <c r="B3305" s="19" t="s">
        <v>3331</v>
      </c>
      <c r="C3305" s="20">
        <v>13649.0</v>
      </c>
      <c r="D3305" s="19" t="str">
        <f t="shared" si="1"/>
        <v> </v>
      </c>
      <c r="E3305" s="19" t="str">
        <f t="shared" si="2"/>
        <v> </v>
      </c>
      <c r="F3305" s="21"/>
    </row>
    <row r="3306">
      <c r="A3306" s="19">
        <v>14828.0</v>
      </c>
      <c r="B3306" s="19" t="s">
        <v>3332</v>
      </c>
      <c r="C3306" s="20">
        <v>25524.0</v>
      </c>
      <c r="D3306" s="19" t="str">
        <f t="shared" si="1"/>
        <v> </v>
      </c>
      <c r="E3306" s="19" t="str">
        <f t="shared" si="2"/>
        <v> </v>
      </c>
      <c r="F3306" s="21"/>
    </row>
    <row r="3307">
      <c r="A3307" s="19">
        <v>14829.0</v>
      </c>
      <c r="B3307" s="19" t="s">
        <v>3333</v>
      </c>
      <c r="C3307" s="20">
        <v>14014.0</v>
      </c>
      <c r="D3307" s="19" t="str">
        <f t="shared" si="1"/>
        <v> </v>
      </c>
      <c r="E3307" s="19" t="str">
        <f t="shared" si="2"/>
        <v> </v>
      </c>
      <c r="F3307" s="21"/>
    </row>
    <row r="3308">
      <c r="A3308" s="19">
        <v>14830.0</v>
      </c>
      <c r="B3308" s="19" t="s">
        <v>3334</v>
      </c>
      <c r="C3308" s="20">
        <v>28062.0</v>
      </c>
      <c r="D3308" s="19" t="str">
        <f t="shared" si="1"/>
        <v> </v>
      </c>
      <c r="E3308" s="19" t="str">
        <f t="shared" si="2"/>
        <v> </v>
      </c>
      <c r="F3308" s="21"/>
    </row>
    <row r="3309">
      <c r="A3309" s="19">
        <v>14831.0</v>
      </c>
      <c r="B3309" s="19" t="s">
        <v>3335</v>
      </c>
      <c r="C3309" s="20">
        <v>24095.0</v>
      </c>
      <c r="D3309" s="19" t="str">
        <f t="shared" si="1"/>
        <v> </v>
      </c>
      <c r="E3309" s="19" t="str">
        <f t="shared" si="2"/>
        <v> </v>
      </c>
      <c r="F3309" s="21"/>
    </row>
    <row r="3310">
      <c r="A3310" s="19">
        <v>14832.0</v>
      </c>
      <c r="B3310" s="19" t="s">
        <v>3336</v>
      </c>
      <c r="C3310" s="20">
        <v>32947.0</v>
      </c>
      <c r="D3310" s="19" t="str">
        <f t="shared" si="1"/>
        <v> </v>
      </c>
      <c r="E3310" s="19" t="str">
        <f t="shared" si="2"/>
        <v> </v>
      </c>
      <c r="F3310" s="21"/>
    </row>
    <row r="3311">
      <c r="A3311" s="19">
        <v>14833.0</v>
      </c>
      <c r="B3311" s="19" t="s">
        <v>3337</v>
      </c>
      <c r="C3311" s="20">
        <v>21767.0</v>
      </c>
      <c r="D3311" s="19" t="str">
        <f t="shared" si="1"/>
        <v> </v>
      </c>
      <c r="E3311" s="19" t="str">
        <f t="shared" si="2"/>
        <v> </v>
      </c>
      <c r="F3311" s="21"/>
    </row>
    <row r="3312">
      <c r="A3312" s="19">
        <v>14834.0</v>
      </c>
      <c r="B3312" s="19" t="s">
        <v>3338</v>
      </c>
      <c r="C3312" s="20">
        <v>20436.0</v>
      </c>
      <c r="D3312" s="19" t="str">
        <f t="shared" si="1"/>
        <v> </v>
      </c>
      <c r="E3312" s="19" t="str">
        <f t="shared" si="2"/>
        <v> </v>
      </c>
      <c r="F3312" s="21"/>
    </row>
    <row r="3313">
      <c r="A3313" s="19">
        <v>14835.0</v>
      </c>
      <c r="B3313" s="19" t="s">
        <v>3339</v>
      </c>
      <c r="C3313" s="20">
        <v>29211.0</v>
      </c>
      <c r="D3313" s="19" t="str">
        <f t="shared" si="1"/>
        <v> </v>
      </c>
      <c r="E3313" s="19" t="str">
        <f t="shared" si="2"/>
        <v> </v>
      </c>
      <c r="F3313" s="21"/>
    </row>
    <row r="3314">
      <c r="A3314" s="19">
        <v>14836.0</v>
      </c>
      <c r="B3314" s="19" t="s">
        <v>3340</v>
      </c>
      <c r="C3314" s="20">
        <v>26079.0</v>
      </c>
      <c r="D3314" s="19" t="str">
        <f t="shared" si="1"/>
        <v> </v>
      </c>
      <c r="E3314" s="19" t="str">
        <f t="shared" si="2"/>
        <v> </v>
      </c>
      <c r="F3314" s="21"/>
    </row>
    <row r="3315">
      <c r="A3315" s="19">
        <v>14838.0</v>
      </c>
      <c r="B3315" s="19" t="s">
        <v>3341</v>
      </c>
      <c r="C3315" s="20">
        <v>18181.0</v>
      </c>
      <c r="D3315" s="19" t="str">
        <f t="shared" si="1"/>
        <v> </v>
      </c>
      <c r="E3315" s="19" t="str">
        <f t="shared" si="2"/>
        <v> </v>
      </c>
      <c r="F3315" s="21"/>
    </row>
    <row r="3316">
      <c r="A3316" s="19">
        <v>14839.0</v>
      </c>
      <c r="B3316" s="19" t="s">
        <v>3342</v>
      </c>
      <c r="C3316" s="20">
        <v>23343.0</v>
      </c>
      <c r="D3316" s="19" t="str">
        <f t="shared" si="1"/>
        <v> </v>
      </c>
      <c r="E3316" s="19" t="str">
        <f t="shared" si="2"/>
        <v> </v>
      </c>
      <c r="F3316" s="21"/>
    </row>
    <row r="3317">
      <c r="A3317" s="19">
        <v>14840.0</v>
      </c>
      <c r="B3317" s="19" t="s">
        <v>3343</v>
      </c>
      <c r="C3317" s="20">
        <v>30176.0</v>
      </c>
      <c r="D3317" s="19" t="str">
        <f t="shared" si="1"/>
        <v> </v>
      </c>
      <c r="E3317" s="19" t="str">
        <f t="shared" si="2"/>
        <v> </v>
      </c>
      <c r="F3317" s="21"/>
    </row>
    <row r="3318">
      <c r="A3318" s="19">
        <v>14841.0</v>
      </c>
      <c r="B3318" s="19" t="s">
        <v>3344</v>
      </c>
      <c r="C3318" s="20">
        <v>23386.0</v>
      </c>
      <c r="D3318" s="19" t="str">
        <f t="shared" si="1"/>
        <v> </v>
      </c>
      <c r="E3318" s="19" t="str">
        <f t="shared" si="2"/>
        <v> </v>
      </c>
      <c r="F3318" s="21"/>
    </row>
    <row r="3319">
      <c r="A3319" s="19">
        <v>14842.0</v>
      </c>
      <c r="B3319" s="19" t="s">
        <v>3345</v>
      </c>
      <c r="C3319" s="20">
        <v>31129.0</v>
      </c>
      <c r="D3319" s="19" t="str">
        <f t="shared" si="1"/>
        <v> </v>
      </c>
      <c r="E3319" s="19" t="str">
        <f t="shared" si="2"/>
        <v> </v>
      </c>
      <c r="F3319" s="21"/>
    </row>
    <row r="3320">
      <c r="A3320" s="19">
        <v>14843.0</v>
      </c>
      <c r="B3320" s="19" t="s">
        <v>3346</v>
      </c>
      <c r="C3320" s="20">
        <v>29399.0</v>
      </c>
      <c r="D3320" s="19" t="str">
        <f t="shared" si="1"/>
        <v> </v>
      </c>
      <c r="E3320" s="19" t="str">
        <f t="shared" si="2"/>
        <v> </v>
      </c>
      <c r="F3320" s="21"/>
    </row>
    <row r="3321">
      <c r="A3321" s="19">
        <v>14844.0</v>
      </c>
      <c r="B3321" s="19" t="s">
        <v>3347</v>
      </c>
      <c r="C3321" s="20">
        <v>11516.0</v>
      </c>
      <c r="D3321" s="19" t="str">
        <f t="shared" si="1"/>
        <v> </v>
      </c>
      <c r="E3321" s="19" t="str">
        <f t="shared" si="2"/>
        <v> </v>
      </c>
      <c r="F3321" s="21"/>
    </row>
    <row r="3322">
      <c r="A3322" s="19">
        <v>14845.0</v>
      </c>
      <c r="B3322" s="19" t="s">
        <v>3348</v>
      </c>
      <c r="C3322" s="20">
        <v>20636.0</v>
      </c>
      <c r="D3322" s="19" t="str">
        <f t="shared" si="1"/>
        <v> </v>
      </c>
      <c r="E3322" s="19" t="str">
        <f t="shared" si="2"/>
        <v> </v>
      </c>
      <c r="F3322" s="21"/>
    </row>
    <row r="3323">
      <c r="A3323" s="19">
        <v>14846.0</v>
      </c>
      <c r="B3323" s="19" t="s">
        <v>3349</v>
      </c>
      <c r="C3323" s="20">
        <v>28650.0</v>
      </c>
      <c r="D3323" s="19" t="str">
        <f t="shared" si="1"/>
        <v> </v>
      </c>
      <c r="E3323" s="19" t="str">
        <f t="shared" si="2"/>
        <v> </v>
      </c>
      <c r="F3323" s="21"/>
    </row>
    <row r="3324">
      <c r="A3324" s="19">
        <v>14847.0</v>
      </c>
      <c r="B3324" s="19" t="s">
        <v>3350</v>
      </c>
      <c r="C3324" s="20">
        <v>16821.0</v>
      </c>
      <c r="D3324" s="19" t="str">
        <f t="shared" si="1"/>
        <v> </v>
      </c>
      <c r="E3324" s="19" t="str">
        <f t="shared" si="2"/>
        <v> </v>
      </c>
      <c r="F3324" s="21"/>
    </row>
    <row r="3325">
      <c r="A3325" s="19">
        <v>14849.0</v>
      </c>
      <c r="B3325" s="19" t="s">
        <v>3351</v>
      </c>
      <c r="C3325" s="20">
        <v>23399.0</v>
      </c>
      <c r="D3325" s="19" t="str">
        <f t="shared" si="1"/>
        <v> </v>
      </c>
      <c r="E3325" s="19" t="str">
        <f t="shared" si="2"/>
        <v> </v>
      </c>
      <c r="F3325" s="21"/>
    </row>
    <row r="3326">
      <c r="A3326" s="19">
        <v>14850.0</v>
      </c>
      <c r="B3326" s="19" t="s">
        <v>3352</v>
      </c>
      <c r="C3326" s="20">
        <v>19056.0</v>
      </c>
      <c r="D3326" s="19" t="str">
        <f t="shared" si="1"/>
        <v> </v>
      </c>
      <c r="E3326" s="19" t="str">
        <f t="shared" si="2"/>
        <v> </v>
      </c>
      <c r="F3326" s="21"/>
    </row>
    <row r="3327">
      <c r="A3327" s="19">
        <v>14851.0</v>
      </c>
      <c r="B3327" s="19" t="s">
        <v>3353</v>
      </c>
      <c r="C3327" s="20">
        <v>20873.0</v>
      </c>
      <c r="D3327" s="19" t="str">
        <f t="shared" si="1"/>
        <v> </v>
      </c>
      <c r="E3327" s="19" t="str">
        <f t="shared" si="2"/>
        <v> </v>
      </c>
      <c r="F3327" s="21"/>
    </row>
    <row r="3328">
      <c r="A3328" s="19">
        <v>14852.0</v>
      </c>
      <c r="B3328" s="19" t="s">
        <v>3354</v>
      </c>
      <c r="C3328" s="20">
        <v>18964.0</v>
      </c>
      <c r="D3328" s="19" t="str">
        <f t="shared" si="1"/>
        <v> </v>
      </c>
      <c r="E3328" s="19" t="str">
        <f t="shared" si="2"/>
        <v> </v>
      </c>
      <c r="F3328" s="21"/>
    </row>
    <row r="3329">
      <c r="A3329" s="19">
        <v>14855.0</v>
      </c>
      <c r="B3329" s="19" t="s">
        <v>3355</v>
      </c>
      <c r="C3329" s="20">
        <v>29368.0</v>
      </c>
      <c r="D3329" s="19" t="str">
        <f t="shared" si="1"/>
        <v> </v>
      </c>
      <c r="E3329" s="19" t="str">
        <f t="shared" si="2"/>
        <v> </v>
      </c>
      <c r="F3329" s="21"/>
    </row>
    <row r="3330">
      <c r="A3330" s="19">
        <v>14856.0</v>
      </c>
      <c r="B3330" s="19" t="s">
        <v>3356</v>
      </c>
      <c r="C3330" s="20">
        <v>30306.0</v>
      </c>
      <c r="D3330" s="19" t="str">
        <f t="shared" si="1"/>
        <v> </v>
      </c>
      <c r="E3330" s="19" t="str">
        <f t="shared" si="2"/>
        <v> </v>
      </c>
      <c r="F3330" s="21"/>
    </row>
    <row r="3331">
      <c r="A3331" s="19">
        <v>14857.0</v>
      </c>
      <c r="B3331" s="19" t="s">
        <v>3357</v>
      </c>
      <c r="C3331" s="20">
        <v>28296.0</v>
      </c>
      <c r="D3331" s="19" t="str">
        <f t="shared" si="1"/>
        <v> </v>
      </c>
      <c r="E3331" s="19" t="str">
        <f t="shared" si="2"/>
        <v> </v>
      </c>
      <c r="F3331" s="21"/>
    </row>
    <row r="3332">
      <c r="A3332" s="19">
        <v>14858.0</v>
      </c>
      <c r="B3332" s="19" t="s">
        <v>3358</v>
      </c>
      <c r="C3332" s="20">
        <v>33442.0</v>
      </c>
      <c r="D3332" s="19" t="str">
        <f t="shared" si="1"/>
        <v> </v>
      </c>
      <c r="E3332" s="19" t="str">
        <f t="shared" si="2"/>
        <v> </v>
      </c>
      <c r="F3332" s="21"/>
    </row>
    <row r="3333">
      <c r="A3333" s="19">
        <v>14859.0</v>
      </c>
      <c r="B3333" s="19" t="s">
        <v>3359</v>
      </c>
      <c r="C3333" s="20">
        <v>17603.0</v>
      </c>
      <c r="D3333" s="19" t="str">
        <f t="shared" si="1"/>
        <v> </v>
      </c>
      <c r="E3333" s="19" t="str">
        <f t="shared" si="2"/>
        <v> </v>
      </c>
      <c r="F3333" s="21"/>
    </row>
    <row r="3334">
      <c r="A3334" s="19">
        <v>14860.0</v>
      </c>
      <c r="B3334" s="19" t="s">
        <v>3360</v>
      </c>
      <c r="C3334" s="20">
        <v>30437.0</v>
      </c>
      <c r="D3334" s="19" t="str">
        <f t="shared" si="1"/>
        <v> </v>
      </c>
      <c r="E3334" s="19" t="str">
        <f t="shared" si="2"/>
        <v> </v>
      </c>
      <c r="F3334" s="21"/>
    </row>
    <row r="3335">
      <c r="A3335" s="19">
        <v>14861.0</v>
      </c>
      <c r="B3335" s="19" t="s">
        <v>3361</v>
      </c>
      <c r="C3335" s="20">
        <v>17521.0</v>
      </c>
      <c r="D3335" s="19" t="str">
        <f t="shared" si="1"/>
        <v> </v>
      </c>
      <c r="E3335" s="19" t="str">
        <f t="shared" si="2"/>
        <v> </v>
      </c>
      <c r="F3335" s="21"/>
    </row>
    <row r="3336">
      <c r="A3336" s="19">
        <v>14862.0</v>
      </c>
      <c r="B3336" s="19" t="s">
        <v>3362</v>
      </c>
      <c r="C3336" s="20">
        <v>24183.0</v>
      </c>
      <c r="D3336" s="19" t="str">
        <f t="shared" si="1"/>
        <v>Repeat</v>
      </c>
      <c r="E3336" s="19" t="str">
        <f t="shared" si="2"/>
        <v> </v>
      </c>
      <c r="F3336" s="21"/>
    </row>
    <row r="3337">
      <c r="A3337" s="19">
        <v>14863.0</v>
      </c>
      <c r="B3337" s="19" t="s">
        <v>3363</v>
      </c>
      <c r="C3337" s="20">
        <v>16344.0</v>
      </c>
      <c r="D3337" s="19" t="str">
        <f t="shared" si="1"/>
        <v> </v>
      </c>
      <c r="E3337" s="19" t="str">
        <f t="shared" si="2"/>
        <v> </v>
      </c>
      <c r="F3337" s="21"/>
    </row>
    <row r="3338">
      <c r="A3338" s="19">
        <v>14864.0</v>
      </c>
      <c r="B3338" s="19" t="s">
        <v>3364</v>
      </c>
      <c r="C3338" s="20">
        <v>21680.0</v>
      </c>
      <c r="D3338" s="19" t="str">
        <f t="shared" si="1"/>
        <v> </v>
      </c>
      <c r="E3338" s="19" t="str">
        <f t="shared" si="2"/>
        <v> </v>
      </c>
      <c r="F3338" s="21"/>
    </row>
    <row r="3339">
      <c r="A3339" s="19">
        <v>14865.0</v>
      </c>
      <c r="B3339" s="19" t="s">
        <v>3365</v>
      </c>
      <c r="C3339" s="20">
        <v>14688.0</v>
      </c>
      <c r="D3339" s="19" t="str">
        <f t="shared" si="1"/>
        <v> </v>
      </c>
      <c r="E3339" s="19" t="str">
        <f t="shared" si="2"/>
        <v> </v>
      </c>
      <c r="F3339" s="21"/>
    </row>
    <row r="3340">
      <c r="A3340" s="19">
        <v>14866.0</v>
      </c>
      <c r="B3340" s="19" t="s">
        <v>3366</v>
      </c>
      <c r="C3340" s="20">
        <v>16072.0</v>
      </c>
      <c r="D3340" s="19" t="str">
        <f t="shared" si="1"/>
        <v> </v>
      </c>
      <c r="E3340" s="19" t="str">
        <f t="shared" si="2"/>
        <v> </v>
      </c>
      <c r="F3340" s="21"/>
    </row>
    <row r="3341">
      <c r="A3341" s="19">
        <v>14868.0</v>
      </c>
      <c r="B3341" s="19" t="s">
        <v>3367</v>
      </c>
      <c r="C3341" s="20">
        <v>24623.0</v>
      </c>
      <c r="D3341" s="19" t="str">
        <f t="shared" si="1"/>
        <v> </v>
      </c>
      <c r="E3341" s="19" t="str">
        <f t="shared" si="2"/>
        <v> </v>
      </c>
      <c r="F3341" s="21"/>
    </row>
    <row r="3342">
      <c r="A3342" s="19">
        <v>14869.0</v>
      </c>
      <c r="B3342" s="19" t="s">
        <v>3368</v>
      </c>
      <c r="C3342" s="20">
        <v>26458.0</v>
      </c>
      <c r="D3342" s="19" t="str">
        <f t="shared" si="1"/>
        <v> </v>
      </c>
      <c r="E3342" s="19" t="str">
        <f t="shared" si="2"/>
        <v> </v>
      </c>
      <c r="F3342" s="21"/>
    </row>
    <row r="3343">
      <c r="A3343" s="19">
        <v>14870.0</v>
      </c>
      <c r="B3343" s="19" t="s">
        <v>3369</v>
      </c>
      <c r="C3343" s="20">
        <v>17410.0</v>
      </c>
      <c r="D3343" s="19" t="str">
        <f t="shared" si="1"/>
        <v> </v>
      </c>
      <c r="E3343" s="19" t="str">
        <f t="shared" si="2"/>
        <v> </v>
      </c>
      <c r="F3343" s="21"/>
    </row>
    <row r="3344">
      <c r="A3344" s="19">
        <v>14871.0</v>
      </c>
      <c r="B3344" s="19" t="s">
        <v>3370</v>
      </c>
      <c r="C3344" s="20">
        <v>23076.0</v>
      </c>
      <c r="D3344" s="19" t="str">
        <f t="shared" si="1"/>
        <v> </v>
      </c>
      <c r="E3344" s="19" t="str">
        <f t="shared" si="2"/>
        <v> </v>
      </c>
      <c r="F3344" s="21"/>
    </row>
    <row r="3345">
      <c r="A3345" s="19">
        <v>14872.0</v>
      </c>
      <c r="B3345" s="19" t="s">
        <v>3371</v>
      </c>
      <c r="C3345" s="20">
        <v>25339.0</v>
      </c>
      <c r="D3345" s="19" t="str">
        <f t="shared" si="1"/>
        <v> </v>
      </c>
      <c r="E3345" s="19" t="str">
        <f t="shared" si="2"/>
        <v> </v>
      </c>
      <c r="F3345" s="21"/>
    </row>
    <row r="3346">
      <c r="A3346" s="19">
        <v>14873.0</v>
      </c>
      <c r="B3346" s="19" t="s">
        <v>3372</v>
      </c>
      <c r="C3346" s="20">
        <v>29539.0</v>
      </c>
      <c r="D3346" s="19" t="str">
        <f t="shared" si="1"/>
        <v> </v>
      </c>
      <c r="E3346" s="19" t="str">
        <f t="shared" si="2"/>
        <v> </v>
      </c>
      <c r="F3346" s="21"/>
    </row>
    <row r="3347">
      <c r="A3347" s="19">
        <v>14874.0</v>
      </c>
      <c r="B3347" s="19" t="s">
        <v>3373</v>
      </c>
      <c r="C3347" s="20">
        <v>16509.0</v>
      </c>
      <c r="D3347" s="19" t="str">
        <f t="shared" si="1"/>
        <v> </v>
      </c>
      <c r="E3347" s="19" t="str">
        <f t="shared" si="2"/>
        <v> </v>
      </c>
      <c r="F3347" s="21"/>
    </row>
    <row r="3348">
      <c r="A3348" s="19">
        <v>14875.0</v>
      </c>
      <c r="B3348" s="19" t="s">
        <v>3374</v>
      </c>
      <c r="C3348" s="20">
        <v>20682.0</v>
      </c>
      <c r="D3348" s="19" t="str">
        <f t="shared" si="1"/>
        <v> </v>
      </c>
      <c r="E3348" s="19" t="str">
        <f t="shared" si="2"/>
        <v> </v>
      </c>
      <c r="F3348" s="21"/>
    </row>
    <row r="3349">
      <c r="A3349" s="19">
        <v>14876.0</v>
      </c>
      <c r="B3349" s="19" t="s">
        <v>3375</v>
      </c>
      <c r="C3349" s="20">
        <v>21734.0</v>
      </c>
      <c r="D3349" s="19" t="str">
        <f t="shared" si="1"/>
        <v> </v>
      </c>
      <c r="E3349" s="19" t="str">
        <f t="shared" si="2"/>
        <v> </v>
      </c>
      <c r="F3349" s="21"/>
    </row>
    <row r="3350">
      <c r="A3350" s="19">
        <v>14877.0</v>
      </c>
      <c r="B3350" s="19" t="s">
        <v>3376</v>
      </c>
      <c r="C3350" s="20">
        <v>32874.0</v>
      </c>
      <c r="D3350" s="19" t="str">
        <f t="shared" si="1"/>
        <v> </v>
      </c>
      <c r="E3350" s="19" t="str">
        <f t="shared" si="2"/>
        <v> </v>
      </c>
      <c r="F3350" s="21"/>
    </row>
    <row r="3351">
      <c r="A3351" s="19">
        <v>14879.0</v>
      </c>
      <c r="B3351" s="19" t="s">
        <v>3377</v>
      </c>
      <c r="C3351" s="20">
        <v>24910.0</v>
      </c>
      <c r="D3351" s="19" t="str">
        <f t="shared" si="1"/>
        <v> </v>
      </c>
      <c r="E3351" s="19" t="str">
        <f t="shared" si="2"/>
        <v> </v>
      </c>
      <c r="F3351" s="21"/>
    </row>
    <row r="3352">
      <c r="A3352" s="19">
        <v>14880.0</v>
      </c>
      <c r="B3352" s="19" t="s">
        <v>3378</v>
      </c>
      <c r="C3352" s="20">
        <v>18785.0</v>
      </c>
      <c r="D3352" s="19" t="str">
        <f t="shared" si="1"/>
        <v> </v>
      </c>
      <c r="E3352" s="19" t="str">
        <f t="shared" si="2"/>
        <v> </v>
      </c>
      <c r="F3352" s="21"/>
    </row>
    <row r="3353">
      <c r="A3353" s="19">
        <v>14881.0</v>
      </c>
      <c r="B3353" s="19" t="s">
        <v>3379</v>
      </c>
      <c r="C3353" s="20">
        <v>21831.0</v>
      </c>
      <c r="D3353" s="19" t="str">
        <f t="shared" si="1"/>
        <v> </v>
      </c>
      <c r="E3353" s="19" t="str">
        <f t="shared" si="2"/>
        <v> </v>
      </c>
      <c r="F3353" s="21"/>
    </row>
    <row r="3354">
      <c r="A3354" s="19">
        <v>14882.0</v>
      </c>
      <c r="B3354" s="19" t="s">
        <v>3380</v>
      </c>
      <c r="C3354" s="20">
        <v>21460.0</v>
      </c>
      <c r="D3354" s="19" t="str">
        <f t="shared" si="1"/>
        <v> </v>
      </c>
      <c r="E3354" s="19" t="str">
        <f t="shared" si="2"/>
        <v> </v>
      </c>
      <c r="F3354" s="21"/>
    </row>
    <row r="3355">
      <c r="A3355" s="19">
        <v>14884.0</v>
      </c>
      <c r="B3355" s="19" t="s">
        <v>3381</v>
      </c>
      <c r="C3355" s="20">
        <v>27073.0</v>
      </c>
      <c r="D3355" s="19" t="str">
        <f t="shared" si="1"/>
        <v> </v>
      </c>
      <c r="E3355" s="19" t="str">
        <f t="shared" si="2"/>
        <v> </v>
      </c>
      <c r="F3355" s="21"/>
    </row>
    <row r="3356">
      <c r="A3356" s="19">
        <v>14885.0</v>
      </c>
      <c r="B3356" s="19" t="s">
        <v>3382</v>
      </c>
      <c r="C3356" s="20">
        <v>26430.0</v>
      </c>
      <c r="D3356" s="19" t="str">
        <f t="shared" si="1"/>
        <v> </v>
      </c>
      <c r="E3356" s="19" t="str">
        <f t="shared" si="2"/>
        <v> </v>
      </c>
      <c r="F3356" s="21"/>
    </row>
    <row r="3357">
      <c r="A3357" s="19">
        <v>14886.0</v>
      </c>
      <c r="B3357" s="19" t="s">
        <v>3383</v>
      </c>
      <c r="C3357" s="20">
        <v>23344.0</v>
      </c>
      <c r="D3357" s="19" t="str">
        <f t="shared" si="1"/>
        <v> </v>
      </c>
      <c r="E3357" s="19" t="str">
        <f t="shared" si="2"/>
        <v> </v>
      </c>
      <c r="F3357" s="21"/>
    </row>
    <row r="3358">
      <c r="A3358" s="19">
        <v>14887.0</v>
      </c>
      <c r="B3358" s="19" t="s">
        <v>3384</v>
      </c>
      <c r="C3358" s="20">
        <v>18270.0</v>
      </c>
      <c r="D3358" s="19" t="str">
        <f t="shared" si="1"/>
        <v> </v>
      </c>
      <c r="E3358" s="19" t="str">
        <f t="shared" si="2"/>
        <v> </v>
      </c>
      <c r="F3358" s="21"/>
    </row>
    <row r="3359">
      <c r="A3359" s="19">
        <v>14888.0</v>
      </c>
      <c r="B3359" s="19" t="s">
        <v>3385</v>
      </c>
      <c r="C3359" s="20">
        <v>34803.0</v>
      </c>
      <c r="D3359" s="19" t="str">
        <f t="shared" si="1"/>
        <v> </v>
      </c>
      <c r="E3359" s="19" t="str">
        <f t="shared" si="2"/>
        <v> </v>
      </c>
      <c r="F3359" s="21"/>
    </row>
    <row r="3360">
      <c r="A3360" s="19">
        <v>14889.0</v>
      </c>
      <c r="B3360" s="19" t="s">
        <v>3386</v>
      </c>
      <c r="C3360" s="20">
        <v>20777.0</v>
      </c>
      <c r="D3360" s="19" t="str">
        <f t="shared" si="1"/>
        <v> </v>
      </c>
      <c r="E3360" s="19" t="str">
        <f t="shared" si="2"/>
        <v> </v>
      </c>
      <c r="F3360" s="21"/>
    </row>
    <row r="3361">
      <c r="A3361" s="19">
        <v>14891.0</v>
      </c>
      <c r="B3361" s="19" t="s">
        <v>3387</v>
      </c>
      <c r="C3361" s="20">
        <v>31551.0</v>
      </c>
      <c r="D3361" s="19" t="str">
        <f t="shared" si="1"/>
        <v> </v>
      </c>
      <c r="E3361" s="19" t="str">
        <f t="shared" si="2"/>
        <v> </v>
      </c>
      <c r="F3361" s="21"/>
    </row>
    <row r="3362">
      <c r="A3362" s="19">
        <v>14893.0</v>
      </c>
      <c r="B3362" s="19" t="s">
        <v>3388</v>
      </c>
      <c r="C3362" s="20">
        <v>29448.0</v>
      </c>
      <c r="D3362" s="19" t="str">
        <f t="shared" si="1"/>
        <v> </v>
      </c>
      <c r="E3362" s="19" t="str">
        <f t="shared" si="2"/>
        <v> </v>
      </c>
      <c r="F3362" s="21"/>
    </row>
    <row r="3363">
      <c r="A3363" s="19">
        <v>14894.0</v>
      </c>
      <c r="B3363" s="19" t="s">
        <v>3389</v>
      </c>
      <c r="C3363" s="20">
        <v>16680.0</v>
      </c>
      <c r="D3363" s="19" t="str">
        <f t="shared" si="1"/>
        <v> </v>
      </c>
      <c r="E3363" s="19" t="str">
        <f t="shared" si="2"/>
        <v> </v>
      </c>
      <c r="F3363" s="21"/>
    </row>
    <row r="3364">
      <c r="A3364" s="19">
        <v>14895.0</v>
      </c>
      <c r="B3364" s="19" t="s">
        <v>3390</v>
      </c>
      <c r="C3364" s="20">
        <v>24918.0</v>
      </c>
      <c r="D3364" s="19" t="str">
        <f t="shared" si="1"/>
        <v> </v>
      </c>
      <c r="E3364" s="19" t="str">
        <f t="shared" si="2"/>
        <v> </v>
      </c>
      <c r="F3364" s="21"/>
    </row>
    <row r="3365">
      <c r="A3365" s="19">
        <v>14896.0</v>
      </c>
      <c r="B3365" s="19" t="s">
        <v>3391</v>
      </c>
      <c r="C3365" s="20">
        <v>23277.0</v>
      </c>
      <c r="D3365" s="19" t="str">
        <f t="shared" si="1"/>
        <v> </v>
      </c>
      <c r="E3365" s="19" t="str">
        <f t="shared" si="2"/>
        <v> </v>
      </c>
      <c r="F3365" s="21"/>
    </row>
    <row r="3366">
      <c r="A3366" s="19">
        <v>14897.0</v>
      </c>
      <c r="B3366" s="19" t="s">
        <v>3392</v>
      </c>
      <c r="C3366" s="20">
        <v>17634.0</v>
      </c>
      <c r="D3366" s="19" t="str">
        <f t="shared" si="1"/>
        <v> </v>
      </c>
      <c r="E3366" s="19" t="str">
        <f t="shared" si="2"/>
        <v> </v>
      </c>
      <c r="F3366" s="21"/>
    </row>
    <row r="3367">
      <c r="A3367" s="19">
        <v>14899.0</v>
      </c>
      <c r="B3367" s="19" t="s">
        <v>3393</v>
      </c>
      <c r="C3367" s="20">
        <v>29557.0</v>
      </c>
      <c r="D3367" s="19" t="str">
        <f t="shared" si="1"/>
        <v> </v>
      </c>
      <c r="E3367" s="19" t="str">
        <f t="shared" si="2"/>
        <v> </v>
      </c>
      <c r="F3367" s="21"/>
    </row>
    <row r="3368">
      <c r="A3368" s="19">
        <v>14900.0</v>
      </c>
      <c r="B3368" s="19" t="s">
        <v>3394</v>
      </c>
      <c r="C3368" s="20">
        <v>23223.0</v>
      </c>
      <c r="D3368" s="19" t="str">
        <f t="shared" si="1"/>
        <v> </v>
      </c>
      <c r="E3368" s="19" t="str">
        <f t="shared" si="2"/>
        <v> </v>
      </c>
      <c r="F3368" s="21"/>
    </row>
    <row r="3369">
      <c r="A3369" s="19">
        <v>14901.0</v>
      </c>
      <c r="B3369" s="19" t="s">
        <v>3395</v>
      </c>
      <c r="C3369" s="20">
        <v>21206.0</v>
      </c>
      <c r="D3369" s="19" t="str">
        <f t="shared" si="1"/>
        <v> </v>
      </c>
      <c r="E3369" s="19" t="str">
        <f t="shared" si="2"/>
        <v> </v>
      </c>
      <c r="F3369" s="21"/>
    </row>
    <row r="3370">
      <c r="A3370" s="19">
        <v>14902.0</v>
      </c>
      <c r="B3370" s="19" t="s">
        <v>3396</v>
      </c>
      <c r="C3370" s="20">
        <v>21967.0</v>
      </c>
      <c r="D3370" s="19" t="str">
        <f t="shared" si="1"/>
        <v> </v>
      </c>
      <c r="E3370" s="19" t="str">
        <f t="shared" si="2"/>
        <v> </v>
      </c>
      <c r="F3370" s="21"/>
    </row>
    <row r="3371">
      <c r="A3371" s="19">
        <v>14903.0</v>
      </c>
      <c r="B3371" s="19" t="s">
        <v>3397</v>
      </c>
      <c r="C3371" s="20">
        <v>25053.0</v>
      </c>
      <c r="D3371" s="19" t="str">
        <f t="shared" si="1"/>
        <v> </v>
      </c>
      <c r="E3371" s="19" t="str">
        <f t="shared" si="2"/>
        <v> </v>
      </c>
      <c r="F3371" s="21"/>
    </row>
    <row r="3372">
      <c r="A3372" s="19">
        <v>14904.0</v>
      </c>
      <c r="B3372" s="19" t="s">
        <v>3398</v>
      </c>
      <c r="C3372" s="20">
        <v>31991.0</v>
      </c>
      <c r="D3372" s="19" t="str">
        <f t="shared" si="1"/>
        <v> </v>
      </c>
      <c r="E3372" s="19" t="str">
        <f t="shared" si="2"/>
        <v> </v>
      </c>
      <c r="F3372" s="21"/>
    </row>
    <row r="3373">
      <c r="A3373" s="19">
        <v>14907.0</v>
      </c>
      <c r="B3373" s="19" t="s">
        <v>3399</v>
      </c>
      <c r="C3373" s="20">
        <v>27703.0</v>
      </c>
      <c r="D3373" s="19" t="str">
        <f t="shared" si="1"/>
        <v> </v>
      </c>
      <c r="E3373" s="19" t="str">
        <f t="shared" si="2"/>
        <v> </v>
      </c>
      <c r="F3373" s="21"/>
    </row>
    <row r="3374">
      <c r="A3374" s="19">
        <v>14908.0</v>
      </c>
      <c r="B3374" s="19" t="s">
        <v>3400</v>
      </c>
      <c r="C3374" s="20">
        <v>23122.0</v>
      </c>
      <c r="D3374" s="19" t="str">
        <f t="shared" si="1"/>
        <v> </v>
      </c>
      <c r="E3374" s="19" t="str">
        <f t="shared" si="2"/>
        <v> </v>
      </c>
      <c r="F3374" s="21"/>
    </row>
    <row r="3375">
      <c r="A3375" s="19">
        <v>14909.0</v>
      </c>
      <c r="B3375" s="19" t="s">
        <v>3401</v>
      </c>
      <c r="C3375" s="20">
        <v>24721.0</v>
      </c>
      <c r="D3375" s="19" t="str">
        <f t="shared" si="1"/>
        <v> </v>
      </c>
      <c r="E3375" s="19" t="str">
        <f t="shared" si="2"/>
        <v> </v>
      </c>
      <c r="F3375" s="21"/>
    </row>
    <row r="3376">
      <c r="A3376" s="19">
        <v>14910.0</v>
      </c>
      <c r="B3376" s="19" t="s">
        <v>3402</v>
      </c>
      <c r="C3376" s="20">
        <v>22333.0</v>
      </c>
      <c r="D3376" s="19" t="str">
        <f t="shared" si="1"/>
        <v> </v>
      </c>
      <c r="E3376" s="19" t="str">
        <f t="shared" si="2"/>
        <v> </v>
      </c>
      <c r="F3376" s="21"/>
    </row>
    <row r="3377">
      <c r="A3377" s="19">
        <v>14912.0</v>
      </c>
      <c r="B3377" s="19" t="s">
        <v>3403</v>
      </c>
      <c r="C3377" s="20">
        <v>27053.0</v>
      </c>
      <c r="D3377" s="19" t="str">
        <f t="shared" si="1"/>
        <v> </v>
      </c>
      <c r="E3377" s="19" t="str">
        <f t="shared" si="2"/>
        <v> </v>
      </c>
      <c r="F3377" s="21"/>
    </row>
    <row r="3378">
      <c r="A3378" s="19">
        <v>14913.0</v>
      </c>
      <c r="B3378" s="19" t="s">
        <v>3404</v>
      </c>
      <c r="C3378" s="20">
        <v>35995.0</v>
      </c>
      <c r="D3378" s="19" t="str">
        <f t="shared" si="1"/>
        <v> </v>
      </c>
      <c r="E3378" s="19" t="str">
        <f t="shared" si="2"/>
        <v> </v>
      </c>
      <c r="F3378" s="21"/>
    </row>
    <row r="3379">
      <c r="A3379" s="19">
        <v>14914.0</v>
      </c>
      <c r="B3379" s="19" t="s">
        <v>3405</v>
      </c>
      <c r="C3379" s="20">
        <v>31346.0</v>
      </c>
      <c r="D3379" s="19" t="str">
        <f t="shared" si="1"/>
        <v> </v>
      </c>
      <c r="E3379" s="19" t="str">
        <f t="shared" si="2"/>
        <v> </v>
      </c>
      <c r="F3379" s="21"/>
    </row>
    <row r="3380">
      <c r="A3380" s="19">
        <v>14915.0</v>
      </c>
      <c r="B3380" s="19" t="s">
        <v>3406</v>
      </c>
      <c r="C3380" s="20">
        <v>19463.0</v>
      </c>
      <c r="D3380" s="19" t="str">
        <f t="shared" si="1"/>
        <v> </v>
      </c>
      <c r="E3380" s="19" t="str">
        <f t="shared" si="2"/>
        <v> </v>
      </c>
      <c r="F3380" s="21"/>
    </row>
    <row r="3381">
      <c r="A3381" s="19">
        <v>14916.0</v>
      </c>
      <c r="B3381" s="19" t="s">
        <v>3407</v>
      </c>
      <c r="C3381" s="20">
        <v>26643.0</v>
      </c>
      <c r="D3381" s="19" t="str">
        <f t="shared" si="1"/>
        <v> </v>
      </c>
      <c r="E3381" s="19" t="str">
        <f t="shared" si="2"/>
        <v> </v>
      </c>
      <c r="F3381" s="21"/>
    </row>
    <row r="3382">
      <c r="A3382" s="19">
        <v>14918.0</v>
      </c>
      <c r="B3382" s="19" t="s">
        <v>3408</v>
      </c>
      <c r="C3382" s="20">
        <v>29730.0</v>
      </c>
      <c r="D3382" s="19" t="str">
        <f t="shared" si="1"/>
        <v> </v>
      </c>
      <c r="E3382" s="19" t="str">
        <f t="shared" si="2"/>
        <v> </v>
      </c>
      <c r="F3382" s="21"/>
    </row>
    <row r="3383">
      <c r="A3383" s="19">
        <v>14920.0</v>
      </c>
      <c r="B3383" s="19" t="s">
        <v>3409</v>
      </c>
      <c r="C3383" s="20">
        <v>26970.0</v>
      </c>
      <c r="D3383" s="19" t="str">
        <f t="shared" si="1"/>
        <v> </v>
      </c>
      <c r="E3383" s="19" t="str">
        <f t="shared" si="2"/>
        <v> </v>
      </c>
      <c r="F3383" s="21"/>
    </row>
    <row r="3384">
      <c r="A3384" s="19">
        <v>14922.0</v>
      </c>
      <c r="B3384" s="19" t="s">
        <v>3410</v>
      </c>
      <c r="C3384" s="20">
        <v>30733.0</v>
      </c>
      <c r="D3384" s="19" t="str">
        <f t="shared" si="1"/>
        <v> </v>
      </c>
      <c r="E3384" s="19" t="str">
        <f t="shared" si="2"/>
        <v> </v>
      </c>
      <c r="F3384" s="21"/>
    </row>
    <row r="3385">
      <c r="A3385" s="19">
        <v>14923.0</v>
      </c>
      <c r="B3385" s="19" t="s">
        <v>3411</v>
      </c>
      <c r="C3385" s="20">
        <v>28456.0</v>
      </c>
      <c r="D3385" s="19" t="str">
        <f t="shared" si="1"/>
        <v> </v>
      </c>
      <c r="E3385" s="19" t="str">
        <f t="shared" si="2"/>
        <v> </v>
      </c>
      <c r="F3385" s="21"/>
    </row>
    <row r="3386">
      <c r="A3386" s="19">
        <v>14924.0</v>
      </c>
      <c r="B3386" s="19" t="s">
        <v>3412</v>
      </c>
      <c r="C3386" s="20">
        <v>17232.0</v>
      </c>
      <c r="D3386" s="19" t="str">
        <f t="shared" si="1"/>
        <v> </v>
      </c>
      <c r="E3386" s="19" t="str">
        <f t="shared" si="2"/>
        <v> </v>
      </c>
      <c r="F3386" s="21"/>
    </row>
    <row r="3387">
      <c r="A3387" s="19">
        <v>14925.0</v>
      </c>
      <c r="B3387" s="19" t="s">
        <v>3413</v>
      </c>
      <c r="C3387" s="20">
        <v>17174.0</v>
      </c>
      <c r="D3387" s="19" t="str">
        <f t="shared" si="1"/>
        <v> </v>
      </c>
      <c r="E3387" s="19" t="str">
        <f t="shared" si="2"/>
        <v> </v>
      </c>
      <c r="F3387" s="21"/>
    </row>
    <row r="3388">
      <c r="A3388" s="19">
        <v>14926.0</v>
      </c>
      <c r="B3388" s="19" t="s">
        <v>3414</v>
      </c>
      <c r="C3388" s="20">
        <v>21137.0</v>
      </c>
      <c r="D3388" s="19" t="str">
        <f t="shared" si="1"/>
        <v> </v>
      </c>
      <c r="E3388" s="19" t="str">
        <f t="shared" si="2"/>
        <v> </v>
      </c>
      <c r="F3388" s="21"/>
    </row>
    <row r="3389">
      <c r="A3389" s="19">
        <v>14927.0</v>
      </c>
      <c r="B3389" s="19" t="s">
        <v>3415</v>
      </c>
      <c r="C3389" s="20">
        <v>35540.0</v>
      </c>
      <c r="D3389" s="19" t="str">
        <f t="shared" si="1"/>
        <v> </v>
      </c>
      <c r="E3389" s="19" t="str">
        <f t="shared" si="2"/>
        <v> </v>
      </c>
      <c r="F3389" s="21"/>
    </row>
    <row r="3390">
      <c r="A3390" s="19">
        <v>14928.0</v>
      </c>
      <c r="B3390" s="19" t="s">
        <v>3416</v>
      </c>
      <c r="C3390" s="20">
        <v>23252.0</v>
      </c>
      <c r="D3390" s="19" t="str">
        <f t="shared" si="1"/>
        <v> </v>
      </c>
      <c r="E3390" s="19" t="str">
        <f t="shared" si="2"/>
        <v> </v>
      </c>
      <c r="F3390" s="21"/>
    </row>
    <row r="3391">
      <c r="A3391" s="19">
        <v>14931.0</v>
      </c>
      <c r="B3391" s="19" t="s">
        <v>3417</v>
      </c>
      <c r="C3391" s="20">
        <v>22878.0</v>
      </c>
      <c r="D3391" s="19" t="str">
        <f t="shared" si="1"/>
        <v> </v>
      </c>
      <c r="E3391" s="19" t="str">
        <f t="shared" si="2"/>
        <v> </v>
      </c>
      <c r="F3391" s="21"/>
    </row>
    <row r="3392">
      <c r="A3392" s="19">
        <v>14933.0</v>
      </c>
      <c r="B3392" s="19" t="s">
        <v>3418</v>
      </c>
      <c r="C3392" s="20">
        <v>29116.0</v>
      </c>
      <c r="D3392" s="19" t="str">
        <f t="shared" si="1"/>
        <v> </v>
      </c>
      <c r="E3392" s="19" t="str">
        <f t="shared" si="2"/>
        <v> </v>
      </c>
      <c r="F3392" s="21"/>
    </row>
    <row r="3393">
      <c r="A3393" s="19">
        <v>14934.0</v>
      </c>
      <c r="B3393" s="19" t="s">
        <v>3419</v>
      </c>
      <c r="C3393" s="20">
        <v>16178.0</v>
      </c>
      <c r="D3393" s="19" t="str">
        <f t="shared" si="1"/>
        <v> </v>
      </c>
      <c r="E3393" s="19" t="str">
        <f t="shared" si="2"/>
        <v> </v>
      </c>
      <c r="F3393" s="21"/>
    </row>
    <row r="3394">
      <c r="A3394" s="19">
        <v>14935.0</v>
      </c>
      <c r="B3394" s="19" t="s">
        <v>3420</v>
      </c>
      <c r="C3394" s="20">
        <v>13173.0</v>
      </c>
      <c r="D3394" s="19" t="str">
        <f t="shared" si="1"/>
        <v> </v>
      </c>
      <c r="E3394" s="19" t="str">
        <f t="shared" si="2"/>
        <v> </v>
      </c>
      <c r="F3394" s="21"/>
    </row>
    <row r="3395">
      <c r="A3395" s="19">
        <v>14936.0</v>
      </c>
      <c r="B3395" s="19" t="s">
        <v>3421</v>
      </c>
      <c r="C3395" s="20">
        <v>24006.0</v>
      </c>
      <c r="D3395" s="19" t="str">
        <f t="shared" si="1"/>
        <v> </v>
      </c>
      <c r="E3395" s="19" t="str">
        <f t="shared" si="2"/>
        <v> </v>
      </c>
      <c r="F3395" s="21"/>
    </row>
    <row r="3396">
      <c r="A3396" s="19">
        <v>14938.0</v>
      </c>
      <c r="B3396" s="19" t="s">
        <v>3422</v>
      </c>
      <c r="C3396" s="20">
        <v>13606.0</v>
      </c>
      <c r="D3396" s="19" t="str">
        <f t="shared" si="1"/>
        <v> </v>
      </c>
      <c r="E3396" s="19" t="str">
        <f t="shared" si="2"/>
        <v> </v>
      </c>
      <c r="F3396" s="21"/>
    </row>
    <row r="3397">
      <c r="A3397" s="19">
        <v>14939.0</v>
      </c>
      <c r="B3397" s="19" t="s">
        <v>3423</v>
      </c>
      <c r="C3397" s="20">
        <v>20725.0</v>
      </c>
      <c r="D3397" s="19" t="str">
        <f t="shared" si="1"/>
        <v> </v>
      </c>
      <c r="E3397" s="19" t="str">
        <f t="shared" si="2"/>
        <v> </v>
      </c>
      <c r="F3397" s="21"/>
    </row>
    <row r="3398">
      <c r="A3398" s="19">
        <v>14940.0</v>
      </c>
      <c r="B3398" s="19" t="s">
        <v>3424</v>
      </c>
      <c r="C3398" s="20">
        <v>18189.0</v>
      </c>
      <c r="D3398" s="19" t="str">
        <f t="shared" si="1"/>
        <v> </v>
      </c>
      <c r="E3398" s="19" t="str">
        <f t="shared" si="2"/>
        <v> </v>
      </c>
      <c r="F3398" s="21"/>
    </row>
    <row r="3399">
      <c r="A3399" s="19">
        <v>14941.0</v>
      </c>
      <c r="B3399" s="19" t="s">
        <v>3425</v>
      </c>
      <c r="C3399" s="20">
        <v>36502.0</v>
      </c>
      <c r="D3399" s="19" t="str">
        <f t="shared" si="1"/>
        <v> </v>
      </c>
      <c r="E3399" s="19" t="str">
        <f t="shared" si="2"/>
        <v> </v>
      </c>
      <c r="F3399" s="21"/>
    </row>
    <row r="3400">
      <c r="A3400" s="19">
        <v>14942.0</v>
      </c>
      <c r="B3400" s="19" t="s">
        <v>3426</v>
      </c>
      <c r="C3400" s="20">
        <v>13004.0</v>
      </c>
      <c r="D3400" s="19" t="str">
        <f t="shared" si="1"/>
        <v> </v>
      </c>
      <c r="E3400" s="19" t="str">
        <f t="shared" si="2"/>
        <v> </v>
      </c>
      <c r="F3400" s="21"/>
    </row>
    <row r="3401">
      <c r="A3401" s="19">
        <v>14943.0</v>
      </c>
      <c r="B3401" s="19" t="s">
        <v>3427</v>
      </c>
      <c r="C3401" s="20">
        <v>32583.0</v>
      </c>
      <c r="D3401" s="19" t="str">
        <f t="shared" si="1"/>
        <v> </v>
      </c>
      <c r="E3401" s="19" t="str">
        <f t="shared" si="2"/>
        <v> </v>
      </c>
      <c r="F3401" s="21"/>
    </row>
    <row r="3402">
      <c r="A3402" s="19">
        <v>14944.0</v>
      </c>
      <c r="B3402" s="19" t="s">
        <v>3428</v>
      </c>
      <c r="C3402" s="20">
        <v>32333.0</v>
      </c>
      <c r="D3402" s="19" t="str">
        <f t="shared" si="1"/>
        <v> </v>
      </c>
      <c r="E3402" s="19" t="str">
        <f t="shared" si="2"/>
        <v> </v>
      </c>
      <c r="F3402" s="21"/>
    </row>
    <row r="3403">
      <c r="A3403" s="19">
        <v>14945.0</v>
      </c>
      <c r="B3403" s="19" t="s">
        <v>3429</v>
      </c>
      <c r="C3403" s="20">
        <v>27908.0</v>
      </c>
      <c r="D3403" s="19" t="str">
        <f t="shared" si="1"/>
        <v> </v>
      </c>
      <c r="E3403" s="19" t="str">
        <f t="shared" si="2"/>
        <v> </v>
      </c>
      <c r="F3403" s="21"/>
    </row>
    <row r="3404">
      <c r="A3404" s="19">
        <v>14946.0</v>
      </c>
      <c r="B3404" s="19" t="s">
        <v>3430</v>
      </c>
      <c r="C3404" s="20">
        <v>30996.0</v>
      </c>
      <c r="D3404" s="19" t="str">
        <f t="shared" si="1"/>
        <v> </v>
      </c>
      <c r="E3404" s="19" t="str">
        <f t="shared" si="2"/>
        <v> </v>
      </c>
      <c r="F3404" s="21"/>
    </row>
    <row r="3405">
      <c r="A3405" s="19">
        <v>14947.0</v>
      </c>
      <c r="B3405" s="19" t="s">
        <v>3431</v>
      </c>
      <c r="C3405" s="20">
        <v>31790.0</v>
      </c>
      <c r="D3405" s="19" t="str">
        <f t="shared" si="1"/>
        <v> </v>
      </c>
      <c r="E3405" s="19" t="str">
        <f t="shared" si="2"/>
        <v> </v>
      </c>
      <c r="F3405" s="21"/>
    </row>
    <row r="3406">
      <c r="A3406" s="19">
        <v>14948.0</v>
      </c>
      <c r="B3406" s="19" t="s">
        <v>3432</v>
      </c>
      <c r="C3406" s="20">
        <v>20184.0</v>
      </c>
      <c r="D3406" s="19" t="str">
        <f t="shared" si="1"/>
        <v> </v>
      </c>
      <c r="E3406" s="19" t="str">
        <f t="shared" si="2"/>
        <v> </v>
      </c>
      <c r="F3406" s="21"/>
    </row>
    <row r="3407">
      <c r="A3407" s="19">
        <v>14949.0</v>
      </c>
      <c r="B3407" s="19" t="s">
        <v>3433</v>
      </c>
      <c r="C3407" s="20">
        <v>23551.0</v>
      </c>
      <c r="D3407" s="19" t="str">
        <f t="shared" si="1"/>
        <v> </v>
      </c>
      <c r="E3407" s="19" t="str">
        <f t="shared" si="2"/>
        <v> </v>
      </c>
      <c r="F3407" s="21"/>
    </row>
    <row r="3408">
      <c r="A3408" s="19">
        <v>14950.0</v>
      </c>
      <c r="B3408" s="19" t="s">
        <v>3434</v>
      </c>
      <c r="C3408" s="20">
        <v>27319.0</v>
      </c>
      <c r="D3408" s="19" t="str">
        <f t="shared" si="1"/>
        <v> </v>
      </c>
      <c r="E3408" s="19" t="str">
        <f t="shared" si="2"/>
        <v> </v>
      </c>
      <c r="F3408" s="21"/>
    </row>
    <row r="3409">
      <c r="A3409" s="19">
        <v>14952.0</v>
      </c>
      <c r="B3409" s="19" t="s">
        <v>3435</v>
      </c>
      <c r="C3409" s="20">
        <v>31734.0</v>
      </c>
      <c r="D3409" s="19" t="str">
        <f t="shared" si="1"/>
        <v> </v>
      </c>
      <c r="E3409" s="19" t="str">
        <f t="shared" si="2"/>
        <v> </v>
      </c>
      <c r="F3409" s="21"/>
    </row>
    <row r="3410">
      <c r="A3410" s="19">
        <v>14953.0</v>
      </c>
      <c r="B3410" s="19" t="s">
        <v>3436</v>
      </c>
      <c r="C3410" s="20">
        <v>16111.0</v>
      </c>
      <c r="D3410" s="19" t="str">
        <f t="shared" si="1"/>
        <v> </v>
      </c>
      <c r="E3410" s="19" t="str">
        <f t="shared" si="2"/>
        <v> </v>
      </c>
      <c r="F3410" s="21"/>
    </row>
    <row r="3411">
      <c r="A3411" s="19">
        <v>14954.0</v>
      </c>
      <c r="B3411" s="19" t="s">
        <v>3437</v>
      </c>
      <c r="C3411" s="20">
        <v>26512.0</v>
      </c>
      <c r="D3411" s="19" t="str">
        <f t="shared" si="1"/>
        <v> </v>
      </c>
      <c r="E3411" s="19" t="str">
        <f t="shared" si="2"/>
        <v> </v>
      </c>
      <c r="F3411" s="21"/>
    </row>
    <row r="3412">
      <c r="A3412" s="19">
        <v>14955.0</v>
      </c>
      <c r="B3412" s="19" t="s">
        <v>3438</v>
      </c>
      <c r="C3412" s="20">
        <v>16759.0</v>
      </c>
      <c r="D3412" s="19" t="str">
        <f t="shared" si="1"/>
        <v> </v>
      </c>
      <c r="E3412" s="19" t="str">
        <f t="shared" si="2"/>
        <v> </v>
      </c>
      <c r="F3412" s="21"/>
    </row>
    <row r="3413">
      <c r="A3413" s="19">
        <v>14956.0</v>
      </c>
      <c r="B3413" s="19" t="s">
        <v>3439</v>
      </c>
      <c r="C3413" s="20">
        <v>30315.0</v>
      </c>
      <c r="D3413" s="19" t="str">
        <f t="shared" si="1"/>
        <v> </v>
      </c>
      <c r="E3413" s="19" t="str">
        <f t="shared" si="2"/>
        <v> </v>
      </c>
      <c r="F3413" s="21"/>
    </row>
    <row r="3414">
      <c r="A3414" s="19">
        <v>14957.0</v>
      </c>
      <c r="B3414" s="19" t="s">
        <v>3440</v>
      </c>
      <c r="C3414" s="20">
        <v>20366.0</v>
      </c>
      <c r="D3414" s="19" t="str">
        <f t="shared" si="1"/>
        <v> </v>
      </c>
      <c r="E3414" s="19" t="str">
        <f t="shared" si="2"/>
        <v> </v>
      </c>
      <c r="F3414" s="21"/>
    </row>
    <row r="3415">
      <c r="A3415" s="19">
        <v>14958.0</v>
      </c>
      <c r="B3415" s="19" t="s">
        <v>3441</v>
      </c>
      <c r="C3415" s="20">
        <v>17756.0</v>
      </c>
      <c r="D3415" s="19" t="str">
        <f t="shared" si="1"/>
        <v> </v>
      </c>
      <c r="E3415" s="19" t="str">
        <f t="shared" si="2"/>
        <v> </v>
      </c>
      <c r="F3415" s="21"/>
    </row>
    <row r="3416">
      <c r="A3416" s="19">
        <v>14959.0</v>
      </c>
      <c r="B3416" s="19" t="s">
        <v>3442</v>
      </c>
      <c r="C3416" s="20">
        <v>23303.0</v>
      </c>
      <c r="D3416" s="19" t="str">
        <f t="shared" si="1"/>
        <v> </v>
      </c>
      <c r="E3416" s="19" t="str">
        <f t="shared" si="2"/>
        <v> </v>
      </c>
      <c r="F3416" s="21"/>
    </row>
    <row r="3417">
      <c r="A3417" s="19">
        <v>14960.0</v>
      </c>
      <c r="B3417" s="19" t="s">
        <v>3443</v>
      </c>
      <c r="C3417" s="20">
        <v>15911.0</v>
      </c>
      <c r="D3417" s="19" t="str">
        <f t="shared" si="1"/>
        <v> </v>
      </c>
      <c r="E3417" s="19" t="str">
        <f t="shared" si="2"/>
        <v> </v>
      </c>
      <c r="F3417" s="21"/>
    </row>
    <row r="3418">
      <c r="A3418" s="19">
        <v>14964.0</v>
      </c>
      <c r="B3418" s="19" t="s">
        <v>3444</v>
      </c>
      <c r="C3418" s="20">
        <v>18825.0</v>
      </c>
      <c r="D3418" s="19" t="str">
        <f t="shared" si="1"/>
        <v> </v>
      </c>
      <c r="E3418" s="19" t="str">
        <f t="shared" si="2"/>
        <v> </v>
      </c>
      <c r="F3418" s="21"/>
    </row>
    <row r="3419">
      <c r="A3419" s="19">
        <v>14965.0</v>
      </c>
      <c r="B3419" s="19" t="s">
        <v>3445</v>
      </c>
      <c r="C3419" s="20">
        <v>31191.0</v>
      </c>
      <c r="D3419" s="19" t="str">
        <f t="shared" si="1"/>
        <v> </v>
      </c>
      <c r="E3419" s="19" t="str">
        <f t="shared" si="2"/>
        <v> </v>
      </c>
      <c r="F3419" s="21"/>
    </row>
    <row r="3420">
      <c r="A3420" s="19">
        <v>14966.0</v>
      </c>
      <c r="B3420" s="19" t="s">
        <v>2553</v>
      </c>
      <c r="C3420" s="20">
        <v>21062.0</v>
      </c>
      <c r="D3420" s="19" t="str">
        <f t="shared" si="1"/>
        <v>Repeat</v>
      </c>
      <c r="E3420" s="19" t="str">
        <f t="shared" si="2"/>
        <v> </v>
      </c>
      <c r="F3420" s="21"/>
    </row>
    <row r="3421">
      <c r="A3421" s="19">
        <v>14967.0</v>
      </c>
      <c r="B3421" s="19" t="s">
        <v>3446</v>
      </c>
      <c r="C3421" s="20">
        <v>26702.0</v>
      </c>
      <c r="D3421" s="19" t="str">
        <f t="shared" si="1"/>
        <v> </v>
      </c>
      <c r="E3421" s="19" t="str">
        <f t="shared" si="2"/>
        <v> </v>
      </c>
      <c r="F3421" s="21"/>
    </row>
    <row r="3422">
      <c r="A3422" s="19">
        <v>14968.0</v>
      </c>
      <c r="B3422" s="19" t="s">
        <v>3447</v>
      </c>
      <c r="C3422" s="20">
        <v>36041.0</v>
      </c>
      <c r="D3422" s="19" t="str">
        <f t="shared" si="1"/>
        <v> </v>
      </c>
      <c r="E3422" s="19" t="str">
        <f t="shared" si="2"/>
        <v> </v>
      </c>
      <c r="F3422" s="21"/>
    </row>
    <row r="3423">
      <c r="A3423" s="19">
        <v>14969.0</v>
      </c>
      <c r="B3423" s="19" t="s">
        <v>3448</v>
      </c>
      <c r="C3423" s="20">
        <v>10396.0</v>
      </c>
      <c r="D3423" s="19" t="str">
        <f t="shared" si="1"/>
        <v> </v>
      </c>
      <c r="E3423" s="19" t="str">
        <f t="shared" si="2"/>
        <v> </v>
      </c>
      <c r="F3423" s="21"/>
    </row>
    <row r="3424">
      <c r="A3424" s="19">
        <v>14971.0</v>
      </c>
      <c r="B3424" s="19" t="s">
        <v>3449</v>
      </c>
      <c r="C3424" s="20">
        <v>19737.0</v>
      </c>
      <c r="D3424" s="19" t="str">
        <f t="shared" si="1"/>
        <v> </v>
      </c>
      <c r="E3424" s="19" t="str">
        <f t="shared" si="2"/>
        <v> </v>
      </c>
      <c r="F3424" s="21"/>
    </row>
    <row r="3425">
      <c r="A3425" s="19">
        <v>14972.0</v>
      </c>
      <c r="B3425" s="19" t="s">
        <v>3450</v>
      </c>
      <c r="C3425" s="20">
        <v>25152.0</v>
      </c>
      <c r="D3425" s="19" t="str">
        <f t="shared" si="1"/>
        <v> </v>
      </c>
      <c r="E3425" s="19" t="str">
        <f t="shared" si="2"/>
        <v> </v>
      </c>
      <c r="F3425" s="21"/>
    </row>
    <row r="3426">
      <c r="A3426" s="19">
        <v>14973.0</v>
      </c>
      <c r="B3426" s="19" t="s">
        <v>3451</v>
      </c>
      <c r="C3426" s="20">
        <v>33730.0</v>
      </c>
      <c r="D3426" s="19" t="str">
        <f t="shared" si="1"/>
        <v> </v>
      </c>
      <c r="E3426" s="19" t="str">
        <f t="shared" si="2"/>
        <v> </v>
      </c>
      <c r="F3426" s="21"/>
    </row>
    <row r="3427">
      <c r="A3427" s="19">
        <v>14974.0</v>
      </c>
      <c r="B3427" s="19" t="s">
        <v>3452</v>
      </c>
      <c r="C3427" s="20">
        <v>19040.0</v>
      </c>
      <c r="D3427" s="19" t="str">
        <f t="shared" si="1"/>
        <v> </v>
      </c>
      <c r="E3427" s="19" t="str">
        <f t="shared" si="2"/>
        <v> </v>
      </c>
      <c r="F3427" s="21"/>
    </row>
    <row r="3428">
      <c r="A3428" s="19">
        <v>14975.0</v>
      </c>
      <c r="B3428" s="19" t="s">
        <v>3453</v>
      </c>
      <c r="C3428" s="20">
        <v>19824.0</v>
      </c>
      <c r="D3428" s="19" t="str">
        <f t="shared" si="1"/>
        <v> </v>
      </c>
      <c r="E3428" s="19" t="str">
        <f t="shared" si="2"/>
        <v> </v>
      </c>
      <c r="F3428" s="21"/>
    </row>
    <row r="3429">
      <c r="A3429" s="19">
        <v>14977.0</v>
      </c>
      <c r="B3429" s="19" t="s">
        <v>3454</v>
      </c>
      <c r="C3429" s="20">
        <v>21888.0</v>
      </c>
      <c r="D3429" s="19" t="str">
        <f t="shared" si="1"/>
        <v> </v>
      </c>
      <c r="E3429" s="19" t="str">
        <f t="shared" si="2"/>
        <v> </v>
      </c>
      <c r="F3429" s="21"/>
    </row>
    <row r="3430">
      <c r="A3430" s="19">
        <v>14978.0</v>
      </c>
      <c r="B3430" s="19" t="s">
        <v>3455</v>
      </c>
      <c r="C3430" s="20">
        <v>22798.0</v>
      </c>
      <c r="D3430" s="19" t="str">
        <f t="shared" si="1"/>
        <v> </v>
      </c>
      <c r="E3430" s="19" t="str">
        <f t="shared" si="2"/>
        <v> </v>
      </c>
      <c r="F3430" s="21"/>
    </row>
    <row r="3431">
      <c r="A3431" s="19">
        <v>14979.0</v>
      </c>
      <c r="B3431" s="19" t="s">
        <v>3456</v>
      </c>
      <c r="C3431" s="20">
        <v>28912.0</v>
      </c>
      <c r="D3431" s="19" t="str">
        <f t="shared" si="1"/>
        <v> </v>
      </c>
      <c r="E3431" s="19" t="str">
        <f t="shared" si="2"/>
        <v> </v>
      </c>
      <c r="F3431" s="21"/>
    </row>
    <row r="3432">
      <c r="A3432" s="19">
        <v>14980.0</v>
      </c>
      <c r="B3432" s="19" t="s">
        <v>3457</v>
      </c>
      <c r="C3432" s="20">
        <v>19960.0</v>
      </c>
      <c r="D3432" s="19" t="str">
        <f t="shared" si="1"/>
        <v> </v>
      </c>
      <c r="E3432" s="19" t="str">
        <f t="shared" si="2"/>
        <v> </v>
      </c>
      <c r="F3432" s="21"/>
    </row>
    <row r="3433">
      <c r="A3433" s="19">
        <v>14981.0</v>
      </c>
      <c r="B3433" s="19" t="s">
        <v>3458</v>
      </c>
      <c r="C3433" s="20">
        <v>11781.0</v>
      </c>
      <c r="D3433" s="19" t="str">
        <f t="shared" si="1"/>
        <v> </v>
      </c>
      <c r="E3433" s="19" t="str">
        <f t="shared" si="2"/>
        <v> </v>
      </c>
      <c r="F3433" s="21"/>
    </row>
    <row r="3434">
      <c r="A3434" s="19">
        <v>14982.0</v>
      </c>
      <c r="B3434" s="19" t="s">
        <v>3459</v>
      </c>
      <c r="C3434" s="20">
        <v>15634.0</v>
      </c>
      <c r="D3434" s="19" t="str">
        <f t="shared" si="1"/>
        <v> </v>
      </c>
      <c r="E3434" s="19" t="str">
        <f t="shared" si="2"/>
        <v> </v>
      </c>
      <c r="F3434" s="21"/>
    </row>
    <row r="3435">
      <c r="A3435" s="19">
        <v>14983.0</v>
      </c>
      <c r="B3435" s="19" t="s">
        <v>3460</v>
      </c>
      <c r="C3435" s="20">
        <v>11151.0</v>
      </c>
      <c r="D3435" s="19" t="str">
        <f t="shared" si="1"/>
        <v> </v>
      </c>
      <c r="E3435" s="19" t="str">
        <f t="shared" si="2"/>
        <v> </v>
      </c>
      <c r="F3435" s="21"/>
    </row>
    <row r="3436">
      <c r="A3436" s="19">
        <v>14984.0</v>
      </c>
      <c r="B3436" s="19" t="s">
        <v>3461</v>
      </c>
      <c r="C3436" s="20">
        <v>36413.0</v>
      </c>
      <c r="D3436" s="19" t="str">
        <f t="shared" si="1"/>
        <v> </v>
      </c>
      <c r="E3436" s="19" t="str">
        <f t="shared" si="2"/>
        <v> </v>
      </c>
      <c r="F3436" s="21"/>
    </row>
    <row r="3437">
      <c r="A3437" s="19">
        <v>14985.0</v>
      </c>
      <c r="B3437" s="19" t="s">
        <v>3462</v>
      </c>
      <c r="C3437" s="20">
        <v>25658.0</v>
      </c>
      <c r="D3437" s="19" t="str">
        <f t="shared" si="1"/>
        <v> </v>
      </c>
      <c r="E3437" s="19" t="str">
        <f t="shared" si="2"/>
        <v> </v>
      </c>
      <c r="F3437" s="21"/>
    </row>
    <row r="3438">
      <c r="A3438" s="19">
        <v>14986.0</v>
      </c>
      <c r="B3438" s="19" t="s">
        <v>3463</v>
      </c>
      <c r="C3438" s="20">
        <v>20985.0</v>
      </c>
      <c r="D3438" s="19" t="str">
        <f t="shared" si="1"/>
        <v> </v>
      </c>
      <c r="E3438" s="19" t="str">
        <f t="shared" si="2"/>
        <v> </v>
      </c>
      <c r="F3438" s="21"/>
    </row>
    <row r="3439">
      <c r="A3439" s="19">
        <v>14987.0</v>
      </c>
      <c r="B3439" s="19" t="s">
        <v>3464</v>
      </c>
      <c r="C3439" s="20">
        <v>27390.0</v>
      </c>
      <c r="D3439" s="19" t="str">
        <f t="shared" si="1"/>
        <v> </v>
      </c>
      <c r="E3439" s="19" t="str">
        <f t="shared" si="2"/>
        <v> </v>
      </c>
      <c r="F3439" s="21"/>
    </row>
    <row r="3440">
      <c r="A3440" s="19">
        <v>14988.0</v>
      </c>
      <c r="B3440" s="19" t="s">
        <v>3465</v>
      </c>
      <c r="C3440" s="20">
        <v>34444.0</v>
      </c>
      <c r="D3440" s="19" t="str">
        <f t="shared" si="1"/>
        <v> </v>
      </c>
      <c r="E3440" s="19" t="str">
        <f t="shared" si="2"/>
        <v> </v>
      </c>
      <c r="F3440" s="21"/>
    </row>
    <row r="3441">
      <c r="A3441" s="19">
        <v>14989.0</v>
      </c>
      <c r="B3441" s="19" t="s">
        <v>3466</v>
      </c>
      <c r="C3441" s="20">
        <v>26248.0</v>
      </c>
      <c r="D3441" s="19" t="str">
        <f t="shared" si="1"/>
        <v> </v>
      </c>
      <c r="E3441" s="19" t="str">
        <f t="shared" si="2"/>
        <v> </v>
      </c>
      <c r="F3441" s="21"/>
    </row>
    <row r="3442">
      <c r="A3442" s="19">
        <v>14990.0</v>
      </c>
      <c r="B3442" s="19" t="s">
        <v>3467</v>
      </c>
      <c r="C3442" s="20">
        <v>28407.0</v>
      </c>
      <c r="D3442" s="19" t="str">
        <f t="shared" si="1"/>
        <v> </v>
      </c>
      <c r="E3442" s="19" t="str">
        <f t="shared" si="2"/>
        <v> </v>
      </c>
      <c r="F3442" s="21"/>
    </row>
    <row r="3443">
      <c r="A3443" s="19">
        <v>14991.0</v>
      </c>
      <c r="B3443" s="19" t="s">
        <v>3468</v>
      </c>
      <c r="C3443" s="20">
        <v>27452.0</v>
      </c>
      <c r="D3443" s="19" t="str">
        <f t="shared" si="1"/>
        <v> </v>
      </c>
      <c r="E3443" s="19" t="str">
        <f t="shared" si="2"/>
        <v> </v>
      </c>
      <c r="F3443" s="21"/>
    </row>
    <row r="3444">
      <c r="A3444" s="19">
        <v>14992.0</v>
      </c>
      <c r="B3444" s="19" t="s">
        <v>3469</v>
      </c>
      <c r="C3444" s="20">
        <v>18875.0</v>
      </c>
      <c r="D3444" s="19" t="str">
        <f t="shared" si="1"/>
        <v> </v>
      </c>
      <c r="E3444" s="19" t="str">
        <f t="shared" si="2"/>
        <v> </v>
      </c>
      <c r="F3444" s="21"/>
    </row>
    <row r="3445">
      <c r="A3445" s="19">
        <v>14993.0</v>
      </c>
      <c r="B3445" s="19" t="s">
        <v>3470</v>
      </c>
      <c r="C3445" s="20">
        <v>29940.0</v>
      </c>
      <c r="D3445" s="19" t="str">
        <f t="shared" si="1"/>
        <v> </v>
      </c>
      <c r="E3445" s="19" t="str">
        <f t="shared" si="2"/>
        <v> </v>
      </c>
      <c r="F3445" s="21"/>
    </row>
    <row r="3446">
      <c r="A3446" s="19">
        <v>14996.0</v>
      </c>
      <c r="B3446" s="19" t="s">
        <v>3471</v>
      </c>
      <c r="C3446" s="20">
        <v>17990.0</v>
      </c>
      <c r="D3446" s="19" t="str">
        <f t="shared" si="1"/>
        <v> </v>
      </c>
      <c r="E3446" s="19" t="str">
        <f t="shared" si="2"/>
        <v> </v>
      </c>
      <c r="F3446" s="21"/>
    </row>
    <row r="3447">
      <c r="A3447" s="19">
        <v>14997.0</v>
      </c>
      <c r="B3447" s="19" t="s">
        <v>3472</v>
      </c>
      <c r="C3447" s="20">
        <v>27364.0</v>
      </c>
      <c r="D3447" s="19" t="str">
        <f t="shared" si="1"/>
        <v> </v>
      </c>
      <c r="E3447" s="19" t="str">
        <f t="shared" si="2"/>
        <v> </v>
      </c>
      <c r="F3447" s="21"/>
    </row>
    <row r="3448">
      <c r="A3448" s="19">
        <v>14999.0</v>
      </c>
      <c r="B3448" s="19" t="s">
        <v>3473</v>
      </c>
      <c r="C3448" s="20">
        <v>31531.0</v>
      </c>
      <c r="D3448" s="19" t="str">
        <f t="shared" si="1"/>
        <v> </v>
      </c>
      <c r="E3448" s="19" t="str">
        <f t="shared" si="2"/>
        <v> </v>
      </c>
      <c r="F3448" s="21"/>
    </row>
    <row r="3449">
      <c r="A3449" s="19">
        <v>15000.0</v>
      </c>
      <c r="B3449" s="19" t="s">
        <v>3474</v>
      </c>
      <c r="C3449" s="20">
        <v>21890.0</v>
      </c>
      <c r="D3449" s="19" t="str">
        <f t="shared" si="1"/>
        <v> </v>
      </c>
      <c r="E3449" s="19" t="str">
        <f t="shared" si="2"/>
        <v> </v>
      </c>
      <c r="F3449" s="21"/>
    </row>
    <row r="3450">
      <c r="A3450" s="19">
        <v>15001.0</v>
      </c>
      <c r="B3450" s="19" t="s">
        <v>3475</v>
      </c>
      <c r="C3450" s="20">
        <v>13783.0</v>
      </c>
      <c r="D3450" s="19" t="str">
        <f t="shared" si="1"/>
        <v> </v>
      </c>
      <c r="E3450" s="19" t="str">
        <f t="shared" si="2"/>
        <v> </v>
      </c>
      <c r="F3450" s="21"/>
    </row>
    <row r="3451">
      <c r="A3451" s="19">
        <v>15002.0</v>
      </c>
      <c r="B3451" s="19" t="s">
        <v>3476</v>
      </c>
      <c r="C3451" s="20">
        <v>21001.0</v>
      </c>
      <c r="D3451" s="19" t="str">
        <f t="shared" si="1"/>
        <v>Repeat</v>
      </c>
      <c r="E3451" s="19" t="str">
        <f t="shared" si="2"/>
        <v> </v>
      </c>
      <c r="F3451" s="21"/>
    </row>
    <row r="3452">
      <c r="A3452" s="19">
        <v>15003.0</v>
      </c>
      <c r="B3452" s="19" t="s">
        <v>3477</v>
      </c>
      <c r="C3452" s="20">
        <v>15057.0</v>
      </c>
      <c r="D3452" s="19" t="str">
        <f t="shared" si="1"/>
        <v> </v>
      </c>
      <c r="E3452" s="19" t="str">
        <f t="shared" si="2"/>
        <v> </v>
      </c>
      <c r="F3452" s="21"/>
    </row>
    <row r="3453">
      <c r="A3453" s="19">
        <v>15004.0</v>
      </c>
      <c r="B3453" s="19" t="s">
        <v>3478</v>
      </c>
      <c r="C3453" s="20">
        <v>17702.0</v>
      </c>
      <c r="D3453" s="19" t="str">
        <f t="shared" si="1"/>
        <v> </v>
      </c>
      <c r="E3453" s="19" t="str">
        <f t="shared" si="2"/>
        <v> </v>
      </c>
      <c r="F3453" s="21"/>
    </row>
    <row r="3454">
      <c r="A3454" s="19">
        <v>15005.0</v>
      </c>
      <c r="B3454" s="19" t="s">
        <v>3479</v>
      </c>
      <c r="C3454" s="20">
        <v>18885.0</v>
      </c>
      <c r="D3454" s="19" t="str">
        <f t="shared" si="1"/>
        <v> </v>
      </c>
      <c r="E3454" s="19" t="str">
        <f t="shared" si="2"/>
        <v> </v>
      </c>
      <c r="F3454" s="21"/>
    </row>
    <row r="3455">
      <c r="A3455" s="19">
        <v>15008.0</v>
      </c>
      <c r="B3455" s="19" t="s">
        <v>3480</v>
      </c>
      <c r="C3455" s="20">
        <v>33839.0</v>
      </c>
      <c r="D3455" s="19" t="str">
        <f t="shared" si="1"/>
        <v> </v>
      </c>
      <c r="E3455" s="19" t="str">
        <f t="shared" si="2"/>
        <v> </v>
      </c>
      <c r="F3455" s="21"/>
    </row>
    <row r="3456">
      <c r="A3456" s="19">
        <v>15011.0</v>
      </c>
      <c r="B3456" s="19" t="s">
        <v>3481</v>
      </c>
      <c r="C3456" s="20">
        <v>34392.0</v>
      </c>
      <c r="D3456" s="19" t="str">
        <f t="shared" si="1"/>
        <v> </v>
      </c>
      <c r="E3456" s="19" t="str">
        <f t="shared" si="2"/>
        <v> </v>
      </c>
      <c r="F3456" s="21"/>
    </row>
    <row r="3457">
      <c r="A3457" s="19">
        <v>15012.0</v>
      </c>
      <c r="B3457" s="19" t="s">
        <v>3482</v>
      </c>
      <c r="C3457" s="20">
        <v>16646.0</v>
      </c>
      <c r="D3457" s="19" t="str">
        <f t="shared" si="1"/>
        <v> </v>
      </c>
      <c r="E3457" s="19" t="str">
        <f t="shared" si="2"/>
        <v> </v>
      </c>
      <c r="F3457" s="21"/>
    </row>
    <row r="3458">
      <c r="A3458" s="19">
        <v>15013.0</v>
      </c>
      <c r="B3458" s="19" t="s">
        <v>3483</v>
      </c>
      <c r="C3458" s="20">
        <v>35160.0</v>
      </c>
      <c r="D3458" s="19" t="str">
        <f t="shared" si="1"/>
        <v> </v>
      </c>
      <c r="E3458" s="19" t="str">
        <f t="shared" si="2"/>
        <v> </v>
      </c>
      <c r="F3458" s="21"/>
    </row>
    <row r="3459">
      <c r="A3459" s="19">
        <v>15014.0</v>
      </c>
      <c r="B3459" s="19" t="s">
        <v>3484</v>
      </c>
      <c r="C3459" s="20">
        <v>29405.0</v>
      </c>
      <c r="D3459" s="19" t="str">
        <f t="shared" si="1"/>
        <v> </v>
      </c>
      <c r="E3459" s="19" t="str">
        <f t="shared" si="2"/>
        <v> </v>
      </c>
      <c r="F3459" s="21"/>
    </row>
    <row r="3460">
      <c r="A3460" s="19">
        <v>15015.0</v>
      </c>
      <c r="B3460" s="19" t="s">
        <v>3485</v>
      </c>
      <c r="C3460" s="20">
        <v>18019.0</v>
      </c>
      <c r="D3460" s="19" t="str">
        <f t="shared" si="1"/>
        <v> </v>
      </c>
      <c r="E3460" s="19" t="str">
        <f t="shared" si="2"/>
        <v> </v>
      </c>
      <c r="F3460" s="21"/>
    </row>
    <row r="3461">
      <c r="A3461" s="19">
        <v>15016.0</v>
      </c>
      <c r="B3461" s="19" t="s">
        <v>3486</v>
      </c>
      <c r="C3461" s="20">
        <v>21863.0</v>
      </c>
      <c r="D3461" s="19" t="str">
        <f t="shared" si="1"/>
        <v> </v>
      </c>
      <c r="E3461" s="19" t="str">
        <f t="shared" si="2"/>
        <v> </v>
      </c>
      <c r="F3461" s="21"/>
    </row>
    <row r="3462">
      <c r="A3462" s="19">
        <v>15017.0</v>
      </c>
      <c r="B3462" s="19" t="s">
        <v>3487</v>
      </c>
      <c r="C3462" s="20">
        <v>16600.0</v>
      </c>
      <c r="D3462" s="19" t="str">
        <f t="shared" si="1"/>
        <v> </v>
      </c>
      <c r="E3462" s="19" t="str">
        <f t="shared" si="2"/>
        <v> </v>
      </c>
      <c r="F3462" s="21"/>
    </row>
    <row r="3463">
      <c r="A3463" s="19">
        <v>15018.0</v>
      </c>
      <c r="B3463" s="19" t="s">
        <v>3488</v>
      </c>
      <c r="C3463" s="20">
        <v>36126.0</v>
      </c>
      <c r="D3463" s="19" t="str">
        <f t="shared" si="1"/>
        <v> </v>
      </c>
      <c r="E3463" s="19" t="str">
        <f t="shared" si="2"/>
        <v> </v>
      </c>
      <c r="F3463" s="21"/>
    </row>
    <row r="3464">
      <c r="A3464" s="19">
        <v>15019.0</v>
      </c>
      <c r="B3464" s="19" t="s">
        <v>3489</v>
      </c>
      <c r="C3464" s="20">
        <v>17095.0</v>
      </c>
      <c r="D3464" s="19" t="str">
        <f t="shared" si="1"/>
        <v> </v>
      </c>
      <c r="E3464" s="19" t="str">
        <f t="shared" si="2"/>
        <v> </v>
      </c>
      <c r="F3464" s="21"/>
    </row>
    <row r="3465">
      <c r="A3465" s="19">
        <v>15020.0</v>
      </c>
      <c r="B3465" s="19" t="s">
        <v>3490</v>
      </c>
      <c r="C3465" s="20">
        <v>30728.0</v>
      </c>
      <c r="D3465" s="19" t="str">
        <f t="shared" si="1"/>
        <v> </v>
      </c>
      <c r="E3465" s="19" t="str">
        <f t="shared" si="2"/>
        <v> </v>
      </c>
      <c r="F3465" s="21"/>
    </row>
    <row r="3466">
      <c r="A3466" s="19">
        <v>15021.0</v>
      </c>
      <c r="B3466" s="19" t="s">
        <v>3491</v>
      </c>
      <c r="C3466" s="20">
        <v>35140.0</v>
      </c>
      <c r="D3466" s="19" t="str">
        <f t="shared" si="1"/>
        <v> </v>
      </c>
      <c r="E3466" s="19" t="str">
        <f t="shared" si="2"/>
        <v> </v>
      </c>
      <c r="F3466" s="21"/>
    </row>
    <row r="3467">
      <c r="A3467" s="19">
        <v>15022.0</v>
      </c>
      <c r="B3467" s="19" t="s">
        <v>3492</v>
      </c>
      <c r="C3467" s="20">
        <v>24348.0</v>
      </c>
      <c r="D3467" s="19" t="str">
        <f t="shared" si="1"/>
        <v> </v>
      </c>
      <c r="E3467" s="19" t="str">
        <f t="shared" si="2"/>
        <v> </v>
      </c>
      <c r="F3467" s="21"/>
    </row>
    <row r="3468">
      <c r="A3468" s="19">
        <v>15023.0</v>
      </c>
      <c r="B3468" s="19" t="s">
        <v>3493</v>
      </c>
      <c r="C3468" s="20">
        <v>24210.0</v>
      </c>
      <c r="D3468" s="19" t="str">
        <f t="shared" si="1"/>
        <v> </v>
      </c>
      <c r="E3468" s="19" t="str">
        <f t="shared" si="2"/>
        <v> </v>
      </c>
      <c r="F3468" s="21"/>
    </row>
    <row r="3469">
      <c r="A3469" s="19">
        <v>15024.0</v>
      </c>
      <c r="B3469" s="19" t="s">
        <v>3494</v>
      </c>
      <c r="C3469" s="20">
        <v>20328.0</v>
      </c>
      <c r="D3469" s="19" t="str">
        <f t="shared" si="1"/>
        <v> </v>
      </c>
      <c r="E3469" s="19" t="str">
        <f t="shared" si="2"/>
        <v> </v>
      </c>
      <c r="F3469" s="21"/>
    </row>
    <row r="3470">
      <c r="A3470" s="19">
        <v>15025.0</v>
      </c>
      <c r="B3470" s="19" t="s">
        <v>3495</v>
      </c>
      <c r="C3470" s="20">
        <v>28116.0</v>
      </c>
      <c r="D3470" s="19" t="str">
        <f t="shared" si="1"/>
        <v> </v>
      </c>
      <c r="E3470" s="19" t="str">
        <f t="shared" si="2"/>
        <v> </v>
      </c>
      <c r="F3470" s="21"/>
    </row>
    <row r="3471">
      <c r="A3471" s="19">
        <v>15026.0</v>
      </c>
      <c r="B3471" s="19" t="s">
        <v>3496</v>
      </c>
      <c r="C3471" s="20">
        <v>18304.0</v>
      </c>
      <c r="D3471" s="19" t="str">
        <f t="shared" si="1"/>
        <v> </v>
      </c>
      <c r="E3471" s="19" t="str">
        <f t="shared" si="2"/>
        <v> </v>
      </c>
      <c r="F3471" s="21"/>
    </row>
    <row r="3472">
      <c r="A3472" s="19">
        <v>15027.0</v>
      </c>
      <c r="B3472" s="19" t="s">
        <v>3497</v>
      </c>
      <c r="C3472" s="20">
        <v>27180.0</v>
      </c>
      <c r="D3472" s="19" t="str">
        <f t="shared" si="1"/>
        <v> </v>
      </c>
      <c r="E3472" s="19" t="str">
        <f t="shared" si="2"/>
        <v> </v>
      </c>
      <c r="F3472" s="21"/>
    </row>
    <row r="3473">
      <c r="A3473" s="19">
        <v>15029.0</v>
      </c>
      <c r="B3473" s="19" t="s">
        <v>3498</v>
      </c>
      <c r="C3473" s="20">
        <v>12902.0</v>
      </c>
      <c r="D3473" s="19" t="str">
        <f t="shared" si="1"/>
        <v> </v>
      </c>
      <c r="E3473" s="19" t="str">
        <f t="shared" si="2"/>
        <v> </v>
      </c>
      <c r="F3473" s="21"/>
    </row>
    <row r="3474">
      <c r="A3474" s="19">
        <v>15034.0</v>
      </c>
      <c r="B3474" s="19" t="s">
        <v>3499</v>
      </c>
      <c r="C3474" s="20">
        <v>21077.0</v>
      </c>
      <c r="D3474" s="19" t="str">
        <f t="shared" si="1"/>
        <v> </v>
      </c>
      <c r="E3474" s="19" t="str">
        <f t="shared" si="2"/>
        <v> </v>
      </c>
      <c r="F3474" s="21"/>
    </row>
    <row r="3475">
      <c r="A3475" s="19">
        <v>15035.0</v>
      </c>
      <c r="B3475" s="19" t="s">
        <v>3500</v>
      </c>
      <c r="C3475" s="20">
        <v>30742.0</v>
      </c>
      <c r="D3475" s="19" t="str">
        <f t="shared" si="1"/>
        <v> </v>
      </c>
      <c r="E3475" s="19" t="str">
        <f t="shared" si="2"/>
        <v> </v>
      </c>
      <c r="F3475" s="21"/>
    </row>
    <row r="3476">
      <c r="A3476" s="19">
        <v>15037.0</v>
      </c>
      <c r="B3476" s="19" t="s">
        <v>3501</v>
      </c>
      <c r="C3476" s="20">
        <v>33757.0</v>
      </c>
      <c r="D3476" s="19" t="str">
        <f t="shared" si="1"/>
        <v> </v>
      </c>
      <c r="E3476" s="19" t="str">
        <f t="shared" si="2"/>
        <v> </v>
      </c>
      <c r="F3476" s="21"/>
    </row>
    <row r="3477">
      <c r="A3477" s="19">
        <v>15038.0</v>
      </c>
      <c r="B3477" s="19" t="s">
        <v>3502</v>
      </c>
      <c r="C3477" s="20">
        <v>25266.0</v>
      </c>
      <c r="D3477" s="19" t="str">
        <f t="shared" si="1"/>
        <v> </v>
      </c>
      <c r="E3477" s="19" t="str">
        <f t="shared" si="2"/>
        <v> </v>
      </c>
      <c r="F3477" s="21"/>
    </row>
    <row r="3478">
      <c r="A3478" s="19">
        <v>15039.0</v>
      </c>
      <c r="B3478" s="19" t="s">
        <v>3503</v>
      </c>
      <c r="C3478" s="20">
        <v>19466.0</v>
      </c>
      <c r="D3478" s="19" t="str">
        <f t="shared" si="1"/>
        <v> </v>
      </c>
      <c r="E3478" s="19" t="str">
        <f t="shared" si="2"/>
        <v> </v>
      </c>
      <c r="F3478" s="21"/>
    </row>
    <row r="3479">
      <c r="A3479" s="19">
        <v>15040.0</v>
      </c>
      <c r="B3479" s="19" t="s">
        <v>3504</v>
      </c>
      <c r="C3479" s="20">
        <v>19481.0</v>
      </c>
      <c r="D3479" s="19" t="str">
        <f t="shared" si="1"/>
        <v> </v>
      </c>
      <c r="E3479" s="19" t="str">
        <f t="shared" si="2"/>
        <v> </v>
      </c>
      <c r="F3479" s="21"/>
    </row>
    <row r="3480">
      <c r="A3480" s="19">
        <v>15042.0</v>
      </c>
      <c r="B3480" s="19" t="s">
        <v>3505</v>
      </c>
      <c r="C3480" s="20">
        <v>23157.0</v>
      </c>
      <c r="D3480" s="19" t="str">
        <f t="shared" si="1"/>
        <v> </v>
      </c>
      <c r="E3480" s="19" t="str">
        <f t="shared" si="2"/>
        <v> </v>
      </c>
      <c r="F3480" s="21"/>
    </row>
    <row r="3481">
      <c r="A3481" s="19">
        <v>15043.0</v>
      </c>
      <c r="B3481" s="19" t="s">
        <v>3506</v>
      </c>
      <c r="C3481" s="20">
        <v>21551.0</v>
      </c>
      <c r="D3481" s="19" t="str">
        <f t="shared" si="1"/>
        <v> </v>
      </c>
      <c r="E3481" s="19" t="str">
        <f t="shared" si="2"/>
        <v> </v>
      </c>
      <c r="F3481" s="21"/>
    </row>
    <row r="3482">
      <c r="A3482" s="19">
        <v>15044.0</v>
      </c>
      <c r="B3482" s="19" t="s">
        <v>3507</v>
      </c>
      <c r="C3482" s="20">
        <v>21018.0</v>
      </c>
      <c r="D3482" s="19" t="str">
        <f t="shared" si="1"/>
        <v> </v>
      </c>
      <c r="E3482" s="19" t="str">
        <f t="shared" si="2"/>
        <v> </v>
      </c>
      <c r="F3482" s="21"/>
    </row>
    <row r="3483">
      <c r="A3483" s="19">
        <v>15045.0</v>
      </c>
      <c r="B3483" s="19" t="s">
        <v>3508</v>
      </c>
      <c r="C3483" s="20">
        <v>26844.0</v>
      </c>
      <c r="D3483" s="19" t="str">
        <f t="shared" si="1"/>
        <v> </v>
      </c>
      <c r="E3483" s="19" t="str">
        <f t="shared" si="2"/>
        <v> </v>
      </c>
      <c r="F3483" s="21"/>
    </row>
    <row r="3484">
      <c r="A3484" s="19">
        <v>15046.0</v>
      </c>
      <c r="B3484" s="19" t="s">
        <v>3509</v>
      </c>
      <c r="C3484" s="20">
        <v>35872.0</v>
      </c>
      <c r="D3484" s="19" t="str">
        <f t="shared" si="1"/>
        <v> </v>
      </c>
      <c r="E3484" s="19" t="str">
        <f t="shared" si="2"/>
        <v> </v>
      </c>
      <c r="F3484" s="21"/>
    </row>
    <row r="3485">
      <c r="A3485" s="19">
        <v>15047.0</v>
      </c>
      <c r="B3485" s="19" t="s">
        <v>3510</v>
      </c>
      <c r="C3485" s="20">
        <v>22682.0</v>
      </c>
      <c r="D3485" s="19" t="str">
        <f t="shared" si="1"/>
        <v> </v>
      </c>
      <c r="E3485" s="19" t="str">
        <f t="shared" si="2"/>
        <v> </v>
      </c>
      <c r="F3485" s="21"/>
    </row>
    <row r="3486">
      <c r="A3486" s="19">
        <v>15048.0</v>
      </c>
      <c r="B3486" s="19" t="s">
        <v>3511</v>
      </c>
      <c r="C3486" s="20">
        <v>23185.0</v>
      </c>
      <c r="D3486" s="19" t="str">
        <f t="shared" si="1"/>
        <v> </v>
      </c>
      <c r="E3486" s="19" t="str">
        <f t="shared" si="2"/>
        <v> </v>
      </c>
      <c r="F3486" s="21"/>
    </row>
    <row r="3487">
      <c r="A3487" s="19">
        <v>15049.0</v>
      </c>
      <c r="B3487" s="19" t="s">
        <v>3512</v>
      </c>
      <c r="C3487" s="20">
        <v>28441.0</v>
      </c>
      <c r="D3487" s="19" t="str">
        <f t="shared" si="1"/>
        <v> </v>
      </c>
      <c r="E3487" s="19" t="str">
        <f t="shared" si="2"/>
        <v> </v>
      </c>
      <c r="F3487" s="21"/>
    </row>
    <row r="3488">
      <c r="A3488" s="19">
        <v>15050.0</v>
      </c>
      <c r="B3488" s="19" t="s">
        <v>3513</v>
      </c>
      <c r="C3488" s="20">
        <v>17562.0</v>
      </c>
      <c r="D3488" s="19" t="str">
        <f t="shared" si="1"/>
        <v> </v>
      </c>
      <c r="E3488" s="19" t="str">
        <f t="shared" si="2"/>
        <v> </v>
      </c>
      <c r="F3488" s="21"/>
    </row>
    <row r="3489">
      <c r="A3489" s="19">
        <v>15051.0</v>
      </c>
      <c r="B3489" s="19" t="s">
        <v>3514</v>
      </c>
      <c r="C3489" s="20">
        <v>29267.0</v>
      </c>
      <c r="D3489" s="19" t="str">
        <f t="shared" si="1"/>
        <v> </v>
      </c>
      <c r="E3489" s="19" t="str">
        <f t="shared" si="2"/>
        <v> </v>
      </c>
      <c r="F3489" s="21"/>
    </row>
    <row r="3490">
      <c r="A3490" s="19">
        <v>15052.0</v>
      </c>
      <c r="B3490" s="19" t="s">
        <v>3515</v>
      </c>
      <c r="C3490" s="20">
        <v>25090.0</v>
      </c>
      <c r="D3490" s="19" t="str">
        <f t="shared" si="1"/>
        <v>Repeat</v>
      </c>
      <c r="E3490" s="19" t="str">
        <f t="shared" si="2"/>
        <v> </v>
      </c>
      <c r="F3490" s="21"/>
    </row>
    <row r="3491">
      <c r="A3491" s="19">
        <v>15053.0</v>
      </c>
      <c r="B3491" s="19" t="s">
        <v>3516</v>
      </c>
      <c r="C3491" s="20">
        <v>30016.0</v>
      </c>
      <c r="D3491" s="19" t="str">
        <f t="shared" si="1"/>
        <v> </v>
      </c>
      <c r="E3491" s="19" t="str">
        <f t="shared" si="2"/>
        <v> </v>
      </c>
      <c r="F3491" s="21"/>
    </row>
    <row r="3492">
      <c r="A3492" s="19">
        <v>15055.0</v>
      </c>
      <c r="B3492" s="19" t="s">
        <v>3517</v>
      </c>
      <c r="C3492" s="20">
        <v>19319.0</v>
      </c>
      <c r="D3492" s="19" t="str">
        <f t="shared" si="1"/>
        <v> </v>
      </c>
      <c r="E3492" s="19" t="str">
        <f t="shared" si="2"/>
        <v> </v>
      </c>
      <c r="F3492" s="21"/>
    </row>
    <row r="3493">
      <c r="A3493" s="19">
        <v>15056.0</v>
      </c>
      <c r="B3493" s="19" t="s">
        <v>3518</v>
      </c>
      <c r="C3493" s="20">
        <v>25150.0</v>
      </c>
      <c r="D3493" s="19" t="str">
        <f t="shared" si="1"/>
        <v> </v>
      </c>
      <c r="E3493" s="19" t="str">
        <f t="shared" si="2"/>
        <v> </v>
      </c>
      <c r="F3493" s="21"/>
    </row>
    <row r="3494">
      <c r="A3494" s="19">
        <v>15057.0</v>
      </c>
      <c r="B3494" s="19" t="s">
        <v>3519</v>
      </c>
      <c r="C3494" s="20">
        <v>28968.0</v>
      </c>
      <c r="D3494" s="19" t="str">
        <f t="shared" si="1"/>
        <v> </v>
      </c>
      <c r="E3494" s="19" t="str">
        <f t="shared" si="2"/>
        <v> </v>
      </c>
      <c r="F3494" s="21"/>
    </row>
    <row r="3495">
      <c r="A3495" s="19">
        <v>15058.0</v>
      </c>
      <c r="B3495" s="19" t="s">
        <v>3520</v>
      </c>
      <c r="C3495" s="20">
        <v>17778.0</v>
      </c>
      <c r="D3495" s="19" t="str">
        <f t="shared" si="1"/>
        <v> </v>
      </c>
      <c r="E3495" s="19" t="str">
        <f t="shared" si="2"/>
        <v> </v>
      </c>
      <c r="F3495" s="21"/>
    </row>
    <row r="3496">
      <c r="A3496" s="19">
        <v>15059.0</v>
      </c>
      <c r="B3496" s="19" t="s">
        <v>3521</v>
      </c>
      <c r="C3496" s="20">
        <v>19432.0</v>
      </c>
      <c r="D3496" s="19" t="str">
        <f t="shared" si="1"/>
        <v> </v>
      </c>
      <c r="E3496" s="19" t="str">
        <f t="shared" si="2"/>
        <v> </v>
      </c>
      <c r="F3496" s="21"/>
    </row>
    <row r="3497">
      <c r="A3497" s="19">
        <v>15060.0</v>
      </c>
      <c r="B3497" s="19" t="s">
        <v>3522</v>
      </c>
      <c r="C3497" s="20">
        <v>29497.0</v>
      </c>
      <c r="D3497" s="19" t="str">
        <f t="shared" si="1"/>
        <v> </v>
      </c>
      <c r="E3497" s="19" t="str">
        <f t="shared" si="2"/>
        <v> </v>
      </c>
      <c r="F3497" s="21"/>
    </row>
    <row r="3498">
      <c r="A3498" s="19">
        <v>15061.0</v>
      </c>
      <c r="B3498" s="19" t="s">
        <v>3523</v>
      </c>
      <c r="C3498" s="20">
        <v>18804.0</v>
      </c>
      <c r="D3498" s="19" t="str">
        <f t="shared" si="1"/>
        <v> </v>
      </c>
      <c r="E3498" s="19" t="str">
        <f t="shared" si="2"/>
        <v> </v>
      </c>
      <c r="F3498" s="21"/>
    </row>
    <row r="3499">
      <c r="A3499" s="19">
        <v>15062.0</v>
      </c>
      <c r="B3499" s="19" t="s">
        <v>3524</v>
      </c>
      <c r="C3499" s="20">
        <v>33154.0</v>
      </c>
      <c r="D3499" s="19" t="str">
        <f t="shared" si="1"/>
        <v> </v>
      </c>
      <c r="E3499" s="19" t="str">
        <f t="shared" si="2"/>
        <v> </v>
      </c>
      <c r="F3499" s="21"/>
    </row>
    <row r="3500">
      <c r="A3500" s="19">
        <v>15063.0</v>
      </c>
      <c r="B3500" s="19" t="s">
        <v>3525</v>
      </c>
      <c r="C3500" s="20">
        <v>9828.0</v>
      </c>
      <c r="D3500" s="19" t="str">
        <f t="shared" si="1"/>
        <v> </v>
      </c>
      <c r="E3500" s="19" t="str">
        <f t="shared" si="2"/>
        <v> </v>
      </c>
      <c r="F3500" s="21"/>
    </row>
    <row r="3501">
      <c r="A3501" s="19">
        <v>15064.0</v>
      </c>
      <c r="B3501" s="19" t="s">
        <v>3526</v>
      </c>
      <c r="C3501" s="20">
        <v>21462.0</v>
      </c>
      <c r="D3501" s="19" t="str">
        <f t="shared" si="1"/>
        <v> </v>
      </c>
      <c r="E3501" s="19" t="str">
        <f t="shared" si="2"/>
        <v> </v>
      </c>
      <c r="F3501" s="21"/>
    </row>
    <row r="3502">
      <c r="A3502" s="19">
        <v>15065.0</v>
      </c>
      <c r="B3502" s="19" t="s">
        <v>3527</v>
      </c>
      <c r="C3502" s="20">
        <v>34048.0</v>
      </c>
      <c r="D3502" s="19" t="str">
        <f t="shared" si="1"/>
        <v> </v>
      </c>
      <c r="E3502" s="19" t="str">
        <f t="shared" si="2"/>
        <v> </v>
      </c>
      <c r="F3502" s="21"/>
    </row>
    <row r="3503">
      <c r="A3503" s="19">
        <v>15066.0</v>
      </c>
      <c r="B3503" s="19" t="s">
        <v>3528</v>
      </c>
      <c r="C3503" s="20">
        <v>17769.0</v>
      </c>
      <c r="D3503" s="19" t="str">
        <f t="shared" si="1"/>
        <v> </v>
      </c>
      <c r="E3503" s="19" t="str">
        <f t="shared" si="2"/>
        <v> </v>
      </c>
      <c r="F3503" s="21"/>
    </row>
    <row r="3504">
      <c r="A3504" s="19">
        <v>15067.0</v>
      </c>
      <c r="B3504" s="19" t="s">
        <v>3529</v>
      </c>
      <c r="C3504" s="20">
        <v>25788.0</v>
      </c>
      <c r="D3504" s="19" t="str">
        <f t="shared" si="1"/>
        <v> </v>
      </c>
      <c r="E3504" s="19" t="str">
        <f t="shared" si="2"/>
        <v> </v>
      </c>
      <c r="F3504" s="21"/>
    </row>
    <row r="3505">
      <c r="A3505" s="19">
        <v>15068.0</v>
      </c>
      <c r="B3505" s="19" t="s">
        <v>3530</v>
      </c>
      <c r="C3505" s="20">
        <v>18271.0</v>
      </c>
      <c r="D3505" s="19" t="str">
        <f t="shared" si="1"/>
        <v> </v>
      </c>
      <c r="E3505" s="19" t="str">
        <f t="shared" si="2"/>
        <v> </v>
      </c>
      <c r="F3505" s="21"/>
    </row>
    <row r="3506">
      <c r="A3506" s="19">
        <v>15069.0</v>
      </c>
      <c r="B3506" s="19" t="s">
        <v>3531</v>
      </c>
      <c r="C3506" s="20">
        <v>17192.0</v>
      </c>
      <c r="D3506" s="19" t="str">
        <f t="shared" si="1"/>
        <v> </v>
      </c>
      <c r="E3506" s="19" t="str">
        <f t="shared" si="2"/>
        <v> </v>
      </c>
      <c r="F3506" s="21"/>
    </row>
    <row r="3507">
      <c r="A3507" s="19">
        <v>15071.0</v>
      </c>
      <c r="B3507" s="19" t="s">
        <v>3532</v>
      </c>
      <c r="C3507" s="20">
        <v>20355.0</v>
      </c>
      <c r="D3507" s="19" t="str">
        <f t="shared" si="1"/>
        <v> </v>
      </c>
      <c r="E3507" s="19" t="str">
        <f t="shared" si="2"/>
        <v> </v>
      </c>
      <c r="F3507" s="21"/>
    </row>
    <row r="3508">
      <c r="A3508" s="19">
        <v>15073.0</v>
      </c>
      <c r="B3508" s="19" t="s">
        <v>3533</v>
      </c>
      <c r="C3508" s="20">
        <v>29933.0</v>
      </c>
      <c r="D3508" s="19" t="str">
        <f t="shared" si="1"/>
        <v> </v>
      </c>
      <c r="E3508" s="19" t="str">
        <f t="shared" si="2"/>
        <v> </v>
      </c>
      <c r="F3508" s="21"/>
    </row>
    <row r="3509">
      <c r="A3509" s="19">
        <v>15074.0</v>
      </c>
      <c r="B3509" s="19" t="s">
        <v>3534</v>
      </c>
      <c r="C3509" s="20">
        <v>25987.0</v>
      </c>
      <c r="D3509" s="19" t="str">
        <f t="shared" si="1"/>
        <v> </v>
      </c>
      <c r="E3509" s="19" t="str">
        <f t="shared" si="2"/>
        <v> </v>
      </c>
      <c r="F3509" s="21"/>
    </row>
    <row r="3510">
      <c r="A3510" s="19">
        <v>15075.0</v>
      </c>
      <c r="B3510" s="19" t="s">
        <v>3535</v>
      </c>
      <c r="C3510" s="20">
        <v>19774.0</v>
      </c>
      <c r="D3510" s="19" t="str">
        <f t="shared" si="1"/>
        <v> </v>
      </c>
      <c r="E3510" s="19" t="str">
        <f t="shared" si="2"/>
        <v> </v>
      </c>
      <c r="F3510" s="21"/>
    </row>
    <row r="3511">
      <c r="A3511" s="19">
        <v>15076.0</v>
      </c>
      <c r="B3511" s="19" t="s">
        <v>3536</v>
      </c>
      <c r="C3511" s="20">
        <v>18452.0</v>
      </c>
      <c r="D3511" s="19" t="str">
        <f t="shared" si="1"/>
        <v> </v>
      </c>
      <c r="E3511" s="19" t="str">
        <f t="shared" si="2"/>
        <v> </v>
      </c>
      <c r="F3511" s="21"/>
    </row>
    <row r="3512">
      <c r="A3512" s="19">
        <v>15077.0</v>
      </c>
      <c r="B3512" s="19" t="s">
        <v>3537</v>
      </c>
      <c r="C3512" s="20">
        <v>20443.0</v>
      </c>
      <c r="D3512" s="19" t="str">
        <f t="shared" si="1"/>
        <v> </v>
      </c>
      <c r="E3512" s="19" t="str">
        <f t="shared" si="2"/>
        <v> </v>
      </c>
      <c r="F3512" s="21"/>
    </row>
    <row r="3513">
      <c r="A3513" s="19">
        <v>15078.0</v>
      </c>
      <c r="B3513" s="19" t="s">
        <v>3538</v>
      </c>
      <c r="C3513" s="20">
        <v>15861.0</v>
      </c>
      <c r="D3513" s="19" t="str">
        <f t="shared" si="1"/>
        <v> </v>
      </c>
      <c r="E3513" s="19" t="str">
        <f t="shared" si="2"/>
        <v> </v>
      </c>
      <c r="F3513" s="21"/>
    </row>
    <row r="3514">
      <c r="A3514" s="19">
        <v>15079.0</v>
      </c>
      <c r="B3514" s="19" t="s">
        <v>3539</v>
      </c>
      <c r="C3514" s="20">
        <v>33486.0</v>
      </c>
      <c r="D3514" s="19" t="str">
        <f t="shared" si="1"/>
        <v> </v>
      </c>
      <c r="E3514" s="19" t="str">
        <f t="shared" si="2"/>
        <v> </v>
      </c>
      <c r="F3514" s="21"/>
    </row>
    <row r="3515">
      <c r="A3515" s="19">
        <v>15080.0</v>
      </c>
      <c r="B3515" s="19" t="s">
        <v>3540</v>
      </c>
      <c r="C3515" s="20">
        <v>20785.0</v>
      </c>
      <c r="D3515" s="19" t="str">
        <f t="shared" si="1"/>
        <v> </v>
      </c>
      <c r="E3515" s="19" t="str">
        <f t="shared" si="2"/>
        <v> </v>
      </c>
      <c r="F3515" s="21"/>
    </row>
    <row r="3516">
      <c r="A3516" s="19">
        <v>15081.0</v>
      </c>
      <c r="B3516" s="19" t="s">
        <v>3541</v>
      </c>
      <c r="C3516" s="20">
        <v>22789.0</v>
      </c>
      <c r="D3516" s="19" t="str">
        <f t="shared" si="1"/>
        <v> </v>
      </c>
      <c r="E3516" s="19" t="str">
        <f t="shared" si="2"/>
        <v> </v>
      </c>
      <c r="F3516" s="21"/>
    </row>
    <row r="3517">
      <c r="A3517" s="19">
        <v>15082.0</v>
      </c>
      <c r="B3517" s="19" t="s">
        <v>3542</v>
      </c>
      <c r="C3517" s="20">
        <v>25570.0</v>
      </c>
      <c r="D3517" s="19" t="str">
        <f t="shared" si="1"/>
        <v> </v>
      </c>
      <c r="E3517" s="19" t="str">
        <f t="shared" si="2"/>
        <v> </v>
      </c>
      <c r="F3517" s="21"/>
    </row>
    <row r="3518">
      <c r="A3518" s="19">
        <v>15083.0</v>
      </c>
      <c r="B3518" s="19" t="s">
        <v>3543</v>
      </c>
      <c r="C3518" s="20">
        <v>16066.0</v>
      </c>
      <c r="D3518" s="19" t="str">
        <f t="shared" si="1"/>
        <v>Repeat</v>
      </c>
      <c r="E3518" s="19" t="str">
        <f t="shared" si="2"/>
        <v> </v>
      </c>
      <c r="F3518" s="21"/>
    </row>
    <row r="3519">
      <c r="A3519" s="19">
        <v>15084.0</v>
      </c>
      <c r="B3519" s="19" t="s">
        <v>3544</v>
      </c>
      <c r="C3519" s="20">
        <v>26866.0</v>
      </c>
      <c r="D3519" s="19" t="str">
        <f t="shared" si="1"/>
        <v> </v>
      </c>
      <c r="E3519" s="19" t="str">
        <f t="shared" si="2"/>
        <v> </v>
      </c>
      <c r="F3519" s="21"/>
    </row>
    <row r="3520">
      <c r="A3520" s="19">
        <v>15085.0</v>
      </c>
      <c r="B3520" s="19" t="s">
        <v>3545</v>
      </c>
      <c r="C3520" s="20">
        <v>14589.0</v>
      </c>
      <c r="D3520" s="19" t="str">
        <f t="shared" si="1"/>
        <v> </v>
      </c>
      <c r="E3520" s="19" t="str">
        <f t="shared" si="2"/>
        <v> </v>
      </c>
      <c r="F3520" s="21"/>
    </row>
    <row r="3521">
      <c r="A3521" s="19">
        <v>15087.0</v>
      </c>
      <c r="B3521" s="19" t="s">
        <v>3546</v>
      </c>
      <c r="C3521" s="20">
        <v>19663.0</v>
      </c>
      <c r="D3521" s="19" t="str">
        <f t="shared" si="1"/>
        <v> </v>
      </c>
      <c r="E3521" s="19" t="str">
        <f t="shared" si="2"/>
        <v> </v>
      </c>
      <c r="F3521" s="21"/>
    </row>
    <row r="3522">
      <c r="A3522" s="19">
        <v>15088.0</v>
      </c>
      <c r="B3522" s="19" t="s">
        <v>3547</v>
      </c>
      <c r="C3522" s="20">
        <v>27426.0</v>
      </c>
      <c r="D3522" s="19" t="str">
        <f t="shared" si="1"/>
        <v>Repeat</v>
      </c>
      <c r="E3522" s="19" t="str">
        <f t="shared" si="2"/>
        <v> </v>
      </c>
      <c r="F3522" s="21"/>
    </row>
    <row r="3523">
      <c r="A3523" s="19">
        <v>15090.0</v>
      </c>
      <c r="B3523" s="19" t="s">
        <v>3548</v>
      </c>
      <c r="C3523" s="20">
        <v>35383.0</v>
      </c>
      <c r="D3523" s="19" t="str">
        <f t="shared" si="1"/>
        <v> </v>
      </c>
      <c r="E3523" s="19" t="str">
        <f t="shared" si="2"/>
        <v> </v>
      </c>
      <c r="F3523" s="21"/>
    </row>
    <row r="3524">
      <c r="A3524" s="19">
        <v>15091.0</v>
      </c>
      <c r="B3524" s="19" t="s">
        <v>3549</v>
      </c>
      <c r="C3524" s="20">
        <v>18239.0</v>
      </c>
      <c r="D3524" s="19" t="str">
        <f t="shared" si="1"/>
        <v> </v>
      </c>
      <c r="E3524" s="19" t="str">
        <f t="shared" si="2"/>
        <v> </v>
      </c>
      <c r="F3524" s="21"/>
    </row>
    <row r="3525">
      <c r="A3525" s="19">
        <v>15092.0</v>
      </c>
      <c r="B3525" s="19" t="s">
        <v>3550</v>
      </c>
      <c r="C3525" s="20">
        <v>21711.0</v>
      </c>
      <c r="D3525" s="19" t="str">
        <f t="shared" si="1"/>
        <v> </v>
      </c>
      <c r="E3525" s="19" t="str">
        <f t="shared" si="2"/>
        <v> </v>
      </c>
      <c r="F3525" s="21"/>
    </row>
    <row r="3526">
      <c r="A3526" s="19">
        <v>15093.0</v>
      </c>
      <c r="B3526" s="19" t="s">
        <v>3551</v>
      </c>
      <c r="C3526" s="20">
        <v>22471.0</v>
      </c>
      <c r="D3526" s="19" t="str">
        <f t="shared" si="1"/>
        <v> </v>
      </c>
      <c r="E3526" s="19" t="str">
        <f t="shared" si="2"/>
        <v> </v>
      </c>
      <c r="F3526" s="21"/>
    </row>
    <row r="3527">
      <c r="A3527" s="19">
        <v>15094.0</v>
      </c>
      <c r="B3527" s="19" t="s">
        <v>3552</v>
      </c>
      <c r="C3527" s="20">
        <v>30844.0</v>
      </c>
      <c r="D3527" s="19" t="str">
        <f t="shared" si="1"/>
        <v> </v>
      </c>
      <c r="E3527" s="19" t="str">
        <f t="shared" si="2"/>
        <v> </v>
      </c>
      <c r="F3527" s="21"/>
    </row>
    <row r="3528">
      <c r="A3528" s="19">
        <v>15095.0</v>
      </c>
      <c r="B3528" s="19" t="s">
        <v>3553</v>
      </c>
      <c r="C3528" s="20">
        <v>10932.0</v>
      </c>
      <c r="D3528" s="19" t="str">
        <f t="shared" si="1"/>
        <v> </v>
      </c>
      <c r="E3528" s="19" t="str">
        <f t="shared" si="2"/>
        <v> </v>
      </c>
      <c r="F3528" s="21"/>
    </row>
    <row r="3529">
      <c r="A3529" s="19">
        <v>15096.0</v>
      </c>
      <c r="B3529" s="19" t="s">
        <v>3554</v>
      </c>
      <c r="C3529" s="20">
        <v>36241.0</v>
      </c>
      <c r="D3529" s="19" t="str">
        <f t="shared" si="1"/>
        <v> </v>
      </c>
      <c r="E3529" s="19" t="str">
        <f t="shared" si="2"/>
        <v> </v>
      </c>
      <c r="F3529" s="21"/>
    </row>
    <row r="3530">
      <c r="A3530" s="19">
        <v>15097.0</v>
      </c>
      <c r="B3530" s="19" t="s">
        <v>3555</v>
      </c>
      <c r="C3530" s="20">
        <v>35193.0</v>
      </c>
      <c r="D3530" s="19" t="str">
        <f t="shared" si="1"/>
        <v> </v>
      </c>
      <c r="E3530" s="19" t="str">
        <f t="shared" si="2"/>
        <v> </v>
      </c>
      <c r="F3530" s="21"/>
    </row>
    <row r="3531">
      <c r="A3531" s="19">
        <v>15098.0</v>
      </c>
      <c r="B3531" s="19" t="s">
        <v>3556</v>
      </c>
      <c r="C3531" s="20">
        <v>26742.0</v>
      </c>
      <c r="D3531" s="19" t="str">
        <f t="shared" si="1"/>
        <v> </v>
      </c>
      <c r="E3531" s="19" t="str">
        <f t="shared" si="2"/>
        <v> </v>
      </c>
      <c r="F3531" s="21"/>
    </row>
    <row r="3532">
      <c r="A3532" s="19">
        <v>15099.0</v>
      </c>
      <c r="B3532" s="19" t="s">
        <v>3557</v>
      </c>
      <c r="C3532" s="20">
        <v>23505.0</v>
      </c>
      <c r="D3532" s="19" t="str">
        <f t="shared" si="1"/>
        <v> </v>
      </c>
      <c r="E3532" s="19" t="str">
        <f t="shared" si="2"/>
        <v> </v>
      </c>
      <c r="F3532" s="21"/>
    </row>
    <row r="3533">
      <c r="A3533" s="19">
        <v>15100.0</v>
      </c>
      <c r="B3533" s="19" t="s">
        <v>3558</v>
      </c>
      <c r="C3533" s="20">
        <v>17562.0</v>
      </c>
      <c r="D3533" s="19" t="str">
        <f t="shared" si="1"/>
        <v> </v>
      </c>
      <c r="E3533" s="19" t="str">
        <f t="shared" si="2"/>
        <v> </v>
      </c>
      <c r="F3533" s="21"/>
    </row>
    <row r="3534">
      <c r="A3534" s="19">
        <v>15101.0</v>
      </c>
      <c r="B3534" s="19" t="s">
        <v>3559</v>
      </c>
      <c r="C3534" s="20">
        <v>34394.0</v>
      </c>
      <c r="D3534" s="19" t="str">
        <f t="shared" si="1"/>
        <v> </v>
      </c>
      <c r="E3534" s="19" t="str">
        <f t="shared" si="2"/>
        <v> </v>
      </c>
      <c r="F3534" s="21"/>
    </row>
    <row r="3535">
      <c r="A3535" s="19">
        <v>15102.0</v>
      </c>
      <c r="B3535" s="19" t="s">
        <v>3560</v>
      </c>
      <c r="C3535" s="20">
        <v>24527.0</v>
      </c>
      <c r="D3535" s="19" t="str">
        <f t="shared" si="1"/>
        <v> </v>
      </c>
      <c r="E3535" s="19" t="str">
        <f t="shared" si="2"/>
        <v> </v>
      </c>
      <c r="F3535" s="21"/>
    </row>
    <row r="3536">
      <c r="A3536" s="19">
        <v>15103.0</v>
      </c>
      <c r="B3536" s="19" t="s">
        <v>3561</v>
      </c>
      <c r="C3536" s="20">
        <v>23762.0</v>
      </c>
      <c r="D3536" s="19" t="str">
        <f t="shared" si="1"/>
        <v> </v>
      </c>
      <c r="E3536" s="19" t="str">
        <f t="shared" si="2"/>
        <v> </v>
      </c>
      <c r="F3536" s="21"/>
    </row>
    <row r="3537">
      <c r="A3537" s="19">
        <v>15104.0</v>
      </c>
      <c r="B3537" s="19" t="s">
        <v>3562</v>
      </c>
      <c r="C3537" s="20">
        <v>11623.0</v>
      </c>
      <c r="D3537" s="19" t="str">
        <f t="shared" si="1"/>
        <v> </v>
      </c>
      <c r="E3537" s="19" t="str">
        <f t="shared" si="2"/>
        <v> </v>
      </c>
      <c r="F3537" s="21"/>
    </row>
    <row r="3538">
      <c r="A3538" s="19">
        <v>15105.0</v>
      </c>
      <c r="B3538" s="19" t="s">
        <v>3563</v>
      </c>
      <c r="C3538" s="20">
        <v>26615.0</v>
      </c>
      <c r="D3538" s="19" t="str">
        <f t="shared" si="1"/>
        <v> </v>
      </c>
      <c r="E3538" s="19" t="str">
        <f t="shared" si="2"/>
        <v> </v>
      </c>
      <c r="F3538" s="21"/>
    </row>
    <row r="3539">
      <c r="A3539" s="19">
        <v>15106.0</v>
      </c>
      <c r="B3539" s="19" t="s">
        <v>3564</v>
      </c>
      <c r="C3539" s="20">
        <v>28454.0</v>
      </c>
      <c r="D3539" s="19" t="str">
        <f t="shared" si="1"/>
        <v> </v>
      </c>
      <c r="E3539" s="19" t="str">
        <f t="shared" si="2"/>
        <v> </v>
      </c>
      <c r="F3539" s="21"/>
    </row>
    <row r="3540">
      <c r="A3540" s="19">
        <v>15107.0</v>
      </c>
      <c r="B3540" s="19" t="s">
        <v>3565</v>
      </c>
      <c r="C3540" s="20">
        <v>21881.0</v>
      </c>
      <c r="D3540" s="19" t="str">
        <f t="shared" si="1"/>
        <v> </v>
      </c>
      <c r="E3540" s="19" t="str">
        <f t="shared" si="2"/>
        <v> </v>
      </c>
      <c r="F3540" s="21"/>
    </row>
    <row r="3541">
      <c r="A3541" s="19">
        <v>15108.0</v>
      </c>
      <c r="B3541" s="19" t="s">
        <v>3566</v>
      </c>
      <c r="C3541" s="20">
        <v>18112.0</v>
      </c>
      <c r="D3541" s="19" t="str">
        <f t="shared" si="1"/>
        <v> </v>
      </c>
      <c r="E3541" s="19" t="str">
        <f t="shared" si="2"/>
        <v> </v>
      </c>
      <c r="F3541" s="21"/>
    </row>
    <row r="3542">
      <c r="A3542" s="19">
        <v>15109.0</v>
      </c>
      <c r="B3542" s="19" t="s">
        <v>3567</v>
      </c>
      <c r="C3542" s="20">
        <v>32778.0</v>
      </c>
      <c r="D3542" s="19" t="str">
        <f t="shared" si="1"/>
        <v> </v>
      </c>
      <c r="E3542" s="19" t="str">
        <f t="shared" si="2"/>
        <v> </v>
      </c>
      <c r="F3542" s="21"/>
    </row>
    <row r="3543">
      <c r="A3543" s="19">
        <v>15110.0</v>
      </c>
      <c r="B3543" s="19" t="s">
        <v>3568</v>
      </c>
      <c r="C3543" s="20">
        <v>33816.0</v>
      </c>
      <c r="D3543" s="19" t="str">
        <f t="shared" si="1"/>
        <v> </v>
      </c>
      <c r="E3543" s="19" t="str">
        <f t="shared" si="2"/>
        <v> </v>
      </c>
      <c r="F3543" s="21"/>
    </row>
    <row r="3544">
      <c r="A3544" s="19">
        <v>15111.0</v>
      </c>
      <c r="B3544" s="19" t="s">
        <v>3569</v>
      </c>
      <c r="C3544" s="20">
        <v>30071.0</v>
      </c>
      <c r="D3544" s="19" t="str">
        <f t="shared" si="1"/>
        <v> </v>
      </c>
      <c r="E3544" s="19" t="str">
        <f t="shared" si="2"/>
        <v> </v>
      </c>
      <c r="F3544" s="21"/>
    </row>
    <row r="3545">
      <c r="A3545" s="19">
        <v>15112.0</v>
      </c>
      <c r="B3545" s="19" t="s">
        <v>3570</v>
      </c>
      <c r="C3545" s="20">
        <v>29153.0</v>
      </c>
      <c r="D3545" s="19" t="str">
        <f t="shared" si="1"/>
        <v> </v>
      </c>
      <c r="E3545" s="19" t="str">
        <f t="shared" si="2"/>
        <v> </v>
      </c>
      <c r="F3545" s="21"/>
    </row>
    <row r="3546">
      <c r="A3546" s="19">
        <v>15113.0</v>
      </c>
      <c r="B3546" s="19" t="s">
        <v>3571</v>
      </c>
      <c r="C3546" s="20">
        <v>34010.0</v>
      </c>
      <c r="D3546" s="19" t="str">
        <f t="shared" si="1"/>
        <v> </v>
      </c>
      <c r="E3546" s="19" t="str">
        <f t="shared" si="2"/>
        <v> </v>
      </c>
      <c r="F3546" s="21"/>
    </row>
    <row r="3547">
      <c r="A3547" s="19">
        <v>15114.0</v>
      </c>
      <c r="B3547" s="19" t="s">
        <v>3572</v>
      </c>
      <c r="C3547" s="20">
        <v>19454.0</v>
      </c>
      <c r="D3547" s="19" t="str">
        <f t="shared" si="1"/>
        <v> </v>
      </c>
      <c r="E3547" s="19" t="str">
        <f t="shared" si="2"/>
        <v> </v>
      </c>
      <c r="F3547" s="21"/>
    </row>
    <row r="3548">
      <c r="A3548" s="19">
        <v>15115.0</v>
      </c>
      <c r="B3548" s="19" t="s">
        <v>3573</v>
      </c>
      <c r="C3548" s="20">
        <v>30448.0</v>
      </c>
      <c r="D3548" s="19" t="str">
        <f t="shared" si="1"/>
        <v> </v>
      </c>
      <c r="E3548" s="19" t="str">
        <f t="shared" si="2"/>
        <v> </v>
      </c>
      <c r="F3548" s="21"/>
    </row>
    <row r="3549">
      <c r="A3549" s="19">
        <v>15117.0</v>
      </c>
      <c r="B3549" s="19" t="s">
        <v>3574</v>
      </c>
      <c r="C3549" s="20">
        <v>26375.0</v>
      </c>
      <c r="D3549" s="19" t="str">
        <f t="shared" si="1"/>
        <v> </v>
      </c>
      <c r="E3549" s="19" t="str">
        <f t="shared" si="2"/>
        <v> </v>
      </c>
      <c r="F3549" s="21"/>
    </row>
    <row r="3550">
      <c r="A3550" s="19">
        <v>15118.0</v>
      </c>
      <c r="B3550" s="19" t="s">
        <v>3575</v>
      </c>
      <c r="C3550" s="20">
        <v>24775.0</v>
      </c>
      <c r="D3550" s="19" t="str">
        <f t="shared" si="1"/>
        <v> </v>
      </c>
      <c r="E3550" s="19" t="str">
        <f t="shared" si="2"/>
        <v> </v>
      </c>
      <c r="F3550" s="21"/>
    </row>
    <row r="3551">
      <c r="A3551" s="19">
        <v>15119.0</v>
      </c>
      <c r="B3551" s="19" t="s">
        <v>3576</v>
      </c>
      <c r="C3551" s="20">
        <v>19946.0</v>
      </c>
      <c r="D3551" s="19" t="str">
        <f t="shared" si="1"/>
        <v> </v>
      </c>
      <c r="E3551" s="19" t="str">
        <f t="shared" si="2"/>
        <v> </v>
      </c>
      <c r="F3551" s="21"/>
    </row>
    <row r="3552">
      <c r="A3552" s="19">
        <v>15120.0</v>
      </c>
      <c r="B3552" s="19" t="s">
        <v>3577</v>
      </c>
      <c r="C3552" s="20">
        <v>12927.0</v>
      </c>
      <c r="D3552" s="19" t="str">
        <f t="shared" si="1"/>
        <v> </v>
      </c>
      <c r="E3552" s="19" t="str">
        <f t="shared" si="2"/>
        <v> </v>
      </c>
      <c r="F3552" s="21"/>
    </row>
    <row r="3553">
      <c r="A3553" s="19">
        <v>15121.0</v>
      </c>
      <c r="B3553" s="19" t="s">
        <v>3578</v>
      </c>
      <c r="C3553" s="20">
        <v>19974.0</v>
      </c>
      <c r="D3553" s="19" t="str">
        <f t="shared" si="1"/>
        <v> </v>
      </c>
      <c r="E3553" s="19" t="str">
        <f t="shared" si="2"/>
        <v> </v>
      </c>
      <c r="F3553" s="21"/>
    </row>
    <row r="3554">
      <c r="A3554" s="19">
        <v>15123.0</v>
      </c>
      <c r="B3554" s="19" t="s">
        <v>3579</v>
      </c>
      <c r="C3554" s="20">
        <v>26017.0</v>
      </c>
      <c r="D3554" s="19" t="str">
        <f t="shared" si="1"/>
        <v> </v>
      </c>
      <c r="E3554" s="19" t="str">
        <f t="shared" si="2"/>
        <v> </v>
      </c>
      <c r="F3554" s="21"/>
    </row>
    <row r="3555">
      <c r="A3555" s="19">
        <v>15125.0</v>
      </c>
      <c r="B3555" s="19" t="s">
        <v>3580</v>
      </c>
      <c r="C3555" s="20">
        <v>10171.0</v>
      </c>
      <c r="D3555" s="19" t="str">
        <f t="shared" si="1"/>
        <v> </v>
      </c>
      <c r="E3555" s="19" t="str">
        <f t="shared" si="2"/>
        <v> </v>
      </c>
      <c r="F3555" s="21"/>
    </row>
    <row r="3556">
      <c r="A3556" s="19">
        <v>15126.0</v>
      </c>
      <c r="B3556" s="19" t="s">
        <v>3581</v>
      </c>
      <c r="C3556" s="20">
        <v>23561.0</v>
      </c>
      <c r="D3556" s="19" t="str">
        <f t="shared" si="1"/>
        <v> </v>
      </c>
      <c r="E3556" s="19" t="str">
        <f t="shared" si="2"/>
        <v> </v>
      </c>
      <c r="F3556" s="21"/>
    </row>
    <row r="3557">
      <c r="A3557" s="19">
        <v>15127.0</v>
      </c>
      <c r="B3557" s="19" t="s">
        <v>3582</v>
      </c>
      <c r="C3557" s="20">
        <v>33993.0</v>
      </c>
      <c r="D3557" s="19" t="str">
        <f t="shared" si="1"/>
        <v> </v>
      </c>
      <c r="E3557" s="19" t="str">
        <f t="shared" si="2"/>
        <v> </v>
      </c>
      <c r="F3557" s="21"/>
    </row>
    <row r="3558">
      <c r="A3558" s="19">
        <v>15128.0</v>
      </c>
      <c r="B3558" s="19" t="s">
        <v>3583</v>
      </c>
      <c r="C3558" s="20">
        <v>18665.0</v>
      </c>
      <c r="D3558" s="19" t="str">
        <f t="shared" si="1"/>
        <v>Repeat</v>
      </c>
      <c r="E3558" s="19" t="str">
        <f t="shared" si="2"/>
        <v> </v>
      </c>
      <c r="F3558" s="21"/>
    </row>
    <row r="3559">
      <c r="A3559" s="19">
        <v>15129.0</v>
      </c>
      <c r="B3559" s="19" t="s">
        <v>3584</v>
      </c>
      <c r="C3559" s="20">
        <v>22829.0</v>
      </c>
      <c r="D3559" s="19" t="str">
        <f t="shared" si="1"/>
        <v> </v>
      </c>
      <c r="E3559" s="19" t="str">
        <f t="shared" si="2"/>
        <v> </v>
      </c>
      <c r="F3559" s="21"/>
    </row>
    <row r="3560">
      <c r="A3560" s="19">
        <v>15130.0</v>
      </c>
      <c r="B3560" s="19" t="s">
        <v>3585</v>
      </c>
      <c r="C3560" s="20">
        <v>28071.0</v>
      </c>
      <c r="D3560" s="19" t="str">
        <f t="shared" si="1"/>
        <v> </v>
      </c>
      <c r="E3560" s="19" t="str">
        <f t="shared" si="2"/>
        <v> </v>
      </c>
      <c r="F3560" s="21"/>
    </row>
    <row r="3561">
      <c r="A3561" s="19">
        <v>15131.0</v>
      </c>
      <c r="B3561" s="19" t="s">
        <v>3586</v>
      </c>
      <c r="C3561" s="20">
        <v>30469.0</v>
      </c>
      <c r="D3561" s="19" t="str">
        <f t="shared" si="1"/>
        <v> </v>
      </c>
      <c r="E3561" s="19" t="str">
        <f t="shared" si="2"/>
        <v> </v>
      </c>
      <c r="F3561" s="21"/>
    </row>
    <row r="3562">
      <c r="A3562" s="19">
        <v>15132.0</v>
      </c>
      <c r="B3562" s="19" t="s">
        <v>3587</v>
      </c>
      <c r="C3562" s="20">
        <v>24767.0</v>
      </c>
      <c r="D3562" s="19" t="str">
        <f t="shared" si="1"/>
        <v> </v>
      </c>
      <c r="E3562" s="19" t="str">
        <f t="shared" si="2"/>
        <v> </v>
      </c>
      <c r="F3562" s="21"/>
    </row>
    <row r="3563">
      <c r="A3563" s="19">
        <v>15137.0</v>
      </c>
      <c r="B3563" s="19" t="s">
        <v>3588</v>
      </c>
      <c r="C3563" s="20">
        <v>23319.0</v>
      </c>
      <c r="D3563" s="19" t="str">
        <f t="shared" si="1"/>
        <v> </v>
      </c>
      <c r="E3563" s="19" t="str">
        <f t="shared" si="2"/>
        <v> </v>
      </c>
      <c r="F3563" s="21"/>
    </row>
    <row r="3564">
      <c r="A3564" s="19">
        <v>15138.0</v>
      </c>
      <c r="B3564" s="19" t="s">
        <v>3589</v>
      </c>
      <c r="C3564" s="20">
        <v>29708.0</v>
      </c>
      <c r="D3564" s="19" t="str">
        <f t="shared" si="1"/>
        <v> </v>
      </c>
      <c r="E3564" s="19" t="str">
        <f t="shared" si="2"/>
        <v> </v>
      </c>
      <c r="F3564" s="21"/>
    </row>
    <row r="3565">
      <c r="A3565" s="19">
        <v>15140.0</v>
      </c>
      <c r="B3565" s="19" t="s">
        <v>3590</v>
      </c>
      <c r="C3565" s="20">
        <v>33545.0</v>
      </c>
      <c r="D3565" s="19" t="str">
        <f t="shared" si="1"/>
        <v> </v>
      </c>
      <c r="E3565" s="19" t="str">
        <f t="shared" si="2"/>
        <v> </v>
      </c>
      <c r="F3565" s="21"/>
    </row>
    <row r="3566">
      <c r="A3566" s="19">
        <v>15141.0</v>
      </c>
      <c r="B3566" s="19" t="s">
        <v>3591</v>
      </c>
      <c r="C3566" s="20">
        <v>36144.0</v>
      </c>
      <c r="D3566" s="19" t="str">
        <f t="shared" si="1"/>
        <v> </v>
      </c>
      <c r="E3566" s="19" t="str">
        <f t="shared" si="2"/>
        <v> </v>
      </c>
      <c r="F3566" s="21"/>
    </row>
    <row r="3567">
      <c r="A3567" s="19">
        <v>15142.0</v>
      </c>
      <c r="B3567" s="19" t="s">
        <v>3592</v>
      </c>
      <c r="C3567" s="20">
        <v>18887.0</v>
      </c>
      <c r="D3567" s="19" t="str">
        <f t="shared" si="1"/>
        <v> </v>
      </c>
      <c r="E3567" s="19" t="str">
        <f t="shared" si="2"/>
        <v> </v>
      </c>
      <c r="F3567" s="21"/>
    </row>
    <row r="3568">
      <c r="A3568" s="19">
        <v>15143.0</v>
      </c>
      <c r="B3568" s="19" t="s">
        <v>3593</v>
      </c>
      <c r="C3568" s="20">
        <v>32861.0</v>
      </c>
      <c r="D3568" s="19" t="str">
        <f t="shared" si="1"/>
        <v> </v>
      </c>
      <c r="E3568" s="19" t="str">
        <f t="shared" si="2"/>
        <v> </v>
      </c>
      <c r="F3568" s="21"/>
    </row>
    <row r="3569">
      <c r="A3569" s="19">
        <v>15144.0</v>
      </c>
      <c r="B3569" s="19" t="s">
        <v>3594</v>
      </c>
      <c r="C3569" s="20">
        <v>24423.0</v>
      </c>
      <c r="D3569" s="19" t="str">
        <f t="shared" si="1"/>
        <v> </v>
      </c>
      <c r="E3569" s="19" t="str">
        <f t="shared" si="2"/>
        <v> </v>
      </c>
      <c r="F3569" s="21"/>
    </row>
    <row r="3570">
      <c r="A3570" s="19">
        <v>15145.0</v>
      </c>
      <c r="B3570" s="19" t="s">
        <v>3595</v>
      </c>
      <c r="C3570" s="20">
        <v>18524.0</v>
      </c>
      <c r="D3570" s="19" t="str">
        <f t="shared" si="1"/>
        <v> </v>
      </c>
      <c r="E3570" s="19" t="str">
        <f t="shared" si="2"/>
        <v> </v>
      </c>
      <c r="F3570" s="21"/>
    </row>
    <row r="3571">
      <c r="A3571" s="19">
        <v>15146.0</v>
      </c>
      <c r="B3571" s="19" t="s">
        <v>3596</v>
      </c>
      <c r="C3571" s="20">
        <v>23030.0</v>
      </c>
      <c r="D3571" s="19" t="str">
        <f t="shared" si="1"/>
        <v> </v>
      </c>
      <c r="E3571" s="19" t="str">
        <f t="shared" si="2"/>
        <v> </v>
      </c>
      <c r="F3571" s="21"/>
    </row>
    <row r="3572">
      <c r="A3572" s="19">
        <v>15147.0</v>
      </c>
      <c r="B3572" s="19" t="s">
        <v>3597</v>
      </c>
      <c r="C3572" s="20">
        <v>27417.0</v>
      </c>
      <c r="D3572" s="19" t="str">
        <f t="shared" si="1"/>
        <v> </v>
      </c>
      <c r="E3572" s="19" t="str">
        <f t="shared" si="2"/>
        <v> </v>
      </c>
      <c r="F3572" s="21"/>
    </row>
    <row r="3573">
      <c r="A3573" s="19">
        <v>15148.0</v>
      </c>
      <c r="B3573" s="19" t="s">
        <v>3598</v>
      </c>
      <c r="C3573" s="20">
        <v>30621.0</v>
      </c>
      <c r="D3573" s="19" t="str">
        <f t="shared" si="1"/>
        <v> </v>
      </c>
      <c r="E3573" s="19" t="str">
        <f t="shared" si="2"/>
        <v> </v>
      </c>
      <c r="F3573" s="21"/>
    </row>
    <row r="3574">
      <c r="A3574" s="19">
        <v>15149.0</v>
      </c>
      <c r="B3574" s="19" t="s">
        <v>3599</v>
      </c>
      <c r="C3574" s="20">
        <v>23656.0</v>
      </c>
      <c r="D3574" s="19" t="str">
        <f t="shared" si="1"/>
        <v> </v>
      </c>
      <c r="E3574" s="19" t="str">
        <f t="shared" si="2"/>
        <v> </v>
      </c>
      <c r="F3574" s="21"/>
    </row>
    <row r="3575">
      <c r="A3575" s="19">
        <v>15151.0</v>
      </c>
      <c r="B3575" s="19" t="s">
        <v>3600</v>
      </c>
      <c r="C3575" s="20">
        <v>30503.0</v>
      </c>
      <c r="D3575" s="19" t="str">
        <f t="shared" si="1"/>
        <v> </v>
      </c>
      <c r="E3575" s="19" t="str">
        <f t="shared" si="2"/>
        <v> </v>
      </c>
      <c r="F3575" s="21"/>
    </row>
    <row r="3576">
      <c r="A3576" s="19">
        <v>15152.0</v>
      </c>
      <c r="B3576" s="19" t="s">
        <v>3601</v>
      </c>
      <c r="C3576" s="20">
        <v>26794.0</v>
      </c>
      <c r="D3576" s="19" t="str">
        <f t="shared" si="1"/>
        <v> </v>
      </c>
      <c r="E3576" s="19" t="str">
        <f t="shared" si="2"/>
        <v> </v>
      </c>
      <c r="F3576" s="21"/>
    </row>
    <row r="3577">
      <c r="A3577" s="19">
        <v>15154.0</v>
      </c>
      <c r="B3577" s="19" t="s">
        <v>3602</v>
      </c>
      <c r="C3577" s="20">
        <v>19976.0</v>
      </c>
      <c r="D3577" s="19" t="str">
        <f t="shared" si="1"/>
        <v> </v>
      </c>
      <c r="E3577" s="19" t="str">
        <f t="shared" si="2"/>
        <v> </v>
      </c>
      <c r="F3577" s="21"/>
    </row>
    <row r="3578">
      <c r="A3578" s="19">
        <v>15155.0</v>
      </c>
      <c r="B3578" s="19" t="s">
        <v>3603</v>
      </c>
      <c r="C3578" s="20">
        <v>20282.0</v>
      </c>
      <c r="D3578" s="19" t="str">
        <f t="shared" si="1"/>
        <v> </v>
      </c>
      <c r="E3578" s="19" t="str">
        <f t="shared" si="2"/>
        <v> </v>
      </c>
      <c r="F3578" s="21"/>
    </row>
    <row r="3579">
      <c r="A3579" s="19">
        <v>15157.0</v>
      </c>
      <c r="B3579" s="19" t="s">
        <v>3604</v>
      </c>
      <c r="C3579" s="20">
        <v>30883.0</v>
      </c>
      <c r="D3579" s="19" t="str">
        <f t="shared" si="1"/>
        <v>Repeat</v>
      </c>
      <c r="E3579" s="19" t="str">
        <f t="shared" si="2"/>
        <v> </v>
      </c>
      <c r="F3579" s="21"/>
    </row>
    <row r="3580">
      <c r="A3580" s="19">
        <v>15158.0</v>
      </c>
      <c r="B3580" s="19" t="s">
        <v>3605</v>
      </c>
      <c r="C3580" s="20">
        <v>22150.0</v>
      </c>
      <c r="D3580" s="19" t="str">
        <f t="shared" si="1"/>
        <v> </v>
      </c>
      <c r="E3580" s="19" t="str">
        <f t="shared" si="2"/>
        <v> </v>
      </c>
      <c r="F3580" s="21"/>
    </row>
    <row r="3581">
      <c r="A3581" s="19">
        <v>15159.0</v>
      </c>
      <c r="B3581" s="19" t="s">
        <v>3606</v>
      </c>
      <c r="C3581" s="20">
        <v>18926.0</v>
      </c>
      <c r="D3581" s="19" t="str">
        <f t="shared" si="1"/>
        <v> </v>
      </c>
      <c r="E3581" s="19" t="str">
        <f t="shared" si="2"/>
        <v> </v>
      </c>
      <c r="F3581" s="21"/>
    </row>
    <row r="3582">
      <c r="A3582" s="19">
        <v>15160.0</v>
      </c>
      <c r="B3582" s="19" t="s">
        <v>3607</v>
      </c>
      <c r="C3582" s="20">
        <v>29365.0</v>
      </c>
      <c r="D3582" s="19" t="str">
        <f t="shared" si="1"/>
        <v> </v>
      </c>
      <c r="E3582" s="19" t="str">
        <f t="shared" si="2"/>
        <v> </v>
      </c>
      <c r="F3582" s="21"/>
    </row>
    <row r="3583">
      <c r="A3583" s="19">
        <v>15161.0</v>
      </c>
      <c r="B3583" s="19" t="s">
        <v>3608</v>
      </c>
      <c r="C3583" s="20">
        <v>20281.0</v>
      </c>
      <c r="D3583" s="19" t="str">
        <f t="shared" si="1"/>
        <v> </v>
      </c>
      <c r="E3583" s="19" t="str">
        <f t="shared" si="2"/>
        <v> </v>
      </c>
      <c r="F3583" s="21"/>
    </row>
    <row r="3584">
      <c r="A3584" s="19">
        <v>15162.0</v>
      </c>
      <c r="B3584" s="19" t="s">
        <v>3609</v>
      </c>
      <c r="C3584" s="20">
        <v>27500.0</v>
      </c>
      <c r="D3584" s="19" t="str">
        <f t="shared" si="1"/>
        <v> </v>
      </c>
      <c r="E3584" s="19" t="str">
        <f t="shared" si="2"/>
        <v> </v>
      </c>
      <c r="F3584" s="21"/>
    </row>
    <row r="3585">
      <c r="A3585" s="19">
        <v>15163.0</v>
      </c>
      <c r="B3585" s="19" t="s">
        <v>3610</v>
      </c>
      <c r="C3585" s="20">
        <v>17848.0</v>
      </c>
      <c r="D3585" s="19" t="str">
        <f t="shared" si="1"/>
        <v> </v>
      </c>
      <c r="E3585" s="19" t="str">
        <f t="shared" si="2"/>
        <v> </v>
      </c>
      <c r="F3585" s="21"/>
    </row>
    <row r="3586">
      <c r="A3586" s="19">
        <v>15165.0</v>
      </c>
      <c r="B3586" s="19" t="s">
        <v>3611</v>
      </c>
      <c r="C3586" s="20">
        <v>29160.0</v>
      </c>
      <c r="D3586" s="19" t="str">
        <f t="shared" si="1"/>
        <v> </v>
      </c>
      <c r="E3586" s="19" t="str">
        <f t="shared" si="2"/>
        <v> </v>
      </c>
      <c r="F3586" s="21"/>
    </row>
    <row r="3587">
      <c r="A3587" s="19">
        <v>15166.0</v>
      </c>
      <c r="B3587" s="19" t="s">
        <v>3612</v>
      </c>
      <c r="C3587" s="20">
        <v>31734.0</v>
      </c>
      <c r="D3587" s="19" t="str">
        <f t="shared" si="1"/>
        <v> </v>
      </c>
      <c r="E3587" s="19" t="str">
        <f t="shared" si="2"/>
        <v> </v>
      </c>
      <c r="F3587" s="21"/>
    </row>
    <row r="3588">
      <c r="A3588" s="19">
        <v>15167.0</v>
      </c>
      <c r="B3588" s="19" t="s">
        <v>3613</v>
      </c>
      <c r="C3588" s="20">
        <v>23568.0</v>
      </c>
      <c r="D3588" s="19" t="str">
        <f t="shared" si="1"/>
        <v> </v>
      </c>
      <c r="E3588" s="19" t="str">
        <f t="shared" si="2"/>
        <v> </v>
      </c>
      <c r="F3588" s="21"/>
    </row>
    <row r="3589">
      <c r="A3589" s="19">
        <v>15168.0</v>
      </c>
      <c r="B3589" s="19" t="s">
        <v>3614</v>
      </c>
      <c r="C3589" s="20">
        <v>22447.0</v>
      </c>
      <c r="D3589" s="19" t="str">
        <f t="shared" si="1"/>
        <v> </v>
      </c>
      <c r="E3589" s="19" t="str">
        <f t="shared" si="2"/>
        <v> </v>
      </c>
      <c r="F3589" s="21"/>
    </row>
    <row r="3590">
      <c r="A3590" s="19">
        <v>15169.0</v>
      </c>
      <c r="B3590" s="19" t="s">
        <v>3615</v>
      </c>
      <c r="C3590" s="20">
        <v>15891.0</v>
      </c>
      <c r="D3590" s="19" t="str">
        <f t="shared" si="1"/>
        <v> </v>
      </c>
      <c r="E3590" s="19" t="str">
        <f t="shared" si="2"/>
        <v> </v>
      </c>
      <c r="F3590" s="21"/>
    </row>
    <row r="3591">
      <c r="A3591" s="19">
        <v>15170.0</v>
      </c>
      <c r="B3591" s="19" t="s">
        <v>3616</v>
      </c>
      <c r="C3591" s="20">
        <v>32692.0</v>
      </c>
      <c r="D3591" s="19" t="str">
        <f t="shared" si="1"/>
        <v> </v>
      </c>
      <c r="E3591" s="19" t="str">
        <f t="shared" si="2"/>
        <v> </v>
      </c>
      <c r="F3591" s="21"/>
    </row>
    <row r="3592">
      <c r="A3592" s="19">
        <v>15171.0</v>
      </c>
      <c r="B3592" s="19" t="s">
        <v>3617</v>
      </c>
      <c r="C3592" s="20">
        <v>24719.0</v>
      </c>
      <c r="D3592" s="19" t="str">
        <f t="shared" si="1"/>
        <v> </v>
      </c>
      <c r="E3592" s="19" t="str">
        <f t="shared" si="2"/>
        <v> </v>
      </c>
      <c r="F3592" s="21"/>
    </row>
    <row r="3593">
      <c r="A3593" s="19">
        <v>15172.0</v>
      </c>
      <c r="B3593" s="19" t="s">
        <v>3618</v>
      </c>
      <c r="C3593" s="20">
        <v>18118.0</v>
      </c>
      <c r="D3593" s="19" t="str">
        <f t="shared" si="1"/>
        <v> </v>
      </c>
      <c r="E3593" s="19" t="str">
        <f t="shared" si="2"/>
        <v> </v>
      </c>
      <c r="F3593" s="21"/>
    </row>
    <row r="3594">
      <c r="A3594" s="19">
        <v>15174.0</v>
      </c>
      <c r="B3594" s="19" t="s">
        <v>3619</v>
      </c>
      <c r="C3594" s="20">
        <v>29545.0</v>
      </c>
      <c r="D3594" s="19" t="str">
        <f t="shared" si="1"/>
        <v> </v>
      </c>
      <c r="E3594" s="19" t="str">
        <f t="shared" si="2"/>
        <v> </v>
      </c>
      <c r="F3594" s="21"/>
    </row>
    <row r="3595">
      <c r="A3595" s="19">
        <v>15175.0</v>
      </c>
      <c r="B3595" s="19" t="s">
        <v>3620</v>
      </c>
      <c r="C3595" s="20">
        <v>14364.0</v>
      </c>
      <c r="D3595" s="19" t="str">
        <f t="shared" si="1"/>
        <v> </v>
      </c>
      <c r="E3595" s="19" t="str">
        <f t="shared" si="2"/>
        <v> </v>
      </c>
      <c r="F3595" s="21"/>
    </row>
    <row r="3596">
      <c r="A3596" s="19">
        <v>15176.0</v>
      </c>
      <c r="B3596" s="19" t="s">
        <v>3621</v>
      </c>
      <c r="C3596" s="20">
        <v>26214.0</v>
      </c>
      <c r="D3596" s="19" t="str">
        <f t="shared" si="1"/>
        <v> </v>
      </c>
      <c r="E3596" s="19" t="str">
        <f t="shared" si="2"/>
        <v> </v>
      </c>
      <c r="F3596" s="21"/>
    </row>
    <row r="3597">
      <c r="A3597" s="19">
        <v>15177.0</v>
      </c>
      <c r="B3597" s="19" t="s">
        <v>3622</v>
      </c>
      <c r="C3597" s="20">
        <v>29204.0</v>
      </c>
      <c r="D3597" s="19" t="str">
        <f t="shared" si="1"/>
        <v> </v>
      </c>
      <c r="E3597" s="19" t="str">
        <f t="shared" si="2"/>
        <v> </v>
      </c>
      <c r="F3597" s="21"/>
    </row>
    <row r="3598">
      <c r="A3598" s="19">
        <v>15179.0</v>
      </c>
      <c r="B3598" s="19" t="s">
        <v>3623</v>
      </c>
      <c r="C3598" s="20">
        <v>30878.0</v>
      </c>
      <c r="D3598" s="19" t="str">
        <f t="shared" si="1"/>
        <v> </v>
      </c>
      <c r="E3598" s="19" t="str">
        <f t="shared" si="2"/>
        <v> </v>
      </c>
      <c r="F3598" s="21"/>
    </row>
    <row r="3599">
      <c r="A3599" s="19">
        <v>15180.0</v>
      </c>
      <c r="B3599" s="19" t="s">
        <v>3624</v>
      </c>
      <c r="C3599" s="20">
        <v>28162.0</v>
      </c>
      <c r="D3599" s="19" t="str">
        <f t="shared" si="1"/>
        <v> </v>
      </c>
      <c r="E3599" s="19" t="str">
        <f t="shared" si="2"/>
        <v> </v>
      </c>
      <c r="F3599" s="21"/>
    </row>
    <row r="3600">
      <c r="A3600" s="19">
        <v>15181.0</v>
      </c>
      <c r="B3600" s="19" t="s">
        <v>3625</v>
      </c>
      <c r="C3600" s="20">
        <v>25311.0</v>
      </c>
      <c r="D3600" s="19" t="str">
        <f t="shared" si="1"/>
        <v> </v>
      </c>
      <c r="E3600" s="19" t="str">
        <f t="shared" si="2"/>
        <v> </v>
      </c>
      <c r="F3600" s="21"/>
    </row>
    <row r="3601">
      <c r="A3601" s="19">
        <v>15182.0</v>
      </c>
      <c r="B3601" s="19" t="s">
        <v>3626</v>
      </c>
      <c r="C3601" s="20">
        <v>12291.0</v>
      </c>
      <c r="D3601" s="19" t="str">
        <f t="shared" si="1"/>
        <v> </v>
      </c>
      <c r="E3601" s="19" t="str">
        <f t="shared" si="2"/>
        <v> </v>
      </c>
      <c r="F3601" s="21"/>
    </row>
    <row r="3602">
      <c r="A3602" s="19">
        <v>15183.0</v>
      </c>
      <c r="B3602" s="19" t="s">
        <v>3627</v>
      </c>
      <c r="C3602" s="20">
        <v>28839.0</v>
      </c>
      <c r="D3602" s="19" t="str">
        <f t="shared" si="1"/>
        <v> </v>
      </c>
      <c r="E3602" s="19" t="str">
        <f t="shared" si="2"/>
        <v> </v>
      </c>
      <c r="F3602" s="21"/>
    </row>
    <row r="3603">
      <c r="A3603" s="19">
        <v>15184.0</v>
      </c>
      <c r="B3603" s="19" t="s">
        <v>3628</v>
      </c>
      <c r="C3603" s="20">
        <v>18432.0</v>
      </c>
      <c r="D3603" s="19" t="str">
        <f t="shared" si="1"/>
        <v> </v>
      </c>
      <c r="E3603" s="19" t="str">
        <f t="shared" si="2"/>
        <v> </v>
      </c>
      <c r="F3603" s="21"/>
    </row>
    <row r="3604">
      <c r="A3604" s="19">
        <v>15185.0</v>
      </c>
      <c r="B3604" s="19" t="s">
        <v>3629</v>
      </c>
      <c r="C3604" s="20">
        <v>29050.0</v>
      </c>
      <c r="D3604" s="19" t="str">
        <f t="shared" si="1"/>
        <v> </v>
      </c>
      <c r="E3604" s="19" t="str">
        <f t="shared" si="2"/>
        <v> </v>
      </c>
      <c r="F3604" s="21"/>
    </row>
    <row r="3605">
      <c r="A3605" s="19">
        <v>15187.0</v>
      </c>
      <c r="B3605" s="19" t="s">
        <v>3630</v>
      </c>
      <c r="C3605" s="20">
        <v>28292.0</v>
      </c>
      <c r="D3605" s="19" t="str">
        <f t="shared" si="1"/>
        <v> </v>
      </c>
      <c r="E3605" s="19" t="str">
        <f t="shared" si="2"/>
        <v> </v>
      </c>
      <c r="F3605" s="21"/>
    </row>
    <row r="3606">
      <c r="A3606" s="19">
        <v>15188.0</v>
      </c>
      <c r="B3606" s="19" t="s">
        <v>3631</v>
      </c>
      <c r="C3606" s="20">
        <v>18306.0</v>
      </c>
      <c r="D3606" s="19" t="str">
        <f t="shared" si="1"/>
        <v> </v>
      </c>
      <c r="E3606" s="19" t="str">
        <f t="shared" si="2"/>
        <v> </v>
      </c>
      <c r="F3606" s="21"/>
    </row>
    <row r="3607">
      <c r="A3607" s="19">
        <v>15189.0</v>
      </c>
      <c r="B3607" s="19" t="s">
        <v>3632</v>
      </c>
      <c r="C3607" s="20">
        <v>28852.0</v>
      </c>
      <c r="D3607" s="19" t="str">
        <f t="shared" si="1"/>
        <v> </v>
      </c>
      <c r="E3607" s="19" t="str">
        <f t="shared" si="2"/>
        <v> </v>
      </c>
      <c r="F3607" s="21"/>
    </row>
    <row r="3608">
      <c r="A3608" s="19">
        <v>15190.0</v>
      </c>
      <c r="B3608" s="19" t="s">
        <v>3633</v>
      </c>
      <c r="C3608" s="20">
        <v>11783.0</v>
      </c>
      <c r="D3608" s="19" t="str">
        <f t="shared" si="1"/>
        <v> </v>
      </c>
      <c r="E3608" s="19" t="str">
        <f t="shared" si="2"/>
        <v> </v>
      </c>
      <c r="F3608" s="21"/>
    </row>
    <row r="3609">
      <c r="A3609" s="19">
        <v>15192.0</v>
      </c>
      <c r="B3609" s="19" t="s">
        <v>3634</v>
      </c>
      <c r="C3609" s="20">
        <v>25618.0</v>
      </c>
      <c r="D3609" s="19" t="str">
        <f t="shared" si="1"/>
        <v> </v>
      </c>
      <c r="E3609" s="19" t="str">
        <f t="shared" si="2"/>
        <v> </v>
      </c>
      <c r="F3609" s="21"/>
    </row>
    <row r="3610">
      <c r="A3610" s="19">
        <v>15195.0</v>
      </c>
      <c r="B3610" s="19" t="s">
        <v>3635</v>
      </c>
      <c r="C3610" s="20">
        <v>33286.0</v>
      </c>
      <c r="D3610" s="19" t="str">
        <f t="shared" si="1"/>
        <v> </v>
      </c>
      <c r="E3610" s="19" t="str">
        <f t="shared" si="2"/>
        <v> </v>
      </c>
      <c r="F3610" s="21"/>
    </row>
    <row r="3611">
      <c r="A3611" s="19">
        <v>15196.0</v>
      </c>
      <c r="B3611" s="19" t="s">
        <v>3636</v>
      </c>
      <c r="C3611" s="20">
        <v>35144.0</v>
      </c>
      <c r="D3611" s="19" t="str">
        <f t="shared" si="1"/>
        <v> </v>
      </c>
      <c r="E3611" s="19" t="str">
        <f t="shared" si="2"/>
        <v> </v>
      </c>
      <c r="F3611" s="21"/>
    </row>
    <row r="3612">
      <c r="A3612" s="19">
        <v>15197.0</v>
      </c>
      <c r="B3612" s="19" t="s">
        <v>3637</v>
      </c>
      <c r="C3612" s="20">
        <v>26093.0</v>
      </c>
      <c r="D3612" s="19" t="str">
        <f t="shared" si="1"/>
        <v> </v>
      </c>
      <c r="E3612" s="19" t="str">
        <f t="shared" si="2"/>
        <v> </v>
      </c>
      <c r="F3612" s="21"/>
    </row>
    <row r="3613">
      <c r="A3613" s="19">
        <v>15198.0</v>
      </c>
      <c r="B3613" s="19" t="s">
        <v>3638</v>
      </c>
      <c r="C3613" s="20">
        <v>21482.0</v>
      </c>
      <c r="D3613" s="19" t="str">
        <f t="shared" si="1"/>
        <v> </v>
      </c>
      <c r="E3613" s="19" t="str">
        <f t="shared" si="2"/>
        <v> </v>
      </c>
      <c r="F3613" s="21"/>
    </row>
    <row r="3614">
      <c r="A3614" s="19">
        <v>15199.0</v>
      </c>
      <c r="B3614" s="19" t="s">
        <v>3639</v>
      </c>
      <c r="C3614" s="20">
        <v>24046.0</v>
      </c>
      <c r="D3614" s="19" t="str">
        <f t="shared" si="1"/>
        <v> </v>
      </c>
      <c r="E3614" s="19" t="str">
        <f t="shared" si="2"/>
        <v> </v>
      </c>
      <c r="F3614" s="21"/>
    </row>
    <row r="3615">
      <c r="A3615" s="19">
        <v>15201.0</v>
      </c>
      <c r="B3615" s="19" t="s">
        <v>3640</v>
      </c>
      <c r="C3615" s="20">
        <v>22096.0</v>
      </c>
      <c r="D3615" s="19" t="str">
        <f t="shared" si="1"/>
        <v> </v>
      </c>
      <c r="E3615" s="19" t="str">
        <f t="shared" si="2"/>
        <v> </v>
      </c>
      <c r="F3615" s="21"/>
    </row>
    <row r="3616">
      <c r="A3616" s="19">
        <v>15202.0</v>
      </c>
      <c r="B3616" s="19" t="s">
        <v>3641</v>
      </c>
      <c r="C3616" s="20">
        <v>28284.0</v>
      </c>
      <c r="D3616" s="19" t="str">
        <f t="shared" si="1"/>
        <v> </v>
      </c>
      <c r="E3616" s="19" t="str">
        <f t="shared" si="2"/>
        <v> </v>
      </c>
      <c r="F3616" s="21"/>
    </row>
    <row r="3617">
      <c r="A3617" s="19">
        <v>15203.0</v>
      </c>
      <c r="B3617" s="19" t="s">
        <v>3642</v>
      </c>
      <c r="C3617" s="20">
        <v>28280.0</v>
      </c>
      <c r="D3617" s="19" t="str">
        <f t="shared" si="1"/>
        <v> </v>
      </c>
      <c r="E3617" s="19" t="str">
        <f t="shared" si="2"/>
        <v> </v>
      </c>
      <c r="F3617" s="21"/>
    </row>
    <row r="3618">
      <c r="A3618" s="19">
        <v>15204.0</v>
      </c>
      <c r="B3618" s="19" t="s">
        <v>3643</v>
      </c>
      <c r="C3618" s="20">
        <v>16146.0</v>
      </c>
      <c r="D3618" s="19" t="str">
        <f t="shared" si="1"/>
        <v> </v>
      </c>
      <c r="E3618" s="19" t="str">
        <f t="shared" si="2"/>
        <v> </v>
      </c>
      <c r="F3618" s="21"/>
    </row>
    <row r="3619">
      <c r="A3619" s="19">
        <v>15205.0</v>
      </c>
      <c r="B3619" s="19" t="s">
        <v>3644</v>
      </c>
      <c r="C3619" s="20">
        <v>29436.0</v>
      </c>
      <c r="D3619" s="19" t="str">
        <f t="shared" si="1"/>
        <v> </v>
      </c>
      <c r="E3619" s="19" t="str">
        <f t="shared" si="2"/>
        <v> </v>
      </c>
      <c r="F3619" s="21"/>
    </row>
    <row r="3620">
      <c r="A3620" s="19">
        <v>15207.0</v>
      </c>
      <c r="B3620" s="19" t="s">
        <v>3645</v>
      </c>
      <c r="C3620" s="20">
        <v>20268.0</v>
      </c>
      <c r="D3620" s="19" t="str">
        <f t="shared" si="1"/>
        <v> </v>
      </c>
      <c r="E3620" s="19" t="str">
        <f t="shared" si="2"/>
        <v> </v>
      </c>
      <c r="F3620" s="21"/>
    </row>
    <row r="3621">
      <c r="A3621" s="19">
        <v>15209.0</v>
      </c>
      <c r="B3621" s="19" t="s">
        <v>3646</v>
      </c>
      <c r="C3621" s="20">
        <v>14594.0</v>
      </c>
      <c r="D3621" s="19" t="str">
        <f t="shared" si="1"/>
        <v> </v>
      </c>
      <c r="E3621" s="19" t="str">
        <f t="shared" si="2"/>
        <v> </v>
      </c>
      <c r="F3621" s="21"/>
    </row>
    <row r="3622">
      <c r="A3622" s="19">
        <v>15210.0</v>
      </c>
      <c r="B3622" s="19" t="s">
        <v>3647</v>
      </c>
      <c r="C3622" s="20">
        <v>32777.0</v>
      </c>
      <c r="D3622" s="19" t="str">
        <f t="shared" si="1"/>
        <v> </v>
      </c>
      <c r="E3622" s="19" t="str">
        <f t="shared" si="2"/>
        <v> </v>
      </c>
      <c r="F3622" s="21"/>
    </row>
    <row r="3623">
      <c r="A3623" s="19">
        <v>15211.0</v>
      </c>
      <c r="B3623" s="19" t="s">
        <v>3648</v>
      </c>
      <c r="C3623" s="20">
        <v>27444.0</v>
      </c>
      <c r="D3623" s="19" t="str">
        <f t="shared" si="1"/>
        <v> </v>
      </c>
      <c r="E3623" s="19" t="str">
        <f t="shared" si="2"/>
        <v> </v>
      </c>
      <c r="F3623" s="21"/>
    </row>
    <row r="3624">
      <c r="A3624" s="19">
        <v>15213.0</v>
      </c>
      <c r="B3624" s="19" t="s">
        <v>3649</v>
      </c>
      <c r="C3624" s="20">
        <v>18483.0</v>
      </c>
      <c r="D3624" s="19" t="str">
        <f t="shared" si="1"/>
        <v> </v>
      </c>
      <c r="E3624" s="19" t="str">
        <f t="shared" si="2"/>
        <v> </v>
      </c>
      <c r="F3624" s="21"/>
    </row>
    <row r="3625">
      <c r="A3625" s="19">
        <v>15214.0</v>
      </c>
      <c r="B3625" s="19" t="s">
        <v>3650</v>
      </c>
      <c r="C3625" s="20">
        <v>17411.0</v>
      </c>
      <c r="D3625" s="19" t="str">
        <f t="shared" si="1"/>
        <v> </v>
      </c>
      <c r="E3625" s="19" t="str">
        <f t="shared" si="2"/>
        <v> </v>
      </c>
      <c r="F3625" s="21"/>
    </row>
    <row r="3626">
      <c r="A3626" s="19">
        <v>15215.0</v>
      </c>
      <c r="B3626" s="19" t="s">
        <v>3651</v>
      </c>
      <c r="C3626" s="20">
        <v>13841.0</v>
      </c>
      <c r="D3626" s="19" t="str">
        <f t="shared" si="1"/>
        <v> </v>
      </c>
      <c r="E3626" s="19" t="str">
        <f t="shared" si="2"/>
        <v> </v>
      </c>
      <c r="F3626" s="21"/>
    </row>
    <row r="3627">
      <c r="A3627" s="19">
        <v>15216.0</v>
      </c>
      <c r="B3627" s="19" t="s">
        <v>3652</v>
      </c>
      <c r="C3627" s="20">
        <v>19488.0</v>
      </c>
      <c r="D3627" s="19" t="str">
        <f t="shared" si="1"/>
        <v> </v>
      </c>
      <c r="E3627" s="19" t="str">
        <f t="shared" si="2"/>
        <v> </v>
      </c>
      <c r="F3627" s="21"/>
    </row>
    <row r="3628">
      <c r="A3628" s="19">
        <v>15217.0</v>
      </c>
      <c r="B3628" s="19" t="s">
        <v>3653</v>
      </c>
      <c r="C3628" s="20">
        <v>19011.0</v>
      </c>
      <c r="D3628" s="19" t="str">
        <f t="shared" si="1"/>
        <v> </v>
      </c>
      <c r="E3628" s="19" t="str">
        <f t="shared" si="2"/>
        <v> </v>
      </c>
      <c r="F3628" s="21"/>
    </row>
    <row r="3629">
      <c r="A3629" s="19">
        <v>15218.0</v>
      </c>
      <c r="B3629" s="19" t="s">
        <v>3654</v>
      </c>
      <c r="C3629" s="20">
        <v>17528.0</v>
      </c>
      <c r="D3629" s="19" t="str">
        <f t="shared" si="1"/>
        <v> </v>
      </c>
      <c r="E3629" s="19" t="str">
        <f t="shared" si="2"/>
        <v> </v>
      </c>
      <c r="F3629" s="21"/>
    </row>
    <row r="3630">
      <c r="A3630" s="19">
        <v>15219.0</v>
      </c>
      <c r="B3630" s="19" t="s">
        <v>3655</v>
      </c>
      <c r="C3630" s="20">
        <v>20125.0</v>
      </c>
      <c r="D3630" s="19" t="str">
        <f t="shared" si="1"/>
        <v> </v>
      </c>
      <c r="E3630" s="19" t="str">
        <f t="shared" si="2"/>
        <v> </v>
      </c>
      <c r="F3630" s="21"/>
    </row>
    <row r="3631">
      <c r="A3631" s="19">
        <v>15220.0</v>
      </c>
      <c r="B3631" s="19" t="s">
        <v>3656</v>
      </c>
      <c r="C3631" s="20">
        <v>25165.0</v>
      </c>
      <c r="D3631" s="19" t="str">
        <f t="shared" si="1"/>
        <v> </v>
      </c>
      <c r="E3631" s="19" t="str">
        <f t="shared" si="2"/>
        <v> </v>
      </c>
      <c r="F3631" s="21"/>
    </row>
    <row r="3632">
      <c r="A3632" s="19">
        <v>15221.0</v>
      </c>
      <c r="B3632" s="19" t="s">
        <v>3657</v>
      </c>
      <c r="C3632" s="20">
        <v>23125.0</v>
      </c>
      <c r="D3632" s="19" t="str">
        <f t="shared" si="1"/>
        <v> </v>
      </c>
      <c r="E3632" s="19" t="str">
        <f t="shared" si="2"/>
        <v> </v>
      </c>
      <c r="F3632" s="21"/>
    </row>
    <row r="3633">
      <c r="A3633" s="19">
        <v>15222.0</v>
      </c>
      <c r="B3633" s="19" t="s">
        <v>3658</v>
      </c>
      <c r="C3633" s="20">
        <v>21335.0</v>
      </c>
      <c r="D3633" s="19" t="str">
        <f t="shared" si="1"/>
        <v> </v>
      </c>
      <c r="E3633" s="19" t="str">
        <f t="shared" si="2"/>
        <v> </v>
      </c>
      <c r="F3633" s="21"/>
    </row>
    <row r="3634">
      <c r="A3634" s="19">
        <v>15223.0</v>
      </c>
      <c r="B3634" s="19" t="s">
        <v>3659</v>
      </c>
      <c r="C3634" s="20">
        <v>13792.0</v>
      </c>
      <c r="D3634" s="19" t="str">
        <f t="shared" si="1"/>
        <v> </v>
      </c>
      <c r="E3634" s="19" t="str">
        <f t="shared" si="2"/>
        <v> </v>
      </c>
      <c r="F3634" s="21"/>
    </row>
    <row r="3635">
      <c r="A3635" s="19">
        <v>15224.0</v>
      </c>
      <c r="B3635" s="19" t="s">
        <v>3660</v>
      </c>
      <c r="C3635" s="20">
        <v>17042.0</v>
      </c>
      <c r="D3635" s="19" t="str">
        <f t="shared" si="1"/>
        <v> </v>
      </c>
      <c r="E3635" s="19" t="str">
        <f t="shared" si="2"/>
        <v> </v>
      </c>
      <c r="F3635" s="21"/>
    </row>
    <row r="3636">
      <c r="A3636" s="19">
        <v>15225.0</v>
      </c>
      <c r="B3636" s="19" t="s">
        <v>3661</v>
      </c>
      <c r="C3636" s="20">
        <v>19214.0</v>
      </c>
      <c r="D3636" s="19" t="str">
        <f t="shared" si="1"/>
        <v> </v>
      </c>
      <c r="E3636" s="19" t="str">
        <f t="shared" si="2"/>
        <v> </v>
      </c>
      <c r="F3636" s="21"/>
    </row>
    <row r="3637">
      <c r="A3637" s="19">
        <v>15226.0</v>
      </c>
      <c r="B3637" s="19" t="s">
        <v>3662</v>
      </c>
      <c r="C3637" s="20">
        <v>11328.0</v>
      </c>
      <c r="D3637" s="19" t="str">
        <f t="shared" si="1"/>
        <v> </v>
      </c>
      <c r="E3637" s="19" t="str">
        <f t="shared" si="2"/>
        <v> </v>
      </c>
      <c r="F3637" s="21"/>
    </row>
    <row r="3638">
      <c r="A3638" s="19">
        <v>15227.0</v>
      </c>
      <c r="B3638" s="19" t="s">
        <v>3663</v>
      </c>
      <c r="C3638" s="20">
        <v>27243.0</v>
      </c>
      <c r="D3638" s="19" t="str">
        <f t="shared" si="1"/>
        <v> </v>
      </c>
      <c r="E3638" s="19" t="str">
        <f t="shared" si="2"/>
        <v> </v>
      </c>
      <c r="F3638" s="21"/>
    </row>
    <row r="3639">
      <c r="A3639" s="19">
        <v>15228.0</v>
      </c>
      <c r="B3639" s="19" t="s">
        <v>3664</v>
      </c>
      <c r="C3639" s="20">
        <v>22233.0</v>
      </c>
      <c r="D3639" s="19" t="str">
        <f t="shared" si="1"/>
        <v> </v>
      </c>
      <c r="E3639" s="19" t="str">
        <f t="shared" si="2"/>
        <v> </v>
      </c>
      <c r="F3639" s="21"/>
    </row>
    <row r="3640">
      <c r="A3640" s="19">
        <v>15229.0</v>
      </c>
      <c r="B3640" s="19" t="s">
        <v>3665</v>
      </c>
      <c r="C3640" s="20">
        <v>26780.0</v>
      </c>
      <c r="D3640" s="19" t="str">
        <f t="shared" si="1"/>
        <v> </v>
      </c>
      <c r="E3640" s="19" t="str">
        <f t="shared" si="2"/>
        <v> </v>
      </c>
      <c r="F3640" s="21"/>
    </row>
    <row r="3641">
      <c r="A3641" s="19">
        <v>15230.0</v>
      </c>
      <c r="B3641" s="19" t="s">
        <v>3666</v>
      </c>
      <c r="C3641" s="20">
        <v>15698.0</v>
      </c>
      <c r="D3641" s="19" t="str">
        <f t="shared" si="1"/>
        <v> </v>
      </c>
      <c r="E3641" s="19" t="str">
        <f t="shared" si="2"/>
        <v> </v>
      </c>
      <c r="F3641" s="21"/>
    </row>
    <row r="3642">
      <c r="A3642" s="19">
        <v>15231.0</v>
      </c>
      <c r="B3642" s="19" t="s">
        <v>3667</v>
      </c>
      <c r="C3642" s="20">
        <v>22632.0</v>
      </c>
      <c r="D3642" s="19" t="str">
        <f t="shared" si="1"/>
        <v> </v>
      </c>
      <c r="E3642" s="19" t="str">
        <f t="shared" si="2"/>
        <v> </v>
      </c>
      <c r="F3642" s="21"/>
    </row>
    <row r="3643">
      <c r="A3643" s="19">
        <v>15232.0</v>
      </c>
      <c r="B3643" s="19" t="s">
        <v>3668</v>
      </c>
      <c r="C3643" s="20">
        <v>25678.0</v>
      </c>
      <c r="D3643" s="19" t="str">
        <f t="shared" si="1"/>
        <v> </v>
      </c>
      <c r="E3643" s="19" t="str">
        <f t="shared" si="2"/>
        <v> </v>
      </c>
      <c r="F3643" s="21"/>
    </row>
    <row r="3644">
      <c r="A3644" s="19">
        <v>15233.0</v>
      </c>
      <c r="B3644" s="19" t="s">
        <v>3669</v>
      </c>
      <c r="C3644" s="20">
        <v>8763.0</v>
      </c>
      <c r="D3644" s="19" t="str">
        <f t="shared" si="1"/>
        <v> </v>
      </c>
      <c r="E3644" s="19" t="str">
        <f t="shared" si="2"/>
        <v> </v>
      </c>
      <c r="F3644" s="21"/>
    </row>
    <row r="3645">
      <c r="A3645" s="19">
        <v>15234.0</v>
      </c>
      <c r="B3645" s="19" t="s">
        <v>3670</v>
      </c>
      <c r="C3645" s="20">
        <v>19634.0</v>
      </c>
      <c r="D3645" s="19" t="str">
        <f t="shared" si="1"/>
        <v> </v>
      </c>
      <c r="E3645" s="19" t="str">
        <f t="shared" si="2"/>
        <v> </v>
      </c>
      <c r="F3645" s="21"/>
    </row>
    <row r="3646">
      <c r="A3646" s="19">
        <v>15235.0</v>
      </c>
      <c r="B3646" s="19" t="s">
        <v>3671</v>
      </c>
      <c r="C3646" s="20">
        <v>22140.0</v>
      </c>
      <c r="D3646" s="19" t="str">
        <f t="shared" si="1"/>
        <v> </v>
      </c>
      <c r="E3646" s="19" t="str">
        <f t="shared" si="2"/>
        <v> </v>
      </c>
      <c r="F3646" s="21"/>
    </row>
    <row r="3647">
      <c r="A3647" s="19">
        <v>15238.0</v>
      </c>
      <c r="B3647" s="19" t="s">
        <v>3672</v>
      </c>
      <c r="C3647" s="20">
        <v>29113.0</v>
      </c>
      <c r="D3647" s="19" t="str">
        <f t="shared" si="1"/>
        <v> </v>
      </c>
      <c r="E3647" s="19" t="str">
        <f t="shared" si="2"/>
        <v> </v>
      </c>
      <c r="F3647" s="21"/>
    </row>
    <row r="3648">
      <c r="A3648" s="19">
        <v>15239.0</v>
      </c>
      <c r="B3648" s="19" t="s">
        <v>3673</v>
      </c>
      <c r="C3648" s="20">
        <v>14916.0</v>
      </c>
      <c r="D3648" s="19" t="str">
        <f t="shared" si="1"/>
        <v> </v>
      </c>
      <c r="E3648" s="19" t="str">
        <f t="shared" si="2"/>
        <v> </v>
      </c>
      <c r="F3648" s="21"/>
    </row>
    <row r="3649">
      <c r="A3649" s="19">
        <v>15240.0</v>
      </c>
      <c r="B3649" s="19" t="s">
        <v>3674</v>
      </c>
      <c r="C3649" s="20">
        <v>30311.0</v>
      </c>
      <c r="D3649" s="19" t="str">
        <f t="shared" si="1"/>
        <v> </v>
      </c>
      <c r="E3649" s="19" t="str">
        <f t="shared" si="2"/>
        <v> </v>
      </c>
      <c r="F3649" s="21"/>
    </row>
    <row r="3650">
      <c r="A3650" s="19">
        <v>15242.0</v>
      </c>
      <c r="B3650" s="19" t="s">
        <v>3675</v>
      </c>
      <c r="C3650" s="20">
        <v>27777.0</v>
      </c>
      <c r="D3650" s="19" t="str">
        <f t="shared" si="1"/>
        <v> </v>
      </c>
      <c r="E3650" s="19" t="str">
        <f t="shared" si="2"/>
        <v> </v>
      </c>
      <c r="F3650" s="21"/>
    </row>
    <row r="3651">
      <c r="A3651" s="19">
        <v>15243.0</v>
      </c>
      <c r="B3651" s="19" t="s">
        <v>3676</v>
      </c>
      <c r="C3651" s="20">
        <v>20661.0</v>
      </c>
      <c r="D3651" s="19" t="str">
        <f t="shared" si="1"/>
        <v> </v>
      </c>
      <c r="E3651" s="19" t="str">
        <f t="shared" si="2"/>
        <v> </v>
      </c>
      <c r="F3651" s="21"/>
    </row>
    <row r="3652">
      <c r="A3652" s="19">
        <v>15244.0</v>
      </c>
      <c r="B3652" s="19" t="s">
        <v>3677</v>
      </c>
      <c r="C3652" s="20">
        <v>22139.0</v>
      </c>
      <c r="D3652" s="19" t="str">
        <f t="shared" si="1"/>
        <v> </v>
      </c>
      <c r="E3652" s="19" t="str">
        <f t="shared" si="2"/>
        <v> </v>
      </c>
      <c r="F3652" s="21"/>
    </row>
    <row r="3653">
      <c r="A3653" s="19">
        <v>15245.0</v>
      </c>
      <c r="B3653" s="19" t="s">
        <v>3678</v>
      </c>
      <c r="C3653" s="20">
        <v>20404.0</v>
      </c>
      <c r="D3653" s="19" t="str">
        <f t="shared" si="1"/>
        <v> </v>
      </c>
      <c r="E3653" s="19" t="str">
        <f t="shared" si="2"/>
        <v> </v>
      </c>
      <c r="F3653" s="21"/>
    </row>
    <row r="3654">
      <c r="A3654" s="19">
        <v>15246.0</v>
      </c>
      <c r="B3654" s="19" t="s">
        <v>3679</v>
      </c>
      <c r="C3654" s="20">
        <v>23981.0</v>
      </c>
      <c r="D3654" s="19" t="str">
        <f t="shared" si="1"/>
        <v>Repeat</v>
      </c>
      <c r="E3654" s="19" t="str">
        <f t="shared" si="2"/>
        <v> </v>
      </c>
      <c r="F3654" s="21"/>
    </row>
    <row r="3655">
      <c r="A3655" s="19">
        <v>15247.0</v>
      </c>
      <c r="B3655" s="19" t="s">
        <v>3680</v>
      </c>
      <c r="C3655" s="20">
        <v>32081.0</v>
      </c>
      <c r="D3655" s="19" t="str">
        <f t="shared" si="1"/>
        <v> </v>
      </c>
      <c r="E3655" s="19" t="str">
        <f t="shared" si="2"/>
        <v> </v>
      </c>
      <c r="F3655" s="21"/>
    </row>
    <row r="3656">
      <c r="A3656" s="19">
        <v>15248.0</v>
      </c>
      <c r="B3656" s="19" t="s">
        <v>3681</v>
      </c>
      <c r="C3656" s="20">
        <v>21030.0</v>
      </c>
      <c r="D3656" s="19" t="str">
        <f t="shared" si="1"/>
        <v> </v>
      </c>
      <c r="E3656" s="19" t="str">
        <f t="shared" si="2"/>
        <v> </v>
      </c>
      <c r="F3656" s="21"/>
    </row>
    <row r="3657">
      <c r="A3657" s="19">
        <v>15249.0</v>
      </c>
      <c r="B3657" s="19" t="s">
        <v>3682</v>
      </c>
      <c r="C3657" s="20">
        <v>12017.0</v>
      </c>
      <c r="D3657" s="19" t="str">
        <f t="shared" si="1"/>
        <v> </v>
      </c>
      <c r="E3657" s="19" t="str">
        <f t="shared" si="2"/>
        <v> </v>
      </c>
      <c r="F3657" s="21"/>
    </row>
    <row r="3658">
      <c r="A3658" s="19">
        <v>15250.0</v>
      </c>
      <c r="B3658" s="19" t="s">
        <v>3683</v>
      </c>
      <c r="C3658" s="20">
        <v>14591.0</v>
      </c>
      <c r="D3658" s="19" t="str">
        <f t="shared" si="1"/>
        <v> </v>
      </c>
      <c r="E3658" s="19" t="str">
        <f t="shared" si="2"/>
        <v> </v>
      </c>
      <c r="F3658" s="21"/>
    </row>
    <row r="3659">
      <c r="A3659" s="19">
        <v>15251.0</v>
      </c>
      <c r="B3659" s="19" t="s">
        <v>3684</v>
      </c>
      <c r="C3659" s="20">
        <v>23171.0</v>
      </c>
      <c r="D3659" s="19" t="str">
        <f t="shared" si="1"/>
        <v> </v>
      </c>
      <c r="E3659" s="19" t="str">
        <f t="shared" si="2"/>
        <v> </v>
      </c>
      <c r="F3659" s="21"/>
    </row>
    <row r="3660">
      <c r="A3660" s="19">
        <v>15252.0</v>
      </c>
      <c r="B3660" s="19" t="s">
        <v>3685</v>
      </c>
      <c r="C3660" s="20">
        <v>21927.0</v>
      </c>
      <c r="D3660" s="19" t="str">
        <f t="shared" si="1"/>
        <v> </v>
      </c>
      <c r="E3660" s="19" t="str">
        <f t="shared" si="2"/>
        <v> </v>
      </c>
      <c r="F3660" s="21"/>
    </row>
    <row r="3661">
      <c r="A3661" s="19">
        <v>15253.0</v>
      </c>
      <c r="B3661" s="19" t="s">
        <v>3686</v>
      </c>
      <c r="C3661" s="20">
        <v>24706.0</v>
      </c>
      <c r="D3661" s="19" t="str">
        <f t="shared" si="1"/>
        <v> </v>
      </c>
      <c r="E3661" s="19" t="str">
        <f t="shared" si="2"/>
        <v> </v>
      </c>
      <c r="F3661" s="21"/>
    </row>
    <row r="3662">
      <c r="A3662" s="19">
        <v>15255.0</v>
      </c>
      <c r="B3662" s="19" t="s">
        <v>3687</v>
      </c>
      <c r="C3662" s="20">
        <v>23170.0</v>
      </c>
      <c r="D3662" s="19" t="str">
        <f t="shared" si="1"/>
        <v> </v>
      </c>
      <c r="E3662" s="19" t="str">
        <f t="shared" si="2"/>
        <v> </v>
      </c>
      <c r="F3662" s="21"/>
    </row>
    <row r="3663">
      <c r="A3663" s="19">
        <v>15257.0</v>
      </c>
      <c r="B3663" s="19" t="s">
        <v>3688</v>
      </c>
      <c r="C3663" s="20">
        <v>31923.0</v>
      </c>
      <c r="D3663" s="19" t="str">
        <f t="shared" si="1"/>
        <v> </v>
      </c>
      <c r="E3663" s="19" t="str">
        <f t="shared" si="2"/>
        <v> </v>
      </c>
      <c r="F3663" s="21"/>
    </row>
    <row r="3664">
      <c r="A3664" s="19">
        <v>15258.0</v>
      </c>
      <c r="B3664" s="19" t="s">
        <v>3689</v>
      </c>
      <c r="C3664" s="20">
        <v>20697.0</v>
      </c>
      <c r="D3664" s="19" t="str">
        <f t="shared" si="1"/>
        <v> </v>
      </c>
      <c r="E3664" s="19" t="str">
        <f t="shared" si="2"/>
        <v> </v>
      </c>
      <c r="F3664" s="21"/>
    </row>
    <row r="3665">
      <c r="A3665" s="19">
        <v>15259.0</v>
      </c>
      <c r="B3665" s="19" t="s">
        <v>3690</v>
      </c>
      <c r="C3665" s="20">
        <v>24504.0</v>
      </c>
      <c r="D3665" s="19" t="str">
        <f t="shared" si="1"/>
        <v> </v>
      </c>
      <c r="E3665" s="19" t="str">
        <f t="shared" si="2"/>
        <v> </v>
      </c>
      <c r="F3665" s="21"/>
    </row>
    <row r="3666">
      <c r="A3666" s="19">
        <v>15260.0</v>
      </c>
      <c r="B3666" s="19" t="s">
        <v>3691</v>
      </c>
      <c r="C3666" s="20">
        <v>17852.0</v>
      </c>
      <c r="D3666" s="19" t="str">
        <f t="shared" si="1"/>
        <v> </v>
      </c>
      <c r="E3666" s="19" t="str">
        <f t="shared" si="2"/>
        <v> </v>
      </c>
      <c r="F3666" s="21"/>
    </row>
    <row r="3667">
      <c r="A3667" s="19">
        <v>15261.0</v>
      </c>
      <c r="B3667" s="19" t="s">
        <v>3692</v>
      </c>
      <c r="C3667" s="20">
        <v>23249.0</v>
      </c>
      <c r="D3667" s="19" t="str">
        <f t="shared" si="1"/>
        <v> </v>
      </c>
      <c r="E3667" s="19" t="str">
        <f t="shared" si="2"/>
        <v> </v>
      </c>
      <c r="F3667" s="21"/>
    </row>
    <row r="3668">
      <c r="A3668" s="19">
        <v>15262.0</v>
      </c>
      <c r="B3668" s="19" t="s">
        <v>3693</v>
      </c>
      <c r="C3668" s="20">
        <v>25359.0</v>
      </c>
      <c r="D3668" s="19" t="str">
        <f t="shared" si="1"/>
        <v>Repeat</v>
      </c>
      <c r="E3668" s="19" t="str">
        <f t="shared" si="2"/>
        <v> </v>
      </c>
      <c r="F3668" s="21"/>
    </row>
    <row r="3669">
      <c r="A3669" s="19">
        <v>15263.0</v>
      </c>
      <c r="B3669" s="19" t="s">
        <v>3694</v>
      </c>
      <c r="C3669" s="20">
        <v>22129.0</v>
      </c>
      <c r="D3669" s="19" t="str">
        <f t="shared" si="1"/>
        <v> </v>
      </c>
      <c r="E3669" s="19" t="str">
        <f t="shared" si="2"/>
        <v> </v>
      </c>
      <c r="F3669" s="21"/>
    </row>
    <row r="3670">
      <c r="A3670" s="19">
        <v>15265.0</v>
      </c>
      <c r="B3670" s="19" t="s">
        <v>3695</v>
      </c>
      <c r="C3670" s="20">
        <v>26902.0</v>
      </c>
      <c r="D3670" s="19" t="str">
        <f t="shared" si="1"/>
        <v> </v>
      </c>
      <c r="E3670" s="19" t="str">
        <f t="shared" si="2"/>
        <v> </v>
      </c>
      <c r="F3670" s="21"/>
    </row>
    <row r="3671">
      <c r="A3671" s="19">
        <v>15266.0</v>
      </c>
      <c r="B3671" s="19" t="s">
        <v>3696</v>
      </c>
      <c r="C3671" s="20">
        <v>22479.0</v>
      </c>
      <c r="D3671" s="19" t="str">
        <f t="shared" si="1"/>
        <v> </v>
      </c>
      <c r="E3671" s="19" t="str">
        <f t="shared" si="2"/>
        <v> </v>
      </c>
      <c r="F3671" s="21"/>
    </row>
    <row r="3672">
      <c r="A3672" s="19">
        <v>15267.0</v>
      </c>
      <c r="B3672" s="19" t="s">
        <v>1902</v>
      </c>
      <c r="C3672" s="20">
        <v>33478.0</v>
      </c>
      <c r="D3672" s="19" t="str">
        <f t="shared" si="1"/>
        <v>Repeat</v>
      </c>
      <c r="E3672" s="19" t="str">
        <f t="shared" si="2"/>
        <v> </v>
      </c>
      <c r="F3672" s="21"/>
    </row>
    <row r="3673">
      <c r="A3673" s="19">
        <v>15268.0</v>
      </c>
      <c r="B3673" s="19" t="s">
        <v>3697</v>
      </c>
      <c r="C3673" s="20">
        <v>32607.0</v>
      </c>
      <c r="D3673" s="19" t="str">
        <f t="shared" si="1"/>
        <v> </v>
      </c>
      <c r="E3673" s="19" t="str">
        <f t="shared" si="2"/>
        <v> </v>
      </c>
      <c r="F3673" s="21"/>
    </row>
    <row r="3674">
      <c r="A3674" s="19">
        <v>15269.0</v>
      </c>
      <c r="B3674" s="19" t="s">
        <v>3698</v>
      </c>
      <c r="C3674" s="20">
        <v>35767.0</v>
      </c>
      <c r="D3674" s="19" t="str">
        <f t="shared" si="1"/>
        <v> </v>
      </c>
      <c r="E3674" s="19" t="str">
        <f t="shared" si="2"/>
        <v> </v>
      </c>
      <c r="F3674" s="21"/>
    </row>
    <row r="3675">
      <c r="A3675" s="19">
        <v>15270.0</v>
      </c>
      <c r="B3675" s="19" t="s">
        <v>3699</v>
      </c>
      <c r="C3675" s="20">
        <v>19633.0</v>
      </c>
      <c r="D3675" s="19" t="str">
        <f t="shared" si="1"/>
        <v> </v>
      </c>
      <c r="E3675" s="19" t="str">
        <f t="shared" si="2"/>
        <v> </v>
      </c>
      <c r="F3675" s="21"/>
    </row>
    <row r="3676">
      <c r="A3676" s="19">
        <v>15272.0</v>
      </c>
      <c r="B3676" s="19" t="s">
        <v>3700</v>
      </c>
      <c r="C3676" s="20">
        <v>20197.0</v>
      </c>
      <c r="D3676" s="19" t="str">
        <f t="shared" si="1"/>
        <v> </v>
      </c>
      <c r="E3676" s="19" t="str">
        <f t="shared" si="2"/>
        <v> </v>
      </c>
      <c r="F3676" s="21"/>
    </row>
    <row r="3677">
      <c r="A3677" s="19">
        <v>15273.0</v>
      </c>
      <c r="B3677" s="19" t="s">
        <v>3701</v>
      </c>
      <c r="C3677" s="20">
        <v>33383.0</v>
      </c>
      <c r="D3677" s="19" t="str">
        <f t="shared" si="1"/>
        <v> </v>
      </c>
      <c r="E3677" s="19" t="str">
        <f t="shared" si="2"/>
        <v> </v>
      </c>
      <c r="F3677" s="21"/>
    </row>
    <row r="3678">
      <c r="A3678" s="19">
        <v>15274.0</v>
      </c>
      <c r="B3678" s="19" t="s">
        <v>3702</v>
      </c>
      <c r="C3678" s="20">
        <v>21443.0</v>
      </c>
      <c r="D3678" s="19" t="str">
        <f t="shared" si="1"/>
        <v> </v>
      </c>
      <c r="E3678" s="19" t="str">
        <f t="shared" si="2"/>
        <v> </v>
      </c>
      <c r="F3678" s="21"/>
    </row>
    <row r="3679">
      <c r="A3679" s="19">
        <v>15276.0</v>
      </c>
      <c r="B3679" s="19" t="s">
        <v>3703</v>
      </c>
      <c r="C3679" s="20">
        <v>29784.0</v>
      </c>
      <c r="D3679" s="19" t="str">
        <f t="shared" si="1"/>
        <v> </v>
      </c>
      <c r="E3679" s="19" t="str">
        <f t="shared" si="2"/>
        <v> </v>
      </c>
      <c r="F3679" s="21"/>
    </row>
    <row r="3680">
      <c r="A3680" s="19">
        <v>15277.0</v>
      </c>
      <c r="B3680" s="19" t="s">
        <v>3704</v>
      </c>
      <c r="C3680" s="20">
        <v>12693.0</v>
      </c>
      <c r="D3680" s="19" t="str">
        <f t="shared" si="1"/>
        <v> </v>
      </c>
      <c r="E3680" s="19" t="str">
        <f t="shared" si="2"/>
        <v> </v>
      </c>
      <c r="F3680" s="21"/>
    </row>
    <row r="3681">
      <c r="A3681" s="19">
        <v>15278.0</v>
      </c>
      <c r="B3681" s="19" t="s">
        <v>3705</v>
      </c>
      <c r="C3681" s="20">
        <v>24532.0</v>
      </c>
      <c r="D3681" s="19" t="str">
        <f t="shared" si="1"/>
        <v> </v>
      </c>
      <c r="E3681" s="19" t="str">
        <f t="shared" si="2"/>
        <v> </v>
      </c>
      <c r="F3681" s="21"/>
    </row>
    <row r="3682">
      <c r="A3682" s="19">
        <v>15279.0</v>
      </c>
      <c r="B3682" s="19" t="s">
        <v>3706</v>
      </c>
      <c r="C3682" s="20">
        <v>15685.0</v>
      </c>
      <c r="D3682" s="19" t="str">
        <f t="shared" si="1"/>
        <v> </v>
      </c>
      <c r="E3682" s="19" t="str">
        <f t="shared" si="2"/>
        <v> </v>
      </c>
      <c r="F3682" s="21"/>
    </row>
    <row r="3683">
      <c r="A3683" s="19">
        <v>15280.0</v>
      </c>
      <c r="B3683" s="19" t="s">
        <v>3707</v>
      </c>
      <c r="C3683" s="20">
        <v>28986.0</v>
      </c>
      <c r="D3683" s="19" t="str">
        <f t="shared" si="1"/>
        <v> </v>
      </c>
      <c r="E3683" s="19" t="str">
        <f t="shared" si="2"/>
        <v> </v>
      </c>
      <c r="F3683" s="21"/>
    </row>
    <row r="3684">
      <c r="A3684" s="19">
        <v>15281.0</v>
      </c>
      <c r="B3684" s="19" t="s">
        <v>3708</v>
      </c>
      <c r="C3684" s="20">
        <v>27758.0</v>
      </c>
      <c r="D3684" s="19" t="str">
        <f t="shared" si="1"/>
        <v> </v>
      </c>
      <c r="E3684" s="19" t="str">
        <f t="shared" si="2"/>
        <v> </v>
      </c>
      <c r="F3684" s="21"/>
    </row>
    <row r="3685">
      <c r="A3685" s="19">
        <v>15282.0</v>
      </c>
      <c r="B3685" s="19" t="s">
        <v>3709</v>
      </c>
      <c r="C3685" s="20">
        <v>19078.0</v>
      </c>
      <c r="D3685" s="19" t="str">
        <f t="shared" si="1"/>
        <v> </v>
      </c>
      <c r="E3685" s="19" t="str">
        <f t="shared" si="2"/>
        <v> </v>
      </c>
      <c r="F3685" s="21"/>
    </row>
    <row r="3686">
      <c r="A3686" s="19">
        <v>15284.0</v>
      </c>
      <c r="B3686" s="19" t="s">
        <v>3710</v>
      </c>
      <c r="C3686" s="20">
        <v>11401.0</v>
      </c>
      <c r="D3686" s="19" t="str">
        <f t="shared" si="1"/>
        <v> </v>
      </c>
      <c r="E3686" s="19" t="str">
        <f t="shared" si="2"/>
        <v> </v>
      </c>
      <c r="F3686" s="21"/>
    </row>
    <row r="3687">
      <c r="A3687" s="19">
        <v>15285.0</v>
      </c>
      <c r="B3687" s="19" t="s">
        <v>3711</v>
      </c>
      <c r="C3687" s="20">
        <v>29130.0</v>
      </c>
      <c r="D3687" s="19" t="str">
        <f t="shared" si="1"/>
        <v> </v>
      </c>
      <c r="E3687" s="19" t="str">
        <f t="shared" si="2"/>
        <v> </v>
      </c>
      <c r="F3687" s="21"/>
    </row>
    <row r="3688">
      <c r="A3688" s="19">
        <v>15286.0</v>
      </c>
      <c r="B3688" s="19" t="s">
        <v>3712</v>
      </c>
      <c r="C3688" s="20">
        <v>23666.0</v>
      </c>
      <c r="D3688" s="19" t="str">
        <f t="shared" si="1"/>
        <v> </v>
      </c>
      <c r="E3688" s="19" t="str">
        <f t="shared" si="2"/>
        <v> </v>
      </c>
      <c r="F3688" s="21"/>
    </row>
    <row r="3689">
      <c r="A3689" s="19">
        <v>15287.0</v>
      </c>
      <c r="B3689" s="19" t="s">
        <v>3713</v>
      </c>
      <c r="C3689" s="20">
        <v>22295.0</v>
      </c>
      <c r="D3689" s="19" t="str">
        <f t="shared" si="1"/>
        <v> </v>
      </c>
      <c r="E3689" s="19" t="str">
        <f t="shared" si="2"/>
        <v> </v>
      </c>
      <c r="F3689" s="21"/>
    </row>
    <row r="3690">
      <c r="A3690" s="19">
        <v>15288.0</v>
      </c>
      <c r="B3690" s="19" t="s">
        <v>3714</v>
      </c>
      <c r="C3690" s="20">
        <v>20463.0</v>
      </c>
      <c r="D3690" s="19" t="str">
        <f t="shared" si="1"/>
        <v> </v>
      </c>
      <c r="E3690" s="19" t="str">
        <f t="shared" si="2"/>
        <v> </v>
      </c>
      <c r="F3690" s="21"/>
    </row>
    <row r="3691">
      <c r="A3691" s="19">
        <v>15290.0</v>
      </c>
      <c r="B3691" s="19" t="s">
        <v>3715</v>
      </c>
      <c r="C3691" s="20">
        <v>15075.0</v>
      </c>
      <c r="D3691" s="19" t="str">
        <f t="shared" si="1"/>
        <v> </v>
      </c>
      <c r="E3691" s="19" t="str">
        <f t="shared" si="2"/>
        <v> </v>
      </c>
      <c r="F3691" s="21"/>
    </row>
    <row r="3692">
      <c r="A3692" s="19">
        <v>15291.0</v>
      </c>
      <c r="B3692" s="19" t="s">
        <v>3716</v>
      </c>
      <c r="C3692" s="20">
        <v>16997.0</v>
      </c>
      <c r="D3692" s="19" t="str">
        <f t="shared" si="1"/>
        <v> </v>
      </c>
      <c r="E3692" s="19" t="str">
        <f t="shared" si="2"/>
        <v> </v>
      </c>
      <c r="F3692" s="21"/>
    </row>
    <row r="3693">
      <c r="A3693" s="19">
        <v>15292.0</v>
      </c>
      <c r="B3693" s="19" t="s">
        <v>3717</v>
      </c>
      <c r="C3693" s="20">
        <v>21891.0</v>
      </c>
      <c r="D3693" s="19" t="str">
        <f t="shared" si="1"/>
        <v> </v>
      </c>
      <c r="E3693" s="19" t="str">
        <f t="shared" si="2"/>
        <v> </v>
      </c>
      <c r="F3693" s="21"/>
    </row>
    <row r="3694">
      <c r="A3694" s="19">
        <v>15293.0</v>
      </c>
      <c r="B3694" s="19" t="s">
        <v>3718</v>
      </c>
      <c r="C3694" s="20">
        <v>15560.0</v>
      </c>
      <c r="D3694" s="19" t="str">
        <f t="shared" si="1"/>
        <v> </v>
      </c>
      <c r="E3694" s="19" t="str">
        <f t="shared" si="2"/>
        <v> </v>
      </c>
      <c r="F3694" s="21"/>
    </row>
    <row r="3695">
      <c r="A3695" s="19">
        <v>15294.0</v>
      </c>
      <c r="B3695" s="19" t="s">
        <v>3719</v>
      </c>
      <c r="C3695" s="20">
        <v>18656.0</v>
      </c>
      <c r="D3695" s="19" t="str">
        <f t="shared" si="1"/>
        <v> </v>
      </c>
      <c r="E3695" s="19" t="str">
        <f t="shared" si="2"/>
        <v> </v>
      </c>
      <c r="F3695" s="21"/>
    </row>
    <row r="3696">
      <c r="A3696" s="19">
        <v>15298.0</v>
      </c>
      <c r="B3696" s="19" t="s">
        <v>3720</v>
      </c>
      <c r="C3696" s="20">
        <v>28361.0</v>
      </c>
      <c r="D3696" s="19" t="str">
        <f t="shared" si="1"/>
        <v> </v>
      </c>
      <c r="E3696" s="19" t="str">
        <f t="shared" si="2"/>
        <v> </v>
      </c>
      <c r="F3696" s="21"/>
    </row>
    <row r="3697">
      <c r="A3697" s="19">
        <v>15299.0</v>
      </c>
      <c r="B3697" s="19" t="s">
        <v>3721</v>
      </c>
      <c r="C3697" s="20">
        <v>17784.0</v>
      </c>
      <c r="D3697" s="19" t="str">
        <f t="shared" si="1"/>
        <v> </v>
      </c>
      <c r="E3697" s="19" t="str">
        <f t="shared" si="2"/>
        <v> </v>
      </c>
      <c r="F3697" s="21"/>
    </row>
    <row r="3698">
      <c r="A3698" s="19">
        <v>15301.0</v>
      </c>
      <c r="B3698" s="19" t="s">
        <v>3722</v>
      </c>
      <c r="C3698" s="20">
        <v>10044.0</v>
      </c>
      <c r="D3698" s="19" t="str">
        <f t="shared" si="1"/>
        <v> </v>
      </c>
      <c r="E3698" s="19" t="str">
        <f t="shared" si="2"/>
        <v> </v>
      </c>
      <c r="F3698" s="21"/>
    </row>
    <row r="3699">
      <c r="A3699" s="19">
        <v>15302.0</v>
      </c>
      <c r="B3699" s="19" t="s">
        <v>3723</v>
      </c>
      <c r="C3699" s="20">
        <v>17959.0</v>
      </c>
      <c r="D3699" s="19" t="str">
        <f t="shared" si="1"/>
        <v> </v>
      </c>
      <c r="E3699" s="19" t="str">
        <f t="shared" si="2"/>
        <v> </v>
      </c>
      <c r="F3699" s="21"/>
    </row>
    <row r="3700">
      <c r="A3700" s="19">
        <v>15303.0</v>
      </c>
      <c r="B3700" s="19" t="s">
        <v>3724</v>
      </c>
      <c r="C3700" s="20">
        <v>17551.0</v>
      </c>
      <c r="D3700" s="19" t="str">
        <f t="shared" si="1"/>
        <v> </v>
      </c>
      <c r="E3700" s="19" t="str">
        <f t="shared" si="2"/>
        <v> </v>
      </c>
      <c r="F3700" s="21"/>
    </row>
    <row r="3701">
      <c r="A3701" s="19">
        <v>15304.0</v>
      </c>
      <c r="B3701" s="19" t="s">
        <v>3725</v>
      </c>
      <c r="C3701" s="20">
        <v>20357.0</v>
      </c>
      <c r="D3701" s="19" t="str">
        <f t="shared" si="1"/>
        <v> </v>
      </c>
      <c r="E3701" s="19" t="str">
        <f t="shared" si="2"/>
        <v> </v>
      </c>
      <c r="F3701" s="21"/>
    </row>
    <row r="3702">
      <c r="A3702" s="19">
        <v>15305.0</v>
      </c>
      <c r="B3702" s="19" t="s">
        <v>3726</v>
      </c>
      <c r="C3702" s="20">
        <v>17512.0</v>
      </c>
      <c r="D3702" s="19" t="str">
        <f t="shared" si="1"/>
        <v> </v>
      </c>
      <c r="E3702" s="19" t="str">
        <f t="shared" si="2"/>
        <v> </v>
      </c>
      <c r="F3702" s="21"/>
    </row>
    <row r="3703">
      <c r="A3703" s="19">
        <v>15306.0</v>
      </c>
      <c r="B3703" s="19" t="s">
        <v>3727</v>
      </c>
      <c r="C3703" s="20">
        <v>15750.0</v>
      </c>
      <c r="D3703" s="19" t="str">
        <f t="shared" si="1"/>
        <v> </v>
      </c>
      <c r="E3703" s="19" t="str">
        <f t="shared" si="2"/>
        <v> </v>
      </c>
      <c r="F3703" s="21"/>
    </row>
    <row r="3704">
      <c r="A3704" s="19">
        <v>15307.0</v>
      </c>
      <c r="B3704" s="19" t="s">
        <v>3728</v>
      </c>
      <c r="C3704" s="20">
        <v>21690.0</v>
      </c>
      <c r="D3704" s="19" t="str">
        <f t="shared" si="1"/>
        <v> </v>
      </c>
      <c r="E3704" s="19" t="str">
        <f t="shared" si="2"/>
        <v> </v>
      </c>
      <c r="F3704" s="21"/>
    </row>
    <row r="3705">
      <c r="A3705" s="19">
        <v>15309.0</v>
      </c>
      <c r="B3705" s="19" t="s">
        <v>3729</v>
      </c>
      <c r="C3705" s="20">
        <v>22714.0</v>
      </c>
      <c r="D3705" s="19" t="str">
        <f t="shared" si="1"/>
        <v> </v>
      </c>
      <c r="E3705" s="19" t="str">
        <f t="shared" si="2"/>
        <v> </v>
      </c>
      <c r="F3705" s="21"/>
    </row>
    <row r="3706">
      <c r="A3706" s="19">
        <v>15310.0</v>
      </c>
      <c r="B3706" s="19" t="s">
        <v>3730</v>
      </c>
      <c r="C3706" s="20">
        <v>24000.0</v>
      </c>
      <c r="D3706" s="19" t="str">
        <f t="shared" si="1"/>
        <v> </v>
      </c>
      <c r="E3706" s="19" t="str">
        <f t="shared" si="2"/>
        <v> </v>
      </c>
      <c r="F3706" s="21"/>
    </row>
    <row r="3707">
      <c r="A3707" s="19">
        <v>15311.0</v>
      </c>
      <c r="B3707" s="19" t="s">
        <v>3731</v>
      </c>
      <c r="C3707" s="20">
        <v>34728.0</v>
      </c>
      <c r="D3707" s="19" t="str">
        <f t="shared" si="1"/>
        <v> </v>
      </c>
      <c r="E3707" s="19" t="str">
        <f t="shared" si="2"/>
        <v> </v>
      </c>
      <c r="F3707" s="21"/>
    </row>
    <row r="3708">
      <c r="A3708" s="19">
        <v>15313.0</v>
      </c>
      <c r="B3708" s="19" t="s">
        <v>3732</v>
      </c>
      <c r="C3708" s="20">
        <v>22340.0</v>
      </c>
      <c r="D3708" s="19" t="str">
        <f t="shared" si="1"/>
        <v> </v>
      </c>
      <c r="E3708" s="19" t="str">
        <f t="shared" si="2"/>
        <v> </v>
      </c>
      <c r="F3708" s="21"/>
    </row>
    <row r="3709">
      <c r="A3709" s="19">
        <v>15315.0</v>
      </c>
      <c r="B3709" s="19" t="s">
        <v>3733</v>
      </c>
      <c r="C3709" s="20">
        <v>23045.0</v>
      </c>
      <c r="D3709" s="19" t="str">
        <f t="shared" si="1"/>
        <v> </v>
      </c>
      <c r="E3709" s="19" t="str">
        <f t="shared" si="2"/>
        <v> </v>
      </c>
      <c r="F3709" s="21"/>
    </row>
    <row r="3710">
      <c r="A3710" s="19">
        <v>15316.0</v>
      </c>
      <c r="B3710" s="19" t="s">
        <v>3734</v>
      </c>
      <c r="C3710" s="20">
        <v>22265.0</v>
      </c>
      <c r="D3710" s="19" t="str">
        <f t="shared" si="1"/>
        <v> </v>
      </c>
      <c r="E3710" s="19" t="str">
        <f t="shared" si="2"/>
        <v> </v>
      </c>
      <c r="F3710" s="21"/>
    </row>
    <row r="3711">
      <c r="A3711" s="19">
        <v>15317.0</v>
      </c>
      <c r="B3711" s="19" t="s">
        <v>3735</v>
      </c>
      <c r="C3711" s="20">
        <v>18445.0</v>
      </c>
      <c r="D3711" s="19" t="str">
        <f t="shared" si="1"/>
        <v> </v>
      </c>
      <c r="E3711" s="19" t="str">
        <f t="shared" si="2"/>
        <v> </v>
      </c>
      <c r="F3711" s="21"/>
    </row>
    <row r="3712">
      <c r="A3712" s="19">
        <v>15318.0</v>
      </c>
      <c r="B3712" s="19" t="s">
        <v>3736</v>
      </c>
      <c r="C3712" s="20">
        <v>27343.0</v>
      </c>
      <c r="D3712" s="19" t="str">
        <f t="shared" si="1"/>
        <v> </v>
      </c>
      <c r="E3712" s="19" t="str">
        <f t="shared" si="2"/>
        <v> </v>
      </c>
      <c r="F3712" s="21"/>
    </row>
    <row r="3713">
      <c r="A3713" s="19">
        <v>15321.0</v>
      </c>
      <c r="B3713" s="19" t="s">
        <v>3737</v>
      </c>
      <c r="C3713" s="20">
        <v>22826.0</v>
      </c>
      <c r="D3713" s="19" t="str">
        <f t="shared" si="1"/>
        <v> </v>
      </c>
      <c r="E3713" s="19" t="str">
        <f t="shared" si="2"/>
        <v> </v>
      </c>
      <c r="F3713" s="21"/>
    </row>
    <row r="3714">
      <c r="A3714" s="19">
        <v>15322.0</v>
      </c>
      <c r="B3714" s="19" t="s">
        <v>3738</v>
      </c>
      <c r="C3714" s="20">
        <v>16468.0</v>
      </c>
      <c r="D3714" s="19" t="str">
        <f t="shared" si="1"/>
        <v> </v>
      </c>
      <c r="E3714" s="19" t="str">
        <f t="shared" si="2"/>
        <v> </v>
      </c>
      <c r="F3714" s="21"/>
    </row>
    <row r="3715">
      <c r="A3715" s="19">
        <v>15324.0</v>
      </c>
      <c r="B3715" s="19" t="s">
        <v>3739</v>
      </c>
      <c r="C3715" s="20">
        <v>25994.0</v>
      </c>
      <c r="D3715" s="19" t="str">
        <f t="shared" si="1"/>
        <v> </v>
      </c>
      <c r="E3715" s="19" t="str">
        <f t="shared" si="2"/>
        <v> </v>
      </c>
      <c r="F3715" s="21"/>
    </row>
    <row r="3716">
      <c r="A3716" s="19">
        <v>15325.0</v>
      </c>
      <c r="B3716" s="19" t="s">
        <v>3740</v>
      </c>
      <c r="C3716" s="20">
        <v>28657.0</v>
      </c>
      <c r="D3716" s="19" t="str">
        <f t="shared" si="1"/>
        <v> </v>
      </c>
      <c r="E3716" s="19" t="str">
        <f t="shared" si="2"/>
        <v> </v>
      </c>
      <c r="F3716" s="21"/>
    </row>
    <row r="3717">
      <c r="A3717" s="19">
        <v>15326.0</v>
      </c>
      <c r="B3717" s="19" t="s">
        <v>3741</v>
      </c>
      <c r="C3717" s="20">
        <v>26038.0</v>
      </c>
      <c r="D3717" s="19" t="str">
        <f t="shared" si="1"/>
        <v> </v>
      </c>
      <c r="E3717" s="19" t="str">
        <f t="shared" si="2"/>
        <v> </v>
      </c>
      <c r="F3717" s="21"/>
    </row>
    <row r="3718">
      <c r="A3718" s="19">
        <v>15327.0</v>
      </c>
      <c r="B3718" s="19" t="s">
        <v>3742</v>
      </c>
      <c r="C3718" s="20">
        <v>13256.0</v>
      </c>
      <c r="D3718" s="19" t="str">
        <f t="shared" si="1"/>
        <v> </v>
      </c>
      <c r="E3718" s="19" t="str">
        <f t="shared" si="2"/>
        <v> </v>
      </c>
      <c r="F3718" s="21"/>
    </row>
    <row r="3719">
      <c r="A3719" s="19">
        <v>15328.0</v>
      </c>
      <c r="B3719" s="19" t="s">
        <v>3743</v>
      </c>
      <c r="C3719" s="20">
        <v>26212.0</v>
      </c>
      <c r="D3719" s="19" t="str">
        <f t="shared" si="1"/>
        <v> </v>
      </c>
      <c r="E3719" s="19" t="str">
        <f t="shared" si="2"/>
        <v> </v>
      </c>
      <c r="F3719" s="21"/>
    </row>
    <row r="3720">
      <c r="A3720" s="19">
        <v>15329.0</v>
      </c>
      <c r="B3720" s="19" t="s">
        <v>3744</v>
      </c>
      <c r="C3720" s="20">
        <v>26889.0</v>
      </c>
      <c r="D3720" s="19" t="str">
        <f t="shared" si="1"/>
        <v> </v>
      </c>
      <c r="E3720" s="19" t="str">
        <f t="shared" si="2"/>
        <v> </v>
      </c>
      <c r="F3720" s="21"/>
    </row>
    <row r="3721">
      <c r="A3721" s="19">
        <v>15330.0</v>
      </c>
      <c r="B3721" s="19" t="s">
        <v>3745</v>
      </c>
      <c r="C3721" s="20">
        <v>12342.0</v>
      </c>
      <c r="D3721" s="19" t="str">
        <f t="shared" si="1"/>
        <v> </v>
      </c>
      <c r="E3721" s="19" t="str">
        <f t="shared" si="2"/>
        <v> </v>
      </c>
      <c r="F3721" s="21"/>
    </row>
    <row r="3722">
      <c r="A3722" s="19">
        <v>15331.0</v>
      </c>
      <c r="B3722" s="19" t="s">
        <v>3746</v>
      </c>
      <c r="C3722" s="20">
        <v>23051.0</v>
      </c>
      <c r="D3722" s="19" t="str">
        <f t="shared" si="1"/>
        <v> </v>
      </c>
      <c r="E3722" s="19" t="str">
        <f t="shared" si="2"/>
        <v> </v>
      </c>
      <c r="F3722" s="21"/>
    </row>
    <row r="3723">
      <c r="A3723" s="19">
        <v>15333.0</v>
      </c>
      <c r="B3723" s="19" t="s">
        <v>3747</v>
      </c>
      <c r="C3723" s="20">
        <v>19284.0</v>
      </c>
      <c r="D3723" s="19" t="str">
        <f t="shared" si="1"/>
        <v> </v>
      </c>
      <c r="E3723" s="19" t="str">
        <f t="shared" si="2"/>
        <v> </v>
      </c>
      <c r="F3723" s="21"/>
    </row>
    <row r="3724">
      <c r="A3724" s="19">
        <v>15334.0</v>
      </c>
      <c r="B3724" s="19" t="s">
        <v>3748</v>
      </c>
      <c r="C3724" s="20">
        <v>25400.0</v>
      </c>
      <c r="D3724" s="19" t="str">
        <f t="shared" si="1"/>
        <v> </v>
      </c>
      <c r="E3724" s="19" t="str">
        <f t="shared" si="2"/>
        <v> </v>
      </c>
      <c r="F3724" s="21"/>
    </row>
    <row r="3725">
      <c r="A3725" s="19">
        <v>15335.0</v>
      </c>
      <c r="B3725" s="19" t="s">
        <v>3749</v>
      </c>
      <c r="C3725" s="20">
        <v>33029.0</v>
      </c>
      <c r="D3725" s="19" t="str">
        <f t="shared" si="1"/>
        <v> </v>
      </c>
      <c r="E3725" s="19" t="str">
        <f t="shared" si="2"/>
        <v> </v>
      </c>
      <c r="F3725" s="21"/>
    </row>
    <row r="3726">
      <c r="A3726" s="19">
        <v>15336.0</v>
      </c>
      <c r="B3726" s="19" t="s">
        <v>3750</v>
      </c>
      <c r="C3726" s="20">
        <v>23002.0</v>
      </c>
      <c r="D3726" s="19" t="str">
        <f t="shared" si="1"/>
        <v> </v>
      </c>
      <c r="E3726" s="19" t="str">
        <f t="shared" si="2"/>
        <v> </v>
      </c>
      <c r="F3726" s="21"/>
    </row>
    <row r="3727">
      <c r="A3727" s="19">
        <v>15337.0</v>
      </c>
      <c r="B3727" s="19" t="s">
        <v>3751</v>
      </c>
      <c r="C3727" s="20">
        <v>29323.0</v>
      </c>
      <c r="D3727" s="19" t="str">
        <f t="shared" si="1"/>
        <v> </v>
      </c>
      <c r="E3727" s="19" t="str">
        <f t="shared" si="2"/>
        <v> </v>
      </c>
      <c r="F3727" s="21"/>
    </row>
    <row r="3728">
      <c r="A3728" s="19">
        <v>15338.0</v>
      </c>
      <c r="B3728" s="19" t="s">
        <v>3752</v>
      </c>
      <c r="C3728" s="20">
        <v>23852.0</v>
      </c>
      <c r="D3728" s="19" t="str">
        <f t="shared" si="1"/>
        <v> </v>
      </c>
      <c r="E3728" s="19" t="str">
        <f t="shared" si="2"/>
        <v> </v>
      </c>
      <c r="F3728" s="21"/>
    </row>
    <row r="3729">
      <c r="A3729" s="19">
        <v>15339.0</v>
      </c>
      <c r="B3729" s="19" t="s">
        <v>3753</v>
      </c>
      <c r="C3729" s="20">
        <v>13992.0</v>
      </c>
      <c r="D3729" s="19" t="str">
        <f t="shared" si="1"/>
        <v> </v>
      </c>
      <c r="E3729" s="19" t="str">
        <f t="shared" si="2"/>
        <v> </v>
      </c>
      <c r="F3729" s="21"/>
    </row>
    <row r="3730">
      <c r="A3730" s="19">
        <v>15340.0</v>
      </c>
      <c r="B3730" s="19" t="s">
        <v>3754</v>
      </c>
      <c r="C3730" s="20">
        <v>20218.0</v>
      </c>
      <c r="D3730" s="19" t="str">
        <f t="shared" si="1"/>
        <v> </v>
      </c>
      <c r="E3730" s="19" t="str">
        <f t="shared" si="2"/>
        <v> </v>
      </c>
      <c r="F3730" s="21"/>
    </row>
    <row r="3731">
      <c r="A3731" s="19">
        <v>15341.0</v>
      </c>
      <c r="B3731" s="19" t="s">
        <v>3755</v>
      </c>
      <c r="C3731" s="20">
        <v>18032.0</v>
      </c>
      <c r="D3731" s="19" t="str">
        <f t="shared" si="1"/>
        <v> </v>
      </c>
      <c r="E3731" s="19" t="str">
        <f t="shared" si="2"/>
        <v> </v>
      </c>
      <c r="F3731" s="21"/>
    </row>
    <row r="3732">
      <c r="A3732" s="19">
        <v>15342.0</v>
      </c>
      <c r="B3732" s="19" t="s">
        <v>3756</v>
      </c>
      <c r="C3732" s="20">
        <v>20028.0</v>
      </c>
      <c r="D3732" s="19" t="str">
        <f t="shared" si="1"/>
        <v> </v>
      </c>
      <c r="E3732" s="19" t="str">
        <f t="shared" si="2"/>
        <v> </v>
      </c>
      <c r="F3732" s="21"/>
    </row>
    <row r="3733">
      <c r="A3733" s="19">
        <v>15343.0</v>
      </c>
      <c r="B3733" s="19" t="s">
        <v>3757</v>
      </c>
      <c r="C3733" s="20">
        <v>31003.0</v>
      </c>
      <c r="D3733" s="19" t="str">
        <f t="shared" si="1"/>
        <v> </v>
      </c>
      <c r="E3733" s="19" t="str">
        <f t="shared" si="2"/>
        <v> </v>
      </c>
      <c r="F3733" s="21"/>
    </row>
    <row r="3734">
      <c r="A3734" s="19">
        <v>15345.0</v>
      </c>
      <c r="B3734" s="19" t="s">
        <v>3758</v>
      </c>
      <c r="C3734" s="20">
        <v>22955.0</v>
      </c>
      <c r="D3734" s="19" t="str">
        <f t="shared" si="1"/>
        <v> </v>
      </c>
      <c r="E3734" s="19" t="str">
        <f t="shared" si="2"/>
        <v> </v>
      </c>
      <c r="F3734" s="21"/>
    </row>
    <row r="3735">
      <c r="A3735" s="19">
        <v>15346.0</v>
      </c>
      <c r="B3735" s="19" t="s">
        <v>3759</v>
      </c>
      <c r="C3735" s="20">
        <v>24452.0</v>
      </c>
      <c r="D3735" s="19" t="str">
        <f t="shared" si="1"/>
        <v> </v>
      </c>
      <c r="E3735" s="19" t="str">
        <f t="shared" si="2"/>
        <v> </v>
      </c>
      <c r="F3735" s="21"/>
    </row>
    <row r="3736">
      <c r="A3736" s="19">
        <v>15347.0</v>
      </c>
      <c r="B3736" s="19" t="s">
        <v>3760</v>
      </c>
      <c r="C3736" s="20">
        <v>17638.0</v>
      </c>
      <c r="D3736" s="19" t="str">
        <f t="shared" si="1"/>
        <v> </v>
      </c>
      <c r="E3736" s="19" t="str">
        <f t="shared" si="2"/>
        <v> </v>
      </c>
      <c r="F3736" s="21"/>
    </row>
    <row r="3737">
      <c r="A3737" s="19">
        <v>15348.0</v>
      </c>
      <c r="B3737" s="19" t="s">
        <v>3761</v>
      </c>
      <c r="C3737" s="20">
        <v>22242.0</v>
      </c>
      <c r="D3737" s="19" t="str">
        <f t="shared" si="1"/>
        <v> </v>
      </c>
      <c r="E3737" s="19" t="str">
        <f t="shared" si="2"/>
        <v> </v>
      </c>
      <c r="F3737" s="21"/>
    </row>
    <row r="3738">
      <c r="A3738" s="19">
        <v>15349.0</v>
      </c>
      <c r="B3738" s="19" t="s">
        <v>3762</v>
      </c>
      <c r="C3738" s="20">
        <v>25447.0</v>
      </c>
      <c r="D3738" s="19" t="str">
        <f t="shared" si="1"/>
        <v> </v>
      </c>
      <c r="E3738" s="19" t="str">
        <f t="shared" si="2"/>
        <v> </v>
      </c>
      <c r="F3738" s="21"/>
    </row>
    <row r="3739">
      <c r="A3739" s="19">
        <v>15350.0</v>
      </c>
      <c r="B3739" s="19" t="s">
        <v>3763</v>
      </c>
      <c r="C3739" s="20">
        <v>22833.0</v>
      </c>
      <c r="D3739" s="19" t="str">
        <f t="shared" si="1"/>
        <v> </v>
      </c>
      <c r="E3739" s="19" t="str">
        <f t="shared" si="2"/>
        <v> </v>
      </c>
      <c r="F3739" s="21"/>
    </row>
    <row r="3740">
      <c r="A3740" s="19">
        <v>15351.0</v>
      </c>
      <c r="B3740" s="19" t="s">
        <v>3764</v>
      </c>
      <c r="C3740" s="20">
        <v>26303.0</v>
      </c>
      <c r="D3740" s="19" t="str">
        <f t="shared" si="1"/>
        <v> </v>
      </c>
      <c r="E3740" s="19" t="str">
        <f t="shared" si="2"/>
        <v> </v>
      </c>
      <c r="F3740" s="21"/>
    </row>
    <row r="3741">
      <c r="A3741" s="19">
        <v>15352.0</v>
      </c>
      <c r="B3741" s="19" t="s">
        <v>3765</v>
      </c>
      <c r="C3741" s="20">
        <v>18942.0</v>
      </c>
      <c r="D3741" s="19" t="str">
        <f t="shared" si="1"/>
        <v>Repeat</v>
      </c>
      <c r="E3741" s="19" t="str">
        <f t="shared" si="2"/>
        <v> </v>
      </c>
      <c r="F3741" s="21"/>
    </row>
    <row r="3742">
      <c r="A3742" s="19">
        <v>15353.0</v>
      </c>
      <c r="B3742" s="19" t="s">
        <v>3766</v>
      </c>
      <c r="C3742" s="20">
        <v>14102.0</v>
      </c>
      <c r="D3742" s="19" t="str">
        <f t="shared" si="1"/>
        <v> </v>
      </c>
      <c r="E3742" s="19" t="str">
        <f t="shared" si="2"/>
        <v> </v>
      </c>
      <c r="F3742" s="21"/>
    </row>
    <row r="3743">
      <c r="A3743" s="19">
        <v>15354.0</v>
      </c>
      <c r="B3743" s="19" t="s">
        <v>3767</v>
      </c>
      <c r="C3743" s="20">
        <v>25160.0</v>
      </c>
      <c r="D3743" s="19" t="str">
        <f t="shared" si="1"/>
        <v> </v>
      </c>
      <c r="E3743" s="19" t="str">
        <f t="shared" si="2"/>
        <v> </v>
      </c>
      <c r="F3743" s="21"/>
    </row>
    <row r="3744">
      <c r="A3744" s="19">
        <v>15355.0</v>
      </c>
      <c r="B3744" s="19" t="s">
        <v>3768</v>
      </c>
      <c r="C3744" s="20">
        <v>17678.0</v>
      </c>
      <c r="D3744" s="19" t="str">
        <f t="shared" si="1"/>
        <v> </v>
      </c>
      <c r="E3744" s="19" t="str">
        <f t="shared" si="2"/>
        <v> </v>
      </c>
      <c r="F3744" s="21"/>
    </row>
    <row r="3745">
      <c r="A3745" s="19">
        <v>15356.0</v>
      </c>
      <c r="B3745" s="19" t="s">
        <v>3769</v>
      </c>
      <c r="C3745" s="20">
        <v>19211.0</v>
      </c>
      <c r="D3745" s="19" t="str">
        <f t="shared" si="1"/>
        <v>Repeat</v>
      </c>
      <c r="E3745" s="19" t="str">
        <f t="shared" si="2"/>
        <v> </v>
      </c>
      <c r="F3745" s="21"/>
    </row>
    <row r="3746">
      <c r="A3746" s="19">
        <v>15358.0</v>
      </c>
      <c r="B3746" s="19" t="s">
        <v>3770</v>
      </c>
      <c r="C3746" s="20">
        <v>26371.0</v>
      </c>
      <c r="D3746" s="19" t="str">
        <f t="shared" si="1"/>
        <v> </v>
      </c>
      <c r="E3746" s="19" t="str">
        <f t="shared" si="2"/>
        <v> </v>
      </c>
      <c r="F3746" s="21"/>
    </row>
    <row r="3747">
      <c r="A3747" s="19">
        <v>15359.0</v>
      </c>
      <c r="B3747" s="19" t="s">
        <v>3771</v>
      </c>
      <c r="C3747" s="20">
        <v>29328.0</v>
      </c>
      <c r="D3747" s="19" t="str">
        <f t="shared" si="1"/>
        <v> </v>
      </c>
      <c r="E3747" s="19" t="str">
        <f t="shared" si="2"/>
        <v> </v>
      </c>
      <c r="F3747" s="21"/>
    </row>
    <row r="3748">
      <c r="A3748" s="19">
        <v>15360.0</v>
      </c>
      <c r="B3748" s="19" t="s">
        <v>3772</v>
      </c>
      <c r="C3748" s="20">
        <v>28604.0</v>
      </c>
      <c r="D3748" s="19" t="str">
        <f t="shared" si="1"/>
        <v> </v>
      </c>
      <c r="E3748" s="19" t="str">
        <f t="shared" si="2"/>
        <v> </v>
      </c>
      <c r="F3748" s="21"/>
    </row>
    <row r="3749">
      <c r="A3749" s="19">
        <v>15361.0</v>
      </c>
      <c r="B3749" s="19" t="s">
        <v>3773</v>
      </c>
      <c r="C3749" s="20">
        <v>21945.0</v>
      </c>
      <c r="D3749" s="19" t="str">
        <f t="shared" si="1"/>
        <v> </v>
      </c>
      <c r="E3749" s="19" t="str">
        <f t="shared" si="2"/>
        <v> </v>
      </c>
      <c r="F3749" s="21"/>
    </row>
    <row r="3750">
      <c r="A3750" s="19">
        <v>15362.0</v>
      </c>
      <c r="B3750" s="19" t="s">
        <v>3774</v>
      </c>
      <c r="C3750" s="20">
        <v>23259.0</v>
      </c>
      <c r="D3750" s="19" t="str">
        <f t="shared" si="1"/>
        <v> </v>
      </c>
      <c r="E3750" s="19" t="str">
        <f t="shared" si="2"/>
        <v> </v>
      </c>
      <c r="F3750" s="21"/>
    </row>
    <row r="3751">
      <c r="A3751" s="19">
        <v>15363.0</v>
      </c>
      <c r="B3751" s="19" t="s">
        <v>3775</v>
      </c>
      <c r="C3751" s="20">
        <v>15602.0</v>
      </c>
      <c r="D3751" s="19" t="str">
        <f t="shared" si="1"/>
        <v> </v>
      </c>
      <c r="E3751" s="19" t="str">
        <f t="shared" si="2"/>
        <v> </v>
      </c>
      <c r="F3751" s="21"/>
    </row>
    <row r="3752">
      <c r="A3752" s="19">
        <v>15366.0</v>
      </c>
      <c r="B3752" s="19" t="s">
        <v>3776</v>
      </c>
      <c r="C3752" s="20">
        <v>34555.0</v>
      </c>
      <c r="D3752" s="19" t="str">
        <f t="shared" si="1"/>
        <v> </v>
      </c>
      <c r="E3752" s="19" t="str">
        <f t="shared" si="2"/>
        <v> </v>
      </c>
      <c r="F3752" s="21"/>
    </row>
    <row r="3753">
      <c r="A3753" s="19">
        <v>15367.0</v>
      </c>
      <c r="B3753" s="19" t="s">
        <v>3777</v>
      </c>
      <c r="C3753" s="20">
        <v>13516.0</v>
      </c>
      <c r="D3753" s="19" t="str">
        <f t="shared" si="1"/>
        <v> </v>
      </c>
      <c r="E3753" s="19" t="str">
        <f t="shared" si="2"/>
        <v> </v>
      </c>
      <c r="F3753" s="21"/>
    </row>
    <row r="3754">
      <c r="A3754" s="19">
        <v>15368.0</v>
      </c>
      <c r="B3754" s="19" t="s">
        <v>3778</v>
      </c>
      <c r="C3754" s="20">
        <v>14748.0</v>
      </c>
      <c r="D3754" s="19" t="str">
        <f t="shared" si="1"/>
        <v> </v>
      </c>
      <c r="E3754" s="19" t="str">
        <f t="shared" si="2"/>
        <v> </v>
      </c>
      <c r="F3754" s="21"/>
    </row>
    <row r="3755">
      <c r="A3755" s="19">
        <v>15369.0</v>
      </c>
      <c r="B3755" s="19" t="s">
        <v>3779</v>
      </c>
      <c r="C3755" s="20">
        <v>20429.0</v>
      </c>
      <c r="D3755" s="19" t="str">
        <f t="shared" si="1"/>
        <v> </v>
      </c>
      <c r="E3755" s="19" t="str">
        <f t="shared" si="2"/>
        <v> </v>
      </c>
      <c r="F3755" s="21"/>
    </row>
    <row r="3756">
      <c r="A3756" s="19">
        <v>15370.0</v>
      </c>
      <c r="B3756" s="19" t="s">
        <v>3780</v>
      </c>
      <c r="C3756" s="20">
        <v>17065.0</v>
      </c>
      <c r="D3756" s="19" t="str">
        <f t="shared" si="1"/>
        <v> </v>
      </c>
      <c r="E3756" s="19" t="str">
        <f t="shared" si="2"/>
        <v> </v>
      </c>
      <c r="F3756" s="21"/>
    </row>
    <row r="3757">
      <c r="A3757" s="19">
        <v>15371.0</v>
      </c>
      <c r="B3757" s="19" t="s">
        <v>3781</v>
      </c>
      <c r="C3757" s="20">
        <v>20440.0</v>
      </c>
      <c r="D3757" s="19" t="str">
        <f t="shared" si="1"/>
        <v> </v>
      </c>
      <c r="E3757" s="19" t="str">
        <f t="shared" si="2"/>
        <v> </v>
      </c>
      <c r="F3757" s="21"/>
    </row>
    <row r="3758">
      <c r="A3758" s="19">
        <v>15372.0</v>
      </c>
      <c r="B3758" s="19" t="s">
        <v>3782</v>
      </c>
      <c r="C3758" s="20">
        <v>17930.0</v>
      </c>
      <c r="D3758" s="19" t="str">
        <f t="shared" si="1"/>
        <v> </v>
      </c>
      <c r="E3758" s="19" t="str">
        <f t="shared" si="2"/>
        <v> </v>
      </c>
      <c r="F3758" s="21"/>
    </row>
    <row r="3759">
      <c r="A3759" s="19">
        <v>15374.0</v>
      </c>
      <c r="B3759" s="19" t="s">
        <v>3783</v>
      </c>
      <c r="C3759" s="20">
        <v>32583.0</v>
      </c>
      <c r="D3759" s="19" t="str">
        <f t="shared" si="1"/>
        <v> </v>
      </c>
      <c r="E3759" s="19" t="str">
        <f t="shared" si="2"/>
        <v> </v>
      </c>
      <c r="F3759" s="21"/>
    </row>
    <row r="3760">
      <c r="A3760" s="19">
        <v>15375.0</v>
      </c>
      <c r="B3760" s="19" t="s">
        <v>3784</v>
      </c>
      <c r="C3760" s="20">
        <v>26002.0</v>
      </c>
      <c r="D3760" s="19" t="str">
        <f t="shared" si="1"/>
        <v> </v>
      </c>
      <c r="E3760" s="19" t="str">
        <f t="shared" si="2"/>
        <v> </v>
      </c>
      <c r="F3760" s="21"/>
    </row>
    <row r="3761">
      <c r="A3761" s="19">
        <v>15376.0</v>
      </c>
      <c r="B3761" s="19" t="s">
        <v>3785</v>
      </c>
      <c r="C3761" s="20">
        <v>25959.0</v>
      </c>
      <c r="D3761" s="19" t="str">
        <f t="shared" si="1"/>
        <v> </v>
      </c>
      <c r="E3761" s="19" t="str">
        <f t="shared" si="2"/>
        <v> </v>
      </c>
      <c r="F3761" s="21"/>
    </row>
    <row r="3762">
      <c r="A3762" s="19">
        <v>15377.0</v>
      </c>
      <c r="B3762" s="19" t="s">
        <v>3786</v>
      </c>
      <c r="C3762" s="20">
        <v>20329.0</v>
      </c>
      <c r="D3762" s="19" t="str">
        <f t="shared" si="1"/>
        <v> </v>
      </c>
      <c r="E3762" s="19" t="str">
        <f t="shared" si="2"/>
        <v> </v>
      </c>
      <c r="F3762" s="21"/>
    </row>
    <row r="3763">
      <c r="A3763" s="19">
        <v>15378.0</v>
      </c>
      <c r="B3763" s="19" t="s">
        <v>3787</v>
      </c>
      <c r="C3763" s="20">
        <v>20866.0</v>
      </c>
      <c r="D3763" s="19" t="str">
        <f t="shared" si="1"/>
        <v> </v>
      </c>
      <c r="E3763" s="19" t="str">
        <f t="shared" si="2"/>
        <v> </v>
      </c>
      <c r="F3763" s="21"/>
    </row>
    <row r="3764">
      <c r="A3764" s="19">
        <v>15379.0</v>
      </c>
      <c r="B3764" s="19" t="s">
        <v>3788</v>
      </c>
      <c r="C3764" s="20">
        <v>17858.0</v>
      </c>
      <c r="D3764" s="19" t="str">
        <f t="shared" si="1"/>
        <v>Repeat</v>
      </c>
      <c r="E3764" s="19" t="str">
        <f t="shared" si="2"/>
        <v> </v>
      </c>
      <c r="F3764" s="21"/>
    </row>
    <row r="3765">
      <c r="A3765" s="19">
        <v>15380.0</v>
      </c>
      <c r="B3765" s="19" t="s">
        <v>3789</v>
      </c>
      <c r="C3765" s="20">
        <v>23270.0</v>
      </c>
      <c r="D3765" s="19" t="str">
        <f t="shared" si="1"/>
        <v> </v>
      </c>
      <c r="E3765" s="19" t="str">
        <f t="shared" si="2"/>
        <v> </v>
      </c>
      <c r="F3765" s="21"/>
    </row>
    <row r="3766">
      <c r="A3766" s="19">
        <v>15381.0</v>
      </c>
      <c r="B3766" s="19" t="s">
        <v>3790</v>
      </c>
      <c r="C3766" s="20">
        <v>16369.0</v>
      </c>
      <c r="D3766" s="19" t="str">
        <f t="shared" si="1"/>
        <v> </v>
      </c>
      <c r="E3766" s="19" t="str">
        <f t="shared" si="2"/>
        <v> </v>
      </c>
      <c r="F3766" s="21"/>
    </row>
    <row r="3767">
      <c r="A3767" s="19">
        <v>15382.0</v>
      </c>
      <c r="B3767" s="19" t="s">
        <v>3791</v>
      </c>
      <c r="C3767" s="20">
        <v>22192.0</v>
      </c>
      <c r="D3767" s="19" t="str">
        <f t="shared" si="1"/>
        <v> </v>
      </c>
      <c r="E3767" s="19" t="str">
        <f t="shared" si="2"/>
        <v> </v>
      </c>
      <c r="F3767" s="21"/>
    </row>
    <row r="3768">
      <c r="A3768" s="19">
        <v>15383.0</v>
      </c>
      <c r="B3768" s="19" t="s">
        <v>3792</v>
      </c>
      <c r="C3768" s="20">
        <v>18387.0</v>
      </c>
      <c r="D3768" s="19" t="str">
        <f t="shared" si="1"/>
        <v> </v>
      </c>
      <c r="E3768" s="19" t="str">
        <f t="shared" si="2"/>
        <v> </v>
      </c>
      <c r="F3768" s="21"/>
    </row>
    <row r="3769">
      <c r="A3769" s="19">
        <v>15384.0</v>
      </c>
      <c r="B3769" s="19" t="s">
        <v>3793</v>
      </c>
      <c r="C3769" s="20">
        <v>19744.0</v>
      </c>
      <c r="D3769" s="19" t="str">
        <f t="shared" si="1"/>
        <v> </v>
      </c>
      <c r="E3769" s="19" t="str">
        <f t="shared" si="2"/>
        <v> </v>
      </c>
      <c r="F3769" s="21"/>
    </row>
    <row r="3770">
      <c r="A3770" s="19">
        <v>15385.0</v>
      </c>
      <c r="B3770" s="19" t="s">
        <v>3794</v>
      </c>
      <c r="C3770" s="20">
        <v>33331.0</v>
      </c>
      <c r="D3770" s="19" t="str">
        <f t="shared" si="1"/>
        <v> </v>
      </c>
      <c r="E3770" s="19" t="str">
        <f t="shared" si="2"/>
        <v> </v>
      </c>
      <c r="F3770" s="21"/>
    </row>
    <row r="3771">
      <c r="A3771" s="19">
        <v>15386.0</v>
      </c>
      <c r="B3771" s="19" t="s">
        <v>3795</v>
      </c>
      <c r="C3771" s="20">
        <v>16780.0</v>
      </c>
      <c r="D3771" s="19" t="str">
        <f t="shared" si="1"/>
        <v> </v>
      </c>
      <c r="E3771" s="19" t="str">
        <f t="shared" si="2"/>
        <v> </v>
      </c>
      <c r="F3771" s="21"/>
    </row>
    <row r="3772">
      <c r="A3772" s="19">
        <v>15387.0</v>
      </c>
      <c r="B3772" s="19" t="s">
        <v>3796</v>
      </c>
      <c r="C3772" s="20">
        <v>30148.0</v>
      </c>
      <c r="D3772" s="19" t="str">
        <f t="shared" si="1"/>
        <v> </v>
      </c>
      <c r="E3772" s="19" t="str">
        <f t="shared" si="2"/>
        <v> </v>
      </c>
      <c r="F3772" s="21"/>
    </row>
    <row r="3773">
      <c r="A3773" s="19">
        <v>15388.0</v>
      </c>
      <c r="B3773" s="19" t="s">
        <v>3797</v>
      </c>
      <c r="C3773" s="20">
        <v>20125.0</v>
      </c>
      <c r="D3773" s="19" t="str">
        <f t="shared" si="1"/>
        <v> </v>
      </c>
      <c r="E3773" s="19" t="str">
        <f t="shared" si="2"/>
        <v> </v>
      </c>
      <c r="F3773" s="21"/>
    </row>
    <row r="3774">
      <c r="A3774" s="19">
        <v>15389.0</v>
      </c>
      <c r="B3774" s="19" t="s">
        <v>3798</v>
      </c>
      <c r="C3774" s="20">
        <v>15601.0</v>
      </c>
      <c r="D3774" s="19" t="str">
        <f t="shared" si="1"/>
        <v> </v>
      </c>
      <c r="E3774" s="19" t="str">
        <f t="shared" si="2"/>
        <v> </v>
      </c>
      <c r="F3774" s="21"/>
    </row>
    <row r="3775">
      <c r="A3775" s="19">
        <v>15390.0</v>
      </c>
      <c r="B3775" s="19" t="s">
        <v>3799</v>
      </c>
      <c r="C3775" s="20">
        <v>21294.0</v>
      </c>
      <c r="D3775" s="19" t="str">
        <f t="shared" si="1"/>
        <v> </v>
      </c>
      <c r="E3775" s="19" t="str">
        <f t="shared" si="2"/>
        <v> </v>
      </c>
      <c r="F3775" s="21"/>
    </row>
    <row r="3776">
      <c r="A3776" s="19">
        <v>15391.0</v>
      </c>
      <c r="B3776" s="19" t="s">
        <v>3800</v>
      </c>
      <c r="C3776" s="20">
        <v>29802.0</v>
      </c>
      <c r="D3776" s="19" t="str">
        <f t="shared" si="1"/>
        <v> </v>
      </c>
      <c r="E3776" s="19" t="str">
        <f t="shared" si="2"/>
        <v> </v>
      </c>
      <c r="F3776" s="21"/>
    </row>
    <row r="3777">
      <c r="A3777" s="19">
        <v>15392.0</v>
      </c>
      <c r="B3777" s="19" t="s">
        <v>3801</v>
      </c>
      <c r="C3777" s="20">
        <v>19488.0</v>
      </c>
      <c r="D3777" s="19" t="str">
        <f t="shared" si="1"/>
        <v> </v>
      </c>
      <c r="E3777" s="19" t="str">
        <f t="shared" si="2"/>
        <v> </v>
      </c>
      <c r="F3777" s="21"/>
    </row>
    <row r="3778">
      <c r="A3778" s="19">
        <v>15393.0</v>
      </c>
      <c r="B3778" s="19" t="s">
        <v>3802</v>
      </c>
      <c r="C3778" s="20">
        <v>24671.0</v>
      </c>
      <c r="D3778" s="19" t="str">
        <f t="shared" si="1"/>
        <v> </v>
      </c>
      <c r="E3778" s="19" t="str">
        <f t="shared" si="2"/>
        <v> </v>
      </c>
      <c r="F3778" s="21"/>
    </row>
    <row r="3779">
      <c r="A3779" s="19">
        <v>15394.0</v>
      </c>
      <c r="B3779" s="19" t="s">
        <v>3803</v>
      </c>
      <c r="C3779" s="20">
        <v>11812.0</v>
      </c>
      <c r="D3779" s="19" t="str">
        <f t="shared" si="1"/>
        <v> </v>
      </c>
      <c r="E3779" s="19" t="str">
        <f t="shared" si="2"/>
        <v> </v>
      </c>
      <c r="F3779" s="21"/>
    </row>
    <row r="3780">
      <c r="A3780" s="19">
        <v>15395.0</v>
      </c>
      <c r="B3780" s="19" t="s">
        <v>3804</v>
      </c>
      <c r="C3780" s="20">
        <v>22769.0</v>
      </c>
      <c r="D3780" s="19" t="str">
        <f t="shared" si="1"/>
        <v> </v>
      </c>
      <c r="E3780" s="19" t="str">
        <f t="shared" si="2"/>
        <v> </v>
      </c>
      <c r="F3780" s="21"/>
    </row>
    <row r="3781">
      <c r="A3781" s="19">
        <v>15396.0</v>
      </c>
      <c r="B3781" s="19" t="s">
        <v>3805</v>
      </c>
      <c r="C3781" s="20">
        <v>18121.0</v>
      </c>
      <c r="D3781" s="19" t="str">
        <f t="shared" si="1"/>
        <v> </v>
      </c>
      <c r="E3781" s="19" t="str">
        <f t="shared" si="2"/>
        <v> </v>
      </c>
      <c r="F3781" s="21"/>
    </row>
    <row r="3782">
      <c r="A3782" s="19">
        <v>15397.0</v>
      </c>
      <c r="B3782" s="19" t="s">
        <v>3806</v>
      </c>
      <c r="C3782" s="20">
        <v>14602.0</v>
      </c>
      <c r="D3782" s="19" t="str">
        <f t="shared" si="1"/>
        <v> </v>
      </c>
      <c r="E3782" s="19" t="str">
        <f t="shared" si="2"/>
        <v> </v>
      </c>
      <c r="F3782" s="21"/>
    </row>
    <row r="3783">
      <c r="A3783" s="19">
        <v>15398.0</v>
      </c>
      <c r="B3783" s="19" t="s">
        <v>3807</v>
      </c>
      <c r="C3783" s="20">
        <v>32565.0</v>
      </c>
      <c r="D3783" s="19" t="str">
        <f t="shared" si="1"/>
        <v> </v>
      </c>
      <c r="E3783" s="19" t="str">
        <f t="shared" si="2"/>
        <v> </v>
      </c>
      <c r="F3783" s="21"/>
    </row>
    <row r="3784">
      <c r="A3784" s="19">
        <v>15399.0</v>
      </c>
      <c r="B3784" s="19" t="s">
        <v>3808</v>
      </c>
      <c r="C3784" s="20">
        <v>28732.0</v>
      </c>
      <c r="D3784" s="19" t="str">
        <f t="shared" si="1"/>
        <v> </v>
      </c>
      <c r="E3784" s="19" t="str">
        <f t="shared" si="2"/>
        <v> </v>
      </c>
      <c r="F3784" s="21"/>
    </row>
    <row r="3785">
      <c r="A3785" s="19">
        <v>15400.0</v>
      </c>
      <c r="B3785" s="19" t="s">
        <v>3809</v>
      </c>
      <c r="C3785" s="20">
        <v>37959.0</v>
      </c>
      <c r="D3785" s="19" t="str">
        <f t="shared" si="1"/>
        <v> </v>
      </c>
      <c r="E3785" s="19" t="str">
        <f t="shared" si="2"/>
        <v> </v>
      </c>
      <c r="F3785" s="21"/>
    </row>
    <row r="3786">
      <c r="A3786" s="19">
        <v>15401.0</v>
      </c>
      <c r="B3786" s="19" t="s">
        <v>3810</v>
      </c>
      <c r="C3786" s="20">
        <v>15105.0</v>
      </c>
      <c r="D3786" s="19" t="str">
        <f t="shared" si="1"/>
        <v> </v>
      </c>
      <c r="E3786" s="19" t="str">
        <f t="shared" si="2"/>
        <v> </v>
      </c>
      <c r="F3786" s="21"/>
    </row>
    <row r="3787">
      <c r="A3787" s="19">
        <v>15402.0</v>
      </c>
      <c r="B3787" s="19" t="s">
        <v>3811</v>
      </c>
      <c r="C3787" s="20">
        <v>16062.0</v>
      </c>
      <c r="D3787" s="19" t="str">
        <f t="shared" si="1"/>
        <v> </v>
      </c>
      <c r="E3787" s="19" t="str">
        <f t="shared" si="2"/>
        <v> </v>
      </c>
      <c r="F3787" s="21"/>
    </row>
    <row r="3788">
      <c r="A3788" s="19">
        <v>15404.0</v>
      </c>
      <c r="B3788" s="19" t="s">
        <v>3812</v>
      </c>
      <c r="C3788" s="20">
        <v>18529.0</v>
      </c>
      <c r="D3788" s="19" t="str">
        <f t="shared" si="1"/>
        <v> </v>
      </c>
      <c r="E3788" s="19" t="str">
        <f t="shared" si="2"/>
        <v> </v>
      </c>
      <c r="F3788" s="21"/>
    </row>
    <row r="3789">
      <c r="A3789" s="19">
        <v>15405.0</v>
      </c>
      <c r="B3789" s="19" t="s">
        <v>3813</v>
      </c>
      <c r="C3789" s="20">
        <v>17394.0</v>
      </c>
      <c r="D3789" s="19" t="str">
        <f t="shared" si="1"/>
        <v> </v>
      </c>
      <c r="E3789" s="19" t="str">
        <f t="shared" si="2"/>
        <v> </v>
      </c>
      <c r="F3789" s="21"/>
    </row>
    <row r="3790">
      <c r="A3790" s="19">
        <v>15407.0</v>
      </c>
      <c r="B3790" s="19" t="s">
        <v>3814</v>
      </c>
      <c r="C3790" s="20">
        <v>29641.0</v>
      </c>
      <c r="D3790" s="19" t="str">
        <f t="shared" si="1"/>
        <v> </v>
      </c>
      <c r="E3790" s="19" t="str">
        <f t="shared" si="2"/>
        <v> </v>
      </c>
      <c r="F3790" s="21"/>
    </row>
    <row r="3791">
      <c r="A3791" s="19">
        <v>15409.0</v>
      </c>
      <c r="B3791" s="19" t="s">
        <v>3815</v>
      </c>
      <c r="C3791" s="20">
        <v>16055.0</v>
      </c>
      <c r="D3791" s="19" t="str">
        <f t="shared" si="1"/>
        <v> </v>
      </c>
      <c r="E3791" s="19" t="str">
        <f t="shared" si="2"/>
        <v> </v>
      </c>
      <c r="F3791" s="21"/>
    </row>
    <row r="3792">
      <c r="A3792" s="19">
        <v>16898.0</v>
      </c>
      <c r="B3792" s="19" t="s">
        <v>3816</v>
      </c>
      <c r="C3792" s="20">
        <v>31559.0</v>
      </c>
      <c r="D3792" s="19" t="str">
        <f t="shared" si="1"/>
        <v> </v>
      </c>
      <c r="E3792" s="19" t="str">
        <f t="shared" si="2"/>
        <v> </v>
      </c>
      <c r="F3792" s="21"/>
    </row>
    <row r="3793">
      <c r="A3793" s="19">
        <v>15413.0</v>
      </c>
      <c r="B3793" s="19" t="s">
        <v>3817</v>
      </c>
      <c r="C3793" s="20">
        <v>16906.0</v>
      </c>
      <c r="D3793" s="19" t="str">
        <f t="shared" si="1"/>
        <v> </v>
      </c>
      <c r="E3793" s="19" t="str">
        <f t="shared" si="2"/>
        <v> </v>
      </c>
      <c r="F3793" s="21"/>
    </row>
    <row r="3794">
      <c r="A3794" s="19">
        <v>15417.0</v>
      </c>
      <c r="B3794" s="19" t="s">
        <v>3818</v>
      </c>
      <c r="C3794" s="20">
        <v>31218.0</v>
      </c>
      <c r="D3794" s="19" t="str">
        <f t="shared" si="1"/>
        <v> </v>
      </c>
      <c r="E3794" s="19" t="str">
        <f t="shared" si="2"/>
        <v> </v>
      </c>
      <c r="F3794" s="21"/>
    </row>
    <row r="3795">
      <c r="A3795" s="19">
        <v>15418.0</v>
      </c>
      <c r="B3795" s="19" t="s">
        <v>3819</v>
      </c>
      <c r="C3795" s="20">
        <v>20563.0</v>
      </c>
      <c r="D3795" s="19" t="str">
        <f t="shared" si="1"/>
        <v> </v>
      </c>
      <c r="E3795" s="19" t="str">
        <f t="shared" si="2"/>
        <v> </v>
      </c>
      <c r="F3795" s="21"/>
    </row>
    <row r="3796">
      <c r="A3796" s="19">
        <v>15419.0</v>
      </c>
      <c r="B3796" s="19" t="s">
        <v>3820</v>
      </c>
      <c r="C3796" s="20">
        <v>21554.0</v>
      </c>
      <c r="D3796" s="19" t="str">
        <f t="shared" si="1"/>
        <v> </v>
      </c>
      <c r="E3796" s="19" t="str">
        <f t="shared" si="2"/>
        <v> </v>
      </c>
      <c r="F3796" s="21"/>
    </row>
    <row r="3797">
      <c r="A3797" s="19">
        <v>15420.0</v>
      </c>
      <c r="B3797" s="19" t="s">
        <v>3821</v>
      </c>
      <c r="C3797" s="20">
        <v>25687.0</v>
      </c>
      <c r="D3797" s="19" t="str">
        <f t="shared" si="1"/>
        <v> </v>
      </c>
      <c r="E3797" s="19" t="str">
        <f t="shared" si="2"/>
        <v> </v>
      </c>
      <c r="F3797" s="21"/>
    </row>
    <row r="3798">
      <c r="A3798" s="19">
        <v>15421.0</v>
      </c>
      <c r="B3798" s="19" t="s">
        <v>3822</v>
      </c>
      <c r="C3798" s="20">
        <v>23275.0</v>
      </c>
      <c r="D3798" s="19" t="str">
        <f t="shared" si="1"/>
        <v> </v>
      </c>
      <c r="E3798" s="19" t="str">
        <f t="shared" si="2"/>
        <v> </v>
      </c>
      <c r="F3798" s="21"/>
    </row>
    <row r="3799">
      <c r="A3799" s="19">
        <v>15422.0</v>
      </c>
      <c r="B3799" s="19" t="s">
        <v>3823</v>
      </c>
      <c r="C3799" s="20">
        <v>27560.0</v>
      </c>
      <c r="D3799" s="19" t="str">
        <f t="shared" si="1"/>
        <v> </v>
      </c>
      <c r="E3799" s="19" t="str">
        <f t="shared" si="2"/>
        <v> </v>
      </c>
      <c r="F3799" s="21"/>
    </row>
    <row r="3800">
      <c r="A3800" s="19">
        <v>15423.0</v>
      </c>
      <c r="B3800" s="19" t="s">
        <v>3824</v>
      </c>
      <c r="C3800" s="20">
        <v>24363.0</v>
      </c>
      <c r="D3800" s="19" t="str">
        <f t="shared" si="1"/>
        <v> </v>
      </c>
      <c r="E3800" s="19" t="str">
        <f t="shared" si="2"/>
        <v> </v>
      </c>
      <c r="F3800" s="21"/>
    </row>
    <row r="3801">
      <c r="A3801" s="19">
        <v>15425.0</v>
      </c>
      <c r="B3801" s="19" t="s">
        <v>3825</v>
      </c>
      <c r="C3801" s="20">
        <v>31223.0</v>
      </c>
      <c r="D3801" s="19" t="str">
        <f t="shared" si="1"/>
        <v> </v>
      </c>
      <c r="E3801" s="19" t="str">
        <f t="shared" si="2"/>
        <v> </v>
      </c>
      <c r="F3801" s="21"/>
    </row>
    <row r="3802">
      <c r="A3802" s="19">
        <v>15426.0</v>
      </c>
      <c r="B3802" s="19" t="s">
        <v>3826</v>
      </c>
      <c r="C3802" s="20">
        <v>18470.0</v>
      </c>
      <c r="D3802" s="19" t="str">
        <f t="shared" si="1"/>
        <v> </v>
      </c>
      <c r="E3802" s="19" t="str">
        <f t="shared" si="2"/>
        <v> </v>
      </c>
      <c r="F3802" s="21"/>
    </row>
    <row r="3803">
      <c r="A3803" s="19">
        <v>15427.0</v>
      </c>
      <c r="B3803" s="19" t="s">
        <v>3827</v>
      </c>
      <c r="C3803" s="20">
        <v>21365.0</v>
      </c>
      <c r="D3803" s="19" t="str">
        <f t="shared" si="1"/>
        <v> </v>
      </c>
      <c r="E3803" s="19" t="str">
        <f t="shared" si="2"/>
        <v> </v>
      </c>
      <c r="F3803" s="21"/>
    </row>
    <row r="3804">
      <c r="A3804" s="19">
        <v>15428.0</v>
      </c>
      <c r="B3804" s="19" t="s">
        <v>3828</v>
      </c>
      <c r="C3804" s="20">
        <v>30271.0</v>
      </c>
      <c r="D3804" s="19" t="str">
        <f t="shared" si="1"/>
        <v> </v>
      </c>
      <c r="E3804" s="19" t="str">
        <f t="shared" si="2"/>
        <v> </v>
      </c>
      <c r="F3804" s="21"/>
    </row>
    <row r="3805">
      <c r="A3805" s="19">
        <v>15430.0</v>
      </c>
      <c r="B3805" s="19" t="s">
        <v>3829</v>
      </c>
      <c r="C3805" s="20">
        <v>28929.0</v>
      </c>
      <c r="D3805" s="19" t="str">
        <f t="shared" si="1"/>
        <v> </v>
      </c>
      <c r="E3805" s="19" t="str">
        <f t="shared" si="2"/>
        <v> </v>
      </c>
      <c r="F3805" s="21"/>
    </row>
    <row r="3806">
      <c r="A3806" s="19">
        <v>15432.0</v>
      </c>
      <c r="B3806" s="19" t="s">
        <v>3830</v>
      </c>
      <c r="C3806" s="20">
        <v>22895.0</v>
      </c>
      <c r="D3806" s="19" t="str">
        <f t="shared" si="1"/>
        <v> </v>
      </c>
      <c r="E3806" s="19" t="str">
        <f t="shared" si="2"/>
        <v> </v>
      </c>
      <c r="F3806" s="21"/>
    </row>
    <row r="3807">
      <c r="A3807" s="19">
        <v>15435.0</v>
      </c>
      <c r="B3807" s="19" t="s">
        <v>3831</v>
      </c>
      <c r="C3807" s="20">
        <v>36773.0</v>
      </c>
      <c r="D3807" s="19" t="str">
        <f t="shared" si="1"/>
        <v> </v>
      </c>
      <c r="E3807" s="19" t="str">
        <f t="shared" si="2"/>
        <v> </v>
      </c>
      <c r="F3807" s="21"/>
    </row>
    <row r="3808">
      <c r="A3808" s="19">
        <v>15436.0</v>
      </c>
      <c r="B3808" s="19" t="s">
        <v>3832</v>
      </c>
      <c r="C3808" s="20">
        <v>10430.0</v>
      </c>
      <c r="D3808" s="19" t="str">
        <f t="shared" si="1"/>
        <v> </v>
      </c>
      <c r="E3808" s="19" t="str">
        <f t="shared" si="2"/>
        <v> </v>
      </c>
      <c r="F3808" s="21"/>
    </row>
    <row r="3809">
      <c r="A3809" s="19">
        <v>15437.0</v>
      </c>
      <c r="B3809" s="19" t="s">
        <v>3833</v>
      </c>
      <c r="C3809" s="20">
        <v>22134.0</v>
      </c>
      <c r="D3809" s="19" t="str">
        <f t="shared" si="1"/>
        <v> </v>
      </c>
      <c r="E3809" s="19" t="str">
        <f t="shared" si="2"/>
        <v> </v>
      </c>
      <c r="F3809" s="21"/>
    </row>
    <row r="3810">
      <c r="A3810" s="19">
        <v>15439.0</v>
      </c>
      <c r="B3810" s="19" t="s">
        <v>3834</v>
      </c>
      <c r="C3810" s="20">
        <v>20339.0</v>
      </c>
      <c r="D3810" s="19" t="str">
        <f t="shared" si="1"/>
        <v> </v>
      </c>
      <c r="E3810" s="19" t="str">
        <f t="shared" si="2"/>
        <v> </v>
      </c>
      <c r="F3810" s="21"/>
    </row>
    <row r="3811">
      <c r="A3811" s="19">
        <v>15440.0</v>
      </c>
      <c r="B3811" s="19" t="s">
        <v>3835</v>
      </c>
      <c r="C3811" s="20">
        <v>31083.0</v>
      </c>
      <c r="D3811" s="19" t="str">
        <f t="shared" si="1"/>
        <v> </v>
      </c>
      <c r="E3811" s="19" t="str">
        <f t="shared" si="2"/>
        <v> </v>
      </c>
      <c r="F3811" s="21"/>
    </row>
    <row r="3812">
      <c r="A3812" s="19">
        <v>15441.0</v>
      </c>
      <c r="B3812" s="19" t="s">
        <v>3836</v>
      </c>
      <c r="C3812" s="20">
        <v>22431.0</v>
      </c>
      <c r="D3812" s="19" t="str">
        <f t="shared" si="1"/>
        <v> </v>
      </c>
      <c r="E3812" s="19" t="str">
        <f t="shared" si="2"/>
        <v> </v>
      </c>
      <c r="F3812" s="21"/>
    </row>
    <row r="3813">
      <c r="A3813" s="19">
        <v>15442.0</v>
      </c>
      <c r="B3813" s="19" t="s">
        <v>3837</v>
      </c>
      <c r="C3813" s="20">
        <v>21832.0</v>
      </c>
      <c r="D3813" s="19" t="str">
        <f t="shared" si="1"/>
        <v> </v>
      </c>
      <c r="E3813" s="19" t="str">
        <f t="shared" si="2"/>
        <v> </v>
      </c>
      <c r="F3813" s="21"/>
    </row>
    <row r="3814">
      <c r="A3814" s="19">
        <v>15443.0</v>
      </c>
      <c r="B3814" s="19" t="s">
        <v>3838</v>
      </c>
      <c r="C3814" s="20">
        <v>22777.0</v>
      </c>
      <c r="D3814" s="19" t="str">
        <f t="shared" si="1"/>
        <v> </v>
      </c>
      <c r="E3814" s="19" t="str">
        <f t="shared" si="2"/>
        <v> </v>
      </c>
      <c r="F3814" s="21"/>
    </row>
    <row r="3815">
      <c r="A3815" s="19">
        <v>15445.0</v>
      </c>
      <c r="B3815" s="19" t="s">
        <v>3839</v>
      </c>
      <c r="C3815" s="20">
        <v>26528.0</v>
      </c>
      <c r="D3815" s="19" t="str">
        <f t="shared" si="1"/>
        <v> </v>
      </c>
      <c r="E3815" s="19" t="str">
        <f t="shared" si="2"/>
        <v> </v>
      </c>
      <c r="F3815" s="21"/>
    </row>
    <row r="3816">
      <c r="A3816" s="19">
        <v>15446.0</v>
      </c>
      <c r="B3816" s="19" t="s">
        <v>3840</v>
      </c>
      <c r="C3816" s="20">
        <v>25033.0</v>
      </c>
      <c r="D3816" s="19" t="str">
        <f t="shared" si="1"/>
        <v> </v>
      </c>
      <c r="E3816" s="19" t="str">
        <f t="shared" si="2"/>
        <v> </v>
      </c>
      <c r="F3816" s="21"/>
    </row>
    <row r="3817">
      <c r="A3817" s="19">
        <v>15447.0</v>
      </c>
      <c r="B3817" s="19" t="s">
        <v>3841</v>
      </c>
      <c r="C3817" s="20">
        <v>25112.0</v>
      </c>
      <c r="D3817" s="19" t="str">
        <f t="shared" si="1"/>
        <v> </v>
      </c>
      <c r="E3817" s="19" t="str">
        <f t="shared" si="2"/>
        <v> </v>
      </c>
      <c r="F3817" s="21"/>
    </row>
    <row r="3818">
      <c r="A3818" s="19">
        <v>15448.0</v>
      </c>
      <c r="B3818" s="19" t="s">
        <v>3842</v>
      </c>
      <c r="C3818" s="20">
        <v>24400.0</v>
      </c>
      <c r="D3818" s="19" t="str">
        <f t="shared" si="1"/>
        <v> </v>
      </c>
      <c r="E3818" s="19" t="str">
        <f t="shared" si="2"/>
        <v> </v>
      </c>
      <c r="F3818" s="21"/>
    </row>
    <row r="3819">
      <c r="A3819" s="19">
        <v>15449.0</v>
      </c>
      <c r="B3819" s="19" t="s">
        <v>3843</v>
      </c>
      <c r="C3819" s="20">
        <v>25779.0</v>
      </c>
      <c r="D3819" s="19" t="str">
        <f t="shared" si="1"/>
        <v> </v>
      </c>
      <c r="E3819" s="19" t="str">
        <f t="shared" si="2"/>
        <v> </v>
      </c>
      <c r="F3819" s="21"/>
    </row>
    <row r="3820">
      <c r="A3820" s="19">
        <v>15450.0</v>
      </c>
      <c r="B3820" s="19" t="s">
        <v>3844</v>
      </c>
      <c r="C3820" s="20">
        <v>15506.0</v>
      </c>
      <c r="D3820" s="19" t="str">
        <f t="shared" si="1"/>
        <v> </v>
      </c>
      <c r="E3820" s="19" t="str">
        <f t="shared" si="2"/>
        <v> </v>
      </c>
      <c r="F3820" s="21"/>
    </row>
    <row r="3821">
      <c r="A3821" s="19">
        <v>15451.0</v>
      </c>
      <c r="B3821" s="19" t="s">
        <v>3845</v>
      </c>
      <c r="C3821" s="20">
        <v>34099.0</v>
      </c>
      <c r="D3821" s="19" t="str">
        <f t="shared" si="1"/>
        <v> </v>
      </c>
      <c r="E3821" s="19" t="str">
        <f t="shared" si="2"/>
        <v> </v>
      </c>
      <c r="F3821" s="21"/>
    </row>
    <row r="3822">
      <c r="A3822" s="19">
        <v>15452.0</v>
      </c>
      <c r="B3822" s="19" t="s">
        <v>3846</v>
      </c>
      <c r="C3822" s="20">
        <v>32550.0</v>
      </c>
      <c r="D3822" s="19" t="str">
        <f t="shared" si="1"/>
        <v> </v>
      </c>
      <c r="E3822" s="19" t="str">
        <f t="shared" si="2"/>
        <v> </v>
      </c>
      <c r="F3822" s="21"/>
    </row>
    <row r="3823">
      <c r="A3823" s="19">
        <v>15453.0</v>
      </c>
      <c r="B3823" s="19" t="s">
        <v>3847</v>
      </c>
      <c r="C3823" s="20">
        <v>34624.0</v>
      </c>
      <c r="D3823" s="19" t="str">
        <f t="shared" si="1"/>
        <v> </v>
      </c>
      <c r="E3823" s="19" t="str">
        <f t="shared" si="2"/>
        <v> </v>
      </c>
      <c r="F3823" s="21"/>
    </row>
    <row r="3824">
      <c r="A3824" s="19">
        <v>15454.0</v>
      </c>
      <c r="B3824" s="19" t="s">
        <v>3848</v>
      </c>
      <c r="C3824" s="20">
        <v>13311.0</v>
      </c>
      <c r="D3824" s="19" t="str">
        <f t="shared" si="1"/>
        <v> </v>
      </c>
      <c r="E3824" s="19" t="str">
        <f t="shared" si="2"/>
        <v> </v>
      </c>
      <c r="F3824" s="21"/>
    </row>
    <row r="3825">
      <c r="A3825" s="19">
        <v>15455.0</v>
      </c>
      <c r="B3825" s="19" t="s">
        <v>3849</v>
      </c>
      <c r="C3825" s="20">
        <v>28193.0</v>
      </c>
      <c r="D3825" s="19" t="str">
        <f t="shared" si="1"/>
        <v> </v>
      </c>
      <c r="E3825" s="19" t="str">
        <f t="shared" si="2"/>
        <v> </v>
      </c>
      <c r="F3825" s="21"/>
    </row>
    <row r="3826">
      <c r="A3826" s="19">
        <v>15456.0</v>
      </c>
      <c r="B3826" s="19" t="s">
        <v>3850</v>
      </c>
      <c r="C3826" s="20">
        <v>19131.0</v>
      </c>
      <c r="D3826" s="19" t="str">
        <f t="shared" si="1"/>
        <v> </v>
      </c>
      <c r="E3826" s="19" t="str">
        <f t="shared" si="2"/>
        <v> </v>
      </c>
      <c r="F3826" s="21"/>
    </row>
    <row r="3827">
      <c r="A3827" s="19">
        <v>15458.0</v>
      </c>
      <c r="B3827" s="19" t="s">
        <v>3851</v>
      </c>
      <c r="C3827" s="20">
        <v>17103.0</v>
      </c>
      <c r="D3827" s="19" t="str">
        <f t="shared" si="1"/>
        <v> </v>
      </c>
      <c r="E3827" s="19" t="str">
        <f t="shared" si="2"/>
        <v> </v>
      </c>
      <c r="F3827" s="21"/>
    </row>
    <row r="3828">
      <c r="A3828" s="19">
        <v>15459.0</v>
      </c>
      <c r="B3828" s="19" t="s">
        <v>3852</v>
      </c>
      <c r="C3828" s="20">
        <v>15499.0</v>
      </c>
      <c r="D3828" s="19" t="str">
        <f t="shared" si="1"/>
        <v> </v>
      </c>
      <c r="E3828" s="19" t="str">
        <f t="shared" si="2"/>
        <v> </v>
      </c>
      <c r="F3828" s="21"/>
    </row>
    <row r="3829">
      <c r="A3829" s="19">
        <v>15460.0</v>
      </c>
      <c r="B3829" s="19" t="s">
        <v>3853</v>
      </c>
      <c r="C3829" s="20">
        <v>15143.0</v>
      </c>
      <c r="D3829" s="19" t="str">
        <f t="shared" si="1"/>
        <v> </v>
      </c>
      <c r="E3829" s="19" t="str">
        <f t="shared" si="2"/>
        <v> </v>
      </c>
      <c r="F3829" s="21"/>
    </row>
    <row r="3830">
      <c r="A3830" s="19">
        <v>15461.0</v>
      </c>
      <c r="B3830" s="19" t="s">
        <v>3854</v>
      </c>
      <c r="C3830" s="20">
        <v>13322.0</v>
      </c>
      <c r="D3830" s="19" t="str">
        <f t="shared" si="1"/>
        <v> </v>
      </c>
      <c r="E3830" s="19" t="str">
        <f t="shared" si="2"/>
        <v> </v>
      </c>
      <c r="F3830" s="21"/>
    </row>
    <row r="3831">
      <c r="A3831" s="19">
        <v>15462.0</v>
      </c>
      <c r="B3831" s="19" t="s">
        <v>3855</v>
      </c>
      <c r="C3831" s="20">
        <v>15026.0</v>
      </c>
      <c r="D3831" s="19" t="str">
        <f t="shared" si="1"/>
        <v> </v>
      </c>
      <c r="E3831" s="19" t="str">
        <f t="shared" si="2"/>
        <v> </v>
      </c>
      <c r="F3831" s="21"/>
    </row>
    <row r="3832">
      <c r="A3832" s="19">
        <v>15463.0</v>
      </c>
      <c r="B3832" s="19" t="s">
        <v>3856</v>
      </c>
      <c r="C3832" s="20">
        <v>16153.0</v>
      </c>
      <c r="D3832" s="19" t="str">
        <f t="shared" si="1"/>
        <v> </v>
      </c>
      <c r="E3832" s="19" t="str">
        <f t="shared" si="2"/>
        <v> </v>
      </c>
      <c r="F3832" s="21"/>
    </row>
    <row r="3833">
      <c r="A3833" s="19">
        <v>15464.0</v>
      </c>
      <c r="B3833" s="19" t="s">
        <v>3857</v>
      </c>
      <c r="C3833" s="20">
        <v>19884.0</v>
      </c>
      <c r="D3833" s="19" t="str">
        <f t="shared" si="1"/>
        <v> </v>
      </c>
      <c r="E3833" s="19" t="str">
        <f t="shared" si="2"/>
        <v> </v>
      </c>
      <c r="F3833" s="21"/>
    </row>
    <row r="3834">
      <c r="A3834" s="19">
        <v>15465.0</v>
      </c>
      <c r="B3834" s="19" t="s">
        <v>3858</v>
      </c>
      <c r="C3834" s="20">
        <v>11889.0</v>
      </c>
      <c r="D3834" s="19" t="str">
        <f t="shared" si="1"/>
        <v> </v>
      </c>
      <c r="E3834" s="19" t="str">
        <f t="shared" si="2"/>
        <v> </v>
      </c>
      <c r="F3834" s="21"/>
    </row>
    <row r="3835">
      <c r="A3835" s="19">
        <v>15466.0</v>
      </c>
      <c r="B3835" s="19" t="s">
        <v>3859</v>
      </c>
      <c r="C3835" s="20">
        <v>15405.0</v>
      </c>
      <c r="D3835" s="19" t="str">
        <f t="shared" si="1"/>
        <v> </v>
      </c>
      <c r="E3835" s="19" t="str">
        <f t="shared" si="2"/>
        <v> </v>
      </c>
      <c r="F3835" s="21"/>
    </row>
    <row r="3836">
      <c r="A3836" s="19">
        <v>15467.0</v>
      </c>
      <c r="B3836" s="19" t="s">
        <v>3860</v>
      </c>
      <c r="C3836" s="20">
        <v>16101.0</v>
      </c>
      <c r="D3836" s="19" t="str">
        <f t="shared" si="1"/>
        <v> </v>
      </c>
      <c r="E3836" s="19" t="str">
        <f t="shared" si="2"/>
        <v> </v>
      </c>
      <c r="F3836" s="21"/>
    </row>
    <row r="3837">
      <c r="A3837" s="19">
        <v>15468.0</v>
      </c>
      <c r="B3837" s="19" t="s">
        <v>3861</v>
      </c>
      <c r="C3837" s="20">
        <v>22800.0</v>
      </c>
      <c r="D3837" s="19" t="str">
        <f t="shared" si="1"/>
        <v> </v>
      </c>
      <c r="E3837" s="19" t="str">
        <f t="shared" si="2"/>
        <v> </v>
      </c>
      <c r="F3837" s="21"/>
    </row>
    <row r="3838">
      <c r="A3838" s="19">
        <v>15469.0</v>
      </c>
      <c r="B3838" s="19" t="s">
        <v>3862</v>
      </c>
      <c r="C3838" s="20">
        <v>18802.0</v>
      </c>
      <c r="D3838" s="19" t="str">
        <f t="shared" si="1"/>
        <v> </v>
      </c>
      <c r="E3838" s="19" t="str">
        <f t="shared" si="2"/>
        <v> </v>
      </c>
      <c r="F3838" s="21"/>
    </row>
    <row r="3839">
      <c r="A3839" s="19">
        <v>15470.0</v>
      </c>
      <c r="B3839" s="19" t="s">
        <v>3863</v>
      </c>
      <c r="C3839" s="20">
        <v>35429.0</v>
      </c>
      <c r="D3839" s="19" t="str">
        <f t="shared" si="1"/>
        <v> </v>
      </c>
      <c r="E3839" s="19" t="str">
        <f t="shared" si="2"/>
        <v> </v>
      </c>
      <c r="F3839" s="21"/>
    </row>
    <row r="3840">
      <c r="A3840" s="19">
        <v>15471.0</v>
      </c>
      <c r="B3840" s="19" t="s">
        <v>3864</v>
      </c>
      <c r="C3840" s="20">
        <v>17854.0</v>
      </c>
      <c r="D3840" s="19" t="str">
        <f t="shared" si="1"/>
        <v>Repeat</v>
      </c>
      <c r="E3840" s="19" t="str">
        <f t="shared" si="2"/>
        <v> </v>
      </c>
      <c r="F3840" s="21"/>
    </row>
    <row r="3841">
      <c r="A3841" s="19">
        <v>15472.0</v>
      </c>
      <c r="B3841" s="19" t="s">
        <v>3865</v>
      </c>
      <c r="C3841" s="20">
        <v>20328.0</v>
      </c>
      <c r="D3841" s="19" t="str">
        <f t="shared" si="1"/>
        <v> </v>
      </c>
      <c r="E3841" s="19" t="str">
        <f t="shared" si="2"/>
        <v> </v>
      </c>
      <c r="F3841" s="21"/>
    </row>
    <row r="3842">
      <c r="A3842" s="19">
        <v>15473.0</v>
      </c>
      <c r="B3842" s="19" t="s">
        <v>3866</v>
      </c>
      <c r="C3842" s="20">
        <v>34603.0</v>
      </c>
      <c r="D3842" s="19" t="str">
        <f t="shared" si="1"/>
        <v> </v>
      </c>
      <c r="E3842" s="19" t="str">
        <f t="shared" si="2"/>
        <v> </v>
      </c>
      <c r="F3842" s="21"/>
    </row>
    <row r="3843">
      <c r="A3843" s="19">
        <v>15474.0</v>
      </c>
      <c r="B3843" s="19" t="s">
        <v>3867</v>
      </c>
      <c r="C3843" s="20">
        <v>18329.0</v>
      </c>
      <c r="D3843" s="19" t="str">
        <f t="shared" si="1"/>
        <v> </v>
      </c>
      <c r="E3843" s="19" t="str">
        <f t="shared" si="2"/>
        <v> </v>
      </c>
      <c r="F3843" s="21"/>
    </row>
    <row r="3844">
      <c r="A3844" s="19">
        <v>15475.0</v>
      </c>
      <c r="B3844" s="19" t="s">
        <v>3868</v>
      </c>
      <c r="C3844" s="20">
        <v>23419.0</v>
      </c>
      <c r="D3844" s="19" t="str">
        <f t="shared" si="1"/>
        <v> </v>
      </c>
      <c r="E3844" s="19" t="str">
        <f t="shared" si="2"/>
        <v> </v>
      </c>
      <c r="F3844" s="21"/>
    </row>
    <row r="3845">
      <c r="A3845" s="19">
        <v>15476.0</v>
      </c>
      <c r="B3845" s="19" t="s">
        <v>3869</v>
      </c>
      <c r="C3845" s="20">
        <v>29727.0</v>
      </c>
      <c r="D3845" s="19" t="str">
        <f t="shared" si="1"/>
        <v> </v>
      </c>
      <c r="E3845" s="19" t="str">
        <f t="shared" si="2"/>
        <v> </v>
      </c>
      <c r="F3845" s="21"/>
    </row>
    <row r="3846">
      <c r="A3846" s="19">
        <v>15478.0</v>
      </c>
      <c r="B3846" s="19" t="s">
        <v>3870</v>
      </c>
      <c r="C3846" s="20">
        <v>19831.0</v>
      </c>
      <c r="D3846" s="19" t="str">
        <f t="shared" si="1"/>
        <v> </v>
      </c>
      <c r="E3846" s="19" t="str">
        <f t="shared" si="2"/>
        <v> </v>
      </c>
      <c r="F3846" s="21"/>
    </row>
    <row r="3847">
      <c r="A3847" s="19">
        <v>15479.0</v>
      </c>
      <c r="B3847" s="19" t="s">
        <v>3871</v>
      </c>
      <c r="C3847" s="20">
        <v>28397.0</v>
      </c>
      <c r="D3847" s="19" t="str">
        <f t="shared" si="1"/>
        <v> </v>
      </c>
      <c r="E3847" s="19" t="str">
        <f t="shared" si="2"/>
        <v> </v>
      </c>
      <c r="F3847" s="21"/>
    </row>
    <row r="3848">
      <c r="A3848" s="19">
        <v>15480.0</v>
      </c>
      <c r="B3848" s="19" t="s">
        <v>3872</v>
      </c>
      <c r="C3848" s="20">
        <v>33456.0</v>
      </c>
      <c r="D3848" s="19" t="str">
        <f t="shared" si="1"/>
        <v> </v>
      </c>
      <c r="E3848" s="19" t="str">
        <f t="shared" si="2"/>
        <v> </v>
      </c>
      <c r="F3848" s="21"/>
    </row>
    <row r="3849">
      <c r="A3849" s="19">
        <v>15481.0</v>
      </c>
      <c r="B3849" s="19" t="s">
        <v>3873</v>
      </c>
      <c r="C3849" s="20">
        <v>30967.0</v>
      </c>
      <c r="D3849" s="19" t="str">
        <f t="shared" si="1"/>
        <v> </v>
      </c>
      <c r="E3849" s="19" t="str">
        <f t="shared" si="2"/>
        <v> </v>
      </c>
      <c r="F3849" s="21"/>
    </row>
    <row r="3850">
      <c r="A3850" s="19">
        <v>15482.0</v>
      </c>
      <c r="B3850" s="19" t="s">
        <v>3874</v>
      </c>
      <c r="C3850" s="20">
        <v>20789.0</v>
      </c>
      <c r="D3850" s="19" t="str">
        <f t="shared" si="1"/>
        <v> </v>
      </c>
      <c r="E3850" s="19" t="str">
        <f t="shared" si="2"/>
        <v> </v>
      </c>
      <c r="F3850" s="21"/>
    </row>
    <row r="3851">
      <c r="A3851" s="19">
        <v>15483.0</v>
      </c>
      <c r="B3851" s="19" t="s">
        <v>3547</v>
      </c>
      <c r="C3851" s="20">
        <v>27630.0</v>
      </c>
      <c r="D3851" s="19" t="str">
        <f t="shared" si="1"/>
        <v>Repeat</v>
      </c>
      <c r="E3851" s="19" t="str">
        <f t="shared" si="2"/>
        <v> </v>
      </c>
      <c r="F3851" s="21"/>
    </row>
    <row r="3852">
      <c r="A3852" s="19">
        <v>15485.0</v>
      </c>
      <c r="B3852" s="19" t="s">
        <v>3875</v>
      </c>
      <c r="C3852" s="20">
        <v>22499.0</v>
      </c>
      <c r="D3852" s="19" t="str">
        <f t="shared" si="1"/>
        <v> </v>
      </c>
      <c r="E3852" s="19" t="str">
        <f t="shared" si="2"/>
        <v> </v>
      </c>
      <c r="F3852" s="21"/>
    </row>
    <row r="3853">
      <c r="A3853" s="19">
        <v>15486.0</v>
      </c>
      <c r="B3853" s="19" t="s">
        <v>3876</v>
      </c>
      <c r="C3853" s="20">
        <v>20661.0</v>
      </c>
      <c r="D3853" s="19" t="str">
        <f t="shared" si="1"/>
        <v> </v>
      </c>
      <c r="E3853" s="19" t="str">
        <f t="shared" si="2"/>
        <v> </v>
      </c>
      <c r="F3853" s="21"/>
    </row>
    <row r="3854">
      <c r="A3854" s="19">
        <v>15488.0</v>
      </c>
      <c r="B3854" s="19" t="s">
        <v>3877</v>
      </c>
      <c r="C3854" s="20">
        <v>20339.0</v>
      </c>
      <c r="D3854" s="19" t="str">
        <f t="shared" si="1"/>
        <v> </v>
      </c>
      <c r="E3854" s="19" t="str">
        <f t="shared" si="2"/>
        <v> </v>
      </c>
      <c r="F3854" s="21"/>
    </row>
    <row r="3855">
      <c r="A3855" s="19">
        <v>15489.0</v>
      </c>
      <c r="B3855" s="19" t="s">
        <v>3878</v>
      </c>
      <c r="C3855" s="20">
        <v>11661.0</v>
      </c>
      <c r="D3855" s="19" t="str">
        <f t="shared" si="1"/>
        <v> </v>
      </c>
      <c r="E3855" s="19" t="str">
        <f t="shared" si="2"/>
        <v> </v>
      </c>
      <c r="F3855" s="21"/>
    </row>
    <row r="3856">
      <c r="A3856" s="19">
        <v>15490.0</v>
      </c>
      <c r="B3856" s="19" t="s">
        <v>3879</v>
      </c>
      <c r="C3856" s="20">
        <v>31492.0</v>
      </c>
      <c r="D3856" s="19" t="str">
        <f t="shared" si="1"/>
        <v> </v>
      </c>
      <c r="E3856" s="19" t="str">
        <f t="shared" si="2"/>
        <v> </v>
      </c>
      <c r="F3856" s="21"/>
    </row>
    <row r="3857">
      <c r="A3857" s="19">
        <v>15491.0</v>
      </c>
      <c r="B3857" s="19" t="s">
        <v>3880</v>
      </c>
      <c r="C3857" s="20">
        <v>17962.0</v>
      </c>
      <c r="D3857" s="19" t="str">
        <f t="shared" si="1"/>
        <v> </v>
      </c>
      <c r="E3857" s="19" t="str">
        <f t="shared" si="2"/>
        <v> </v>
      </c>
      <c r="F3857" s="21"/>
    </row>
    <row r="3858">
      <c r="A3858" s="19">
        <v>15492.0</v>
      </c>
      <c r="B3858" s="19" t="s">
        <v>3881</v>
      </c>
      <c r="C3858" s="20">
        <v>27449.0</v>
      </c>
      <c r="D3858" s="19" t="str">
        <f t="shared" si="1"/>
        <v> </v>
      </c>
      <c r="E3858" s="19" t="str">
        <f t="shared" si="2"/>
        <v> </v>
      </c>
      <c r="F3858" s="21"/>
    </row>
    <row r="3859">
      <c r="A3859" s="19">
        <v>15493.0</v>
      </c>
      <c r="B3859" s="19" t="s">
        <v>3882</v>
      </c>
      <c r="C3859" s="20">
        <v>19689.0</v>
      </c>
      <c r="D3859" s="19" t="str">
        <f t="shared" si="1"/>
        <v> </v>
      </c>
      <c r="E3859" s="19" t="str">
        <f t="shared" si="2"/>
        <v> </v>
      </c>
      <c r="F3859" s="21"/>
    </row>
    <row r="3860">
      <c r="A3860" s="19">
        <v>15494.0</v>
      </c>
      <c r="B3860" s="19" t="s">
        <v>3883</v>
      </c>
      <c r="C3860" s="20">
        <v>23782.0</v>
      </c>
      <c r="D3860" s="19" t="str">
        <f t="shared" si="1"/>
        <v> </v>
      </c>
      <c r="E3860" s="19" t="str">
        <f t="shared" si="2"/>
        <v> </v>
      </c>
      <c r="F3860" s="21"/>
    </row>
    <row r="3861">
      <c r="A3861" s="19">
        <v>15495.0</v>
      </c>
      <c r="B3861" s="19" t="s">
        <v>3884</v>
      </c>
      <c r="C3861" s="20">
        <v>21593.0</v>
      </c>
      <c r="D3861" s="19" t="str">
        <f t="shared" si="1"/>
        <v> </v>
      </c>
      <c r="E3861" s="19" t="str">
        <f t="shared" si="2"/>
        <v> </v>
      </c>
      <c r="F3861" s="21"/>
    </row>
    <row r="3862">
      <c r="A3862" s="19">
        <v>15496.0</v>
      </c>
      <c r="B3862" s="19" t="s">
        <v>3885</v>
      </c>
      <c r="C3862" s="20">
        <v>26354.0</v>
      </c>
      <c r="D3862" s="19" t="str">
        <f t="shared" si="1"/>
        <v> </v>
      </c>
      <c r="E3862" s="19" t="str">
        <f t="shared" si="2"/>
        <v> </v>
      </c>
      <c r="F3862" s="21"/>
    </row>
    <row r="3863">
      <c r="A3863" s="19">
        <v>15497.0</v>
      </c>
      <c r="B3863" s="19" t="s">
        <v>2182</v>
      </c>
      <c r="C3863" s="20">
        <v>24897.0</v>
      </c>
      <c r="D3863" s="19" t="str">
        <f t="shared" si="1"/>
        <v>Repeat</v>
      </c>
      <c r="E3863" s="19" t="str">
        <f t="shared" si="2"/>
        <v> </v>
      </c>
      <c r="F3863" s="21"/>
    </row>
    <row r="3864">
      <c r="A3864" s="19">
        <v>15498.0</v>
      </c>
      <c r="B3864" s="19" t="s">
        <v>3886</v>
      </c>
      <c r="C3864" s="20">
        <v>22507.0</v>
      </c>
      <c r="D3864" s="19" t="str">
        <f t="shared" si="1"/>
        <v> </v>
      </c>
      <c r="E3864" s="19" t="str">
        <f t="shared" si="2"/>
        <v> </v>
      </c>
      <c r="F3864" s="21"/>
    </row>
    <row r="3865">
      <c r="A3865" s="19">
        <v>15499.0</v>
      </c>
      <c r="B3865" s="19" t="s">
        <v>3887</v>
      </c>
      <c r="C3865" s="20">
        <v>18868.0</v>
      </c>
      <c r="D3865" s="19" t="str">
        <f t="shared" si="1"/>
        <v> </v>
      </c>
      <c r="E3865" s="19" t="str">
        <f t="shared" si="2"/>
        <v> </v>
      </c>
      <c r="F3865" s="21"/>
    </row>
    <row r="3866">
      <c r="A3866" s="19">
        <v>15500.0</v>
      </c>
      <c r="B3866" s="19" t="s">
        <v>3888</v>
      </c>
      <c r="C3866" s="20">
        <v>17848.0</v>
      </c>
      <c r="D3866" s="19" t="str">
        <f t="shared" si="1"/>
        <v> </v>
      </c>
      <c r="E3866" s="19" t="str">
        <f t="shared" si="2"/>
        <v> </v>
      </c>
      <c r="F3866" s="21"/>
    </row>
    <row r="3867">
      <c r="A3867" s="19">
        <v>15501.0</v>
      </c>
      <c r="B3867" s="19" t="s">
        <v>3889</v>
      </c>
      <c r="C3867" s="20">
        <v>22023.0</v>
      </c>
      <c r="D3867" s="19" t="str">
        <f t="shared" si="1"/>
        <v> </v>
      </c>
      <c r="E3867" s="19" t="str">
        <f t="shared" si="2"/>
        <v> </v>
      </c>
      <c r="F3867" s="21"/>
    </row>
    <row r="3868">
      <c r="A3868" s="19">
        <v>15502.0</v>
      </c>
      <c r="B3868" s="19" t="s">
        <v>3890</v>
      </c>
      <c r="C3868" s="20">
        <v>22188.0</v>
      </c>
      <c r="D3868" s="19" t="str">
        <f t="shared" si="1"/>
        <v> </v>
      </c>
      <c r="E3868" s="19" t="str">
        <f t="shared" si="2"/>
        <v> </v>
      </c>
      <c r="F3868" s="21"/>
    </row>
    <row r="3869">
      <c r="A3869" s="19">
        <v>15503.0</v>
      </c>
      <c r="B3869" s="19" t="s">
        <v>3891</v>
      </c>
      <c r="C3869" s="20">
        <v>18910.0</v>
      </c>
      <c r="D3869" s="19" t="str">
        <f t="shared" si="1"/>
        <v> </v>
      </c>
      <c r="E3869" s="19" t="str">
        <f t="shared" si="2"/>
        <v> </v>
      </c>
      <c r="F3869" s="21"/>
    </row>
    <row r="3870">
      <c r="A3870" s="19">
        <v>15504.0</v>
      </c>
      <c r="B3870" s="19" t="s">
        <v>3892</v>
      </c>
      <c r="C3870" s="20">
        <v>16756.0</v>
      </c>
      <c r="D3870" s="19" t="str">
        <f t="shared" si="1"/>
        <v> </v>
      </c>
      <c r="E3870" s="19" t="str">
        <f t="shared" si="2"/>
        <v> </v>
      </c>
      <c r="F3870" s="21"/>
    </row>
    <row r="3871">
      <c r="A3871" s="19">
        <v>15505.0</v>
      </c>
      <c r="B3871" s="19" t="s">
        <v>3893</v>
      </c>
      <c r="C3871" s="20">
        <v>15615.0</v>
      </c>
      <c r="D3871" s="19" t="str">
        <f t="shared" si="1"/>
        <v> </v>
      </c>
      <c r="E3871" s="19" t="str">
        <f t="shared" si="2"/>
        <v> </v>
      </c>
      <c r="F3871" s="21"/>
    </row>
    <row r="3872">
      <c r="A3872" s="19">
        <v>15506.0</v>
      </c>
      <c r="B3872" s="19" t="s">
        <v>3894</v>
      </c>
      <c r="C3872" s="20">
        <v>28738.0</v>
      </c>
      <c r="D3872" s="19" t="str">
        <f t="shared" si="1"/>
        <v> </v>
      </c>
      <c r="E3872" s="19" t="str">
        <f t="shared" si="2"/>
        <v> </v>
      </c>
      <c r="F3872" s="21"/>
    </row>
    <row r="3873">
      <c r="A3873" s="19">
        <v>15507.0</v>
      </c>
      <c r="B3873" s="19" t="s">
        <v>3895</v>
      </c>
      <c r="C3873" s="20">
        <v>25442.0</v>
      </c>
      <c r="D3873" s="19" t="str">
        <f t="shared" si="1"/>
        <v> </v>
      </c>
      <c r="E3873" s="19" t="str">
        <f t="shared" si="2"/>
        <v> </v>
      </c>
      <c r="F3873" s="21"/>
    </row>
    <row r="3874">
      <c r="A3874" s="19">
        <v>15510.0</v>
      </c>
      <c r="B3874" s="19" t="s">
        <v>3896</v>
      </c>
      <c r="C3874" s="20">
        <v>27654.0</v>
      </c>
      <c r="D3874" s="19" t="str">
        <f t="shared" si="1"/>
        <v> </v>
      </c>
      <c r="E3874" s="19" t="str">
        <f t="shared" si="2"/>
        <v> </v>
      </c>
      <c r="F3874" s="21"/>
    </row>
    <row r="3875">
      <c r="A3875" s="19">
        <v>15511.0</v>
      </c>
      <c r="B3875" s="19" t="s">
        <v>3897</v>
      </c>
      <c r="C3875" s="20">
        <v>23040.0</v>
      </c>
      <c r="D3875" s="19" t="str">
        <f t="shared" si="1"/>
        <v> </v>
      </c>
      <c r="E3875" s="19" t="str">
        <f t="shared" si="2"/>
        <v> </v>
      </c>
      <c r="F3875" s="21"/>
    </row>
    <row r="3876">
      <c r="A3876" s="19">
        <v>15513.0</v>
      </c>
      <c r="B3876" s="19" t="s">
        <v>3898</v>
      </c>
      <c r="C3876" s="20">
        <v>15863.0</v>
      </c>
      <c r="D3876" s="19" t="str">
        <f t="shared" si="1"/>
        <v> </v>
      </c>
      <c r="E3876" s="19" t="str">
        <f t="shared" si="2"/>
        <v> </v>
      </c>
      <c r="F3876" s="21"/>
    </row>
    <row r="3877">
      <c r="A3877" s="19">
        <v>15514.0</v>
      </c>
      <c r="B3877" s="19" t="s">
        <v>3899</v>
      </c>
      <c r="C3877" s="20">
        <v>11897.0</v>
      </c>
      <c r="D3877" s="19" t="str">
        <f t="shared" si="1"/>
        <v> </v>
      </c>
      <c r="E3877" s="19" t="str">
        <f t="shared" si="2"/>
        <v> </v>
      </c>
      <c r="F3877" s="21"/>
    </row>
    <row r="3878">
      <c r="A3878" s="19">
        <v>15515.0</v>
      </c>
      <c r="B3878" s="19" t="s">
        <v>3900</v>
      </c>
      <c r="C3878" s="20">
        <v>26046.0</v>
      </c>
      <c r="D3878" s="19" t="str">
        <f t="shared" si="1"/>
        <v> </v>
      </c>
      <c r="E3878" s="19" t="str">
        <f t="shared" si="2"/>
        <v> </v>
      </c>
      <c r="F3878" s="21"/>
    </row>
    <row r="3879">
      <c r="A3879" s="19">
        <v>15516.0</v>
      </c>
      <c r="B3879" s="19" t="s">
        <v>3901</v>
      </c>
      <c r="C3879" s="20">
        <v>10312.0</v>
      </c>
      <c r="D3879" s="19" t="str">
        <f t="shared" si="1"/>
        <v> </v>
      </c>
      <c r="E3879" s="19" t="str">
        <f t="shared" si="2"/>
        <v> </v>
      </c>
      <c r="F3879" s="21"/>
    </row>
    <row r="3880">
      <c r="A3880" s="19">
        <v>15517.0</v>
      </c>
      <c r="B3880" s="19" t="s">
        <v>3902</v>
      </c>
      <c r="C3880" s="20">
        <v>16334.0</v>
      </c>
      <c r="D3880" s="19" t="str">
        <f t="shared" si="1"/>
        <v> </v>
      </c>
      <c r="E3880" s="19" t="str">
        <f t="shared" si="2"/>
        <v> </v>
      </c>
      <c r="F3880" s="21"/>
    </row>
    <row r="3881">
      <c r="A3881" s="19">
        <v>15518.0</v>
      </c>
      <c r="B3881" s="19" t="s">
        <v>3903</v>
      </c>
      <c r="C3881" s="20">
        <v>36832.0</v>
      </c>
      <c r="D3881" s="19" t="str">
        <f t="shared" si="1"/>
        <v> </v>
      </c>
      <c r="E3881" s="19" t="str">
        <f t="shared" si="2"/>
        <v> </v>
      </c>
      <c r="F3881" s="21"/>
    </row>
    <row r="3882">
      <c r="A3882" s="19">
        <v>15519.0</v>
      </c>
      <c r="B3882" s="19" t="s">
        <v>3904</v>
      </c>
      <c r="C3882" s="20">
        <v>32543.0</v>
      </c>
      <c r="D3882" s="19" t="str">
        <f t="shared" si="1"/>
        <v> </v>
      </c>
      <c r="E3882" s="19" t="str">
        <f t="shared" si="2"/>
        <v> </v>
      </c>
      <c r="F3882" s="21"/>
    </row>
    <row r="3883">
      <c r="A3883" s="19">
        <v>15520.0</v>
      </c>
      <c r="B3883" s="19" t="s">
        <v>3905</v>
      </c>
      <c r="C3883" s="20">
        <v>18142.0</v>
      </c>
      <c r="D3883" s="19" t="str">
        <f t="shared" si="1"/>
        <v> </v>
      </c>
      <c r="E3883" s="19" t="str">
        <f t="shared" si="2"/>
        <v> </v>
      </c>
      <c r="F3883" s="21"/>
    </row>
    <row r="3884">
      <c r="A3884" s="19">
        <v>15521.0</v>
      </c>
      <c r="B3884" s="19" t="s">
        <v>3906</v>
      </c>
      <c r="C3884" s="20">
        <v>27379.0</v>
      </c>
      <c r="D3884" s="19" t="str">
        <f t="shared" si="1"/>
        <v> </v>
      </c>
      <c r="E3884" s="19" t="str">
        <f t="shared" si="2"/>
        <v> </v>
      </c>
      <c r="F3884" s="21"/>
    </row>
    <row r="3885">
      <c r="A3885" s="19">
        <v>15522.0</v>
      </c>
      <c r="B3885" s="19" t="s">
        <v>3907</v>
      </c>
      <c r="C3885" s="20">
        <v>19197.0</v>
      </c>
      <c r="D3885" s="19" t="str">
        <f t="shared" si="1"/>
        <v> </v>
      </c>
      <c r="E3885" s="19" t="str">
        <f t="shared" si="2"/>
        <v> </v>
      </c>
      <c r="F3885" s="21"/>
    </row>
    <row r="3886">
      <c r="A3886" s="19">
        <v>15523.0</v>
      </c>
      <c r="B3886" s="19" t="s">
        <v>3908</v>
      </c>
      <c r="C3886" s="20">
        <v>31472.0</v>
      </c>
      <c r="D3886" s="19" t="str">
        <f t="shared" si="1"/>
        <v> </v>
      </c>
      <c r="E3886" s="19" t="str">
        <f t="shared" si="2"/>
        <v> </v>
      </c>
      <c r="F3886" s="21"/>
    </row>
    <row r="3887">
      <c r="A3887" s="19">
        <v>15524.0</v>
      </c>
      <c r="B3887" s="19" t="s">
        <v>3909</v>
      </c>
      <c r="C3887" s="20">
        <v>19310.0</v>
      </c>
      <c r="D3887" s="19" t="str">
        <f t="shared" si="1"/>
        <v> </v>
      </c>
      <c r="E3887" s="19" t="str">
        <f t="shared" si="2"/>
        <v> </v>
      </c>
      <c r="F3887" s="21"/>
    </row>
    <row r="3888">
      <c r="A3888" s="19">
        <v>15525.0</v>
      </c>
      <c r="B3888" s="19" t="s">
        <v>3910</v>
      </c>
      <c r="C3888" s="20">
        <v>20331.0</v>
      </c>
      <c r="D3888" s="19" t="str">
        <f t="shared" si="1"/>
        <v> </v>
      </c>
      <c r="E3888" s="19" t="str">
        <f t="shared" si="2"/>
        <v> </v>
      </c>
      <c r="F3888" s="21"/>
    </row>
    <row r="3889">
      <c r="A3889" s="19">
        <v>15526.0</v>
      </c>
      <c r="B3889" s="19" t="s">
        <v>3911</v>
      </c>
      <c r="C3889" s="20">
        <v>21023.0</v>
      </c>
      <c r="D3889" s="19" t="str">
        <f t="shared" si="1"/>
        <v> </v>
      </c>
      <c r="E3889" s="19" t="str">
        <f t="shared" si="2"/>
        <v> </v>
      </c>
      <c r="F3889" s="21"/>
    </row>
    <row r="3890">
      <c r="A3890" s="19">
        <v>15527.0</v>
      </c>
      <c r="B3890" s="19" t="s">
        <v>3912</v>
      </c>
      <c r="C3890" s="20">
        <v>29227.0</v>
      </c>
      <c r="D3890" s="19" t="str">
        <f t="shared" si="1"/>
        <v> </v>
      </c>
      <c r="E3890" s="19" t="str">
        <f t="shared" si="2"/>
        <v> </v>
      </c>
      <c r="F3890" s="21"/>
    </row>
    <row r="3891">
      <c r="A3891" s="19">
        <v>15528.0</v>
      </c>
      <c r="B3891" s="19" t="s">
        <v>3913</v>
      </c>
      <c r="C3891" s="20">
        <v>20134.0</v>
      </c>
      <c r="D3891" s="19" t="str">
        <f t="shared" si="1"/>
        <v> </v>
      </c>
      <c r="E3891" s="19" t="str">
        <f t="shared" si="2"/>
        <v> </v>
      </c>
      <c r="F3891" s="21"/>
    </row>
    <row r="3892">
      <c r="A3892" s="19">
        <v>15529.0</v>
      </c>
      <c r="B3892" s="19" t="s">
        <v>3914</v>
      </c>
      <c r="C3892" s="20">
        <v>24662.0</v>
      </c>
      <c r="D3892" s="19" t="str">
        <f t="shared" si="1"/>
        <v> </v>
      </c>
      <c r="E3892" s="19" t="str">
        <f t="shared" si="2"/>
        <v> </v>
      </c>
      <c r="F3892" s="21"/>
    </row>
    <row r="3893">
      <c r="A3893" s="19">
        <v>15530.0</v>
      </c>
      <c r="B3893" s="19" t="s">
        <v>3915</v>
      </c>
      <c r="C3893" s="20">
        <v>16683.0</v>
      </c>
      <c r="D3893" s="19" t="str">
        <f t="shared" si="1"/>
        <v> </v>
      </c>
      <c r="E3893" s="19" t="str">
        <f t="shared" si="2"/>
        <v> </v>
      </c>
      <c r="F3893" s="21"/>
    </row>
    <row r="3894">
      <c r="A3894" s="19">
        <v>15531.0</v>
      </c>
      <c r="B3894" s="19" t="s">
        <v>3916</v>
      </c>
      <c r="C3894" s="20">
        <v>19806.0</v>
      </c>
      <c r="D3894" s="19" t="str">
        <f t="shared" si="1"/>
        <v> </v>
      </c>
      <c r="E3894" s="19" t="str">
        <f t="shared" si="2"/>
        <v> </v>
      </c>
      <c r="F3894" s="21"/>
    </row>
    <row r="3895">
      <c r="A3895" s="19">
        <v>15532.0</v>
      </c>
      <c r="B3895" s="19" t="s">
        <v>3917</v>
      </c>
      <c r="C3895" s="20">
        <v>28192.0</v>
      </c>
      <c r="D3895" s="19" t="str">
        <f t="shared" si="1"/>
        <v> </v>
      </c>
      <c r="E3895" s="19" t="str">
        <f t="shared" si="2"/>
        <v> </v>
      </c>
      <c r="F3895" s="21"/>
    </row>
    <row r="3896">
      <c r="A3896" s="19">
        <v>15533.0</v>
      </c>
      <c r="B3896" s="19" t="s">
        <v>3918</v>
      </c>
      <c r="C3896" s="20">
        <v>21163.0</v>
      </c>
      <c r="D3896" s="19" t="str">
        <f t="shared" si="1"/>
        <v> </v>
      </c>
      <c r="E3896" s="19" t="str">
        <f t="shared" si="2"/>
        <v> </v>
      </c>
      <c r="F3896" s="21"/>
    </row>
    <row r="3897">
      <c r="A3897" s="19">
        <v>15534.0</v>
      </c>
      <c r="B3897" s="19" t="s">
        <v>3919</v>
      </c>
      <c r="C3897" s="20">
        <v>23905.0</v>
      </c>
      <c r="D3897" s="19" t="str">
        <f t="shared" si="1"/>
        <v> </v>
      </c>
      <c r="E3897" s="19" t="str">
        <f t="shared" si="2"/>
        <v> </v>
      </c>
      <c r="F3897" s="21"/>
    </row>
    <row r="3898">
      <c r="A3898" s="19">
        <v>15535.0</v>
      </c>
      <c r="B3898" s="19" t="s">
        <v>3920</v>
      </c>
      <c r="C3898" s="20">
        <v>17227.0</v>
      </c>
      <c r="D3898" s="19" t="str">
        <f t="shared" si="1"/>
        <v> </v>
      </c>
      <c r="E3898" s="19" t="str">
        <f t="shared" si="2"/>
        <v> </v>
      </c>
      <c r="F3898" s="21"/>
    </row>
    <row r="3899">
      <c r="A3899" s="19">
        <v>15536.0</v>
      </c>
      <c r="B3899" s="19" t="s">
        <v>3921</v>
      </c>
      <c r="C3899" s="20">
        <v>21822.0</v>
      </c>
      <c r="D3899" s="19" t="str">
        <f t="shared" si="1"/>
        <v> </v>
      </c>
      <c r="E3899" s="19" t="str">
        <f t="shared" si="2"/>
        <v> </v>
      </c>
      <c r="F3899" s="21"/>
    </row>
    <row r="3900">
      <c r="A3900" s="19">
        <v>15537.0</v>
      </c>
      <c r="B3900" s="19" t="s">
        <v>3922</v>
      </c>
      <c r="C3900" s="20">
        <v>21607.0</v>
      </c>
      <c r="D3900" s="19" t="str">
        <f t="shared" si="1"/>
        <v> </v>
      </c>
      <c r="E3900" s="19" t="str">
        <f t="shared" si="2"/>
        <v> </v>
      </c>
      <c r="F3900" s="21"/>
    </row>
    <row r="3901">
      <c r="A3901" s="19">
        <v>15538.0</v>
      </c>
      <c r="B3901" s="19" t="s">
        <v>3923</v>
      </c>
      <c r="C3901" s="20">
        <v>20920.0</v>
      </c>
      <c r="D3901" s="19" t="str">
        <f t="shared" si="1"/>
        <v> </v>
      </c>
      <c r="E3901" s="19" t="str">
        <f t="shared" si="2"/>
        <v> </v>
      </c>
      <c r="F3901" s="21"/>
    </row>
    <row r="3902">
      <c r="A3902" s="19">
        <v>15539.0</v>
      </c>
      <c r="B3902" s="19" t="s">
        <v>3924</v>
      </c>
      <c r="C3902" s="20">
        <v>23413.0</v>
      </c>
      <c r="D3902" s="19" t="str">
        <f t="shared" si="1"/>
        <v> </v>
      </c>
      <c r="E3902" s="19" t="str">
        <f t="shared" si="2"/>
        <v> </v>
      </c>
      <c r="F3902" s="21"/>
    </row>
    <row r="3903">
      <c r="A3903" s="19">
        <v>15540.0</v>
      </c>
      <c r="B3903" s="19" t="s">
        <v>3925</v>
      </c>
      <c r="C3903" s="20">
        <v>23559.0</v>
      </c>
      <c r="D3903" s="19" t="str">
        <f t="shared" si="1"/>
        <v> </v>
      </c>
      <c r="E3903" s="19" t="str">
        <f t="shared" si="2"/>
        <v> </v>
      </c>
      <c r="F3903" s="21"/>
    </row>
    <row r="3904">
      <c r="A3904" s="19">
        <v>15541.0</v>
      </c>
      <c r="B3904" s="19" t="s">
        <v>3926</v>
      </c>
      <c r="C3904" s="20">
        <v>18850.0</v>
      </c>
      <c r="D3904" s="19" t="str">
        <f t="shared" si="1"/>
        <v> </v>
      </c>
      <c r="E3904" s="19" t="str">
        <f t="shared" si="2"/>
        <v> </v>
      </c>
      <c r="F3904" s="21"/>
    </row>
    <row r="3905">
      <c r="A3905" s="19">
        <v>15542.0</v>
      </c>
      <c r="B3905" s="19" t="s">
        <v>3927</v>
      </c>
      <c r="C3905" s="20">
        <v>15399.0</v>
      </c>
      <c r="D3905" s="19" t="str">
        <f t="shared" si="1"/>
        <v> </v>
      </c>
      <c r="E3905" s="19" t="str">
        <f t="shared" si="2"/>
        <v> </v>
      </c>
      <c r="F3905" s="21"/>
    </row>
    <row r="3906">
      <c r="A3906" s="19">
        <v>15543.0</v>
      </c>
      <c r="B3906" s="19" t="s">
        <v>3928</v>
      </c>
      <c r="C3906" s="20">
        <v>21330.0</v>
      </c>
      <c r="D3906" s="19" t="str">
        <f t="shared" si="1"/>
        <v> </v>
      </c>
      <c r="E3906" s="19" t="str">
        <f t="shared" si="2"/>
        <v> </v>
      </c>
      <c r="F3906" s="21"/>
    </row>
    <row r="3907">
      <c r="A3907" s="19">
        <v>15544.0</v>
      </c>
      <c r="B3907" s="19" t="s">
        <v>3929</v>
      </c>
      <c r="C3907" s="20">
        <v>33593.0</v>
      </c>
      <c r="D3907" s="19" t="str">
        <f t="shared" si="1"/>
        <v> </v>
      </c>
      <c r="E3907" s="19" t="str">
        <f t="shared" si="2"/>
        <v> </v>
      </c>
      <c r="F3907" s="21"/>
    </row>
    <row r="3908">
      <c r="A3908" s="19">
        <v>15545.0</v>
      </c>
      <c r="B3908" s="19" t="s">
        <v>3930</v>
      </c>
      <c r="C3908" s="20">
        <v>23937.0</v>
      </c>
      <c r="D3908" s="19" t="str">
        <f t="shared" si="1"/>
        <v> </v>
      </c>
      <c r="E3908" s="19" t="str">
        <f t="shared" si="2"/>
        <v> </v>
      </c>
      <c r="F3908" s="21"/>
    </row>
    <row r="3909">
      <c r="A3909" s="19">
        <v>15546.0</v>
      </c>
      <c r="B3909" s="19" t="s">
        <v>3931</v>
      </c>
      <c r="C3909" s="20">
        <v>17992.0</v>
      </c>
      <c r="D3909" s="19" t="str">
        <f t="shared" si="1"/>
        <v>Repeat</v>
      </c>
      <c r="E3909" s="19" t="str">
        <f t="shared" si="2"/>
        <v> </v>
      </c>
      <c r="F3909" s="21"/>
    </row>
    <row r="3910">
      <c r="A3910" s="19">
        <v>15547.0</v>
      </c>
      <c r="B3910" s="19" t="s">
        <v>3932</v>
      </c>
      <c r="C3910" s="20">
        <v>33310.0</v>
      </c>
      <c r="D3910" s="19" t="str">
        <f t="shared" si="1"/>
        <v> </v>
      </c>
      <c r="E3910" s="19" t="str">
        <f t="shared" si="2"/>
        <v> </v>
      </c>
      <c r="F3910" s="21"/>
    </row>
    <row r="3911">
      <c r="A3911" s="19">
        <v>15548.0</v>
      </c>
      <c r="B3911" s="19" t="s">
        <v>3933</v>
      </c>
      <c r="C3911" s="20">
        <v>25310.0</v>
      </c>
      <c r="D3911" s="19" t="str">
        <f t="shared" si="1"/>
        <v> </v>
      </c>
      <c r="E3911" s="19" t="str">
        <f t="shared" si="2"/>
        <v> </v>
      </c>
      <c r="F3911" s="21"/>
    </row>
    <row r="3912">
      <c r="A3912" s="19">
        <v>15549.0</v>
      </c>
      <c r="B3912" s="19" t="s">
        <v>3934</v>
      </c>
      <c r="C3912" s="20">
        <v>27220.0</v>
      </c>
      <c r="D3912" s="19" t="str">
        <f t="shared" si="1"/>
        <v> </v>
      </c>
      <c r="E3912" s="19" t="str">
        <f t="shared" si="2"/>
        <v> </v>
      </c>
      <c r="F3912" s="21"/>
    </row>
    <row r="3913">
      <c r="A3913" s="19">
        <v>15550.0</v>
      </c>
      <c r="B3913" s="19" t="s">
        <v>3935</v>
      </c>
      <c r="C3913" s="20">
        <v>23663.0</v>
      </c>
      <c r="D3913" s="19" t="str">
        <f t="shared" si="1"/>
        <v> </v>
      </c>
      <c r="E3913" s="19" t="str">
        <f t="shared" si="2"/>
        <v> </v>
      </c>
      <c r="F3913" s="21"/>
    </row>
    <row r="3914">
      <c r="A3914" s="19">
        <v>15551.0</v>
      </c>
      <c r="B3914" s="19" t="s">
        <v>3936</v>
      </c>
      <c r="C3914" s="20">
        <v>23723.0</v>
      </c>
      <c r="D3914" s="19" t="str">
        <f t="shared" si="1"/>
        <v> </v>
      </c>
      <c r="E3914" s="19" t="str">
        <f t="shared" si="2"/>
        <v> </v>
      </c>
      <c r="F3914" s="21"/>
    </row>
    <row r="3915">
      <c r="A3915" s="19">
        <v>15552.0</v>
      </c>
      <c r="B3915" s="19" t="s">
        <v>3937</v>
      </c>
      <c r="C3915" s="20">
        <v>18702.0</v>
      </c>
      <c r="D3915" s="19" t="str">
        <f t="shared" si="1"/>
        <v> </v>
      </c>
      <c r="E3915" s="19" t="str">
        <f t="shared" si="2"/>
        <v> </v>
      </c>
      <c r="F3915" s="21"/>
    </row>
    <row r="3916">
      <c r="A3916" s="19">
        <v>15553.0</v>
      </c>
      <c r="B3916" s="19" t="s">
        <v>3938</v>
      </c>
      <c r="C3916" s="20">
        <v>24645.0</v>
      </c>
      <c r="D3916" s="19" t="str">
        <f t="shared" si="1"/>
        <v> </v>
      </c>
      <c r="E3916" s="19" t="str">
        <f t="shared" si="2"/>
        <v> </v>
      </c>
      <c r="F3916" s="21"/>
    </row>
    <row r="3917">
      <c r="A3917" s="19">
        <v>15554.0</v>
      </c>
      <c r="B3917" s="19" t="s">
        <v>3939</v>
      </c>
      <c r="C3917" s="20">
        <v>21508.0</v>
      </c>
      <c r="D3917" s="19" t="str">
        <f t="shared" si="1"/>
        <v> </v>
      </c>
      <c r="E3917" s="19" t="str">
        <f t="shared" si="2"/>
        <v> </v>
      </c>
      <c r="F3917" s="21"/>
    </row>
    <row r="3918">
      <c r="A3918" s="19">
        <v>15555.0</v>
      </c>
      <c r="B3918" s="19" t="s">
        <v>3940</v>
      </c>
      <c r="C3918" s="20">
        <v>20542.0</v>
      </c>
      <c r="D3918" s="19" t="str">
        <f t="shared" si="1"/>
        <v> </v>
      </c>
      <c r="E3918" s="19" t="str">
        <f t="shared" si="2"/>
        <v> </v>
      </c>
      <c r="F3918" s="21"/>
    </row>
    <row r="3919">
      <c r="A3919" s="19">
        <v>15556.0</v>
      </c>
      <c r="B3919" s="19" t="s">
        <v>3941</v>
      </c>
      <c r="C3919" s="20">
        <v>12814.0</v>
      </c>
      <c r="D3919" s="19" t="str">
        <f t="shared" si="1"/>
        <v> </v>
      </c>
      <c r="E3919" s="19" t="str">
        <f t="shared" si="2"/>
        <v>Repeat</v>
      </c>
      <c r="F3919" s="21"/>
    </row>
    <row r="3920">
      <c r="A3920" s="19">
        <v>15557.0</v>
      </c>
      <c r="B3920" s="19" t="s">
        <v>3942</v>
      </c>
      <c r="C3920" s="20">
        <v>13652.0</v>
      </c>
      <c r="D3920" s="19" t="str">
        <f t="shared" si="1"/>
        <v> </v>
      </c>
      <c r="E3920" s="19" t="str">
        <f t="shared" si="2"/>
        <v> </v>
      </c>
      <c r="F3920" s="21"/>
    </row>
    <row r="3921">
      <c r="A3921" s="19">
        <v>15559.0</v>
      </c>
      <c r="B3921" s="19" t="s">
        <v>3943</v>
      </c>
      <c r="C3921" s="20">
        <v>15668.0</v>
      </c>
      <c r="D3921" s="19" t="str">
        <f t="shared" si="1"/>
        <v> </v>
      </c>
      <c r="E3921" s="19" t="str">
        <f t="shared" si="2"/>
        <v> </v>
      </c>
      <c r="F3921" s="21"/>
    </row>
    <row r="3922">
      <c r="A3922" s="19">
        <v>15560.0</v>
      </c>
      <c r="B3922" s="19" t="s">
        <v>3944</v>
      </c>
      <c r="C3922" s="20">
        <v>22819.0</v>
      </c>
      <c r="D3922" s="19" t="str">
        <f t="shared" si="1"/>
        <v> </v>
      </c>
      <c r="E3922" s="19" t="str">
        <f t="shared" si="2"/>
        <v> </v>
      </c>
      <c r="F3922" s="21"/>
    </row>
    <row r="3923">
      <c r="A3923" s="19">
        <v>15561.0</v>
      </c>
      <c r="B3923" s="19" t="s">
        <v>3945</v>
      </c>
      <c r="C3923" s="20">
        <v>27589.0</v>
      </c>
      <c r="D3923" s="19" t="str">
        <f t="shared" si="1"/>
        <v> </v>
      </c>
      <c r="E3923" s="19" t="str">
        <f t="shared" si="2"/>
        <v> </v>
      </c>
      <c r="F3923" s="21"/>
    </row>
    <row r="3924">
      <c r="A3924" s="19">
        <v>15563.0</v>
      </c>
      <c r="B3924" s="19" t="s">
        <v>3946</v>
      </c>
      <c r="C3924" s="20">
        <v>32426.0</v>
      </c>
      <c r="D3924" s="19" t="str">
        <f t="shared" si="1"/>
        <v> </v>
      </c>
      <c r="E3924" s="19" t="str">
        <f t="shared" si="2"/>
        <v> </v>
      </c>
      <c r="F3924" s="21"/>
    </row>
    <row r="3925">
      <c r="A3925" s="19">
        <v>15564.0</v>
      </c>
      <c r="B3925" s="19" t="s">
        <v>3947</v>
      </c>
      <c r="C3925" s="20">
        <v>26420.0</v>
      </c>
      <c r="D3925" s="19" t="str">
        <f t="shared" si="1"/>
        <v> </v>
      </c>
      <c r="E3925" s="19" t="str">
        <f t="shared" si="2"/>
        <v> </v>
      </c>
      <c r="F3925" s="21"/>
    </row>
    <row r="3926">
      <c r="A3926" s="19">
        <v>15566.0</v>
      </c>
      <c r="B3926" s="19" t="s">
        <v>3948</v>
      </c>
      <c r="C3926" s="20">
        <v>25661.0</v>
      </c>
      <c r="D3926" s="19" t="str">
        <f t="shared" si="1"/>
        <v> </v>
      </c>
      <c r="E3926" s="19" t="str">
        <f t="shared" si="2"/>
        <v> </v>
      </c>
      <c r="F3926" s="21"/>
    </row>
    <row r="3927">
      <c r="A3927" s="19">
        <v>15567.0</v>
      </c>
      <c r="B3927" s="19" t="s">
        <v>3949</v>
      </c>
      <c r="C3927" s="20">
        <v>26384.0</v>
      </c>
      <c r="D3927" s="19" t="str">
        <f t="shared" si="1"/>
        <v> </v>
      </c>
      <c r="E3927" s="19" t="str">
        <f t="shared" si="2"/>
        <v> </v>
      </c>
      <c r="F3927" s="21"/>
    </row>
    <row r="3928">
      <c r="A3928" s="19">
        <v>15569.0</v>
      </c>
      <c r="B3928" s="19" t="s">
        <v>3950</v>
      </c>
      <c r="C3928" s="20">
        <v>25170.0</v>
      </c>
      <c r="D3928" s="19" t="str">
        <f t="shared" si="1"/>
        <v> </v>
      </c>
      <c r="E3928" s="19" t="str">
        <f t="shared" si="2"/>
        <v> </v>
      </c>
      <c r="F3928" s="21"/>
    </row>
    <row r="3929">
      <c r="A3929" s="19">
        <v>15570.0</v>
      </c>
      <c r="B3929" s="19" t="s">
        <v>3951</v>
      </c>
      <c r="C3929" s="20">
        <v>19023.0</v>
      </c>
      <c r="D3929" s="19" t="str">
        <f t="shared" si="1"/>
        <v>Repeat</v>
      </c>
      <c r="E3929" s="19" t="str">
        <f t="shared" si="2"/>
        <v> </v>
      </c>
      <c r="F3929" s="21"/>
    </row>
    <row r="3930">
      <c r="A3930" s="19">
        <v>15571.0</v>
      </c>
      <c r="B3930" s="19" t="s">
        <v>3952</v>
      </c>
      <c r="C3930" s="20">
        <v>26997.0</v>
      </c>
      <c r="D3930" s="19" t="str">
        <f t="shared" si="1"/>
        <v> </v>
      </c>
      <c r="E3930" s="19" t="str">
        <f t="shared" si="2"/>
        <v> </v>
      </c>
      <c r="F3930" s="21"/>
    </row>
    <row r="3931">
      <c r="A3931" s="19">
        <v>15572.0</v>
      </c>
      <c r="B3931" s="19" t="s">
        <v>3953</v>
      </c>
      <c r="C3931" s="20">
        <v>21761.0</v>
      </c>
      <c r="D3931" s="19" t="str">
        <f t="shared" si="1"/>
        <v> </v>
      </c>
      <c r="E3931" s="19" t="str">
        <f t="shared" si="2"/>
        <v> </v>
      </c>
      <c r="F3931" s="21"/>
    </row>
    <row r="3932">
      <c r="A3932" s="19">
        <v>15573.0</v>
      </c>
      <c r="B3932" s="19" t="s">
        <v>3954</v>
      </c>
      <c r="C3932" s="20">
        <v>26123.0</v>
      </c>
      <c r="D3932" s="19" t="str">
        <f t="shared" si="1"/>
        <v> </v>
      </c>
      <c r="E3932" s="19" t="str">
        <f t="shared" si="2"/>
        <v> </v>
      </c>
      <c r="F3932" s="21"/>
    </row>
    <row r="3933">
      <c r="A3933" s="19">
        <v>15574.0</v>
      </c>
      <c r="B3933" s="19" t="s">
        <v>3955</v>
      </c>
      <c r="C3933" s="20">
        <v>24427.0</v>
      </c>
      <c r="D3933" s="19" t="str">
        <f t="shared" si="1"/>
        <v> </v>
      </c>
      <c r="E3933" s="19" t="str">
        <f t="shared" si="2"/>
        <v> </v>
      </c>
      <c r="F3933" s="21"/>
    </row>
    <row r="3934">
      <c r="A3934" s="19">
        <v>15575.0</v>
      </c>
      <c r="B3934" s="19" t="s">
        <v>3956</v>
      </c>
      <c r="C3934" s="20">
        <v>25072.0</v>
      </c>
      <c r="D3934" s="19" t="str">
        <f t="shared" si="1"/>
        <v> </v>
      </c>
      <c r="E3934" s="19" t="str">
        <f t="shared" si="2"/>
        <v> </v>
      </c>
      <c r="F3934" s="21"/>
    </row>
    <row r="3935">
      <c r="A3935" s="19">
        <v>15576.0</v>
      </c>
      <c r="B3935" s="19" t="s">
        <v>3957</v>
      </c>
      <c r="C3935" s="20">
        <v>17409.0</v>
      </c>
      <c r="D3935" s="19" t="str">
        <f t="shared" si="1"/>
        <v> </v>
      </c>
      <c r="E3935" s="19" t="str">
        <f t="shared" si="2"/>
        <v> </v>
      </c>
      <c r="F3935" s="21"/>
    </row>
    <row r="3936">
      <c r="A3936" s="19">
        <v>15577.0</v>
      </c>
      <c r="B3936" s="19" t="s">
        <v>3958</v>
      </c>
      <c r="C3936" s="20">
        <v>20101.0</v>
      </c>
      <c r="D3936" s="19" t="str">
        <f t="shared" si="1"/>
        <v> </v>
      </c>
      <c r="E3936" s="19" t="str">
        <f t="shared" si="2"/>
        <v> </v>
      </c>
      <c r="F3936" s="21"/>
    </row>
    <row r="3937">
      <c r="A3937" s="19">
        <v>15578.0</v>
      </c>
      <c r="B3937" s="19" t="s">
        <v>3959</v>
      </c>
      <c r="C3937" s="20">
        <v>24337.0</v>
      </c>
      <c r="D3937" s="19" t="str">
        <f t="shared" si="1"/>
        <v> </v>
      </c>
      <c r="E3937" s="19" t="str">
        <f t="shared" si="2"/>
        <v> </v>
      </c>
      <c r="F3937" s="21"/>
    </row>
    <row r="3938">
      <c r="A3938" s="19">
        <v>15579.0</v>
      </c>
      <c r="B3938" s="19" t="s">
        <v>3960</v>
      </c>
      <c r="C3938" s="20">
        <v>18488.0</v>
      </c>
      <c r="D3938" s="19" t="str">
        <f t="shared" si="1"/>
        <v> </v>
      </c>
      <c r="E3938" s="19" t="str">
        <f t="shared" si="2"/>
        <v> </v>
      </c>
      <c r="F3938" s="21"/>
    </row>
    <row r="3939">
      <c r="A3939" s="19">
        <v>15580.0</v>
      </c>
      <c r="B3939" s="19" t="s">
        <v>763</v>
      </c>
      <c r="C3939" s="20">
        <v>19803.0</v>
      </c>
      <c r="D3939" s="19" t="str">
        <f t="shared" si="1"/>
        <v>Repeat</v>
      </c>
      <c r="E3939" s="19" t="str">
        <f t="shared" si="2"/>
        <v> </v>
      </c>
      <c r="F3939" s="21"/>
    </row>
    <row r="3940">
      <c r="A3940" s="19">
        <v>15581.0</v>
      </c>
      <c r="B3940" s="19" t="s">
        <v>3961</v>
      </c>
      <c r="C3940" s="20">
        <v>21424.0</v>
      </c>
      <c r="D3940" s="19" t="str">
        <f t="shared" si="1"/>
        <v> </v>
      </c>
      <c r="E3940" s="19" t="str">
        <f t="shared" si="2"/>
        <v> </v>
      </c>
      <c r="F3940" s="21"/>
    </row>
    <row r="3941">
      <c r="A3941" s="19">
        <v>15582.0</v>
      </c>
      <c r="B3941" s="19" t="s">
        <v>3962</v>
      </c>
      <c r="C3941" s="20">
        <v>21611.0</v>
      </c>
      <c r="D3941" s="19" t="str">
        <f t="shared" si="1"/>
        <v> </v>
      </c>
      <c r="E3941" s="19" t="str">
        <f t="shared" si="2"/>
        <v> </v>
      </c>
      <c r="F3941" s="21"/>
    </row>
    <row r="3942">
      <c r="A3942" s="19">
        <v>15583.0</v>
      </c>
      <c r="B3942" s="19" t="s">
        <v>3963</v>
      </c>
      <c r="C3942" s="20">
        <v>16991.0</v>
      </c>
      <c r="D3942" s="19" t="str">
        <f t="shared" si="1"/>
        <v> </v>
      </c>
      <c r="E3942" s="19" t="str">
        <f t="shared" si="2"/>
        <v> </v>
      </c>
      <c r="F3942" s="21"/>
    </row>
    <row r="3943">
      <c r="A3943" s="19">
        <v>15584.0</v>
      </c>
      <c r="B3943" s="19" t="s">
        <v>218</v>
      </c>
      <c r="C3943" s="20">
        <v>25194.0</v>
      </c>
      <c r="D3943" s="19" t="str">
        <f t="shared" si="1"/>
        <v>Repeat</v>
      </c>
      <c r="E3943" s="19" t="str">
        <f t="shared" si="2"/>
        <v> </v>
      </c>
      <c r="F3943" s="21"/>
    </row>
    <row r="3944">
      <c r="A3944" s="19">
        <v>15585.0</v>
      </c>
      <c r="B3944" s="19" t="s">
        <v>3964</v>
      </c>
      <c r="C3944" s="20">
        <v>22641.0</v>
      </c>
      <c r="D3944" s="19" t="str">
        <f t="shared" si="1"/>
        <v> </v>
      </c>
      <c r="E3944" s="19" t="str">
        <f t="shared" si="2"/>
        <v> </v>
      </c>
      <c r="F3944" s="21"/>
    </row>
    <row r="3945">
      <c r="A3945" s="19">
        <v>15586.0</v>
      </c>
      <c r="B3945" s="19" t="s">
        <v>3965</v>
      </c>
      <c r="C3945" s="20">
        <v>16770.0</v>
      </c>
      <c r="D3945" s="19" t="str">
        <f t="shared" si="1"/>
        <v> </v>
      </c>
      <c r="E3945" s="19" t="str">
        <f t="shared" si="2"/>
        <v> </v>
      </c>
      <c r="F3945" s="21"/>
    </row>
    <row r="3946">
      <c r="A3946" s="19">
        <v>15587.0</v>
      </c>
      <c r="B3946" s="19" t="s">
        <v>3476</v>
      </c>
      <c r="C3946" s="20">
        <v>20536.0</v>
      </c>
      <c r="D3946" s="19" t="str">
        <f t="shared" si="1"/>
        <v>Repeat</v>
      </c>
      <c r="E3946" s="19" t="str">
        <f t="shared" si="2"/>
        <v> </v>
      </c>
      <c r="F3946" s="21"/>
    </row>
    <row r="3947">
      <c r="A3947" s="19">
        <v>15588.0</v>
      </c>
      <c r="B3947" s="19" t="s">
        <v>3966</v>
      </c>
      <c r="C3947" s="20">
        <v>21458.0</v>
      </c>
      <c r="D3947" s="19" t="str">
        <f t="shared" si="1"/>
        <v>Repeat</v>
      </c>
      <c r="E3947" s="19" t="str">
        <f t="shared" si="2"/>
        <v> </v>
      </c>
      <c r="F3947" s="21"/>
    </row>
    <row r="3948">
      <c r="A3948" s="19">
        <v>15589.0</v>
      </c>
      <c r="B3948" s="19" t="s">
        <v>3967</v>
      </c>
      <c r="C3948" s="20">
        <v>24482.0</v>
      </c>
      <c r="D3948" s="19" t="str">
        <f t="shared" si="1"/>
        <v> </v>
      </c>
      <c r="E3948" s="19" t="str">
        <f t="shared" si="2"/>
        <v> </v>
      </c>
      <c r="F3948" s="21"/>
    </row>
    <row r="3949">
      <c r="A3949" s="19">
        <v>15590.0</v>
      </c>
      <c r="B3949" s="19" t="s">
        <v>3968</v>
      </c>
      <c r="C3949" s="20">
        <v>26883.0</v>
      </c>
      <c r="D3949" s="19" t="str">
        <f t="shared" si="1"/>
        <v> </v>
      </c>
      <c r="E3949" s="19" t="str">
        <f t="shared" si="2"/>
        <v> </v>
      </c>
      <c r="F3949" s="21"/>
    </row>
    <row r="3950">
      <c r="A3950" s="19">
        <v>15591.0</v>
      </c>
      <c r="B3950" s="19" t="s">
        <v>3969</v>
      </c>
      <c r="C3950" s="20">
        <v>21357.0</v>
      </c>
      <c r="D3950" s="19" t="str">
        <f t="shared" si="1"/>
        <v> </v>
      </c>
      <c r="E3950" s="19" t="str">
        <f t="shared" si="2"/>
        <v> </v>
      </c>
      <c r="F3950" s="21"/>
    </row>
    <row r="3951">
      <c r="A3951" s="19">
        <v>15592.0</v>
      </c>
      <c r="B3951" s="19" t="s">
        <v>3970</v>
      </c>
      <c r="C3951" s="20">
        <v>17154.0</v>
      </c>
      <c r="D3951" s="19" t="str">
        <f t="shared" si="1"/>
        <v> </v>
      </c>
      <c r="E3951" s="19" t="str">
        <f t="shared" si="2"/>
        <v> </v>
      </c>
      <c r="F3951" s="21"/>
    </row>
    <row r="3952">
      <c r="A3952" s="19">
        <v>15593.0</v>
      </c>
      <c r="B3952" s="19" t="s">
        <v>3971</v>
      </c>
      <c r="C3952" s="20">
        <v>26161.0</v>
      </c>
      <c r="D3952" s="19" t="str">
        <f t="shared" si="1"/>
        <v> </v>
      </c>
      <c r="E3952" s="19" t="str">
        <f t="shared" si="2"/>
        <v> </v>
      </c>
      <c r="F3952" s="21"/>
    </row>
    <row r="3953">
      <c r="A3953" s="19">
        <v>15595.0</v>
      </c>
      <c r="B3953" s="19" t="s">
        <v>3972</v>
      </c>
      <c r="C3953" s="20">
        <v>16882.0</v>
      </c>
      <c r="D3953" s="19" t="str">
        <f t="shared" si="1"/>
        <v> </v>
      </c>
      <c r="E3953" s="19" t="str">
        <f t="shared" si="2"/>
        <v> </v>
      </c>
      <c r="F3953" s="21"/>
    </row>
    <row r="3954">
      <c r="A3954" s="19">
        <v>15596.0</v>
      </c>
      <c r="B3954" s="19" t="s">
        <v>3973</v>
      </c>
      <c r="C3954" s="20">
        <v>17769.0</v>
      </c>
      <c r="D3954" s="19" t="str">
        <f t="shared" si="1"/>
        <v> </v>
      </c>
      <c r="E3954" s="19" t="str">
        <f t="shared" si="2"/>
        <v> </v>
      </c>
      <c r="F3954" s="21"/>
    </row>
    <row r="3955">
      <c r="A3955" s="19">
        <v>15597.0</v>
      </c>
      <c r="B3955" s="19" t="s">
        <v>3974</v>
      </c>
      <c r="C3955" s="20">
        <v>16309.0</v>
      </c>
      <c r="D3955" s="19" t="str">
        <f t="shared" si="1"/>
        <v> </v>
      </c>
      <c r="E3955" s="19" t="str">
        <f t="shared" si="2"/>
        <v> </v>
      </c>
      <c r="F3955" s="21"/>
    </row>
    <row r="3956">
      <c r="A3956" s="19">
        <v>15598.0</v>
      </c>
      <c r="B3956" s="19" t="s">
        <v>3975</v>
      </c>
      <c r="C3956" s="20">
        <v>20029.0</v>
      </c>
      <c r="D3956" s="19" t="str">
        <f t="shared" si="1"/>
        <v> </v>
      </c>
      <c r="E3956" s="19" t="str">
        <f t="shared" si="2"/>
        <v> </v>
      </c>
      <c r="F3956" s="21"/>
    </row>
    <row r="3957">
      <c r="A3957" s="19">
        <v>15599.0</v>
      </c>
      <c r="B3957" s="19" t="s">
        <v>3976</v>
      </c>
      <c r="C3957" s="20">
        <v>20668.0</v>
      </c>
      <c r="D3957" s="19" t="str">
        <f t="shared" si="1"/>
        <v> </v>
      </c>
      <c r="E3957" s="19" t="str">
        <f t="shared" si="2"/>
        <v> </v>
      </c>
      <c r="F3957" s="21"/>
    </row>
    <row r="3958">
      <c r="A3958" s="19">
        <v>15600.0</v>
      </c>
      <c r="B3958" s="19" t="s">
        <v>3977</v>
      </c>
      <c r="C3958" s="20">
        <v>18638.0</v>
      </c>
      <c r="D3958" s="19" t="str">
        <f t="shared" si="1"/>
        <v> </v>
      </c>
      <c r="E3958" s="19" t="str">
        <f t="shared" si="2"/>
        <v> </v>
      </c>
      <c r="F3958" s="21"/>
    </row>
    <row r="3959">
      <c r="A3959" s="19">
        <v>15601.0</v>
      </c>
      <c r="B3959" s="19" t="s">
        <v>3978</v>
      </c>
      <c r="C3959" s="20">
        <v>20014.0</v>
      </c>
      <c r="D3959" s="19" t="str">
        <f t="shared" si="1"/>
        <v> </v>
      </c>
      <c r="E3959" s="19" t="str">
        <f t="shared" si="2"/>
        <v> </v>
      </c>
      <c r="F3959" s="21"/>
    </row>
    <row r="3960">
      <c r="A3960" s="19">
        <v>15602.0</v>
      </c>
      <c r="B3960" s="19" t="s">
        <v>3979</v>
      </c>
      <c r="C3960" s="20">
        <v>21253.0</v>
      </c>
      <c r="D3960" s="19" t="str">
        <f t="shared" si="1"/>
        <v> </v>
      </c>
      <c r="E3960" s="19" t="str">
        <f t="shared" si="2"/>
        <v> </v>
      </c>
      <c r="F3960" s="21"/>
    </row>
    <row r="3961">
      <c r="A3961" s="19">
        <v>15603.0</v>
      </c>
      <c r="B3961" s="19" t="s">
        <v>3980</v>
      </c>
      <c r="C3961" s="20">
        <v>21691.0</v>
      </c>
      <c r="D3961" s="19" t="str">
        <f t="shared" si="1"/>
        <v> </v>
      </c>
      <c r="E3961" s="19" t="str">
        <f t="shared" si="2"/>
        <v> </v>
      </c>
      <c r="F3961" s="21"/>
    </row>
    <row r="3962">
      <c r="A3962" s="19">
        <v>15604.0</v>
      </c>
      <c r="B3962" s="19" t="s">
        <v>3981</v>
      </c>
      <c r="C3962" s="20">
        <v>20476.0</v>
      </c>
      <c r="D3962" s="19" t="str">
        <f t="shared" si="1"/>
        <v> </v>
      </c>
      <c r="E3962" s="19" t="str">
        <f t="shared" si="2"/>
        <v> </v>
      </c>
      <c r="F3962" s="21"/>
    </row>
    <row r="3963">
      <c r="A3963" s="19">
        <v>15605.0</v>
      </c>
      <c r="B3963" s="19" t="s">
        <v>3982</v>
      </c>
      <c r="C3963" s="20">
        <v>25642.0</v>
      </c>
      <c r="D3963" s="19" t="str">
        <f t="shared" si="1"/>
        <v> </v>
      </c>
      <c r="E3963" s="19" t="str">
        <f t="shared" si="2"/>
        <v> </v>
      </c>
      <c r="F3963" s="21"/>
    </row>
    <row r="3964">
      <c r="A3964" s="19">
        <v>15606.0</v>
      </c>
      <c r="B3964" s="19" t="s">
        <v>3983</v>
      </c>
      <c r="C3964" s="20">
        <v>21464.0</v>
      </c>
      <c r="D3964" s="19" t="str">
        <f t="shared" si="1"/>
        <v> </v>
      </c>
      <c r="E3964" s="19" t="str">
        <f t="shared" si="2"/>
        <v> </v>
      </c>
      <c r="F3964" s="21"/>
    </row>
    <row r="3965">
      <c r="A3965" s="19">
        <v>15607.0</v>
      </c>
      <c r="B3965" s="19" t="s">
        <v>3984</v>
      </c>
      <c r="C3965" s="20">
        <v>13040.0</v>
      </c>
      <c r="D3965" s="19" t="str">
        <f t="shared" si="1"/>
        <v> </v>
      </c>
      <c r="E3965" s="19" t="str">
        <f t="shared" si="2"/>
        <v> </v>
      </c>
      <c r="F3965" s="21"/>
    </row>
    <row r="3966">
      <c r="A3966" s="19">
        <v>15608.0</v>
      </c>
      <c r="B3966" s="19" t="s">
        <v>3985</v>
      </c>
      <c r="C3966" s="20">
        <v>20238.0</v>
      </c>
      <c r="D3966" s="19" t="str">
        <f t="shared" si="1"/>
        <v> </v>
      </c>
      <c r="E3966" s="19" t="str">
        <f t="shared" si="2"/>
        <v> </v>
      </c>
      <c r="F3966" s="21"/>
    </row>
    <row r="3967">
      <c r="A3967" s="19">
        <v>15609.0</v>
      </c>
      <c r="B3967" s="19" t="s">
        <v>3986</v>
      </c>
      <c r="C3967" s="20">
        <v>28149.0</v>
      </c>
      <c r="D3967" s="19" t="str">
        <f t="shared" si="1"/>
        <v> </v>
      </c>
      <c r="E3967" s="19" t="str">
        <f t="shared" si="2"/>
        <v> </v>
      </c>
      <c r="F3967" s="21"/>
    </row>
    <row r="3968">
      <c r="A3968" s="19">
        <v>15610.0</v>
      </c>
      <c r="B3968" s="19" t="s">
        <v>3987</v>
      </c>
      <c r="C3968" s="20">
        <v>25594.0</v>
      </c>
      <c r="D3968" s="19" t="str">
        <f t="shared" si="1"/>
        <v> </v>
      </c>
      <c r="E3968" s="19" t="str">
        <f t="shared" si="2"/>
        <v> </v>
      </c>
      <c r="F3968" s="21"/>
    </row>
    <row r="3969">
      <c r="A3969" s="19">
        <v>15611.0</v>
      </c>
      <c r="B3969" s="19" t="s">
        <v>3988</v>
      </c>
      <c r="C3969" s="20">
        <v>21765.0</v>
      </c>
      <c r="D3969" s="19" t="str">
        <f t="shared" si="1"/>
        <v> </v>
      </c>
      <c r="E3969" s="19" t="str">
        <f t="shared" si="2"/>
        <v> </v>
      </c>
      <c r="F3969" s="21"/>
    </row>
    <row r="3970">
      <c r="A3970" s="19">
        <v>15612.0</v>
      </c>
      <c r="B3970" s="19" t="s">
        <v>3989</v>
      </c>
      <c r="C3970" s="20">
        <v>18396.0</v>
      </c>
      <c r="D3970" s="19" t="str">
        <f t="shared" si="1"/>
        <v> </v>
      </c>
      <c r="E3970" s="19" t="str">
        <f t="shared" si="2"/>
        <v> </v>
      </c>
      <c r="F3970" s="21"/>
    </row>
    <row r="3971">
      <c r="A3971" s="19">
        <v>15613.0</v>
      </c>
      <c r="B3971" s="19" t="s">
        <v>3990</v>
      </c>
      <c r="C3971" s="20">
        <v>22685.0</v>
      </c>
      <c r="D3971" s="19" t="str">
        <f t="shared" si="1"/>
        <v> </v>
      </c>
      <c r="E3971" s="19" t="str">
        <f t="shared" si="2"/>
        <v> </v>
      </c>
      <c r="F3971" s="21"/>
    </row>
    <row r="3972">
      <c r="A3972" s="19">
        <v>15614.0</v>
      </c>
      <c r="B3972" s="19" t="s">
        <v>3991</v>
      </c>
      <c r="C3972" s="20">
        <v>22255.0</v>
      </c>
      <c r="D3972" s="19" t="str">
        <f t="shared" si="1"/>
        <v> </v>
      </c>
      <c r="E3972" s="19" t="str">
        <f t="shared" si="2"/>
        <v> </v>
      </c>
      <c r="F3972" s="21"/>
    </row>
    <row r="3973">
      <c r="A3973" s="19">
        <v>15615.0</v>
      </c>
      <c r="B3973" s="19" t="s">
        <v>3992</v>
      </c>
      <c r="C3973" s="20">
        <v>32142.0</v>
      </c>
      <c r="D3973" s="19" t="str">
        <f t="shared" si="1"/>
        <v> </v>
      </c>
      <c r="E3973" s="19" t="str">
        <f t="shared" si="2"/>
        <v> </v>
      </c>
      <c r="F3973" s="21"/>
    </row>
    <row r="3974">
      <c r="A3974" s="19">
        <v>15616.0</v>
      </c>
      <c r="B3974" s="19" t="s">
        <v>3993</v>
      </c>
      <c r="C3974" s="20">
        <v>15867.0</v>
      </c>
      <c r="D3974" s="19" t="str">
        <f t="shared" si="1"/>
        <v> </v>
      </c>
      <c r="E3974" s="19" t="str">
        <f t="shared" si="2"/>
        <v> </v>
      </c>
      <c r="F3974" s="21"/>
    </row>
    <row r="3975">
      <c r="A3975" s="19">
        <v>15617.0</v>
      </c>
      <c r="B3975" s="19" t="s">
        <v>3994</v>
      </c>
      <c r="C3975" s="20">
        <v>25625.0</v>
      </c>
      <c r="D3975" s="19" t="str">
        <f t="shared" si="1"/>
        <v> </v>
      </c>
      <c r="E3975" s="19" t="str">
        <f t="shared" si="2"/>
        <v> </v>
      </c>
      <c r="F3975" s="21"/>
    </row>
    <row r="3976">
      <c r="A3976" s="19">
        <v>15619.0</v>
      </c>
      <c r="B3976" s="19" t="s">
        <v>3995</v>
      </c>
      <c r="C3976" s="20">
        <v>18134.0</v>
      </c>
      <c r="D3976" s="19" t="str">
        <f t="shared" si="1"/>
        <v> </v>
      </c>
      <c r="E3976" s="19" t="str">
        <f t="shared" si="2"/>
        <v> </v>
      </c>
      <c r="F3976" s="21"/>
    </row>
    <row r="3977">
      <c r="A3977" s="19">
        <v>15620.0</v>
      </c>
      <c r="B3977" s="19" t="s">
        <v>3996</v>
      </c>
      <c r="C3977" s="20">
        <v>19311.0</v>
      </c>
      <c r="D3977" s="19" t="str">
        <f t="shared" si="1"/>
        <v> </v>
      </c>
      <c r="E3977" s="19" t="str">
        <f t="shared" si="2"/>
        <v> </v>
      </c>
      <c r="F3977" s="21"/>
    </row>
    <row r="3978">
      <c r="A3978" s="19">
        <v>15621.0</v>
      </c>
      <c r="B3978" s="19" t="s">
        <v>3997</v>
      </c>
      <c r="C3978" s="20">
        <v>21011.0</v>
      </c>
      <c r="D3978" s="19" t="str">
        <f t="shared" si="1"/>
        <v> </v>
      </c>
      <c r="E3978" s="19" t="str">
        <f t="shared" si="2"/>
        <v> </v>
      </c>
      <c r="F3978" s="21"/>
    </row>
    <row r="3979">
      <c r="A3979" s="19">
        <v>15622.0</v>
      </c>
      <c r="B3979" s="19" t="s">
        <v>3998</v>
      </c>
      <c r="C3979" s="20">
        <v>27572.0</v>
      </c>
      <c r="D3979" s="19" t="str">
        <f t="shared" si="1"/>
        <v> </v>
      </c>
      <c r="E3979" s="19" t="str">
        <f t="shared" si="2"/>
        <v> </v>
      </c>
      <c r="F3979" s="21"/>
    </row>
    <row r="3980">
      <c r="A3980" s="19">
        <v>15623.0</v>
      </c>
      <c r="B3980" s="19" t="s">
        <v>3999</v>
      </c>
      <c r="C3980" s="20">
        <v>24495.0</v>
      </c>
      <c r="D3980" s="19" t="str">
        <f t="shared" si="1"/>
        <v> </v>
      </c>
      <c r="E3980" s="19" t="str">
        <f t="shared" si="2"/>
        <v> </v>
      </c>
      <c r="F3980" s="21"/>
    </row>
    <row r="3981">
      <c r="A3981" s="19">
        <v>15625.0</v>
      </c>
      <c r="B3981" s="19" t="s">
        <v>4000</v>
      </c>
      <c r="C3981" s="20">
        <v>21436.0</v>
      </c>
      <c r="D3981" s="19" t="str">
        <f t="shared" si="1"/>
        <v> </v>
      </c>
      <c r="E3981" s="19" t="str">
        <f t="shared" si="2"/>
        <v> </v>
      </c>
      <c r="F3981" s="21"/>
    </row>
    <row r="3982">
      <c r="A3982" s="19">
        <v>15626.0</v>
      </c>
      <c r="B3982" s="19" t="s">
        <v>4001</v>
      </c>
      <c r="C3982" s="20">
        <v>13658.0</v>
      </c>
      <c r="D3982" s="19" t="str">
        <f t="shared" si="1"/>
        <v> </v>
      </c>
      <c r="E3982" s="19" t="str">
        <f t="shared" si="2"/>
        <v> </v>
      </c>
      <c r="F3982" s="21"/>
    </row>
    <row r="3983">
      <c r="A3983" s="19">
        <v>15627.0</v>
      </c>
      <c r="B3983" s="19" t="s">
        <v>4002</v>
      </c>
      <c r="C3983" s="20">
        <v>15805.0</v>
      </c>
      <c r="D3983" s="19" t="str">
        <f t="shared" si="1"/>
        <v> </v>
      </c>
      <c r="E3983" s="19" t="str">
        <f t="shared" si="2"/>
        <v> </v>
      </c>
      <c r="F3983" s="21"/>
    </row>
    <row r="3984">
      <c r="A3984" s="19">
        <v>15628.0</v>
      </c>
      <c r="B3984" s="19" t="s">
        <v>4003</v>
      </c>
      <c r="C3984" s="20">
        <v>25832.0</v>
      </c>
      <c r="D3984" s="19" t="str">
        <f t="shared" si="1"/>
        <v> </v>
      </c>
      <c r="E3984" s="19" t="str">
        <f t="shared" si="2"/>
        <v> </v>
      </c>
      <c r="F3984" s="21"/>
    </row>
    <row r="3985">
      <c r="A3985" s="19">
        <v>15629.0</v>
      </c>
      <c r="B3985" s="19" t="s">
        <v>4004</v>
      </c>
      <c r="C3985" s="20">
        <v>14499.0</v>
      </c>
      <c r="D3985" s="19" t="str">
        <f t="shared" si="1"/>
        <v> </v>
      </c>
      <c r="E3985" s="19" t="str">
        <f t="shared" si="2"/>
        <v> </v>
      </c>
      <c r="F3985" s="21"/>
    </row>
    <row r="3986">
      <c r="A3986" s="19">
        <v>15631.0</v>
      </c>
      <c r="B3986" s="19" t="s">
        <v>4005</v>
      </c>
      <c r="C3986" s="20">
        <v>15838.0</v>
      </c>
      <c r="D3986" s="19" t="str">
        <f t="shared" si="1"/>
        <v> </v>
      </c>
      <c r="E3986" s="19" t="str">
        <f t="shared" si="2"/>
        <v> </v>
      </c>
      <c r="F3986" s="21"/>
    </row>
    <row r="3987">
      <c r="A3987" s="19">
        <v>15632.0</v>
      </c>
      <c r="B3987" s="19" t="s">
        <v>4006</v>
      </c>
      <c r="C3987" s="20">
        <v>23874.0</v>
      </c>
      <c r="D3987" s="19" t="str">
        <f t="shared" si="1"/>
        <v> </v>
      </c>
      <c r="E3987" s="19" t="str">
        <f t="shared" si="2"/>
        <v> </v>
      </c>
      <c r="F3987" s="21"/>
    </row>
    <row r="3988">
      <c r="A3988" s="19">
        <v>15633.0</v>
      </c>
      <c r="B3988" s="19" t="s">
        <v>4007</v>
      </c>
      <c r="C3988" s="20">
        <v>20974.0</v>
      </c>
      <c r="D3988" s="19" t="str">
        <f t="shared" si="1"/>
        <v> </v>
      </c>
      <c r="E3988" s="19" t="str">
        <f t="shared" si="2"/>
        <v> </v>
      </c>
      <c r="F3988" s="21"/>
    </row>
    <row r="3989">
      <c r="A3989" s="19">
        <v>15634.0</v>
      </c>
      <c r="B3989" s="19" t="s">
        <v>4008</v>
      </c>
      <c r="C3989" s="20">
        <v>18780.0</v>
      </c>
      <c r="D3989" s="19" t="str">
        <f t="shared" si="1"/>
        <v> </v>
      </c>
      <c r="E3989" s="19" t="str">
        <f t="shared" si="2"/>
        <v> </v>
      </c>
      <c r="F3989" s="21"/>
    </row>
    <row r="3990">
      <c r="A3990" s="19">
        <v>15635.0</v>
      </c>
      <c r="B3990" s="19" t="s">
        <v>4009</v>
      </c>
      <c r="C3990" s="20">
        <v>20122.0</v>
      </c>
      <c r="D3990" s="19" t="str">
        <f t="shared" si="1"/>
        <v> </v>
      </c>
      <c r="E3990" s="19" t="str">
        <f t="shared" si="2"/>
        <v> </v>
      </c>
      <c r="F3990" s="21"/>
    </row>
    <row r="3991">
      <c r="A3991" s="19">
        <v>15637.0</v>
      </c>
      <c r="B3991" s="19" t="s">
        <v>4010</v>
      </c>
      <c r="C3991" s="20">
        <v>25033.0</v>
      </c>
      <c r="D3991" s="19" t="str">
        <f t="shared" si="1"/>
        <v> </v>
      </c>
      <c r="E3991" s="19" t="str">
        <f t="shared" si="2"/>
        <v> </v>
      </c>
      <c r="F3991" s="21"/>
    </row>
    <row r="3992">
      <c r="A3992" s="19">
        <v>15638.0</v>
      </c>
      <c r="B3992" s="19" t="s">
        <v>4011</v>
      </c>
      <c r="C3992" s="20">
        <v>18174.0</v>
      </c>
      <c r="D3992" s="19" t="str">
        <f t="shared" si="1"/>
        <v> </v>
      </c>
      <c r="E3992" s="19" t="str">
        <f t="shared" si="2"/>
        <v> </v>
      </c>
      <c r="F3992" s="21"/>
    </row>
    <row r="3993">
      <c r="A3993" s="19">
        <v>15639.0</v>
      </c>
      <c r="B3993" s="19" t="s">
        <v>4012</v>
      </c>
      <c r="C3993" s="20">
        <v>17056.0</v>
      </c>
      <c r="D3993" s="19" t="str">
        <f t="shared" si="1"/>
        <v>Repeat</v>
      </c>
      <c r="E3993" s="19" t="str">
        <f t="shared" si="2"/>
        <v> </v>
      </c>
      <c r="F3993" s="21"/>
    </row>
    <row r="3994">
      <c r="A3994" s="19">
        <v>15640.0</v>
      </c>
      <c r="B3994" s="19" t="s">
        <v>4013</v>
      </c>
      <c r="C3994" s="20">
        <v>26898.0</v>
      </c>
      <c r="D3994" s="19" t="str">
        <f t="shared" si="1"/>
        <v> </v>
      </c>
      <c r="E3994" s="19" t="str">
        <f t="shared" si="2"/>
        <v> </v>
      </c>
      <c r="F3994" s="21"/>
    </row>
    <row r="3995">
      <c r="A3995" s="19">
        <v>15641.0</v>
      </c>
      <c r="B3995" s="19" t="s">
        <v>4014</v>
      </c>
      <c r="C3995" s="20">
        <v>14095.0</v>
      </c>
      <c r="D3995" s="19" t="str">
        <f t="shared" si="1"/>
        <v> </v>
      </c>
      <c r="E3995" s="19" t="str">
        <f t="shared" si="2"/>
        <v> </v>
      </c>
      <c r="F3995" s="21"/>
    </row>
    <row r="3996">
      <c r="A3996" s="19">
        <v>15642.0</v>
      </c>
      <c r="B3996" s="19" t="s">
        <v>4015</v>
      </c>
      <c r="C3996" s="20">
        <v>22702.0</v>
      </c>
      <c r="D3996" s="19" t="str">
        <f t="shared" si="1"/>
        <v> </v>
      </c>
      <c r="E3996" s="19" t="str">
        <f t="shared" si="2"/>
        <v> </v>
      </c>
      <c r="F3996" s="21"/>
    </row>
    <row r="3997">
      <c r="A3997" s="19">
        <v>15643.0</v>
      </c>
      <c r="B3997" s="19" t="s">
        <v>4016</v>
      </c>
      <c r="C3997" s="20">
        <v>26218.0</v>
      </c>
      <c r="D3997" s="19" t="str">
        <f t="shared" si="1"/>
        <v> </v>
      </c>
      <c r="E3997" s="19" t="str">
        <f t="shared" si="2"/>
        <v> </v>
      </c>
      <c r="F3997" s="21"/>
    </row>
    <row r="3998">
      <c r="A3998" s="19">
        <v>15644.0</v>
      </c>
      <c r="B3998" s="19" t="s">
        <v>4017</v>
      </c>
      <c r="C3998" s="20">
        <v>14426.0</v>
      </c>
      <c r="D3998" s="19" t="str">
        <f t="shared" si="1"/>
        <v> </v>
      </c>
      <c r="E3998" s="19" t="str">
        <f t="shared" si="2"/>
        <v> </v>
      </c>
      <c r="F3998" s="21"/>
    </row>
    <row r="3999">
      <c r="A3999" s="19">
        <v>15645.0</v>
      </c>
      <c r="B3999" s="19" t="s">
        <v>4018</v>
      </c>
      <c r="C3999" s="20">
        <v>29464.0</v>
      </c>
      <c r="D3999" s="19" t="str">
        <f t="shared" si="1"/>
        <v> </v>
      </c>
      <c r="E3999" s="19" t="str">
        <f t="shared" si="2"/>
        <v> </v>
      </c>
      <c r="F3999" s="21"/>
    </row>
    <row r="4000">
      <c r="A4000" s="19">
        <v>15646.0</v>
      </c>
      <c r="B4000" s="19" t="s">
        <v>4019</v>
      </c>
      <c r="C4000" s="20">
        <v>28024.0</v>
      </c>
      <c r="D4000" s="19" t="str">
        <f t="shared" si="1"/>
        <v> </v>
      </c>
      <c r="E4000" s="19" t="str">
        <f t="shared" si="2"/>
        <v> </v>
      </c>
      <c r="F4000" s="21"/>
    </row>
    <row r="4001">
      <c r="A4001" s="19">
        <v>15647.0</v>
      </c>
      <c r="B4001" s="19" t="s">
        <v>4020</v>
      </c>
      <c r="C4001" s="20">
        <v>26283.0</v>
      </c>
      <c r="D4001" s="19" t="str">
        <f t="shared" si="1"/>
        <v> </v>
      </c>
      <c r="E4001" s="19" t="str">
        <f t="shared" si="2"/>
        <v> </v>
      </c>
      <c r="F4001" s="21"/>
    </row>
    <row r="4002">
      <c r="A4002" s="19">
        <v>15648.0</v>
      </c>
      <c r="B4002" s="19" t="s">
        <v>4021</v>
      </c>
      <c r="C4002" s="20">
        <v>25882.0</v>
      </c>
      <c r="D4002" s="19" t="str">
        <f t="shared" si="1"/>
        <v> </v>
      </c>
      <c r="E4002" s="19" t="str">
        <f t="shared" si="2"/>
        <v> </v>
      </c>
      <c r="F4002" s="21"/>
    </row>
    <row r="4003">
      <c r="A4003" s="19">
        <v>15649.0</v>
      </c>
      <c r="B4003" s="19" t="s">
        <v>4022</v>
      </c>
      <c r="C4003" s="20">
        <v>19072.0</v>
      </c>
      <c r="D4003" s="19" t="str">
        <f t="shared" si="1"/>
        <v> </v>
      </c>
      <c r="E4003" s="19" t="str">
        <f t="shared" si="2"/>
        <v> </v>
      </c>
      <c r="F4003" s="21"/>
    </row>
    <row r="4004">
      <c r="A4004" s="19">
        <v>15650.0</v>
      </c>
      <c r="B4004" s="19" t="s">
        <v>4023</v>
      </c>
      <c r="C4004" s="20">
        <v>18953.0</v>
      </c>
      <c r="D4004" s="19" t="str">
        <f t="shared" si="1"/>
        <v> </v>
      </c>
      <c r="E4004" s="19" t="str">
        <f t="shared" si="2"/>
        <v> </v>
      </c>
      <c r="F4004" s="21"/>
    </row>
    <row r="4005">
      <c r="A4005" s="19">
        <v>15652.0</v>
      </c>
      <c r="B4005" s="19" t="s">
        <v>4024</v>
      </c>
      <c r="C4005" s="20">
        <v>21214.0</v>
      </c>
      <c r="D4005" s="19" t="str">
        <f t="shared" si="1"/>
        <v> </v>
      </c>
      <c r="E4005" s="19" t="str">
        <f t="shared" si="2"/>
        <v>Repeat</v>
      </c>
      <c r="F4005" s="21"/>
    </row>
    <row r="4006">
      <c r="A4006" s="19">
        <v>15653.0</v>
      </c>
      <c r="B4006" s="19" t="s">
        <v>4025</v>
      </c>
      <c r="C4006" s="20">
        <v>18431.0</v>
      </c>
      <c r="D4006" s="19" t="str">
        <f t="shared" si="1"/>
        <v> </v>
      </c>
      <c r="E4006" s="19" t="str">
        <f t="shared" si="2"/>
        <v> </v>
      </c>
      <c r="F4006" s="21"/>
    </row>
    <row r="4007">
      <c r="A4007" s="19">
        <v>15654.0</v>
      </c>
      <c r="B4007" s="19" t="s">
        <v>4026</v>
      </c>
      <c r="C4007" s="20">
        <v>18324.0</v>
      </c>
      <c r="D4007" s="19" t="str">
        <f t="shared" si="1"/>
        <v> </v>
      </c>
      <c r="E4007" s="19" t="str">
        <f t="shared" si="2"/>
        <v> </v>
      </c>
      <c r="F4007" s="21"/>
    </row>
    <row r="4008">
      <c r="A4008" s="19">
        <v>15655.0</v>
      </c>
      <c r="B4008" s="19" t="s">
        <v>4027</v>
      </c>
      <c r="C4008" s="20">
        <v>18038.0</v>
      </c>
      <c r="D4008" s="19" t="str">
        <f t="shared" si="1"/>
        <v> </v>
      </c>
      <c r="E4008" s="19" t="str">
        <f t="shared" si="2"/>
        <v> </v>
      </c>
      <c r="F4008" s="21"/>
    </row>
    <row r="4009">
      <c r="A4009" s="19">
        <v>15656.0</v>
      </c>
      <c r="B4009" s="19" t="s">
        <v>4028</v>
      </c>
      <c r="C4009" s="20">
        <v>17373.0</v>
      </c>
      <c r="D4009" s="19" t="str">
        <f t="shared" si="1"/>
        <v> </v>
      </c>
      <c r="E4009" s="19" t="str">
        <f t="shared" si="2"/>
        <v> </v>
      </c>
      <c r="F4009" s="21"/>
    </row>
    <row r="4010">
      <c r="A4010" s="19">
        <v>15657.0</v>
      </c>
      <c r="B4010" s="19" t="s">
        <v>4029</v>
      </c>
      <c r="C4010" s="20">
        <v>24273.0</v>
      </c>
      <c r="D4010" s="19" t="str">
        <f t="shared" si="1"/>
        <v> </v>
      </c>
      <c r="E4010" s="19" t="str">
        <f t="shared" si="2"/>
        <v> </v>
      </c>
      <c r="F4010" s="21"/>
    </row>
    <row r="4011">
      <c r="A4011" s="19">
        <v>15658.0</v>
      </c>
      <c r="B4011" s="19" t="s">
        <v>4030</v>
      </c>
      <c r="C4011" s="20">
        <v>20620.0</v>
      </c>
      <c r="D4011" s="19" t="str">
        <f t="shared" si="1"/>
        <v> </v>
      </c>
      <c r="E4011" s="19" t="str">
        <f t="shared" si="2"/>
        <v> </v>
      </c>
      <c r="F4011" s="21"/>
    </row>
    <row r="4012">
      <c r="A4012" s="19">
        <v>15659.0</v>
      </c>
      <c r="B4012" s="19" t="s">
        <v>4031</v>
      </c>
      <c r="C4012" s="20">
        <v>32631.0</v>
      </c>
      <c r="D4012" s="19" t="str">
        <f t="shared" si="1"/>
        <v> </v>
      </c>
      <c r="E4012" s="19" t="str">
        <f t="shared" si="2"/>
        <v> </v>
      </c>
      <c r="F4012" s="21"/>
    </row>
    <row r="4013">
      <c r="A4013" s="19">
        <v>15661.0</v>
      </c>
      <c r="B4013" s="19" t="s">
        <v>4032</v>
      </c>
      <c r="C4013" s="20">
        <v>14849.0</v>
      </c>
      <c r="D4013" s="19" t="str">
        <f t="shared" si="1"/>
        <v> </v>
      </c>
      <c r="E4013" s="19" t="str">
        <f t="shared" si="2"/>
        <v> </v>
      </c>
      <c r="F4013" s="21"/>
    </row>
    <row r="4014">
      <c r="A4014" s="19">
        <v>15662.0</v>
      </c>
      <c r="B4014" s="19" t="s">
        <v>4033</v>
      </c>
      <c r="C4014" s="20">
        <v>19843.0</v>
      </c>
      <c r="D4014" s="19" t="str">
        <f t="shared" si="1"/>
        <v> </v>
      </c>
      <c r="E4014" s="19" t="str">
        <f t="shared" si="2"/>
        <v> </v>
      </c>
      <c r="F4014" s="21"/>
    </row>
    <row r="4015">
      <c r="A4015" s="19">
        <v>15663.0</v>
      </c>
      <c r="B4015" s="19" t="s">
        <v>4034</v>
      </c>
      <c r="C4015" s="20">
        <v>23520.0</v>
      </c>
      <c r="D4015" s="19" t="str">
        <f t="shared" si="1"/>
        <v> </v>
      </c>
      <c r="E4015" s="19" t="str">
        <f t="shared" si="2"/>
        <v> </v>
      </c>
      <c r="F4015" s="21"/>
    </row>
    <row r="4016">
      <c r="A4016" s="19">
        <v>15664.0</v>
      </c>
      <c r="B4016" s="19" t="s">
        <v>4035</v>
      </c>
      <c r="C4016" s="20">
        <v>22056.0</v>
      </c>
      <c r="D4016" s="19" t="str">
        <f t="shared" si="1"/>
        <v> </v>
      </c>
      <c r="E4016" s="19" t="str">
        <f t="shared" si="2"/>
        <v> </v>
      </c>
      <c r="F4016" s="21"/>
    </row>
    <row r="4017">
      <c r="A4017" s="19">
        <v>15665.0</v>
      </c>
      <c r="B4017" s="19" t="s">
        <v>4036</v>
      </c>
      <c r="C4017" s="20">
        <v>19949.0</v>
      </c>
      <c r="D4017" s="19" t="str">
        <f t="shared" si="1"/>
        <v> </v>
      </c>
      <c r="E4017" s="19" t="str">
        <f t="shared" si="2"/>
        <v> </v>
      </c>
      <c r="F4017" s="21"/>
    </row>
    <row r="4018">
      <c r="A4018" s="19">
        <v>15666.0</v>
      </c>
      <c r="B4018" s="19" t="s">
        <v>4037</v>
      </c>
      <c r="C4018" s="20">
        <v>26653.0</v>
      </c>
      <c r="D4018" s="19" t="str">
        <f t="shared" si="1"/>
        <v> </v>
      </c>
      <c r="E4018" s="19" t="str">
        <f t="shared" si="2"/>
        <v> </v>
      </c>
      <c r="F4018" s="21"/>
    </row>
    <row r="4019">
      <c r="A4019" s="19">
        <v>15667.0</v>
      </c>
      <c r="B4019" s="19" t="s">
        <v>4038</v>
      </c>
      <c r="C4019" s="20">
        <v>28612.0</v>
      </c>
      <c r="D4019" s="19" t="str">
        <f t="shared" si="1"/>
        <v> </v>
      </c>
      <c r="E4019" s="19" t="str">
        <f t="shared" si="2"/>
        <v> </v>
      </c>
      <c r="F4019" s="21"/>
    </row>
    <row r="4020">
      <c r="A4020" s="19">
        <v>15668.0</v>
      </c>
      <c r="B4020" s="19" t="s">
        <v>4039</v>
      </c>
      <c r="C4020" s="20">
        <v>18726.0</v>
      </c>
      <c r="D4020" s="19" t="str">
        <f t="shared" si="1"/>
        <v> </v>
      </c>
      <c r="E4020" s="19" t="str">
        <f t="shared" si="2"/>
        <v> </v>
      </c>
      <c r="F4020" s="21"/>
    </row>
    <row r="4021">
      <c r="A4021" s="19">
        <v>15669.0</v>
      </c>
      <c r="B4021" s="19" t="s">
        <v>4040</v>
      </c>
      <c r="C4021" s="20">
        <v>19792.0</v>
      </c>
      <c r="D4021" s="19" t="str">
        <f t="shared" si="1"/>
        <v> </v>
      </c>
      <c r="E4021" s="19" t="str">
        <f t="shared" si="2"/>
        <v> </v>
      </c>
      <c r="F4021" s="21"/>
    </row>
    <row r="4022">
      <c r="A4022" s="19">
        <v>15670.0</v>
      </c>
      <c r="B4022" s="19" t="s">
        <v>4041</v>
      </c>
      <c r="C4022" s="20">
        <v>19901.0</v>
      </c>
      <c r="D4022" s="19" t="str">
        <f t="shared" si="1"/>
        <v> </v>
      </c>
      <c r="E4022" s="19" t="str">
        <f t="shared" si="2"/>
        <v> </v>
      </c>
      <c r="F4022" s="21"/>
    </row>
    <row r="4023">
      <c r="A4023" s="19">
        <v>15671.0</v>
      </c>
      <c r="B4023" s="19" t="s">
        <v>4042</v>
      </c>
      <c r="C4023" s="20">
        <v>23935.0</v>
      </c>
      <c r="D4023" s="19" t="str">
        <f t="shared" si="1"/>
        <v> </v>
      </c>
      <c r="E4023" s="19" t="str">
        <f t="shared" si="2"/>
        <v> </v>
      </c>
      <c r="F4023" s="21"/>
    </row>
    <row r="4024">
      <c r="A4024" s="19">
        <v>15672.0</v>
      </c>
      <c r="B4024" s="19" t="s">
        <v>4043</v>
      </c>
      <c r="C4024" s="20">
        <v>24374.0</v>
      </c>
      <c r="D4024" s="19" t="str">
        <f t="shared" si="1"/>
        <v> </v>
      </c>
      <c r="E4024" s="19" t="str">
        <f t="shared" si="2"/>
        <v> </v>
      </c>
      <c r="F4024" s="21"/>
    </row>
    <row r="4025">
      <c r="A4025" s="19">
        <v>15673.0</v>
      </c>
      <c r="B4025" s="19" t="s">
        <v>4044</v>
      </c>
      <c r="C4025" s="20">
        <v>21105.0</v>
      </c>
      <c r="D4025" s="19" t="str">
        <f t="shared" si="1"/>
        <v> </v>
      </c>
      <c r="E4025" s="19" t="str">
        <f t="shared" si="2"/>
        <v> </v>
      </c>
      <c r="F4025" s="21"/>
    </row>
    <row r="4026">
      <c r="A4026" s="19">
        <v>15674.0</v>
      </c>
      <c r="B4026" s="19" t="s">
        <v>4045</v>
      </c>
      <c r="C4026" s="20">
        <v>28746.0</v>
      </c>
      <c r="D4026" s="19" t="str">
        <f t="shared" si="1"/>
        <v> </v>
      </c>
      <c r="E4026" s="19" t="str">
        <f t="shared" si="2"/>
        <v> </v>
      </c>
      <c r="F4026" s="21"/>
    </row>
    <row r="4027">
      <c r="A4027" s="19">
        <v>15675.0</v>
      </c>
      <c r="B4027" s="19" t="s">
        <v>4046</v>
      </c>
      <c r="C4027" s="20">
        <v>31679.0</v>
      </c>
      <c r="D4027" s="19" t="str">
        <f t="shared" si="1"/>
        <v> </v>
      </c>
      <c r="E4027" s="19" t="str">
        <f t="shared" si="2"/>
        <v> </v>
      </c>
      <c r="F4027" s="21"/>
    </row>
    <row r="4028">
      <c r="A4028" s="19">
        <v>15676.0</v>
      </c>
      <c r="B4028" s="19" t="s">
        <v>4047</v>
      </c>
      <c r="C4028" s="20">
        <v>23618.0</v>
      </c>
      <c r="D4028" s="19" t="str">
        <f t="shared" si="1"/>
        <v>Repeat</v>
      </c>
      <c r="E4028" s="19" t="str">
        <f t="shared" si="2"/>
        <v> </v>
      </c>
      <c r="F4028" s="21"/>
    </row>
    <row r="4029">
      <c r="A4029" s="19">
        <v>15677.0</v>
      </c>
      <c r="B4029" s="19" t="s">
        <v>4048</v>
      </c>
      <c r="C4029" s="20">
        <v>25001.0</v>
      </c>
      <c r="D4029" s="19" t="str">
        <f t="shared" si="1"/>
        <v> </v>
      </c>
      <c r="E4029" s="19" t="str">
        <f t="shared" si="2"/>
        <v> </v>
      </c>
      <c r="F4029" s="21"/>
    </row>
    <row r="4030">
      <c r="A4030" s="19">
        <v>15678.0</v>
      </c>
      <c r="B4030" s="19" t="s">
        <v>4049</v>
      </c>
      <c r="C4030" s="20">
        <v>30016.0</v>
      </c>
      <c r="D4030" s="19" t="str">
        <f t="shared" si="1"/>
        <v>Repeat</v>
      </c>
      <c r="E4030" s="19" t="str">
        <f t="shared" si="2"/>
        <v> </v>
      </c>
      <c r="F4030" s="21"/>
    </row>
    <row r="4031">
      <c r="A4031" s="19">
        <v>15679.0</v>
      </c>
      <c r="B4031" s="19" t="s">
        <v>4050</v>
      </c>
      <c r="C4031" s="20">
        <v>21027.0</v>
      </c>
      <c r="D4031" s="19" t="str">
        <f t="shared" si="1"/>
        <v> </v>
      </c>
      <c r="E4031" s="19" t="str">
        <f t="shared" si="2"/>
        <v> </v>
      </c>
      <c r="F4031" s="21"/>
    </row>
    <row r="4032">
      <c r="A4032" s="19">
        <v>15680.0</v>
      </c>
      <c r="B4032" s="19" t="s">
        <v>4051</v>
      </c>
      <c r="C4032" s="20">
        <v>26249.0</v>
      </c>
      <c r="D4032" s="19" t="str">
        <f t="shared" si="1"/>
        <v> </v>
      </c>
      <c r="E4032" s="19" t="str">
        <f t="shared" si="2"/>
        <v> </v>
      </c>
      <c r="F4032" s="21"/>
    </row>
    <row r="4033">
      <c r="A4033" s="19">
        <v>15681.0</v>
      </c>
      <c r="B4033" s="19" t="s">
        <v>813</v>
      </c>
      <c r="C4033" s="20">
        <v>26305.0</v>
      </c>
      <c r="D4033" s="19" t="str">
        <f t="shared" si="1"/>
        <v>Repeat</v>
      </c>
      <c r="E4033" s="19" t="str">
        <f t="shared" si="2"/>
        <v> </v>
      </c>
      <c r="F4033" s="21"/>
    </row>
    <row r="4034">
      <c r="A4034" s="19">
        <v>15683.0</v>
      </c>
      <c r="B4034" s="19" t="s">
        <v>4052</v>
      </c>
      <c r="C4034" s="20">
        <v>25687.0</v>
      </c>
      <c r="D4034" s="19" t="str">
        <f t="shared" si="1"/>
        <v> </v>
      </c>
      <c r="E4034" s="19" t="str">
        <f t="shared" si="2"/>
        <v> </v>
      </c>
      <c r="F4034" s="21"/>
    </row>
    <row r="4035">
      <c r="A4035" s="19">
        <v>15684.0</v>
      </c>
      <c r="B4035" s="19" t="s">
        <v>4053</v>
      </c>
      <c r="C4035" s="20">
        <v>29785.0</v>
      </c>
      <c r="D4035" s="19" t="str">
        <f t="shared" si="1"/>
        <v> </v>
      </c>
      <c r="E4035" s="19" t="str">
        <f t="shared" si="2"/>
        <v> </v>
      </c>
      <c r="F4035" s="21"/>
    </row>
    <row r="4036">
      <c r="A4036" s="19">
        <v>15685.0</v>
      </c>
      <c r="B4036" s="19" t="s">
        <v>4054</v>
      </c>
      <c r="C4036" s="20">
        <v>19387.0</v>
      </c>
      <c r="D4036" s="19" t="str">
        <f t="shared" si="1"/>
        <v> </v>
      </c>
      <c r="E4036" s="19" t="str">
        <f t="shared" si="2"/>
        <v> </v>
      </c>
      <c r="F4036" s="21"/>
    </row>
    <row r="4037">
      <c r="A4037" s="19">
        <v>15686.0</v>
      </c>
      <c r="B4037" s="19" t="s">
        <v>536</v>
      </c>
      <c r="C4037" s="20">
        <v>21861.0</v>
      </c>
      <c r="D4037" s="19" t="str">
        <f t="shared" si="1"/>
        <v>Repeat</v>
      </c>
      <c r="E4037" s="19" t="str">
        <f t="shared" si="2"/>
        <v> </v>
      </c>
      <c r="F4037" s="21"/>
    </row>
    <row r="4038">
      <c r="A4038" s="19">
        <v>15687.0</v>
      </c>
      <c r="B4038" s="19" t="s">
        <v>4055</v>
      </c>
      <c r="C4038" s="20">
        <v>21067.0</v>
      </c>
      <c r="D4038" s="19" t="str">
        <f t="shared" si="1"/>
        <v> </v>
      </c>
      <c r="E4038" s="19" t="str">
        <f t="shared" si="2"/>
        <v> </v>
      </c>
      <c r="F4038" s="21"/>
    </row>
    <row r="4039">
      <c r="A4039" s="19">
        <v>15688.0</v>
      </c>
      <c r="B4039" s="19" t="s">
        <v>4056</v>
      </c>
      <c r="C4039" s="20">
        <v>17927.0</v>
      </c>
      <c r="D4039" s="19" t="str">
        <f t="shared" si="1"/>
        <v> </v>
      </c>
      <c r="E4039" s="19" t="str">
        <f t="shared" si="2"/>
        <v> </v>
      </c>
      <c r="F4039" s="21"/>
    </row>
    <row r="4040">
      <c r="A4040" s="19">
        <v>15689.0</v>
      </c>
      <c r="B4040" s="19" t="s">
        <v>4057</v>
      </c>
      <c r="C4040" s="20">
        <v>25981.0</v>
      </c>
      <c r="D4040" s="19" t="str">
        <f t="shared" si="1"/>
        <v> </v>
      </c>
      <c r="E4040" s="19" t="str">
        <f t="shared" si="2"/>
        <v> </v>
      </c>
      <c r="F4040" s="21"/>
    </row>
    <row r="4041">
      <c r="A4041" s="19">
        <v>15690.0</v>
      </c>
      <c r="B4041" s="19" t="s">
        <v>4058</v>
      </c>
      <c r="C4041" s="20">
        <v>17162.0</v>
      </c>
      <c r="D4041" s="19" t="str">
        <f t="shared" si="1"/>
        <v> </v>
      </c>
      <c r="E4041" s="19" t="str">
        <f t="shared" si="2"/>
        <v> </v>
      </c>
      <c r="F4041" s="21"/>
    </row>
    <row r="4042">
      <c r="A4042" s="19">
        <v>15691.0</v>
      </c>
      <c r="B4042" s="19" t="s">
        <v>4059</v>
      </c>
      <c r="C4042" s="20">
        <v>17776.0</v>
      </c>
      <c r="D4042" s="19" t="str">
        <f t="shared" si="1"/>
        <v> </v>
      </c>
      <c r="E4042" s="19" t="str">
        <f t="shared" si="2"/>
        <v> </v>
      </c>
      <c r="F4042" s="21"/>
    </row>
    <row r="4043">
      <c r="A4043" s="19">
        <v>15692.0</v>
      </c>
      <c r="B4043" s="19" t="s">
        <v>4060</v>
      </c>
      <c r="C4043" s="20">
        <v>19760.0</v>
      </c>
      <c r="D4043" s="19" t="str">
        <f t="shared" si="1"/>
        <v> </v>
      </c>
      <c r="E4043" s="19" t="str">
        <f t="shared" si="2"/>
        <v> </v>
      </c>
      <c r="F4043" s="21"/>
    </row>
    <row r="4044">
      <c r="A4044" s="19">
        <v>15693.0</v>
      </c>
      <c r="B4044" s="19" t="s">
        <v>4061</v>
      </c>
      <c r="C4044" s="20">
        <v>26001.0</v>
      </c>
      <c r="D4044" s="19" t="str">
        <f t="shared" si="1"/>
        <v> </v>
      </c>
      <c r="E4044" s="19" t="str">
        <f t="shared" si="2"/>
        <v> </v>
      </c>
      <c r="F4044" s="21"/>
    </row>
    <row r="4045">
      <c r="A4045" s="19">
        <v>15694.0</v>
      </c>
      <c r="B4045" s="19" t="s">
        <v>4062</v>
      </c>
      <c r="C4045" s="20">
        <v>27016.0</v>
      </c>
      <c r="D4045" s="19" t="str">
        <f t="shared" si="1"/>
        <v> </v>
      </c>
      <c r="E4045" s="19" t="str">
        <f t="shared" si="2"/>
        <v> </v>
      </c>
      <c r="F4045" s="21"/>
    </row>
    <row r="4046">
      <c r="A4046" s="19">
        <v>15695.0</v>
      </c>
      <c r="B4046" s="19" t="s">
        <v>4063</v>
      </c>
      <c r="C4046" s="20">
        <v>28928.0</v>
      </c>
      <c r="D4046" s="19" t="str">
        <f t="shared" si="1"/>
        <v> </v>
      </c>
      <c r="E4046" s="19" t="str">
        <f t="shared" si="2"/>
        <v> </v>
      </c>
      <c r="F4046" s="21"/>
    </row>
    <row r="4047">
      <c r="A4047" s="19">
        <v>15696.0</v>
      </c>
      <c r="B4047" s="19" t="s">
        <v>4064</v>
      </c>
      <c r="C4047" s="20">
        <v>24867.0</v>
      </c>
      <c r="D4047" s="19" t="str">
        <f t="shared" si="1"/>
        <v> </v>
      </c>
      <c r="E4047" s="19" t="str">
        <f t="shared" si="2"/>
        <v> </v>
      </c>
      <c r="F4047" s="21"/>
    </row>
    <row r="4048">
      <c r="A4048" s="19">
        <v>15697.0</v>
      </c>
      <c r="B4048" s="19" t="s">
        <v>4065</v>
      </c>
      <c r="C4048" s="20">
        <v>28605.0</v>
      </c>
      <c r="D4048" s="19" t="str">
        <f t="shared" si="1"/>
        <v> </v>
      </c>
      <c r="E4048" s="19" t="str">
        <f t="shared" si="2"/>
        <v> </v>
      </c>
      <c r="F4048" s="21"/>
    </row>
    <row r="4049">
      <c r="A4049" s="19">
        <v>15698.0</v>
      </c>
      <c r="B4049" s="19" t="s">
        <v>4066</v>
      </c>
      <c r="C4049" s="20">
        <v>22582.0</v>
      </c>
      <c r="D4049" s="19" t="str">
        <f t="shared" si="1"/>
        <v> </v>
      </c>
      <c r="E4049" s="19" t="str">
        <f t="shared" si="2"/>
        <v> </v>
      </c>
      <c r="F4049" s="21"/>
    </row>
    <row r="4050">
      <c r="A4050" s="19">
        <v>15699.0</v>
      </c>
      <c r="B4050" s="19" t="s">
        <v>4067</v>
      </c>
      <c r="C4050" s="20">
        <v>19665.0</v>
      </c>
      <c r="D4050" s="19" t="str">
        <f t="shared" si="1"/>
        <v> </v>
      </c>
      <c r="E4050" s="19" t="str">
        <f t="shared" si="2"/>
        <v> </v>
      </c>
      <c r="F4050" s="21"/>
    </row>
    <row r="4051">
      <c r="A4051" s="19">
        <v>15700.0</v>
      </c>
      <c r="B4051" s="19" t="s">
        <v>4068</v>
      </c>
      <c r="C4051" s="20">
        <v>19914.0</v>
      </c>
      <c r="D4051" s="19" t="str">
        <f t="shared" si="1"/>
        <v> </v>
      </c>
      <c r="E4051" s="19" t="str">
        <f t="shared" si="2"/>
        <v> </v>
      </c>
      <c r="F4051" s="21"/>
    </row>
    <row r="4052">
      <c r="A4052" s="19">
        <v>15701.0</v>
      </c>
      <c r="B4052" s="19" t="s">
        <v>4069</v>
      </c>
      <c r="C4052" s="20">
        <v>23802.0</v>
      </c>
      <c r="D4052" s="19" t="str">
        <f t="shared" si="1"/>
        <v> </v>
      </c>
      <c r="E4052" s="19" t="str">
        <f t="shared" si="2"/>
        <v> </v>
      </c>
      <c r="F4052" s="21"/>
    </row>
    <row r="4053">
      <c r="A4053" s="19">
        <v>15702.0</v>
      </c>
      <c r="B4053" s="19" t="s">
        <v>4070</v>
      </c>
      <c r="C4053" s="20">
        <v>25899.0</v>
      </c>
      <c r="D4053" s="19" t="str">
        <f t="shared" si="1"/>
        <v> </v>
      </c>
      <c r="E4053" s="19" t="str">
        <f t="shared" si="2"/>
        <v> </v>
      </c>
      <c r="F4053" s="21"/>
    </row>
    <row r="4054">
      <c r="A4054" s="19">
        <v>15703.0</v>
      </c>
      <c r="B4054" s="19" t="s">
        <v>4071</v>
      </c>
      <c r="C4054" s="20">
        <v>22279.0</v>
      </c>
      <c r="D4054" s="19" t="str">
        <f t="shared" si="1"/>
        <v> </v>
      </c>
      <c r="E4054" s="19" t="str">
        <f t="shared" si="2"/>
        <v> </v>
      </c>
      <c r="F4054" s="21"/>
    </row>
    <row r="4055">
      <c r="A4055" s="19">
        <v>15704.0</v>
      </c>
      <c r="B4055" s="19" t="s">
        <v>4072</v>
      </c>
      <c r="C4055" s="20">
        <v>23553.0</v>
      </c>
      <c r="D4055" s="19" t="str">
        <f t="shared" si="1"/>
        <v> </v>
      </c>
      <c r="E4055" s="19" t="str">
        <f t="shared" si="2"/>
        <v> </v>
      </c>
      <c r="F4055" s="21"/>
    </row>
    <row r="4056">
      <c r="A4056" s="19">
        <v>15705.0</v>
      </c>
      <c r="B4056" s="19" t="s">
        <v>4073</v>
      </c>
      <c r="C4056" s="20">
        <v>16316.0</v>
      </c>
      <c r="D4056" s="19" t="str">
        <f t="shared" si="1"/>
        <v> </v>
      </c>
      <c r="E4056" s="19" t="str">
        <f t="shared" si="2"/>
        <v> </v>
      </c>
      <c r="F4056" s="21"/>
    </row>
    <row r="4057">
      <c r="A4057" s="19">
        <v>15706.0</v>
      </c>
      <c r="B4057" s="19" t="s">
        <v>4074</v>
      </c>
      <c r="C4057" s="20">
        <v>28206.0</v>
      </c>
      <c r="D4057" s="19" t="str">
        <f t="shared" si="1"/>
        <v> </v>
      </c>
      <c r="E4057" s="19" t="str">
        <f t="shared" si="2"/>
        <v> </v>
      </c>
      <c r="F4057" s="21"/>
    </row>
    <row r="4058">
      <c r="A4058" s="19">
        <v>15707.0</v>
      </c>
      <c r="B4058" s="19" t="s">
        <v>4075</v>
      </c>
      <c r="C4058" s="20">
        <v>30887.0</v>
      </c>
      <c r="D4058" s="19" t="str">
        <f t="shared" si="1"/>
        <v> </v>
      </c>
      <c r="E4058" s="19" t="str">
        <f t="shared" si="2"/>
        <v> </v>
      </c>
      <c r="F4058" s="21"/>
    </row>
    <row r="4059">
      <c r="A4059" s="19">
        <v>15708.0</v>
      </c>
      <c r="B4059" s="19" t="s">
        <v>4076</v>
      </c>
      <c r="C4059" s="20">
        <v>24232.0</v>
      </c>
      <c r="D4059" s="19" t="str">
        <f t="shared" si="1"/>
        <v> </v>
      </c>
      <c r="E4059" s="19" t="str">
        <f t="shared" si="2"/>
        <v> </v>
      </c>
      <c r="F4059" s="21"/>
    </row>
    <row r="4060">
      <c r="A4060" s="19">
        <v>12148.0</v>
      </c>
      <c r="B4060" s="19" t="s">
        <v>4077</v>
      </c>
      <c r="C4060" s="20">
        <v>19436.0</v>
      </c>
      <c r="D4060" s="19" t="str">
        <f t="shared" si="1"/>
        <v> </v>
      </c>
      <c r="E4060" s="19" t="str">
        <f t="shared" si="2"/>
        <v> </v>
      </c>
      <c r="F4060" s="21"/>
    </row>
    <row r="4061">
      <c r="A4061" s="19">
        <v>15710.0</v>
      </c>
      <c r="B4061" s="19" t="s">
        <v>4078</v>
      </c>
      <c r="C4061" s="20">
        <v>26114.0</v>
      </c>
      <c r="D4061" s="19" t="str">
        <f t="shared" si="1"/>
        <v> </v>
      </c>
      <c r="E4061" s="19" t="str">
        <f t="shared" si="2"/>
        <v> </v>
      </c>
      <c r="F4061" s="21"/>
    </row>
    <row r="4062">
      <c r="A4062" s="19">
        <v>15711.0</v>
      </c>
      <c r="B4062" s="19" t="s">
        <v>4079</v>
      </c>
      <c r="C4062" s="20">
        <v>26465.0</v>
      </c>
      <c r="D4062" s="19" t="str">
        <f t="shared" si="1"/>
        <v> </v>
      </c>
      <c r="E4062" s="19" t="str">
        <f t="shared" si="2"/>
        <v> </v>
      </c>
      <c r="F4062" s="21"/>
    </row>
    <row r="4063">
      <c r="A4063" s="19">
        <v>15712.0</v>
      </c>
      <c r="B4063" s="19" t="s">
        <v>4080</v>
      </c>
      <c r="C4063" s="20">
        <v>12163.0</v>
      </c>
      <c r="D4063" s="19" t="str">
        <f t="shared" si="1"/>
        <v> </v>
      </c>
      <c r="E4063" s="19" t="str">
        <f t="shared" si="2"/>
        <v> </v>
      </c>
      <c r="F4063" s="21"/>
    </row>
    <row r="4064">
      <c r="A4064" s="19">
        <v>15713.0</v>
      </c>
      <c r="B4064" s="19" t="s">
        <v>4081</v>
      </c>
      <c r="C4064" s="20">
        <v>18132.0</v>
      </c>
      <c r="D4064" s="19" t="str">
        <f t="shared" si="1"/>
        <v> </v>
      </c>
      <c r="E4064" s="19" t="str">
        <f t="shared" si="2"/>
        <v> </v>
      </c>
      <c r="F4064" s="21"/>
    </row>
    <row r="4065">
      <c r="A4065" s="19">
        <v>15714.0</v>
      </c>
      <c r="B4065" s="19" t="s">
        <v>4082</v>
      </c>
      <c r="C4065" s="20">
        <v>26136.0</v>
      </c>
      <c r="D4065" s="19" t="str">
        <f t="shared" si="1"/>
        <v> </v>
      </c>
      <c r="E4065" s="19" t="str">
        <f t="shared" si="2"/>
        <v> </v>
      </c>
      <c r="F4065" s="21"/>
    </row>
    <row r="4066">
      <c r="A4066" s="19">
        <v>15715.0</v>
      </c>
      <c r="B4066" s="19" t="s">
        <v>4083</v>
      </c>
      <c r="C4066" s="20">
        <v>23204.0</v>
      </c>
      <c r="D4066" s="19" t="str">
        <f t="shared" si="1"/>
        <v> </v>
      </c>
      <c r="E4066" s="19" t="str">
        <f t="shared" si="2"/>
        <v> </v>
      </c>
      <c r="F4066" s="21"/>
    </row>
    <row r="4067">
      <c r="A4067" s="19">
        <v>15716.0</v>
      </c>
      <c r="B4067" s="19" t="s">
        <v>4084</v>
      </c>
      <c r="C4067" s="20">
        <v>22638.0</v>
      </c>
      <c r="D4067" s="19" t="str">
        <f t="shared" si="1"/>
        <v> </v>
      </c>
      <c r="E4067" s="19" t="str">
        <f t="shared" si="2"/>
        <v> </v>
      </c>
      <c r="F4067" s="21"/>
    </row>
    <row r="4068">
      <c r="A4068" s="19">
        <v>15717.0</v>
      </c>
      <c r="B4068" s="19" t="s">
        <v>4085</v>
      </c>
      <c r="C4068" s="20">
        <v>15723.0</v>
      </c>
      <c r="D4068" s="19" t="str">
        <f t="shared" si="1"/>
        <v> </v>
      </c>
      <c r="E4068" s="19" t="str">
        <f t="shared" si="2"/>
        <v> </v>
      </c>
      <c r="F4068" s="21"/>
    </row>
    <row r="4069">
      <c r="A4069" s="19">
        <v>15718.0</v>
      </c>
      <c r="B4069" s="19" t="s">
        <v>4086</v>
      </c>
      <c r="C4069" s="20">
        <v>14315.0</v>
      </c>
      <c r="D4069" s="19" t="str">
        <f t="shared" si="1"/>
        <v> </v>
      </c>
      <c r="E4069" s="19" t="str">
        <f t="shared" si="2"/>
        <v> </v>
      </c>
      <c r="F4069" s="21"/>
    </row>
    <row r="4070">
      <c r="A4070" s="19">
        <v>15719.0</v>
      </c>
      <c r="B4070" s="19" t="s">
        <v>4087</v>
      </c>
      <c r="C4070" s="20">
        <v>18669.0</v>
      </c>
      <c r="D4070" s="19" t="str">
        <f t="shared" si="1"/>
        <v> </v>
      </c>
      <c r="E4070" s="19" t="str">
        <f t="shared" si="2"/>
        <v> </v>
      </c>
      <c r="F4070" s="21"/>
    </row>
    <row r="4071">
      <c r="A4071" s="19">
        <v>15720.0</v>
      </c>
      <c r="B4071" s="19" t="s">
        <v>4088</v>
      </c>
      <c r="C4071" s="20">
        <v>30193.0</v>
      </c>
      <c r="D4071" s="19" t="str">
        <f t="shared" si="1"/>
        <v> </v>
      </c>
      <c r="E4071" s="19" t="str">
        <f t="shared" si="2"/>
        <v> </v>
      </c>
      <c r="F4071" s="21"/>
    </row>
    <row r="4072">
      <c r="A4072" s="19">
        <v>15722.0</v>
      </c>
      <c r="B4072" s="19" t="s">
        <v>4089</v>
      </c>
      <c r="C4072" s="20">
        <v>21448.0</v>
      </c>
      <c r="D4072" s="19" t="str">
        <f t="shared" si="1"/>
        <v> </v>
      </c>
      <c r="E4072" s="19" t="str">
        <f t="shared" si="2"/>
        <v> </v>
      </c>
      <c r="F4072" s="21"/>
    </row>
    <row r="4073">
      <c r="A4073" s="19">
        <v>15723.0</v>
      </c>
      <c r="B4073" s="19" t="s">
        <v>4090</v>
      </c>
      <c r="C4073" s="20">
        <v>23303.0</v>
      </c>
      <c r="D4073" s="19" t="str">
        <f t="shared" si="1"/>
        <v> </v>
      </c>
      <c r="E4073" s="19" t="str">
        <f t="shared" si="2"/>
        <v> </v>
      </c>
      <c r="F4073" s="21"/>
    </row>
    <row r="4074">
      <c r="A4074" s="19">
        <v>15724.0</v>
      </c>
      <c r="B4074" s="19" t="s">
        <v>4091</v>
      </c>
      <c r="C4074" s="20">
        <v>23824.0</v>
      </c>
      <c r="D4074" s="19" t="str">
        <f t="shared" si="1"/>
        <v> </v>
      </c>
      <c r="E4074" s="19" t="str">
        <f t="shared" si="2"/>
        <v> </v>
      </c>
      <c r="F4074" s="21"/>
    </row>
    <row r="4075">
      <c r="A4075" s="19">
        <v>15725.0</v>
      </c>
      <c r="B4075" s="19" t="s">
        <v>4092</v>
      </c>
      <c r="C4075" s="20">
        <v>16394.0</v>
      </c>
      <c r="D4075" s="19" t="str">
        <f t="shared" si="1"/>
        <v> </v>
      </c>
      <c r="E4075" s="19" t="str">
        <f t="shared" si="2"/>
        <v> </v>
      </c>
      <c r="F4075" s="21"/>
    </row>
    <row r="4076">
      <c r="A4076" s="19">
        <v>15726.0</v>
      </c>
      <c r="B4076" s="19" t="s">
        <v>4093</v>
      </c>
      <c r="C4076" s="20">
        <v>21495.0</v>
      </c>
      <c r="D4076" s="19" t="str">
        <f t="shared" si="1"/>
        <v> </v>
      </c>
      <c r="E4076" s="19" t="str">
        <f t="shared" si="2"/>
        <v> </v>
      </c>
      <c r="F4076" s="21"/>
    </row>
    <row r="4077">
      <c r="A4077" s="19">
        <v>15727.0</v>
      </c>
      <c r="B4077" s="19" t="s">
        <v>4094</v>
      </c>
      <c r="C4077" s="20">
        <v>28137.0</v>
      </c>
      <c r="D4077" s="19" t="str">
        <f t="shared" si="1"/>
        <v> </v>
      </c>
      <c r="E4077" s="19" t="str">
        <f t="shared" si="2"/>
        <v> </v>
      </c>
      <c r="F4077" s="21"/>
    </row>
    <row r="4078">
      <c r="A4078" s="19">
        <v>15728.0</v>
      </c>
      <c r="B4078" s="19" t="s">
        <v>4095</v>
      </c>
      <c r="C4078" s="20">
        <v>16898.0</v>
      </c>
      <c r="D4078" s="19" t="str">
        <f t="shared" si="1"/>
        <v> </v>
      </c>
      <c r="E4078" s="19" t="str">
        <f t="shared" si="2"/>
        <v> </v>
      </c>
      <c r="F4078" s="21"/>
    </row>
    <row r="4079">
      <c r="A4079" s="19">
        <v>15729.0</v>
      </c>
      <c r="B4079" s="19" t="s">
        <v>4096</v>
      </c>
      <c r="C4079" s="20">
        <v>27327.0</v>
      </c>
      <c r="D4079" s="19" t="str">
        <f t="shared" si="1"/>
        <v> </v>
      </c>
      <c r="E4079" s="19" t="str">
        <f t="shared" si="2"/>
        <v> </v>
      </c>
      <c r="F4079" s="21"/>
    </row>
    <row r="4080">
      <c r="A4080" s="19">
        <v>15730.0</v>
      </c>
      <c r="B4080" s="19" t="s">
        <v>4097</v>
      </c>
      <c r="C4080" s="20">
        <v>18306.0</v>
      </c>
      <c r="D4080" s="19" t="str">
        <f t="shared" si="1"/>
        <v> </v>
      </c>
      <c r="E4080" s="19" t="str">
        <f t="shared" si="2"/>
        <v> </v>
      </c>
      <c r="F4080" s="21"/>
    </row>
    <row r="4081">
      <c r="A4081" s="19">
        <v>15731.0</v>
      </c>
      <c r="B4081" s="19" t="s">
        <v>4098</v>
      </c>
      <c r="C4081" s="20">
        <v>17258.0</v>
      </c>
      <c r="D4081" s="19" t="str">
        <f t="shared" si="1"/>
        <v> </v>
      </c>
      <c r="E4081" s="19" t="str">
        <f t="shared" si="2"/>
        <v> </v>
      </c>
      <c r="F4081" s="21"/>
    </row>
    <row r="4082">
      <c r="A4082" s="19">
        <v>15732.0</v>
      </c>
      <c r="B4082" s="19" t="s">
        <v>4099</v>
      </c>
      <c r="C4082" s="20">
        <v>22537.0</v>
      </c>
      <c r="D4082" s="19" t="str">
        <f t="shared" si="1"/>
        <v> </v>
      </c>
      <c r="E4082" s="19" t="str">
        <f t="shared" si="2"/>
        <v> </v>
      </c>
      <c r="F4082" s="21"/>
    </row>
    <row r="4083">
      <c r="A4083" s="19">
        <v>15733.0</v>
      </c>
      <c r="B4083" s="19" t="s">
        <v>4100</v>
      </c>
      <c r="C4083" s="20">
        <v>18485.0</v>
      </c>
      <c r="D4083" s="19" t="str">
        <f t="shared" si="1"/>
        <v> </v>
      </c>
      <c r="E4083" s="19" t="str">
        <f t="shared" si="2"/>
        <v> </v>
      </c>
      <c r="F4083" s="21"/>
    </row>
    <row r="4084">
      <c r="A4084" s="19">
        <v>15734.0</v>
      </c>
      <c r="B4084" s="19" t="s">
        <v>4101</v>
      </c>
      <c r="C4084" s="20">
        <v>23624.0</v>
      </c>
      <c r="D4084" s="19" t="str">
        <f t="shared" si="1"/>
        <v> </v>
      </c>
      <c r="E4084" s="19" t="str">
        <f t="shared" si="2"/>
        <v> </v>
      </c>
      <c r="F4084" s="21"/>
    </row>
    <row r="4085">
      <c r="A4085" s="19">
        <v>15735.0</v>
      </c>
      <c r="B4085" s="19" t="s">
        <v>4102</v>
      </c>
      <c r="C4085" s="20">
        <v>21712.0</v>
      </c>
      <c r="D4085" s="19" t="str">
        <f t="shared" si="1"/>
        <v> </v>
      </c>
      <c r="E4085" s="19" t="str">
        <f t="shared" si="2"/>
        <v> </v>
      </c>
      <c r="F4085" s="21"/>
    </row>
    <row r="4086">
      <c r="A4086" s="19">
        <v>15736.0</v>
      </c>
      <c r="B4086" s="19" t="s">
        <v>4103</v>
      </c>
      <c r="C4086" s="20">
        <v>24806.0</v>
      </c>
      <c r="D4086" s="19" t="str">
        <f t="shared" si="1"/>
        <v> </v>
      </c>
      <c r="E4086" s="19" t="str">
        <f t="shared" si="2"/>
        <v> </v>
      </c>
      <c r="F4086" s="21"/>
    </row>
    <row r="4087">
      <c r="A4087" s="19">
        <v>15737.0</v>
      </c>
      <c r="B4087" s="19" t="s">
        <v>4104</v>
      </c>
      <c r="C4087" s="20">
        <v>27398.0</v>
      </c>
      <c r="D4087" s="19" t="str">
        <f t="shared" si="1"/>
        <v> </v>
      </c>
      <c r="E4087" s="19" t="str">
        <f t="shared" si="2"/>
        <v> </v>
      </c>
      <c r="F4087" s="21"/>
    </row>
    <row r="4088">
      <c r="A4088" s="19">
        <v>15738.0</v>
      </c>
      <c r="B4088" s="19" t="s">
        <v>4105</v>
      </c>
      <c r="C4088" s="20">
        <v>23184.0</v>
      </c>
      <c r="D4088" s="19" t="str">
        <f t="shared" si="1"/>
        <v> </v>
      </c>
      <c r="E4088" s="19" t="str">
        <f t="shared" si="2"/>
        <v> </v>
      </c>
      <c r="F4088" s="21"/>
    </row>
    <row r="4089">
      <c r="A4089" s="19">
        <v>15739.0</v>
      </c>
      <c r="B4089" s="19" t="s">
        <v>4106</v>
      </c>
      <c r="C4089" s="20">
        <v>22716.0</v>
      </c>
      <c r="D4089" s="19" t="str">
        <f t="shared" si="1"/>
        <v> </v>
      </c>
      <c r="E4089" s="19" t="str">
        <f t="shared" si="2"/>
        <v> </v>
      </c>
      <c r="F4089" s="21"/>
    </row>
    <row r="4090">
      <c r="A4090" s="19">
        <v>15740.0</v>
      </c>
      <c r="B4090" s="19" t="s">
        <v>4107</v>
      </c>
      <c r="C4090" s="20">
        <v>17084.0</v>
      </c>
      <c r="D4090" s="19" t="str">
        <f t="shared" si="1"/>
        <v> </v>
      </c>
      <c r="E4090" s="19" t="str">
        <f t="shared" si="2"/>
        <v> </v>
      </c>
      <c r="F4090" s="21"/>
    </row>
    <row r="4091">
      <c r="A4091" s="19">
        <v>15741.0</v>
      </c>
      <c r="B4091" s="19" t="s">
        <v>4108</v>
      </c>
      <c r="C4091" s="20">
        <v>17556.0</v>
      </c>
      <c r="D4091" s="19" t="str">
        <f t="shared" si="1"/>
        <v> </v>
      </c>
      <c r="E4091" s="19" t="str">
        <f t="shared" si="2"/>
        <v> </v>
      </c>
      <c r="F4091" s="21"/>
    </row>
    <row r="4092">
      <c r="A4092" s="19">
        <v>15742.0</v>
      </c>
      <c r="B4092" s="19" t="s">
        <v>4109</v>
      </c>
      <c r="C4092" s="20">
        <v>17073.0</v>
      </c>
      <c r="D4092" s="19" t="str">
        <f t="shared" si="1"/>
        <v> </v>
      </c>
      <c r="E4092" s="19" t="str">
        <f t="shared" si="2"/>
        <v> </v>
      </c>
      <c r="F4092" s="21"/>
    </row>
    <row r="4093">
      <c r="A4093" s="19">
        <v>15743.0</v>
      </c>
      <c r="B4093" s="19" t="s">
        <v>4110</v>
      </c>
      <c r="C4093" s="20">
        <v>21968.0</v>
      </c>
      <c r="D4093" s="19" t="str">
        <f t="shared" si="1"/>
        <v> </v>
      </c>
      <c r="E4093" s="19" t="str">
        <f t="shared" si="2"/>
        <v> </v>
      </c>
      <c r="F4093" s="21"/>
    </row>
    <row r="4094">
      <c r="A4094" s="19">
        <v>15744.0</v>
      </c>
      <c r="B4094" s="19" t="s">
        <v>4111</v>
      </c>
      <c r="C4094" s="20">
        <v>22964.0</v>
      </c>
      <c r="D4094" s="19" t="str">
        <f t="shared" si="1"/>
        <v> </v>
      </c>
      <c r="E4094" s="19" t="str">
        <f t="shared" si="2"/>
        <v> </v>
      </c>
      <c r="F4094" s="21"/>
    </row>
    <row r="4095">
      <c r="A4095" s="19">
        <v>15745.0</v>
      </c>
      <c r="B4095" s="19" t="s">
        <v>4112</v>
      </c>
      <c r="C4095" s="20">
        <v>21738.0</v>
      </c>
      <c r="D4095" s="19" t="str">
        <f t="shared" si="1"/>
        <v> </v>
      </c>
      <c r="E4095" s="19" t="str">
        <f t="shared" si="2"/>
        <v> </v>
      </c>
      <c r="F4095" s="21"/>
    </row>
    <row r="4096">
      <c r="A4096" s="19">
        <v>15746.0</v>
      </c>
      <c r="B4096" s="19" t="s">
        <v>4113</v>
      </c>
      <c r="C4096" s="20">
        <v>19289.0</v>
      </c>
      <c r="D4096" s="19" t="str">
        <f t="shared" si="1"/>
        <v>Repeat</v>
      </c>
      <c r="E4096" s="19" t="str">
        <f t="shared" si="2"/>
        <v> </v>
      </c>
      <c r="F4096" s="21"/>
    </row>
    <row r="4097">
      <c r="A4097" s="19">
        <v>15747.0</v>
      </c>
      <c r="B4097" s="19" t="s">
        <v>4114</v>
      </c>
      <c r="C4097" s="20">
        <v>20053.0</v>
      </c>
      <c r="D4097" s="19" t="str">
        <f t="shared" si="1"/>
        <v> </v>
      </c>
      <c r="E4097" s="19" t="str">
        <f t="shared" si="2"/>
        <v> </v>
      </c>
      <c r="F4097" s="21"/>
    </row>
    <row r="4098">
      <c r="A4098" s="19">
        <v>15748.0</v>
      </c>
      <c r="B4098" s="19" t="s">
        <v>4115</v>
      </c>
      <c r="C4098" s="20">
        <v>22492.0</v>
      </c>
      <c r="D4098" s="19" t="str">
        <f t="shared" si="1"/>
        <v> </v>
      </c>
      <c r="E4098" s="19" t="str">
        <f t="shared" si="2"/>
        <v> </v>
      </c>
      <c r="F4098" s="21"/>
    </row>
    <row r="4099">
      <c r="A4099" s="19">
        <v>15749.0</v>
      </c>
      <c r="B4099" s="19" t="s">
        <v>4116</v>
      </c>
      <c r="C4099" s="20">
        <v>30064.0</v>
      </c>
      <c r="D4099" s="19" t="str">
        <f t="shared" si="1"/>
        <v> </v>
      </c>
      <c r="E4099" s="19" t="str">
        <f t="shared" si="2"/>
        <v> </v>
      </c>
      <c r="F4099" s="21"/>
    </row>
    <row r="4100">
      <c r="A4100" s="19">
        <v>15750.0</v>
      </c>
      <c r="B4100" s="19" t="s">
        <v>4117</v>
      </c>
      <c r="C4100" s="20">
        <v>19538.0</v>
      </c>
      <c r="D4100" s="19" t="str">
        <f t="shared" si="1"/>
        <v> </v>
      </c>
      <c r="E4100" s="19" t="str">
        <f t="shared" si="2"/>
        <v> </v>
      </c>
      <c r="F4100" s="21"/>
    </row>
    <row r="4101">
      <c r="A4101" s="19">
        <v>15751.0</v>
      </c>
      <c r="B4101" s="19" t="s">
        <v>4118</v>
      </c>
      <c r="C4101" s="20">
        <v>29562.0</v>
      </c>
      <c r="D4101" s="19" t="str">
        <f t="shared" si="1"/>
        <v> </v>
      </c>
      <c r="E4101" s="19" t="str">
        <f t="shared" si="2"/>
        <v> </v>
      </c>
      <c r="F4101" s="21"/>
    </row>
    <row r="4102">
      <c r="A4102" s="19">
        <v>15753.0</v>
      </c>
      <c r="B4102" s="19" t="s">
        <v>4119</v>
      </c>
      <c r="C4102" s="20">
        <v>17733.0</v>
      </c>
      <c r="D4102" s="19" t="str">
        <f t="shared" si="1"/>
        <v> </v>
      </c>
      <c r="E4102" s="19" t="str">
        <f t="shared" si="2"/>
        <v> </v>
      </c>
      <c r="F4102" s="21"/>
    </row>
    <row r="4103">
      <c r="A4103" s="19">
        <v>15755.0</v>
      </c>
      <c r="B4103" s="19" t="s">
        <v>4120</v>
      </c>
      <c r="C4103" s="20">
        <v>18681.0</v>
      </c>
      <c r="D4103" s="19" t="str">
        <f t="shared" si="1"/>
        <v> </v>
      </c>
      <c r="E4103" s="19" t="str">
        <f t="shared" si="2"/>
        <v> </v>
      </c>
      <c r="F4103" s="21"/>
    </row>
    <row r="4104">
      <c r="A4104" s="19">
        <v>15756.0</v>
      </c>
      <c r="B4104" s="19" t="s">
        <v>4121</v>
      </c>
      <c r="C4104" s="20">
        <v>17203.0</v>
      </c>
      <c r="D4104" s="19" t="str">
        <f t="shared" si="1"/>
        <v>Repeat</v>
      </c>
      <c r="E4104" s="19" t="str">
        <f t="shared" si="2"/>
        <v> </v>
      </c>
      <c r="F4104" s="21"/>
    </row>
    <row r="4105">
      <c r="A4105" s="19">
        <v>15757.0</v>
      </c>
      <c r="B4105" s="19" t="s">
        <v>4122</v>
      </c>
      <c r="C4105" s="20">
        <v>26378.0</v>
      </c>
      <c r="D4105" s="19" t="str">
        <f t="shared" si="1"/>
        <v> </v>
      </c>
      <c r="E4105" s="19" t="str">
        <f t="shared" si="2"/>
        <v> </v>
      </c>
      <c r="F4105" s="21"/>
    </row>
    <row r="4106">
      <c r="A4106" s="19">
        <v>15758.0</v>
      </c>
      <c r="B4106" s="19" t="s">
        <v>4123</v>
      </c>
      <c r="C4106" s="20">
        <v>22700.0</v>
      </c>
      <c r="D4106" s="19" t="str">
        <f t="shared" si="1"/>
        <v> </v>
      </c>
      <c r="E4106" s="19" t="str">
        <f t="shared" si="2"/>
        <v> </v>
      </c>
      <c r="F4106" s="21"/>
    </row>
    <row r="4107">
      <c r="A4107" s="19">
        <v>15760.0</v>
      </c>
      <c r="B4107" s="19" t="s">
        <v>4124</v>
      </c>
      <c r="C4107" s="20">
        <v>23524.0</v>
      </c>
      <c r="D4107" s="19" t="str">
        <f t="shared" si="1"/>
        <v> </v>
      </c>
      <c r="E4107" s="19" t="str">
        <f t="shared" si="2"/>
        <v> </v>
      </c>
      <c r="F4107" s="21"/>
    </row>
    <row r="4108">
      <c r="A4108" s="19">
        <v>15761.0</v>
      </c>
      <c r="B4108" s="19" t="s">
        <v>4125</v>
      </c>
      <c r="C4108" s="20">
        <v>19046.0</v>
      </c>
      <c r="D4108" s="19" t="str">
        <f t="shared" si="1"/>
        <v> </v>
      </c>
      <c r="E4108" s="19" t="str">
        <f t="shared" si="2"/>
        <v> </v>
      </c>
      <c r="F4108" s="21"/>
    </row>
    <row r="4109">
      <c r="A4109" s="19">
        <v>15762.0</v>
      </c>
      <c r="B4109" s="19" t="s">
        <v>4126</v>
      </c>
      <c r="C4109" s="20">
        <v>28325.0</v>
      </c>
      <c r="D4109" s="19" t="str">
        <f t="shared" si="1"/>
        <v> </v>
      </c>
      <c r="E4109" s="19" t="str">
        <f t="shared" si="2"/>
        <v> </v>
      </c>
      <c r="F4109" s="21"/>
    </row>
    <row r="4110">
      <c r="A4110" s="19">
        <v>15763.0</v>
      </c>
      <c r="B4110" s="19" t="s">
        <v>4127</v>
      </c>
      <c r="C4110" s="20">
        <v>23818.0</v>
      </c>
      <c r="D4110" s="19" t="str">
        <f t="shared" si="1"/>
        <v> </v>
      </c>
      <c r="E4110" s="19" t="str">
        <f t="shared" si="2"/>
        <v> </v>
      </c>
      <c r="F4110" s="21"/>
    </row>
    <row r="4111">
      <c r="A4111" s="19">
        <v>15764.0</v>
      </c>
      <c r="B4111" s="19" t="s">
        <v>4128</v>
      </c>
      <c r="C4111" s="20">
        <v>24741.0</v>
      </c>
      <c r="D4111" s="19" t="str">
        <f t="shared" si="1"/>
        <v> </v>
      </c>
      <c r="E4111" s="19" t="str">
        <f t="shared" si="2"/>
        <v> </v>
      </c>
      <c r="F4111" s="21"/>
    </row>
    <row r="4112">
      <c r="A4112" s="19">
        <v>15765.0</v>
      </c>
      <c r="B4112" s="19" t="s">
        <v>4129</v>
      </c>
      <c r="C4112" s="20">
        <v>23265.0</v>
      </c>
      <c r="D4112" s="19" t="str">
        <f t="shared" si="1"/>
        <v> </v>
      </c>
      <c r="E4112" s="19" t="str">
        <f t="shared" si="2"/>
        <v> </v>
      </c>
      <c r="F4112" s="21"/>
    </row>
    <row r="4113">
      <c r="A4113" s="19">
        <v>15766.0</v>
      </c>
      <c r="B4113" s="19" t="s">
        <v>4130</v>
      </c>
      <c r="C4113" s="20">
        <v>23906.0</v>
      </c>
      <c r="D4113" s="19" t="str">
        <f t="shared" si="1"/>
        <v> </v>
      </c>
      <c r="E4113" s="19" t="str">
        <f t="shared" si="2"/>
        <v> </v>
      </c>
      <c r="F4113" s="21"/>
    </row>
    <row r="4114">
      <c r="A4114" s="19">
        <v>15767.0</v>
      </c>
      <c r="B4114" s="19" t="s">
        <v>4131</v>
      </c>
      <c r="C4114" s="20">
        <v>21418.0</v>
      </c>
      <c r="D4114" s="19" t="str">
        <f t="shared" si="1"/>
        <v> </v>
      </c>
      <c r="E4114" s="19" t="str">
        <f t="shared" si="2"/>
        <v> </v>
      </c>
      <c r="F4114" s="21"/>
    </row>
    <row r="4115">
      <c r="A4115" s="19">
        <v>15768.0</v>
      </c>
      <c r="B4115" s="19" t="s">
        <v>4132</v>
      </c>
      <c r="C4115" s="20">
        <v>24108.0</v>
      </c>
      <c r="D4115" s="19" t="str">
        <f t="shared" si="1"/>
        <v> </v>
      </c>
      <c r="E4115" s="19" t="str">
        <f t="shared" si="2"/>
        <v> </v>
      </c>
      <c r="F4115" s="21"/>
    </row>
    <row r="4116">
      <c r="A4116" s="19">
        <v>15769.0</v>
      </c>
      <c r="B4116" s="19" t="s">
        <v>4133</v>
      </c>
      <c r="C4116" s="20">
        <v>19725.0</v>
      </c>
      <c r="D4116" s="19" t="str">
        <f t="shared" si="1"/>
        <v> </v>
      </c>
      <c r="E4116" s="19" t="str">
        <f t="shared" si="2"/>
        <v> </v>
      </c>
      <c r="F4116" s="21"/>
    </row>
    <row r="4117">
      <c r="A4117" s="19">
        <v>15770.0</v>
      </c>
      <c r="B4117" s="19" t="s">
        <v>4134</v>
      </c>
      <c r="C4117" s="20">
        <v>21050.0</v>
      </c>
      <c r="D4117" s="19" t="str">
        <f t="shared" si="1"/>
        <v> </v>
      </c>
      <c r="E4117" s="19" t="str">
        <f t="shared" si="2"/>
        <v> </v>
      </c>
      <c r="F4117" s="21"/>
    </row>
    <row r="4118">
      <c r="A4118" s="19">
        <v>15771.0</v>
      </c>
      <c r="B4118" s="19" t="s">
        <v>4135</v>
      </c>
      <c r="C4118" s="20">
        <v>19858.0</v>
      </c>
      <c r="D4118" s="19" t="str">
        <f t="shared" si="1"/>
        <v> </v>
      </c>
      <c r="E4118" s="19" t="str">
        <f t="shared" si="2"/>
        <v> </v>
      </c>
      <c r="F4118" s="21"/>
    </row>
    <row r="4119">
      <c r="A4119" s="19">
        <v>15772.0</v>
      </c>
      <c r="B4119" s="19" t="s">
        <v>4136</v>
      </c>
      <c r="C4119" s="20">
        <v>24343.0</v>
      </c>
      <c r="D4119" s="19" t="str">
        <f t="shared" si="1"/>
        <v> </v>
      </c>
      <c r="E4119" s="19" t="str">
        <f t="shared" si="2"/>
        <v> </v>
      </c>
      <c r="F4119" s="21"/>
    </row>
    <row r="4120">
      <c r="A4120" s="19">
        <v>15774.0</v>
      </c>
      <c r="B4120" s="19" t="s">
        <v>3931</v>
      </c>
      <c r="C4120" s="20">
        <v>22495.0</v>
      </c>
      <c r="D4120" s="19" t="str">
        <f t="shared" si="1"/>
        <v>Repeat</v>
      </c>
      <c r="E4120" s="19" t="str">
        <f t="shared" si="2"/>
        <v> </v>
      </c>
      <c r="F4120" s="21"/>
    </row>
    <row r="4121">
      <c r="A4121" s="19">
        <v>15775.0</v>
      </c>
      <c r="B4121" s="19" t="s">
        <v>4137</v>
      </c>
      <c r="C4121" s="20">
        <v>24599.0</v>
      </c>
      <c r="D4121" s="19" t="str">
        <f t="shared" si="1"/>
        <v> </v>
      </c>
      <c r="E4121" s="19" t="str">
        <f t="shared" si="2"/>
        <v> </v>
      </c>
      <c r="F4121" s="21"/>
    </row>
    <row r="4122">
      <c r="A4122" s="19">
        <v>15776.0</v>
      </c>
      <c r="B4122" s="19" t="s">
        <v>4138</v>
      </c>
      <c r="C4122" s="20">
        <v>26111.0</v>
      </c>
      <c r="D4122" s="19" t="str">
        <f t="shared" si="1"/>
        <v> </v>
      </c>
      <c r="E4122" s="19" t="str">
        <f t="shared" si="2"/>
        <v> </v>
      </c>
      <c r="F4122" s="21"/>
    </row>
    <row r="4123">
      <c r="A4123" s="19">
        <v>15777.0</v>
      </c>
      <c r="B4123" s="19" t="s">
        <v>4139</v>
      </c>
      <c r="C4123" s="20">
        <v>21158.0</v>
      </c>
      <c r="D4123" s="19" t="str">
        <f t="shared" si="1"/>
        <v> </v>
      </c>
      <c r="E4123" s="19" t="str">
        <f t="shared" si="2"/>
        <v> </v>
      </c>
      <c r="F4123" s="21"/>
    </row>
    <row r="4124">
      <c r="A4124" s="19">
        <v>15778.0</v>
      </c>
      <c r="B4124" s="19" t="s">
        <v>4140</v>
      </c>
      <c r="C4124" s="20">
        <v>24111.0</v>
      </c>
      <c r="D4124" s="19" t="str">
        <f t="shared" si="1"/>
        <v> </v>
      </c>
      <c r="E4124" s="19" t="str">
        <f t="shared" si="2"/>
        <v> </v>
      </c>
      <c r="F4124" s="21"/>
    </row>
    <row r="4125">
      <c r="A4125" s="19">
        <v>15779.0</v>
      </c>
      <c r="B4125" s="19" t="s">
        <v>4141</v>
      </c>
      <c r="C4125" s="20">
        <v>21259.0</v>
      </c>
      <c r="D4125" s="19" t="str">
        <f t="shared" si="1"/>
        <v> </v>
      </c>
      <c r="E4125" s="19" t="str">
        <f t="shared" si="2"/>
        <v> </v>
      </c>
      <c r="F4125" s="21"/>
    </row>
    <row r="4126">
      <c r="A4126" s="19">
        <v>15780.0</v>
      </c>
      <c r="B4126" s="19" t="s">
        <v>4142</v>
      </c>
      <c r="C4126" s="20">
        <v>23452.0</v>
      </c>
      <c r="D4126" s="19" t="str">
        <f t="shared" si="1"/>
        <v> </v>
      </c>
      <c r="E4126" s="19" t="str">
        <f t="shared" si="2"/>
        <v> </v>
      </c>
      <c r="F4126" s="21"/>
    </row>
    <row r="4127">
      <c r="A4127" s="19">
        <v>15782.0</v>
      </c>
      <c r="B4127" s="19" t="s">
        <v>4143</v>
      </c>
      <c r="C4127" s="20">
        <v>26777.0</v>
      </c>
      <c r="D4127" s="19" t="str">
        <f t="shared" si="1"/>
        <v> </v>
      </c>
      <c r="E4127" s="19" t="str">
        <f t="shared" si="2"/>
        <v> </v>
      </c>
      <c r="F4127" s="21"/>
    </row>
    <row r="4128">
      <c r="A4128" s="19">
        <v>15783.0</v>
      </c>
      <c r="B4128" s="19" t="s">
        <v>4144</v>
      </c>
      <c r="C4128" s="20">
        <v>20965.0</v>
      </c>
      <c r="D4128" s="19" t="str">
        <f t="shared" si="1"/>
        <v> </v>
      </c>
      <c r="E4128" s="19" t="str">
        <f t="shared" si="2"/>
        <v> </v>
      </c>
      <c r="F4128" s="21"/>
    </row>
    <row r="4129">
      <c r="A4129" s="19">
        <v>15784.0</v>
      </c>
      <c r="B4129" s="19" t="s">
        <v>4145</v>
      </c>
      <c r="C4129" s="20">
        <v>27911.0</v>
      </c>
      <c r="D4129" s="19" t="str">
        <f t="shared" si="1"/>
        <v> </v>
      </c>
      <c r="E4129" s="19" t="str">
        <f t="shared" si="2"/>
        <v> </v>
      </c>
      <c r="F4129" s="21"/>
    </row>
    <row r="4130">
      <c r="A4130" s="19">
        <v>15785.0</v>
      </c>
      <c r="B4130" s="19" t="s">
        <v>4146</v>
      </c>
      <c r="C4130" s="20">
        <v>19662.0</v>
      </c>
      <c r="D4130" s="19" t="str">
        <f t="shared" si="1"/>
        <v> </v>
      </c>
      <c r="E4130" s="19" t="str">
        <f t="shared" si="2"/>
        <v> </v>
      </c>
      <c r="F4130" s="21"/>
    </row>
    <row r="4131">
      <c r="A4131" s="19">
        <v>15786.0</v>
      </c>
      <c r="B4131" s="19" t="s">
        <v>4147</v>
      </c>
      <c r="C4131" s="20">
        <v>21798.0</v>
      </c>
      <c r="D4131" s="19" t="str">
        <f t="shared" si="1"/>
        <v> </v>
      </c>
      <c r="E4131" s="19" t="str">
        <f t="shared" si="2"/>
        <v> </v>
      </c>
      <c r="F4131" s="21"/>
    </row>
    <row r="4132">
      <c r="A4132" s="19">
        <v>15787.0</v>
      </c>
      <c r="B4132" s="19" t="s">
        <v>4148</v>
      </c>
      <c r="C4132" s="20">
        <v>25510.0</v>
      </c>
      <c r="D4132" s="19" t="str">
        <f t="shared" si="1"/>
        <v> </v>
      </c>
      <c r="E4132" s="19" t="str">
        <f t="shared" si="2"/>
        <v> </v>
      </c>
      <c r="F4132" s="21"/>
    </row>
    <row r="4133">
      <c r="A4133" s="19">
        <v>15789.0</v>
      </c>
      <c r="B4133" s="19" t="s">
        <v>4149</v>
      </c>
      <c r="C4133" s="20">
        <v>18415.0</v>
      </c>
      <c r="D4133" s="19" t="str">
        <f t="shared" si="1"/>
        <v> </v>
      </c>
      <c r="E4133" s="19" t="str">
        <f t="shared" si="2"/>
        <v> </v>
      </c>
      <c r="F4133" s="21"/>
    </row>
    <row r="4134">
      <c r="A4134" s="19">
        <v>15790.0</v>
      </c>
      <c r="B4134" s="19" t="s">
        <v>4150</v>
      </c>
      <c r="C4134" s="20">
        <v>30759.0</v>
      </c>
      <c r="D4134" s="19" t="str">
        <f t="shared" si="1"/>
        <v> </v>
      </c>
      <c r="E4134" s="19" t="str">
        <f t="shared" si="2"/>
        <v> </v>
      </c>
      <c r="F4134" s="21"/>
    </row>
    <row r="4135">
      <c r="A4135" s="19">
        <v>15791.0</v>
      </c>
      <c r="B4135" s="19" t="s">
        <v>4151</v>
      </c>
      <c r="C4135" s="20">
        <v>21098.0</v>
      </c>
      <c r="D4135" s="19" t="str">
        <f t="shared" si="1"/>
        <v> </v>
      </c>
      <c r="E4135" s="19" t="str">
        <f t="shared" si="2"/>
        <v> </v>
      </c>
      <c r="F4135" s="21"/>
    </row>
    <row r="4136">
      <c r="A4136" s="19">
        <v>15792.0</v>
      </c>
      <c r="B4136" s="19" t="s">
        <v>4152</v>
      </c>
      <c r="C4136" s="20">
        <v>30530.0</v>
      </c>
      <c r="D4136" s="19" t="str">
        <f t="shared" si="1"/>
        <v> </v>
      </c>
      <c r="E4136" s="19" t="str">
        <f t="shared" si="2"/>
        <v> </v>
      </c>
      <c r="F4136" s="21"/>
    </row>
    <row r="4137">
      <c r="A4137" s="19">
        <v>15793.0</v>
      </c>
      <c r="B4137" s="19" t="s">
        <v>4153</v>
      </c>
      <c r="C4137" s="20">
        <v>16522.0</v>
      </c>
      <c r="D4137" s="19" t="str">
        <f t="shared" si="1"/>
        <v> </v>
      </c>
      <c r="E4137" s="19" t="str">
        <f t="shared" si="2"/>
        <v> </v>
      </c>
      <c r="F4137" s="21"/>
    </row>
    <row r="4138">
      <c r="A4138" s="19">
        <v>15794.0</v>
      </c>
      <c r="B4138" s="19" t="s">
        <v>4154</v>
      </c>
      <c r="C4138" s="20">
        <v>20692.0</v>
      </c>
      <c r="D4138" s="19" t="str">
        <f t="shared" si="1"/>
        <v> </v>
      </c>
      <c r="E4138" s="19" t="str">
        <f t="shared" si="2"/>
        <v> </v>
      </c>
      <c r="F4138" s="21"/>
    </row>
    <row r="4139">
      <c r="A4139" s="19">
        <v>15795.0</v>
      </c>
      <c r="B4139" s="19" t="s">
        <v>4155</v>
      </c>
      <c r="C4139" s="20">
        <v>15753.0</v>
      </c>
      <c r="D4139" s="19" t="str">
        <f t="shared" si="1"/>
        <v> </v>
      </c>
      <c r="E4139" s="19" t="str">
        <f t="shared" si="2"/>
        <v> </v>
      </c>
      <c r="F4139" s="21"/>
    </row>
    <row r="4140">
      <c r="A4140" s="19">
        <v>15796.0</v>
      </c>
      <c r="B4140" s="19" t="s">
        <v>4156</v>
      </c>
      <c r="C4140" s="20">
        <v>31611.0</v>
      </c>
      <c r="D4140" s="19" t="str">
        <f t="shared" si="1"/>
        <v> </v>
      </c>
      <c r="E4140" s="19" t="str">
        <f t="shared" si="2"/>
        <v> </v>
      </c>
      <c r="F4140" s="21"/>
    </row>
    <row r="4141">
      <c r="A4141" s="19">
        <v>15797.0</v>
      </c>
      <c r="B4141" s="19" t="s">
        <v>4157</v>
      </c>
      <c r="C4141" s="20">
        <v>22485.0</v>
      </c>
      <c r="D4141" s="19" t="str">
        <f t="shared" si="1"/>
        <v>Repeat</v>
      </c>
      <c r="E4141" s="19" t="str">
        <f t="shared" si="2"/>
        <v> </v>
      </c>
      <c r="F4141" s="21"/>
    </row>
    <row r="4142">
      <c r="A4142" s="19">
        <v>15798.0</v>
      </c>
      <c r="B4142" s="19" t="s">
        <v>4158</v>
      </c>
      <c r="C4142" s="20">
        <v>26903.0</v>
      </c>
      <c r="D4142" s="19" t="str">
        <f t="shared" si="1"/>
        <v> </v>
      </c>
      <c r="E4142" s="19" t="str">
        <f t="shared" si="2"/>
        <v> </v>
      </c>
      <c r="F4142" s="21"/>
    </row>
    <row r="4143">
      <c r="A4143" s="19">
        <v>15799.0</v>
      </c>
      <c r="B4143" s="19" t="s">
        <v>4159</v>
      </c>
      <c r="C4143" s="20">
        <v>20858.0</v>
      </c>
      <c r="D4143" s="19" t="str">
        <f t="shared" si="1"/>
        <v> </v>
      </c>
      <c r="E4143" s="19" t="str">
        <f t="shared" si="2"/>
        <v> </v>
      </c>
      <c r="F4143" s="21"/>
    </row>
    <row r="4144">
      <c r="A4144" s="19">
        <v>15800.0</v>
      </c>
      <c r="B4144" s="19" t="s">
        <v>4160</v>
      </c>
      <c r="C4144" s="20">
        <v>21210.0</v>
      </c>
      <c r="D4144" s="19" t="str">
        <f t="shared" si="1"/>
        <v> </v>
      </c>
      <c r="E4144" s="19" t="str">
        <f t="shared" si="2"/>
        <v> </v>
      </c>
      <c r="F4144" s="21"/>
    </row>
    <row r="4145">
      <c r="A4145" s="19">
        <v>15801.0</v>
      </c>
      <c r="B4145" s="19" t="s">
        <v>4161</v>
      </c>
      <c r="C4145" s="20">
        <v>18872.0</v>
      </c>
      <c r="D4145" s="19" t="str">
        <f t="shared" si="1"/>
        <v> </v>
      </c>
      <c r="E4145" s="19" t="str">
        <f t="shared" si="2"/>
        <v> </v>
      </c>
      <c r="F4145" s="21"/>
    </row>
    <row r="4146">
      <c r="A4146" s="19">
        <v>15802.0</v>
      </c>
      <c r="B4146" s="19" t="s">
        <v>4162</v>
      </c>
      <c r="C4146" s="20">
        <v>14014.0</v>
      </c>
      <c r="D4146" s="19" t="str">
        <f t="shared" si="1"/>
        <v> </v>
      </c>
      <c r="E4146" s="19" t="str">
        <f t="shared" si="2"/>
        <v> </v>
      </c>
      <c r="F4146" s="21"/>
    </row>
    <row r="4147">
      <c r="A4147" s="19">
        <v>15803.0</v>
      </c>
      <c r="B4147" s="19" t="s">
        <v>4163</v>
      </c>
      <c r="C4147" s="20">
        <v>23681.0</v>
      </c>
      <c r="D4147" s="19" t="str">
        <f t="shared" si="1"/>
        <v> </v>
      </c>
      <c r="E4147" s="19" t="str">
        <f t="shared" si="2"/>
        <v> </v>
      </c>
      <c r="F4147" s="21"/>
    </row>
    <row r="4148">
      <c r="A4148" s="19">
        <v>15804.0</v>
      </c>
      <c r="B4148" s="19" t="s">
        <v>4164</v>
      </c>
      <c r="C4148" s="20">
        <v>18291.0</v>
      </c>
      <c r="D4148" s="19" t="str">
        <f t="shared" si="1"/>
        <v> </v>
      </c>
      <c r="E4148" s="19" t="str">
        <f t="shared" si="2"/>
        <v> </v>
      </c>
      <c r="F4148" s="21"/>
    </row>
    <row r="4149">
      <c r="A4149" s="19">
        <v>15805.0</v>
      </c>
      <c r="B4149" s="19" t="s">
        <v>4165</v>
      </c>
      <c r="C4149" s="20">
        <v>28195.0</v>
      </c>
      <c r="D4149" s="19" t="str">
        <f t="shared" si="1"/>
        <v> </v>
      </c>
      <c r="E4149" s="19" t="str">
        <f t="shared" si="2"/>
        <v> </v>
      </c>
      <c r="F4149" s="21"/>
    </row>
    <row r="4150">
      <c r="A4150" s="19">
        <v>15806.0</v>
      </c>
      <c r="B4150" s="19" t="s">
        <v>4166</v>
      </c>
      <c r="C4150" s="20">
        <v>18664.0</v>
      </c>
      <c r="D4150" s="19" t="str">
        <f t="shared" si="1"/>
        <v> </v>
      </c>
      <c r="E4150" s="19" t="str">
        <f t="shared" si="2"/>
        <v> </v>
      </c>
      <c r="F4150" s="21"/>
    </row>
    <row r="4151">
      <c r="A4151" s="19">
        <v>15807.0</v>
      </c>
      <c r="B4151" s="19" t="s">
        <v>4167</v>
      </c>
      <c r="C4151" s="20">
        <v>22632.0</v>
      </c>
      <c r="D4151" s="19" t="str">
        <f t="shared" si="1"/>
        <v> </v>
      </c>
      <c r="E4151" s="19" t="str">
        <f t="shared" si="2"/>
        <v> </v>
      </c>
      <c r="F4151" s="21"/>
    </row>
    <row r="4152">
      <c r="A4152" s="19">
        <v>15808.0</v>
      </c>
      <c r="B4152" s="19" t="s">
        <v>4168</v>
      </c>
      <c r="C4152" s="20">
        <v>17409.0</v>
      </c>
      <c r="D4152" s="19" t="str">
        <f t="shared" si="1"/>
        <v> </v>
      </c>
      <c r="E4152" s="19" t="str">
        <f t="shared" si="2"/>
        <v> </v>
      </c>
      <c r="F4152" s="21"/>
    </row>
    <row r="4153">
      <c r="A4153" s="19">
        <v>15809.0</v>
      </c>
      <c r="B4153" s="19" t="s">
        <v>4169</v>
      </c>
      <c r="C4153" s="20">
        <v>13255.0</v>
      </c>
      <c r="D4153" s="19" t="str">
        <f t="shared" si="1"/>
        <v> </v>
      </c>
      <c r="E4153" s="19" t="str">
        <f t="shared" si="2"/>
        <v> </v>
      </c>
      <c r="F4153" s="21"/>
    </row>
    <row r="4154">
      <c r="A4154" s="19">
        <v>15811.0</v>
      </c>
      <c r="B4154" s="19" t="s">
        <v>594</v>
      </c>
      <c r="C4154" s="20">
        <v>26807.0</v>
      </c>
      <c r="D4154" s="19" t="str">
        <f t="shared" si="1"/>
        <v>Repeat</v>
      </c>
      <c r="E4154" s="19" t="str">
        <f t="shared" si="2"/>
        <v> </v>
      </c>
      <c r="F4154" s="21"/>
    </row>
    <row r="4155">
      <c r="A4155" s="19">
        <v>15812.0</v>
      </c>
      <c r="B4155" s="19" t="s">
        <v>4170</v>
      </c>
      <c r="C4155" s="20">
        <v>31904.0</v>
      </c>
      <c r="D4155" s="19" t="str">
        <f t="shared" si="1"/>
        <v> </v>
      </c>
      <c r="E4155" s="19" t="str">
        <f t="shared" si="2"/>
        <v> </v>
      </c>
      <c r="F4155" s="21"/>
    </row>
    <row r="4156">
      <c r="A4156" s="19">
        <v>15813.0</v>
      </c>
      <c r="B4156" s="19" t="s">
        <v>4171</v>
      </c>
      <c r="C4156" s="20">
        <v>21691.0</v>
      </c>
      <c r="D4156" s="19" t="str">
        <f t="shared" si="1"/>
        <v> </v>
      </c>
      <c r="E4156" s="19" t="str">
        <f t="shared" si="2"/>
        <v> </v>
      </c>
      <c r="F4156" s="21"/>
    </row>
    <row r="4157">
      <c r="A4157" s="19">
        <v>15814.0</v>
      </c>
      <c r="B4157" s="19" t="s">
        <v>4172</v>
      </c>
      <c r="C4157" s="20">
        <v>28677.0</v>
      </c>
      <c r="D4157" s="19" t="str">
        <f t="shared" si="1"/>
        <v> </v>
      </c>
      <c r="E4157" s="19" t="str">
        <f t="shared" si="2"/>
        <v> </v>
      </c>
      <c r="F4157" s="21"/>
    </row>
    <row r="4158">
      <c r="A4158" s="19">
        <v>15815.0</v>
      </c>
      <c r="B4158" s="19" t="s">
        <v>4173</v>
      </c>
      <c r="C4158" s="20">
        <v>20335.0</v>
      </c>
      <c r="D4158" s="19" t="str">
        <f t="shared" si="1"/>
        <v> </v>
      </c>
      <c r="E4158" s="19" t="str">
        <f t="shared" si="2"/>
        <v> </v>
      </c>
      <c r="F4158" s="21"/>
    </row>
    <row r="4159">
      <c r="A4159" s="19">
        <v>15817.0</v>
      </c>
      <c r="B4159" s="19" t="s">
        <v>4174</v>
      </c>
      <c r="C4159" s="20">
        <v>31161.0</v>
      </c>
      <c r="D4159" s="19" t="str">
        <f t="shared" si="1"/>
        <v> </v>
      </c>
      <c r="E4159" s="19" t="str">
        <f t="shared" si="2"/>
        <v> </v>
      </c>
      <c r="F4159" s="21"/>
    </row>
    <row r="4160">
      <c r="A4160" s="19">
        <v>15818.0</v>
      </c>
      <c r="B4160" s="19" t="s">
        <v>4175</v>
      </c>
      <c r="C4160" s="20">
        <v>24706.0</v>
      </c>
      <c r="D4160" s="19" t="str">
        <f t="shared" si="1"/>
        <v> </v>
      </c>
      <c r="E4160" s="19" t="str">
        <f t="shared" si="2"/>
        <v> </v>
      </c>
      <c r="F4160" s="21"/>
    </row>
    <row r="4161">
      <c r="A4161" s="19">
        <v>15819.0</v>
      </c>
      <c r="B4161" s="19" t="s">
        <v>4176</v>
      </c>
      <c r="C4161" s="20">
        <v>25506.0</v>
      </c>
      <c r="D4161" s="19" t="str">
        <f t="shared" si="1"/>
        <v> </v>
      </c>
      <c r="E4161" s="19" t="str">
        <f t="shared" si="2"/>
        <v> </v>
      </c>
      <c r="F4161" s="21"/>
    </row>
    <row r="4162">
      <c r="A4162" s="19">
        <v>15820.0</v>
      </c>
      <c r="B4162" s="19" t="s">
        <v>4177</v>
      </c>
      <c r="C4162" s="20">
        <v>18622.0</v>
      </c>
      <c r="D4162" s="19" t="str">
        <f t="shared" si="1"/>
        <v> </v>
      </c>
      <c r="E4162" s="19" t="str">
        <f t="shared" si="2"/>
        <v> </v>
      </c>
      <c r="F4162" s="21"/>
    </row>
    <row r="4163">
      <c r="A4163" s="19">
        <v>15821.0</v>
      </c>
      <c r="B4163" s="19" t="s">
        <v>4178</v>
      </c>
      <c r="C4163" s="20">
        <v>27989.0</v>
      </c>
      <c r="D4163" s="19" t="str">
        <f t="shared" si="1"/>
        <v> </v>
      </c>
      <c r="E4163" s="19" t="str">
        <f t="shared" si="2"/>
        <v> </v>
      </c>
      <c r="F4163" s="21"/>
    </row>
    <row r="4164">
      <c r="A4164" s="19">
        <v>15822.0</v>
      </c>
      <c r="B4164" s="19" t="s">
        <v>4179</v>
      </c>
      <c r="C4164" s="20">
        <v>26428.0</v>
      </c>
      <c r="D4164" s="19" t="str">
        <f t="shared" si="1"/>
        <v> </v>
      </c>
      <c r="E4164" s="19" t="str">
        <f t="shared" si="2"/>
        <v> </v>
      </c>
      <c r="F4164" s="21"/>
    </row>
    <row r="4165">
      <c r="A4165" s="19">
        <v>15823.0</v>
      </c>
      <c r="B4165" s="19" t="s">
        <v>4180</v>
      </c>
      <c r="C4165" s="20">
        <v>17402.0</v>
      </c>
      <c r="D4165" s="19" t="str">
        <f t="shared" si="1"/>
        <v> </v>
      </c>
      <c r="E4165" s="19" t="str">
        <f t="shared" si="2"/>
        <v> </v>
      </c>
      <c r="F4165" s="21"/>
    </row>
    <row r="4166">
      <c r="A4166" s="19">
        <v>15824.0</v>
      </c>
      <c r="B4166" s="19" t="s">
        <v>4181</v>
      </c>
      <c r="C4166" s="20">
        <v>22206.0</v>
      </c>
      <c r="D4166" s="19" t="str">
        <f t="shared" si="1"/>
        <v> </v>
      </c>
      <c r="E4166" s="19" t="str">
        <f t="shared" si="2"/>
        <v> </v>
      </c>
      <c r="F4166" s="21"/>
    </row>
    <row r="4167">
      <c r="A4167" s="19">
        <v>15825.0</v>
      </c>
      <c r="B4167" s="19" t="s">
        <v>4182</v>
      </c>
      <c r="C4167" s="20">
        <v>23533.0</v>
      </c>
      <c r="D4167" s="19" t="str">
        <f t="shared" si="1"/>
        <v> </v>
      </c>
      <c r="E4167" s="19" t="str">
        <f t="shared" si="2"/>
        <v> </v>
      </c>
      <c r="F4167" s="21"/>
    </row>
    <row r="4168">
      <c r="A4168" s="19">
        <v>15826.0</v>
      </c>
      <c r="B4168" s="19" t="s">
        <v>4183</v>
      </c>
      <c r="C4168" s="20">
        <v>18101.0</v>
      </c>
      <c r="D4168" s="19" t="str">
        <f t="shared" si="1"/>
        <v> </v>
      </c>
      <c r="E4168" s="19" t="str">
        <f t="shared" si="2"/>
        <v> </v>
      </c>
      <c r="F4168" s="21"/>
    </row>
    <row r="4169">
      <c r="A4169" s="19">
        <v>15827.0</v>
      </c>
      <c r="B4169" s="19" t="s">
        <v>4184</v>
      </c>
      <c r="C4169" s="20">
        <v>17462.0</v>
      </c>
      <c r="D4169" s="19" t="str">
        <f t="shared" si="1"/>
        <v> </v>
      </c>
      <c r="E4169" s="19" t="str">
        <f t="shared" si="2"/>
        <v> </v>
      </c>
      <c r="F4169" s="21"/>
    </row>
    <row r="4170">
      <c r="A4170" s="19">
        <v>15829.0</v>
      </c>
      <c r="B4170" s="19" t="s">
        <v>4185</v>
      </c>
      <c r="C4170" s="20">
        <v>29850.0</v>
      </c>
      <c r="D4170" s="19" t="str">
        <f t="shared" si="1"/>
        <v> </v>
      </c>
      <c r="E4170" s="19" t="str">
        <f t="shared" si="2"/>
        <v> </v>
      </c>
      <c r="F4170" s="21"/>
    </row>
    <row r="4171">
      <c r="A4171" s="19">
        <v>15830.0</v>
      </c>
      <c r="B4171" s="19" t="s">
        <v>4186</v>
      </c>
      <c r="C4171" s="20">
        <v>20032.0</v>
      </c>
      <c r="D4171" s="19" t="str">
        <f t="shared" si="1"/>
        <v> </v>
      </c>
      <c r="E4171" s="19" t="str">
        <f t="shared" si="2"/>
        <v> </v>
      </c>
      <c r="F4171" s="21"/>
    </row>
    <row r="4172">
      <c r="A4172" s="19">
        <v>15831.0</v>
      </c>
      <c r="B4172" s="19" t="s">
        <v>4187</v>
      </c>
      <c r="C4172" s="20">
        <v>27556.0</v>
      </c>
      <c r="D4172" s="19" t="str">
        <f t="shared" si="1"/>
        <v> </v>
      </c>
      <c r="E4172" s="19" t="str">
        <f t="shared" si="2"/>
        <v> </v>
      </c>
      <c r="F4172" s="21"/>
    </row>
    <row r="4173">
      <c r="A4173" s="19">
        <v>15832.0</v>
      </c>
      <c r="B4173" s="19" t="s">
        <v>1813</v>
      </c>
      <c r="C4173" s="20">
        <v>20976.0</v>
      </c>
      <c r="D4173" s="19" t="str">
        <f t="shared" si="1"/>
        <v>Repeat</v>
      </c>
      <c r="E4173" s="19" t="str">
        <f t="shared" si="2"/>
        <v> </v>
      </c>
      <c r="F4173" s="21"/>
    </row>
    <row r="4174">
      <c r="A4174" s="19">
        <v>15833.0</v>
      </c>
      <c r="B4174" s="19" t="s">
        <v>4188</v>
      </c>
      <c r="C4174" s="20">
        <v>30890.0</v>
      </c>
      <c r="D4174" s="19" t="str">
        <f t="shared" si="1"/>
        <v> </v>
      </c>
      <c r="E4174" s="19" t="str">
        <f t="shared" si="2"/>
        <v> </v>
      </c>
      <c r="F4174" s="21"/>
    </row>
    <row r="4175">
      <c r="A4175" s="19">
        <v>15834.0</v>
      </c>
      <c r="B4175" s="19" t="s">
        <v>4189</v>
      </c>
      <c r="C4175" s="20">
        <v>17523.0</v>
      </c>
      <c r="D4175" s="19" t="str">
        <f t="shared" si="1"/>
        <v> </v>
      </c>
      <c r="E4175" s="19" t="str">
        <f t="shared" si="2"/>
        <v> </v>
      </c>
      <c r="F4175" s="21"/>
    </row>
    <row r="4176">
      <c r="A4176" s="19">
        <v>15835.0</v>
      </c>
      <c r="B4176" s="19" t="s">
        <v>4190</v>
      </c>
      <c r="C4176" s="20">
        <v>21919.0</v>
      </c>
      <c r="D4176" s="19" t="str">
        <f t="shared" si="1"/>
        <v> </v>
      </c>
      <c r="E4176" s="19" t="str">
        <f t="shared" si="2"/>
        <v> </v>
      </c>
      <c r="F4176" s="21"/>
    </row>
    <row r="4177">
      <c r="A4177" s="19">
        <v>15836.0</v>
      </c>
      <c r="B4177" s="19" t="s">
        <v>4191</v>
      </c>
      <c r="C4177" s="20">
        <v>16122.0</v>
      </c>
      <c r="D4177" s="19" t="str">
        <f t="shared" si="1"/>
        <v> </v>
      </c>
      <c r="E4177" s="19" t="str">
        <f t="shared" si="2"/>
        <v> </v>
      </c>
      <c r="F4177" s="21"/>
    </row>
    <row r="4178">
      <c r="A4178" s="19">
        <v>15837.0</v>
      </c>
      <c r="B4178" s="19" t="s">
        <v>4192</v>
      </c>
      <c r="C4178" s="20">
        <v>26371.0</v>
      </c>
      <c r="D4178" s="19" t="str">
        <f t="shared" si="1"/>
        <v> </v>
      </c>
      <c r="E4178" s="19" t="str">
        <f t="shared" si="2"/>
        <v> </v>
      </c>
      <c r="F4178" s="21"/>
    </row>
    <row r="4179">
      <c r="A4179" s="19">
        <v>15838.0</v>
      </c>
      <c r="B4179" s="19" t="s">
        <v>4193</v>
      </c>
      <c r="C4179" s="20">
        <v>21409.0</v>
      </c>
      <c r="D4179" s="19" t="str">
        <f t="shared" si="1"/>
        <v> </v>
      </c>
      <c r="E4179" s="19" t="str">
        <f t="shared" si="2"/>
        <v> </v>
      </c>
      <c r="F4179" s="21"/>
    </row>
    <row r="4180">
      <c r="A4180" s="19">
        <v>15839.0</v>
      </c>
      <c r="B4180" s="19" t="s">
        <v>4194</v>
      </c>
      <c r="C4180" s="20">
        <v>25369.0</v>
      </c>
      <c r="D4180" s="19" t="str">
        <f t="shared" si="1"/>
        <v> </v>
      </c>
      <c r="E4180" s="19" t="str">
        <f t="shared" si="2"/>
        <v> </v>
      </c>
      <c r="F4180" s="21"/>
    </row>
    <row r="4181">
      <c r="A4181" s="19">
        <v>15840.0</v>
      </c>
      <c r="B4181" s="19" t="s">
        <v>4195</v>
      </c>
      <c r="C4181" s="20">
        <v>16549.0</v>
      </c>
      <c r="D4181" s="19" t="str">
        <f t="shared" si="1"/>
        <v> </v>
      </c>
      <c r="E4181" s="19" t="str">
        <f t="shared" si="2"/>
        <v> </v>
      </c>
      <c r="F4181" s="21"/>
    </row>
    <row r="4182">
      <c r="A4182" s="19">
        <v>15841.0</v>
      </c>
      <c r="B4182" s="19" t="s">
        <v>4196</v>
      </c>
      <c r="C4182" s="20">
        <v>20058.0</v>
      </c>
      <c r="D4182" s="19" t="str">
        <f t="shared" si="1"/>
        <v> </v>
      </c>
      <c r="E4182" s="19" t="str">
        <f t="shared" si="2"/>
        <v> </v>
      </c>
      <c r="F4182" s="21"/>
    </row>
    <row r="4183">
      <c r="A4183" s="19">
        <v>15842.0</v>
      </c>
      <c r="B4183" s="19" t="s">
        <v>4197</v>
      </c>
      <c r="C4183" s="20">
        <v>18789.0</v>
      </c>
      <c r="D4183" s="19" t="str">
        <f t="shared" si="1"/>
        <v> </v>
      </c>
      <c r="E4183" s="19" t="str">
        <f t="shared" si="2"/>
        <v> </v>
      </c>
      <c r="F4183" s="21"/>
    </row>
    <row r="4184">
      <c r="A4184" s="19">
        <v>15843.0</v>
      </c>
      <c r="B4184" s="19" t="s">
        <v>4198</v>
      </c>
      <c r="C4184" s="20">
        <v>22196.0</v>
      </c>
      <c r="D4184" s="19" t="str">
        <f t="shared" si="1"/>
        <v>Repeat</v>
      </c>
      <c r="E4184" s="19" t="str">
        <f t="shared" si="2"/>
        <v> </v>
      </c>
      <c r="F4184" s="21"/>
    </row>
    <row r="4185">
      <c r="A4185" s="19">
        <v>15844.0</v>
      </c>
      <c r="B4185" s="19" t="s">
        <v>4199</v>
      </c>
      <c r="C4185" s="20">
        <v>24938.0</v>
      </c>
      <c r="D4185" s="19" t="str">
        <f t="shared" si="1"/>
        <v> </v>
      </c>
      <c r="E4185" s="19" t="str">
        <f t="shared" si="2"/>
        <v> </v>
      </c>
      <c r="F4185" s="21"/>
    </row>
    <row r="4186">
      <c r="A4186" s="19">
        <v>15845.0</v>
      </c>
      <c r="B4186" s="19" t="s">
        <v>4200</v>
      </c>
      <c r="C4186" s="20">
        <v>26349.0</v>
      </c>
      <c r="D4186" s="19" t="str">
        <f t="shared" si="1"/>
        <v> </v>
      </c>
      <c r="E4186" s="19" t="str">
        <f t="shared" si="2"/>
        <v> </v>
      </c>
      <c r="F4186" s="21"/>
    </row>
    <row r="4187">
      <c r="A4187" s="19">
        <v>15846.0</v>
      </c>
      <c r="B4187" s="19" t="s">
        <v>4201</v>
      </c>
      <c r="C4187" s="20">
        <v>29050.0</v>
      </c>
      <c r="D4187" s="19" t="str">
        <f t="shared" si="1"/>
        <v> </v>
      </c>
      <c r="E4187" s="19" t="str">
        <f t="shared" si="2"/>
        <v> </v>
      </c>
      <c r="F4187" s="21"/>
    </row>
    <row r="4188">
      <c r="A4188" s="19">
        <v>15847.0</v>
      </c>
      <c r="B4188" s="19" t="s">
        <v>4202</v>
      </c>
      <c r="C4188" s="20">
        <v>33740.0</v>
      </c>
      <c r="D4188" s="19" t="str">
        <f t="shared" si="1"/>
        <v> </v>
      </c>
      <c r="E4188" s="19" t="str">
        <f t="shared" si="2"/>
        <v> </v>
      </c>
      <c r="F4188" s="21"/>
    </row>
    <row r="4189">
      <c r="A4189" s="19">
        <v>15848.0</v>
      </c>
      <c r="B4189" s="19" t="s">
        <v>4203</v>
      </c>
      <c r="C4189" s="20">
        <v>30128.0</v>
      </c>
      <c r="D4189" s="19" t="str">
        <f t="shared" si="1"/>
        <v> </v>
      </c>
      <c r="E4189" s="19" t="str">
        <f t="shared" si="2"/>
        <v> </v>
      </c>
      <c r="F4189" s="21"/>
    </row>
    <row r="4190">
      <c r="A4190" s="19">
        <v>15849.0</v>
      </c>
      <c r="B4190" s="19" t="s">
        <v>4204</v>
      </c>
      <c r="C4190" s="20">
        <v>32104.0</v>
      </c>
      <c r="D4190" s="19" t="str">
        <f t="shared" si="1"/>
        <v> </v>
      </c>
      <c r="E4190" s="19" t="str">
        <f t="shared" si="2"/>
        <v> </v>
      </c>
      <c r="F4190" s="21"/>
    </row>
    <row r="4191">
      <c r="A4191" s="19">
        <v>15850.0</v>
      </c>
      <c r="B4191" s="19" t="s">
        <v>4205</v>
      </c>
      <c r="C4191" s="20">
        <v>20771.0</v>
      </c>
      <c r="D4191" s="19" t="str">
        <f t="shared" si="1"/>
        <v> </v>
      </c>
      <c r="E4191" s="19" t="str">
        <f t="shared" si="2"/>
        <v> </v>
      </c>
      <c r="F4191" s="21"/>
    </row>
    <row r="4192">
      <c r="A4192" s="19">
        <v>15851.0</v>
      </c>
      <c r="B4192" s="19" t="s">
        <v>4206</v>
      </c>
      <c r="C4192" s="20">
        <v>23918.0</v>
      </c>
      <c r="D4192" s="19" t="str">
        <f t="shared" si="1"/>
        <v> </v>
      </c>
      <c r="E4192" s="19" t="str">
        <f t="shared" si="2"/>
        <v> </v>
      </c>
      <c r="F4192" s="21"/>
    </row>
    <row r="4193">
      <c r="A4193" s="19">
        <v>15852.0</v>
      </c>
      <c r="B4193" s="19" t="s">
        <v>4207</v>
      </c>
      <c r="C4193" s="20">
        <v>12166.0</v>
      </c>
      <c r="D4193" s="19" t="str">
        <f t="shared" si="1"/>
        <v> </v>
      </c>
      <c r="E4193" s="19" t="str">
        <f t="shared" si="2"/>
        <v> </v>
      </c>
      <c r="F4193" s="21"/>
    </row>
    <row r="4194">
      <c r="A4194" s="19">
        <v>15853.0</v>
      </c>
      <c r="B4194" s="19" t="s">
        <v>4208</v>
      </c>
      <c r="C4194" s="20">
        <v>18900.0</v>
      </c>
      <c r="D4194" s="19" t="str">
        <f t="shared" si="1"/>
        <v> </v>
      </c>
      <c r="E4194" s="19" t="str">
        <f t="shared" si="2"/>
        <v> </v>
      </c>
      <c r="F4194" s="21"/>
    </row>
    <row r="4195">
      <c r="A4195" s="19">
        <v>15854.0</v>
      </c>
      <c r="B4195" s="19" t="s">
        <v>4209</v>
      </c>
      <c r="C4195" s="20">
        <v>23330.0</v>
      </c>
      <c r="D4195" s="19" t="str">
        <f t="shared" si="1"/>
        <v> </v>
      </c>
      <c r="E4195" s="19" t="str">
        <f t="shared" si="2"/>
        <v> </v>
      </c>
      <c r="F4195" s="21"/>
    </row>
    <row r="4196">
      <c r="A4196" s="19">
        <v>15855.0</v>
      </c>
      <c r="B4196" s="19" t="s">
        <v>4210</v>
      </c>
      <c r="C4196" s="20">
        <v>16252.0</v>
      </c>
      <c r="D4196" s="19" t="str">
        <f t="shared" si="1"/>
        <v> </v>
      </c>
      <c r="E4196" s="19" t="str">
        <f t="shared" si="2"/>
        <v> </v>
      </c>
      <c r="F4196" s="21"/>
    </row>
    <row r="4197">
      <c r="A4197" s="19">
        <v>15856.0</v>
      </c>
      <c r="B4197" s="19" t="s">
        <v>4211</v>
      </c>
      <c r="C4197" s="20">
        <v>24549.0</v>
      </c>
      <c r="D4197" s="19" t="str">
        <f t="shared" si="1"/>
        <v> </v>
      </c>
      <c r="E4197" s="19" t="str">
        <f t="shared" si="2"/>
        <v> </v>
      </c>
      <c r="F4197" s="21"/>
    </row>
    <row r="4198">
      <c r="A4198" s="19">
        <v>15857.0</v>
      </c>
      <c r="B4198" s="19" t="s">
        <v>4212</v>
      </c>
      <c r="C4198" s="20">
        <v>20924.0</v>
      </c>
      <c r="D4198" s="19" t="str">
        <f t="shared" si="1"/>
        <v> </v>
      </c>
      <c r="E4198" s="19" t="str">
        <f t="shared" si="2"/>
        <v> </v>
      </c>
      <c r="F4198" s="21"/>
    </row>
    <row r="4199">
      <c r="A4199" s="19">
        <v>15858.0</v>
      </c>
      <c r="B4199" s="19" t="s">
        <v>4213</v>
      </c>
      <c r="C4199" s="20">
        <v>16202.0</v>
      </c>
      <c r="D4199" s="19" t="str">
        <f t="shared" si="1"/>
        <v> </v>
      </c>
      <c r="E4199" s="19" t="str">
        <f t="shared" si="2"/>
        <v> </v>
      </c>
      <c r="F4199" s="21"/>
    </row>
    <row r="4200">
      <c r="A4200" s="19">
        <v>15859.0</v>
      </c>
      <c r="B4200" s="19" t="s">
        <v>4214</v>
      </c>
      <c r="C4200" s="20">
        <v>21371.0</v>
      </c>
      <c r="D4200" s="19" t="str">
        <f t="shared" si="1"/>
        <v> </v>
      </c>
      <c r="E4200" s="19" t="str">
        <f t="shared" si="2"/>
        <v> </v>
      </c>
      <c r="F4200" s="21"/>
    </row>
    <row r="4201">
      <c r="A4201" s="19">
        <v>15860.0</v>
      </c>
      <c r="B4201" s="19" t="s">
        <v>4215</v>
      </c>
      <c r="C4201" s="20">
        <v>20329.0</v>
      </c>
      <c r="D4201" s="19" t="str">
        <f t="shared" si="1"/>
        <v> </v>
      </c>
      <c r="E4201" s="19" t="str">
        <f t="shared" si="2"/>
        <v> </v>
      </c>
      <c r="F4201" s="21"/>
    </row>
    <row r="4202">
      <c r="A4202" s="19">
        <v>15861.0</v>
      </c>
      <c r="B4202" s="19" t="s">
        <v>4216</v>
      </c>
      <c r="C4202" s="20">
        <v>16576.0</v>
      </c>
      <c r="D4202" s="19" t="str">
        <f t="shared" si="1"/>
        <v> </v>
      </c>
      <c r="E4202" s="19" t="str">
        <f t="shared" si="2"/>
        <v> </v>
      </c>
      <c r="F4202" s="21"/>
    </row>
    <row r="4203">
      <c r="A4203" s="19">
        <v>15862.0</v>
      </c>
      <c r="B4203" s="19" t="s">
        <v>4217</v>
      </c>
      <c r="C4203" s="20">
        <v>15971.0</v>
      </c>
      <c r="D4203" s="19" t="str">
        <f t="shared" si="1"/>
        <v> </v>
      </c>
      <c r="E4203" s="19" t="str">
        <f t="shared" si="2"/>
        <v> </v>
      </c>
      <c r="F4203" s="21"/>
    </row>
    <row r="4204">
      <c r="A4204" s="19">
        <v>15863.0</v>
      </c>
      <c r="B4204" s="19" t="s">
        <v>4218</v>
      </c>
      <c r="C4204" s="20">
        <v>33237.0</v>
      </c>
      <c r="D4204" s="19" t="str">
        <f t="shared" si="1"/>
        <v> </v>
      </c>
      <c r="E4204" s="19" t="str">
        <f t="shared" si="2"/>
        <v> </v>
      </c>
      <c r="F4204" s="21"/>
    </row>
    <row r="4205">
      <c r="A4205" s="19">
        <v>15864.0</v>
      </c>
      <c r="B4205" s="19" t="s">
        <v>4219</v>
      </c>
      <c r="C4205" s="20">
        <v>20092.0</v>
      </c>
      <c r="D4205" s="19" t="str">
        <f t="shared" si="1"/>
        <v> </v>
      </c>
      <c r="E4205" s="19" t="str">
        <f t="shared" si="2"/>
        <v> </v>
      </c>
      <c r="F4205" s="21"/>
    </row>
    <row r="4206">
      <c r="A4206" s="19">
        <v>15865.0</v>
      </c>
      <c r="B4206" s="19" t="s">
        <v>4220</v>
      </c>
      <c r="C4206" s="20">
        <v>21979.0</v>
      </c>
      <c r="D4206" s="19" t="str">
        <f t="shared" si="1"/>
        <v> </v>
      </c>
      <c r="E4206" s="19" t="str">
        <f t="shared" si="2"/>
        <v> </v>
      </c>
      <c r="F4206" s="21"/>
    </row>
    <row r="4207">
      <c r="A4207" s="19">
        <v>15866.0</v>
      </c>
      <c r="B4207" s="19" t="s">
        <v>4221</v>
      </c>
      <c r="C4207" s="20">
        <v>22539.0</v>
      </c>
      <c r="D4207" s="19" t="str">
        <f t="shared" si="1"/>
        <v> </v>
      </c>
      <c r="E4207" s="19" t="str">
        <f t="shared" si="2"/>
        <v> </v>
      </c>
      <c r="F4207" s="21"/>
    </row>
    <row r="4208">
      <c r="A4208" s="19">
        <v>15867.0</v>
      </c>
      <c r="B4208" s="19" t="s">
        <v>4222</v>
      </c>
      <c r="C4208" s="20">
        <v>18798.0</v>
      </c>
      <c r="D4208" s="19" t="str">
        <f t="shared" si="1"/>
        <v> </v>
      </c>
      <c r="E4208" s="19" t="str">
        <f t="shared" si="2"/>
        <v> </v>
      </c>
      <c r="F4208" s="21"/>
    </row>
    <row r="4209">
      <c r="A4209" s="19">
        <v>15868.0</v>
      </c>
      <c r="B4209" s="19" t="s">
        <v>3951</v>
      </c>
      <c r="C4209" s="20">
        <v>17930.0</v>
      </c>
      <c r="D4209" s="19" t="str">
        <f t="shared" si="1"/>
        <v>Repeat</v>
      </c>
      <c r="E4209" s="19" t="str">
        <f t="shared" si="2"/>
        <v> </v>
      </c>
      <c r="F4209" s="21"/>
    </row>
    <row r="4210">
      <c r="A4210" s="19">
        <v>15869.0</v>
      </c>
      <c r="B4210" s="19" t="s">
        <v>4223</v>
      </c>
      <c r="C4210" s="20">
        <v>20667.0</v>
      </c>
      <c r="D4210" s="19" t="str">
        <f t="shared" si="1"/>
        <v> </v>
      </c>
      <c r="E4210" s="19" t="str">
        <f t="shared" si="2"/>
        <v> </v>
      </c>
      <c r="F4210" s="21"/>
    </row>
    <row r="4211">
      <c r="A4211" s="19">
        <v>15870.0</v>
      </c>
      <c r="B4211" s="19" t="s">
        <v>4224</v>
      </c>
      <c r="C4211" s="20">
        <v>23931.0</v>
      </c>
      <c r="D4211" s="19" t="str">
        <f t="shared" si="1"/>
        <v> </v>
      </c>
      <c r="E4211" s="19" t="str">
        <f t="shared" si="2"/>
        <v> </v>
      </c>
      <c r="F4211" s="21"/>
    </row>
    <row r="4212">
      <c r="A4212" s="19">
        <v>15871.0</v>
      </c>
      <c r="B4212" s="19" t="s">
        <v>4225</v>
      </c>
      <c r="C4212" s="20">
        <v>28890.0</v>
      </c>
      <c r="D4212" s="19" t="str">
        <f t="shared" si="1"/>
        <v> </v>
      </c>
      <c r="E4212" s="19" t="str">
        <f t="shared" si="2"/>
        <v> </v>
      </c>
      <c r="F4212" s="21"/>
    </row>
    <row r="4213">
      <c r="A4213" s="19">
        <v>15872.0</v>
      </c>
      <c r="B4213" s="19" t="s">
        <v>4226</v>
      </c>
      <c r="C4213" s="20">
        <v>37918.0</v>
      </c>
      <c r="D4213" s="19" t="str">
        <f t="shared" si="1"/>
        <v> </v>
      </c>
      <c r="E4213" s="19" t="str">
        <f t="shared" si="2"/>
        <v> </v>
      </c>
      <c r="F4213" s="21"/>
    </row>
    <row r="4214">
      <c r="A4214" s="19">
        <v>15873.0</v>
      </c>
      <c r="B4214" s="19" t="s">
        <v>4227</v>
      </c>
      <c r="C4214" s="20">
        <v>17286.0</v>
      </c>
      <c r="D4214" s="19" t="str">
        <f t="shared" si="1"/>
        <v> </v>
      </c>
      <c r="E4214" s="19" t="str">
        <f t="shared" si="2"/>
        <v> </v>
      </c>
      <c r="F4214" s="21"/>
    </row>
    <row r="4215">
      <c r="A4215" s="19">
        <v>15874.0</v>
      </c>
      <c r="B4215" s="19" t="s">
        <v>4228</v>
      </c>
      <c r="C4215" s="20">
        <v>27724.0</v>
      </c>
      <c r="D4215" s="19" t="str">
        <f t="shared" si="1"/>
        <v> </v>
      </c>
      <c r="E4215" s="19" t="str">
        <f t="shared" si="2"/>
        <v> </v>
      </c>
      <c r="F4215" s="21"/>
    </row>
    <row r="4216">
      <c r="A4216" s="19">
        <v>15875.0</v>
      </c>
      <c r="B4216" s="19" t="s">
        <v>4229</v>
      </c>
      <c r="C4216" s="20">
        <v>29275.0</v>
      </c>
      <c r="D4216" s="19" t="str">
        <f t="shared" si="1"/>
        <v> </v>
      </c>
      <c r="E4216" s="19" t="str">
        <f t="shared" si="2"/>
        <v> </v>
      </c>
      <c r="F4216" s="21"/>
    </row>
    <row r="4217">
      <c r="A4217" s="19">
        <v>15876.0</v>
      </c>
      <c r="B4217" s="19" t="s">
        <v>4230</v>
      </c>
      <c r="C4217" s="20">
        <v>24706.0</v>
      </c>
      <c r="D4217" s="19" t="str">
        <f t="shared" si="1"/>
        <v> </v>
      </c>
      <c r="E4217" s="19" t="str">
        <f t="shared" si="2"/>
        <v> </v>
      </c>
      <c r="F4217" s="21"/>
    </row>
    <row r="4218">
      <c r="A4218" s="19">
        <v>15877.0</v>
      </c>
      <c r="B4218" s="19" t="s">
        <v>4231</v>
      </c>
      <c r="C4218" s="20">
        <v>29898.0</v>
      </c>
      <c r="D4218" s="19" t="str">
        <f t="shared" si="1"/>
        <v> </v>
      </c>
      <c r="E4218" s="19" t="str">
        <f t="shared" si="2"/>
        <v> </v>
      </c>
      <c r="F4218" s="21"/>
    </row>
    <row r="4219">
      <c r="A4219" s="19">
        <v>15878.0</v>
      </c>
      <c r="B4219" s="19" t="s">
        <v>4232</v>
      </c>
      <c r="C4219" s="20">
        <v>24028.0</v>
      </c>
      <c r="D4219" s="19" t="str">
        <f t="shared" si="1"/>
        <v> </v>
      </c>
      <c r="E4219" s="19" t="str">
        <f t="shared" si="2"/>
        <v> </v>
      </c>
      <c r="F4219" s="21"/>
    </row>
    <row r="4220">
      <c r="A4220" s="19">
        <v>15879.0</v>
      </c>
      <c r="B4220" s="19" t="s">
        <v>4233</v>
      </c>
      <c r="C4220" s="20">
        <v>28372.0</v>
      </c>
      <c r="D4220" s="19" t="str">
        <f t="shared" si="1"/>
        <v> </v>
      </c>
      <c r="E4220" s="19" t="str">
        <f t="shared" si="2"/>
        <v> </v>
      </c>
      <c r="F4220" s="21"/>
    </row>
    <row r="4221">
      <c r="A4221" s="19">
        <v>15880.0</v>
      </c>
      <c r="B4221" s="19" t="s">
        <v>4234</v>
      </c>
      <c r="C4221" s="20">
        <v>20718.0</v>
      </c>
      <c r="D4221" s="19" t="str">
        <f t="shared" si="1"/>
        <v> </v>
      </c>
      <c r="E4221" s="19" t="str">
        <f t="shared" si="2"/>
        <v> </v>
      </c>
      <c r="F4221" s="21"/>
    </row>
    <row r="4222">
      <c r="A4222" s="19">
        <v>15881.0</v>
      </c>
      <c r="B4222" s="19" t="s">
        <v>4235</v>
      </c>
      <c r="C4222" s="20">
        <v>15629.0</v>
      </c>
      <c r="D4222" s="19" t="str">
        <f t="shared" si="1"/>
        <v> </v>
      </c>
      <c r="E4222" s="19" t="str">
        <f t="shared" si="2"/>
        <v> </v>
      </c>
      <c r="F4222" s="21"/>
    </row>
    <row r="4223">
      <c r="A4223" s="19">
        <v>15882.0</v>
      </c>
      <c r="B4223" s="19" t="s">
        <v>4236</v>
      </c>
      <c r="C4223" s="20">
        <v>29136.0</v>
      </c>
      <c r="D4223" s="19" t="str">
        <f t="shared" si="1"/>
        <v> </v>
      </c>
      <c r="E4223" s="19" t="str">
        <f t="shared" si="2"/>
        <v> </v>
      </c>
      <c r="F4223" s="21"/>
    </row>
    <row r="4224">
      <c r="A4224" s="19">
        <v>15883.0</v>
      </c>
      <c r="B4224" s="19" t="s">
        <v>4237</v>
      </c>
      <c r="C4224" s="20">
        <v>14483.0</v>
      </c>
      <c r="D4224" s="19" t="str">
        <f t="shared" si="1"/>
        <v> </v>
      </c>
      <c r="E4224" s="19" t="str">
        <f t="shared" si="2"/>
        <v> </v>
      </c>
      <c r="F4224" s="21"/>
    </row>
    <row r="4225">
      <c r="A4225" s="19">
        <v>15884.0</v>
      </c>
      <c r="B4225" s="19" t="s">
        <v>4238</v>
      </c>
      <c r="C4225" s="20">
        <v>17027.0</v>
      </c>
      <c r="D4225" s="19" t="str">
        <f t="shared" si="1"/>
        <v> </v>
      </c>
      <c r="E4225" s="19" t="str">
        <f t="shared" si="2"/>
        <v> </v>
      </c>
      <c r="F4225" s="21"/>
    </row>
    <row r="4226">
      <c r="A4226" s="19">
        <v>15885.0</v>
      </c>
      <c r="B4226" s="19" t="s">
        <v>4239</v>
      </c>
      <c r="C4226" s="20">
        <v>19266.0</v>
      </c>
      <c r="D4226" s="19" t="str">
        <f t="shared" si="1"/>
        <v> </v>
      </c>
      <c r="E4226" s="19" t="str">
        <f t="shared" si="2"/>
        <v> </v>
      </c>
      <c r="F4226" s="21"/>
    </row>
    <row r="4227">
      <c r="A4227" s="19">
        <v>15886.0</v>
      </c>
      <c r="B4227" s="19" t="s">
        <v>4240</v>
      </c>
      <c r="C4227" s="20">
        <v>30131.0</v>
      </c>
      <c r="D4227" s="19" t="str">
        <f t="shared" si="1"/>
        <v> </v>
      </c>
      <c r="E4227" s="19" t="str">
        <f t="shared" si="2"/>
        <v> </v>
      </c>
      <c r="F4227" s="21"/>
    </row>
    <row r="4228">
      <c r="A4228" s="19">
        <v>15887.0</v>
      </c>
      <c r="B4228" s="19" t="s">
        <v>4241</v>
      </c>
      <c r="C4228" s="20">
        <v>27207.0</v>
      </c>
      <c r="D4228" s="19" t="str">
        <f t="shared" si="1"/>
        <v> </v>
      </c>
      <c r="E4228" s="19" t="str">
        <f t="shared" si="2"/>
        <v> </v>
      </c>
      <c r="F4228" s="21"/>
    </row>
    <row r="4229">
      <c r="A4229" s="19">
        <v>15888.0</v>
      </c>
      <c r="B4229" s="19" t="s">
        <v>4242</v>
      </c>
      <c r="C4229" s="20">
        <v>25223.0</v>
      </c>
      <c r="D4229" s="19" t="str">
        <f t="shared" si="1"/>
        <v> </v>
      </c>
      <c r="E4229" s="19" t="str">
        <f t="shared" si="2"/>
        <v> </v>
      </c>
      <c r="F4229" s="21"/>
    </row>
    <row r="4230">
      <c r="A4230" s="19">
        <v>15889.0</v>
      </c>
      <c r="B4230" s="19" t="s">
        <v>4243</v>
      </c>
      <c r="C4230" s="20">
        <v>35727.0</v>
      </c>
      <c r="D4230" s="19" t="str">
        <f t="shared" si="1"/>
        <v> </v>
      </c>
      <c r="E4230" s="19" t="str">
        <f t="shared" si="2"/>
        <v> </v>
      </c>
      <c r="F4230" s="21"/>
    </row>
    <row r="4231">
      <c r="A4231" s="19">
        <v>15890.0</v>
      </c>
      <c r="B4231" s="19" t="s">
        <v>4244</v>
      </c>
      <c r="C4231" s="20">
        <v>34119.0</v>
      </c>
      <c r="D4231" s="19" t="str">
        <f t="shared" si="1"/>
        <v>Repeat</v>
      </c>
      <c r="E4231" s="19" t="str">
        <f t="shared" si="2"/>
        <v> </v>
      </c>
      <c r="F4231" s="21"/>
    </row>
    <row r="4232">
      <c r="A4232" s="19">
        <v>15891.0</v>
      </c>
      <c r="B4232" s="19" t="s">
        <v>4245</v>
      </c>
      <c r="C4232" s="20">
        <v>25116.0</v>
      </c>
      <c r="D4232" s="19" t="str">
        <f t="shared" si="1"/>
        <v> </v>
      </c>
      <c r="E4232" s="19" t="str">
        <f t="shared" si="2"/>
        <v> </v>
      </c>
      <c r="F4232" s="21"/>
    </row>
    <row r="4233">
      <c r="A4233" s="19">
        <v>15892.0</v>
      </c>
      <c r="B4233" s="19" t="s">
        <v>4246</v>
      </c>
      <c r="C4233" s="20">
        <v>23446.0</v>
      </c>
      <c r="D4233" s="19" t="str">
        <f t="shared" si="1"/>
        <v> </v>
      </c>
      <c r="E4233" s="19" t="str">
        <f t="shared" si="2"/>
        <v> </v>
      </c>
      <c r="F4233" s="21"/>
    </row>
    <row r="4234">
      <c r="A4234" s="19">
        <v>15893.0</v>
      </c>
      <c r="B4234" s="19" t="s">
        <v>4247</v>
      </c>
      <c r="C4234" s="20">
        <v>26147.0</v>
      </c>
      <c r="D4234" s="19" t="str">
        <f t="shared" si="1"/>
        <v> </v>
      </c>
      <c r="E4234" s="19" t="str">
        <f t="shared" si="2"/>
        <v> </v>
      </c>
      <c r="F4234" s="21"/>
    </row>
    <row r="4235">
      <c r="A4235" s="19">
        <v>15894.0</v>
      </c>
      <c r="B4235" s="19" t="s">
        <v>4248</v>
      </c>
      <c r="C4235" s="20">
        <v>18114.0</v>
      </c>
      <c r="D4235" s="19" t="str">
        <f t="shared" si="1"/>
        <v> </v>
      </c>
      <c r="E4235" s="19" t="str">
        <f t="shared" si="2"/>
        <v> </v>
      </c>
      <c r="F4235" s="21"/>
    </row>
    <row r="4236">
      <c r="A4236" s="19">
        <v>15895.0</v>
      </c>
      <c r="B4236" s="19" t="s">
        <v>4249</v>
      </c>
      <c r="C4236" s="20">
        <v>30701.0</v>
      </c>
      <c r="D4236" s="19" t="str">
        <f t="shared" si="1"/>
        <v> </v>
      </c>
      <c r="E4236" s="19" t="str">
        <f t="shared" si="2"/>
        <v> </v>
      </c>
      <c r="F4236" s="21"/>
    </row>
    <row r="4237">
      <c r="A4237" s="19">
        <v>15896.0</v>
      </c>
      <c r="B4237" s="19" t="s">
        <v>4250</v>
      </c>
      <c r="C4237" s="20">
        <v>18717.0</v>
      </c>
      <c r="D4237" s="19" t="str">
        <f t="shared" si="1"/>
        <v> </v>
      </c>
      <c r="E4237" s="19" t="str">
        <f t="shared" si="2"/>
        <v> </v>
      </c>
      <c r="F4237" s="21"/>
    </row>
    <row r="4238">
      <c r="A4238" s="19">
        <v>15897.0</v>
      </c>
      <c r="B4238" s="19" t="s">
        <v>4251</v>
      </c>
      <c r="C4238" s="20">
        <v>28703.0</v>
      </c>
      <c r="D4238" s="19" t="str">
        <f t="shared" si="1"/>
        <v> </v>
      </c>
      <c r="E4238" s="19" t="str">
        <f t="shared" si="2"/>
        <v> </v>
      </c>
      <c r="F4238" s="21"/>
    </row>
    <row r="4239">
      <c r="A4239" s="19">
        <v>15898.0</v>
      </c>
      <c r="B4239" s="19" t="s">
        <v>4252</v>
      </c>
      <c r="C4239" s="20">
        <v>22937.0</v>
      </c>
      <c r="D4239" s="19" t="str">
        <f t="shared" si="1"/>
        <v> </v>
      </c>
      <c r="E4239" s="19" t="str">
        <f t="shared" si="2"/>
        <v> </v>
      </c>
      <c r="F4239" s="21"/>
    </row>
    <row r="4240">
      <c r="A4240" s="19">
        <v>15899.0</v>
      </c>
      <c r="B4240" s="19" t="s">
        <v>4253</v>
      </c>
      <c r="C4240" s="20">
        <v>19839.0</v>
      </c>
      <c r="D4240" s="19" t="str">
        <f t="shared" si="1"/>
        <v> </v>
      </c>
      <c r="E4240" s="19" t="str">
        <f t="shared" si="2"/>
        <v> </v>
      </c>
      <c r="F4240" s="21"/>
    </row>
    <row r="4241">
      <c r="A4241" s="19">
        <v>15900.0</v>
      </c>
      <c r="B4241" s="19" t="s">
        <v>4254</v>
      </c>
      <c r="C4241" s="20">
        <v>30175.0</v>
      </c>
      <c r="D4241" s="19" t="str">
        <f t="shared" si="1"/>
        <v> </v>
      </c>
      <c r="E4241" s="19" t="str">
        <f t="shared" si="2"/>
        <v> </v>
      </c>
      <c r="F4241" s="21"/>
    </row>
    <row r="4242">
      <c r="A4242" s="19">
        <v>15901.0</v>
      </c>
      <c r="B4242" s="19" t="s">
        <v>4255</v>
      </c>
      <c r="C4242" s="20">
        <v>21182.0</v>
      </c>
      <c r="D4242" s="19" t="str">
        <f t="shared" si="1"/>
        <v> </v>
      </c>
      <c r="E4242" s="19" t="str">
        <f t="shared" si="2"/>
        <v> </v>
      </c>
      <c r="F4242" s="21"/>
    </row>
    <row r="4243">
      <c r="A4243" s="19">
        <v>17145.0</v>
      </c>
      <c r="B4243" s="19" t="s">
        <v>4256</v>
      </c>
      <c r="C4243" s="20">
        <v>30612.0</v>
      </c>
      <c r="D4243" s="19" t="str">
        <f t="shared" si="1"/>
        <v> </v>
      </c>
      <c r="E4243" s="19" t="str">
        <f t="shared" si="2"/>
        <v> </v>
      </c>
      <c r="F4243" s="21"/>
    </row>
    <row r="4244">
      <c r="A4244" s="19">
        <v>15903.0</v>
      </c>
      <c r="B4244" s="19" t="s">
        <v>4257</v>
      </c>
      <c r="C4244" s="20">
        <v>16501.0</v>
      </c>
      <c r="D4244" s="19" t="str">
        <f t="shared" si="1"/>
        <v> </v>
      </c>
      <c r="E4244" s="19" t="str">
        <f t="shared" si="2"/>
        <v> </v>
      </c>
      <c r="F4244" s="21"/>
    </row>
    <row r="4245">
      <c r="A4245" s="19">
        <v>15905.0</v>
      </c>
      <c r="B4245" s="19" t="s">
        <v>4258</v>
      </c>
      <c r="C4245" s="20">
        <v>16698.0</v>
      </c>
      <c r="D4245" s="19" t="str">
        <f t="shared" si="1"/>
        <v> </v>
      </c>
      <c r="E4245" s="19" t="str">
        <f t="shared" si="2"/>
        <v> </v>
      </c>
      <c r="F4245" s="21"/>
    </row>
    <row r="4246">
      <c r="A4246" s="19">
        <v>15906.0</v>
      </c>
      <c r="B4246" s="19" t="s">
        <v>4259</v>
      </c>
      <c r="C4246" s="20">
        <v>19970.0</v>
      </c>
      <c r="D4246" s="19" t="str">
        <f t="shared" si="1"/>
        <v> </v>
      </c>
      <c r="E4246" s="19" t="str">
        <f t="shared" si="2"/>
        <v> </v>
      </c>
      <c r="F4246" s="21"/>
    </row>
    <row r="4247">
      <c r="A4247" s="19">
        <v>15907.0</v>
      </c>
      <c r="B4247" s="19" t="s">
        <v>829</v>
      </c>
      <c r="C4247" s="20">
        <v>31056.0</v>
      </c>
      <c r="D4247" s="19" t="str">
        <f t="shared" si="1"/>
        <v>Repeat</v>
      </c>
      <c r="E4247" s="19" t="str">
        <f t="shared" si="2"/>
        <v> </v>
      </c>
      <c r="F4247" s="21"/>
    </row>
    <row r="4248">
      <c r="A4248" s="19">
        <v>15909.0</v>
      </c>
      <c r="B4248" s="19" t="s">
        <v>4260</v>
      </c>
      <c r="C4248" s="20">
        <v>25674.0</v>
      </c>
      <c r="D4248" s="19" t="str">
        <f t="shared" si="1"/>
        <v> </v>
      </c>
      <c r="E4248" s="19" t="str">
        <f t="shared" si="2"/>
        <v> </v>
      </c>
      <c r="F4248" s="21"/>
    </row>
    <row r="4249">
      <c r="A4249" s="19">
        <v>15910.0</v>
      </c>
      <c r="B4249" s="19" t="s">
        <v>4261</v>
      </c>
      <c r="C4249" s="20">
        <v>23715.0</v>
      </c>
      <c r="D4249" s="19" t="str">
        <f t="shared" si="1"/>
        <v> </v>
      </c>
      <c r="E4249" s="19" t="str">
        <f t="shared" si="2"/>
        <v> </v>
      </c>
      <c r="F4249" s="21"/>
    </row>
    <row r="4250">
      <c r="A4250" s="19">
        <v>15911.0</v>
      </c>
      <c r="B4250" s="19" t="s">
        <v>4262</v>
      </c>
      <c r="C4250" s="20">
        <v>29976.0</v>
      </c>
      <c r="D4250" s="19" t="str">
        <f t="shared" si="1"/>
        <v> </v>
      </c>
      <c r="E4250" s="19" t="str">
        <f t="shared" si="2"/>
        <v> </v>
      </c>
      <c r="F4250" s="21"/>
    </row>
    <row r="4251">
      <c r="A4251" s="19">
        <v>15912.0</v>
      </c>
      <c r="B4251" s="19" t="s">
        <v>4263</v>
      </c>
      <c r="C4251" s="20">
        <v>25747.0</v>
      </c>
      <c r="D4251" s="19" t="str">
        <f t="shared" si="1"/>
        <v> </v>
      </c>
      <c r="E4251" s="19" t="str">
        <f t="shared" si="2"/>
        <v> </v>
      </c>
      <c r="F4251" s="21"/>
    </row>
    <row r="4252">
      <c r="A4252" s="19">
        <v>15913.0</v>
      </c>
      <c r="B4252" s="19" t="s">
        <v>4264</v>
      </c>
      <c r="C4252" s="20">
        <v>22185.0</v>
      </c>
      <c r="D4252" s="19" t="str">
        <f t="shared" si="1"/>
        <v> </v>
      </c>
      <c r="E4252" s="19" t="str">
        <f t="shared" si="2"/>
        <v> </v>
      </c>
      <c r="F4252" s="21"/>
    </row>
    <row r="4253">
      <c r="A4253" s="19">
        <v>15914.0</v>
      </c>
      <c r="B4253" s="19" t="s">
        <v>4265</v>
      </c>
      <c r="C4253" s="20">
        <v>21149.0</v>
      </c>
      <c r="D4253" s="19" t="str">
        <f t="shared" si="1"/>
        <v> </v>
      </c>
      <c r="E4253" s="19" t="str">
        <f t="shared" si="2"/>
        <v> </v>
      </c>
      <c r="F4253" s="21"/>
    </row>
    <row r="4254">
      <c r="A4254" s="19">
        <v>15915.0</v>
      </c>
      <c r="B4254" s="19" t="s">
        <v>4266</v>
      </c>
      <c r="C4254" s="20">
        <v>17170.0</v>
      </c>
      <c r="D4254" s="19" t="str">
        <f t="shared" si="1"/>
        <v> </v>
      </c>
      <c r="E4254" s="19" t="str">
        <f t="shared" si="2"/>
        <v> </v>
      </c>
      <c r="F4254" s="21"/>
    </row>
    <row r="4255">
      <c r="A4255" s="19">
        <v>15916.0</v>
      </c>
      <c r="B4255" s="19" t="s">
        <v>4267</v>
      </c>
      <c r="C4255" s="20">
        <v>24736.0</v>
      </c>
      <c r="D4255" s="19" t="str">
        <f t="shared" si="1"/>
        <v> </v>
      </c>
      <c r="E4255" s="19" t="str">
        <f t="shared" si="2"/>
        <v> </v>
      </c>
      <c r="F4255" s="21"/>
    </row>
    <row r="4256">
      <c r="A4256" s="19">
        <v>15917.0</v>
      </c>
      <c r="B4256" s="19" t="s">
        <v>4268</v>
      </c>
      <c r="C4256" s="20">
        <v>21456.0</v>
      </c>
      <c r="D4256" s="19" t="str">
        <f t="shared" si="1"/>
        <v> </v>
      </c>
      <c r="E4256" s="19" t="str">
        <f t="shared" si="2"/>
        <v> </v>
      </c>
      <c r="F4256" s="21"/>
    </row>
    <row r="4257">
      <c r="A4257" s="19">
        <v>15918.0</v>
      </c>
      <c r="B4257" s="19" t="s">
        <v>4269</v>
      </c>
      <c r="C4257" s="20">
        <v>19725.0</v>
      </c>
      <c r="D4257" s="19" t="str">
        <f t="shared" si="1"/>
        <v> </v>
      </c>
      <c r="E4257" s="19" t="str">
        <f t="shared" si="2"/>
        <v> </v>
      </c>
      <c r="F4257" s="21"/>
    </row>
    <row r="4258">
      <c r="A4258" s="19">
        <v>15919.0</v>
      </c>
      <c r="B4258" s="19" t="s">
        <v>4270</v>
      </c>
      <c r="C4258" s="20">
        <v>20627.0</v>
      </c>
      <c r="D4258" s="19" t="str">
        <f t="shared" si="1"/>
        <v> </v>
      </c>
      <c r="E4258" s="19" t="str">
        <f t="shared" si="2"/>
        <v> </v>
      </c>
      <c r="F4258" s="21"/>
    </row>
    <row r="4259">
      <c r="A4259" s="19">
        <v>15920.0</v>
      </c>
      <c r="B4259" s="19" t="s">
        <v>4271</v>
      </c>
      <c r="C4259" s="20">
        <v>26799.0</v>
      </c>
      <c r="D4259" s="19" t="str">
        <f t="shared" si="1"/>
        <v> </v>
      </c>
      <c r="E4259" s="19" t="str">
        <f t="shared" si="2"/>
        <v> </v>
      </c>
      <c r="F4259" s="21"/>
    </row>
    <row r="4260">
      <c r="A4260" s="19">
        <v>15921.0</v>
      </c>
      <c r="B4260" s="19" t="s">
        <v>4272</v>
      </c>
      <c r="C4260" s="20">
        <v>11537.0</v>
      </c>
      <c r="D4260" s="19" t="str">
        <f t="shared" si="1"/>
        <v> </v>
      </c>
      <c r="E4260" s="19" t="str">
        <f t="shared" si="2"/>
        <v> </v>
      </c>
      <c r="F4260" s="21"/>
    </row>
    <row r="4261">
      <c r="A4261" s="19">
        <v>15922.0</v>
      </c>
      <c r="B4261" s="19" t="s">
        <v>4273</v>
      </c>
      <c r="C4261" s="20">
        <v>22489.0</v>
      </c>
      <c r="D4261" s="19" t="str">
        <f t="shared" si="1"/>
        <v> </v>
      </c>
      <c r="E4261" s="19" t="str">
        <f t="shared" si="2"/>
        <v> </v>
      </c>
      <c r="F4261" s="21"/>
    </row>
    <row r="4262">
      <c r="A4262" s="19">
        <v>15923.0</v>
      </c>
      <c r="B4262" s="19" t="s">
        <v>4274</v>
      </c>
      <c r="C4262" s="20">
        <v>23037.0</v>
      </c>
      <c r="D4262" s="19" t="str">
        <f t="shared" si="1"/>
        <v> </v>
      </c>
      <c r="E4262" s="19" t="str">
        <f t="shared" si="2"/>
        <v> </v>
      </c>
      <c r="F4262" s="21"/>
    </row>
    <row r="4263">
      <c r="A4263" s="19">
        <v>15924.0</v>
      </c>
      <c r="B4263" s="19" t="s">
        <v>4275</v>
      </c>
      <c r="C4263" s="20">
        <v>17518.0</v>
      </c>
      <c r="D4263" s="19" t="str">
        <f t="shared" si="1"/>
        <v>Repeat</v>
      </c>
      <c r="E4263" s="19" t="str">
        <f t="shared" si="2"/>
        <v> </v>
      </c>
      <c r="F4263" s="21"/>
    </row>
    <row r="4264">
      <c r="A4264" s="19">
        <v>15925.0</v>
      </c>
      <c r="B4264" s="19" t="s">
        <v>4276</v>
      </c>
      <c r="C4264" s="20">
        <v>14629.0</v>
      </c>
      <c r="D4264" s="19" t="str">
        <f t="shared" si="1"/>
        <v> </v>
      </c>
      <c r="E4264" s="19" t="str">
        <f t="shared" si="2"/>
        <v> </v>
      </c>
      <c r="F4264" s="21"/>
    </row>
    <row r="4265">
      <c r="A4265" s="19">
        <v>15927.0</v>
      </c>
      <c r="B4265" s="19" t="s">
        <v>4277</v>
      </c>
      <c r="C4265" s="20">
        <v>15573.0</v>
      </c>
      <c r="D4265" s="19" t="str">
        <f t="shared" si="1"/>
        <v> </v>
      </c>
      <c r="E4265" s="19" t="str">
        <f t="shared" si="2"/>
        <v> </v>
      </c>
      <c r="F4265" s="21"/>
    </row>
    <row r="4266">
      <c r="A4266" s="19">
        <v>15928.0</v>
      </c>
      <c r="B4266" s="19" t="s">
        <v>4278</v>
      </c>
      <c r="C4266" s="20">
        <v>36660.0</v>
      </c>
      <c r="D4266" s="19" t="str">
        <f t="shared" si="1"/>
        <v> </v>
      </c>
      <c r="E4266" s="19" t="str">
        <f t="shared" si="2"/>
        <v> </v>
      </c>
      <c r="F4266" s="21"/>
    </row>
    <row r="4267">
      <c r="A4267" s="19">
        <v>15929.0</v>
      </c>
      <c r="B4267" s="19" t="s">
        <v>4279</v>
      </c>
      <c r="C4267" s="20">
        <v>20076.0</v>
      </c>
      <c r="D4267" s="19" t="str">
        <f t="shared" si="1"/>
        <v> </v>
      </c>
      <c r="E4267" s="19" t="str">
        <f t="shared" si="2"/>
        <v> </v>
      </c>
      <c r="F4267" s="21"/>
    </row>
    <row r="4268">
      <c r="A4268" s="19">
        <v>15930.0</v>
      </c>
      <c r="B4268" s="19" t="s">
        <v>4280</v>
      </c>
      <c r="C4268" s="20">
        <v>21359.0</v>
      </c>
      <c r="D4268" s="19" t="str">
        <f t="shared" si="1"/>
        <v> </v>
      </c>
      <c r="E4268" s="19" t="str">
        <f t="shared" si="2"/>
        <v> </v>
      </c>
      <c r="F4268" s="21"/>
    </row>
    <row r="4269">
      <c r="A4269" s="19">
        <v>15932.0</v>
      </c>
      <c r="B4269" s="19" t="s">
        <v>4281</v>
      </c>
      <c r="C4269" s="20">
        <v>30249.0</v>
      </c>
      <c r="D4269" s="19" t="str">
        <f t="shared" si="1"/>
        <v> </v>
      </c>
      <c r="E4269" s="19" t="str">
        <f t="shared" si="2"/>
        <v> </v>
      </c>
      <c r="F4269" s="21"/>
    </row>
    <row r="4270">
      <c r="A4270" s="19">
        <v>15933.0</v>
      </c>
      <c r="B4270" s="19" t="s">
        <v>4282</v>
      </c>
      <c r="C4270" s="20">
        <v>25810.0</v>
      </c>
      <c r="D4270" s="19" t="str">
        <f t="shared" si="1"/>
        <v> </v>
      </c>
      <c r="E4270" s="19" t="str">
        <f t="shared" si="2"/>
        <v> </v>
      </c>
      <c r="F4270" s="21"/>
    </row>
    <row r="4271">
      <c r="A4271" s="19">
        <v>15934.0</v>
      </c>
      <c r="B4271" s="19" t="s">
        <v>4283</v>
      </c>
      <c r="C4271" s="20">
        <v>24135.0</v>
      </c>
      <c r="D4271" s="19" t="str">
        <f t="shared" si="1"/>
        <v> </v>
      </c>
      <c r="E4271" s="19" t="str">
        <f t="shared" si="2"/>
        <v> </v>
      </c>
      <c r="F4271" s="21"/>
    </row>
    <row r="4272">
      <c r="A4272" s="19">
        <v>15935.0</v>
      </c>
      <c r="B4272" s="19" t="s">
        <v>4284</v>
      </c>
      <c r="C4272" s="20">
        <v>27015.0</v>
      </c>
      <c r="D4272" s="19" t="str">
        <f t="shared" si="1"/>
        <v> </v>
      </c>
      <c r="E4272" s="19" t="str">
        <f t="shared" si="2"/>
        <v> </v>
      </c>
      <c r="F4272" s="21"/>
    </row>
    <row r="4273">
      <c r="A4273" s="19">
        <v>15936.0</v>
      </c>
      <c r="B4273" s="19" t="s">
        <v>4285</v>
      </c>
      <c r="C4273" s="20">
        <v>28162.0</v>
      </c>
      <c r="D4273" s="19" t="str">
        <f t="shared" si="1"/>
        <v> </v>
      </c>
      <c r="E4273" s="19" t="str">
        <f t="shared" si="2"/>
        <v> </v>
      </c>
      <c r="F4273" s="21"/>
    </row>
    <row r="4274">
      <c r="A4274" s="19">
        <v>15937.0</v>
      </c>
      <c r="B4274" s="19" t="s">
        <v>4286</v>
      </c>
      <c r="C4274" s="20">
        <v>19598.0</v>
      </c>
      <c r="D4274" s="19" t="str">
        <f t="shared" si="1"/>
        <v> </v>
      </c>
      <c r="E4274" s="19" t="str">
        <f t="shared" si="2"/>
        <v> </v>
      </c>
      <c r="F4274" s="21"/>
    </row>
    <row r="4275">
      <c r="A4275" s="19">
        <v>15938.0</v>
      </c>
      <c r="B4275" s="19" t="s">
        <v>4287</v>
      </c>
      <c r="C4275" s="20">
        <v>24547.0</v>
      </c>
      <c r="D4275" s="19" t="str">
        <f t="shared" si="1"/>
        <v> </v>
      </c>
      <c r="E4275" s="19" t="str">
        <f t="shared" si="2"/>
        <v> </v>
      </c>
      <c r="F4275" s="21"/>
    </row>
    <row r="4276">
      <c r="A4276" s="19">
        <v>15939.0</v>
      </c>
      <c r="B4276" s="19" t="s">
        <v>4288</v>
      </c>
      <c r="C4276" s="20">
        <v>24219.0</v>
      </c>
      <c r="D4276" s="19" t="str">
        <f t="shared" si="1"/>
        <v> </v>
      </c>
      <c r="E4276" s="19" t="str">
        <f t="shared" si="2"/>
        <v> </v>
      </c>
      <c r="F4276" s="21"/>
    </row>
    <row r="4277">
      <c r="A4277" s="19">
        <v>15940.0</v>
      </c>
      <c r="B4277" s="19" t="s">
        <v>4289</v>
      </c>
      <c r="C4277" s="20">
        <v>22109.0</v>
      </c>
      <c r="D4277" s="19" t="str">
        <f t="shared" si="1"/>
        <v> </v>
      </c>
      <c r="E4277" s="19" t="str">
        <f t="shared" si="2"/>
        <v> </v>
      </c>
      <c r="F4277" s="21"/>
    </row>
    <row r="4278">
      <c r="A4278" s="19">
        <v>15941.0</v>
      </c>
      <c r="B4278" s="19" t="s">
        <v>4290</v>
      </c>
      <c r="C4278" s="20">
        <v>24920.0</v>
      </c>
      <c r="D4278" s="19" t="str">
        <f t="shared" si="1"/>
        <v> </v>
      </c>
      <c r="E4278" s="19" t="str">
        <f t="shared" si="2"/>
        <v> </v>
      </c>
      <c r="F4278" s="21"/>
    </row>
    <row r="4279">
      <c r="A4279" s="19">
        <v>15942.0</v>
      </c>
      <c r="B4279" s="19" t="s">
        <v>4291</v>
      </c>
      <c r="C4279" s="20">
        <v>20598.0</v>
      </c>
      <c r="D4279" s="19" t="str">
        <f t="shared" si="1"/>
        <v> </v>
      </c>
      <c r="E4279" s="19" t="str">
        <f t="shared" si="2"/>
        <v> </v>
      </c>
      <c r="F4279" s="21"/>
    </row>
    <row r="4280">
      <c r="A4280" s="19">
        <v>15944.0</v>
      </c>
      <c r="B4280" s="19" t="s">
        <v>4292</v>
      </c>
      <c r="C4280" s="20">
        <v>19557.0</v>
      </c>
      <c r="D4280" s="19" t="str">
        <f t="shared" si="1"/>
        <v> </v>
      </c>
      <c r="E4280" s="19" t="str">
        <f t="shared" si="2"/>
        <v> </v>
      </c>
      <c r="F4280" s="21"/>
    </row>
    <row r="4281">
      <c r="A4281" s="19">
        <v>15945.0</v>
      </c>
      <c r="B4281" s="19" t="s">
        <v>4293</v>
      </c>
      <c r="C4281" s="20">
        <v>37089.0</v>
      </c>
      <c r="D4281" s="19" t="str">
        <f t="shared" si="1"/>
        <v> </v>
      </c>
      <c r="E4281" s="19" t="str">
        <f t="shared" si="2"/>
        <v> </v>
      </c>
      <c r="F4281" s="21"/>
    </row>
    <row r="4282">
      <c r="A4282" s="19">
        <v>15947.0</v>
      </c>
      <c r="B4282" s="19" t="s">
        <v>1126</v>
      </c>
      <c r="C4282" s="20">
        <v>28885.0</v>
      </c>
      <c r="D4282" s="19" t="str">
        <f t="shared" si="1"/>
        <v>Repeat</v>
      </c>
      <c r="E4282" s="19" t="str">
        <f t="shared" si="2"/>
        <v> </v>
      </c>
      <c r="F4282" s="21"/>
    </row>
    <row r="4283">
      <c r="A4283" s="19">
        <v>15948.0</v>
      </c>
      <c r="B4283" s="19" t="s">
        <v>818</v>
      </c>
      <c r="C4283" s="20">
        <v>20139.0</v>
      </c>
      <c r="D4283" s="19" t="str">
        <f t="shared" si="1"/>
        <v>Repeat</v>
      </c>
      <c r="E4283" s="19" t="str">
        <f t="shared" si="2"/>
        <v> </v>
      </c>
      <c r="F4283" s="21"/>
    </row>
    <row r="4284">
      <c r="A4284" s="19">
        <v>15949.0</v>
      </c>
      <c r="B4284" s="19" t="s">
        <v>4294</v>
      </c>
      <c r="C4284" s="20">
        <v>28112.0</v>
      </c>
      <c r="D4284" s="19" t="str">
        <f t="shared" si="1"/>
        <v> </v>
      </c>
      <c r="E4284" s="19" t="str">
        <f t="shared" si="2"/>
        <v> </v>
      </c>
      <c r="F4284" s="21"/>
    </row>
    <row r="4285">
      <c r="A4285" s="19">
        <v>15950.0</v>
      </c>
      <c r="B4285" s="19" t="s">
        <v>4295</v>
      </c>
      <c r="C4285" s="20">
        <v>15456.0</v>
      </c>
      <c r="D4285" s="19" t="str">
        <f t="shared" si="1"/>
        <v> </v>
      </c>
      <c r="E4285" s="19" t="str">
        <f t="shared" si="2"/>
        <v> </v>
      </c>
      <c r="F4285" s="21"/>
    </row>
    <row r="4286">
      <c r="A4286" s="19">
        <v>15951.0</v>
      </c>
      <c r="B4286" s="19" t="s">
        <v>4296</v>
      </c>
      <c r="C4286" s="20">
        <v>31987.0</v>
      </c>
      <c r="D4286" s="19" t="str">
        <f t="shared" si="1"/>
        <v> </v>
      </c>
      <c r="E4286" s="19" t="str">
        <f t="shared" si="2"/>
        <v> </v>
      </c>
      <c r="F4286" s="21"/>
    </row>
    <row r="4287">
      <c r="A4287" s="19">
        <v>15952.0</v>
      </c>
      <c r="B4287" s="19" t="s">
        <v>4297</v>
      </c>
      <c r="C4287" s="20">
        <v>21231.0</v>
      </c>
      <c r="D4287" s="19" t="str">
        <f t="shared" si="1"/>
        <v> </v>
      </c>
      <c r="E4287" s="19" t="str">
        <f t="shared" si="2"/>
        <v> </v>
      </c>
      <c r="F4287" s="21"/>
    </row>
    <row r="4288">
      <c r="A4288" s="19">
        <v>15953.0</v>
      </c>
      <c r="B4288" s="19" t="s">
        <v>4298</v>
      </c>
      <c r="C4288" s="20">
        <v>29255.0</v>
      </c>
      <c r="D4288" s="19" t="str">
        <f t="shared" si="1"/>
        <v> </v>
      </c>
      <c r="E4288" s="19" t="str">
        <f t="shared" si="2"/>
        <v> </v>
      </c>
      <c r="F4288" s="21"/>
    </row>
    <row r="4289">
      <c r="A4289" s="19">
        <v>15954.0</v>
      </c>
      <c r="B4289" s="19" t="s">
        <v>4299</v>
      </c>
      <c r="C4289" s="20">
        <v>24854.0</v>
      </c>
      <c r="D4289" s="19" t="str">
        <f t="shared" si="1"/>
        <v> </v>
      </c>
      <c r="E4289" s="19" t="str">
        <f t="shared" si="2"/>
        <v> </v>
      </c>
      <c r="F4289" s="21"/>
    </row>
    <row r="4290">
      <c r="A4290" s="19">
        <v>15955.0</v>
      </c>
      <c r="B4290" s="19" t="s">
        <v>4300</v>
      </c>
      <c r="C4290" s="20">
        <v>24783.0</v>
      </c>
      <c r="D4290" s="19" t="str">
        <f t="shared" si="1"/>
        <v> </v>
      </c>
      <c r="E4290" s="19" t="str">
        <f t="shared" si="2"/>
        <v> </v>
      </c>
      <c r="F4290" s="21"/>
    </row>
    <row r="4291">
      <c r="A4291" s="19">
        <v>15956.0</v>
      </c>
      <c r="B4291" s="19" t="s">
        <v>4301</v>
      </c>
      <c r="C4291" s="20">
        <v>22910.0</v>
      </c>
      <c r="D4291" s="19" t="str">
        <f t="shared" si="1"/>
        <v> </v>
      </c>
      <c r="E4291" s="19" t="str">
        <f t="shared" si="2"/>
        <v> </v>
      </c>
      <c r="F4291" s="21"/>
    </row>
    <row r="4292">
      <c r="A4292" s="19">
        <v>15957.0</v>
      </c>
      <c r="B4292" s="19" t="s">
        <v>4302</v>
      </c>
      <c r="C4292" s="20">
        <v>23525.0</v>
      </c>
      <c r="D4292" s="19" t="str">
        <f t="shared" si="1"/>
        <v> </v>
      </c>
      <c r="E4292" s="19" t="str">
        <f t="shared" si="2"/>
        <v> </v>
      </c>
      <c r="F4292" s="21"/>
    </row>
    <row r="4293">
      <c r="A4293" s="19">
        <v>15958.0</v>
      </c>
      <c r="B4293" s="19" t="s">
        <v>4303</v>
      </c>
      <c r="C4293" s="20">
        <v>34555.0</v>
      </c>
      <c r="D4293" s="19" t="str">
        <f t="shared" si="1"/>
        <v> </v>
      </c>
      <c r="E4293" s="19" t="str">
        <f t="shared" si="2"/>
        <v> </v>
      </c>
      <c r="F4293" s="21"/>
    </row>
    <row r="4294">
      <c r="A4294" s="19">
        <v>15960.0</v>
      </c>
      <c r="B4294" s="19" t="s">
        <v>4304</v>
      </c>
      <c r="C4294" s="20">
        <v>25647.0</v>
      </c>
      <c r="D4294" s="19" t="str">
        <f t="shared" si="1"/>
        <v> </v>
      </c>
      <c r="E4294" s="19" t="str">
        <f t="shared" si="2"/>
        <v> </v>
      </c>
      <c r="F4294" s="21"/>
    </row>
    <row r="4295">
      <c r="A4295" s="19">
        <v>15961.0</v>
      </c>
      <c r="B4295" s="19" t="s">
        <v>4305</v>
      </c>
      <c r="C4295" s="20">
        <v>16557.0</v>
      </c>
      <c r="D4295" s="19" t="str">
        <f t="shared" si="1"/>
        <v> </v>
      </c>
      <c r="E4295" s="19" t="str">
        <f t="shared" si="2"/>
        <v> </v>
      </c>
      <c r="F4295" s="21"/>
    </row>
    <row r="4296">
      <c r="A4296" s="19">
        <v>15962.0</v>
      </c>
      <c r="B4296" s="19" t="s">
        <v>4306</v>
      </c>
      <c r="C4296" s="20">
        <v>15921.0</v>
      </c>
      <c r="D4296" s="19" t="str">
        <f t="shared" si="1"/>
        <v> </v>
      </c>
      <c r="E4296" s="19" t="str">
        <f t="shared" si="2"/>
        <v> </v>
      </c>
      <c r="F4296" s="21"/>
    </row>
    <row r="4297">
      <c r="A4297" s="19">
        <v>15965.0</v>
      </c>
      <c r="B4297" s="19" t="s">
        <v>4307</v>
      </c>
      <c r="C4297" s="20">
        <v>19883.0</v>
      </c>
      <c r="D4297" s="19" t="str">
        <f t="shared" si="1"/>
        <v> </v>
      </c>
      <c r="E4297" s="19" t="str">
        <f t="shared" si="2"/>
        <v> </v>
      </c>
      <c r="F4297" s="21"/>
    </row>
    <row r="4298">
      <c r="A4298" s="19">
        <v>15966.0</v>
      </c>
      <c r="B4298" s="19" t="s">
        <v>4308</v>
      </c>
      <c r="C4298" s="20">
        <v>17152.0</v>
      </c>
      <c r="D4298" s="19" t="str">
        <f t="shared" si="1"/>
        <v> </v>
      </c>
      <c r="E4298" s="19" t="str">
        <f t="shared" si="2"/>
        <v> </v>
      </c>
      <c r="F4298" s="21"/>
    </row>
    <row r="4299">
      <c r="A4299" s="19">
        <v>15967.0</v>
      </c>
      <c r="B4299" s="19" t="s">
        <v>4309</v>
      </c>
      <c r="C4299" s="20">
        <v>26232.0</v>
      </c>
      <c r="D4299" s="19" t="str">
        <f t="shared" si="1"/>
        <v> </v>
      </c>
      <c r="E4299" s="19" t="str">
        <f t="shared" si="2"/>
        <v> </v>
      </c>
      <c r="F4299" s="21"/>
    </row>
    <row r="4300">
      <c r="A4300" s="19">
        <v>15968.0</v>
      </c>
      <c r="B4300" s="19" t="s">
        <v>4310</v>
      </c>
      <c r="C4300" s="20">
        <v>23518.0</v>
      </c>
      <c r="D4300" s="19" t="str">
        <f t="shared" si="1"/>
        <v> </v>
      </c>
      <c r="E4300" s="19" t="str">
        <f t="shared" si="2"/>
        <v> </v>
      </c>
      <c r="F4300" s="21"/>
    </row>
    <row r="4301">
      <c r="A4301" s="19">
        <v>15969.0</v>
      </c>
      <c r="B4301" s="19" t="s">
        <v>4311</v>
      </c>
      <c r="C4301" s="20">
        <v>28460.0</v>
      </c>
      <c r="D4301" s="19" t="str">
        <f t="shared" si="1"/>
        <v> </v>
      </c>
      <c r="E4301" s="19" t="str">
        <f t="shared" si="2"/>
        <v> </v>
      </c>
      <c r="F4301" s="21"/>
    </row>
    <row r="4302">
      <c r="A4302" s="19">
        <v>15970.0</v>
      </c>
      <c r="B4302" s="19" t="s">
        <v>4312</v>
      </c>
      <c r="C4302" s="20">
        <v>36213.0</v>
      </c>
      <c r="D4302" s="19" t="str">
        <f t="shared" si="1"/>
        <v> </v>
      </c>
      <c r="E4302" s="19" t="str">
        <f t="shared" si="2"/>
        <v> </v>
      </c>
      <c r="F4302" s="21"/>
    </row>
    <row r="4303">
      <c r="A4303" s="19">
        <v>15971.0</v>
      </c>
      <c r="B4303" s="19" t="s">
        <v>4313</v>
      </c>
      <c r="C4303" s="20">
        <v>26266.0</v>
      </c>
      <c r="D4303" s="19" t="str">
        <f t="shared" si="1"/>
        <v> </v>
      </c>
      <c r="E4303" s="19" t="str">
        <f t="shared" si="2"/>
        <v> </v>
      </c>
      <c r="F4303" s="21"/>
    </row>
    <row r="4304">
      <c r="A4304" s="19">
        <v>15972.0</v>
      </c>
      <c r="B4304" s="19" t="s">
        <v>4314</v>
      </c>
      <c r="C4304" s="20">
        <v>22825.0</v>
      </c>
      <c r="D4304" s="19" t="str">
        <f t="shared" si="1"/>
        <v> </v>
      </c>
      <c r="E4304" s="19" t="str">
        <f t="shared" si="2"/>
        <v> </v>
      </c>
      <c r="F4304" s="21"/>
    </row>
    <row r="4305">
      <c r="A4305" s="19">
        <v>15973.0</v>
      </c>
      <c r="B4305" s="19" t="s">
        <v>4315</v>
      </c>
      <c r="C4305" s="20">
        <v>12838.0</v>
      </c>
      <c r="D4305" s="19" t="str">
        <f t="shared" si="1"/>
        <v> </v>
      </c>
      <c r="E4305" s="19" t="str">
        <f t="shared" si="2"/>
        <v> </v>
      </c>
      <c r="F4305" s="21"/>
    </row>
    <row r="4306">
      <c r="A4306" s="19">
        <v>15974.0</v>
      </c>
      <c r="B4306" s="19" t="s">
        <v>4316</v>
      </c>
      <c r="C4306" s="20">
        <v>22730.0</v>
      </c>
      <c r="D4306" s="19" t="str">
        <f t="shared" si="1"/>
        <v> </v>
      </c>
      <c r="E4306" s="19" t="str">
        <f t="shared" si="2"/>
        <v> </v>
      </c>
      <c r="F4306" s="21"/>
    </row>
    <row r="4307">
      <c r="A4307" s="19">
        <v>15975.0</v>
      </c>
      <c r="B4307" s="19" t="s">
        <v>4317</v>
      </c>
      <c r="C4307" s="20">
        <v>13427.0</v>
      </c>
      <c r="D4307" s="19" t="str">
        <f t="shared" si="1"/>
        <v> </v>
      </c>
      <c r="E4307" s="19" t="str">
        <f t="shared" si="2"/>
        <v> </v>
      </c>
      <c r="F4307" s="21"/>
    </row>
    <row r="4308">
      <c r="A4308" s="19">
        <v>15976.0</v>
      </c>
      <c r="B4308" s="19" t="s">
        <v>4318</v>
      </c>
      <c r="C4308" s="20">
        <v>18920.0</v>
      </c>
      <c r="D4308" s="19" t="str">
        <f t="shared" si="1"/>
        <v> </v>
      </c>
      <c r="E4308" s="19" t="str">
        <f t="shared" si="2"/>
        <v> </v>
      </c>
      <c r="F4308" s="21"/>
    </row>
    <row r="4309">
      <c r="A4309" s="19">
        <v>15977.0</v>
      </c>
      <c r="B4309" s="19" t="s">
        <v>4319</v>
      </c>
      <c r="C4309" s="20">
        <v>26952.0</v>
      </c>
      <c r="D4309" s="19" t="str">
        <f t="shared" si="1"/>
        <v>Repeat</v>
      </c>
      <c r="E4309" s="19" t="str">
        <f t="shared" si="2"/>
        <v> </v>
      </c>
      <c r="F4309" s="21"/>
    </row>
    <row r="4310">
      <c r="A4310" s="19">
        <v>15978.0</v>
      </c>
      <c r="B4310" s="19" t="s">
        <v>4320</v>
      </c>
      <c r="C4310" s="20">
        <v>14351.0</v>
      </c>
      <c r="D4310" s="19" t="str">
        <f t="shared" si="1"/>
        <v> </v>
      </c>
      <c r="E4310" s="19" t="str">
        <f t="shared" si="2"/>
        <v> </v>
      </c>
      <c r="F4310" s="21"/>
    </row>
    <row r="4311">
      <c r="A4311" s="19">
        <v>15979.0</v>
      </c>
      <c r="B4311" s="19" t="s">
        <v>4321</v>
      </c>
      <c r="C4311" s="20">
        <v>22579.0</v>
      </c>
      <c r="D4311" s="19" t="str">
        <f t="shared" si="1"/>
        <v> </v>
      </c>
      <c r="E4311" s="19" t="str">
        <f t="shared" si="2"/>
        <v> </v>
      </c>
      <c r="F4311" s="21"/>
    </row>
    <row r="4312">
      <c r="A4312" s="19">
        <v>15980.0</v>
      </c>
      <c r="B4312" s="19" t="s">
        <v>4322</v>
      </c>
      <c r="C4312" s="20">
        <v>31213.0</v>
      </c>
      <c r="D4312" s="19" t="str">
        <f t="shared" si="1"/>
        <v> </v>
      </c>
      <c r="E4312" s="19" t="str">
        <f t="shared" si="2"/>
        <v> </v>
      </c>
      <c r="F4312" s="21"/>
    </row>
    <row r="4313">
      <c r="A4313" s="19">
        <v>15981.0</v>
      </c>
      <c r="B4313" s="19" t="s">
        <v>4323</v>
      </c>
      <c r="C4313" s="20">
        <v>26840.0</v>
      </c>
      <c r="D4313" s="19" t="str">
        <f t="shared" si="1"/>
        <v> </v>
      </c>
      <c r="E4313" s="19" t="str">
        <f t="shared" si="2"/>
        <v> </v>
      </c>
      <c r="F4313" s="21"/>
    </row>
    <row r="4314">
      <c r="A4314" s="19">
        <v>15982.0</v>
      </c>
      <c r="B4314" s="19" t="s">
        <v>4324</v>
      </c>
      <c r="C4314" s="20">
        <v>27245.0</v>
      </c>
      <c r="D4314" s="19" t="str">
        <f t="shared" si="1"/>
        <v> </v>
      </c>
      <c r="E4314" s="19" t="str">
        <f t="shared" si="2"/>
        <v> </v>
      </c>
      <c r="F4314" s="21"/>
    </row>
    <row r="4315">
      <c r="A4315" s="19">
        <v>15984.0</v>
      </c>
      <c r="B4315" s="19" t="s">
        <v>4325</v>
      </c>
      <c r="C4315" s="20">
        <v>26822.0</v>
      </c>
      <c r="D4315" s="19" t="str">
        <f t="shared" si="1"/>
        <v> </v>
      </c>
      <c r="E4315" s="19" t="str">
        <f t="shared" si="2"/>
        <v> </v>
      </c>
      <c r="F4315" s="21"/>
    </row>
    <row r="4316">
      <c r="A4316" s="19">
        <v>15985.0</v>
      </c>
      <c r="B4316" s="19" t="s">
        <v>4326</v>
      </c>
      <c r="C4316" s="20">
        <v>23574.0</v>
      </c>
      <c r="D4316" s="19" t="str">
        <f t="shared" si="1"/>
        <v> </v>
      </c>
      <c r="E4316" s="19" t="str">
        <f t="shared" si="2"/>
        <v> </v>
      </c>
      <c r="F4316" s="21"/>
    </row>
    <row r="4317">
      <c r="A4317" s="19">
        <v>15986.0</v>
      </c>
      <c r="B4317" s="19" t="s">
        <v>4327</v>
      </c>
      <c r="C4317" s="20">
        <v>25376.0</v>
      </c>
      <c r="D4317" s="19" t="str">
        <f t="shared" si="1"/>
        <v> </v>
      </c>
      <c r="E4317" s="19" t="str">
        <f t="shared" si="2"/>
        <v> </v>
      </c>
      <c r="F4317" s="21"/>
    </row>
    <row r="4318">
      <c r="A4318" s="19">
        <v>15987.0</v>
      </c>
      <c r="B4318" s="19" t="s">
        <v>4328</v>
      </c>
      <c r="C4318" s="20">
        <v>17734.0</v>
      </c>
      <c r="D4318" s="19" t="str">
        <f t="shared" si="1"/>
        <v> </v>
      </c>
      <c r="E4318" s="19" t="str">
        <f t="shared" si="2"/>
        <v> </v>
      </c>
      <c r="F4318" s="21"/>
    </row>
    <row r="4319">
      <c r="A4319" s="19">
        <v>15988.0</v>
      </c>
      <c r="B4319" s="19" t="s">
        <v>4329</v>
      </c>
      <c r="C4319" s="20">
        <v>17400.0</v>
      </c>
      <c r="D4319" s="19" t="str">
        <f t="shared" si="1"/>
        <v> </v>
      </c>
      <c r="E4319" s="19" t="str">
        <f t="shared" si="2"/>
        <v> </v>
      </c>
      <c r="F4319" s="21"/>
    </row>
    <row r="4320">
      <c r="A4320" s="19">
        <v>15989.0</v>
      </c>
      <c r="B4320" s="19" t="s">
        <v>4330</v>
      </c>
      <c r="C4320" s="20">
        <v>30622.0</v>
      </c>
      <c r="D4320" s="19" t="str">
        <f t="shared" si="1"/>
        <v> </v>
      </c>
      <c r="E4320" s="19" t="str">
        <f t="shared" si="2"/>
        <v> </v>
      </c>
      <c r="F4320" s="21"/>
    </row>
    <row r="4321">
      <c r="A4321" s="19">
        <v>15990.0</v>
      </c>
      <c r="B4321" s="19" t="s">
        <v>4331</v>
      </c>
      <c r="C4321" s="20">
        <v>22405.0</v>
      </c>
      <c r="D4321" s="19" t="str">
        <f t="shared" si="1"/>
        <v> </v>
      </c>
      <c r="E4321" s="19" t="str">
        <f t="shared" si="2"/>
        <v> </v>
      </c>
      <c r="F4321" s="21"/>
    </row>
    <row r="4322">
      <c r="A4322" s="19">
        <v>15992.0</v>
      </c>
      <c r="B4322" s="19" t="s">
        <v>4332</v>
      </c>
      <c r="C4322" s="20">
        <v>17715.0</v>
      </c>
      <c r="D4322" s="19" t="str">
        <f t="shared" si="1"/>
        <v> </v>
      </c>
      <c r="E4322" s="19" t="str">
        <f t="shared" si="2"/>
        <v> </v>
      </c>
      <c r="F4322" s="21"/>
    </row>
    <row r="4323">
      <c r="A4323" s="19">
        <v>15993.0</v>
      </c>
      <c r="B4323" s="19" t="s">
        <v>4333</v>
      </c>
      <c r="C4323" s="20">
        <v>30933.0</v>
      </c>
      <c r="D4323" s="19" t="str">
        <f t="shared" si="1"/>
        <v> </v>
      </c>
      <c r="E4323" s="19" t="str">
        <f t="shared" si="2"/>
        <v> </v>
      </c>
      <c r="F4323" s="21"/>
    </row>
    <row r="4324">
      <c r="A4324" s="19">
        <v>15994.0</v>
      </c>
      <c r="B4324" s="19" t="s">
        <v>4334</v>
      </c>
      <c r="C4324" s="20">
        <v>13335.0</v>
      </c>
      <c r="D4324" s="19" t="str">
        <f t="shared" si="1"/>
        <v> </v>
      </c>
      <c r="E4324" s="19" t="str">
        <f t="shared" si="2"/>
        <v>Repeat</v>
      </c>
      <c r="F4324" s="21"/>
    </row>
    <row r="4325">
      <c r="A4325" s="19">
        <v>15995.0</v>
      </c>
      <c r="B4325" s="19" t="s">
        <v>4335</v>
      </c>
      <c r="C4325" s="20">
        <v>31035.0</v>
      </c>
      <c r="D4325" s="19" t="str">
        <f t="shared" si="1"/>
        <v> </v>
      </c>
      <c r="E4325" s="19" t="str">
        <f t="shared" si="2"/>
        <v> </v>
      </c>
      <c r="F4325" s="21"/>
    </row>
    <row r="4326">
      <c r="A4326" s="19">
        <v>15997.0</v>
      </c>
      <c r="B4326" s="19" t="s">
        <v>4336</v>
      </c>
      <c r="C4326" s="20">
        <v>26742.0</v>
      </c>
      <c r="D4326" s="19" t="str">
        <f t="shared" si="1"/>
        <v> </v>
      </c>
      <c r="E4326" s="19" t="str">
        <f t="shared" si="2"/>
        <v> </v>
      </c>
      <c r="F4326" s="21"/>
    </row>
    <row r="4327">
      <c r="A4327" s="19">
        <v>15998.0</v>
      </c>
      <c r="B4327" s="19" t="s">
        <v>4337</v>
      </c>
      <c r="C4327" s="20">
        <v>19064.0</v>
      </c>
      <c r="D4327" s="19" t="str">
        <f t="shared" si="1"/>
        <v> </v>
      </c>
      <c r="E4327" s="19" t="str">
        <f t="shared" si="2"/>
        <v> </v>
      </c>
      <c r="F4327" s="21"/>
    </row>
    <row r="4328">
      <c r="A4328" s="19">
        <v>15999.0</v>
      </c>
      <c r="B4328" s="19" t="s">
        <v>4338</v>
      </c>
      <c r="C4328" s="20">
        <v>33358.0</v>
      </c>
      <c r="D4328" s="19" t="str">
        <f t="shared" si="1"/>
        <v> </v>
      </c>
      <c r="E4328" s="19" t="str">
        <f t="shared" si="2"/>
        <v> </v>
      </c>
      <c r="F4328" s="21"/>
    </row>
    <row r="4329">
      <c r="A4329" s="19">
        <v>16000.0</v>
      </c>
      <c r="B4329" s="19" t="s">
        <v>4339</v>
      </c>
      <c r="C4329" s="20">
        <v>25400.0</v>
      </c>
      <c r="D4329" s="19" t="str">
        <f t="shared" si="1"/>
        <v> </v>
      </c>
      <c r="E4329" s="19" t="str">
        <f t="shared" si="2"/>
        <v> </v>
      </c>
      <c r="F4329" s="21"/>
    </row>
    <row r="4330">
      <c r="A4330" s="19">
        <v>16001.0</v>
      </c>
      <c r="B4330" s="19" t="s">
        <v>4340</v>
      </c>
      <c r="C4330" s="20">
        <v>26562.0</v>
      </c>
      <c r="D4330" s="19" t="str">
        <f t="shared" si="1"/>
        <v> </v>
      </c>
      <c r="E4330" s="19" t="str">
        <f t="shared" si="2"/>
        <v> </v>
      </c>
      <c r="F4330" s="21"/>
    </row>
    <row r="4331">
      <c r="A4331" s="19">
        <v>16002.0</v>
      </c>
      <c r="B4331" s="19" t="s">
        <v>4341</v>
      </c>
      <c r="C4331" s="20">
        <v>33968.0</v>
      </c>
      <c r="D4331" s="19" t="str">
        <f t="shared" si="1"/>
        <v> </v>
      </c>
      <c r="E4331" s="19" t="str">
        <f t="shared" si="2"/>
        <v> </v>
      </c>
      <c r="F4331" s="21"/>
    </row>
    <row r="4332">
      <c r="A4332" s="19">
        <v>16003.0</v>
      </c>
      <c r="B4332" s="19" t="s">
        <v>4342</v>
      </c>
      <c r="C4332" s="20">
        <v>25541.0</v>
      </c>
      <c r="D4332" s="19" t="str">
        <f t="shared" si="1"/>
        <v> </v>
      </c>
      <c r="E4332" s="19" t="str">
        <f t="shared" si="2"/>
        <v> </v>
      </c>
      <c r="F4332" s="21"/>
    </row>
    <row r="4333">
      <c r="A4333" s="19">
        <v>16004.0</v>
      </c>
      <c r="B4333" s="19" t="s">
        <v>4343</v>
      </c>
      <c r="C4333" s="20">
        <v>19862.0</v>
      </c>
      <c r="D4333" s="19" t="str">
        <f t="shared" si="1"/>
        <v> </v>
      </c>
      <c r="E4333" s="19" t="str">
        <f t="shared" si="2"/>
        <v> </v>
      </c>
      <c r="F4333" s="21"/>
    </row>
    <row r="4334">
      <c r="A4334" s="19">
        <v>16007.0</v>
      </c>
      <c r="B4334" s="19" t="s">
        <v>4344</v>
      </c>
      <c r="C4334" s="20">
        <v>35276.0</v>
      </c>
      <c r="D4334" s="19" t="str">
        <f t="shared" si="1"/>
        <v> </v>
      </c>
      <c r="E4334" s="19" t="str">
        <f t="shared" si="2"/>
        <v> </v>
      </c>
      <c r="F4334" s="21"/>
    </row>
    <row r="4335">
      <c r="A4335" s="19">
        <v>16008.0</v>
      </c>
      <c r="B4335" s="19" t="s">
        <v>4345</v>
      </c>
      <c r="C4335" s="20">
        <v>18674.0</v>
      </c>
      <c r="D4335" s="19" t="str">
        <f t="shared" si="1"/>
        <v> </v>
      </c>
      <c r="E4335" s="19" t="str">
        <f t="shared" si="2"/>
        <v> </v>
      </c>
      <c r="F4335" s="21"/>
    </row>
    <row r="4336">
      <c r="A4336" s="19">
        <v>16009.0</v>
      </c>
      <c r="B4336" s="19" t="s">
        <v>4346</v>
      </c>
      <c r="C4336" s="20">
        <v>32074.0</v>
      </c>
      <c r="D4336" s="19" t="str">
        <f t="shared" si="1"/>
        <v> </v>
      </c>
      <c r="E4336" s="19" t="str">
        <f t="shared" si="2"/>
        <v> </v>
      </c>
      <c r="F4336" s="21"/>
    </row>
    <row r="4337">
      <c r="A4337" s="19">
        <v>16010.0</v>
      </c>
      <c r="B4337" s="19" t="s">
        <v>4347</v>
      </c>
      <c r="C4337" s="20">
        <v>23044.0</v>
      </c>
      <c r="D4337" s="19" t="str">
        <f t="shared" si="1"/>
        <v> </v>
      </c>
      <c r="E4337" s="19" t="str">
        <f t="shared" si="2"/>
        <v> </v>
      </c>
      <c r="F4337" s="21"/>
    </row>
    <row r="4338">
      <c r="A4338" s="19">
        <v>16011.0</v>
      </c>
      <c r="B4338" s="19" t="s">
        <v>4348</v>
      </c>
      <c r="C4338" s="20">
        <v>31805.0</v>
      </c>
      <c r="D4338" s="19" t="str">
        <f t="shared" si="1"/>
        <v> </v>
      </c>
      <c r="E4338" s="19" t="str">
        <f t="shared" si="2"/>
        <v> </v>
      </c>
      <c r="F4338" s="21"/>
    </row>
    <row r="4339">
      <c r="A4339" s="19">
        <v>16012.0</v>
      </c>
      <c r="B4339" s="19" t="s">
        <v>4349</v>
      </c>
      <c r="C4339" s="20">
        <v>23070.0</v>
      </c>
      <c r="D4339" s="19" t="str">
        <f t="shared" si="1"/>
        <v> </v>
      </c>
      <c r="E4339" s="19" t="str">
        <f t="shared" si="2"/>
        <v> </v>
      </c>
      <c r="F4339" s="21"/>
    </row>
    <row r="4340">
      <c r="A4340" s="19">
        <v>16013.0</v>
      </c>
      <c r="B4340" s="19" t="s">
        <v>4350</v>
      </c>
      <c r="C4340" s="20">
        <v>28026.0</v>
      </c>
      <c r="D4340" s="19" t="str">
        <f t="shared" si="1"/>
        <v> </v>
      </c>
      <c r="E4340" s="19" t="str">
        <f t="shared" si="2"/>
        <v> </v>
      </c>
      <c r="F4340" s="21"/>
    </row>
    <row r="4341">
      <c r="A4341" s="19">
        <v>16014.0</v>
      </c>
      <c r="B4341" s="19" t="s">
        <v>4351</v>
      </c>
      <c r="C4341" s="20">
        <v>29086.0</v>
      </c>
      <c r="D4341" s="19" t="str">
        <f t="shared" si="1"/>
        <v>Repeat</v>
      </c>
      <c r="E4341" s="19" t="str">
        <f t="shared" si="2"/>
        <v> </v>
      </c>
      <c r="F4341" s="21"/>
    </row>
    <row r="4342">
      <c r="A4342" s="19">
        <v>16015.0</v>
      </c>
      <c r="B4342" s="19" t="s">
        <v>4352</v>
      </c>
      <c r="C4342" s="20">
        <v>29150.0</v>
      </c>
      <c r="D4342" s="19" t="str">
        <f t="shared" si="1"/>
        <v> </v>
      </c>
      <c r="E4342" s="19" t="str">
        <f t="shared" si="2"/>
        <v> </v>
      </c>
      <c r="F4342" s="21"/>
    </row>
    <row r="4343">
      <c r="A4343" s="19">
        <v>16016.0</v>
      </c>
      <c r="B4343" s="19" t="s">
        <v>4353</v>
      </c>
      <c r="C4343" s="20">
        <v>45664.0</v>
      </c>
      <c r="D4343" s="19" t="str">
        <f t="shared" si="1"/>
        <v>Repeat</v>
      </c>
      <c r="E4343" s="19" t="str">
        <f t="shared" si="2"/>
        <v>Repeat</v>
      </c>
      <c r="F4343" s="21"/>
    </row>
    <row r="4344">
      <c r="A4344" s="19">
        <v>16017.0</v>
      </c>
      <c r="B4344" s="19" t="s">
        <v>4354</v>
      </c>
      <c r="C4344" s="20">
        <v>23335.0</v>
      </c>
      <c r="D4344" s="19" t="str">
        <f t="shared" si="1"/>
        <v> </v>
      </c>
      <c r="E4344" s="19" t="str">
        <f t="shared" si="2"/>
        <v> </v>
      </c>
      <c r="F4344" s="21"/>
    </row>
    <row r="4345">
      <c r="A4345" s="19">
        <v>16018.0</v>
      </c>
      <c r="B4345" s="19" t="s">
        <v>4355</v>
      </c>
      <c r="C4345" s="20">
        <v>17183.0</v>
      </c>
      <c r="D4345" s="19" t="str">
        <f t="shared" si="1"/>
        <v> </v>
      </c>
      <c r="E4345" s="19" t="str">
        <f t="shared" si="2"/>
        <v> </v>
      </c>
      <c r="F4345" s="21"/>
    </row>
    <row r="4346">
      <c r="A4346" s="19">
        <v>16019.0</v>
      </c>
      <c r="B4346" s="19" t="s">
        <v>4356</v>
      </c>
      <c r="C4346" s="20">
        <v>27370.0</v>
      </c>
      <c r="D4346" s="19" t="str">
        <f t="shared" si="1"/>
        <v> </v>
      </c>
      <c r="E4346" s="19" t="str">
        <f t="shared" si="2"/>
        <v> </v>
      </c>
      <c r="F4346" s="21"/>
    </row>
    <row r="4347">
      <c r="A4347" s="19">
        <v>16020.0</v>
      </c>
      <c r="B4347" s="19" t="s">
        <v>4357</v>
      </c>
      <c r="C4347" s="20">
        <v>32693.0</v>
      </c>
      <c r="D4347" s="19" t="str">
        <f t="shared" si="1"/>
        <v> </v>
      </c>
      <c r="E4347" s="19" t="str">
        <f t="shared" si="2"/>
        <v> </v>
      </c>
      <c r="F4347" s="21"/>
    </row>
    <row r="4348">
      <c r="A4348" s="19">
        <v>16021.0</v>
      </c>
      <c r="B4348" s="19" t="s">
        <v>4358</v>
      </c>
      <c r="C4348" s="20">
        <v>16360.0</v>
      </c>
      <c r="D4348" s="19" t="str">
        <f t="shared" si="1"/>
        <v> </v>
      </c>
      <c r="E4348" s="19" t="str">
        <f t="shared" si="2"/>
        <v> </v>
      </c>
      <c r="F4348" s="21"/>
    </row>
    <row r="4349">
      <c r="A4349" s="19">
        <v>16022.0</v>
      </c>
      <c r="B4349" s="19" t="s">
        <v>4359</v>
      </c>
      <c r="C4349" s="20">
        <v>25835.0</v>
      </c>
      <c r="D4349" s="19" t="str">
        <f t="shared" si="1"/>
        <v> </v>
      </c>
      <c r="E4349" s="19" t="str">
        <f t="shared" si="2"/>
        <v> </v>
      </c>
      <c r="F4349" s="21"/>
    </row>
    <row r="4350">
      <c r="A4350" s="19">
        <v>16023.0</v>
      </c>
      <c r="B4350" s="19" t="s">
        <v>1404</v>
      </c>
      <c r="C4350" s="20">
        <v>32833.0</v>
      </c>
      <c r="D4350" s="19" t="str">
        <f t="shared" si="1"/>
        <v>Repeat</v>
      </c>
      <c r="E4350" s="19" t="str">
        <f t="shared" si="2"/>
        <v> </v>
      </c>
      <c r="F4350" s="21"/>
    </row>
    <row r="4351">
      <c r="A4351" s="19">
        <v>16024.0</v>
      </c>
      <c r="B4351" s="19" t="s">
        <v>4360</v>
      </c>
      <c r="C4351" s="20">
        <v>20948.0</v>
      </c>
      <c r="D4351" s="19" t="str">
        <f t="shared" si="1"/>
        <v> </v>
      </c>
      <c r="E4351" s="19" t="str">
        <f t="shared" si="2"/>
        <v> </v>
      </c>
      <c r="F4351" s="21"/>
    </row>
    <row r="4352">
      <c r="A4352" s="19">
        <v>16025.0</v>
      </c>
      <c r="B4352" s="19" t="s">
        <v>4361</v>
      </c>
      <c r="C4352" s="20">
        <v>19098.0</v>
      </c>
      <c r="D4352" s="19" t="str">
        <f t="shared" si="1"/>
        <v> </v>
      </c>
      <c r="E4352" s="19" t="str">
        <f t="shared" si="2"/>
        <v> </v>
      </c>
      <c r="F4352" s="21"/>
    </row>
    <row r="4353">
      <c r="A4353" s="19">
        <v>16026.0</v>
      </c>
      <c r="B4353" s="19" t="s">
        <v>4362</v>
      </c>
      <c r="C4353" s="20">
        <v>21139.0</v>
      </c>
      <c r="D4353" s="19" t="str">
        <f t="shared" si="1"/>
        <v> </v>
      </c>
      <c r="E4353" s="19" t="str">
        <f t="shared" si="2"/>
        <v> </v>
      </c>
      <c r="F4353" s="21"/>
    </row>
    <row r="4354">
      <c r="A4354" s="19">
        <v>16027.0</v>
      </c>
      <c r="B4354" s="19" t="s">
        <v>4363</v>
      </c>
      <c r="C4354" s="20">
        <v>30414.0</v>
      </c>
      <c r="D4354" s="19" t="str">
        <f t="shared" si="1"/>
        <v> </v>
      </c>
      <c r="E4354" s="19" t="str">
        <f t="shared" si="2"/>
        <v> </v>
      </c>
      <c r="F4354" s="21"/>
    </row>
    <row r="4355">
      <c r="A4355" s="19">
        <v>16028.0</v>
      </c>
      <c r="B4355" s="19" t="s">
        <v>4364</v>
      </c>
      <c r="C4355" s="20">
        <v>23078.0</v>
      </c>
      <c r="D4355" s="19" t="str">
        <f t="shared" si="1"/>
        <v> </v>
      </c>
      <c r="E4355" s="19" t="str">
        <f t="shared" si="2"/>
        <v> </v>
      </c>
      <c r="F4355" s="21"/>
    </row>
    <row r="4356">
      <c r="A4356" s="19">
        <v>16029.0</v>
      </c>
      <c r="B4356" s="19" t="s">
        <v>4365</v>
      </c>
      <c r="C4356" s="20">
        <v>15431.0</v>
      </c>
      <c r="D4356" s="19" t="str">
        <f t="shared" si="1"/>
        <v> </v>
      </c>
      <c r="E4356" s="19" t="str">
        <f t="shared" si="2"/>
        <v> </v>
      </c>
      <c r="F4356" s="21"/>
    </row>
    <row r="4357">
      <c r="A4357" s="19">
        <v>16030.0</v>
      </c>
      <c r="B4357" s="19" t="s">
        <v>4366</v>
      </c>
      <c r="C4357" s="20">
        <v>32598.0</v>
      </c>
      <c r="D4357" s="19" t="str">
        <f t="shared" si="1"/>
        <v> </v>
      </c>
      <c r="E4357" s="19" t="str">
        <f t="shared" si="2"/>
        <v> </v>
      </c>
      <c r="F4357" s="21"/>
    </row>
    <row r="4358">
      <c r="A4358" s="19">
        <v>16031.0</v>
      </c>
      <c r="B4358" s="19" t="s">
        <v>4367</v>
      </c>
      <c r="C4358" s="20">
        <v>17337.0</v>
      </c>
      <c r="D4358" s="19" t="str">
        <f t="shared" si="1"/>
        <v> </v>
      </c>
      <c r="E4358" s="19" t="str">
        <f t="shared" si="2"/>
        <v> </v>
      </c>
      <c r="F4358" s="21"/>
    </row>
    <row r="4359">
      <c r="A4359" s="19">
        <v>16034.0</v>
      </c>
      <c r="B4359" s="19" t="s">
        <v>4368</v>
      </c>
      <c r="C4359" s="20">
        <v>17158.0</v>
      </c>
      <c r="D4359" s="19" t="str">
        <f t="shared" si="1"/>
        <v> </v>
      </c>
      <c r="E4359" s="19" t="str">
        <f t="shared" si="2"/>
        <v> </v>
      </c>
      <c r="F4359" s="21"/>
    </row>
    <row r="4360">
      <c r="A4360" s="19">
        <v>16035.0</v>
      </c>
      <c r="B4360" s="19" t="s">
        <v>4369</v>
      </c>
      <c r="C4360" s="20">
        <v>19873.0</v>
      </c>
      <c r="D4360" s="19" t="str">
        <f t="shared" si="1"/>
        <v> </v>
      </c>
      <c r="E4360" s="19" t="str">
        <f t="shared" si="2"/>
        <v> </v>
      </c>
      <c r="F4360" s="21"/>
    </row>
    <row r="4361">
      <c r="A4361" s="19">
        <v>16036.0</v>
      </c>
      <c r="B4361" s="19" t="s">
        <v>4370</v>
      </c>
      <c r="C4361" s="20">
        <v>28050.0</v>
      </c>
      <c r="D4361" s="19" t="str">
        <f t="shared" si="1"/>
        <v> </v>
      </c>
      <c r="E4361" s="19" t="str">
        <f t="shared" si="2"/>
        <v> </v>
      </c>
      <c r="F4361" s="21"/>
    </row>
    <row r="4362">
      <c r="A4362" s="19">
        <v>16037.0</v>
      </c>
      <c r="B4362" s="19" t="s">
        <v>4371</v>
      </c>
      <c r="C4362" s="20">
        <v>16788.0</v>
      </c>
      <c r="D4362" s="19" t="str">
        <f t="shared" si="1"/>
        <v> </v>
      </c>
      <c r="E4362" s="19" t="str">
        <f t="shared" si="2"/>
        <v> </v>
      </c>
      <c r="F4362" s="21"/>
    </row>
    <row r="4363">
      <c r="A4363" s="19">
        <v>16039.0</v>
      </c>
      <c r="B4363" s="19" t="s">
        <v>4372</v>
      </c>
      <c r="C4363" s="20">
        <v>23742.0</v>
      </c>
      <c r="D4363" s="19" t="str">
        <f t="shared" si="1"/>
        <v> </v>
      </c>
      <c r="E4363" s="19" t="str">
        <f t="shared" si="2"/>
        <v>Repeat</v>
      </c>
      <c r="F4363" s="21"/>
    </row>
    <row r="4364">
      <c r="A4364" s="19">
        <v>16040.0</v>
      </c>
      <c r="B4364" s="19" t="s">
        <v>4373</v>
      </c>
      <c r="C4364" s="20">
        <v>27422.0</v>
      </c>
      <c r="D4364" s="19" t="str">
        <f t="shared" si="1"/>
        <v> </v>
      </c>
      <c r="E4364" s="19" t="str">
        <f t="shared" si="2"/>
        <v> </v>
      </c>
      <c r="F4364" s="21"/>
    </row>
    <row r="4365">
      <c r="A4365" s="19">
        <v>16041.0</v>
      </c>
      <c r="B4365" s="19" t="s">
        <v>4374</v>
      </c>
      <c r="C4365" s="20">
        <v>25669.0</v>
      </c>
      <c r="D4365" s="19" t="str">
        <f t="shared" si="1"/>
        <v> </v>
      </c>
      <c r="E4365" s="19" t="str">
        <f t="shared" si="2"/>
        <v> </v>
      </c>
      <c r="F4365" s="21"/>
    </row>
    <row r="4366">
      <c r="A4366" s="19">
        <v>16042.0</v>
      </c>
      <c r="B4366" s="19" t="s">
        <v>4375</v>
      </c>
      <c r="C4366" s="20">
        <v>20478.0</v>
      </c>
      <c r="D4366" s="19" t="str">
        <f t="shared" si="1"/>
        <v> </v>
      </c>
      <c r="E4366" s="19" t="str">
        <f t="shared" si="2"/>
        <v> </v>
      </c>
      <c r="F4366" s="21"/>
    </row>
    <row r="4367">
      <c r="A4367" s="19">
        <v>16044.0</v>
      </c>
      <c r="B4367" s="19" t="s">
        <v>4376</v>
      </c>
      <c r="C4367" s="20">
        <v>29615.0</v>
      </c>
      <c r="D4367" s="19" t="str">
        <f t="shared" si="1"/>
        <v> </v>
      </c>
      <c r="E4367" s="19" t="str">
        <f t="shared" si="2"/>
        <v> </v>
      </c>
      <c r="F4367" s="21"/>
    </row>
    <row r="4368">
      <c r="A4368" s="19">
        <v>16045.0</v>
      </c>
      <c r="B4368" s="19" t="s">
        <v>2614</v>
      </c>
      <c r="C4368" s="20">
        <v>24633.0</v>
      </c>
      <c r="D4368" s="19" t="str">
        <f t="shared" si="1"/>
        <v>Repeat</v>
      </c>
      <c r="E4368" s="19" t="str">
        <f t="shared" si="2"/>
        <v> </v>
      </c>
      <c r="F4368" s="21"/>
    </row>
    <row r="4369">
      <c r="A4369" s="19">
        <v>16046.0</v>
      </c>
      <c r="B4369" s="19" t="s">
        <v>4377</v>
      </c>
      <c r="C4369" s="20">
        <v>18837.0</v>
      </c>
      <c r="D4369" s="19" t="str">
        <f t="shared" si="1"/>
        <v> </v>
      </c>
      <c r="E4369" s="19" t="str">
        <f t="shared" si="2"/>
        <v> </v>
      </c>
      <c r="F4369" s="21"/>
    </row>
    <row r="4370">
      <c r="A4370" s="19">
        <v>16047.0</v>
      </c>
      <c r="B4370" s="19" t="s">
        <v>4378</v>
      </c>
      <c r="C4370" s="20">
        <v>22361.0</v>
      </c>
      <c r="D4370" s="19" t="str">
        <f t="shared" si="1"/>
        <v> </v>
      </c>
      <c r="E4370" s="19" t="str">
        <f t="shared" si="2"/>
        <v> </v>
      </c>
      <c r="F4370" s="21"/>
    </row>
    <row r="4371">
      <c r="A4371" s="19">
        <v>16048.0</v>
      </c>
      <c r="B4371" s="19" t="s">
        <v>4379</v>
      </c>
      <c r="C4371" s="20">
        <v>20964.0</v>
      </c>
      <c r="D4371" s="19" t="str">
        <f t="shared" si="1"/>
        <v> </v>
      </c>
      <c r="E4371" s="19" t="str">
        <f t="shared" si="2"/>
        <v> </v>
      </c>
      <c r="F4371" s="21"/>
    </row>
    <row r="4372">
      <c r="A4372" s="19">
        <v>16049.0</v>
      </c>
      <c r="B4372" s="19" t="s">
        <v>4380</v>
      </c>
      <c r="C4372" s="20">
        <v>21172.0</v>
      </c>
      <c r="D4372" s="19" t="str">
        <f t="shared" si="1"/>
        <v> </v>
      </c>
      <c r="E4372" s="19" t="str">
        <f t="shared" si="2"/>
        <v> </v>
      </c>
      <c r="F4372" s="21"/>
    </row>
    <row r="4373">
      <c r="A4373" s="19">
        <v>16050.0</v>
      </c>
      <c r="B4373" s="19" t="s">
        <v>4381</v>
      </c>
      <c r="C4373" s="20">
        <v>27133.0</v>
      </c>
      <c r="D4373" s="19" t="str">
        <f t="shared" si="1"/>
        <v> </v>
      </c>
      <c r="E4373" s="19" t="str">
        <f t="shared" si="2"/>
        <v> </v>
      </c>
      <c r="F4373" s="21"/>
    </row>
    <row r="4374">
      <c r="A4374" s="19">
        <v>16051.0</v>
      </c>
      <c r="B4374" s="19" t="s">
        <v>4382</v>
      </c>
      <c r="C4374" s="20">
        <v>24194.0</v>
      </c>
      <c r="D4374" s="19" t="str">
        <f t="shared" si="1"/>
        <v> </v>
      </c>
      <c r="E4374" s="19" t="str">
        <f t="shared" si="2"/>
        <v> </v>
      </c>
      <c r="F4374" s="21"/>
    </row>
    <row r="4375">
      <c r="A4375" s="19">
        <v>16052.0</v>
      </c>
      <c r="B4375" s="19" t="s">
        <v>4383</v>
      </c>
      <c r="C4375" s="20">
        <v>25440.0</v>
      </c>
      <c r="D4375" s="19" t="str">
        <f t="shared" si="1"/>
        <v> </v>
      </c>
      <c r="E4375" s="19" t="str">
        <f t="shared" si="2"/>
        <v> </v>
      </c>
      <c r="F4375" s="21"/>
    </row>
    <row r="4376">
      <c r="A4376" s="19">
        <v>16053.0</v>
      </c>
      <c r="B4376" s="19" t="s">
        <v>4384</v>
      </c>
      <c r="C4376" s="20">
        <v>22521.0</v>
      </c>
      <c r="D4376" s="19" t="str">
        <f t="shared" si="1"/>
        <v> </v>
      </c>
      <c r="E4376" s="19" t="str">
        <f t="shared" si="2"/>
        <v> </v>
      </c>
      <c r="F4376" s="21"/>
    </row>
    <row r="4377">
      <c r="A4377" s="19">
        <v>16054.0</v>
      </c>
      <c r="B4377" s="19" t="s">
        <v>4385</v>
      </c>
      <c r="C4377" s="20">
        <v>12950.0</v>
      </c>
      <c r="D4377" s="19" t="str">
        <f t="shared" si="1"/>
        <v>Repeat</v>
      </c>
      <c r="E4377" s="19" t="str">
        <f t="shared" si="2"/>
        <v> </v>
      </c>
      <c r="F4377" s="21"/>
    </row>
    <row r="4378">
      <c r="A4378" s="19">
        <v>16055.0</v>
      </c>
      <c r="B4378" s="19" t="s">
        <v>4386</v>
      </c>
      <c r="C4378" s="20">
        <v>16708.0</v>
      </c>
      <c r="D4378" s="19" t="str">
        <f t="shared" si="1"/>
        <v> </v>
      </c>
      <c r="E4378" s="19" t="str">
        <f t="shared" si="2"/>
        <v> </v>
      </c>
      <c r="F4378" s="21"/>
    </row>
    <row r="4379">
      <c r="A4379" s="19">
        <v>16056.0</v>
      </c>
      <c r="B4379" s="19" t="s">
        <v>4387</v>
      </c>
      <c r="C4379" s="20">
        <v>17399.0</v>
      </c>
      <c r="D4379" s="19" t="str">
        <f t="shared" si="1"/>
        <v> </v>
      </c>
      <c r="E4379" s="19" t="str">
        <f t="shared" si="2"/>
        <v> </v>
      </c>
      <c r="F4379" s="21"/>
    </row>
    <row r="4380">
      <c r="A4380" s="19">
        <v>16057.0</v>
      </c>
      <c r="B4380" s="19" t="s">
        <v>4388</v>
      </c>
      <c r="C4380" s="20">
        <v>26141.0</v>
      </c>
      <c r="D4380" s="19" t="str">
        <f t="shared" si="1"/>
        <v> </v>
      </c>
      <c r="E4380" s="19" t="str">
        <f t="shared" si="2"/>
        <v> </v>
      </c>
      <c r="F4380" s="21"/>
    </row>
    <row r="4381">
      <c r="A4381" s="19">
        <v>16058.0</v>
      </c>
      <c r="B4381" s="19" t="s">
        <v>4389</v>
      </c>
      <c r="C4381" s="20">
        <v>17853.0</v>
      </c>
      <c r="D4381" s="19" t="str">
        <f t="shared" si="1"/>
        <v> </v>
      </c>
      <c r="E4381" s="19" t="str">
        <f t="shared" si="2"/>
        <v> </v>
      </c>
      <c r="F4381" s="21"/>
    </row>
    <row r="4382">
      <c r="A4382" s="19">
        <v>16059.0</v>
      </c>
      <c r="B4382" s="19" t="s">
        <v>4390</v>
      </c>
      <c r="C4382" s="20">
        <v>28874.0</v>
      </c>
      <c r="D4382" s="19" t="str">
        <f t="shared" si="1"/>
        <v> </v>
      </c>
      <c r="E4382" s="19" t="str">
        <f t="shared" si="2"/>
        <v> </v>
      </c>
      <c r="F4382" s="21"/>
    </row>
    <row r="4383">
      <c r="A4383" s="19">
        <v>16060.0</v>
      </c>
      <c r="B4383" s="19" t="s">
        <v>4391</v>
      </c>
      <c r="C4383" s="20">
        <v>17891.0</v>
      </c>
      <c r="D4383" s="19" t="str">
        <f t="shared" si="1"/>
        <v> </v>
      </c>
      <c r="E4383" s="19" t="str">
        <f t="shared" si="2"/>
        <v> </v>
      </c>
      <c r="F4383" s="21"/>
    </row>
    <row r="4384">
      <c r="A4384" s="19">
        <v>16061.0</v>
      </c>
      <c r="B4384" s="19" t="s">
        <v>4392</v>
      </c>
      <c r="C4384" s="20">
        <v>11463.0</v>
      </c>
      <c r="D4384" s="19" t="str">
        <f t="shared" si="1"/>
        <v> </v>
      </c>
      <c r="E4384" s="19" t="str">
        <f t="shared" si="2"/>
        <v> </v>
      </c>
      <c r="F4384" s="21"/>
    </row>
    <row r="4385">
      <c r="A4385" s="19">
        <v>16062.0</v>
      </c>
      <c r="B4385" s="19" t="s">
        <v>4393</v>
      </c>
      <c r="C4385" s="20">
        <v>17777.0</v>
      </c>
      <c r="D4385" s="19" t="str">
        <f t="shared" si="1"/>
        <v> </v>
      </c>
      <c r="E4385" s="19" t="str">
        <f t="shared" si="2"/>
        <v> </v>
      </c>
      <c r="F4385" s="21"/>
    </row>
    <row r="4386">
      <c r="A4386" s="19">
        <v>16063.0</v>
      </c>
      <c r="B4386" s="19" t="s">
        <v>4394</v>
      </c>
      <c r="C4386" s="20">
        <v>24748.0</v>
      </c>
      <c r="D4386" s="19" t="str">
        <f t="shared" si="1"/>
        <v> </v>
      </c>
      <c r="E4386" s="19" t="str">
        <f t="shared" si="2"/>
        <v> </v>
      </c>
      <c r="F4386" s="21"/>
    </row>
    <row r="4387">
      <c r="A4387" s="19">
        <v>16064.0</v>
      </c>
      <c r="B4387" s="19" t="s">
        <v>4395</v>
      </c>
      <c r="C4387" s="20">
        <v>25890.0</v>
      </c>
      <c r="D4387" s="19" t="str">
        <f t="shared" si="1"/>
        <v> </v>
      </c>
      <c r="E4387" s="19" t="str">
        <f t="shared" si="2"/>
        <v> </v>
      </c>
      <c r="F4387" s="21"/>
    </row>
    <row r="4388">
      <c r="A4388" s="19">
        <v>16066.0</v>
      </c>
      <c r="B4388" s="19" t="s">
        <v>4396</v>
      </c>
      <c r="C4388" s="20">
        <v>31846.0</v>
      </c>
      <c r="D4388" s="19" t="str">
        <f t="shared" si="1"/>
        <v> </v>
      </c>
      <c r="E4388" s="19" t="str">
        <f t="shared" si="2"/>
        <v> </v>
      </c>
      <c r="F4388" s="21"/>
    </row>
    <row r="4389">
      <c r="A4389" s="19">
        <v>16068.0</v>
      </c>
      <c r="B4389" s="19" t="s">
        <v>4397</v>
      </c>
      <c r="C4389" s="20">
        <v>29571.0</v>
      </c>
      <c r="D4389" s="19" t="str">
        <f t="shared" si="1"/>
        <v> </v>
      </c>
      <c r="E4389" s="19" t="str">
        <f t="shared" si="2"/>
        <v> </v>
      </c>
      <c r="F4389" s="21"/>
    </row>
    <row r="4390">
      <c r="A4390" s="19">
        <v>16069.0</v>
      </c>
      <c r="B4390" s="19" t="s">
        <v>4398</v>
      </c>
      <c r="C4390" s="20">
        <v>27413.0</v>
      </c>
      <c r="D4390" s="19" t="str">
        <f t="shared" si="1"/>
        <v> </v>
      </c>
      <c r="E4390" s="19" t="str">
        <f t="shared" si="2"/>
        <v> </v>
      </c>
      <c r="F4390" s="21"/>
    </row>
    <row r="4391">
      <c r="A4391" s="19">
        <v>16070.0</v>
      </c>
      <c r="B4391" s="19" t="s">
        <v>4399</v>
      </c>
      <c r="C4391" s="20">
        <v>33918.0</v>
      </c>
      <c r="D4391" s="19" t="str">
        <f t="shared" si="1"/>
        <v> </v>
      </c>
      <c r="E4391" s="19" t="str">
        <f t="shared" si="2"/>
        <v> </v>
      </c>
      <c r="F4391" s="21"/>
    </row>
    <row r="4392">
      <c r="A4392" s="19">
        <v>16071.0</v>
      </c>
      <c r="B4392" s="19" t="s">
        <v>4400</v>
      </c>
      <c r="C4392" s="20">
        <v>22567.0</v>
      </c>
      <c r="D4392" s="19" t="str">
        <f t="shared" si="1"/>
        <v> </v>
      </c>
      <c r="E4392" s="19" t="str">
        <f t="shared" si="2"/>
        <v> </v>
      </c>
      <c r="F4392" s="21"/>
    </row>
    <row r="4393">
      <c r="A4393" s="19">
        <v>16072.0</v>
      </c>
      <c r="B4393" s="19" t="s">
        <v>4401</v>
      </c>
      <c r="C4393" s="20">
        <v>19202.0</v>
      </c>
      <c r="D4393" s="19" t="str">
        <f t="shared" si="1"/>
        <v> </v>
      </c>
      <c r="E4393" s="19" t="str">
        <f t="shared" si="2"/>
        <v> </v>
      </c>
      <c r="F4393" s="21"/>
    </row>
    <row r="4394">
      <c r="A4394" s="19">
        <v>16073.0</v>
      </c>
      <c r="B4394" s="19" t="s">
        <v>4402</v>
      </c>
      <c r="C4394" s="20">
        <v>15089.0</v>
      </c>
      <c r="D4394" s="19" t="str">
        <f t="shared" si="1"/>
        <v> </v>
      </c>
      <c r="E4394" s="19" t="str">
        <f t="shared" si="2"/>
        <v> </v>
      </c>
      <c r="F4394" s="21"/>
    </row>
    <row r="4395">
      <c r="A4395" s="19">
        <v>16074.0</v>
      </c>
      <c r="B4395" s="19" t="s">
        <v>4403</v>
      </c>
      <c r="C4395" s="20">
        <v>28808.0</v>
      </c>
      <c r="D4395" s="19" t="str">
        <f t="shared" si="1"/>
        <v> </v>
      </c>
      <c r="E4395" s="19" t="str">
        <f t="shared" si="2"/>
        <v> </v>
      </c>
      <c r="F4395" s="21"/>
    </row>
    <row r="4396">
      <c r="A4396" s="19">
        <v>16075.0</v>
      </c>
      <c r="B4396" s="19" t="s">
        <v>4404</v>
      </c>
      <c r="C4396" s="20">
        <v>15384.0</v>
      </c>
      <c r="D4396" s="19" t="str">
        <f t="shared" si="1"/>
        <v> </v>
      </c>
      <c r="E4396" s="19" t="str">
        <f t="shared" si="2"/>
        <v> </v>
      </c>
      <c r="F4396" s="21"/>
    </row>
    <row r="4397">
      <c r="A4397" s="19">
        <v>16076.0</v>
      </c>
      <c r="B4397" s="19" t="s">
        <v>1743</v>
      </c>
      <c r="C4397" s="20">
        <v>18911.0</v>
      </c>
      <c r="D4397" s="19" t="str">
        <f t="shared" si="1"/>
        <v>Repeat</v>
      </c>
      <c r="E4397" s="19" t="str">
        <f t="shared" si="2"/>
        <v> </v>
      </c>
      <c r="F4397" s="21"/>
    </row>
    <row r="4398">
      <c r="A4398" s="19">
        <v>16077.0</v>
      </c>
      <c r="B4398" s="19" t="s">
        <v>4405</v>
      </c>
      <c r="C4398" s="20">
        <v>32777.0</v>
      </c>
      <c r="D4398" s="19" t="str">
        <f t="shared" si="1"/>
        <v> </v>
      </c>
      <c r="E4398" s="19" t="str">
        <f t="shared" si="2"/>
        <v> </v>
      </c>
      <c r="F4398" s="21"/>
    </row>
    <row r="4399">
      <c r="A4399" s="19">
        <v>16078.0</v>
      </c>
      <c r="B4399" s="19" t="s">
        <v>4406</v>
      </c>
      <c r="C4399" s="20">
        <v>21707.0</v>
      </c>
      <c r="D4399" s="19" t="str">
        <f t="shared" si="1"/>
        <v> </v>
      </c>
      <c r="E4399" s="19" t="str">
        <f t="shared" si="2"/>
        <v> </v>
      </c>
      <c r="F4399" s="21"/>
    </row>
    <row r="4400">
      <c r="A4400" s="19">
        <v>16079.0</v>
      </c>
      <c r="B4400" s="19" t="s">
        <v>4407</v>
      </c>
      <c r="C4400" s="20">
        <v>20163.0</v>
      </c>
      <c r="D4400" s="19" t="str">
        <f t="shared" si="1"/>
        <v> </v>
      </c>
      <c r="E4400" s="19" t="str">
        <f t="shared" si="2"/>
        <v> </v>
      </c>
      <c r="F4400" s="21"/>
    </row>
    <row r="4401">
      <c r="A4401" s="19">
        <v>16080.0</v>
      </c>
      <c r="B4401" s="19" t="s">
        <v>4408</v>
      </c>
      <c r="C4401" s="20">
        <v>19123.0</v>
      </c>
      <c r="D4401" s="19" t="str">
        <f t="shared" si="1"/>
        <v> </v>
      </c>
      <c r="E4401" s="19" t="str">
        <f t="shared" si="2"/>
        <v> </v>
      </c>
      <c r="F4401" s="21"/>
    </row>
    <row r="4402">
      <c r="A4402" s="19">
        <v>16081.0</v>
      </c>
      <c r="B4402" s="19" t="s">
        <v>4409</v>
      </c>
      <c r="C4402" s="20">
        <v>18891.0</v>
      </c>
      <c r="D4402" s="19" t="str">
        <f t="shared" si="1"/>
        <v> </v>
      </c>
      <c r="E4402" s="19" t="str">
        <f t="shared" si="2"/>
        <v> </v>
      </c>
      <c r="F4402" s="21"/>
    </row>
    <row r="4403">
      <c r="A4403" s="19">
        <v>16082.0</v>
      </c>
      <c r="B4403" s="19" t="s">
        <v>4410</v>
      </c>
      <c r="C4403" s="20">
        <v>22883.0</v>
      </c>
      <c r="D4403" s="19" t="str">
        <f t="shared" si="1"/>
        <v> </v>
      </c>
      <c r="E4403" s="19" t="str">
        <f t="shared" si="2"/>
        <v> </v>
      </c>
      <c r="F4403" s="21"/>
    </row>
    <row r="4404">
      <c r="A4404" s="19">
        <v>16083.0</v>
      </c>
      <c r="B4404" s="19" t="s">
        <v>4411</v>
      </c>
      <c r="C4404" s="20">
        <v>18278.0</v>
      </c>
      <c r="D4404" s="19" t="str">
        <f t="shared" si="1"/>
        <v> </v>
      </c>
      <c r="E4404" s="19" t="str">
        <f t="shared" si="2"/>
        <v> </v>
      </c>
      <c r="F4404" s="21"/>
    </row>
    <row r="4405">
      <c r="A4405" s="19">
        <v>16084.0</v>
      </c>
      <c r="B4405" s="19" t="s">
        <v>4412</v>
      </c>
      <c r="C4405" s="20">
        <v>15012.0</v>
      </c>
      <c r="D4405" s="19" t="str">
        <f t="shared" si="1"/>
        <v> </v>
      </c>
      <c r="E4405" s="19" t="str">
        <f t="shared" si="2"/>
        <v> </v>
      </c>
      <c r="F4405" s="21"/>
    </row>
    <row r="4406">
      <c r="A4406" s="19">
        <v>16085.0</v>
      </c>
      <c r="B4406" s="19" t="s">
        <v>4413</v>
      </c>
      <c r="C4406" s="20">
        <v>31033.0</v>
      </c>
      <c r="D4406" s="19" t="str">
        <f t="shared" si="1"/>
        <v> </v>
      </c>
      <c r="E4406" s="19" t="str">
        <f t="shared" si="2"/>
        <v> </v>
      </c>
      <c r="F4406" s="21"/>
    </row>
    <row r="4407">
      <c r="A4407" s="19">
        <v>16086.0</v>
      </c>
      <c r="B4407" s="19" t="s">
        <v>4414</v>
      </c>
      <c r="C4407" s="20">
        <v>29859.0</v>
      </c>
      <c r="D4407" s="19" t="str">
        <f t="shared" si="1"/>
        <v> </v>
      </c>
      <c r="E4407" s="19" t="str">
        <f t="shared" si="2"/>
        <v> </v>
      </c>
      <c r="F4407" s="21"/>
    </row>
    <row r="4408">
      <c r="A4408" s="19">
        <v>16087.0</v>
      </c>
      <c r="B4408" s="19" t="s">
        <v>4415</v>
      </c>
      <c r="C4408" s="20">
        <v>13504.0</v>
      </c>
      <c r="D4408" s="19" t="str">
        <f t="shared" si="1"/>
        <v> </v>
      </c>
      <c r="E4408" s="19" t="str">
        <f t="shared" si="2"/>
        <v> </v>
      </c>
      <c r="F4408" s="21"/>
    </row>
    <row r="4409">
      <c r="A4409" s="19">
        <v>16088.0</v>
      </c>
      <c r="B4409" s="19" t="s">
        <v>4416</v>
      </c>
      <c r="C4409" s="20">
        <v>19588.0</v>
      </c>
      <c r="D4409" s="19" t="str">
        <f t="shared" si="1"/>
        <v> </v>
      </c>
      <c r="E4409" s="19" t="str">
        <f t="shared" si="2"/>
        <v> </v>
      </c>
      <c r="F4409" s="21"/>
    </row>
    <row r="4410">
      <c r="A4410" s="19">
        <v>16089.0</v>
      </c>
      <c r="B4410" s="19" t="s">
        <v>4417</v>
      </c>
      <c r="C4410" s="20">
        <v>16520.0</v>
      </c>
      <c r="D4410" s="19" t="str">
        <f t="shared" si="1"/>
        <v> </v>
      </c>
      <c r="E4410" s="19" t="str">
        <f t="shared" si="2"/>
        <v> </v>
      </c>
      <c r="F4410" s="21"/>
    </row>
    <row r="4411">
      <c r="A4411" s="19">
        <v>16090.0</v>
      </c>
      <c r="B4411" s="19" t="s">
        <v>4418</v>
      </c>
      <c r="C4411" s="20">
        <v>23657.0</v>
      </c>
      <c r="D4411" s="19" t="str">
        <f t="shared" si="1"/>
        <v> </v>
      </c>
      <c r="E4411" s="19" t="str">
        <f t="shared" si="2"/>
        <v> </v>
      </c>
      <c r="F4411" s="21"/>
    </row>
    <row r="4412">
      <c r="A4412" s="19">
        <v>16091.0</v>
      </c>
      <c r="B4412" s="19" t="s">
        <v>4419</v>
      </c>
      <c r="C4412" s="20">
        <v>14802.0</v>
      </c>
      <c r="D4412" s="19" t="str">
        <f t="shared" si="1"/>
        <v> </v>
      </c>
      <c r="E4412" s="19" t="str">
        <f t="shared" si="2"/>
        <v> </v>
      </c>
      <c r="F4412" s="21"/>
    </row>
    <row r="4413">
      <c r="A4413" s="19">
        <v>16092.0</v>
      </c>
      <c r="B4413" s="19" t="s">
        <v>4420</v>
      </c>
      <c r="C4413" s="20">
        <v>34952.0</v>
      </c>
      <c r="D4413" s="19" t="str">
        <f t="shared" si="1"/>
        <v> </v>
      </c>
      <c r="E4413" s="19" t="str">
        <f t="shared" si="2"/>
        <v> </v>
      </c>
      <c r="F4413" s="21"/>
    </row>
    <row r="4414">
      <c r="A4414" s="19">
        <v>16095.0</v>
      </c>
      <c r="B4414" s="19" t="s">
        <v>4421</v>
      </c>
      <c r="C4414" s="20">
        <v>28569.0</v>
      </c>
      <c r="D4414" s="19" t="str">
        <f t="shared" si="1"/>
        <v> </v>
      </c>
      <c r="E4414" s="19" t="str">
        <f t="shared" si="2"/>
        <v> </v>
      </c>
      <c r="F4414" s="21"/>
    </row>
    <row r="4415">
      <c r="A4415" s="19">
        <v>16096.0</v>
      </c>
      <c r="B4415" s="19" t="s">
        <v>4422</v>
      </c>
      <c r="C4415" s="20">
        <v>30163.0</v>
      </c>
      <c r="D4415" s="19" t="str">
        <f t="shared" si="1"/>
        <v> </v>
      </c>
      <c r="E4415" s="19" t="str">
        <f t="shared" si="2"/>
        <v> </v>
      </c>
      <c r="F4415" s="21"/>
    </row>
    <row r="4416">
      <c r="A4416" s="19">
        <v>16097.0</v>
      </c>
      <c r="B4416" s="19" t="s">
        <v>4423</v>
      </c>
      <c r="C4416" s="20">
        <v>19149.0</v>
      </c>
      <c r="D4416" s="19" t="str">
        <f t="shared" si="1"/>
        <v> </v>
      </c>
      <c r="E4416" s="19" t="str">
        <f t="shared" si="2"/>
        <v> </v>
      </c>
      <c r="F4416" s="21"/>
    </row>
    <row r="4417">
      <c r="A4417" s="19">
        <v>16098.0</v>
      </c>
      <c r="B4417" s="19" t="s">
        <v>1683</v>
      </c>
      <c r="C4417" s="20">
        <v>23770.0</v>
      </c>
      <c r="D4417" s="19" t="str">
        <f t="shared" si="1"/>
        <v>Repeat</v>
      </c>
      <c r="E4417" s="19" t="str">
        <f t="shared" si="2"/>
        <v> </v>
      </c>
      <c r="F4417" s="21"/>
    </row>
    <row r="4418">
      <c r="A4418" s="19">
        <v>16099.0</v>
      </c>
      <c r="B4418" s="19" t="s">
        <v>4424</v>
      </c>
      <c r="C4418" s="20">
        <v>11453.0</v>
      </c>
      <c r="D4418" s="19" t="str">
        <f t="shared" si="1"/>
        <v> </v>
      </c>
      <c r="E4418" s="19" t="str">
        <f t="shared" si="2"/>
        <v> </v>
      </c>
      <c r="F4418" s="21"/>
    </row>
    <row r="4419">
      <c r="A4419" s="19">
        <v>16100.0</v>
      </c>
      <c r="B4419" s="19" t="s">
        <v>4425</v>
      </c>
      <c r="C4419" s="20">
        <v>17443.0</v>
      </c>
      <c r="D4419" s="19" t="str">
        <f t="shared" si="1"/>
        <v> </v>
      </c>
      <c r="E4419" s="19" t="str">
        <f t="shared" si="2"/>
        <v> </v>
      </c>
      <c r="F4419" s="21"/>
    </row>
    <row r="4420">
      <c r="A4420" s="19">
        <v>16103.0</v>
      </c>
      <c r="B4420" s="19" t="s">
        <v>4426</v>
      </c>
      <c r="C4420" s="20">
        <v>16250.0</v>
      </c>
      <c r="D4420" s="19" t="str">
        <f t="shared" si="1"/>
        <v> </v>
      </c>
      <c r="E4420" s="19" t="str">
        <f t="shared" si="2"/>
        <v> </v>
      </c>
      <c r="F4420" s="21"/>
    </row>
    <row r="4421">
      <c r="A4421" s="19">
        <v>16104.0</v>
      </c>
      <c r="B4421" s="19" t="s">
        <v>4427</v>
      </c>
      <c r="C4421" s="20">
        <v>22488.0</v>
      </c>
      <c r="D4421" s="19" t="str">
        <f t="shared" si="1"/>
        <v> </v>
      </c>
      <c r="E4421" s="19" t="str">
        <f t="shared" si="2"/>
        <v> </v>
      </c>
      <c r="F4421" s="21"/>
    </row>
    <row r="4422">
      <c r="A4422" s="19">
        <v>16105.0</v>
      </c>
      <c r="B4422" s="19" t="s">
        <v>4428</v>
      </c>
      <c r="C4422" s="20">
        <v>32961.0</v>
      </c>
      <c r="D4422" s="19" t="str">
        <f t="shared" si="1"/>
        <v> </v>
      </c>
      <c r="E4422" s="19" t="str">
        <f t="shared" si="2"/>
        <v> </v>
      </c>
      <c r="F4422" s="21"/>
    </row>
    <row r="4423">
      <c r="A4423" s="19">
        <v>16106.0</v>
      </c>
      <c r="B4423" s="19" t="s">
        <v>4429</v>
      </c>
      <c r="C4423" s="20">
        <v>23484.0</v>
      </c>
      <c r="D4423" s="19" t="str">
        <f t="shared" si="1"/>
        <v> </v>
      </c>
      <c r="E4423" s="19" t="str">
        <f t="shared" si="2"/>
        <v> </v>
      </c>
      <c r="F4423" s="21"/>
    </row>
    <row r="4424">
      <c r="A4424" s="19">
        <v>16107.0</v>
      </c>
      <c r="B4424" s="19" t="s">
        <v>4430</v>
      </c>
      <c r="C4424" s="20">
        <v>14998.0</v>
      </c>
      <c r="D4424" s="19" t="str">
        <f t="shared" si="1"/>
        <v> </v>
      </c>
      <c r="E4424" s="19" t="str">
        <f t="shared" si="2"/>
        <v> </v>
      </c>
      <c r="F4424" s="21"/>
    </row>
    <row r="4425">
      <c r="A4425" s="19">
        <v>16108.0</v>
      </c>
      <c r="B4425" s="19" t="s">
        <v>4431</v>
      </c>
      <c r="C4425" s="20">
        <v>17951.0</v>
      </c>
      <c r="D4425" s="19" t="str">
        <f t="shared" si="1"/>
        <v> </v>
      </c>
      <c r="E4425" s="19" t="str">
        <f t="shared" si="2"/>
        <v> </v>
      </c>
      <c r="F4425" s="21"/>
    </row>
    <row r="4426">
      <c r="A4426" s="19">
        <v>16109.0</v>
      </c>
      <c r="B4426" s="19" t="s">
        <v>4432</v>
      </c>
      <c r="C4426" s="20">
        <v>30960.0</v>
      </c>
      <c r="D4426" s="19" t="str">
        <f t="shared" si="1"/>
        <v> </v>
      </c>
      <c r="E4426" s="19" t="str">
        <f t="shared" si="2"/>
        <v> </v>
      </c>
      <c r="F4426" s="21"/>
    </row>
    <row r="4427">
      <c r="A4427" s="19">
        <v>16111.0</v>
      </c>
      <c r="B4427" s="19" t="s">
        <v>4433</v>
      </c>
      <c r="C4427" s="20">
        <v>27323.0</v>
      </c>
      <c r="D4427" s="19" t="str">
        <f t="shared" si="1"/>
        <v> </v>
      </c>
      <c r="E4427" s="19" t="str">
        <f t="shared" si="2"/>
        <v> </v>
      </c>
      <c r="F4427" s="21"/>
    </row>
    <row r="4428">
      <c r="A4428" s="19">
        <v>16112.0</v>
      </c>
      <c r="B4428" s="19" t="s">
        <v>4434</v>
      </c>
      <c r="C4428" s="20">
        <v>19667.0</v>
      </c>
      <c r="D4428" s="19" t="str">
        <f t="shared" si="1"/>
        <v> </v>
      </c>
      <c r="E4428" s="19" t="str">
        <f t="shared" si="2"/>
        <v> </v>
      </c>
      <c r="F4428" s="21"/>
    </row>
    <row r="4429">
      <c r="A4429" s="19">
        <v>16113.0</v>
      </c>
      <c r="B4429" s="19" t="s">
        <v>4435</v>
      </c>
      <c r="C4429" s="20">
        <v>19846.0</v>
      </c>
      <c r="D4429" s="19" t="str">
        <f t="shared" si="1"/>
        <v> </v>
      </c>
      <c r="E4429" s="19" t="str">
        <f t="shared" si="2"/>
        <v> </v>
      </c>
      <c r="F4429" s="21"/>
    </row>
    <row r="4430">
      <c r="A4430" s="19">
        <v>16114.0</v>
      </c>
      <c r="B4430" s="19" t="s">
        <v>4436</v>
      </c>
      <c r="C4430" s="20">
        <v>35491.0</v>
      </c>
      <c r="D4430" s="19" t="str">
        <f t="shared" si="1"/>
        <v> </v>
      </c>
      <c r="E4430" s="19" t="str">
        <f t="shared" si="2"/>
        <v> </v>
      </c>
      <c r="F4430" s="21"/>
    </row>
    <row r="4431">
      <c r="A4431" s="19">
        <v>16115.0</v>
      </c>
      <c r="B4431" s="19" t="s">
        <v>4437</v>
      </c>
      <c r="C4431" s="20">
        <v>15091.0</v>
      </c>
      <c r="D4431" s="19" t="str">
        <f t="shared" si="1"/>
        <v> </v>
      </c>
      <c r="E4431" s="19" t="str">
        <f t="shared" si="2"/>
        <v> </v>
      </c>
      <c r="F4431" s="21"/>
    </row>
    <row r="4432">
      <c r="A4432" s="19">
        <v>16116.0</v>
      </c>
      <c r="B4432" s="19" t="s">
        <v>4438</v>
      </c>
      <c r="C4432" s="20">
        <v>18323.0</v>
      </c>
      <c r="D4432" s="19" t="str">
        <f t="shared" si="1"/>
        <v> </v>
      </c>
      <c r="E4432" s="19" t="str">
        <f t="shared" si="2"/>
        <v> </v>
      </c>
      <c r="F4432" s="21"/>
    </row>
    <row r="4433">
      <c r="A4433" s="19">
        <v>16117.0</v>
      </c>
      <c r="B4433" s="19" t="s">
        <v>4439</v>
      </c>
      <c r="C4433" s="20">
        <v>21870.0</v>
      </c>
      <c r="D4433" s="19" t="str">
        <f t="shared" si="1"/>
        <v> </v>
      </c>
      <c r="E4433" s="19" t="str">
        <f t="shared" si="2"/>
        <v> </v>
      </c>
      <c r="F4433" s="21"/>
    </row>
    <row r="4434">
      <c r="A4434" s="19">
        <v>16118.0</v>
      </c>
      <c r="B4434" s="19" t="s">
        <v>4440</v>
      </c>
      <c r="C4434" s="20">
        <v>26651.0</v>
      </c>
      <c r="D4434" s="19" t="str">
        <f t="shared" si="1"/>
        <v> </v>
      </c>
      <c r="E4434" s="19" t="str">
        <f t="shared" si="2"/>
        <v> </v>
      </c>
      <c r="F4434" s="21"/>
    </row>
    <row r="4435">
      <c r="A4435" s="19">
        <v>16119.0</v>
      </c>
      <c r="B4435" s="19" t="s">
        <v>4441</v>
      </c>
      <c r="C4435" s="20">
        <v>22435.0</v>
      </c>
      <c r="D4435" s="19" t="str">
        <f t="shared" si="1"/>
        <v> </v>
      </c>
      <c r="E4435" s="19" t="str">
        <f t="shared" si="2"/>
        <v> </v>
      </c>
      <c r="F4435" s="21"/>
    </row>
    <row r="4436">
      <c r="A4436" s="19">
        <v>16120.0</v>
      </c>
      <c r="B4436" s="19" t="s">
        <v>4442</v>
      </c>
      <c r="C4436" s="20">
        <v>27886.0</v>
      </c>
      <c r="D4436" s="19" t="str">
        <f t="shared" si="1"/>
        <v> </v>
      </c>
      <c r="E4436" s="19" t="str">
        <f t="shared" si="2"/>
        <v> </v>
      </c>
      <c r="F4436" s="21"/>
    </row>
    <row r="4437">
      <c r="A4437" s="19">
        <v>16121.0</v>
      </c>
      <c r="B4437" s="19" t="s">
        <v>4443</v>
      </c>
      <c r="C4437" s="20">
        <v>18931.0</v>
      </c>
      <c r="D4437" s="19" t="str">
        <f t="shared" si="1"/>
        <v> </v>
      </c>
      <c r="E4437" s="19" t="str">
        <f t="shared" si="2"/>
        <v> </v>
      </c>
      <c r="F4437" s="21"/>
    </row>
    <row r="4438">
      <c r="A4438" s="19">
        <v>16122.0</v>
      </c>
      <c r="B4438" s="19" t="s">
        <v>4444</v>
      </c>
      <c r="C4438" s="20">
        <v>31911.0</v>
      </c>
      <c r="D4438" s="19" t="str">
        <f t="shared" si="1"/>
        <v> </v>
      </c>
      <c r="E4438" s="19" t="str">
        <f t="shared" si="2"/>
        <v> </v>
      </c>
      <c r="F4438" s="21"/>
    </row>
    <row r="4439">
      <c r="A4439" s="19">
        <v>16123.0</v>
      </c>
      <c r="B4439" s="19" t="s">
        <v>4445</v>
      </c>
      <c r="C4439" s="20">
        <v>25164.0</v>
      </c>
      <c r="D4439" s="19" t="str">
        <f t="shared" si="1"/>
        <v> </v>
      </c>
      <c r="E4439" s="19" t="str">
        <f t="shared" si="2"/>
        <v> </v>
      </c>
      <c r="F4439" s="21"/>
    </row>
    <row r="4440">
      <c r="A4440" s="19">
        <v>16124.0</v>
      </c>
      <c r="B4440" s="19" t="s">
        <v>4446</v>
      </c>
      <c r="C4440" s="20">
        <v>16746.0</v>
      </c>
      <c r="D4440" s="19" t="str">
        <f t="shared" si="1"/>
        <v> </v>
      </c>
      <c r="E4440" s="19" t="str">
        <f t="shared" si="2"/>
        <v> </v>
      </c>
      <c r="F4440" s="21"/>
    </row>
    <row r="4441">
      <c r="A4441" s="19">
        <v>16125.0</v>
      </c>
      <c r="B4441" s="19" t="s">
        <v>4447</v>
      </c>
      <c r="C4441" s="20">
        <v>21786.0</v>
      </c>
      <c r="D4441" s="19" t="str">
        <f t="shared" si="1"/>
        <v> </v>
      </c>
      <c r="E4441" s="19" t="str">
        <f t="shared" si="2"/>
        <v> </v>
      </c>
      <c r="F4441" s="21"/>
    </row>
    <row r="4442">
      <c r="A4442" s="19">
        <v>16126.0</v>
      </c>
      <c r="B4442" s="19" t="s">
        <v>4448</v>
      </c>
      <c r="C4442" s="20">
        <v>18371.0</v>
      </c>
      <c r="D4442" s="19" t="str">
        <f t="shared" si="1"/>
        <v> </v>
      </c>
      <c r="E4442" s="19" t="str">
        <f t="shared" si="2"/>
        <v> </v>
      </c>
      <c r="F4442" s="21"/>
    </row>
    <row r="4443">
      <c r="A4443" s="19">
        <v>16127.0</v>
      </c>
      <c r="B4443" s="19" t="s">
        <v>4449</v>
      </c>
      <c r="C4443" s="20">
        <v>14684.0</v>
      </c>
      <c r="D4443" s="19" t="str">
        <f t="shared" si="1"/>
        <v> </v>
      </c>
      <c r="E4443" s="19" t="str">
        <f t="shared" si="2"/>
        <v> </v>
      </c>
      <c r="F4443" s="21"/>
    </row>
    <row r="4444">
      <c r="A4444" s="19">
        <v>16128.0</v>
      </c>
      <c r="B4444" s="19" t="s">
        <v>4450</v>
      </c>
      <c r="C4444" s="20">
        <v>16663.0</v>
      </c>
      <c r="D4444" s="19" t="str">
        <f t="shared" si="1"/>
        <v> </v>
      </c>
      <c r="E4444" s="19" t="str">
        <f t="shared" si="2"/>
        <v> </v>
      </c>
      <c r="F4444" s="21"/>
    </row>
    <row r="4445">
      <c r="A4445" s="19">
        <v>16129.0</v>
      </c>
      <c r="B4445" s="19" t="s">
        <v>4451</v>
      </c>
      <c r="C4445" s="20">
        <v>22600.0</v>
      </c>
      <c r="D4445" s="19" t="str">
        <f t="shared" si="1"/>
        <v> </v>
      </c>
      <c r="E4445" s="19" t="str">
        <f t="shared" si="2"/>
        <v> </v>
      </c>
      <c r="F4445" s="21"/>
    </row>
    <row r="4446">
      <c r="A4446" s="19">
        <v>16130.0</v>
      </c>
      <c r="B4446" s="19" t="s">
        <v>4452</v>
      </c>
      <c r="C4446" s="20">
        <v>11757.0</v>
      </c>
      <c r="D4446" s="19" t="str">
        <f t="shared" si="1"/>
        <v> </v>
      </c>
      <c r="E4446" s="19" t="str">
        <f t="shared" si="2"/>
        <v> </v>
      </c>
      <c r="F4446" s="21"/>
    </row>
    <row r="4447">
      <c r="A4447" s="19">
        <v>16131.0</v>
      </c>
      <c r="B4447" s="19" t="s">
        <v>4453</v>
      </c>
      <c r="C4447" s="20">
        <v>24979.0</v>
      </c>
      <c r="D4447" s="19" t="str">
        <f t="shared" si="1"/>
        <v> </v>
      </c>
      <c r="E4447" s="19" t="str">
        <f t="shared" si="2"/>
        <v> </v>
      </c>
      <c r="F4447" s="21"/>
    </row>
    <row r="4448">
      <c r="A4448" s="19">
        <v>16132.0</v>
      </c>
      <c r="B4448" s="19" t="s">
        <v>4454</v>
      </c>
      <c r="C4448" s="20">
        <v>27950.0</v>
      </c>
      <c r="D4448" s="19" t="str">
        <f t="shared" si="1"/>
        <v> </v>
      </c>
      <c r="E4448" s="19" t="str">
        <f t="shared" si="2"/>
        <v> </v>
      </c>
      <c r="F4448" s="21"/>
    </row>
    <row r="4449">
      <c r="A4449" s="19">
        <v>16133.0</v>
      </c>
      <c r="B4449" s="19" t="s">
        <v>4455</v>
      </c>
      <c r="C4449" s="20">
        <v>25822.0</v>
      </c>
      <c r="D4449" s="19" t="str">
        <f t="shared" si="1"/>
        <v> </v>
      </c>
      <c r="E4449" s="19" t="str">
        <f t="shared" si="2"/>
        <v> </v>
      </c>
      <c r="F4449" s="21"/>
    </row>
    <row r="4450">
      <c r="A4450" s="19">
        <v>16134.0</v>
      </c>
      <c r="B4450" s="19" t="s">
        <v>4456</v>
      </c>
      <c r="C4450" s="20">
        <v>13744.0</v>
      </c>
      <c r="D4450" s="19" t="str">
        <f t="shared" si="1"/>
        <v> </v>
      </c>
      <c r="E4450" s="19" t="str">
        <f t="shared" si="2"/>
        <v> </v>
      </c>
      <c r="F4450" s="21"/>
    </row>
    <row r="4451">
      <c r="A4451" s="19">
        <v>16135.0</v>
      </c>
      <c r="B4451" s="19" t="s">
        <v>4457</v>
      </c>
      <c r="C4451" s="20">
        <v>26455.0</v>
      </c>
      <c r="D4451" s="19" t="str">
        <f t="shared" si="1"/>
        <v> </v>
      </c>
      <c r="E4451" s="19" t="str">
        <f t="shared" si="2"/>
        <v> </v>
      </c>
      <c r="F4451" s="21"/>
    </row>
    <row r="4452">
      <c r="A4452" s="19">
        <v>16136.0</v>
      </c>
      <c r="B4452" s="19" t="s">
        <v>4458</v>
      </c>
      <c r="C4452" s="20">
        <v>24666.0</v>
      </c>
      <c r="D4452" s="19" t="str">
        <f t="shared" si="1"/>
        <v> </v>
      </c>
      <c r="E4452" s="19" t="str">
        <f t="shared" si="2"/>
        <v> </v>
      </c>
      <c r="F4452" s="21"/>
    </row>
    <row r="4453">
      <c r="A4453" s="19">
        <v>16138.0</v>
      </c>
      <c r="B4453" s="19" t="s">
        <v>4459</v>
      </c>
      <c r="C4453" s="20">
        <v>31240.0</v>
      </c>
      <c r="D4453" s="19" t="str">
        <f t="shared" si="1"/>
        <v> </v>
      </c>
      <c r="E4453" s="19" t="str">
        <f t="shared" si="2"/>
        <v> </v>
      </c>
      <c r="F4453" s="21"/>
    </row>
    <row r="4454">
      <c r="A4454" s="19">
        <v>16139.0</v>
      </c>
      <c r="B4454" s="19" t="s">
        <v>4460</v>
      </c>
      <c r="C4454" s="20">
        <v>31019.0</v>
      </c>
      <c r="D4454" s="19" t="str">
        <f t="shared" si="1"/>
        <v> </v>
      </c>
      <c r="E4454" s="19" t="str">
        <f t="shared" si="2"/>
        <v>Repeat</v>
      </c>
      <c r="F4454" s="21"/>
    </row>
    <row r="4455">
      <c r="A4455" s="19">
        <v>16140.0</v>
      </c>
      <c r="B4455" s="19" t="s">
        <v>4461</v>
      </c>
      <c r="C4455" s="20">
        <v>19835.0</v>
      </c>
      <c r="D4455" s="19" t="str">
        <f t="shared" si="1"/>
        <v> </v>
      </c>
      <c r="E4455" s="19" t="str">
        <f t="shared" si="2"/>
        <v> </v>
      </c>
      <c r="F4455" s="21"/>
    </row>
    <row r="4456">
      <c r="A4456" s="19">
        <v>16142.0</v>
      </c>
      <c r="B4456" s="19" t="s">
        <v>4462</v>
      </c>
      <c r="C4456" s="20">
        <v>28443.0</v>
      </c>
      <c r="D4456" s="19" t="str">
        <f t="shared" si="1"/>
        <v> </v>
      </c>
      <c r="E4456" s="19" t="str">
        <f t="shared" si="2"/>
        <v> </v>
      </c>
      <c r="F4456" s="21"/>
    </row>
    <row r="4457">
      <c r="A4457" s="19">
        <v>16145.0</v>
      </c>
      <c r="B4457" s="19" t="s">
        <v>4463</v>
      </c>
      <c r="C4457" s="20">
        <v>28048.0</v>
      </c>
      <c r="D4457" s="19" t="str">
        <f t="shared" si="1"/>
        <v> </v>
      </c>
      <c r="E4457" s="19" t="str">
        <f t="shared" si="2"/>
        <v> </v>
      </c>
      <c r="F4457" s="21"/>
    </row>
    <row r="4458">
      <c r="A4458" s="19">
        <v>16147.0</v>
      </c>
      <c r="B4458" s="19" t="s">
        <v>4464</v>
      </c>
      <c r="C4458" s="20">
        <v>21509.0</v>
      </c>
      <c r="D4458" s="19" t="str">
        <f t="shared" si="1"/>
        <v> </v>
      </c>
      <c r="E4458" s="19" t="str">
        <f t="shared" si="2"/>
        <v> </v>
      </c>
      <c r="F4458" s="21"/>
    </row>
    <row r="4459">
      <c r="A4459" s="19">
        <v>16148.0</v>
      </c>
      <c r="B4459" s="19" t="s">
        <v>4465</v>
      </c>
      <c r="C4459" s="20">
        <v>20613.0</v>
      </c>
      <c r="D4459" s="19" t="str">
        <f t="shared" si="1"/>
        <v> </v>
      </c>
      <c r="E4459" s="19" t="str">
        <f t="shared" si="2"/>
        <v> </v>
      </c>
      <c r="F4459" s="21"/>
    </row>
    <row r="4460">
      <c r="A4460" s="19">
        <v>16149.0</v>
      </c>
      <c r="B4460" s="19" t="s">
        <v>4466</v>
      </c>
      <c r="C4460" s="20">
        <v>14652.0</v>
      </c>
      <c r="D4460" s="19" t="str">
        <f t="shared" si="1"/>
        <v> </v>
      </c>
      <c r="E4460" s="19" t="str">
        <f t="shared" si="2"/>
        <v> </v>
      </c>
      <c r="F4460" s="21"/>
    </row>
    <row r="4461">
      <c r="A4461" s="19">
        <v>16150.0</v>
      </c>
      <c r="B4461" s="19" t="s">
        <v>4467</v>
      </c>
      <c r="C4461" s="20">
        <v>12095.0</v>
      </c>
      <c r="D4461" s="19" t="str">
        <f t="shared" si="1"/>
        <v> </v>
      </c>
      <c r="E4461" s="19" t="str">
        <f t="shared" si="2"/>
        <v> </v>
      </c>
      <c r="F4461" s="21"/>
    </row>
    <row r="4462">
      <c r="A4462" s="19">
        <v>16151.0</v>
      </c>
      <c r="B4462" s="19" t="s">
        <v>720</v>
      </c>
      <c r="C4462" s="20">
        <v>11393.0</v>
      </c>
      <c r="D4462" s="19" t="str">
        <f t="shared" si="1"/>
        <v>Repeat</v>
      </c>
      <c r="E4462" s="19" t="str">
        <f t="shared" si="2"/>
        <v> </v>
      </c>
      <c r="F4462" s="21"/>
    </row>
    <row r="4463">
      <c r="A4463" s="19">
        <v>16152.0</v>
      </c>
      <c r="B4463" s="19" t="s">
        <v>4468</v>
      </c>
      <c r="C4463" s="20">
        <v>20475.0</v>
      </c>
      <c r="D4463" s="19" t="str">
        <f t="shared" si="1"/>
        <v> </v>
      </c>
      <c r="E4463" s="19" t="str">
        <f t="shared" si="2"/>
        <v> </v>
      </c>
      <c r="F4463" s="21"/>
    </row>
    <row r="4464">
      <c r="A4464" s="19">
        <v>16153.0</v>
      </c>
      <c r="B4464" s="19" t="s">
        <v>4469</v>
      </c>
      <c r="C4464" s="20">
        <v>19614.0</v>
      </c>
      <c r="D4464" s="19" t="str">
        <f t="shared" si="1"/>
        <v> </v>
      </c>
      <c r="E4464" s="19" t="str">
        <f t="shared" si="2"/>
        <v> </v>
      </c>
      <c r="F4464" s="21"/>
    </row>
    <row r="4465">
      <c r="A4465" s="19">
        <v>16154.0</v>
      </c>
      <c r="B4465" s="19" t="s">
        <v>4470</v>
      </c>
      <c r="C4465" s="20">
        <v>21842.0</v>
      </c>
      <c r="D4465" s="19" t="str">
        <f t="shared" si="1"/>
        <v> </v>
      </c>
      <c r="E4465" s="19" t="str">
        <f t="shared" si="2"/>
        <v> </v>
      </c>
      <c r="F4465" s="21"/>
    </row>
    <row r="4466">
      <c r="A4466" s="19">
        <v>16155.0</v>
      </c>
      <c r="B4466" s="19" t="s">
        <v>4471</v>
      </c>
      <c r="C4466" s="20">
        <v>25004.0</v>
      </c>
      <c r="D4466" s="19" t="str">
        <f t="shared" si="1"/>
        <v> </v>
      </c>
      <c r="E4466" s="19" t="str">
        <f t="shared" si="2"/>
        <v> </v>
      </c>
      <c r="F4466" s="21"/>
    </row>
    <row r="4467">
      <c r="A4467" s="19">
        <v>16156.0</v>
      </c>
      <c r="B4467" s="19" t="s">
        <v>4472</v>
      </c>
      <c r="C4467" s="20">
        <v>29705.0</v>
      </c>
      <c r="D4467" s="19" t="str">
        <f t="shared" si="1"/>
        <v> </v>
      </c>
      <c r="E4467" s="19" t="str">
        <f t="shared" si="2"/>
        <v> </v>
      </c>
      <c r="F4467" s="21"/>
    </row>
    <row r="4468">
      <c r="A4468" s="19">
        <v>16157.0</v>
      </c>
      <c r="B4468" s="19" t="s">
        <v>4473</v>
      </c>
      <c r="C4468" s="20">
        <v>22862.0</v>
      </c>
      <c r="D4468" s="19" t="str">
        <f t="shared" si="1"/>
        <v> </v>
      </c>
      <c r="E4468" s="19" t="str">
        <f t="shared" si="2"/>
        <v> </v>
      </c>
      <c r="F4468" s="21"/>
    </row>
    <row r="4469">
      <c r="A4469" s="19">
        <v>16158.0</v>
      </c>
      <c r="B4469" s="19" t="s">
        <v>4474</v>
      </c>
      <c r="C4469" s="20">
        <v>32270.0</v>
      </c>
      <c r="D4469" s="19" t="str">
        <f t="shared" si="1"/>
        <v> </v>
      </c>
      <c r="E4469" s="19" t="str">
        <f t="shared" si="2"/>
        <v> </v>
      </c>
      <c r="F4469" s="21"/>
    </row>
    <row r="4470">
      <c r="A4470" s="19">
        <v>16159.0</v>
      </c>
      <c r="B4470" s="19" t="s">
        <v>4475</v>
      </c>
      <c r="C4470" s="20">
        <v>13470.0</v>
      </c>
      <c r="D4470" s="19" t="str">
        <f t="shared" si="1"/>
        <v> </v>
      </c>
      <c r="E4470" s="19" t="str">
        <f t="shared" si="2"/>
        <v> </v>
      </c>
      <c r="F4470" s="21"/>
    </row>
    <row r="4471">
      <c r="A4471" s="19">
        <v>16160.0</v>
      </c>
      <c r="B4471" s="19" t="s">
        <v>4476</v>
      </c>
      <c r="C4471" s="20">
        <v>15366.0</v>
      </c>
      <c r="D4471" s="19" t="str">
        <f t="shared" si="1"/>
        <v> </v>
      </c>
      <c r="E4471" s="19" t="str">
        <f t="shared" si="2"/>
        <v> </v>
      </c>
      <c r="F4471" s="21"/>
    </row>
    <row r="4472">
      <c r="A4472" s="19">
        <v>16161.0</v>
      </c>
      <c r="B4472" s="19" t="s">
        <v>4477</v>
      </c>
      <c r="C4472" s="20">
        <v>22085.0</v>
      </c>
      <c r="D4472" s="19" t="str">
        <f t="shared" si="1"/>
        <v> </v>
      </c>
      <c r="E4472" s="19" t="str">
        <f t="shared" si="2"/>
        <v> </v>
      </c>
      <c r="F4472" s="21"/>
    </row>
    <row r="4473">
      <c r="A4473" s="19">
        <v>16163.0</v>
      </c>
      <c r="B4473" s="19" t="s">
        <v>4478</v>
      </c>
      <c r="C4473" s="20">
        <v>30495.0</v>
      </c>
      <c r="D4473" s="19" t="str">
        <f t="shared" si="1"/>
        <v> </v>
      </c>
      <c r="E4473" s="19" t="str">
        <f t="shared" si="2"/>
        <v> </v>
      </c>
      <c r="F4473" s="21"/>
    </row>
    <row r="4474">
      <c r="A4474" s="19">
        <v>16164.0</v>
      </c>
      <c r="B4474" s="19" t="s">
        <v>4479</v>
      </c>
      <c r="C4474" s="20">
        <v>35660.0</v>
      </c>
      <c r="D4474" s="19" t="str">
        <f t="shared" si="1"/>
        <v> </v>
      </c>
      <c r="E4474" s="19" t="str">
        <f t="shared" si="2"/>
        <v> </v>
      </c>
      <c r="F4474" s="21"/>
    </row>
    <row r="4475">
      <c r="A4475" s="19">
        <v>16165.0</v>
      </c>
      <c r="B4475" s="19" t="s">
        <v>4480</v>
      </c>
      <c r="C4475" s="20">
        <v>20739.0</v>
      </c>
      <c r="D4475" s="19" t="str">
        <f t="shared" si="1"/>
        <v> </v>
      </c>
      <c r="E4475" s="19" t="str">
        <f t="shared" si="2"/>
        <v> </v>
      </c>
      <c r="F4475" s="21"/>
    </row>
    <row r="4476">
      <c r="A4476" s="19">
        <v>16166.0</v>
      </c>
      <c r="B4476" s="19" t="s">
        <v>4481</v>
      </c>
      <c r="C4476" s="20">
        <v>21767.0</v>
      </c>
      <c r="D4476" s="19" t="str">
        <f t="shared" si="1"/>
        <v> </v>
      </c>
      <c r="E4476" s="19" t="str">
        <f t="shared" si="2"/>
        <v> </v>
      </c>
      <c r="F4476" s="21"/>
    </row>
    <row r="4477">
      <c r="A4477" s="19">
        <v>16167.0</v>
      </c>
      <c r="B4477" s="19" t="s">
        <v>4482</v>
      </c>
      <c r="C4477" s="20">
        <v>19877.0</v>
      </c>
      <c r="D4477" s="19" t="str">
        <f t="shared" si="1"/>
        <v> </v>
      </c>
      <c r="E4477" s="19" t="str">
        <f t="shared" si="2"/>
        <v> </v>
      </c>
      <c r="F4477" s="21"/>
    </row>
    <row r="4478">
      <c r="A4478" s="19">
        <v>16170.0</v>
      </c>
      <c r="B4478" s="19" t="s">
        <v>4483</v>
      </c>
      <c r="C4478" s="20">
        <v>14821.0</v>
      </c>
      <c r="D4478" s="19" t="str">
        <f t="shared" si="1"/>
        <v> </v>
      </c>
      <c r="E4478" s="19" t="str">
        <f t="shared" si="2"/>
        <v> </v>
      </c>
      <c r="F4478" s="21"/>
    </row>
    <row r="4479">
      <c r="A4479" s="19">
        <v>16171.0</v>
      </c>
      <c r="B4479" s="19" t="s">
        <v>4484</v>
      </c>
      <c r="C4479" s="20">
        <v>23762.0</v>
      </c>
      <c r="D4479" s="19" t="str">
        <f t="shared" si="1"/>
        <v> </v>
      </c>
      <c r="E4479" s="19" t="str">
        <f t="shared" si="2"/>
        <v> </v>
      </c>
      <c r="F4479" s="21"/>
    </row>
    <row r="4480">
      <c r="A4480" s="19">
        <v>16172.0</v>
      </c>
      <c r="B4480" s="19" t="s">
        <v>4485</v>
      </c>
      <c r="C4480" s="20">
        <v>28162.0</v>
      </c>
      <c r="D4480" s="19" t="str">
        <f t="shared" si="1"/>
        <v> </v>
      </c>
      <c r="E4480" s="19" t="str">
        <f t="shared" si="2"/>
        <v> </v>
      </c>
      <c r="F4480" s="21"/>
    </row>
    <row r="4481">
      <c r="A4481" s="19">
        <v>16173.0</v>
      </c>
      <c r="B4481" s="19" t="s">
        <v>4486</v>
      </c>
      <c r="C4481" s="20">
        <v>28506.0</v>
      </c>
      <c r="D4481" s="19" t="str">
        <f t="shared" si="1"/>
        <v> </v>
      </c>
      <c r="E4481" s="19" t="str">
        <f t="shared" si="2"/>
        <v> </v>
      </c>
      <c r="F4481" s="21"/>
    </row>
    <row r="4482">
      <c r="A4482" s="19">
        <v>16174.0</v>
      </c>
      <c r="B4482" s="19" t="s">
        <v>4487</v>
      </c>
      <c r="C4482" s="20">
        <v>29733.0</v>
      </c>
      <c r="D4482" s="19" t="str">
        <f t="shared" si="1"/>
        <v> </v>
      </c>
      <c r="E4482" s="19" t="str">
        <f t="shared" si="2"/>
        <v> </v>
      </c>
      <c r="F4482" s="21"/>
    </row>
    <row r="4483">
      <c r="A4483" s="19">
        <v>16175.0</v>
      </c>
      <c r="B4483" s="19" t="s">
        <v>4488</v>
      </c>
      <c r="C4483" s="20">
        <v>15210.0</v>
      </c>
      <c r="D4483" s="19" t="str">
        <f t="shared" si="1"/>
        <v> </v>
      </c>
      <c r="E4483" s="19" t="str">
        <f t="shared" si="2"/>
        <v> </v>
      </c>
      <c r="F4483" s="21"/>
    </row>
    <row r="4484">
      <c r="A4484" s="19">
        <v>16176.0</v>
      </c>
      <c r="B4484" s="19" t="s">
        <v>4489</v>
      </c>
      <c r="C4484" s="20">
        <v>24766.0</v>
      </c>
      <c r="D4484" s="19" t="str">
        <f t="shared" si="1"/>
        <v> </v>
      </c>
      <c r="E4484" s="19" t="str">
        <f t="shared" si="2"/>
        <v> </v>
      </c>
      <c r="F4484" s="21"/>
    </row>
    <row r="4485">
      <c r="A4485" s="19">
        <v>16177.0</v>
      </c>
      <c r="B4485" s="19" t="s">
        <v>4490</v>
      </c>
      <c r="C4485" s="20">
        <v>15455.0</v>
      </c>
      <c r="D4485" s="19" t="str">
        <f t="shared" si="1"/>
        <v> </v>
      </c>
      <c r="E4485" s="19" t="str">
        <f t="shared" si="2"/>
        <v> </v>
      </c>
      <c r="F4485" s="21"/>
    </row>
    <row r="4486">
      <c r="A4486" s="19">
        <v>16178.0</v>
      </c>
      <c r="B4486" s="19" t="s">
        <v>4491</v>
      </c>
      <c r="C4486" s="20">
        <v>16356.0</v>
      </c>
      <c r="D4486" s="19" t="str">
        <f t="shared" si="1"/>
        <v> </v>
      </c>
      <c r="E4486" s="19" t="str">
        <f t="shared" si="2"/>
        <v> </v>
      </c>
      <c r="F4486" s="21"/>
    </row>
    <row r="4487">
      <c r="A4487" s="19">
        <v>16179.0</v>
      </c>
      <c r="B4487" s="19" t="s">
        <v>4492</v>
      </c>
      <c r="C4487" s="20">
        <v>22315.0</v>
      </c>
      <c r="D4487" s="19" t="str">
        <f t="shared" si="1"/>
        <v> </v>
      </c>
      <c r="E4487" s="19" t="str">
        <f t="shared" si="2"/>
        <v> </v>
      </c>
      <c r="F4487" s="21"/>
    </row>
    <row r="4488">
      <c r="A4488" s="19">
        <v>16181.0</v>
      </c>
      <c r="B4488" s="19" t="s">
        <v>4493</v>
      </c>
      <c r="C4488" s="20">
        <v>12396.0</v>
      </c>
      <c r="D4488" s="19" t="str">
        <f t="shared" si="1"/>
        <v> </v>
      </c>
      <c r="E4488" s="19" t="str">
        <f t="shared" si="2"/>
        <v> </v>
      </c>
      <c r="F4488" s="21"/>
    </row>
    <row r="4489">
      <c r="A4489" s="19">
        <v>16182.0</v>
      </c>
      <c r="B4489" s="19" t="s">
        <v>4494</v>
      </c>
      <c r="C4489" s="20">
        <v>19965.0</v>
      </c>
      <c r="D4489" s="19" t="str">
        <f t="shared" si="1"/>
        <v> </v>
      </c>
      <c r="E4489" s="19" t="str">
        <f t="shared" si="2"/>
        <v> </v>
      </c>
      <c r="F4489" s="21"/>
    </row>
    <row r="4490">
      <c r="A4490" s="19">
        <v>16183.0</v>
      </c>
      <c r="B4490" s="19" t="s">
        <v>4495</v>
      </c>
      <c r="C4490" s="20">
        <v>21935.0</v>
      </c>
      <c r="D4490" s="19" t="str">
        <f t="shared" si="1"/>
        <v> </v>
      </c>
      <c r="E4490" s="19" t="str">
        <f t="shared" si="2"/>
        <v> </v>
      </c>
      <c r="F4490" s="21"/>
    </row>
    <row r="4491">
      <c r="A4491" s="19">
        <v>16184.0</v>
      </c>
      <c r="B4491" s="19" t="s">
        <v>4496</v>
      </c>
      <c r="C4491" s="20">
        <v>17049.0</v>
      </c>
      <c r="D4491" s="19" t="str">
        <f t="shared" si="1"/>
        <v> </v>
      </c>
      <c r="E4491" s="19" t="str">
        <f t="shared" si="2"/>
        <v> </v>
      </c>
      <c r="F4491" s="21"/>
    </row>
    <row r="4492">
      <c r="A4492" s="19">
        <v>16186.0</v>
      </c>
      <c r="B4492" s="19" t="s">
        <v>4497</v>
      </c>
      <c r="C4492" s="20">
        <v>20468.0</v>
      </c>
      <c r="D4492" s="19" t="str">
        <f t="shared" si="1"/>
        <v> </v>
      </c>
      <c r="E4492" s="19" t="str">
        <f t="shared" si="2"/>
        <v> </v>
      </c>
      <c r="F4492" s="21"/>
    </row>
    <row r="4493">
      <c r="A4493" s="19">
        <v>16187.0</v>
      </c>
      <c r="B4493" s="19" t="s">
        <v>4498</v>
      </c>
      <c r="C4493" s="20">
        <v>16346.0</v>
      </c>
      <c r="D4493" s="19" t="str">
        <f t="shared" si="1"/>
        <v> </v>
      </c>
      <c r="E4493" s="19" t="str">
        <f t="shared" si="2"/>
        <v> </v>
      </c>
      <c r="F4493" s="21"/>
    </row>
    <row r="4494">
      <c r="A4494" s="19">
        <v>16188.0</v>
      </c>
      <c r="B4494" s="19" t="s">
        <v>4499</v>
      </c>
      <c r="C4494" s="20">
        <v>25958.0</v>
      </c>
      <c r="D4494" s="19" t="str">
        <f t="shared" si="1"/>
        <v> </v>
      </c>
      <c r="E4494" s="19" t="str">
        <f t="shared" si="2"/>
        <v> </v>
      </c>
      <c r="F4494" s="21"/>
    </row>
    <row r="4495">
      <c r="A4495" s="19">
        <v>16189.0</v>
      </c>
      <c r="B4495" s="19" t="s">
        <v>4500</v>
      </c>
      <c r="C4495" s="20">
        <v>21423.0</v>
      </c>
      <c r="D4495" s="19" t="str">
        <f t="shared" si="1"/>
        <v> </v>
      </c>
      <c r="E4495" s="19" t="str">
        <f t="shared" si="2"/>
        <v> </v>
      </c>
      <c r="F4495" s="21"/>
    </row>
    <row r="4496">
      <c r="A4496" s="19">
        <v>16190.0</v>
      </c>
      <c r="B4496" s="19" t="s">
        <v>4501</v>
      </c>
      <c r="C4496" s="20">
        <v>15922.0</v>
      </c>
      <c r="D4496" s="19" t="str">
        <f t="shared" si="1"/>
        <v> </v>
      </c>
      <c r="E4496" s="19" t="str">
        <f t="shared" si="2"/>
        <v> </v>
      </c>
      <c r="F4496" s="21"/>
    </row>
    <row r="4497">
      <c r="A4497" s="19">
        <v>16191.0</v>
      </c>
      <c r="B4497" s="19" t="s">
        <v>4502</v>
      </c>
      <c r="C4497" s="20">
        <v>20630.0</v>
      </c>
      <c r="D4497" s="19" t="str">
        <f t="shared" si="1"/>
        <v> </v>
      </c>
      <c r="E4497" s="19" t="str">
        <f t="shared" si="2"/>
        <v> </v>
      </c>
      <c r="F4497" s="21"/>
    </row>
    <row r="4498">
      <c r="A4498" s="19">
        <v>16192.0</v>
      </c>
      <c r="B4498" s="19" t="s">
        <v>4503</v>
      </c>
      <c r="C4498" s="20">
        <v>26875.0</v>
      </c>
      <c r="D4498" s="19" t="str">
        <f t="shared" si="1"/>
        <v> </v>
      </c>
      <c r="E4498" s="19" t="str">
        <f t="shared" si="2"/>
        <v> </v>
      </c>
      <c r="F4498" s="21"/>
    </row>
    <row r="4499">
      <c r="A4499" s="19">
        <v>16193.0</v>
      </c>
      <c r="B4499" s="19" t="s">
        <v>4504</v>
      </c>
      <c r="C4499" s="20">
        <v>17497.0</v>
      </c>
      <c r="D4499" s="19" t="str">
        <f t="shared" si="1"/>
        <v> </v>
      </c>
      <c r="E4499" s="19" t="str">
        <f t="shared" si="2"/>
        <v> </v>
      </c>
      <c r="F4499" s="21"/>
    </row>
    <row r="4500">
      <c r="A4500" s="19">
        <v>16194.0</v>
      </c>
      <c r="B4500" s="19" t="s">
        <v>4505</v>
      </c>
      <c r="C4500" s="20">
        <v>37491.0</v>
      </c>
      <c r="D4500" s="19" t="str">
        <f t="shared" si="1"/>
        <v> </v>
      </c>
      <c r="E4500" s="19" t="str">
        <f t="shared" si="2"/>
        <v> </v>
      </c>
      <c r="F4500" s="21"/>
    </row>
    <row r="4501">
      <c r="A4501" s="19">
        <v>16196.0</v>
      </c>
      <c r="B4501" s="19" t="s">
        <v>4506</v>
      </c>
      <c r="C4501" s="20">
        <v>17763.0</v>
      </c>
      <c r="D4501" s="19" t="str">
        <f t="shared" si="1"/>
        <v> </v>
      </c>
      <c r="E4501" s="19" t="str">
        <f t="shared" si="2"/>
        <v> </v>
      </c>
      <c r="F4501" s="21"/>
    </row>
    <row r="4502">
      <c r="A4502" s="19">
        <v>16197.0</v>
      </c>
      <c r="B4502" s="19" t="s">
        <v>4507</v>
      </c>
      <c r="C4502" s="20">
        <v>26334.0</v>
      </c>
      <c r="D4502" s="19" t="str">
        <f t="shared" si="1"/>
        <v> </v>
      </c>
      <c r="E4502" s="19" t="str">
        <f t="shared" si="2"/>
        <v> </v>
      </c>
      <c r="F4502" s="21"/>
    </row>
    <row r="4503">
      <c r="A4503" s="19">
        <v>16199.0</v>
      </c>
      <c r="B4503" s="19" t="s">
        <v>4508</v>
      </c>
      <c r="C4503" s="20">
        <v>22598.0</v>
      </c>
      <c r="D4503" s="19" t="str">
        <f t="shared" si="1"/>
        <v> </v>
      </c>
      <c r="E4503" s="19" t="str">
        <f t="shared" si="2"/>
        <v> </v>
      </c>
      <c r="F4503" s="21"/>
    </row>
    <row r="4504">
      <c r="A4504" s="19">
        <v>16200.0</v>
      </c>
      <c r="B4504" s="19" t="s">
        <v>4509</v>
      </c>
      <c r="C4504" s="20">
        <v>26484.0</v>
      </c>
      <c r="D4504" s="19" t="str">
        <f t="shared" si="1"/>
        <v> </v>
      </c>
      <c r="E4504" s="19" t="str">
        <f t="shared" si="2"/>
        <v> </v>
      </c>
      <c r="F4504" s="21"/>
    </row>
    <row r="4505">
      <c r="A4505" s="19">
        <v>16202.0</v>
      </c>
      <c r="B4505" s="19" t="s">
        <v>4510</v>
      </c>
      <c r="C4505" s="20">
        <v>24456.0</v>
      </c>
      <c r="D4505" s="19" t="str">
        <f t="shared" si="1"/>
        <v> </v>
      </c>
      <c r="E4505" s="19" t="str">
        <f t="shared" si="2"/>
        <v> </v>
      </c>
      <c r="F4505" s="21"/>
    </row>
    <row r="4506">
      <c r="A4506" s="19">
        <v>16203.0</v>
      </c>
      <c r="B4506" s="19" t="s">
        <v>4511</v>
      </c>
      <c r="C4506" s="20">
        <v>20489.0</v>
      </c>
      <c r="D4506" s="19" t="str">
        <f t="shared" si="1"/>
        <v> </v>
      </c>
      <c r="E4506" s="19" t="str">
        <f t="shared" si="2"/>
        <v> </v>
      </c>
      <c r="F4506" s="21"/>
    </row>
    <row r="4507">
      <c r="A4507" s="19">
        <v>16204.0</v>
      </c>
      <c r="B4507" s="19" t="s">
        <v>4512</v>
      </c>
      <c r="C4507" s="20">
        <v>19496.0</v>
      </c>
      <c r="D4507" s="19" t="str">
        <f t="shared" si="1"/>
        <v> </v>
      </c>
      <c r="E4507" s="19" t="str">
        <f t="shared" si="2"/>
        <v> </v>
      </c>
      <c r="F4507" s="21"/>
    </row>
    <row r="4508">
      <c r="A4508" s="19">
        <v>16206.0</v>
      </c>
      <c r="B4508" s="19" t="s">
        <v>4513</v>
      </c>
      <c r="C4508" s="20">
        <v>21629.0</v>
      </c>
      <c r="D4508" s="19" t="str">
        <f t="shared" si="1"/>
        <v> </v>
      </c>
      <c r="E4508" s="19" t="str">
        <f t="shared" si="2"/>
        <v> </v>
      </c>
      <c r="F4508" s="21"/>
    </row>
    <row r="4509">
      <c r="A4509" s="19">
        <v>16207.0</v>
      </c>
      <c r="B4509" s="19" t="s">
        <v>4514</v>
      </c>
      <c r="C4509" s="20">
        <v>21909.0</v>
      </c>
      <c r="D4509" s="19" t="str">
        <f t="shared" si="1"/>
        <v> </v>
      </c>
      <c r="E4509" s="19" t="str">
        <f t="shared" si="2"/>
        <v> </v>
      </c>
      <c r="F4509" s="21"/>
    </row>
    <row r="4510">
      <c r="A4510" s="19">
        <v>16208.0</v>
      </c>
      <c r="B4510" s="19" t="s">
        <v>4515</v>
      </c>
      <c r="C4510" s="20">
        <v>15733.0</v>
      </c>
      <c r="D4510" s="19" t="str">
        <f t="shared" si="1"/>
        <v> </v>
      </c>
      <c r="E4510" s="19" t="str">
        <f t="shared" si="2"/>
        <v> </v>
      </c>
      <c r="F4510" s="21"/>
    </row>
    <row r="4511">
      <c r="A4511" s="19">
        <v>16209.0</v>
      </c>
      <c r="B4511" s="19" t="s">
        <v>4516</v>
      </c>
      <c r="C4511" s="20">
        <v>18602.0</v>
      </c>
      <c r="D4511" s="19" t="str">
        <f t="shared" si="1"/>
        <v> </v>
      </c>
      <c r="E4511" s="19" t="str">
        <f t="shared" si="2"/>
        <v> </v>
      </c>
      <c r="F4511" s="21"/>
    </row>
    <row r="4512">
      <c r="A4512" s="19">
        <v>16210.0</v>
      </c>
      <c r="B4512" s="19" t="s">
        <v>4517</v>
      </c>
      <c r="C4512" s="20">
        <v>21794.0</v>
      </c>
      <c r="D4512" s="19" t="str">
        <f t="shared" si="1"/>
        <v> </v>
      </c>
      <c r="E4512" s="19" t="str">
        <f t="shared" si="2"/>
        <v> </v>
      </c>
      <c r="F4512" s="21"/>
    </row>
    <row r="4513">
      <c r="A4513" s="19">
        <v>16211.0</v>
      </c>
      <c r="B4513" s="19" t="s">
        <v>4518</v>
      </c>
      <c r="C4513" s="20">
        <v>21043.0</v>
      </c>
      <c r="D4513" s="19" t="str">
        <f t="shared" si="1"/>
        <v> </v>
      </c>
      <c r="E4513" s="19" t="str">
        <f t="shared" si="2"/>
        <v> </v>
      </c>
      <c r="F4513" s="21"/>
    </row>
    <row r="4514">
      <c r="A4514" s="19">
        <v>16213.0</v>
      </c>
      <c r="B4514" s="19" t="s">
        <v>4519</v>
      </c>
      <c r="C4514" s="20">
        <v>32484.0</v>
      </c>
      <c r="D4514" s="19" t="str">
        <f t="shared" si="1"/>
        <v> </v>
      </c>
      <c r="E4514" s="19" t="str">
        <f t="shared" si="2"/>
        <v> </v>
      </c>
      <c r="F4514" s="21"/>
    </row>
    <row r="4515">
      <c r="A4515" s="19">
        <v>16214.0</v>
      </c>
      <c r="B4515" s="19" t="s">
        <v>4520</v>
      </c>
      <c r="C4515" s="20">
        <v>28904.0</v>
      </c>
      <c r="D4515" s="19" t="str">
        <f t="shared" si="1"/>
        <v> </v>
      </c>
      <c r="E4515" s="19" t="str">
        <f t="shared" si="2"/>
        <v> </v>
      </c>
      <c r="F4515" s="21"/>
    </row>
    <row r="4516">
      <c r="A4516" s="19">
        <v>16215.0</v>
      </c>
      <c r="B4516" s="19" t="s">
        <v>4521</v>
      </c>
      <c r="C4516" s="20">
        <v>22092.0</v>
      </c>
      <c r="D4516" s="19" t="str">
        <f t="shared" si="1"/>
        <v> </v>
      </c>
      <c r="E4516" s="19" t="str">
        <f t="shared" si="2"/>
        <v> </v>
      </c>
      <c r="F4516" s="21"/>
    </row>
    <row r="4517">
      <c r="A4517" s="19">
        <v>16216.0</v>
      </c>
      <c r="B4517" s="19" t="s">
        <v>4522</v>
      </c>
      <c r="C4517" s="20">
        <v>25289.0</v>
      </c>
      <c r="D4517" s="19" t="str">
        <f t="shared" si="1"/>
        <v> </v>
      </c>
      <c r="E4517" s="19" t="str">
        <f t="shared" si="2"/>
        <v> </v>
      </c>
      <c r="F4517" s="21"/>
    </row>
    <row r="4518">
      <c r="A4518" s="19">
        <v>16218.0</v>
      </c>
      <c r="B4518" s="19" t="s">
        <v>4523</v>
      </c>
      <c r="C4518" s="20">
        <v>26306.0</v>
      </c>
      <c r="D4518" s="19" t="str">
        <f t="shared" si="1"/>
        <v> </v>
      </c>
      <c r="E4518" s="19" t="str">
        <f t="shared" si="2"/>
        <v> </v>
      </c>
      <c r="F4518" s="21"/>
    </row>
    <row r="4519">
      <c r="A4519" s="19">
        <v>16219.0</v>
      </c>
      <c r="B4519" s="19" t="s">
        <v>4524</v>
      </c>
      <c r="C4519" s="20">
        <v>24090.0</v>
      </c>
      <c r="D4519" s="19" t="str">
        <f t="shared" si="1"/>
        <v> </v>
      </c>
      <c r="E4519" s="19" t="str">
        <f t="shared" si="2"/>
        <v> </v>
      </c>
      <c r="F4519" s="21"/>
    </row>
    <row r="4520">
      <c r="A4520" s="19">
        <v>16220.0</v>
      </c>
      <c r="B4520" s="19" t="s">
        <v>2121</v>
      </c>
      <c r="C4520" s="20">
        <v>15500.0</v>
      </c>
      <c r="D4520" s="19" t="str">
        <f t="shared" si="1"/>
        <v>Repeat</v>
      </c>
      <c r="E4520" s="19" t="str">
        <f t="shared" si="2"/>
        <v> </v>
      </c>
      <c r="F4520" s="21"/>
    </row>
    <row r="4521">
      <c r="A4521" s="19">
        <v>16221.0</v>
      </c>
      <c r="B4521" s="19" t="s">
        <v>4525</v>
      </c>
      <c r="C4521" s="20">
        <v>11372.0</v>
      </c>
      <c r="D4521" s="19" t="str">
        <f t="shared" si="1"/>
        <v> </v>
      </c>
      <c r="E4521" s="19" t="str">
        <f t="shared" si="2"/>
        <v> </v>
      </c>
      <c r="F4521" s="21"/>
    </row>
    <row r="4522">
      <c r="A4522" s="19">
        <v>16222.0</v>
      </c>
      <c r="B4522" s="19" t="s">
        <v>3543</v>
      </c>
      <c r="C4522" s="20">
        <v>17215.0</v>
      </c>
      <c r="D4522" s="19" t="str">
        <f t="shared" si="1"/>
        <v>Repeat</v>
      </c>
      <c r="E4522" s="19" t="str">
        <f t="shared" si="2"/>
        <v> </v>
      </c>
      <c r="F4522" s="21"/>
    </row>
    <row r="4523">
      <c r="A4523" s="19">
        <v>16223.0</v>
      </c>
      <c r="B4523" s="19" t="s">
        <v>4526</v>
      </c>
      <c r="C4523" s="20">
        <v>20569.0</v>
      </c>
      <c r="D4523" s="19" t="str">
        <f t="shared" si="1"/>
        <v> </v>
      </c>
      <c r="E4523" s="19" t="str">
        <f t="shared" si="2"/>
        <v> </v>
      </c>
      <c r="F4523" s="21"/>
    </row>
    <row r="4524">
      <c r="A4524" s="19">
        <v>16224.0</v>
      </c>
      <c r="B4524" s="19" t="s">
        <v>4527</v>
      </c>
      <c r="C4524" s="20">
        <v>22750.0</v>
      </c>
      <c r="D4524" s="19" t="str">
        <f t="shared" si="1"/>
        <v> </v>
      </c>
      <c r="E4524" s="19" t="str">
        <f t="shared" si="2"/>
        <v> </v>
      </c>
      <c r="F4524" s="21"/>
    </row>
    <row r="4525">
      <c r="A4525" s="19">
        <v>16225.0</v>
      </c>
      <c r="B4525" s="19" t="s">
        <v>4528</v>
      </c>
      <c r="C4525" s="20">
        <v>28072.0</v>
      </c>
      <c r="D4525" s="19" t="str">
        <f t="shared" si="1"/>
        <v> </v>
      </c>
      <c r="E4525" s="19" t="str">
        <f t="shared" si="2"/>
        <v> </v>
      </c>
      <c r="F4525" s="21"/>
    </row>
    <row r="4526">
      <c r="A4526" s="19">
        <v>16226.0</v>
      </c>
      <c r="B4526" s="19" t="s">
        <v>4529</v>
      </c>
      <c r="C4526" s="20">
        <v>20927.0</v>
      </c>
      <c r="D4526" s="19" t="str">
        <f t="shared" si="1"/>
        <v> </v>
      </c>
      <c r="E4526" s="19" t="str">
        <f t="shared" si="2"/>
        <v> </v>
      </c>
      <c r="F4526" s="21"/>
    </row>
    <row r="4527">
      <c r="A4527" s="19">
        <v>16227.0</v>
      </c>
      <c r="B4527" s="19" t="s">
        <v>2742</v>
      </c>
      <c r="C4527" s="20">
        <v>16681.0</v>
      </c>
      <c r="D4527" s="19" t="str">
        <f t="shared" si="1"/>
        <v>Repeat</v>
      </c>
      <c r="E4527" s="19" t="str">
        <f t="shared" si="2"/>
        <v> </v>
      </c>
      <c r="F4527" s="21"/>
    </row>
    <row r="4528">
      <c r="A4528" s="19">
        <v>16228.0</v>
      </c>
      <c r="B4528" s="19" t="s">
        <v>4530</v>
      </c>
      <c r="C4528" s="20">
        <v>25122.0</v>
      </c>
      <c r="D4528" s="19" t="str">
        <f t="shared" si="1"/>
        <v> </v>
      </c>
      <c r="E4528" s="19" t="str">
        <f t="shared" si="2"/>
        <v> </v>
      </c>
      <c r="F4528" s="21"/>
    </row>
    <row r="4529">
      <c r="A4529" s="19">
        <v>16229.0</v>
      </c>
      <c r="B4529" s="19" t="s">
        <v>4531</v>
      </c>
      <c r="C4529" s="20">
        <v>23957.0</v>
      </c>
      <c r="D4529" s="19" t="str">
        <f t="shared" si="1"/>
        <v> </v>
      </c>
      <c r="E4529" s="19" t="str">
        <f t="shared" si="2"/>
        <v> </v>
      </c>
      <c r="F4529" s="21"/>
    </row>
    <row r="4530">
      <c r="A4530" s="19">
        <v>16230.0</v>
      </c>
      <c r="B4530" s="19" t="s">
        <v>4532</v>
      </c>
      <c r="C4530" s="20">
        <v>24608.0</v>
      </c>
      <c r="D4530" s="19" t="str">
        <f t="shared" si="1"/>
        <v> </v>
      </c>
      <c r="E4530" s="19" t="str">
        <f t="shared" si="2"/>
        <v> </v>
      </c>
      <c r="F4530" s="21"/>
    </row>
    <row r="4531">
      <c r="A4531" s="19">
        <v>16232.0</v>
      </c>
      <c r="B4531" s="19" t="s">
        <v>4533</v>
      </c>
      <c r="C4531" s="20">
        <v>24755.0</v>
      </c>
      <c r="D4531" s="19" t="str">
        <f t="shared" si="1"/>
        <v> </v>
      </c>
      <c r="E4531" s="19" t="str">
        <f t="shared" si="2"/>
        <v> </v>
      </c>
      <c r="F4531" s="21"/>
    </row>
    <row r="4532">
      <c r="A4532" s="19">
        <v>16233.0</v>
      </c>
      <c r="B4532" s="19" t="s">
        <v>4534</v>
      </c>
      <c r="C4532" s="20">
        <v>33630.0</v>
      </c>
      <c r="D4532" s="19" t="str">
        <f t="shared" si="1"/>
        <v> </v>
      </c>
      <c r="E4532" s="19" t="str">
        <f t="shared" si="2"/>
        <v> </v>
      </c>
      <c r="F4532" s="21"/>
    </row>
    <row r="4533">
      <c r="A4533" s="19">
        <v>16234.0</v>
      </c>
      <c r="B4533" s="19" t="s">
        <v>4535</v>
      </c>
      <c r="C4533" s="20">
        <v>15843.0</v>
      </c>
      <c r="D4533" s="19" t="str">
        <f t="shared" si="1"/>
        <v> </v>
      </c>
      <c r="E4533" s="19" t="str">
        <f t="shared" si="2"/>
        <v> </v>
      </c>
      <c r="F4533" s="21"/>
    </row>
    <row r="4534">
      <c r="A4534" s="19">
        <v>16235.0</v>
      </c>
      <c r="B4534" s="19" t="s">
        <v>4536</v>
      </c>
      <c r="C4534" s="20">
        <v>21675.0</v>
      </c>
      <c r="D4534" s="19" t="str">
        <f t="shared" si="1"/>
        <v> </v>
      </c>
      <c r="E4534" s="19" t="str">
        <f t="shared" si="2"/>
        <v> </v>
      </c>
      <c r="F4534" s="21"/>
    </row>
    <row r="4535">
      <c r="A4535" s="19">
        <v>16236.0</v>
      </c>
      <c r="B4535" s="19" t="s">
        <v>4537</v>
      </c>
      <c r="C4535" s="20">
        <v>20696.0</v>
      </c>
      <c r="D4535" s="19" t="str">
        <f t="shared" si="1"/>
        <v> </v>
      </c>
      <c r="E4535" s="19" t="str">
        <f t="shared" si="2"/>
        <v> </v>
      </c>
      <c r="F4535" s="21"/>
    </row>
    <row r="4536">
      <c r="A4536" s="19">
        <v>16238.0</v>
      </c>
      <c r="B4536" s="19" t="s">
        <v>4538</v>
      </c>
      <c r="C4536" s="20">
        <v>22844.0</v>
      </c>
      <c r="D4536" s="19" t="str">
        <f t="shared" si="1"/>
        <v> </v>
      </c>
      <c r="E4536" s="19" t="str">
        <f t="shared" si="2"/>
        <v> </v>
      </c>
      <c r="F4536" s="21"/>
    </row>
    <row r="4537">
      <c r="A4537" s="19">
        <v>16239.0</v>
      </c>
      <c r="B4537" s="19" t="s">
        <v>4539</v>
      </c>
      <c r="C4537" s="20">
        <v>20907.0</v>
      </c>
      <c r="D4537" s="19" t="str">
        <f t="shared" si="1"/>
        <v> </v>
      </c>
      <c r="E4537" s="19" t="str">
        <f t="shared" si="2"/>
        <v> </v>
      </c>
      <c r="F4537" s="21"/>
    </row>
    <row r="4538">
      <c r="A4538" s="19">
        <v>16240.0</v>
      </c>
      <c r="B4538" s="19" t="s">
        <v>4540</v>
      </c>
      <c r="C4538" s="20">
        <v>28893.0</v>
      </c>
      <c r="D4538" s="19" t="str">
        <f t="shared" si="1"/>
        <v> </v>
      </c>
      <c r="E4538" s="19" t="str">
        <f t="shared" si="2"/>
        <v> </v>
      </c>
      <c r="F4538" s="21"/>
    </row>
    <row r="4539">
      <c r="A4539" s="19">
        <v>16241.0</v>
      </c>
      <c r="B4539" s="19" t="s">
        <v>4541</v>
      </c>
      <c r="C4539" s="20">
        <v>25861.0</v>
      </c>
      <c r="D4539" s="19" t="str">
        <f t="shared" si="1"/>
        <v> </v>
      </c>
      <c r="E4539" s="19" t="str">
        <f t="shared" si="2"/>
        <v> </v>
      </c>
      <c r="F4539" s="21"/>
    </row>
    <row r="4540">
      <c r="A4540" s="19">
        <v>16242.0</v>
      </c>
      <c r="B4540" s="19" t="s">
        <v>4542</v>
      </c>
      <c r="C4540" s="20">
        <v>14365.0</v>
      </c>
      <c r="D4540" s="19" t="str">
        <f t="shared" si="1"/>
        <v> </v>
      </c>
      <c r="E4540" s="19" t="str">
        <f t="shared" si="2"/>
        <v> </v>
      </c>
      <c r="F4540" s="21"/>
    </row>
    <row r="4541">
      <c r="A4541" s="19">
        <v>16243.0</v>
      </c>
      <c r="B4541" s="19" t="s">
        <v>4543</v>
      </c>
      <c r="C4541" s="20">
        <v>16671.0</v>
      </c>
      <c r="D4541" s="19" t="str">
        <f t="shared" si="1"/>
        <v> </v>
      </c>
      <c r="E4541" s="19" t="str">
        <f t="shared" si="2"/>
        <v>Repeat</v>
      </c>
      <c r="F4541" s="21"/>
    </row>
    <row r="4542">
      <c r="A4542" s="19">
        <v>16245.0</v>
      </c>
      <c r="B4542" s="19" t="s">
        <v>4544</v>
      </c>
      <c r="C4542" s="20">
        <v>22836.0</v>
      </c>
      <c r="D4542" s="19" t="str">
        <f t="shared" si="1"/>
        <v> </v>
      </c>
      <c r="E4542" s="19" t="str">
        <f t="shared" si="2"/>
        <v> </v>
      </c>
      <c r="F4542" s="21"/>
    </row>
    <row r="4543">
      <c r="A4543" s="19">
        <v>16246.0</v>
      </c>
      <c r="B4543" s="19" t="s">
        <v>4545</v>
      </c>
      <c r="C4543" s="20">
        <v>24375.0</v>
      </c>
      <c r="D4543" s="19" t="str">
        <f t="shared" si="1"/>
        <v> </v>
      </c>
      <c r="E4543" s="19" t="str">
        <f t="shared" si="2"/>
        <v> </v>
      </c>
      <c r="F4543" s="21"/>
    </row>
    <row r="4544">
      <c r="A4544" s="19">
        <v>16247.0</v>
      </c>
      <c r="B4544" s="19" t="s">
        <v>4546</v>
      </c>
      <c r="C4544" s="20">
        <v>23869.0</v>
      </c>
      <c r="D4544" s="19" t="str">
        <f t="shared" si="1"/>
        <v> </v>
      </c>
      <c r="E4544" s="19" t="str">
        <f t="shared" si="2"/>
        <v> </v>
      </c>
      <c r="F4544" s="21"/>
    </row>
    <row r="4545">
      <c r="A4545" s="19">
        <v>16248.0</v>
      </c>
      <c r="B4545" s="19" t="s">
        <v>4547</v>
      </c>
      <c r="C4545" s="20">
        <v>26284.0</v>
      </c>
      <c r="D4545" s="19" t="str">
        <f t="shared" si="1"/>
        <v> </v>
      </c>
      <c r="E4545" s="19" t="str">
        <f t="shared" si="2"/>
        <v> </v>
      </c>
      <c r="F4545" s="21"/>
    </row>
    <row r="4546">
      <c r="A4546" s="19">
        <v>16249.0</v>
      </c>
      <c r="B4546" s="19" t="s">
        <v>4548</v>
      </c>
      <c r="C4546" s="20">
        <v>17512.0</v>
      </c>
      <c r="D4546" s="19" t="str">
        <f t="shared" si="1"/>
        <v> </v>
      </c>
      <c r="E4546" s="19" t="str">
        <f t="shared" si="2"/>
        <v> </v>
      </c>
      <c r="F4546" s="21"/>
    </row>
    <row r="4547">
      <c r="A4547" s="19">
        <v>16250.0</v>
      </c>
      <c r="B4547" s="19" t="s">
        <v>4549</v>
      </c>
      <c r="C4547" s="20">
        <v>19230.0</v>
      </c>
      <c r="D4547" s="19" t="str">
        <f t="shared" si="1"/>
        <v> </v>
      </c>
      <c r="E4547" s="19" t="str">
        <f t="shared" si="2"/>
        <v> </v>
      </c>
      <c r="F4547" s="21"/>
    </row>
    <row r="4548">
      <c r="A4548" s="19">
        <v>16251.0</v>
      </c>
      <c r="B4548" s="19" t="s">
        <v>4550</v>
      </c>
      <c r="C4548" s="20">
        <v>14044.0</v>
      </c>
      <c r="D4548" s="19" t="str">
        <f t="shared" si="1"/>
        <v> </v>
      </c>
      <c r="E4548" s="19" t="str">
        <f t="shared" si="2"/>
        <v> </v>
      </c>
      <c r="F4548" s="21"/>
    </row>
    <row r="4549">
      <c r="A4549" s="19">
        <v>16252.0</v>
      </c>
      <c r="B4549" s="19" t="s">
        <v>4551</v>
      </c>
      <c r="C4549" s="20">
        <v>31498.0</v>
      </c>
      <c r="D4549" s="19" t="str">
        <f t="shared" si="1"/>
        <v> </v>
      </c>
      <c r="E4549" s="19" t="str">
        <f t="shared" si="2"/>
        <v> </v>
      </c>
      <c r="F4549" s="21"/>
    </row>
    <row r="4550">
      <c r="A4550" s="19">
        <v>16253.0</v>
      </c>
      <c r="B4550" s="19" t="s">
        <v>4552</v>
      </c>
      <c r="C4550" s="20">
        <v>25892.0</v>
      </c>
      <c r="D4550" s="19" t="str">
        <f t="shared" si="1"/>
        <v> </v>
      </c>
      <c r="E4550" s="19" t="str">
        <f t="shared" si="2"/>
        <v> </v>
      </c>
      <c r="F4550" s="21"/>
    </row>
    <row r="4551">
      <c r="A4551" s="19">
        <v>16254.0</v>
      </c>
      <c r="B4551" s="19" t="s">
        <v>4553</v>
      </c>
      <c r="C4551" s="20">
        <v>25486.0</v>
      </c>
      <c r="D4551" s="19" t="str">
        <f t="shared" si="1"/>
        <v> </v>
      </c>
      <c r="E4551" s="19" t="str">
        <f t="shared" si="2"/>
        <v> </v>
      </c>
      <c r="F4551" s="21"/>
    </row>
    <row r="4552">
      <c r="A4552" s="19">
        <v>16255.0</v>
      </c>
      <c r="B4552" s="19" t="s">
        <v>4554</v>
      </c>
      <c r="C4552" s="20">
        <v>18350.0</v>
      </c>
      <c r="D4552" s="19" t="str">
        <f t="shared" si="1"/>
        <v> </v>
      </c>
      <c r="E4552" s="19" t="str">
        <f t="shared" si="2"/>
        <v> </v>
      </c>
      <c r="F4552" s="21"/>
    </row>
    <row r="4553">
      <c r="A4553" s="19">
        <v>16256.0</v>
      </c>
      <c r="B4553" s="19" t="s">
        <v>4555</v>
      </c>
      <c r="C4553" s="20">
        <v>16967.0</v>
      </c>
      <c r="D4553" s="19" t="str">
        <f t="shared" si="1"/>
        <v> </v>
      </c>
      <c r="E4553" s="19" t="str">
        <f t="shared" si="2"/>
        <v> </v>
      </c>
      <c r="F4553" s="21"/>
    </row>
    <row r="4554">
      <c r="A4554" s="19">
        <v>16257.0</v>
      </c>
      <c r="B4554" s="19" t="s">
        <v>4556</v>
      </c>
      <c r="C4554" s="20">
        <v>28758.0</v>
      </c>
      <c r="D4554" s="19" t="str">
        <f t="shared" si="1"/>
        <v> </v>
      </c>
      <c r="E4554" s="19" t="str">
        <f t="shared" si="2"/>
        <v> </v>
      </c>
      <c r="F4554" s="21"/>
    </row>
    <row r="4555">
      <c r="A4555" s="19">
        <v>16258.0</v>
      </c>
      <c r="B4555" s="19" t="s">
        <v>4557</v>
      </c>
      <c r="C4555" s="20">
        <v>24869.0</v>
      </c>
      <c r="D4555" s="19" t="str">
        <f t="shared" si="1"/>
        <v> </v>
      </c>
      <c r="E4555" s="19" t="str">
        <f t="shared" si="2"/>
        <v> </v>
      </c>
      <c r="F4555" s="21"/>
    </row>
    <row r="4556">
      <c r="A4556" s="19">
        <v>16259.0</v>
      </c>
      <c r="B4556" s="19" t="s">
        <v>4558</v>
      </c>
      <c r="C4556" s="20">
        <v>17763.0</v>
      </c>
      <c r="D4556" s="19" t="str">
        <f t="shared" si="1"/>
        <v> </v>
      </c>
      <c r="E4556" s="19" t="str">
        <f t="shared" si="2"/>
        <v> </v>
      </c>
      <c r="F4556" s="21"/>
    </row>
    <row r="4557">
      <c r="A4557" s="19">
        <v>16260.0</v>
      </c>
      <c r="B4557" s="19" t="s">
        <v>4559</v>
      </c>
      <c r="C4557" s="20">
        <v>17025.0</v>
      </c>
      <c r="D4557" s="19" t="str">
        <f t="shared" si="1"/>
        <v> </v>
      </c>
      <c r="E4557" s="19" t="str">
        <f t="shared" si="2"/>
        <v> </v>
      </c>
      <c r="F4557" s="21"/>
    </row>
    <row r="4558">
      <c r="A4558" s="19">
        <v>16261.0</v>
      </c>
      <c r="B4558" s="19" t="s">
        <v>4560</v>
      </c>
      <c r="C4558" s="20">
        <v>19464.0</v>
      </c>
      <c r="D4558" s="19" t="str">
        <f t="shared" si="1"/>
        <v> </v>
      </c>
      <c r="E4558" s="19" t="str">
        <f t="shared" si="2"/>
        <v> </v>
      </c>
      <c r="F4558" s="21"/>
    </row>
    <row r="4559">
      <c r="A4559" s="19">
        <v>16262.0</v>
      </c>
      <c r="B4559" s="19" t="s">
        <v>4561</v>
      </c>
      <c r="C4559" s="20">
        <v>23868.0</v>
      </c>
      <c r="D4559" s="19" t="str">
        <f t="shared" si="1"/>
        <v> </v>
      </c>
      <c r="E4559" s="19" t="str">
        <f t="shared" si="2"/>
        <v> </v>
      </c>
      <c r="F4559" s="21"/>
    </row>
    <row r="4560">
      <c r="A4560" s="19">
        <v>16263.0</v>
      </c>
      <c r="B4560" s="19" t="s">
        <v>4562</v>
      </c>
      <c r="C4560" s="20">
        <v>19913.0</v>
      </c>
      <c r="D4560" s="19" t="str">
        <f t="shared" si="1"/>
        <v> </v>
      </c>
      <c r="E4560" s="19" t="str">
        <f t="shared" si="2"/>
        <v> </v>
      </c>
      <c r="F4560" s="21"/>
    </row>
    <row r="4561">
      <c r="A4561" s="19">
        <v>15709.0</v>
      </c>
      <c r="B4561" s="19" t="s">
        <v>4563</v>
      </c>
      <c r="C4561" s="20">
        <v>33385.0</v>
      </c>
      <c r="D4561" s="19" t="str">
        <f t="shared" si="1"/>
        <v> </v>
      </c>
      <c r="E4561" s="19" t="str">
        <f t="shared" si="2"/>
        <v> </v>
      </c>
      <c r="F4561" s="21"/>
    </row>
    <row r="4562">
      <c r="A4562" s="19">
        <v>16265.0</v>
      </c>
      <c r="B4562" s="19" t="s">
        <v>4564</v>
      </c>
      <c r="C4562" s="20">
        <v>32027.0</v>
      </c>
      <c r="D4562" s="19" t="str">
        <f t="shared" si="1"/>
        <v> </v>
      </c>
      <c r="E4562" s="19" t="str">
        <f t="shared" si="2"/>
        <v> </v>
      </c>
      <c r="F4562" s="21"/>
    </row>
    <row r="4563">
      <c r="A4563" s="19">
        <v>16271.0</v>
      </c>
      <c r="B4563" s="19" t="s">
        <v>4565</v>
      </c>
      <c r="C4563" s="20">
        <v>19087.0</v>
      </c>
      <c r="D4563" s="19" t="str">
        <f t="shared" si="1"/>
        <v> </v>
      </c>
      <c r="E4563" s="19" t="str">
        <f t="shared" si="2"/>
        <v> </v>
      </c>
      <c r="F4563" s="21"/>
    </row>
    <row r="4564">
      <c r="A4564" s="19">
        <v>16272.0</v>
      </c>
      <c r="B4564" s="19" t="s">
        <v>4566</v>
      </c>
      <c r="C4564" s="20">
        <v>15035.0</v>
      </c>
      <c r="D4564" s="19" t="str">
        <f t="shared" si="1"/>
        <v> </v>
      </c>
      <c r="E4564" s="19" t="str">
        <f t="shared" si="2"/>
        <v> </v>
      </c>
      <c r="F4564" s="21"/>
    </row>
    <row r="4565">
      <c r="A4565" s="19">
        <v>16273.0</v>
      </c>
      <c r="B4565" s="19" t="s">
        <v>4567</v>
      </c>
      <c r="C4565" s="20">
        <v>22114.0</v>
      </c>
      <c r="D4565" s="19" t="str">
        <f t="shared" si="1"/>
        <v> </v>
      </c>
      <c r="E4565" s="19" t="str">
        <f t="shared" si="2"/>
        <v> </v>
      </c>
      <c r="F4565" s="21"/>
    </row>
    <row r="4566">
      <c r="A4566" s="19">
        <v>16274.0</v>
      </c>
      <c r="B4566" s="19" t="s">
        <v>4568</v>
      </c>
      <c r="C4566" s="20">
        <v>20144.0</v>
      </c>
      <c r="D4566" s="19" t="str">
        <f t="shared" si="1"/>
        <v> </v>
      </c>
      <c r="E4566" s="19" t="str">
        <f t="shared" si="2"/>
        <v> </v>
      </c>
      <c r="F4566" s="21"/>
    </row>
    <row r="4567">
      <c r="A4567" s="19">
        <v>16280.0</v>
      </c>
      <c r="B4567" s="19" t="s">
        <v>4569</v>
      </c>
      <c r="C4567" s="20">
        <v>19214.0</v>
      </c>
      <c r="D4567" s="19" t="str">
        <f t="shared" si="1"/>
        <v> </v>
      </c>
      <c r="E4567" s="19" t="str">
        <f t="shared" si="2"/>
        <v> </v>
      </c>
      <c r="F4567" s="21"/>
    </row>
    <row r="4568">
      <c r="A4568" s="19">
        <v>16283.0</v>
      </c>
      <c r="B4568" s="19" t="s">
        <v>4012</v>
      </c>
      <c r="C4568" s="20">
        <v>19566.0</v>
      </c>
      <c r="D4568" s="19" t="str">
        <f t="shared" si="1"/>
        <v>Repeat</v>
      </c>
      <c r="E4568" s="19" t="str">
        <f t="shared" si="2"/>
        <v> </v>
      </c>
      <c r="F4568" s="21"/>
    </row>
    <row r="4569">
      <c r="A4569" s="19">
        <v>16284.0</v>
      </c>
      <c r="B4569" s="19" t="s">
        <v>4570</v>
      </c>
      <c r="C4569" s="20">
        <v>17455.0</v>
      </c>
      <c r="D4569" s="19" t="str">
        <f t="shared" si="1"/>
        <v> </v>
      </c>
      <c r="E4569" s="19" t="str">
        <f t="shared" si="2"/>
        <v> </v>
      </c>
      <c r="F4569" s="21"/>
    </row>
    <row r="4570">
      <c r="A4570" s="19">
        <v>16285.0</v>
      </c>
      <c r="B4570" s="19" t="s">
        <v>4571</v>
      </c>
      <c r="C4570" s="20">
        <v>22722.0</v>
      </c>
      <c r="D4570" s="19" t="str">
        <f t="shared" si="1"/>
        <v> </v>
      </c>
      <c r="E4570" s="19" t="str">
        <f t="shared" si="2"/>
        <v> </v>
      </c>
      <c r="F4570" s="21"/>
    </row>
    <row r="4571">
      <c r="A4571" s="19">
        <v>16286.0</v>
      </c>
      <c r="B4571" s="19" t="s">
        <v>4572</v>
      </c>
      <c r="C4571" s="20">
        <v>16305.0</v>
      </c>
      <c r="D4571" s="19" t="str">
        <f t="shared" si="1"/>
        <v> </v>
      </c>
      <c r="E4571" s="19" t="str">
        <f t="shared" si="2"/>
        <v> </v>
      </c>
      <c r="F4571" s="21"/>
    </row>
    <row r="4572">
      <c r="A4572" s="19">
        <v>16287.0</v>
      </c>
      <c r="B4572" s="19" t="s">
        <v>4573</v>
      </c>
      <c r="C4572" s="20">
        <v>11138.0</v>
      </c>
      <c r="D4572" s="19" t="str">
        <f t="shared" si="1"/>
        <v> </v>
      </c>
      <c r="E4572" s="19" t="str">
        <f t="shared" si="2"/>
        <v> </v>
      </c>
      <c r="F4572" s="21"/>
    </row>
    <row r="4573">
      <c r="A4573" s="19">
        <v>16288.0</v>
      </c>
      <c r="B4573" s="19" t="s">
        <v>4574</v>
      </c>
      <c r="C4573" s="20">
        <v>14894.0</v>
      </c>
      <c r="D4573" s="19" t="str">
        <f t="shared" si="1"/>
        <v> </v>
      </c>
      <c r="E4573" s="19" t="str">
        <f t="shared" si="2"/>
        <v> </v>
      </c>
      <c r="F4573" s="21"/>
    </row>
    <row r="4574">
      <c r="A4574" s="19">
        <v>16291.0</v>
      </c>
      <c r="B4574" s="19" t="s">
        <v>4575</v>
      </c>
      <c r="C4574" s="20">
        <v>12545.0</v>
      </c>
      <c r="D4574" s="19" t="str">
        <f t="shared" si="1"/>
        <v> </v>
      </c>
      <c r="E4574" s="19" t="str">
        <f t="shared" si="2"/>
        <v> </v>
      </c>
      <c r="F4574" s="21"/>
    </row>
    <row r="4575">
      <c r="A4575" s="19">
        <v>16292.0</v>
      </c>
      <c r="B4575" s="19" t="s">
        <v>4576</v>
      </c>
      <c r="C4575" s="20">
        <v>22019.0</v>
      </c>
      <c r="D4575" s="19" t="str">
        <f t="shared" si="1"/>
        <v> </v>
      </c>
      <c r="E4575" s="19" t="str">
        <f t="shared" si="2"/>
        <v> </v>
      </c>
      <c r="F4575" s="21"/>
    </row>
    <row r="4576">
      <c r="A4576" s="19">
        <v>16293.0</v>
      </c>
      <c r="B4576" s="19" t="s">
        <v>4577</v>
      </c>
      <c r="C4576" s="20">
        <v>23364.0</v>
      </c>
      <c r="D4576" s="19" t="str">
        <f t="shared" si="1"/>
        <v> </v>
      </c>
      <c r="E4576" s="19" t="str">
        <f t="shared" si="2"/>
        <v> </v>
      </c>
      <c r="F4576" s="21"/>
    </row>
    <row r="4577">
      <c r="A4577" s="19">
        <v>16294.0</v>
      </c>
      <c r="B4577" s="19" t="s">
        <v>4578</v>
      </c>
      <c r="C4577" s="20">
        <v>24388.0</v>
      </c>
      <c r="D4577" s="19" t="str">
        <f t="shared" si="1"/>
        <v> </v>
      </c>
      <c r="E4577" s="19" t="str">
        <f t="shared" si="2"/>
        <v> </v>
      </c>
      <c r="F4577" s="21"/>
    </row>
    <row r="4578">
      <c r="A4578" s="19">
        <v>16295.0</v>
      </c>
      <c r="B4578" s="19" t="s">
        <v>4579</v>
      </c>
      <c r="C4578" s="20">
        <v>19737.0</v>
      </c>
      <c r="D4578" s="19" t="str">
        <f t="shared" si="1"/>
        <v> </v>
      </c>
      <c r="E4578" s="19" t="str">
        <f t="shared" si="2"/>
        <v> </v>
      </c>
      <c r="F4578" s="21"/>
    </row>
    <row r="4579">
      <c r="A4579" s="19">
        <v>16296.0</v>
      </c>
      <c r="B4579" s="19" t="s">
        <v>4580</v>
      </c>
      <c r="C4579" s="20">
        <v>28301.0</v>
      </c>
      <c r="D4579" s="19" t="str">
        <f t="shared" si="1"/>
        <v> </v>
      </c>
      <c r="E4579" s="19" t="str">
        <f t="shared" si="2"/>
        <v> </v>
      </c>
      <c r="F4579" s="21"/>
    </row>
    <row r="4580">
      <c r="A4580" s="19">
        <v>16297.0</v>
      </c>
      <c r="B4580" s="19" t="s">
        <v>4581</v>
      </c>
      <c r="C4580" s="20">
        <v>15281.0</v>
      </c>
      <c r="D4580" s="19" t="str">
        <f t="shared" si="1"/>
        <v> </v>
      </c>
      <c r="E4580" s="19" t="str">
        <f t="shared" si="2"/>
        <v> </v>
      </c>
      <c r="F4580" s="21"/>
    </row>
    <row r="4581">
      <c r="A4581" s="19">
        <v>16298.0</v>
      </c>
      <c r="B4581" s="19" t="s">
        <v>4582</v>
      </c>
      <c r="C4581" s="20">
        <v>22478.0</v>
      </c>
      <c r="D4581" s="19" t="str">
        <f t="shared" si="1"/>
        <v> </v>
      </c>
      <c r="E4581" s="19" t="str">
        <f t="shared" si="2"/>
        <v> </v>
      </c>
      <c r="F4581" s="21"/>
    </row>
    <row r="4582">
      <c r="A4582" s="19">
        <v>16299.0</v>
      </c>
      <c r="B4582" s="19" t="s">
        <v>4583</v>
      </c>
      <c r="C4582" s="20">
        <v>17491.0</v>
      </c>
      <c r="D4582" s="19" t="str">
        <f t="shared" si="1"/>
        <v> </v>
      </c>
      <c r="E4582" s="19" t="str">
        <f t="shared" si="2"/>
        <v> </v>
      </c>
      <c r="F4582" s="21"/>
    </row>
    <row r="4583">
      <c r="A4583" s="19">
        <v>16302.0</v>
      </c>
      <c r="B4583" s="19" t="s">
        <v>4584</v>
      </c>
      <c r="C4583" s="20">
        <v>24212.0</v>
      </c>
      <c r="D4583" s="19" t="str">
        <f t="shared" si="1"/>
        <v> </v>
      </c>
      <c r="E4583" s="19" t="str">
        <f t="shared" si="2"/>
        <v> </v>
      </c>
      <c r="F4583" s="21"/>
    </row>
    <row r="4584">
      <c r="A4584" s="19">
        <v>16304.0</v>
      </c>
      <c r="B4584" s="19" t="s">
        <v>4585</v>
      </c>
      <c r="C4584" s="20">
        <v>22300.0</v>
      </c>
      <c r="D4584" s="19" t="str">
        <f t="shared" si="1"/>
        <v> </v>
      </c>
      <c r="E4584" s="19" t="str">
        <f t="shared" si="2"/>
        <v> </v>
      </c>
      <c r="F4584" s="21"/>
    </row>
    <row r="4585">
      <c r="A4585" s="19">
        <v>16306.0</v>
      </c>
      <c r="B4585" s="19" t="s">
        <v>4586</v>
      </c>
      <c r="C4585" s="20">
        <v>21606.0</v>
      </c>
      <c r="D4585" s="19" t="str">
        <f t="shared" si="1"/>
        <v> </v>
      </c>
      <c r="E4585" s="19" t="str">
        <f t="shared" si="2"/>
        <v> </v>
      </c>
      <c r="F4585" s="21"/>
    </row>
    <row r="4586">
      <c r="A4586" s="19">
        <v>16307.0</v>
      </c>
      <c r="B4586" s="19" t="s">
        <v>4587</v>
      </c>
      <c r="C4586" s="20">
        <v>33237.0</v>
      </c>
      <c r="D4586" s="19" t="str">
        <f t="shared" si="1"/>
        <v> </v>
      </c>
      <c r="E4586" s="19" t="str">
        <f t="shared" si="2"/>
        <v> </v>
      </c>
      <c r="F4586" s="21"/>
    </row>
    <row r="4587">
      <c r="A4587" s="19">
        <v>16308.0</v>
      </c>
      <c r="B4587" s="19" t="s">
        <v>4588</v>
      </c>
      <c r="C4587" s="20">
        <v>14928.0</v>
      </c>
      <c r="D4587" s="19" t="str">
        <f t="shared" si="1"/>
        <v> </v>
      </c>
      <c r="E4587" s="19" t="str">
        <f t="shared" si="2"/>
        <v> </v>
      </c>
      <c r="F4587" s="21"/>
    </row>
    <row r="4588">
      <c r="A4588" s="19">
        <v>16310.0</v>
      </c>
      <c r="B4588" s="19" t="s">
        <v>4589</v>
      </c>
      <c r="C4588" s="20">
        <v>20014.0</v>
      </c>
      <c r="D4588" s="19" t="str">
        <f t="shared" si="1"/>
        <v> </v>
      </c>
      <c r="E4588" s="19" t="str">
        <f t="shared" si="2"/>
        <v> </v>
      </c>
      <c r="F4588" s="21"/>
    </row>
    <row r="4589">
      <c r="A4589" s="19">
        <v>16311.0</v>
      </c>
      <c r="B4589" s="19" t="s">
        <v>4590</v>
      </c>
      <c r="C4589" s="20">
        <v>21912.0</v>
      </c>
      <c r="D4589" s="19" t="str">
        <f t="shared" si="1"/>
        <v> </v>
      </c>
      <c r="E4589" s="19" t="str">
        <f t="shared" si="2"/>
        <v> </v>
      </c>
      <c r="F4589" s="21"/>
    </row>
    <row r="4590">
      <c r="A4590" s="19">
        <v>16312.0</v>
      </c>
      <c r="B4590" s="19" t="s">
        <v>4591</v>
      </c>
      <c r="C4590" s="20">
        <v>25387.0</v>
      </c>
      <c r="D4590" s="19" t="str">
        <f t="shared" si="1"/>
        <v> </v>
      </c>
      <c r="E4590" s="19" t="str">
        <f t="shared" si="2"/>
        <v> </v>
      </c>
      <c r="F4590" s="21"/>
    </row>
    <row r="4591">
      <c r="A4591" s="19">
        <v>16313.0</v>
      </c>
      <c r="B4591" s="19" t="s">
        <v>4592</v>
      </c>
      <c r="C4591" s="20">
        <v>32768.0</v>
      </c>
      <c r="D4591" s="19" t="str">
        <f t="shared" si="1"/>
        <v> </v>
      </c>
      <c r="E4591" s="19" t="str">
        <f t="shared" si="2"/>
        <v> </v>
      </c>
      <c r="F4591" s="21"/>
    </row>
    <row r="4592">
      <c r="A4592" s="19">
        <v>16314.0</v>
      </c>
      <c r="B4592" s="19" t="s">
        <v>4593</v>
      </c>
      <c r="C4592" s="20">
        <v>17524.0</v>
      </c>
      <c r="D4592" s="19" t="str">
        <f t="shared" si="1"/>
        <v> </v>
      </c>
      <c r="E4592" s="19" t="str">
        <f t="shared" si="2"/>
        <v> </v>
      </c>
      <c r="F4592" s="21"/>
    </row>
    <row r="4593">
      <c r="A4593" s="19">
        <v>16316.0</v>
      </c>
      <c r="B4593" s="19" t="s">
        <v>4594</v>
      </c>
      <c r="C4593" s="20">
        <v>18500.0</v>
      </c>
      <c r="D4593" s="19" t="str">
        <f t="shared" si="1"/>
        <v> </v>
      </c>
      <c r="E4593" s="19" t="str">
        <f t="shared" si="2"/>
        <v> </v>
      </c>
      <c r="F4593" s="21"/>
    </row>
    <row r="4594">
      <c r="A4594" s="19">
        <v>16317.0</v>
      </c>
      <c r="B4594" s="19" t="s">
        <v>4595</v>
      </c>
      <c r="C4594" s="20">
        <v>26513.0</v>
      </c>
      <c r="D4594" s="19" t="str">
        <f t="shared" si="1"/>
        <v> </v>
      </c>
      <c r="E4594" s="19" t="str">
        <f t="shared" si="2"/>
        <v> </v>
      </c>
      <c r="F4594" s="21"/>
    </row>
    <row r="4595">
      <c r="A4595" s="19">
        <v>16318.0</v>
      </c>
      <c r="B4595" s="19" t="s">
        <v>4596</v>
      </c>
      <c r="C4595" s="20">
        <v>18967.0</v>
      </c>
      <c r="D4595" s="19" t="str">
        <f t="shared" si="1"/>
        <v> </v>
      </c>
      <c r="E4595" s="19" t="str">
        <f t="shared" si="2"/>
        <v> </v>
      </c>
      <c r="F4595" s="21"/>
    </row>
    <row r="4596">
      <c r="A4596" s="19">
        <v>16319.0</v>
      </c>
      <c r="B4596" s="19" t="s">
        <v>4597</v>
      </c>
      <c r="C4596" s="20">
        <v>31878.0</v>
      </c>
      <c r="D4596" s="19" t="str">
        <f t="shared" si="1"/>
        <v> </v>
      </c>
      <c r="E4596" s="19" t="str">
        <f t="shared" si="2"/>
        <v> </v>
      </c>
      <c r="F4596" s="21"/>
    </row>
    <row r="4597">
      <c r="A4597" s="19">
        <v>16320.0</v>
      </c>
      <c r="B4597" s="19" t="s">
        <v>4598</v>
      </c>
      <c r="C4597" s="20">
        <v>12609.0</v>
      </c>
      <c r="D4597" s="19" t="str">
        <f t="shared" si="1"/>
        <v> </v>
      </c>
      <c r="E4597" s="19" t="str">
        <f t="shared" si="2"/>
        <v> </v>
      </c>
      <c r="F4597" s="21"/>
    </row>
    <row r="4598">
      <c r="A4598" s="19">
        <v>16321.0</v>
      </c>
      <c r="B4598" s="19" t="s">
        <v>4599</v>
      </c>
      <c r="C4598" s="20">
        <v>26031.0</v>
      </c>
      <c r="D4598" s="19" t="str">
        <f t="shared" si="1"/>
        <v> </v>
      </c>
      <c r="E4598" s="19" t="str">
        <f t="shared" si="2"/>
        <v> </v>
      </c>
      <c r="F4598" s="21"/>
    </row>
    <row r="4599">
      <c r="A4599" s="19">
        <v>16323.0</v>
      </c>
      <c r="B4599" s="19" t="s">
        <v>4600</v>
      </c>
      <c r="C4599" s="20">
        <v>18129.0</v>
      </c>
      <c r="D4599" s="19" t="str">
        <f t="shared" si="1"/>
        <v> </v>
      </c>
      <c r="E4599" s="19" t="str">
        <f t="shared" si="2"/>
        <v> </v>
      </c>
      <c r="F4599" s="21"/>
    </row>
    <row r="4600">
      <c r="A4600" s="19">
        <v>16324.0</v>
      </c>
      <c r="B4600" s="19" t="s">
        <v>4601</v>
      </c>
      <c r="C4600" s="20">
        <v>19977.0</v>
      </c>
      <c r="D4600" s="19" t="str">
        <f t="shared" si="1"/>
        <v> </v>
      </c>
      <c r="E4600" s="19" t="str">
        <f t="shared" si="2"/>
        <v> </v>
      </c>
      <c r="F4600" s="21"/>
    </row>
    <row r="4601">
      <c r="A4601" s="19">
        <v>16325.0</v>
      </c>
      <c r="B4601" s="19" t="s">
        <v>4602</v>
      </c>
      <c r="C4601" s="20">
        <v>22374.0</v>
      </c>
      <c r="D4601" s="19" t="str">
        <f t="shared" si="1"/>
        <v> </v>
      </c>
      <c r="E4601" s="19" t="str">
        <f t="shared" si="2"/>
        <v> </v>
      </c>
      <c r="F4601" s="21"/>
    </row>
    <row r="4602">
      <c r="A4602" s="19">
        <v>16327.0</v>
      </c>
      <c r="B4602" s="19" t="s">
        <v>4603</v>
      </c>
      <c r="C4602" s="20">
        <v>20204.0</v>
      </c>
      <c r="D4602" s="19" t="str">
        <f t="shared" si="1"/>
        <v> </v>
      </c>
      <c r="E4602" s="19" t="str">
        <f t="shared" si="2"/>
        <v> </v>
      </c>
      <c r="F4602" s="21"/>
    </row>
    <row r="4603">
      <c r="A4603" s="19">
        <v>16328.0</v>
      </c>
      <c r="B4603" s="19" t="s">
        <v>4604</v>
      </c>
      <c r="C4603" s="20">
        <v>18603.0</v>
      </c>
      <c r="D4603" s="19" t="str">
        <f t="shared" si="1"/>
        <v> </v>
      </c>
      <c r="E4603" s="19" t="str">
        <f t="shared" si="2"/>
        <v> </v>
      </c>
      <c r="F4603" s="21"/>
    </row>
    <row r="4604">
      <c r="A4604" s="19">
        <v>16329.0</v>
      </c>
      <c r="B4604" s="19" t="s">
        <v>4605</v>
      </c>
      <c r="C4604" s="20">
        <v>23619.0</v>
      </c>
      <c r="D4604" s="19" t="str">
        <f t="shared" si="1"/>
        <v> </v>
      </c>
      <c r="E4604" s="19" t="str">
        <f t="shared" si="2"/>
        <v> </v>
      </c>
      <c r="F4604" s="21"/>
    </row>
    <row r="4605">
      <c r="A4605" s="19">
        <v>16330.0</v>
      </c>
      <c r="B4605" s="19" t="s">
        <v>4606</v>
      </c>
      <c r="C4605" s="20">
        <v>24636.0</v>
      </c>
      <c r="D4605" s="19" t="str">
        <f t="shared" si="1"/>
        <v> </v>
      </c>
      <c r="E4605" s="19" t="str">
        <f t="shared" si="2"/>
        <v> </v>
      </c>
      <c r="F4605" s="21"/>
    </row>
    <row r="4606">
      <c r="A4606" s="19">
        <v>16331.0</v>
      </c>
      <c r="B4606" s="19" t="s">
        <v>4607</v>
      </c>
      <c r="C4606" s="20">
        <v>18606.0</v>
      </c>
      <c r="D4606" s="19" t="str">
        <f t="shared" si="1"/>
        <v> </v>
      </c>
      <c r="E4606" s="19" t="str">
        <f t="shared" si="2"/>
        <v> </v>
      </c>
      <c r="F4606" s="21"/>
    </row>
    <row r="4607">
      <c r="A4607" s="19">
        <v>16332.0</v>
      </c>
      <c r="B4607" s="19" t="s">
        <v>4608</v>
      </c>
      <c r="C4607" s="20">
        <v>35335.0</v>
      </c>
      <c r="D4607" s="19" t="str">
        <f t="shared" si="1"/>
        <v> </v>
      </c>
      <c r="E4607" s="19" t="str">
        <f t="shared" si="2"/>
        <v> </v>
      </c>
      <c r="F4607" s="21"/>
    </row>
    <row r="4608">
      <c r="A4608" s="19">
        <v>16333.0</v>
      </c>
      <c r="B4608" s="19" t="s">
        <v>4609</v>
      </c>
      <c r="C4608" s="20">
        <v>31071.0</v>
      </c>
      <c r="D4608" s="19" t="str">
        <f t="shared" si="1"/>
        <v> </v>
      </c>
      <c r="E4608" s="19" t="str">
        <f t="shared" si="2"/>
        <v> </v>
      </c>
      <c r="F4608" s="21"/>
    </row>
    <row r="4609">
      <c r="A4609" s="19">
        <v>16334.0</v>
      </c>
      <c r="B4609" s="19" t="s">
        <v>4610</v>
      </c>
      <c r="C4609" s="20">
        <v>16945.0</v>
      </c>
      <c r="D4609" s="19" t="str">
        <f t="shared" si="1"/>
        <v> </v>
      </c>
      <c r="E4609" s="19" t="str">
        <f t="shared" si="2"/>
        <v> </v>
      </c>
      <c r="F4609" s="21"/>
    </row>
    <row r="4610">
      <c r="A4610" s="19">
        <v>16335.0</v>
      </c>
      <c r="B4610" s="19" t="s">
        <v>4611</v>
      </c>
      <c r="C4610" s="20">
        <v>32209.0</v>
      </c>
      <c r="D4610" s="19" t="str">
        <f t="shared" si="1"/>
        <v> </v>
      </c>
      <c r="E4610" s="19" t="str">
        <f t="shared" si="2"/>
        <v> </v>
      </c>
      <c r="F4610" s="21"/>
    </row>
    <row r="4611">
      <c r="A4611" s="19">
        <v>16336.0</v>
      </c>
      <c r="B4611" s="19" t="s">
        <v>4612</v>
      </c>
      <c r="C4611" s="20">
        <v>20145.0</v>
      </c>
      <c r="D4611" s="19" t="str">
        <f t="shared" si="1"/>
        <v> </v>
      </c>
      <c r="E4611" s="19" t="str">
        <f t="shared" si="2"/>
        <v> </v>
      </c>
      <c r="F4611" s="21"/>
    </row>
    <row r="4612">
      <c r="A4612" s="19">
        <v>16337.0</v>
      </c>
      <c r="B4612" s="19" t="s">
        <v>4613</v>
      </c>
      <c r="C4612" s="20">
        <v>19762.0</v>
      </c>
      <c r="D4612" s="19" t="str">
        <f t="shared" si="1"/>
        <v> </v>
      </c>
      <c r="E4612" s="19" t="str">
        <f t="shared" si="2"/>
        <v> </v>
      </c>
      <c r="F4612" s="21"/>
    </row>
    <row r="4613">
      <c r="A4613" s="19">
        <v>16338.0</v>
      </c>
      <c r="B4613" s="19" t="s">
        <v>4614</v>
      </c>
      <c r="C4613" s="20">
        <v>21227.0</v>
      </c>
      <c r="D4613" s="19" t="str">
        <f t="shared" si="1"/>
        <v> </v>
      </c>
      <c r="E4613" s="19" t="str">
        <f t="shared" si="2"/>
        <v> </v>
      </c>
      <c r="F4613" s="21"/>
    </row>
    <row r="4614">
      <c r="A4614" s="19">
        <v>16339.0</v>
      </c>
      <c r="B4614" s="19" t="s">
        <v>4615</v>
      </c>
      <c r="C4614" s="20">
        <v>29836.0</v>
      </c>
      <c r="D4614" s="19" t="str">
        <f t="shared" si="1"/>
        <v> </v>
      </c>
      <c r="E4614" s="19" t="str">
        <f t="shared" si="2"/>
        <v> </v>
      </c>
      <c r="F4614" s="21"/>
    </row>
    <row r="4615">
      <c r="A4615" s="19">
        <v>16340.0</v>
      </c>
      <c r="B4615" s="19" t="s">
        <v>4616</v>
      </c>
      <c r="C4615" s="20">
        <v>21007.0</v>
      </c>
      <c r="D4615" s="19" t="str">
        <f t="shared" si="1"/>
        <v> </v>
      </c>
      <c r="E4615" s="19" t="str">
        <f t="shared" si="2"/>
        <v> </v>
      </c>
      <c r="F4615" s="21"/>
    </row>
    <row r="4616">
      <c r="A4616" s="19">
        <v>16341.0</v>
      </c>
      <c r="B4616" s="19" t="s">
        <v>4617</v>
      </c>
      <c r="C4616" s="20">
        <v>22969.0</v>
      </c>
      <c r="D4616" s="19" t="str">
        <f t="shared" si="1"/>
        <v> </v>
      </c>
      <c r="E4616" s="19" t="str">
        <f t="shared" si="2"/>
        <v> </v>
      </c>
      <c r="F4616" s="21"/>
    </row>
    <row r="4617">
      <c r="A4617" s="19">
        <v>16342.0</v>
      </c>
      <c r="B4617" s="19" t="s">
        <v>4618</v>
      </c>
      <c r="C4617" s="20">
        <v>31335.0</v>
      </c>
      <c r="D4617" s="19" t="str">
        <f t="shared" si="1"/>
        <v> </v>
      </c>
      <c r="E4617" s="19" t="str">
        <f t="shared" si="2"/>
        <v> </v>
      </c>
      <c r="F4617" s="21"/>
    </row>
    <row r="4618">
      <c r="A4618" s="19">
        <v>16343.0</v>
      </c>
      <c r="B4618" s="19" t="s">
        <v>3080</v>
      </c>
      <c r="C4618" s="20">
        <v>22755.0</v>
      </c>
      <c r="D4618" s="19" t="str">
        <f t="shared" si="1"/>
        <v>Repeat</v>
      </c>
      <c r="E4618" s="19" t="str">
        <f t="shared" si="2"/>
        <v> </v>
      </c>
      <c r="F4618" s="21"/>
    </row>
    <row r="4619">
      <c r="A4619" s="19">
        <v>16344.0</v>
      </c>
      <c r="B4619" s="19" t="s">
        <v>4619</v>
      </c>
      <c r="C4619" s="20">
        <v>36990.0</v>
      </c>
      <c r="D4619" s="19" t="str">
        <f t="shared" si="1"/>
        <v> </v>
      </c>
      <c r="E4619" s="19" t="str">
        <f t="shared" si="2"/>
        <v> </v>
      </c>
      <c r="F4619" s="21"/>
    </row>
    <row r="4620">
      <c r="A4620" s="19">
        <v>16345.0</v>
      </c>
      <c r="B4620" s="19" t="s">
        <v>4620</v>
      </c>
      <c r="C4620" s="20">
        <v>25107.0</v>
      </c>
      <c r="D4620" s="19" t="str">
        <f t="shared" si="1"/>
        <v> </v>
      </c>
      <c r="E4620" s="19" t="str">
        <f t="shared" si="2"/>
        <v> </v>
      </c>
      <c r="F4620" s="21"/>
    </row>
    <row r="4621">
      <c r="A4621" s="19">
        <v>16346.0</v>
      </c>
      <c r="B4621" s="19" t="s">
        <v>4621</v>
      </c>
      <c r="C4621" s="20">
        <v>18157.0</v>
      </c>
      <c r="D4621" s="19" t="str">
        <f t="shared" si="1"/>
        <v> </v>
      </c>
      <c r="E4621" s="19" t="str">
        <f t="shared" si="2"/>
        <v> </v>
      </c>
      <c r="F4621" s="21"/>
    </row>
    <row r="4622">
      <c r="A4622" s="19">
        <v>16347.0</v>
      </c>
      <c r="B4622" s="19" t="s">
        <v>4622</v>
      </c>
      <c r="C4622" s="20">
        <v>21818.0</v>
      </c>
      <c r="D4622" s="19" t="str">
        <f t="shared" si="1"/>
        <v> </v>
      </c>
      <c r="E4622" s="19" t="str">
        <f t="shared" si="2"/>
        <v> </v>
      </c>
      <c r="F4622" s="21"/>
    </row>
    <row r="4623">
      <c r="A4623" s="19">
        <v>16348.0</v>
      </c>
      <c r="B4623" s="19" t="s">
        <v>4623</v>
      </c>
      <c r="C4623" s="20">
        <v>15288.0</v>
      </c>
      <c r="D4623" s="19" t="str">
        <f t="shared" si="1"/>
        <v> </v>
      </c>
      <c r="E4623" s="19" t="str">
        <f t="shared" si="2"/>
        <v> </v>
      </c>
      <c r="F4623" s="21"/>
    </row>
    <row r="4624">
      <c r="A4624" s="19">
        <v>16349.0</v>
      </c>
      <c r="B4624" s="19" t="s">
        <v>4624</v>
      </c>
      <c r="C4624" s="20">
        <v>13922.0</v>
      </c>
      <c r="D4624" s="19" t="str">
        <f t="shared" si="1"/>
        <v> </v>
      </c>
      <c r="E4624" s="19" t="str">
        <f t="shared" si="2"/>
        <v> </v>
      </c>
      <c r="F4624" s="21"/>
    </row>
    <row r="4625">
      <c r="A4625" s="19">
        <v>16350.0</v>
      </c>
      <c r="B4625" s="19" t="s">
        <v>4625</v>
      </c>
      <c r="C4625" s="20">
        <v>22243.0</v>
      </c>
      <c r="D4625" s="19" t="str">
        <f t="shared" si="1"/>
        <v> </v>
      </c>
      <c r="E4625" s="19" t="str">
        <f t="shared" si="2"/>
        <v> </v>
      </c>
      <c r="F4625" s="21"/>
    </row>
    <row r="4626">
      <c r="A4626" s="19">
        <v>16352.0</v>
      </c>
      <c r="B4626" s="19" t="s">
        <v>4626</v>
      </c>
      <c r="C4626" s="20">
        <v>15725.0</v>
      </c>
      <c r="D4626" s="19" t="str">
        <f t="shared" si="1"/>
        <v> </v>
      </c>
      <c r="E4626" s="19" t="str">
        <f t="shared" si="2"/>
        <v> </v>
      </c>
      <c r="F4626" s="21"/>
    </row>
    <row r="4627">
      <c r="A4627" s="19">
        <v>16353.0</v>
      </c>
      <c r="B4627" s="19" t="s">
        <v>4627</v>
      </c>
      <c r="C4627" s="20">
        <v>14083.0</v>
      </c>
      <c r="D4627" s="19" t="str">
        <f t="shared" si="1"/>
        <v> </v>
      </c>
      <c r="E4627" s="19" t="str">
        <f t="shared" si="2"/>
        <v> </v>
      </c>
      <c r="F4627" s="21"/>
    </row>
    <row r="4628">
      <c r="A4628" s="19">
        <v>16354.0</v>
      </c>
      <c r="B4628" s="19" t="s">
        <v>4628</v>
      </c>
      <c r="C4628" s="20">
        <v>15506.0</v>
      </c>
      <c r="D4628" s="19" t="str">
        <f t="shared" si="1"/>
        <v> </v>
      </c>
      <c r="E4628" s="19" t="str">
        <f t="shared" si="2"/>
        <v> </v>
      </c>
      <c r="F4628" s="21"/>
    </row>
    <row r="4629">
      <c r="A4629" s="19">
        <v>16355.0</v>
      </c>
      <c r="B4629" s="19" t="s">
        <v>4629</v>
      </c>
      <c r="C4629" s="20">
        <v>13948.0</v>
      </c>
      <c r="D4629" s="19" t="str">
        <f t="shared" si="1"/>
        <v> </v>
      </c>
      <c r="E4629" s="19" t="str">
        <f t="shared" si="2"/>
        <v> </v>
      </c>
      <c r="F4629" s="21"/>
    </row>
    <row r="4630">
      <c r="A4630" s="19">
        <v>16356.0</v>
      </c>
      <c r="B4630" s="19" t="s">
        <v>4630</v>
      </c>
      <c r="C4630" s="20">
        <v>15053.0</v>
      </c>
      <c r="D4630" s="19" t="str">
        <f t="shared" si="1"/>
        <v> </v>
      </c>
      <c r="E4630" s="19" t="str">
        <f t="shared" si="2"/>
        <v> </v>
      </c>
      <c r="F4630" s="21"/>
    </row>
    <row r="4631">
      <c r="A4631" s="19">
        <v>16357.0</v>
      </c>
      <c r="B4631" s="19" t="s">
        <v>4631</v>
      </c>
      <c r="C4631" s="20">
        <v>22879.0</v>
      </c>
      <c r="D4631" s="19" t="str">
        <f t="shared" si="1"/>
        <v> </v>
      </c>
      <c r="E4631" s="19" t="str">
        <f t="shared" si="2"/>
        <v> </v>
      </c>
      <c r="F4631" s="21"/>
    </row>
    <row r="4632">
      <c r="A4632" s="19">
        <v>16358.0</v>
      </c>
      <c r="B4632" s="19" t="s">
        <v>4632</v>
      </c>
      <c r="C4632" s="20">
        <v>34143.0</v>
      </c>
      <c r="D4632" s="19" t="str">
        <f t="shared" si="1"/>
        <v> </v>
      </c>
      <c r="E4632" s="19" t="str">
        <f t="shared" si="2"/>
        <v> </v>
      </c>
      <c r="F4632" s="21"/>
    </row>
    <row r="4633">
      <c r="A4633" s="19">
        <v>16359.0</v>
      </c>
      <c r="B4633" s="19" t="s">
        <v>4633</v>
      </c>
      <c r="C4633" s="20">
        <v>19129.0</v>
      </c>
      <c r="D4633" s="19" t="str">
        <f t="shared" si="1"/>
        <v> </v>
      </c>
      <c r="E4633" s="19" t="str">
        <f t="shared" si="2"/>
        <v> </v>
      </c>
      <c r="F4633" s="21"/>
    </row>
    <row r="4634">
      <c r="A4634" s="19">
        <v>16360.0</v>
      </c>
      <c r="B4634" s="19" t="s">
        <v>4634</v>
      </c>
      <c r="C4634" s="20">
        <v>27597.0</v>
      </c>
      <c r="D4634" s="19" t="str">
        <f t="shared" si="1"/>
        <v> </v>
      </c>
      <c r="E4634" s="19" t="str">
        <f t="shared" si="2"/>
        <v> </v>
      </c>
      <c r="F4634" s="21"/>
    </row>
    <row r="4635">
      <c r="A4635" s="19">
        <v>16361.0</v>
      </c>
      <c r="B4635" s="19" t="s">
        <v>4635</v>
      </c>
      <c r="C4635" s="20">
        <v>22156.0</v>
      </c>
      <c r="D4635" s="19" t="str">
        <f t="shared" si="1"/>
        <v> </v>
      </c>
      <c r="E4635" s="19" t="str">
        <f t="shared" si="2"/>
        <v> </v>
      </c>
      <c r="F4635" s="21"/>
    </row>
    <row r="4636">
      <c r="A4636" s="19">
        <v>16362.0</v>
      </c>
      <c r="B4636" s="19" t="s">
        <v>4636</v>
      </c>
      <c r="C4636" s="20">
        <v>26714.0</v>
      </c>
      <c r="D4636" s="19" t="str">
        <f t="shared" si="1"/>
        <v>Repeat</v>
      </c>
      <c r="E4636" s="19" t="str">
        <f t="shared" si="2"/>
        <v> </v>
      </c>
      <c r="F4636" s="21"/>
    </row>
    <row r="4637">
      <c r="A4637" s="19">
        <v>16363.0</v>
      </c>
      <c r="B4637" s="19" t="s">
        <v>4637</v>
      </c>
      <c r="C4637" s="20">
        <v>16762.0</v>
      </c>
      <c r="D4637" s="19" t="str">
        <f t="shared" si="1"/>
        <v> </v>
      </c>
      <c r="E4637" s="19" t="str">
        <f t="shared" si="2"/>
        <v> </v>
      </c>
      <c r="F4637" s="21"/>
    </row>
    <row r="4638">
      <c r="A4638" s="19">
        <v>16364.0</v>
      </c>
      <c r="B4638" s="19" t="s">
        <v>4638</v>
      </c>
      <c r="C4638" s="20">
        <v>32591.0</v>
      </c>
      <c r="D4638" s="19" t="str">
        <f t="shared" si="1"/>
        <v> </v>
      </c>
      <c r="E4638" s="19" t="str">
        <f t="shared" si="2"/>
        <v> </v>
      </c>
      <c r="F4638" s="21"/>
    </row>
    <row r="4639">
      <c r="A4639" s="19">
        <v>16365.0</v>
      </c>
      <c r="B4639" s="19" t="s">
        <v>4639</v>
      </c>
      <c r="C4639" s="20">
        <v>26324.0</v>
      </c>
      <c r="D4639" s="19" t="str">
        <f t="shared" si="1"/>
        <v> </v>
      </c>
      <c r="E4639" s="19" t="str">
        <f t="shared" si="2"/>
        <v> </v>
      </c>
      <c r="F4639" s="21"/>
    </row>
    <row r="4640">
      <c r="A4640" s="19">
        <v>16366.0</v>
      </c>
      <c r="B4640" s="19" t="s">
        <v>4640</v>
      </c>
      <c r="C4640" s="20">
        <v>25871.0</v>
      </c>
      <c r="D4640" s="19" t="str">
        <f t="shared" si="1"/>
        <v> </v>
      </c>
      <c r="E4640" s="19" t="str">
        <f t="shared" si="2"/>
        <v> </v>
      </c>
      <c r="F4640" s="21"/>
    </row>
    <row r="4641">
      <c r="A4641" s="19">
        <v>16368.0</v>
      </c>
      <c r="B4641" s="19" t="s">
        <v>4641</v>
      </c>
      <c r="C4641" s="20">
        <v>33256.0</v>
      </c>
      <c r="D4641" s="19" t="str">
        <f t="shared" si="1"/>
        <v> </v>
      </c>
      <c r="E4641" s="19" t="str">
        <f t="shared" si="2"/>
        <v> </v>
      </c>
      <c r="F4641" s="21"/>
    </row>
    <row r="4642">
      <c r="A4642" s="19">
        <v>16370.0</v>
      </c>
      <c r="B4642" s="19" t="s">
        <v>4642</v>
      </c>
      <c r="C4642" s="20">
        <v>16144.0</v>
      </c>
      <c r="D4642" s="19" t="str">
        <f t="shared" si="1"/>
        <v> </v>
      </c>
      <c r="E4642" s="19" t="str">
        <f t="shared" si="2"/>
        <v> </v>
      </c>
      <c r="F4642" s="21"/>
    </row>
    <row r="4643">
      <c r="A4643" s="19">
        <v>16371.0</v>
      </c>
      <c r="B4643" s="19" t="s">
        <v>4643</v>
      </c>
      <c r="C4643" s="20">
        <v>32368.0</v>
      </c>
      <c r="D4643" s="19" t="str">
        <f t="shared" si="1"/>
        <v> </v>
      </c>
      <c r="E4643" s="19" t="str">
        <f t="shared" si="2"/>
        <v> </v>
      </c>
      <c r="F4643" s="21"/>
    </row>
    <row r="4644">
      <c r="A4644" s="19">
        <v>16372.0</v>
      </c>
      <c r="B4644" s="19" t="s">
        <v>4644</v>
      </c>
      <c r="C4644" s="20">
        <v>15209.0</v>
      </c>
      <c r="D4644" s="19" t="str">
        <f t="shared" si="1"/>
        <v> </v>
      </c>
      <c r="E4644" s="19" t="str">
        <f t="shared" si="2"/>
        <v> </v>
      </c>
      <c r="F4644" s="21"/>
    </row>
    <row r="4645">
      <c r="A4645" s="19">
        <v>16373.0</v>
      </c>
      <c r="B4645" s="19" t="s">
        <v>4645</v>
      </c>
      <c r="C4645" s="20">
        <v>20996.0</v>
      </c>
      <c r="D4645" s="19" t="str">
        <f t="shared" si="1"/>
        <v> </v>
      </c>
      <c r="E4645" s="19" t="str">
        <f t="shared" si="2"/>
        <v> </v>
      </c>
      <c r="F4645" s="21"/>
    </row>
    <row r="4646">
      <c r="A4646" s="19">
        <v>16374.0</v>
      </c>
      <c r="B4646" s="19" t="s">
        <v>4646</v>
      </c>
      <c r="C4646" s="20">
        <v>23831.0</v>
      </c>
      <c r="D4646" s="19" t="str">
        <f t="shared" si="1"/>
        <v> </v>
      </c>
      <c r="E4646" s="19" t="str">
        <f t="shared" si="2"/>
        <v> </v>
      </c>
      <c r="F4646" s="21"/>
    </row>
    <row r="4647">
      <c r="A4647" s="19">
        <v>16375.0</v>
      </c>
      <c r="B4647" s="19" t="s">
        <v>4647</v>
      </c>
      <c r="C4647" s="20">
        <v>19442.0</v>
      </c>
      <c r="D4647" s="19" t="str">
        <f t="shared" si="1"/>
        <v> </v>
      </c>
      <c r="E4647" s="19" t="str">
        <f t="shared" si="2"/>
        <v> </v>
      </c>
      <c r="F4647" s="21"/>
    </row>
    <row r="4648">
      <c r="A4648" s="19">
        <v>16376.0</v>
      </c>
      <c r="B4648" s="19" t="s">
        <v>4648</v>
      </c>
      <c r="C4648" s="20">
        <v>30915.0</v>
      </c>
      <c r="D4648" s="19" t="str">
        <f t="shared" si="1"/>
        <v> </v>
      </c>
      <c r="E4648" s="19" t="str">
        <f t="shared" si="2"/>
        <v> </v>
      </c>
      <c r="F4648" s="21"/>
    </row>
    <row r="4649">
      <c r="A4649" s="19">
        <v>16377.0</v>
      </c>
      <c r="B4649" s="19" t="s">
        <v>4649</v>
      </c>
      <c r="C4649" s="20">
        <v>26719.0</v>
      </c>
      <c r="D4649" s="19" t="str">
        <f t="shared" si="1"/>
        <v> </v>
      </c>
      <c r="E4649" s="19" t="str">
        <f t="shared" si="2"/>
        <v> </v>
      </c>
      <c r="F4649" s="21"/>
    </row>
    <row r="4650">
      <c r="A4650" s="19">
        <v>16378.0</v>
      </c>
      <c r="B4650" s="19" t="s">
        <v>4650</v>
      </c>
      <c r="C4650" s="20">
        <v>28236.0</v>
      </c>
      <c r="D4650" s="19" t="str">
        <f t="shared" si="1"/>
        <v> </v>
      </c>
      <c r="E4650" s="19" t="str">
        <f t="shared" si="2"/>
        <v> </v>
      </c>
      <c r="F4650" s="21"/>
    </row>
    <row r="4651">
      <c r="A4651" s="19">
        <v>16379.0</v>
      </c>
      <c r="B4651" s="19" t="s">
        <v>4651</v>
      </c>
      <c r="C4651" s="20">
        <v>29634.0</v>
      </c>
      <c r="D4651" s="19" t="str">
        <f t="shared" si="1"/>
        <v> </v>
      </c>
      <c r="E4651" s="19" t="str">
        <f t="shared" si="2"/>
        <v> </v>
      </c>
      <c r="F4651" s="21"/>
    </row>
    <row r="4652">
      <c r="A4652" s="19">
        <v>16380.0</v>
      </c>
      <c r="B4652" s="19" t="s">
        <v>4652</v>
      </c>
      <c r="C4652" s="20">
        <v>14198.0</v>
      </c>
      <c r="D4652" s="19" t="str">
        <f t="shared" si="1"/>
        <v> </v>
      </c>
      <c r="E4652" s="19" t="str">
        <f t="shared" si="2"/>
        <v> </v>
      </c>
      <c r="F4652" s="21"/>
    </row>
    <row r="4653">
      <c r="A4653" s="19">
        <v>16381.0</v>
      </c>
      <c r="B4653" s="19" t="s">
        <v>4653</v>
      </c>
      <c r="C4653" s="20">
        <v>21829.0</v>
      </c>
      <c r="D4653" s="19" t="str">
        <f t="shared" si="1"/>
        <v> </v>
      </c>
      <c r="E4653" s="19" t="str">
        <f t="shared" si="2"/>
        <v> </v>
      </c>
      <c r="F4653" s="21"/>
    </row>
    <row r="4654">
      <c r="A4654" s="19">
        <v>16382.0</v>
      </c>
      <c r="B4654" s="19" t="s">
        <v>4654</v>
      </c>
      <c r="C4654" s="20">
        <v>34529.0</v>
      </c>
      <c r="D4654" s="19" t="str">
        <f t="shared" si="1"/>
        <v> </v>
      </c>
      <c r="E4654" s="19" t="str">
        <f t="shared" si="2"/>
        <v> </v>
      </c>
      <c r="F4654" s="21"/>
    </row>
    <row r="4655">
      <c r="A4655" s="19">
        <v>16383.0</v>
      </c>
      <c r="B4655" s="19" t="s">
        <v>4655</v>
      </c>
      <c r="C4655" s="20">
        <v>13721.0</v>
      </c>
      <c r="D4655" s="19" t="str">
        <f t="shared" si="1"/>
        <v> </v>
      </c>
      <c r="E4655" s="19" t="str">
        <f t="shared" si="2"/>
        <v> </v>
      </c>
      <c r="F4655" s="21"/>
    </row>
    <row r="4656">
      <c r="A4656" s="19">
        <v>16384.0</v>
      </c>
      <c r="B4656" s="19" t="s">
        <v>4656</v>
      </c>
      <c r="C4656" s="20">
        <v>22210.0</v>
      </c>
      <c r="D4656" s="19" t="str">
        <f t="shared" si="1"/>
        <v> </v>
      </c>
      <c r="E4656" s="19" t="str">
        <f t="shared" si="2"/>
        <v> </v>
      </c>
      <c r="F4656" s="21"/>
    </row>
    <row r="4657">
      <c r="A4657" s="19">
        <v>16387.0</v>
      </c>
      <c r="B4657" s="19" t="s">
        <v>4657</v>
      </c>
      <c r="C4657" s="20">
        <v>21921.0</v>
      </c>
      <c r="D4657" s="19" t="str">
        <f t="shared" si="1"/>
        <v> </v>
      </c>
      <c r="E4657" s="19" t="str">
        <f t="shared" si="2"/>
        <v> </v>
      </c>
      <c r="F4657" s="21"/>
    </row>
    <row r="4658">
      <c r="A4658" s="19">
        <v>16388.0</v>
      </c>
      <c r="B4658" s="19" t="s">
        <v>4658</v>
      </c>
      <c r="C4658" s="20">
        <v>15830.0</v>
      </c>
      <c r="D4658" s="19" t="str">
        <f t="shared" si="1"/>
        <v> </v>
      </c>
      <c r="E4658" s="19" t="str">
        <f t="shared" si="2"/>
        <v> </v>
      </c>
      <c r="F4658" s="21"/>
    </row>
    <row r="4659">
      <c r="A4659" s="19">
        <v>16390.0</v>
      </c>
      <c r="B4659" s="19" t="s">
        <v>4659</v>
      </c>
      <c r="C4659" s="20">
        <v>17473.0</v>
      </c>
      <c r="D4659" s="19" t="str">
        <f t="shared" si="1"/>
        <v> </v>
      </c>
      <c r="E4659" s="19" t="str">
        <f t="shared" si="2"/>
        <v> </v>
      </c>
      <c r="F4659" s="21"/>
    </row>
    <row r="4660">
      <c r="A4660" s="19">
        <v>16391.0</v>
      </c>
      <c r="B4660" s="19" t="s">
        <v>4660</v>
      </c>
      <c r="C4660" s="20">
        <v>15883.0</v>
      </c>
      <c r="D4660" s="19" t="str">
        <f t="shared" si="1"/>
        <v> </v>
      </c>
      <c r="E4660" s="19" t="str">
        <f t="shared" si="2"/>
        <v> </v>
      </c>
      <c r="F4660" s="21"/>
    </row>
    <row r="4661">
      <c r="A4661" s="19">
        <v>16392.0</v>
      </c>
      <c r="B4661" s="19" t="s">
        <v>4661</v>
      </c>
      <c r="C4661" s="20">
        <v>29159.0</v>
      </c>
      <c r="D4661" s="19" t="str">
        <f t="shared" si="1"/>
        <v> </v>
      </c>
      <c r="E4661" s="19" t="str">
        <f t="shared" si="2"/>
        <v> </v>
      </c>
      <c r="F4661" s="21"/>
    </row>
    <row r="4662">
      <c r="A4662" s="19">
        <v>16395.0</v>
      </c>
      <c r="B4662" s="19" t="s">
        <v>4662</v>
      </c>
      <c r="C4662" s="20">
        <v>34341.0</v>
      </c>
      <c r="D4662" s="19" t="str">
        <f t="shared" si="1"/>
        <v> </v>
      </c>
      <c r="E4662" s="19" t="str">
        <f t="shared" si="2"/>
        <v> </v>
      </c>
      <c r="F4662" s="21"/>
    </row>
    <row r="4663">
      <c r="A4663" s="19">
        <v>16398.0</v>
      </c>
      <c r="B4663" s="19" t="s">
        <v>4663</v>
      </c>
      <c r="C4663" s="20">
        <v>17697.0</v>
      </c>
      <c r="D4663" s="19" t="str">
        <f t="shared" si="1"/>
        <v> </v>
      </c>
      <c r="E4663" s="19" t="str">
        <f t="shared" si="2"/>
        <v> </v>
      </c>
      <c r="F4663" s="21"/>
    </row>
    <row r="4664">
      <c r="A4664" s="19">
        <v>16399.0</v>
      </c>
      <c r="B4664" s="19" t="s">
        <v>4664</v>
      </c>
      <c r="C4664" s="20">
        <v>19889.0</v>
      </c>
      <c r="D4664" s="19" t="str">
        <f t="shared" si="1"/>
        <v> </v>
      </c>
      <c r="E4664" s="19" t="str">
        <f t="shared" si="2"/>
        <v> </v>
      </c>
      <c r="F4664" s="21"/>
    </row>
    <row r="4665">
      <c r="A4665" s="19">
        <v>16401.0</v>
      </c>
      <c r="B4665" s="19" t="s">
        <v>4665</v>
      </c>
      <c r="C4665" s="20">
        <v>23628.0</v>
      </c>
      <c r="D4665" s="19" t="str">
        <f t="shared" si="1"/>
        <v> </v>
      </c>
      <c r="E4665" s="19" t="str">
        <f t="shared" si="2"/>
        <v> </v>
      </c>
      <c r="F4665" s="21"/>
    </row>
    <row r="4666">
      <c r="A4666" s="19">
        <v>16402.0</v>
      </c>
      <c r="B4666" s="19" t="s">
        <v>4666</v>
      </c>
      <c r="C4666" s="20">
        <v>16827.0</v>
      </c>
      <c r="D4666" s="19" t="str">
        <f t="shared" si="1"/>
        <v> </v>
      </c>
      <c r="E4666" s="19" t="str">
        <f t="shared" si="2"/>
        <v> </v>
      </c>
      <c r="F4666" s="21"/>
    </row>
    <row r="4667">
      <c r="A4667" s="19">
        <v>16403.0</v>
      </c>
      <c r="B4667" s="19" t="s">
        <v>4667</v>
      </c>
      <c r="C4667" s="20">
        <v>14184.0</v>
      </c>
      <c r="D4667" s="19" t="str">
        <f t="shared" si="1"/>
        <v> </v>
      </c>
      <c r="E4667" s="19" t="str">
        <f t="shared" si="2"/>
        <v> </v>
      </c>
      <c r="F4667" s="21"/>
    </row>
    <row r="4668">
      <c r="A4668" s="19">
        <v>16404.0</v>
      </c>
      <c r="B4668" s="19" t="s">
        <v>4668</v>
      </c>
      <c r="C4668" s="20">
        <v>21743.0</v>
      </c>
      <c r="D4668" s="19" t="str">
        <f t="shared" si="1"/>
        <v> </v>
      </c>
      <c r="E4668" s="19" t="str">
        <f t="shared" si="2"/>
        <v> </v>
      </c>
      <c r="F4668" s="21"/>
    </row>
    <row r="4669">
      <c r="A4669" s="19">
        <v>16407.0</v>
      </c>
      <c r="B4669" s="19" t="s">
        <v>4669</v>
      </c>
      <c r="C4669" s="20">
        <v>30011.0</v>
      </c>
      <c r="D4669" s="19" t="str">
        <f t="shared" si="1"/>
        <v> </v>
      </c>
      <c r="E4669" s="19" t="str">
        <f t="shared" si="2"/>
        <v> </v>
      </c>
      <c r="F4669" s="21"/>
    </row>
    <row r="4670">
      <c r="A4670" s="19">
        <v>16408.0</v>
      </c>
      <c r="B4670" s="19" t="s">
        <v>4670</v>
      </c>
      <c r="C4670" s="20">
        <v>17007.0</v>
      </c>
      <c r="D4670" s="19" t="str">
        <f t="shared" si="1"/>
        <v> </v>
      </c>
      <c r="E4670" s="19" t="str">
        <f t="shared" si="2"/>
        <v> </v>
      </c>
      <c r="F4670" s="21"/>
    </row>
    <row r="4671">
      <c r="A4671" s="19">
        <v>16409.0</v>
      </c>
      <c r="B4671" s="19" t="s">
        <v>4671</v>
      </c>
      <c r="C4671" s="20">
        <v>19377.0</v>
      </c>
      <c r="D4671" s="19" t="str">
        <f t="shared" si="1"/>
        <v> </v>
      </c>
      <c r="E4671" s="19" t="str">
        <f t="shared" si="2"/>
        <v> </v>
      </c>
      <c r="F4671" s="21"/>
    </row>
    <row r="4672">
      <c r="A4672" s="19">
        <v>16411.0</v>
      </c>
      <c r="B4672" s="19" t="s">
        <v>455</v>
      </c>
      <c r="C4672" s="20">
        <v>19376.0</v>
      </c>
      <c r="D4672" s="19" t="str">
        <f t="shared" si="1"/>
        <v>Repeat</v>
      </c>
      <c r="E4672" s="19" t="str">
        <f t="shared" si="2"/>
        <v> </v>
      </c>
      <c r="F4672" s="21"/>
    </row>
    <row r="4673">
      <c r="A4673" s="19">
        <v>16412.0</v>
      </c>
      <c r="B4673" s="19" t="s">
        <v>4672</v>
      </c>
      <c r="C4673" s="20">
        <v>16226.0</v>
      </c>
      <c r="D4673" s="19" t="str">
        <f t="shared" si="1"/>
        <v> </v>
      </c>
      <c r="E4673" s="19" t="str">
        <f t="shared" si="2"/>
        <v> </v>
      </c>
      <c r="F4673" s="21"/>
    </row>
    <row r="4674">
      <c r="A4674" s="19">
        <v>16413.0</v>
      </c>
      <c r="B4674" s="19" t="s">
        <v>2384</v>
      </c>
      <c r="C4674" s="20">
        <v>17781.0</v>
      </c>
      <c r="D4674" s="19" t="str">
        <f t="shared" si="1"/>
        <v>Repeat</v>
      </c>
      <c r="E4674" s="19" t="str">
        <f t="shared" si="2"/>
        <v> </v>
      </c>
      <c r="F4674" s="21"/>
    </row>
    <row r="4675">
      <c r="A4675" s="19">
        <v>16414.0</v>
      </c>
      <c r="B4675" s="19" t="s">
        <v>4673</v>
      </c>
      <c r="C4675" s="20">
        <v>12283.0</v>
      </c>
      <c r="D4675" s="19" t="str">
        <f t="shared" si="1"/>
        <v> </v>
      </c>
      <c r="E4675" s="19" t="str">
        <f t="shared" si="2"/>
        <v> </v>
      </c>
      <c r="F4675" s="21"/>
    </row>
    <row r="4676">
      <c r="A4676" s="19">
        <v>16415.0</v>
      </c>
      <c r="B4676" s="19" t="s">
        <v>4674</v>
      </c>
      <c r="C4676" s="20">
        <v>31942.0</v>
      </c>
      <c r="D4676" s="19" t="str">
        <f t="shared" si="1"/>
        <v> </v>
      </c>
      <c r="E4676" s="19" t="str">
        <f t="shared" si="2"/>
        <v> </v>
      </c>
      <c r="F4676" s="21"/>
    </row>
    <row r="4677">
      <c r="A4677" s="19">
        <v>16417.0</v>
      </c>
      <c r="B4677" s="19" t="s">
        <v>4675</v>
      </c>
      <c r="C4677" s="20">
        <v>29034.0</v>
      </c>
      <c r="D4677" s="19" t="str">
        <f t="shared" si="1"/>
        <v> </v>
      </c>
      <c r="E4677" s="19" t="str">
        <f t="shared" si="2"/>
        <v> </v>
      </c>
      <c r="F4677" s="21"/>
    </row>
    <row r="4678">
      <c r="A4678" s="19">
        <v>16420.0</v>
      </c>
      <c r="B4678" s="19" t="s">
        <v>4676</v>
      </c>
      <c r="C4678" s="20">
        <v>24177.0</v>
      </c>
      <c r="D4678" s="19" t="str">
        <f t="shared" si="1"/>
        <v> </v>
      </c>
      <c r="E4678" s="19" t="str">
        <f t="shared" si="2"/>
        <v> </v>
      </c>
      <c r="F4678" s="21"/>
    </row>
    <row r="4679">
      <c r="A4679" s="19">
        <v>16421.0</v>
      </c>
      <c r="B4679" s="19" t="s">
        <v>4677</v>
      </c>
      <c r="C4679" s="20">
        <v>22284.0</v>
      </c>
      <c r="D4679" s="19" t="str">
        <f t="shared" si="1"/>
        <v> </v>
      </c>
      <c r="E4679" s="19" t="str">
        <f t="shared" si="2"/>
        <v> </v>
      </c>
      <c r="F4679" s="21"/>
    </row>
    <row r="4680">
      <c r="A4680" s="19">
        <v>16425.0</v>
      </c>
      <c r="B4680" s="19" t="s">
        <v>4678</v>
      </c>
      <c r="C4680" s="20">
        <v>28522.0</v>
      </c>
      <c r="D4680" s="19" t="str">
        <f t="shared" si="1"/>
        <v> </v>
      </c>
      <c r="E4680" s="19" t="str">
        <f t="shared" si="2"/>
        <v> </v>
      </c>
      <c r="F4680" s="21"/>
    </row>
    <row r="4681">
      <c r="A4681" s="19">
        <v>16426.0</v>
      </c>
      <c r="B4681" s="19" t="s">
        <v>2231</v>
      </c>
      <c r="C4681" s="20">
        <v>12302.0</v>
      </c>
      <c r="D4681" s="19" t="str">
        <f t="shared" si="1"/>
        <v>Repeat</v>
      </c>
      <c r="E4681" s="19" t="str">
        <f t="shared" si="2"/>
        <v> </v>
      </c>
      <c r="F4681" s="21"/>
    </row>
    <row r="4682">
      <c r="A4682" s="19">
        <v>16427.0</v>
      </c>
      <c r="B4682" s="19" t="s">
        <v>4679</v>
      </c>
      <c r="C4682" s="20">
        <v>24828.0</v>
      </c>
      <c r="D4682" s="19" t="str">
        <f t="shared" si="1"/>
        <v> </v>
      </c>
      <c r="E4682" s="19" t="str">
        <f t="shared" si="2"/>
        <v> </v>
      </c>
      <c r="F4682" s="21"/>
    </row>
    <row r="4683">
      <c r="A4683" s="19">
        <v>16429.0</v>
      </c>
      <c r="B4683" s="19" t="s">
        <v>4680</v>
      </c>
      <c r="C4683" s="20">
        <v>14422.0</v>
      </c>
      <c r="D4683" s="19" t="str">
        <f t="shared" si="1"/>
        <v> </v>
      </c>
      <c r="E4683" s="19" t="str">
        <f t="shared" si="2"/>
        <v> </v>
      </c>
      <c r="F4683" s="21"/>
    </row>
    <row r="4684">
      <c r="A4684" s="19">
        <v>16430.0</v>
      </c>
      <c r="B4684" s="19" t="s">
        <v>4681</v>
      </c>
      <c r="C4684" s="20">
        <v>24420.0</v>
      </c>
      <c r="D4684" s="19" t="str">
        <f t="shared" si="1"/>
        <v> </v>
      </c>
      <c r="E4684" s="19" t="str">
        <f t="shared" si="2"/>
        <v> </v>
      </c>
      <c r="F4684" s="21"/>
    </row>
    <row r="4685">
      <c r="A4685" s="19">
        <v>16431.0</v>
      </c>
      <c r="B4685" s="19" t="s">
        <v>4682</v>
      </c>
      <c r="C4685" s="20">
        <v>18157.0</v>
      </c>
      <c r="D4685" s="19" t="str">
        <f t="shared" si="1"/>
        <v> </v>
      </c>
      <c r="E4685" s="19" t="str">
        <f t="shared" si="2"/>
        <v> </v>
      </c>
      <c r="F4685" s="21"/>
    </row>
    <row r="4686">
      <c r="A4686" s="19">
        <v>16432.0</v>
      </c>
      <c r="B4686" s="19" t="s">
        <v>4683</v>
      </c>
      <c r="C4686" s="20">
        <v>29938.0</v>
      </c>
      <c r="D4686" s="19" t="str">
        <f t="shared" si="1"/>
        <v> </v>
      </c>
      <c r="E4686" s="19" t="str">
        <f t="shared" si="2"/>
        <v> </v>
      </c>
      <c r="F4686" s="21"/>
    </row>
    <row r="4687">
      <c r="A4687" s="19">
        <v>16433.0</v>
      </c>
      <c r="B4687" s="19" t="s">
        <v>4684</v>
      </c>
      <c r="C4687" s="20">
        <v>22177.0</v>
      </c>
      <c r="D4687" s="19" t="str">
        <f t="shared" si="1"/>
        <v> </v>
      </c>
      <c r="E4687" s="19" t="str">
        <f t="shared" si="2"/>
        <v> </v>
      </c>
      <c r="F4687" s="21"/>
    </row>
    <row r="4688">
      <c r="A4688" s="19">
        <v>16434.0</v>
      </c>
      <c r="B4688" s="19" t="s">
        <v>4685</v>
      </c>
      <c r="C4688" s="20">
        <v>29227.0</v>
      </c>
      <c r="D4688" s="19" t="str">
        <f t="shared" si="1"/>
        <v> </v>
      </c>
      <c r="E4688" s="19" t="str">
        <f t="shared" si="2"/>
        <v> </v>
      </c>
      <c r="F4688" s="21"/>
    </row>
    <row r="4689">
      <c r="A4689" s="19">
        <v>16435.0</v>
      </c>
      <c r="B4689" s="19" t="s">
        <v>4686</v>
      </c>
      <c r="C4689" s="20">
        <v>21752.0</v>
      </c>
      <c r="D4689" s="19" t="str">
        <f t="shared" si="1"/>
        <v> </v>
      </c>
      <c r="E4689" s="19" t="str">
        <f t="shared" si="2"/>
        <v> </v>
      </c>
      <c r="F4689" s="21"/>
    </row>
    <row r="4690">
      <c r="A4690" s="19">
        <v>16436.0</v>
      </c>
      <c r="B4690" s="19" t="s">
        <v>4687</v>
      </c>
      <c r="C4690" s="20">
        <v>18434.0</v>
      </c>
      <c r="D4690" s="19" t="str">
        <f t="shared" si="1"/>
        <v> </v>
      </c>
      <c r="E4690" s="19" t="str">
        <f t="shared" si="2"/>
        <v> </v>
      </c>
      <c r="F4690" s="21"/>
    </row>
    <row r="4691">
      <c r="A4691" s="19">
        <v>16438.0</v>
      </c>
      <c r="B4691" s="19" t="s">
        <v>4688</v>
      </c>
      <c r="C4691" s="20">
        <v>16578.0</v>
      </c>
      <c r="D4691" s="19" t="str">
        <f t="shared" si="1"/>
        <v> </v>
      </c>
      <c r="E4691" s="19" t="str">
        <f t="shared" si="2"/>
        <v> </v>
      </c>
      <c r="F4691" s="21"/>
    </row>
    <row r="4692">
      <c r="A4692" s="19">
        <v>16439.0</v>
      </c>
      <c r="B4692" s="19" t="s">
        <v>4689</v>
      </c>
      <c r="C4692" s="20">
        <v>27354.0</v>
      </c>
      <c r="D4692" s="19" t="str">
        <f t="shared" si="1"/>
        <v> </v>
      </c>
      <c r="E4692" s="19" t="str">
        <f t="shared" si="2"/>
        <v> </v>
      </c>
      <c r="F4692" s="21"/>
    </row>
    <row r="4693">
      <c r="A4693" s="19">
        <v>16441.0</v>
      </c>
      <c r="B4693" s="19" t="s">
        <v>4690</v>
      </c>
      <c r="C4693" s="20">
        <v>22733.0</v>
      </c>
      <c r="D4693" s="19" t="str">
        <f t="shared" si="1"/>
        <v> </v>
      </c>
      <c r="E4693" s="19" t="str">
        <f t="shared" si="2"/>
        <v> </v>
      </c>
      <c r="F4693" s="21"/>
    </row>
    <row r="4694">
      <c r="A4694" s="19">
        <v>16442.0</v>
      </c>
      <c r="B4694" s="19" t="s">
        <v>4691</v>
      </c>
      <c r="C4694" s="20">
        <v>22978.0</v>
      </c>
      <c r="D4694" s="19" t="str">
        <f t="shared" si="1"/>
        <v> </v>
      </c>
      <c r="E4694" s="19" t="str">
        <f t="shared" si="2"/>
        <v> </v>
      </c>
      <c r="F4694" s="21"/>
    </row>
    <row r="4695">
      <c r="A4695" s="19">
        <v>16443.0</v>
      </c>
      <c r="B4695" s="19" t="s">
        <v>4692</v>
      </c>
      <c r="C4695" s="20">
        <v>33995.0</v>
      </c>
      <c r="D4695" s="19" t="str">
        <f t="shared" si="1"/>
        <v> </v>
      </c>
      <c r="E4695" s="19" t="str">
        <f t="shared" si="2"/>
        <v> </v>
      </c>
      <c r="F4695" s="21"/>
    </row>
    <row r="4696">
      <c r="A4696" s="19">
        <v>16444.0</v>
      </c>
      <c r="B4696" s="19" t="s">
        <v>4693</v>
      </c>
      <c r="C4696" s="20">
        <v>13772.0</v>
      </c>
      <c r="D4696" s="19" t="str">
        <f t="shared" si="1"/>
        <v> </v>
      </c>
      <c r="E4696" s="19" t="str">
        <f t="shared" si="2"/>
        <v> </v>
      </c>
      <c r="F4696" s="21"/>
    </row>
    <row r="4697">
      <c r="A4697" s="19">
        <v>16445.0</v>
      </c>
      <c r="B4697" s="19" t="s">
        <v>4694</v>
      </c>
      <c r="C4697" s="20">
        <v>23082.0</v>
      </c>
      <c r="D4697" s="19" t="str">
        <f t="shared" si="1"/>
        <v> </v>
      </c>
      <c r="E4697" s="19" t="str">
        <f t="shared" si="2"/>
        <v> </v>
      </c>
      <c r="F4697" s="21"/>
    </row>
    <row r="4698">
      <c r="A4698" s="19">
        <v>16446.0</v>
      </c>
      <c r="B4698" s="19" t="s">
        <v>4695</v>
      </c>
      <c r="C4698" s="20">
        <v>27864.0</v>
      </c>
      <c r="D4698" s="19" t="str">
        <f t="shared" si="1"/>
        <v> </v>
      </c>
      <c r="E4698" s="19" t="str">
        <f t="shared" si="2"/>
        <v> </v>
      </c>
      <c r="F4698" s="21"/>
    </row>
    <row r="4699">
      <c r="A4699" s="19">
        <v>16448.0</v>
      </c>
      <c r="B4699" s="19" t="s">
        <v>4696</v>
      </c>
      <c r="C4699" s="20">
        <v>31169.0</v>
      </c>
      <c r="D4699" s="19" t="str">
        <f t="shared" si="1"/>
        <v> </v>
      </c>
      <c r="E4699" s="19" t="str">
        <f t="shared" si="2"/>
        <v> </v>
      </c>
      <c r="F4699" s="21"/>
    </row>
    <row r="4700">
      <c r="A4700" s="19">
        <v>16449.0</v>
      </c>
      <c r="B4700" s="19" t="s">
        <v>4697</v>
      </c>
      <c r="C4700" s="20">
        <v>23434.0</v>
      </c>
      <c r="D4700" s="19" t="str">
        <f t="shared" si="1"/>
        <v> </v>
      </c>
      <c r="E4700" s="19" t="str">
        <f t="shared" si="2"/>
        <v> </v>
      </c>
      <c r="F4700" s="21"/>
    </row>
    <row r="4701">
      <c r="A4701" s="19">
        <v>16450.0</v>
      </c>
      <c r="B4701" s="19" t="s">
        <v>4698</v>
      </c>
      <c r="C4701" s="20">
        <v>31453.0</v>
      </c>
      <c r="D4701" s="19" t="str">
        <f t="shared" si="1"/>
        <v> </v>
      </c>
      <c r="E4701" s="19" t="str">
        <f t="shared" si="2"/>
        <v> </v>
      </c>
      <c r="F4701" s="21"/>
    </row>
    <row r="4702">
      <c r="A4702" s="19">
        <v>16451.0</v>
      </c>
      <c r="B4702" s="19" t="s">
        <v>4699</v>
      </c>
      <c r="C4702" s="20">
        <v>17091.0</v>
      </c>
      <c r="D4702" s="19" t="str">
        <f t="shared" si="1"/>
        <v> </v>
      </c>
      <c r="E4702" s="19" t="str">
        <f t="shared" si="2"/>
        <v> </v>
      </c>
      <c r="F4702" s="21"/>
    </row>
    <row r="4703">
      <c r="A4703" s="19">
        <v>16453.0</v>
      </c>
      <c r="B4703" s="19" t="s">
        <v>4700</v>
      </c>
      <c r="C4703" s="20">
        <v>26860.0</v>
      </c>
      <c r="D4703" s="19" t="str">
        <f t="shared" si="1"/>
        <v> </v>
      </c>
      <c r="E4703" s="19" t="str">
        <f t="shared" si="2"/>
        <v> </v>
      </c>
      <c r="F4703" s="21"/>
    </row>
    <row r="4704">
      <c r="A4704" s="19">
        <v>16455.0</v>
      </c>
      <c r="B4704" s="19" t="s">
        <v>4701</v>
      </c>
      <c r="C4704" s="20">
        <v>27691.0</v>
      </c>
      <c r="D4704" s="19" t="str">
        <f t="shared" si="1"/>
        <v> </v>
      </c>
      <c r="E4704" s="19" t="str">
        <f t="shared" si="2"/>
        <v> </v>
      </c>
      <c r="F4704" s="21"/>
    </row>
    <row r="4705">
      <c r="A4705" s="19">
        <v>16456.0</v>
      </c>
      <c r="B4705" s="19" t="s">
        <v>4702</v>
      </c>
      <c r="C4705" s="20">
        <v>33340.0</v>
      </c>
      <c r="D4705" s="19" t="str">
        <f t="shared" si="1"/>
        <v> </v>
      </c>
      <c r="E4705" s="19" t="str">
        <f t="shared" si="2"/>
        <v> </v>
      </c>
      <c r="F4705" s="21"/>
    </row>
    <row r="4706">
      <c r="A4706" s="19">
        <v>16457.0</v>
      </c>
      <c r="B4706" s="19" t="s">
        <v>4703</v>
      </c>
      <c r="C4706" s="20">
        <v>20610.0</v>
      </c>
      <c r="D4706" s="19" t="str">
        <f t="shared" si="1"/>
        <v> </v>
      </c>
      <c r="E4706" s="19" t="str">
        <f t="shared" si="2"/>
        <v> </v>
      </c>
      <c r="F4706" s="21"/>
    </row>
    <row r="4707">
      <c r="A4707" s="19">
        <v>16458.0</v>
      </c>
      <c r="B4707" s="19" t="s">
        <v>4704</v>
      </c>
      <c r="C4707" s="20">
        <v>17921.0</v>
      </c>
      <c r="D4707" s="19" t="str">
        <f t="shared" si="1"/>
        <v> </v>
      </c>
      <c r="E4707" s="19" t="str">
        <f t="shared" si="2"/>
        <v> </v>
      </c>
      <c r="F4707" s="21"/>
    </row>
    <row r="4708">
      <c r="A4708" s="19">
        <v>16459.0</v>
      </c>
      <c r="B4708" s="19" t="s">
        <v>4705</v>
      </c>
      <c r="C4708" s="20">
        <v>19018.0</v>
      </c>
      <c r="D4708" s="19" t="str">
        <f t="shared" si="1"/>
        <v> </v>
      </c>
      <c r="E4708" s="19" t="str">
        <f t="shared" si="2"/>
        <v> </v>
      </c>
      <c r="F4708" s="21"/>
    </row>
    <row r="4709">
      <c r="A4709" s="19">
        <v>16462.0</v>
      </c>
      <c r="B4709" s="19" t="s">
        <v>4706</v>
      </c>
      <c r="C4709" s="20">
        <v>17504.0</v>
      </c>
      <c r="D4709" s="19" t="str">
        <f t="shared" si="1"/>
        <v> </v>
      </c>
      <c r="E4709" s="19" t="str">
        <f t="shared" si="2"/>
        <v> </v>
      </c>
      <c r="F4709" s="21"/>
    </row>
    <row r="4710">
      <c r="A4710" s="19">
        <v>16463.0</v>
      </c>
      <c r="B4710" s="19" t="s">
        <v>4707</v>
      </c>
      <c r="C4710" s="20">
        <v>29506.0</v>
      </c>
      <c r="D4710" s="19" t="str">
        <f t="shared" si="1"/>
        <v> </v>
      </c>
      <c r="E4710" s="19" t="str">
        <f t="shared" si="2"/>
        <v> </v>
      </c>
      <c r="F4710" s="21"/>
    </row>
    <row r="4711">
      <c r="A4711" s="19">
        <v>16464.0</v>
      </c>
      <c r="B4711" s="19" t="s">
        <v>4708</v>
      </c>
      <c r="C4711" s="20">
        <v>25109.0</v>
      </c>
      <c r="D4711" s="19" t="str">
        <f t="shared" si="1"/>
        <v> </v>
      </c>
      <c r="E4711" s="19" t="str">
        <f t="shared" si="2"/>
        <v> </v>
      </c>
      <c r="F4711" s="21"/>
    </row>
    <row r="4712">
      <c r="A4712" s="19">
        <v>16465.0</v>
      </c>
      <c r="B4712" s="19" t="s">
        <v>4709</v>
      </c>
      <c r="C4712" s="20">
        <v>30615.0</v>
      </c>
      <c r="D4712" s="19" t="str">
        <f t="shared" si="1"/>
        <v> </v>
      </c>
      <c r="E4712" s="19" t="str">
        <f t="shared" si="2"/>
        <v> </v>
      </c>
      <c r="F4712" s="21"/>
    </row>
    <row r="4713">
      <c r="A4713" s="19">
        <v>16466.0</v>
      </c>
      <c r="B4713" s="19" t="s">
        <v>4710</v>
      </c>
      <c r="C4713" s="20">
        <v>23152.0</v>
      </c>
      <c r="D4713" s="19" t="str">
        <f t="shared" si="1"/>
        <v> </v>
      </c>
      <c r="E4713" s="19" t="str">
        <f t="shared" si="2"/>
        <v> </v>
      </c>
      <c r="F4713" s="21"/>
    </row>
    <row r="4714">
      <c r="A4714" s="19">
        <v>16467.0</v>
      </c>
      <c r="B4714" s="19" t="s">
        <v>4711</v>
      </c>
      <c r="C4714" s="20">
        <v>25813.0</v>
      </c>
      <c r="D4714" s="19" t="str">
        <f t="shared" si="1"/>
        <v> </v>
      </c>
      <c r="E4714" s="19" t="str">
        <f t="shared" si="2"/>
        <v> </v>
      </c>
      <c r="F4714" s="21"/>
    </row>
    <row r="4715">
      <c r="A4715" s="19">
        <v>16468.0</v>
      </c>
      <c r="B4715" s="19" t="s">
        <v>4712</v>
      </c>
      <c r="C4715" s="20">
        <v>21058.0</v>
      </c>
      <c r="D4715" s="19" t="str">
        <f t="shared" si="1"/>
        <v> </v>
      </c>
      <c r="E4715" s="19" t="str">
        <f t="shared" si="2"/>
        <v> </v>
      </c>
      <c r="F4715" s="21"/>
    </row>
    <row r="4716">
      <c r="A4716" s="19">
        <v>16470.0</v>
      </c>
      <c r="B4716" s="19" t="s">
        <v>4713</v>
      </c>
      <c r="C4716" s="20">
        <v>15618.0</v>
      </c>
      <c r="D4716" s="19" t="str">
        <f t="shared" si="1"/>
        <v> </v>
      </c>
      <c r="E4716" s="19" t="str">
        <f t="shared" si="2"/>
        <v> </v>
      </c>
      <c r="F4716" s="21"/>
    </row>
    <row r="4717">
      <c r="A4717" s="19">
        <v>16471.0</v>
      </c>
      <c r="B4717" s="19" t="s">
        <v>4714</v>
      </c>
      <c r="C4717" s="20">
        <v>23867.0</v>
      </c>
      <c r="D4717" s="19" t="str">
        <f t="shared" si="1"/>
        <v> </v>
      </c>
      <c r="E4717" s="19" t="str">
        <f t="shared" si="2"/>
        <v> </v>
      </c>
      <c r="F4717" s="21"/>
    </row>
    <row r="4718">
      <c r="A4718" s="19">
        <v>16472.0</v>
      </c>
      <c r="B4718" s="19" t="s">
        <v>4715</v>
      </c>
      <c r="C4718" s="20">
        <v>27250.0</v>
      </c>
      <c r="D4718" s="19" t="str">
        <f t="shared" si="1"/>
        <v> </v>
      </c>
      <c r="E4718" s="19" t="str">
        <f t="shared" si="2"/>
        <v> </v>
      </c>
      <c r="F4718" s="21"/>
    </row>
    <row r="4719">
      <c r="A4719" s="19">
        <v>16473.0</v>
      </c>
      <c r="B4719" s="19" t="s">
        <v>4716</v>
      </c>
      <c r="C4719" s="20">
        <v>22507.0</v>
      </c>
      <c r="D4719" s="19" t="str">
        <f t="shared" si="1"/>
        <v> </v>
      </c>
      <c r="E4719" s="19" t="str">
        <f t="shared" si="2"/>
        <v> </v>
      </c>
      <c r="F4719" s="21"/>
    </row>
    <row r="4720">
      <c r="A4720" s="19">
        <v>16474.0</v>
      </c>
      <c r="B4720" s="19" t="s">
        <v>4717</v>
      </c>
      <c r="C4720" s="20">
        <v>24316.0</v>
      </c>
      <c r="D4720" s="19" t="str">
        <f t="shared" si="1"/>
        <v> </v>
      </c>
      <c r="E4720" s="19" t="str">
        <f t="shared" si="2"/>
        <v> </v>
      </c>
      <c r="F4720" s="21"/>
    </row>
    <row r="4721">
      <c r="A4721" s="19">
        <v>16475.0</v>
      </c>
      <c r="B4721" s="19" t="s">
        <v>4718</v>
      </c>
      <c r="C4721" s="20">
        <v>27121.0</v>
      </c>
      <c r="D4721" s="19" t="str">
        <f t="shared" si="1"/>
        <v> </v>
      </c>
      <c r="E4721" s="19" t="str">
        <f t="shared" si="2"/>
        <v> </v>
      </c>
      <c r="F4721" s="21"/>
    </row>
    <row r="4722">
      <c r="A4722" s="19">
        <v>16476.0</v>
      </c>
      <c r="B4722" s="19" t="s">
        <v>4719</v>
      </c>
      <c r="C4722" s="20">
        <v>23386.0</v>
      </c>
      <c r="D4722" s="19" t="str">
        <f t="shared" si="1"/>
        <v> </v>
      </c>
      <c r="E4722" s="19" t="str">
        <f t="shared" si="2"/>
        <v> </v>
      </c>
      <c r="F4722" s="21"/>
    </row>
    <row r="4723">
      <c r="A4723" s="19">
        <v>16477.0</v>
      </c>
      <c r="B4723" s="19" t="s">
        <v>4720</v>
      </c>
      <c r="C4723" s="20">
        <v>22135.0</v>
      </c>
      <c r="D4723" s="19" t="str">
        <f t="shared" si="1"/>
        <v> </v>
      </c>
      <c r="E4723" s="19" t="str">
        <f t="shared" si="2"/>
        <v> </v>
      </c>
      <c r="F4723" s="21"/>
    </row>
    <row r="4724">
      <c r="A4724" s="19">
        <v>16478.0</v>
      </c>
      <c r="B4724" s="19" t="s">
        <v>4721</v>
      </c>
      <c r="C4724" s="20">
        <v>19153.0</v>
      </c>
      <c r="D4724" s="19" t="str">
        <f t="shared" si="1"/>
        <v> </v>
      </c>
      <c r="E4724" s="19" t="str">
        <f t="shared" si="2"/>
        <v> </v>
      </c>
      <c r="F4724" s="21"/>
    </row>
    <row r="4725">
      <c r="A4725" s="19">
        <v>16481.0</v>
      </c>
      <c r="B4725" s="19" t="s">
        <v>4722</v>
      </c>
      <c r="C4725" s="20">
        <v>23102.0</v>
      </c>
      <c r="D4725" s="19" t="str">
        <f t="shared" si="1"/>
        <v> </v>
      </c>
      <c r="E4725" s="19" t="str">
        <f t="shared" si="2"/>
        <v> </v>
      </c>
      <c r="F4725" s="21"/>
    </row>
    <row r="4726">
      <c r="A4726" s="19">
        <v>16482.0</v>
      </c>
      <c r="B4726" s="19" t="s">
        <v>4723</v>
      </c>
      <c r="C4726" s="20">
        <v>13256.0</v>
      </c>
      <c r="D4726" s="19" t="str">
        <f t="shared" si="1"/>
        <v> </v>
      </c>
      <c r="E4726" s="19" t="str">
        <f t="shared" si="2"/>
        <v> </v>
      </c>
      <c r="F4726" s="21"/>
    </row>
    <row r="4727">
      <c r="A4727" s="19">
        <v>16483.0</v>
      </c>
      <c r="B4727" s="19" t="s">
        <v>4724</v>
      </c>
      <c r="C4727" s="20">
        <v>25298.0</v>
      </c>
      <c r="D4727" s="19" t="str">
        <f t="shared" si="1"/>
        <v> </v>
      </c>
      <c r="E4727" s="19" t="str">
        <f t="shared" si="2"/>
        <v> </v>
      </c>
      <c r="F4727" s="21"/>
    </row>
    <row r="4728">
      <c r="A4728" s="19">
        <v>16484.0</v>
      </c>
      <c r="B4728" s="19" t="s">
        <v>4725</v>
      </c>
      <c r="C4728" s="20">
        <v>31168.0</v>
      </c>
      <c r="D4728" s="19" t="str">
        <f t="shared" si="1"/>
        <v> </v>
      </c>
      <c r="E4728" s="19" t="str">
        <f t="shared" si="2"/>
        <v> </v>
      </c>
      <c r="F4728" s="21"/>
    </row>
    <row r="4729">
      <c r="A4729" s="19">
        <v>16485.0</v>
      </c>
      <c r="B4729" s="19" t="s">
        <v>4726</v>
      </c>
      <c r="C4729" s="20">
        <v>17407.0</v>
      </c>
      <c r="D4729" s="19" t="str">
        <f t="shared" si="1"/>
        <v> </v>
      </c>
      <c r="E4729" s="19" t="str">
        <f t="shared" si="2"/>
        <v> </v>
      </c>
      <c r="F4729" s="21"/>
    </row>
    <row r="4730">
      <c r="A4730" s="19">
        <v>16488.0</v>
      </c>
      <c r="B4730" s="19" t="s">
        <v>4727</v>
      </c>
      <c r="C4730" s="20">
        <v>22921.0</v>
      </c>
      <c r="D4730" s="19" t="str">
        <f t="shared" si="1"/>
        <v> </v>
      </c>
      <c r="E4730" s="19" t="str">
        <f t="shared" si="2"/>
        <v> </v>
      </c>
      <c r="F4730" s="21"/>
    </row>
    <row r="4731">
      <c r="A4731" s="19">
        <v>16490.0</v>
      </c>
      <c r="B4731" s="19" t="s">
        <v>4728</v>
      </c>
      <c r="C4731" s="20">
        <v>17970.0</v>
      </c>
      <c r="D4731" s="19" t="str">
        <f t="shared" si="1"/>
        <v> </v>
      </c>
      <c r="E4731" s="19" t="str">
        <f t="shared" si="2"/>
        <v> </v>
      </c>
      <c r="F4731" s="21"/>
    </row>
    <row r="4732">
      <c r="A4732" s="19">
        <v>16491.0</v>
      </c>
      <c r="B4732" s="19" t="s">
        <v>4729</v>
      </c>
      <c r="C4732" s="20">
        <v>16179.0</v>
      </c>
      <c r="D4732" s="19" t="str">
        <f t="shared" si="1"/>
        <v> </v>
      </c>
      <c r="E4732" s="19" t="str">
        <f t="shared" si="2"/>
        <v> </v>
      </c>
      <c r="F4732" s="21"/>
    </row>
    <row r="4733">
      <c r="A4733" s="19">
        <v>16492.0</v>
      </c>
      <c r="B4733" s="19" t="s">
        <v>4730</v>
      </c>
      <c r="C4733" s="20">
        <v>31364.0</v>
      </c>
      <c r="D4733" s="19" t="str">
        <f t="shared" si="1"/>
        <v> </v>
      </c>
      <c r="E4733" s="19" t="str">
        <f t="shared" si="2"/>
        <v> </v>
      </c>
      <c r="F4733" s="21"/>
    </row>
    <row r="4734">
      <c r="A4734" s="19">
        <v>16494.0</v>
      </c>
      <c r="B4734" s="19" t="s">
        <v>4731</v>
      </c>
      <c r="C4734" s="20">
        <v>24579.0</v>
      </c>
      <c r="D4734" s="19" t="str">
        <f t="shared" si="1"/>
        <v> </v>
      </c>
      <c r="E4734" s="19" t="str">
        <f t="shared" si="2"/>
        <v> </v>
      </c>
      <c r="F4734" s="21"/>
    </row>
    <row r="4735">
      <c r="A4735" s="19">
        <v>16495.0</v>
      </c>
      <c r="B4735" s="19" t="s">
        <v>4732</v>
      </c>
      <c r="C4735" s="20">
        <v>25245.0</v>
      </c>
      <c r="D4735" s="19" t="str">
        <f t="shared" si="1"/>
        <v> </v>
      </c>
      <c r="E4735" s="19" t="str">
        <f t="shared" si="2"/>
        <v> </v>
      </c>
      <c r="F4735" s="21"/>
    </row>
    <row r="4736">
      <c r="A4736" s="19">
        <v>16496.0</v>
      </c>
      <c r="B4736" s="19" t="s">
        <v>4733</v>
      </c>
      <c r="C4736" s="20">
        <v>19235.0</v>
      </c>
      <c r="D4736" s="19" t="str">
        <f t="shared" si="1"/>
        <v> </v>
      </c>
      <c r="E4736" s="19" t="str">
        <f t="shared" si="2"/>
        <v> </v>
      </c>
      <c r="F4736" s="21"/>
    </row>
    <row r="4737">
      <c r="A4737" s="19">
        <v>16497.0</v>
      </c>
      <c r="B4737" s="19" t="s">
        <v>4734</v>
      </c>
      <c r="C4737" s="20">
        <v>19950.0</v>
      </c>
      <c r="D4737" s="19" t="str">
        <f t="shared" si="1"/>
        <v> </v>
      </c>
      <c r="E4737" s="19" t="str">
        <f t="shared" si="2"/>
        <v> </v>
      </c>
      <c r="F4737" s="21"/>
    </row>
    <row r="4738">
      <c r="A4738" s="19">
        <v>16498.0</v>
      </c>
      <c r="B4738" s="19" t="s">
        <v>4735</v>
      </c>
      <c r="C4738" s="20">
        <v>20803.0</v>
      </c>
      <c r="D4738" s="19" t="str">
        <f t="shared" si="1"/>
        <v> </v>
      </c>
      <c r="E4738" s="19" t="str">
        <f t="shared" si="2"/>
        <v> </v>
      </c>
      <c r="F4738" s="21"/>
    </row>
    <row r="4739">
      <c r="A4739" s="19">
        <v>16499.0</v>
      </c>
      <c r="B4739" s="19" t="s">
        <v>4736</v>
      </c>
      <c r="C4739" s="20">
        <v>26230.0</v>
      </c>
      <c r="D4739" s="19" t="str">
        <f t="shared" si="1"/>
        <v> </v>
      </c>
      <c r="E4739" s="19" t="str">
        <f t="shared" si="2"/>
        <v> </v>
      </c>
      <c r="F4739" s="21"/>
    </row>
    <row r="4740">
      <c r="A4740" s="19">
        <v>16500.0</v>
      </c>
      <c r="B4740" s="19" t="s">
        <v>4737</v>
      </c>
      <c r="C4740" s="20">
        <v>23027.0</v>
      </c>
      <c r="D4740" s="19" t="str">
        <f t="shared" si="1"/>
        <v> </v>
      </c>
      <c r="E4740" s="19" t="str">
        <f t="shared" si="2"/>
        <v> </v>
      </c>
      <c r="F4740" s="21"/>
    </row>
    <row r="4741">
      <c r="A4741" s="19">
        <v>16502.0</v>
      </c>
      <c r="B4741" s="19" t="s">
        <v>4738</v>
      </c>
      <c r="C4741" s="20">
        <v>28281.0</v>
      </c>
      <c r="D4741" s="19" t="str">
        <f t="shared" si="1"/>
        <v> </v>
      </c>
      <c r="E4741" s="19" t="str">
        <f t="shared" si="2"/>
        <v> </v>
      </c>
      <c r="F4741" s="21"/>
    </row>
    <row r="4742">
      <c r="A4742" s="19">
        <v>16503.0</v>
      </c>
      <c r="B4742" s="19" t="s">
        <v>4739</v>
      </c>
      <c r="C4742" s="20">
        <v>12325.0</v>
      </c>
      <c r="D4742" s="19" t="str">
        <f t="shared" si="1"/>
        <v> </v>
      </c>
      <c r="E4742" s="19" t="str">
        <f t="shared" si="2"/>
        <v> </v>
      </c>
      <c r="F4742" s="21"/>
    </row>
    <row r="4743">
      <c r="A4743" s="19">
        <v>16504.0</v>
      </c>
      <c r="B4743" s="19" t="s">
        <v>4740</v>
      </c>
      <c r="C4743" s="20">
        <v>20242.0</v>
      </c>
      <c r="D4743" s="19" t="str">
        <f t="shared" si="1"/>
        <v> </v>
      </c>
      <c r="E4743" s="19" t="str">
        <f t="shared" si="2"/>
        <v> </v>
      </c>
      <c r="F4743" s="21"/>
    </row>
    <row r="4744">
      <c r="A4744" s="19">
        <v>16505.0</v>
      </c>
      <c r="B4744" s="19" t="s">
        <v>4741</v>
      </c>
      <c r="C4744" s="20">
        <v>21464.0</v>
      </c>
      <c r="D4744" s="19" t="str">
        <f t="shared" si="1"/>
        <v> </v>
      </c>
      <c r="E4744" s="19" t="str">
        <f t="shared" si="2"/>
        <v> </v>
      </c>
      <c r="F4744" s="21"/>
    </row>
    <row r="4745">
      <c r="A4745" s="19">
        <v>16506.0</v>
      </c>
      <c r="B4745" s="19" t="s">
        <v>4742</v>
      </c>
      <c r="C4745" s="20">
        <v>25578.0</v>
      </c>
      <c r="D4745" s="19" t="str">
        <f t="shared" si="1"/>
        <v> </v>
      </c>
      <c r="E4745" s="19" t="str">
        <f t="shared" si="2"/>
        <v> </v>
      </c>
      <c r="F4745" s="21"/>
    </row>
    <row r="4746">
      <c r="A4746" s="19">
        <v>16507.0</v>
      </c>
      <c r="B4746" s="19" t="s">
        <v>4743</v>
      </c>
      <c r="C4746" s="20">
        <v>21287.0</v>
      </c>
      <c r="D4746" s="19" t="str">
        <f t="shared" si="1"/>
        <v> </v>
      </c>
      <c r="E4746" s="19" t="str">
        <f t="shared" si="2"/>
        <v> </v>
      </c>
      <c r="F4746" s="21"/>
    </row>
    <row r="4747">
      <c r="A4747" s="19">
        <v>16508.0</v>
      </c>
      <c r="B4747" s="19" t="s">
        <v>4744</v>
      </c>
      <c r="C4747" s="20">
        <v>12209.0</v>
      </c>
      <c r="D4747" s="19" t="str">
        <f t="shared" si="1"/>
        <v> </v>
      </c>
      <c r="E4747" s="19" t="str">
        <f t="shared" si="2"/>
        <v> </v>
      </c>
      <c r="F4747" s="21"/>
    </row>
    <row r="4748">
      <c r="A4748" s="19">
        <v>16509.0</v>
      </c>
      <c r="B4748" s="19" t="s">
        <v>4745</v>
      </c>
      <c r="C4748" s="20">
        <v>16614.0</v>
      </c>
      <c r="D4748" s="19" t="str">
        <f t="shared" si="1"/>
        <v> </v>
      </c>
      <c r="E4748" s="19" t="str">
        <f t="shared" si="2"/>
        <v> </v>
      </c>
      <c r="F4748" s="21"/>
    </row>
    <row r="4749">
      <c r="A4749" s="19">
        <v>16510.0</v>
      </c>
      <c r="B4749" s="19" t="s">
        <v>4746</v>
      </c>
      <c r="C4749" s="20">
        <v>18483.0</v>
      </c>
      <c r="D4749" s="19" t="str">
        <f t="shared" si="1"/>
        <v> </v>
      </c>
      <c r="E4749" s="19" t="str">
        <f t="shared" si="2"/>
        <v> </v>
      </c>
      <c r="F4749" s="21"/>
    </row>
    <row r="4750">
      <c r="A4750" s="19">
        <v>16511.0</v>
      </c>
      <c r="B4750" s="19" t="s">
        <v>4747</v>
      </c>
      <c r="C4750" s="20">
        <v>20244.0</v>
      </c>
      <c r="D4750" s="19" t="str">
        <f t="shared" si="1"/>
        <v> </v>
      </c>
      <c r="E4750" s="19" t="str">
        <f t="shared" si="2"/>
        <v> </v>
      </c>
      <c r="F4750" s="21"/>
    </row>
    <row r="4751">
      <c r="A4751" s="19">
        <v>16512.0</v>
      </c>
      <c r="B4751" s="19" t="s">
        <v>4385</v>
      </c>
      <c r="C4751" s="20">
        <v>12955.0</v>
      </c>
      <c r="D4751" s="19" t="str">
        <f t="shared" si="1"/>
        <v>Repeat</v>
      </c>
      <c r="E4751" s="19" t="str">
        <f t="shared" si="2"/>
        <v> </v>
      </c>
      <c r="F4751" s="21"/>
    </row>
    <row r="4752">
      <c r="A4752" s="19">
        <v>16513.0</v>
      </c>
      <c r="B4752" s="19" t="s">
        <v>4748</v>
      </c>
      <c r="C4752" s="20">
        <v>17670.0</v>
      </c>
      <c r="D4752" s="19" t="str">
        <f t="shared" si="1"/>
        <v> </v>
      </c>
      <c r="E4752" s="19" t="str">
        <f t="shared" si="2"/>
        <v> </v>
      </c>
      <c r="F4752" s="21"/>
    </row>
    <row r="4753">
      <c r="A4753" s="19">
        <v>16514.0</v>
      </c>
      <c r="B4753" s="19" t="s">
        <v>4749</v>
      </c>
      <c r="C4753" s="20">
        <v>28378.0</v>
      </c>
      <c r="D4753" s="19" t="str">
        <f t="shared" si="1"/>
        <v> </v>
      </c>
      <c r="E4753" s="19" t="str">
        <f t="shared" si="2"/>
        <v> </v>
      </c>
      <c r="F4753" s="21"/>
    </row>
    <row r="4754">
      <c r="A4754" s="19">
        <v>16515.0</v>
      </c>
      <c r="B4754" s="19" t="s">
        <v>4750</v>
      </c>
      <c r="C4754" s="20">
        <v>17317.0</v>
      </c>
      <c r="D4754" s="19" t="str">
        <f t="shared" si="1"/>
        <v> </v>
      </c>
      <c r="E4754" s="19" t="str">
        <f t="shared" si="2"/>
        <v> </v>
      </c>
      <c r="F4754" s="21"/>
    </row>
    <row r="4755">
      <c r="A4755" s="19">
        <v>16516.0</v>
      </c>
      <c r="B4755" s="19" t="s">
        <v>4751</v>
      </c>
      <c r="C4755" s="20">
        <v>15499.0</v>
      </c>
      <c r="D4755" s="19" t="str">
        <f t="shared" si="1"/>
        <v> </v>
      </c>
      <c r="E4755" s="19" t="str">
        <f t="shared" si="2"/>
        <v> </v>
      </c>
      <c r="F4755" s="21"/>
    </row>
    <row r="4756">
      <c r="A4756" s="19">
        <v>16517.0</v>
      </c>
      <c r="B4756" s="19" t="s">
        <v>4752</v>
      </c>
      <c r="C4756" s="20">
        <v>17609.0</v>
      </c>
      <c r="D4756" s="19" t="str">
        <f t="shared" si="1"/>
        <v> </v>
      </c>
      <c r="E4756" s="19" t="str">
        <f t="shared" si="2"/>
        <v> </v>
      </c>
      <c r="F4756" s="21"/>
    </row>
    <row r="4757">
      <c r="A4757" s="19">
        <v>16518.0</v>
      </c>
      <c r="B4757" s="19" t="s">
        <v>4753</v>
      </c>
      <c r="C4757" s="20">
        <v>27958.0</v>
      </c>
      <c r="D4757" s="19" t="str">
        <f t="shared" si="1"/>
        <v> </v>
      </c>
      <c r="E4757" s="19" t="str">
        <f t="shared" si="2"/>
        <v> </v>
      </c>
      <c r="F4757" s="21"/>
    </row>
    <row r="4758">
      <c r="A4758" s="19">
        <v>16519.0</v>
      </c>
      <c r="B4758" s="19" t="s">
        <v>4754</v>
      </c>
      <c r="C4758" s="20">
        <v>21727.0</v>
      </c>
      <c r="D4758" s="19" t="str">
        <f t="shared" si="1"/>
        <v> </v>
      </c>
      <c r="E4758" s="19" t="str">
        <f t="shared" si="2"/>
        <v> </v>
      </c>
      <c r="F4758" s="21"/>
    </row>
    <row r="4759">
      <c r="A4759" s="19">
        <v>16520.0</v>
      </c>
      <c r="B4759" s="19" t="s">
        <v>4755</v>
      </c>
      <c r="C4759" s="20">
        <v>35851.0</v>
      </c>
      <c r="D4759" s="19" t="str">
        <f t="shared" si="1"/>
        <v> </v>
      </c>
      <c r="E4759" s="19" t="str">
        <f t="shared" si="2"/>
        <v> </v>
      </c>
      <c r="F4759" s="21"/>
    </row>
    <row r="4760">
      <c r="A4760" s="19">
        <v>16521.0</v>
      </c>
      <c r="B4760" s="19" t="s">
        <v>4756</v>
      </c>
      <c r="C4760" s="20">
        <v>19307.0</v>
      </c>
      <c r="D4760" s="19" t="str">
        <f t="shared" si="1"/>
        <v> </v>
      </c>
      <c r="E4760" s="19" t="str">
        <f t="shared" si="2"/>
        <v> </v>
      </c>
      <c r="F4760" s="21"/>
    </row>
    <row r="4761">
      <c r="A4761" s="19">
        <v>16522.0</v>
      </c>
      <c r="B4761" s="19" t="s">
        <v>4757</v>
      </c>
      <c r="C4761" s="20">
        <v>25936.0</v>
      </c>
      <c r="D4761" s="19" t="str">
        <f t="shared" si="1"/>
        <v> </v>
      </c>
      <c r="E4761" s="19" t="str">
        <f t="shared" si="2"/>
        <v> </v>
      </c>
      <c r="F4761" s="21"/>
    </row>
    <row r="4762">
      <c r="A4762" s="19">
        <v>16523.0</v>
      </c>
      <c r="B4762" s="19" t="s">
        <v>4758</v>
      </c>
      <c r="C4762" s="20">
        <v>21431.0</v>
      </c>
      <c r="D4762" s="19" t="str">
        <f t="shared" si="1"/>
        <v> </v>
      </c>
      <c r="E4762" s="19" t="str">
        <f t="shared" si="2"/>
        <v> </v>
      </c>
      <c r="F4762" s="21"/>
    </row>
    <row r="4763">
      <c r="A4763" s="19">
        <v>16524.0</v>
      </c>
      <c r="B4763" s="19" t="s">
        <v>4759</v>
      </c>
      <c r="C4763" s="20">
        <v>25485.0</v>
      </c>
      <c r="D4763" s="19" t="str">
        <f t="shared" si="1"/>
        <v> </v>
      </c>
      <c r="E4763" s="19" t="str">
        <f t="shared" si="2"/>
        <v> </v>
      </c>
      <c r="F4763" s="21"/>
    </row>
    <row r="4764">
      <c r="A4764" s="19">
        <v>16525.0</v>
      </c>
      <c r="B4764" s="19" t="s">
        <v>4760</v>
      </c>
      <c r="C4764" s="20">
        <v>22889.0</v>
      </c>
      <c r="D4764" s="19" t="str">
        <f t="shared" si="1"/>
        <v> </v>
      </c>
      <c r="E4764" s="19" t="str">
        <f t="shared" si="2"/>
        <v> </v>
      </c>
      <c r="F4764" s="21"/>
    </row>
    <row r="4765">
      <c r="A4765" s="19">
        <v>16526.0</v>
      </c>
      <c r="B4765" s="19" t="s">
        <v>4761</v>
      </c>
      <c r="C4765" s="20">
        <v>19731.0</v>
      </c>
      <c r="D4765" s="19" t="str">
        <f t="shared" si="1"/>
        <v> </v>
      </c>
      <c r="E4765" s="19" t="str">
        <f t="shared" si="2"/>
        <v> </v>
      </c>
      <c r="F4765" s="21"/>
    </row>
    <row r="4766">
      <c r="A4766" s="19">
        <v>16527.0</v>
      </c>
      <c r="B4766" s="19" t="s">
        <v>4762</v>
      </c>
      <c r="C4766" s="20">
        <v>22233.0</v>
      </c>
      <c r="D4766" s="19" t="str">
        <f t="shared" si="1"/>
        <v> </v>
      </c>
      <c r="E4766" s="19" t="str">
        <f t="shared" si="2"/>
        <v>Repeat</v>
      </c>
      <c r="F4766" s="21"/>
    </row>
    <row r="4767">
      <c r="A4767" s="19">
        <v>16528.0</v>
      </c>
      <c r="B4767" s="19" t="s">
        <v>4763</v>
      </c>
      <c r="C4767" s="20">
        <v>23671.0</v>
      </c>
      <c r="D4767" s="19" t="str">
        <f t="shared" si="1"/>
        <v> </v>
      </c>
      <c r="E4767" s="19" t="str">
        <f t="shared" si="2"/>
        <v> </v>
      </c>
      <c r="F4767" s="21"/>
    </row>
    <row r="4768">
      <c r="A4768" s="19">
        <v>16529.0</v>
      </c>
      <c r="B4768" s="19" t="s">
        <v>4764</v>
      </c>
      <c r="C4768" s="20">
        <v>23382.0</v>
      </c>
      <c r="D4768" s="19" t="str">
        <f t="shared" si="1"/>
        <v> </v>
      </c>
      <c r="E4768" s="19" t="str">
        <f t="shared" si="2"/>
        <v> </v>
      </c>
      <c r="F4768" s="21"/>
    </row>
    <row r="4769">
      <c r="A4769" s="19">
        <v>16530.0</v>
      </c>
      <c r="B4769" s="19" t="s">
        <v>4765</v>
      </c>
      <c r="C4769" s="20">
        <v>20533.0</v>
      </c>
      <c r="D4769" s="19" t="str">
        <f t="shared" si="1"/>
        <v> </v>
      </c>
      <c r="E4769" s="19" t="str">
        <f t="shared" si="2"/>
        <v> </v>
      </c>
      <c r="F4769" s="21"/>
    </row>
    <row r="4770">
      <c r="A4770" s="19">
        <v>16531.0</v>
      </c>
      <c r="B4770" s="19" t="s">
        <v>1422</v>
      </c>
      <c r="C4770" s="20">
        <v>20643.0</v>
      </c>
      <c r="D4770" s="19" t="str">
        <f t="shared" si="1"/>
        <v>Repeat</v>
      </c>
      <c r="E4770" s="19" t="str">
        <f t="shared" si="2"/>
        <v> </v>
      </c>
      <c r="F4770" s="21"/>
    </row>
    <row r="4771">
      <c r="A4771" s="19">
        <v>16532.0</v>
      </c>
      <c r="B4771" s="19" t="s">
        <v>4766</v>
      </c>
      <c r="C4771" s="20">
        <v>14251.0</v>
      </c>
      <c r="D4771" s="19" t="str">
        <f t="shared" si="1"/>
        <v> </v>
      </c>
      <c r="E4771" s="19" t="str">
        <f t="shared" si="2"/>
        <v> </v>
      </c>
      <c r="F4771" s="21"/>
    </row>
    <row r="4772">
      <c r="A4772" s="19">
        <v>16535.0</v>
      </c>
      <c r="B4772" s="19" t="s">
        <v>829</v>
      </c>
      <c r="C4772" s="20">
        <v>23148.0</v>
      </c>
      <c r="D4772" s="19" t="str">
        <f t="shared" si="1"/>
        <v>Repeat</v>
      </c>
      <c r="E4772" s="19" t="str">
        <f t="shared" si="2"/>
        <v> </v>
      </c>
      <c r="F4772" s="21"/>
    </row>
    <row r="4773">
      <c r="A4773" s="19">
        <v>16536.0</v>
      </c>
      <c r="B4773" s="19" t="s">
        <v>4767</v>
      </c>
      <c r="C4773" s="20">
        <v>18689.0</v>
      </c>
      <c r="D4773" s="19" t="str">
        <f t="shared" si="1"/>
        <v> </v>
      </c>
      <c r="E4773" s="19" t="str">
        <f t="shared" si="2"/>
        <v> </v>
      </c>
      <c r="F4773" s="21"/>
    </row>
    <row r="4774">
      <c r="A4774" s="19">
        <v>16537.0</v>
      </c>
      <c r="B4774" s="19" t="s">
        <v>4768</v>
      </c>
      <c r="C4774" s="20">
        <v>20802.0</v>
      </c>
      <c r="D4774" s="19" t="str">
        <f t="shared" si="1"/>
        <v> </v>
      </c>
      <c r="E4774" s="19" t="str">
        <f t="shared" si="2"/>
        <v> </v>
      </c>
      <c r="F4774" s="21"/>
    </row>
    <row r="4775">
      <c r="A4775" s="19">
        <v>16538.0</v>
      </c>
      <c r="B4775" s="19" t="s">
        <v>4769</v>
      </c>
      <c r="C4775" s="20">
        <v>18629.0</v>
      </c>
      <c r="D4775" s="19" t="str">
        <f t="shared" si="1"/>
        <v> </v>
      </c>
      <c r="E4775" s="19" t="str">
        <f t="shared" si="2"/>
        <v> </v>
      </c>
      <c r="F4775" s="21"/>
    </row>
    <row r="4776">
      <c r="A4776" s="19">
        <v>16539.0</v>
      </c>
      <c r="B4776" s="19" t="s">
        <v>4770</v>
      </c>
      <c r="C4776" s="20">
        <v>28267.0</v>
      </c>
      <c r="D4776" s="19" t="str">
        <f t="shared" si="1"/>
        <v> </v>
      </c>
      <c r="E4776" s="19" t="str">
        <f t="shared" si="2"/>
        <v> </v>
      </c>
      <c r="F4776" s="21"/>
    </row>
    <row r="4777">
      <c r="A4777" s="19">
        <v>16541.0</v>
      </c>
      <c r="B4777" s="19" t="s">
        <v>4771</v>
      </c>
      <c r="C4777" s="20">
        <v>25664.0</v>
      </c>
      <c r="D4777" s="19" t="str">
        <f t="shared" si="1"/>
        <v> </v>
      </c>
      <c r="E4777" s="19" t="str">
        <f t="shared" si="2"/>
        <v> </v>
      </c>
      <c r="F4777" s="21"/>
    </row>
    <row r="4778">
      <c r="A4778" s="19">
        <v>16542.0</v>
      </c>
      <c r="B4778" s="19" t="s">
        <v>4772</v>
      </c>
      <c r="C4778" s="20">
        <v>16692.0</v>
      </c>
      <c r="D4778" s="19" t="str">
        <f t="shared" si="1"/>
        <v> </v>
      </c>
      <c r="E4778" s="19" t="str">
        <f t="shared" si="2"/>
        <v> </v>
      </c>
      <c r="F4778" s="21"/>
    </row>
    <row r="4779">
      <c r="A4779" s="19">
        <v>16543.0</v>
      </c>
      <c r="B4779" s="19" t="s">
        <v>4773</v>
      </c>
      <c r="C4779" s="20">
        <v>34460.0</v>
      </c>
      <c r="D4779" s="19" t="str">
        <f t="shared" si="1"/>
        <v> </v>
      </c>
      <c r="E4779" s="19" t="str">
        <f t="shared" si="2"/>
        <v> </v>
      </c>
      <c r="F4779" s="21"/>
    </row>
    <row r="4780">
      <c r="A4780" s="19">
        <v>16544.0</v>
      </c>
      <c r="B4780" s="19" t="s">
        <v>4774</v>
      </c>
      <c r="C4780" s="20">
        <v>32132.0</v>
      </c>
      <c r="D4780" s="19" t="str">
        <f t="shared" si="1"/>
        <v> </v>
      </c>
      <c r="E4780" s="19" t="str">
        <f t="shared" si="2"/>
        <v> </v>
      </c>
      <c r="F4780" s="21"/>
    </row>
    <row r="4781">
      <c r="A4781" s="19">
        <v>16548.0</v>
      </c>
      <c r="B4781" s="19" t="s">
        <v>4775</v>
      </c>
      <c r="C4781" s="20">
        <v>19962.0</v>
      </c>
      <c r="D4781" s="19" t="str">
        <f t="shared" si="1"/>
        <v> </v>
      </c>
      <c r="E4781" s="19" t="str">
        <f t="shared" si="2"/>
        <v> </v>
      </c>
      <c r="F4781" s="21"/>
    </row>
    <row r="4782">
      <c r="A4782" s="19">
        <v>16549.0</v>
      </c>
      <c r="B4782" s="19" t="s">
        <v>4776</v>
      </c>
      <c r="C4782" s="20">
        <v>22503.0</v>
      </c>
      <c r="D4782" s="19" t="str">
        <f t="shared" si="1"/>
        <v> </v>
      </c>
      <c r="E4782" s="19" t="str">
        <f t="shared" si="2"/>
        <v> </v>
      </c>
      <c r="F4782" s="21"/>
    </row>
    <row r="4783">
      <c r="A4783" s="19">
        <v>16550.0</v>
      </c>
      <c r="B4783" s="19" t="s">
        <v>4777</v>
      </c>
      <c r="C4783" s="20">
        <v>33641.0</v>
      </c>
      <c r="D4783" s="19" t="str">
        <f t="shared" si="1"/>
        <v> </v>
      </c>
      <c r="E4783" s="19" t="str">
        <f t="shared" si="2"/>
        <v> </v>
      </c>
      <c r="F4783" s="21"/>
    </row>
    <row r="4784">
      <c r="A4784" s="19">
        <v>16551.0</v>
      </c>
      <c r="B4784" s="19" t="s">
        <v>4778</v>
      </c>
      <c r="C4784" s="20">
        <v>13947.0</v>
      </c>
      <c r="D4784" s="19" t="str">
        <f t="shared" si="1"/>
        <v> </v>
      </c>
      <c r="E4784" s="19" t="str">
        <f t="shared" si="2"/>
        <v> </v>
      </c>
      <c r="F4784" s="21"/>
    </row>
    <row r="4785">
      <c r="A4785" s="19">
        <v>16552.0</v>
      </c>
      <c r="B4785" s="19" t="s">
        <v>4779</v>
      </c>
      <c r="C4785" s="20">
        <v>14043.0</v>
      </c>
      <c r="D4785" s="19" t="str">
        <f t="shared" si="1"/>
        <v> </v>
      </c>
      <c r="E4785" s="19" t="str">
        <f t="shared" si="2"/>
        <v> </v>
      </c>
      <c r="F4785" s="21"/>
    </row>
    <row r="4786">
      <c r="A4786" s="19">
        <v>16553.0</v>
      </c>
      <c r="B4786" s="19" t="s">
        <v>4780</v>
      </c>
      <c r="C4786" s="20">
        <v>23011.0</v>
      </c>
      <c r="D4786" s="19" t="str">
        <f t="shared" si="1"/>
        <v> </v>
      </c>
      <c r="E4786" s="19" t="str">
        <f t="shared" si="2"/>
        <v> </v>
      </c>
      <c r="F4786" s="21"/>
    </row>
    <row r="4787">
      <c r="A4787" s="19">
        <v>16554.0</v>
      </c>
      <c r="B4787" s="19" t="s">
        <v>4781</v>
      </c>
      <c r="C4787" s="20">
        <v>28107.0</v>
      </c>
      <c r="D4787" s="19" t="str">
        <f t="shared" si="1"/>
        <v> </v>
      </c>
      <c r="E4787" s="19" t="str">
        <f t="shared" si="2"/>
        <v> </v>
      </c>
      <c r="F4787" s="21"/>
    </row>
    <row r="4788">
      <c r="A4788" s="19">
        <v>16559.0</v>
      </c>
      <c r="B4788" s="19" t="s">
        <v>4782</v>
      </c>
      <c r="C4788" s="20">
        <v>16062.0</v>
      </c>
      <c r="D4788" s="19" t="str">
        <f t="shared" si="1"/>
        <v> </v>
      </c>
      <c r="E4788" s="19" t="str">
        <f t="shared" si="2"/>
        <v> </v>
      </c>
      <c r="F4788" s="21"/>
    </row>
    <row r="4789">
      <c r="A4789" s="19">
        <v>16560.0</v>
      </c>
      <c r="B4789" s="19" t="s">
        <v>4783</v>
      </c>
      <c r="C4789" s="20">
        <v>17367.0</v>
      </c>
      <c r="D4789" s="19" t="str">
        <f t="shared" si="1"/>
        <v> </v>
      </c>
      <c r="E4789" s="19" t="str">
        <f t="shared" si="2"/>
        <v> </v>
      </c>
      <c r="F4789" s="21"/>
    </row>
    <row r="4790">
      <c r="A4790" s="19">
        <v>16561.0</v>
      </c>
      <c r="B4790" s="19" t="s">
        <v>4784</v>
      </c>
      <c r="C4790" s="20">
        <v>22361.0</v>
      </c>
      <c r="D4790" s="19" t="str">
        <f t="shared" si="1"/>
        <v> </v>
      </c>
      <c r="E4790" s="19" t="str">
        <f t="shared" si="2"/>
        <v> </v>
      </c>
      <c r="F4790" s="21"/>
    </row>
    <row r="4791">
      <c r="A4791" s="19">
        <v>16562.0</v>
      </c>
      <c r="B4791" s="19" t="s">
        <v>4785</v>
      </c>
      <c r="C4791" s="20">
        <v>27267.0</v>
      </c>
      <c r="D4791" s="19" t="str">
        <f t="shared" si="1"/>
        <v> </v>
      </c>
      <c r="E4791" s="19" t="str">
        <f t="shared" si="2"/>
        <v> </v>
      </c>
      <c r="F4791" s="21"/>
    </row>
    <row r="4792">
      <c r="A4792" s="19">
        <v>16563.0</v>
      </c>
      <c r="B4792" s="19" t="s">
        <v>4786</v>
      </c>
      <c r="C4792" s="20">
        <v>23442.0</v>
      </c>
      <c r="D4792" s="19" t="str">
        <f t="shared" si="1"/>
        <v> </v>
      </c>
      <c r="E4792" s="19" t="str">
        <f t="shared" si="2"/>
        <v> </v>
      </c>
      <c r="F4792" s="21"/>
    </row>
    <row r="4793">
      <c r="A4793" s="19">
        <v>16564.0</v>
      </c>
      <c r="B4793" s="19" t="s">
        <v>4787</v>
      </c>
      <c r="C4793" s="20">
        <v>24222.0</v>
      </c>
      <c r="D4793" s="19" t="str">
        <f t="shared" si="1"/>
        <v> </v>
      </c>
      <c r="E4793" s="19" t="str">
        <f t="shared" si="2"/>
        <v> </v>
      </c>
      <c r="F4793" s="21"/>
    </row>
    <row r="4794">
      <c r="A4794" s="19">
        <v>16565.0</v>
      </c>
      <c r="B4794" s="19" t="s">
        <v>4788</v>
      </c>
      <c r="C4794" s="20">
        <v>20784.0</v>
      </c>
      <c r="D4794" s="19" t="str">
        <f t="shared" si="1"/>
        <v> </v>
      </c>
      <c r="E4794" s="19" t="str">
        <f t="shared" si="2"/>
        <v> </v>
      </c>
      <c r="F4794" s="21"/>
    </row>
    <row r="4795">
      <c r="A4795" s="19">
        <v>16566.0</v>
      </c>
      <c r="B4795" s="19" t="s">
        <v>4789</v>
      </c>
      <c r="C4795" s="20">
        <v>22129.0</v>
      </c>
      <c r="D4795" s="19" t="str">
        <f t="shared" si="1"/>
        <v> </v>
      </c>
      <c r="E4795" s="19" t="str">
        <f t="shared" si="2"/>
        <v> </v>
      </c>
      <c r="F4795" s="21"/>
    </row>
    <row r="4796">
      <c r="A4796" s="19">
        <v>16567.0</v>
      </c>
      <c r="B4796" s="19" t="s">
        <v>4790</v>
      </c>
      <c r="C4796" s="20">
        <v>26875.0</v>
      </c>
      <c r="D4796" s="19" t="str">
        <f t="shared" si="1"/>
        <v> </v>
      </c>
      <c r="E4796" s="19" t="str">
        <f t="shared" si="2"/>
        <v> </v>
      </c>
      <c r="F4796" s="21"/>
    </row>
    <row r="4797">
      <c r="A4797" s="19">
        <v>16570.0</v>
      </c>
      <c r="B4797" s="19" t="s">
        <v>4791</v>
      </c>
      <c r="C4797" s="20">
        <v>30092.0</v>
      </c>
      <c r="D4797" s="19" t="str">
        <f t="shared" si="1"/>
        <v> </v>
      </c>
      <c r="E4797" s="19" t="str">
        <f t="shared" si="2"/>
        <v> </v>
      </c>
      <c r="F4797" s="21"/>
    </row>
    <row r="4798">
      <c r="A4798" s="19">
        <v>16571.0</v>
      </c>
      <c r="B4798" s="19" t="s">
        <v>4792</v>
      </c>
      <c r="C4798" s="20">
        <v>14391.0</v>
      </c>
      <c r="D4798" s="19" t="str">
        <f t="shared" si="1"/>
        <v> </v>
      </c>
      <c r="E4798" s="19" t="str">
        <f t="shared" si="2"/>
        <v> </v>
      </c>
      <c r="F4798" s="21"/>
    </row>
    <row r="4799">
      <c r="A4799" s="19">
        <v>16572.0</v>
      </c>
      <c r="B4799" s="19" t="s">
        <v>4793</v>
      </c>
      <c r="C4799" s="20">
        <v>24674.0</v>
      </c>
      <c r="D4799" s="19" t="str">
        <f t="shared" si="1"/>
        <v> </v>
      </c>
      <c r="E4799" s="19" t="str">
        <f t="shared" si="2"/>
        <v> </v>
      </c>
      <c r="F4799" s="21"/>
    </row>
    <row r="4800">
      <c r="A4800" s="19">
        <v>16573.0</v>
      </c>
      <c r="B4800" s="19" t="s">
        <v>4794</v>
      </c>
      <c r="C4800" s="20">
        <v>25586.0</v>
      </c>
      <c r="D4800" s="19" t="str">
        <f t="shared" si="1"/>
        <v> </v>
      </c>
      <c r="E4800" s="19" t="str">
        <f t="shared" si="2"/>
        <v> </v>
      </c>
      <c r="F4800" s="21"/>
    </row>
    <row r="4801">
      <c r="A4801" s="19">
        <v>16574.0</v>
      </c>
      <c r="B4801" s="19" t="s">
        <v>4795</v>
      </c>
      <c r="C4801" s="20">
        <v>22806.0</v>
      </c>
      <c r="D4801" s="19" t="str">
        <f t="shared" si="1"/>
        <v> </v>
      </c>
      <c r="E4801" s="19" t="str">
        <f t="shared" si="2"/>
        <v> </v>
      </c>
      <c r="F4801" s="21"/>
    </row>
    <row r="4802">
      <c r="A4802" s="19">
        <v>16575.0</v>
      </c>
      <c r="B4802" s="19" t="s">
        <v>4796</v>
      </c>
      <c r="C4802" s="20">
        <v>21689.0</v>
      </c>
      <c r="D4802" s="19" t="str">
        <f t="shared" si="1"/>
        <v> </v>
      </c>
      <c r="E4802" s="19" t="str">
        <f t="shared" si="2"/>
        <v> </v>
      </c>
      <c r="F4802" s="21"/>
    </row>
    <row r="4803">
      <c r="A4803" s="19">
        <v>16576.0</v>
      </c>
      <c r="B4803" s="19" t="s">
        <v>4797</v>
      </c>
      <c r="C4803" s="20">
        <v>17982.0</v>
      </c>
      <c r="D4803" s="19" t="str">
        <f t="shared" si="1"/>
        <v> </v>
      </c>
      <c r="E4803" s="19" t="str">
        <f t="shared" si="2"/>
        <v> </v>
      </c>
      <c r="F4803" s="21"/>
    </row>
    <row r="4804">
      <c r="A4804" s="19">
        <v>16577.0</v>
      </c>
      <c r="B4804" s="19" t="s">
        <v>4798</v>
      </c>
      <c r="C4804" s="20">
        <v>13867.0</v>
      </c>
      <c r="D4804" s="19" t="str">
        <f t="shared" si="1"/>
        <v> </v>
      </c>
      <c r="E4804" s="19" t="str">
        <f t="shared" si="2"/>
        <v> </v>
      </c>
      <c r="F4804" s="21"/>
    </row>
    <row r="4805">
      <c r="A4805" s="19">
        <v>16582.0</v>
      </c>
      <c r="B4805" s="19" t="s">
        <v>4799</v>
      </c>
      <c r="C4805" s="20">
        <v>16737.0</v>
      </c>
      <c r="D4805" s="19" t="str">
        <f t="shared" si="1"/>
        <v> </v>
      </c>
      <c r="E4805" s="19" t="str">
        <f t="shared" si="2"/>
        <v> </v>
      </c>
      <c r="F4805" s="21"/>
    </row>
    <row r="4806">
      <c r="A4806" s="19">
        <v>16583.0</v>
      </c>
      <c r="B4806" s="19" t="s">
        <v>4800</v>
      </c>
      <c r="C4806" s="20">
        <v>23664.0</v>
      </c>
      <c r="D4806" s="19" t="str">
        <f t="shared" si="1"/>
        <v> </v>
      </c>
      <c r="E4806" s="19" t="str">
        <f t="shared" si="2"/>
        <v> </v>
      </c>
      <c r="F4806" s="21"/>
    </row>
    <row r="4807">
      <c r="A4807" s="19">
        <v>16584.0</v>
      </c>
      <c r="B4807" s="19" t="s">
        <v>4801</v>
      </c>
      <c r="C4807" s="20">
        <v>26074.0</v>
      </c>
      <c r="D4807" s="19" t="str">
        <f t="shared" si="1"/>
        <v> </v>
      </c>
      <c r="E4807" s="19" t="str">
        <f t="shared" si="2"/>
        <v> </v>
      </c>
      <c r="F4807" s="21"/>
    </row>
    <row r="4808">
      <c r="A4808" s="19">
        <v>16585.0</v>
      </c>
      <c r="B4808" s="19" t="s">
        <v>4802</v>
      </c>
      <c r="C4808" s="20">
        <v>18481.0</v>
      </c>
      <c r="D4808" s="19" t="str">
        <f t="shared" si="1"/>
        <v> </v>
      </c>
      <c r="E4808" s="19" t="str">
        <f t="shared" si="2"/>
        <v> </v>
      </c>
      <c r="F4808" s="21"/>
    </row>
    <row r="4809">
      <c r="A4809" s="19">
        <v>16586.0</v>
      </c>
      <c r="B4809" s="19" t="s">
        <v>4803</v>
      </c>
      <c r="C4809" s="20">
        <v>29471.0</v>
      </c>
      <c r="D4809" s="19" t="str">
        <f t="shared" si="1"/>
        <v> </v>
      </c>
      <c r="E4809" s="19" t="str">
        <f t="shared" si="2"/>
        <v> </v>
      </c>
      <c r="F4809" s="21"/>
    </row>
    <row r="4810">
      <c r="A4810" s="19">
        <v>16588.0</v>
      </c>
      <c r="B4810" s="19" t="s">
        <v>4804</v>
      </c>
      <c r="C4810" s="20">
        <v>20910.0</v>
      </c>
      <c r="D4810" s="19" t="str">
        <f t="shared" si="1"/>
        <v> </v>
      </c>
      <c r="E4810" s="19" t="str">
        <f t="shared" si="2"/>
        <v> </v>
      </c>
      <c r="F4810" s="21"/>
    </row>
    <row r="4811">
      <c r="A4811" s="19">
        <v>16589.0</v>
      </c>
      <c r="B4811" s="19" t="s">
        <v>4805</v>
      </c>
      <c r="C4811" s="20">
        <v>16222.0</v>
      </c>
      <c r="D4811" s="19" t="str">
        <f t="shared" si="1"/>
        <v> </v>
      </c>
      <c r="E4811" s="19" t="str">
        <f t="shared" si="2"/>
        <v> </v>
      </c>
      <c r="F4811" s="21"/>
    </row>
    <row r="4812">
      <c r="A4812" s="19">
        <v>16590.0</v>
      </c>
      <c r="B4812" s="19" t="s">
        <v>4806</v>
      </c>
      <c r="C4812" s="20">
        <v>25308.0</v>
      </c>
      <c r="D4812" s="19" t="str">
        <f t="shared" si="1"/>
        <v> </v>
      </c>
      <c r="E4812" s="19" t="str">
        <f t="shared" si="2"/>
        <v> </v>
      </c>
      <c r="F4812" s="21"/>
    </row>
    <row r="4813">
      <c r="A4813" s="19">
        <v>16591.0</v>
      </c>
      <c r="B4813" s="19" t="s">
        <v>4807</v>
      </c>
      <c r="C4813" s="20">
        <v>19773.0</v>
      </c>
      <c r="D4813" s="19" t="str">
        <f t="shared" si="1"/>
        <v> </v>
      </c>
      <c r="E4813" s="19" t="str">
        <f t="shared" si="2"/>
        <v> </v>
      </c>
      <c r="F4813" s="21"/>
    </row>
    <row r="4814">
      <c r="A4814" s="19">
        <v>16595.0</v>
      </c>
      <c r="B4814" s="19" t="s">
        <v>4808</v>
      </c>
      <c r="C4814" s="20">
        <v>32158.0</v>
      </c>
      <c r="D4814" s="19" t="str">
        <f t="shared" si="1"/>
        <v> </v>
      </c>
      <c r="E4814" s="19" t="str">
        <f t="shared" si="2"/>
        <v> </v>
      </c>
      <c r="F4814" s="21"/>
    </row>
    <row r="4815">
      <c r="A4815" s="19">
        <v>16596.0</v>
      </c>
      <c r="B4815" s="19" t="s">
        <v>4809</v>
      </c>
      <c r="C4815" s="20">
        <v>16214.0</v>
      </c>
      <c r="D4815" s="19" t="str">
        <f t="shared" si="1"/>
        <v> </v>
      </c>
      <c r="E4815" s="19" t="str">
        <f t="shared" si="2"/>
        <v> </v>
      </c>
      <c r="F4815" s="21"/>
    </row>
    <row r="4816">
      <c r="A4816" s="19">
        <v>16598.0</v>
      </c>
      <c r="B4816" s="19" t="s">
        <v>4810</v>
      </c>
      <c r="C4816" s="20">
        <v>29972.0</v>
      </c>
      <c r="D4816" s="19" t="str">
        <f t="shared" si="1"/>
        <v> </v>
      </c>
      <c r="E4816" s="19" t="str">
        <f t="shared" si="2"/>
        <v> </v>
      </c>
      <c r="F4816" s="21"/>
    </row>
    <row r="4817">
      <c r="A4817" s="19">
        <v>16599.0</v>
      </c>
      <c r="B4817" s="19" t="s">
        <v>4811</v>
      </c>
      <c r="C4817" s="20">
        <v>20468.0</v>
      </c>
      <c r="D4817" s="19" t="str">
        <f t="shared" si="1"/>
        <v> </v>
      </c>
      <c r="E4817" s="19" t="str">
        <f t="shared" si="2"/>
        <v>Repeat</v>
      </c>
      <c r="F4817" s="21"/>
    </row>
    <row r="4818">
      <c r="A4818" s="19">
        <v>16602.0</v>
      </c>
      <c r="B4818" s="19" t="s">
        <v>4812</v>
      </c>
      <c r="C4818" s="20">
        <v>35031.0</v>
      </c>
      <c r="D4818" s="19" t="str">
        <f t="shared" si="1"/>
        <v> </v>
      </c>
      <c r="E4818" s="19" t="str">
        <f t="shared" si="2"/>
        <v> </v>
      </c>
      <c r="F4818" s="21"/>
    </row>
    <row r="4819">
      <c r="A4819" s="19">
        <v>16605.0</v>
      </c>
      <c r="B4819" s="19" t="s">
        <v>4813</v>
      </c>
      <c r="C4819" s="20">
        <v>34957.0</v>
      </c>
      <c r="D4819" s="19" t="str">
        <f t="shared" si="1"/>
        <v> </v>
      </c>
      <c r="E4819" s="19" t="str">
        <f t="shared" si="2"/>
        <v>Repeat</v>
      </c>
      <c r="F4819" s="21"/>
    </row>
    <row r="4820">
      <c r="A4820" s="19">
        <v>16606.0</v>
      </c>
      <c r="B4820" s="19" t="s">
        <v>4814</v>
      </c>
      <c r="C4820" s="20">
        <v>24236.0</v>
      </c>
      <c r="D4820" s="19" t="str">
        <f t="shared" si="1"/>
        <v> </v>
      </c>
      <c r="E4820" s="19" t="str">
        <f t="shared" si="2"/>
        <v> </v>
      </c>
      <c r="F4820" s="21"/>
    </row>
    <row r="4821">
      <c r="A4821" s="19">
        <v>16607.0</v>
      </c>
      <c r="B4821" s="19" t="s">
        <v>4815</v>
      </c>
      <c r="C4821" s="20">
        <v>29673.0</v>
      </c>
      <c r="D4821" s="19" t="str">
        <f t="shared" si="1"/>
        <v> </v>
      </c>
      <c r="E4821" s="19" t="str">
        <f t="shared" si="2"/>
        <v> </v>
      </c>
      <c r="F4821" s="21"/>
    </row>
    <row r="4822">
      <c r="A4822" s="19">
        <v>16608.0</v>
      </c>
      <c r="B4822" s="19" t="s">
        <v>4816</v>
      </c>
      <c r="C4822" s="20">
        <v>31297.0</v>
      </c>
      <c r="D4822" s="19" t="str">
        <f t="shared" si="1"/>
        <v> </v>
      </c>
      <c r="E4822" s="19" t="str">
        <f t="shared" si="2"/>
        <v> </v>
      </c>
      <c r="F4822" s="21"/>
    </row>
    <row r="4823">
      <c r="A4823" s="19">
        <v>16609.0</v>
      </c>
      <c r="B4823" s="19" t="s">
        <v>4817</v>
      </c>
      <c r="C4823" s="20">
        <v>19761.0</v>
      </c>
      <c r="D4823" s="19" t="str">
        <f t="shared" si="1"/>
        <v> </v>
      </c>
      <c r="E4823" s="19" t="str">
        <f t="shared" si="2"/>
        <v> </v>
      </c>
      <c r="F4823" s="21"/>
    </row>
    <row r="4824">
      <c r="A4824" s="19">
        <v>16610.0</v>
      </c>
      <c r="B4824" s="19" t="s">
        <v>4818</v>
      </c>
      <c r="C4824" s="20">
        <v>16367.0</v>
      </c>
      <c r="D4824" s="19" t="str">
        <f t="shared" si="1"/>
        <v> </v>
      </c>
      <c r="E4824" s="19" t="str">
        <f t="shared" si="2"/>
        <v> </v>
      </c>
      <c r="F4824" s="21"/>
    </row>
    <row r="4825">
      <c r="A4825" s="19">
        <v>16611.0</v>
      </c>
      <c r="B4825" s="19" t="s">
        <v>4819</v>
      </c>
      <c r="C4825" s="20">
        <v>13977.0</v>
      </c>
      <c r="D4825" s="19" t="str">
        <f t="shared" si="1"/>
        <v> </v>
      </c>
      <c r="E4825" s="19" t="str">
        <f t="shared" si="2"/>
        <v> </v>
      </c>
      <c r="F4825" s="21"/>
    </row>
    <row r="4826">
      <c r="A4826" s="19">
        <v>16612.0</v>
      </c>
      <c r="B4826" s="19" t="s">
        <v>4820</v>
      </c>
      <c r="C4826" s="20">
        <v>24787.0</v>
      </c>
      <c r="D4826" s="19" t="str">
        <f t="shared" si="1"/>
        <v> </v>
      </c>
      <c r="E4826" s="19" t="str">
        <f t="shared" si="2"/>
        <v> </v>
      </c>
      <c r="F4826" s="21"/>
    </row>
    <row r="4827">
      <c r="A4827" s="19">
        <v>16614.0</v>
      </c>
      <c r="B4827" s="19" t="s">
        <v>4821</v>
      </c>
      <c r="C4827" s="20">
        <v>36630.0</v>
      </c>
      <c r="D4827" s="19" t="str">
        <f t="shared" si="1"/>
        <v>Repeat</v>
      </c>
      <c r="E4827" s="19" t="str">
        <f t="shared" si="2"/>
        <v> </v>
      </c>
      <c r="F4827" s="21"/>
    </row>
    <row r="4828">
      <c r="A4828" s="19">
        <v>16616.0</v>
      </c>
      <c r="B4828" s="19" t="s">
        <v>4822</v>
      </c>
      <c r="C4828" s="20">
        <v>23944.0</v>
      </c>
      <c r="D4828" s="19" t="str">
        <f t="shared" si="1"/>
        <v> </v>
      </c>
      <c r="E4828" s="19" t="str">
        <f t="shared" si="2"/>
        <v> </v>
      </c>
      <c r="F4828" s="21"/>
    </row>
    <row r="4829">
      <c r="A4829" s="19">
        <v>16617.0</v>
      </c>
      <c r="B4829" s="19" t="s">
        <v>4823</v>
      </c>
      <c r="C4829" s="20">
        <v>17122.0</v>
      </c>
      <c r="D4829" s="19" t="str">
        <f t="shared" si="1"/>
        <v> </v>
      </c>
      <c r="E4829" s="19" t="str">
        <f t="shared" si="2"/>
        <v> </v>
      </c>
      <c r="F4829" s="21"/>
    </row>
    <row r="4830">
      <c r="A4830" s="19">
        <v>16618.0</v>
      </c>
      <c r="B4830" s="19" t="s">
        <v>4824</v>
      </c>
      <c r="C4830" s="20">
        <v>19461.0</v>
      </c>
      <c r="D4830" s="19" t="str">
        <f t="shared" si="1"/>
        <v> </v>
      </c>
      <c r="E4830" s="19" t="str">
        <f t="shared" si="2"/>
        <v> </v>
      </c>
      <c r="F4830" s="21"/>
    </row>
    <row r="4831">
      <c r="A4831" s="19">
        <v>16619.0</v>
      </c>
      <c r="B4831" s="19" t="s">
        <v>4825</v>
      </c>
      <c r="C4831" s="20">
        <v>32217.0</v>
      </c>
      <c r="D4831" s="19" t="str">
        <f t="shared" si="1"/>
        <v> </v>
      </c>
      <c r="E4831" s="19" t="str">
        <f t="shared" si="2"/>
        <v> </v>
      </c>
      <c r="F4831" s="21"/>
    </row>
    <row r="4832">
      <c r="A4832" s="19">
        <v>16620.0</v>
      </c>
      <c r="B4832" s="19" t="s">
        <v>4826</v>
      </c>
      <c r="C4832" s="20">
        <v>27488.0</v>
      </c>
      <c r="D4832" s="19" t="str">
        <f t="shared" si="1"/>
        <v> </v>
      </c>
      <c r="E4832" s="19" t="str">
        <f t="shared" si="2"/>
        <v> </v>
      </c>
      <c r="F4832" s="21"/>
    </row>
    <row r="4833">
      <c r="A4833" s="19">
        <v>16621.0</v>
      </c>
      <c r="B4833" s="19" t="s">
        <v>4827</v>
      </c>
      <c r="C4833" s="20">
        <v>17346.0</v>
      </c>
      <c r="D4833" s="19" t="str">
        <f t="shared" si="1"/>
        <v> </v>
      </c>
      <c r="E4833" s="19" t="str">
        <f t="shared" si="2"/>
        <v> </v>
      </c>
      <c r="F4833" s="21"/>
    </row>
    <row r="4834">
      <c r="A4834" s="19">
        <v>16622.0</v>
      </c>
      <c r="B4834" s="19" t="s">
        <v>4828</v>
      </c>
      <c r="C4834" s="20">
        <v>22025.0</v>
      </c>
      <c r="D4834" s="19" t="str">
        <f t="shared" si="1"/>
        <v> </v>
      </c>
      <c r="E4834" s="19" t="str">
        <f t="shared" si="2"/>
        <v> </v>
      </c>
      <c r="F4834" s="21"/>
    </row>
    <row r="4835">
      <c r="A4835" s="19">
        <v>16625.0</v>
      </c>
      <c r="B4835" s="19" t="s">
        <v>4829</v>
      </c>
      <c r="C4835" s="20">
        <v>32103.0</v>
      </c>
      <c r="D4835" s="19" t="str">
        <f t="shared" si="1"/>
        <v> </v>
      </c>
      <c r="E4835" s="19" t="str">
        <f t="shared" si="2"/>
        <v> </v>
      </c>
      <c r="F4835" s="21"/>
    </row>
    <row r="4836">
      <c r="A4836" s="19">
        <v>16626.0</v>
      </c>
      <c r="B4836" s="19" t="s">
        <v>4830</v>
      </c>
      <c r="C4836" s="20">
        <v>22990.0</v>
      </c>
      <c r="D4836" s="19" t="str">
        <f t="shared" si="1"/>
        <v> </v>
      </c>
      <c r="E4836" s="19" t="str">
        <f t="shared" si="2"/>
        <v> </v>
      </c>
      <c r="F4836" s="21"/>
    </row>
    <row r="4837">
      <c r="A4837" s="19">
        <v>16628.0</v>
      </c>
      <c r="B4837" s="19" t="s">
        <v>4831</v>
      </c>
      <c r="C4837" s="20">
        <v>29045.0</v>
      </c>
      <c r="D4837" s="19" t="str">
        <f t="shared" si="1"/>
        <v> </v>
      </c>
      <c r="E4837" s="19" t="str">
        <f t="shared" si="2"/>
        <v> </v>
      </c>
      <c r="F4837" s="21"/>
    </row>
    <row r="4838">
      <c r="A4838" s="19">
        <v>16630.0</v>
      </c>
      <c r="B4838" s="19" t="s">
        <v>4832</v>
      </c>
      <c r="C4838" s="20">
        <v>22061.0</v>
      </c>
      <c r="D4838" s="19" t="str">
        <f t="shared" si="1"/>
        <v> </v>
      </c>
      <c r="E4838" s="19" t="str">
        <f t="shared" si="2"/>
        <v> </v>
      </c>
      <c r="F4838" s="21"/>
    </row>
    <row r="4839">
      <c r="A4839" s="19">
        <v>16631.0</v>
      </c>
      <c r="B4839" s="19" t="s">
        <v>4833</v>
      </c>
      <c r="C4839" s="20">
        <v>22152.0</v>
      </c>
      <c r="D4839" s="19" t="str">
        <f t="shared" si="1"/>
        <v> </v>
      </c>
      <c r="E4839" s="19" t="str">
        <f t="shared" si="2"/>
        <v> </v>
      </c>
      <c r="F4839" s="21"/>
    </row>
    <row r="4840">
      <c r="A4840" s="19">
        <v>16632.0</v>
      </c>
      <c r="B4840" s="19" t="s">
        <v>4834</v>
      </c>
      <c r="C4840" s="20">
        <v>23870.0</v>
      </c>
      <c r="D4840" s="19" t="str">
        <f t="shared" si="1"/>
        <v> </v>
      </c>
      <c r="E4840" s="19" t="str">
        <f t="shared" si="2"/>
        <v> </v>
      </c>
      <c r="F4840" s="21"/>
    </row>
    <row r="4841">
      <c r="A4841" s="19">
        <v>16633.0</v>
      </c>
      <c r="B4841" s="19" t="s">
        <v>4835</v>
      </c>
      <c r="C4841" s="20">
        <v>17476.0</v>
      </c>
      <c r="D4841" s="19" t="str">
        <f t="shared" si="1"/>
        <v> </v>
      </c>
      <c r="E4841" s="19" t="str">
        <f t="shared" si="2"/>
        <v> </v>
      </c>
      <c r="F4841" s="21"/>
    </row>
    <row r="4842">
      <c r="A4842" s="19">
        <v>16635.0</v>
      </c>
      <c r="B4842" s="19" t="s">
        <v>4836</v>
      </c>
      <c r="C4842" s="20">
        <v>19895.0</v>
      </c>
      <c r="D4842" s="19" t="str">
        <f t="shared" si="1"/>
        <v> </v>
      </c>
      <c r="E4842" s="19" t="str">
        <f t="shared" si="2"/>
        <v> </v>
      </c>
      <c r="F4842" s="21"/>
    </row>
    <row r="4843">
      <c r="A4843" s="19">
        <v>16636.0</v>
      </c>
      <c r="B4843" s="19" t="s">
        <v>4837</v>
      </c>
      <c r="C4843" s="20">
        <v>29866.0</v>
      </c>
      <c r="D4843" s="19" t="str">
        <f t="shared" si="1"/>
        <v> </v>
      </c>
      <c r="E4843" s="19" t="str">
        <f t="shared" si="2"/>
        <v> </v>
      </c>
      <c r="F4843" s="21"/>
    </row>
    <row r="4844">
      <c r="A4844" s="19">
        <v>16637.0</v>
      </c>
      <c r="B4844" s="19" t="s">
        <v>4838</v>
      </c>
      <c r="C4844" s="20">
        <v>30813.0</v>
      </c>
      <c r="D4844" s="19" t="str">
        <f t="shared" si="1"/>
        <v> </v>
      </c>
      <c r="E4844" s="19" t="str">
        <f t="shared" si="2"/>
        <v> </v>
      </c>
      <c r="F4844" s="21"/>
    </row>
    <row r="4845">
      <c r="A4845" s="19">
        <v>16638.0</v>
      </c>
      <c r="B4845" s="19" t="s">
        <v>4839</v>
      </c>
      <c r="C4845" s="20">
        <v>26014.0</v>
      </c>
      <c r="D4845" s="19" t="str">
        <f t="shared" si="1"/>
        <v> </v>
      </c>
      <c r="E4845" s="19" t="str">
        <f t="shared" si="2"/>
        <v> </v>
      </c>
      <c r="F4845" s="21"/>
    </row>
    <row r="4846">
      <c r="A4846" s="19">
        <v>16639.0</v>
      </c>
      <c r="B4846" s="19" t="s">
        <v>4840</v>
      </c>
      <c r="C4846" s="20">
        <v>23388.0</v>
      </c>
      <c r="D4846" s="19" t="str">
        <f t="shared" si="1"/>
        <v> </v>
      </c>
      <c r="E4846" s="19" t="str">
        <f t="shared" si="2"/>
        <v> </v>
      </c>
      <c r="F4846" s="21"/>
    </row>
    <row r="4847">
      <c r="A4847" s="19">
        <v>16640.0</v>
      </c>
      <c r="B4847" s="19" t="s">
        <v>4841</v>
      </c>
      <c r="C4847" s="20">
        <v>31481.0</v>
      </c>
      <c r="D4847" s="19" t="str">
        <f t="shared" si="1"/>
        <v> </v>
      </c>
      <c r="E4847" s="19" t="str">
        <f t="shared" si="2"/>
        <v> </v>
      </c>
      <c r="F4847" s="21"/>
    </row>
    <row r="4848">
      <c r="A4848" s="19">
        <v>16641.0</v>
      </c>
      <c r="B4848" s="19" t="s">
        <v>4842</v>
      </c>
      <c r="C4848" s="20">
        <v>23406.0</v>
      </c>
      <c r="D4848" s="19" t="str">
        <f t="shared" si="1"/>
        <v> </v>
      </c>
      <c r="E4848" s="19" t="str">
        <f t="shared" si="2"/>
        <v> </v>
      </c>
      <c r="F4848" s="21"/>
    </row>
    <row r="4849">
      <c r="A4849" s="19">
        <v>16642.0</v>
      </c>
      <c r="B4849" s="19" t="s">
        <v>4843</v>
      </c>
      <c r="C4849" s="20">
        <v>29828.0</v>
      </c>
      <c r="D4849" s="19" t="str">
        <f t="shared" si="1"/>
        <v> </v>
      </c>
      <c r="E4849" s="19" t="str">
        <f t="shared" si="2"/>
        <v> </v>
      </c>
      <c r="F4849" s="21"/>
    </row>
    <row r="4850">
      <c r="A4850" s="19">
        <v>16643.0</v>
      </c>
      <c r="B4850" s="19" t="s">
        <v>4844</v>
      </c>
      <c r="C4850" s="20">
        <v>14558.0</v>
      </c>
      <c r="D4850" s="19" t="str">
        <f t="shared" si="1"/>
        <v> </v>
      </c>
      <c r="E4850" s="19" t="str">
        <f t="shared" si="2"/>
        <v> </v>
      </c>
      <c r="F4850" s="21"/>
    </row>
    <row r="4851">
      <c r="A4851" s="19">
        <v>16644.0</v>
      </c>
      <c r="B4851" s="19" t="s">
        <v>4845</v>
      </c>
      <c r="C4851" s="20">
        <v>26340.0</v>
      </c>
      <c r="D4851" s="19" t="str">
        <f t="shared" si="1"/>
        <v> </v>
      </c>
      <c r="E4851" s="19" t="str">
        <f t="shared" si="2"/>
        <v> </v>
      </c>
      <c r="F4851" s="21"/>
    </row>
    <row r="4852">
      <c r="A4852" s="19">
        <v>16645.0</v>
      </c>
      <c r="B4852" s="19" t="s">
        <v>4846</v>
      </c>
      <c r="C4852" s="20">
        <v>17634.0</v>
      </c>
      <c r="D4852" s="19" t="str">
        <f t="shared" si="1"/>
        <v> </v>
      </c>
      <c r="E4852" s="19" t="str">
        <f t="shared" si="2"/>
        <v> </v>
      </c>
      <c r="F4852" s="21"/>
    </row>
    <row r="4853">
      <c r="A4853" s="19">
        <v>16646.0</v>
      </c>
      <c r="B4853" s="19" t="s">
        <v>4847</v>
      </c>
      <c r="C4853" s="20">
        <v>27128.0</v>
      </c>
      <c r="D4853" s="19" t="str">
        <f t="shared" si="1"/>
        <v> </v>
      </c>
      <c r="E4853" s="19" t="str">
        <f t="shared" si="2"/>
        <v> </v>
      </c>
      <c r="F4853" s="21"/>
    </row>
    <row r="4854">
      <c r="A4854" s="19">
        <v>16648.0</v>
      </c>
      <c r="B4854" s="19" t="s">
        <v>4848</v>
      </c>
      <c r="C4854" s="20">
        <v>18998.0</v>
      </c>
      <c r="D4854" s="19" t="str">
        <f t="shared" si="1"/>
        <v> </v>
      </c>
      <c r="E4854" s="19" t="str">
        <f t="shared" si="2"/>
        <v> </v>
      </c>
      <c r="F4854" s="21"/>
    </row>
    <row r="4855">
      <c r="A4855" s="19">
        <v>16649.0</v>
      </c>
      <c r="B4855" s="19" t="s">
        <v>4849</v>
      </c>
      <c r="C4855" s="20">
        <v>14819.0</v>
      </c>
      <c r="D4855" s="19" t="str">
        <f t="shared" si="1"/>
        <v> </v>
      </c>
      <c r="E4855" s="19" t="str">
        <f t="shared" si="2"/>
        <v> </v>
      </c>
      <c r="F4855" s="21"/>
    </row>
    <row r="4856">
      <c r="A4856" s="19">
        <v>16652.0</v>
      </c>
      <c r="B4856" s="19" t="s">
        <v>4850</v>
      </c>
      <c r="C4856" s="20">
        <v>15018.0</v>
      </c>
      <c r="D4856" s="19" t="str">
        <f t="shared" si="1"/>
        <v> </v>
      </c>
      <c r="E4856" s="19" t="str">
        <f t="shared" si="2"/>
        <v> </v>
      </c>
      <c r="F4856" s="21"/>
    </row>
    <row r="4857">
      <c r="A4857" s="19">
        <v>16653.0</v>
      </c>
      <c r="B4857" s="19" t="s">
        <v>4851</v>
      </c>
      <c r="C4857" s="20">
        <v>19401.0</v>
      </c>
      <c r="D4857" s="19" t="str">
        <f t="shared" si="1"/>
        <v> </v>
      </c>
      <c r="E4857" s="19" t="str">
        <f t="shared" si="2"/>
        <v> </v>
      </c>
      <c r="F4857" s="21"/>
    </row>
    <row r="4858">
      <c r="A4858" s="19">
        <v>16655.0</v>
      </c>
      <c r="B4858" s="19" t="s">
        <v>4852</v>
      </c>
      <c r="C4858" s="20">
        <v>26906.0</v>
      </c>
      <c r="D4858" s="19" t="str">
        <f t="shared" si="1"/>
        <v> </v>
      </c>
      <c r="E4858" s="19" t="str">
        <f t="shared" si="2"/>
        <v> </v>
      </c>
      <c r="F4858" s="21"/>
    </row>
    <row r="4859">
      <c r="A4859" s="19">
        <v>16656.0</v>
      </c>
      <c r="B4859" s="19" t="s">
        <v>4853</v>
      </c>
      <c r="C4859" s="20">
        <v>19104.0</v>
      </c>
      <c r="D4859" s="19" t="str">
        <f t="shared" si="1"/>
        <v> </v>
      </c>
      <c r="E4859" s="19" t="str">
        <f t="shared" si="2"/>
        <v> </v>
      </c>
      <c r="F4859" s="21"/>
    </row>
    <row r="4860">
      <c r="A4860" s="19">
        <v>16657.0</v>
      </c>
      <c r="B4860" s="19" t="s">
        <v>4854</v>
      </c>
      <c r="C4860" s="20">
        <v>23665.0</v>
      </c>
      <c r="D4860" s="19" t="str">
        <f t="shared" si="1"/>
        <v> </v>
      </c>
      <c r="E4860" s="19" t="str">
        <f t="shared" si="2"/>
        <v> </v>
      </c>
      <c r="F4860" s="21"/>
    </row>
    <row r="4861">
      <c r="A4861" s="19">
        <v>16658.0</v>
      </c>
      <c r="B4861" s="19" t="s">
        <v>4855</v>
      </c>
      <c r="C4861" s="20">
        <v>25998.0</v>
      </c>
      <c r="D4861" s="19" t="str">
        <f t="shared" si="1"/>
        <v> </v>
      </c>
      <c r="E4861" s="19" t="str">
        <f t="shared" si="2"/>
        <v> </v>
      </c>
      <c r="F4861" s="21"/>
    </row>
    <row r="4862">
      <c r="A4862" s="19">
        <v>16659.0</v>
      </c>
      <c r="B4862" s="19" t="s">
        <v>4856</v>
      </c>
      <c r="C4862" s="20">
        <v>13161.0</v>
      </c>
      <c r="D4862" s="19" t="str">
        <f t="shared" si="1"/>
        <v> </v>
      </c>
      <c r="E4862" s="19" t="str">
        <f t="shared" si="2"/>
        <v> </v>
      </c>
      <c r="F4862" s="21"/>
    </row>
    <row r="4863">
      <c r="A4863" s="19">
        <v>16660.0</v>
      </c>
      <c r="B4863" s="19" t="s">
        <v>4857</v>
      </c>
      <c r="C4863" s="20">
        <v>18250.0</v>
      </c>
      <c r="D4863" s="19" t="str">
        <f t="shared" si="1"/>
        <v> </v>
      </c>
      <c r="E4863" s="19" t="str">
        <f t="shared" si="2"/>
        <v> </v>
      </c>
      <c r="F4863" s="21"/>
    </row>
    <row r="4864">
      <c r="A4864" s="19">
        <v>16661.0</v>
      </c>
      <c r="B4864" s="19" t="s">
        <v>4858</v>
      </c>
      <c r="C4864" s="20">
        <v>17544.0</v>
      </c>
      <c r="D4864" s="19" t="str">
        <f t="shared" si="1"/>
        <v> </v>
      </c>
      <c r="E4864" s="19" t="str">
        <f t="shared" si="2"/>
        <v> </v>
      </c>
      <c r="F4864" s="21"/>
    </row>
    <row r="4865">
      <c r="A4865" s="19">
        <v>16662.0</v>
      </c>
      <c r="B4865" s="19" t="s">
        <v>4859</v>
      </c>
      <c r="C4865" s="20">
        <v>17834.0</v>
      </c>
      <c r="D4865" s="19" t="str">
        <f t="shared" si="1"/>
        <v> </v>
      </c>
      <c r="E4865" s="19" t="str">
        <f t="shared" si="2"/>
        <v> </v>
      </c>
      <c r="F4865" s="21"/>
    </row>
    <row r="4866">
      <c r="A4866" s="19">
        <v>16663.0</v>
      </c>
      <c r="B4866" s="19" t="s">
        <v>4860</v>
      </c>
      <c r="C4866" s="20">
        <v>23574.0</v>
      </c>
      <c r="D4866" s="19" t="str">
        <f t="shared" si="1"/>
        <v> </v>
      </c>
      <c r="E4866" s="19" t="str">
        <f t="shared" si="2"/>
        <v> </v>
      </c>
      <c r="F4866" s="21"/>
    </row>
    <row r="4867">
      <c r="A4867" s="19">
        <v>16664.0</v>
      </c>
      <c r="B4867" s="19" t="s">
        <v>4861</v>
      </c>
      <c r="C4867" s="20">
        <v>22122.0</v>
      </c>
      <c r="D4867" s="19" t="str">
        <f t="shared" si="1"/>
        <v> </v>
      </c>
      <c r="E4867" s="19" t="str">
        <f t="shared" si="2"/>
        <v> </v>
      </c>
      <c r="F4867" s="21"/>
    </row>
    <row r="4868">
      <c r="A4868" s="19">
        <v>16667.0</v>
      </c>
      <c r="B4868" s="19" t="s">
        <v>4862</v>
      </c>
      <c r="C4868" s="20">
        <v>27736.0</v>
      </c>
      <c r="D4868" s="19" t="str">
        <f t="shared" si="1"/>
        <v> </v>
      </c>
      <c r="E4868" s="19" t="str">
        <f t="shared" si="2"/>
        <v> </v>
      </c>
      <c r="F4868" s="21"/>
    </row>
    <row r="4869">
      <c r="A4869" s="19">
        <v>16668.0</v>
      </c>
      <c r="B4869" s="19" t="s">
        <v>4863</v>
      </c>
      <c r="C4869" s="20">
        <v>29499.0</v>
      </c>
      <c r="D4869" s="19" t="str">
        <f t="shared" si="1"/>
        <v> </v>
      </c>
      <c r="E4869" s="19" t="str">
        <f t="shared" si="2"/>
        <v> </v>
      </c>
      <c r="F4869" s="21"/>
    </row>
    <row r="4870">
      <c r="A4870" s="19">
        <v>16669.0</v>
      </c>
      <c r="B4870" s="19" t="s">
        <v>4864</v>
      </c>
      <c r="C4870" s="20">
        <v>20675.0</v>
      </c>
      <c r="D4870" s="19" t="str">
        <f t="shared" si="1"/>
        <v> </v>
      </c>
      <c r="E4870" s="19" t="str">
        <f t="shared" si="2"/>
        <v> </v>
      </c>
      <c r="F4870" s="21"/>
    </row>
    <row r="4871">
      <c r="A4871" s="19">
        <v>16670.0</v>
      </c>
      <c r="B4871" s="19" t="s">
        <v>4865</v>
      </c>
      <c r="C4871" s="20">
        <v>20192.0</v>
      </c>
      <c r="D4871" s="19" t="str">
        <f t="shared" si="1"/>
        <v> </v>
      </c>
      <c r="E4871" s="19" t="str">
        <f t="shared" si="2"/>
        <v> </v>
      </c>
      <c r="F4871" s="21"/>
    </row>
    <row r="4872">
      <c r="A4872" s="19">
        <v>16671.0</v>
      </c>
      <c r="B4872" s="19" t="s">
        <v>4866</v>
      </c>
      <c r="C4872" s="20">
        <v>22559.0</v>
      </c>
      <c r="D4872" s="19" t="str">
        <f t="shared" si="1"/>
        <v> </v>
      </c>
      <c r="E4872" s="19" t="str">
        <f t="shared" si="2"/>
        <v> </v>
      </c>
      <c r="F4872" s="21"/>
    </row>
    <row r="4873">
      <c r="A4873" s="19">
        <v>16672.0</v>
      </c>
      <c r="B4873" s="19" t="s">
        <v>4867</v>
      </c>
      <c r="C4873" s="20">
        <v>47078.0</v>
      </c>
      <c r="D4873" s="19" t="str">
        <f t="shared" si="1"/>
        <v> </v>
      </c>
      <c r="E4873" s="19" t="str">
        <f t="shared" si="2"/>
        <v> </v>
      </c>
      <c r="F4873" s="21"/>
    </row>
    <row r="4874">
      <c r="A4874" s="19">
        <v>16674.0</v>
      </c>
      <c r="B4874" s="19" t="s">
        <v>4868</v>
      </c>
      <c r="C4874" s="20">
        <v>21782.0</v>
      </c>
      <c r="D4874" s="19" t="str">
        <f t="shared" si="1"/>
        <v> </v>
      </c>
      <c r="E4874" s="19" t="str">
        <f t="shared" si="2"/>
        <v> </v>
      </c>
      <c r="F4874" s="21"/>
    </row>
    <row r="4875">
      <c r="A4875" s="19">
        <v>16675.0</v>
      </c>
      <c r="B4875" s="19" t="s">
        <v>4869</v>
      </c>
      <c r="C4875" s="20">
        <v>11940.0</v>
      </c>
      <c r="D4875" s="19" t="str">
        <f t="shared" si="1"/>
        <v> </v>
      </c>
      <c r="E4875" s="19" t="str">
        <f t="shared" si="2"/>
        <v> </v>
      </c>
      <c r="F4875" s="21"/>
    </row>
    <row r="4876">
      <c r="A4876" s="19">
        <v>16677.0</v>
      </c>
      <c r="B4876" s="19" t="s">
        <v>4870</v>
      </c>
      <c r="C4876" s="20">
        <v>20737.0</v>
      </c>
      <c r="D4876" s="19" t="str">
        <f t="shared" si="1"/>
        <v> </v>
      </c>
      <c r="E4876" s="19" t="str">
        <f t="shared" si="2"/>
        <v> </v>
      </c>
      <c r="F4876" s="21"/>
    </row>
    <row r="4877">
      <c r="A4877" s="19">
        <v>16678.0</v>
      </c>
      <c r="B4877" s="19" t="s">
        <v>4871</v>
      </c>
      <c r="C4877" s="20">
        <v>27277.0</v>
      </c>
      <c r="D4877" s="19" t="str">
        <f t="shared" si="1"/>
        <v> </v>
      </c>
      <c r="E4877" s="19" t="str">
        <f t="shared" si="2"/>
        <v> </v>
      </c>
      <c r="F4877" s="21"/>
    </row>
    <row r="4878">
      <c r="A4878" s="19">
        <v>16679.0</v>
      </c>
      <c r="B4878" s="19" t="s">
        <v>4872</v>
      </c>
      <c r="C4878" s="20">
        <v>22296.0</v>
      </c>
      <c r="D4878" s="19" t="str">
        <f t="shared" si="1"/>
        <v> </v>
      </c>
      <c r="E4878" s="19" t="str">
        <f t="shared" si="2"/>
        <v> </v>
      </c>
      <c r="F4878" s="21"/>
    </row>
    <row r="4879">
      <c r="A4879" s="19">
        <v>16680.0</v>
      </c>
      <c r="B4879" s="19" t="s">
        <v>4873</v>
      </c>
      <c r="C4879" s="20">
        <v>28421.0</v>
      </c>
      <c r="D4879" s="19" t="str">
        <f t="shared" si="1"/>
        <v> </v>
      </c>
      <c r="E4879" s="19" t="str">
        <f t="shared" si="2"/>
        <v> </v>
      </c>
      <c r="F4879" s="21"/>
    </row>
    <row r="4880">
      <c r="A4880" s="19">
        <v>16681.0</v>
      </c>
      <c r="B4880" s="19" t="s">
        <v>4874</v>
      </c>
      <c r="C4880" s="20">
        <v>22930.0</v>
      </c>
      <c r="D4880" s="19" t="str">
        <f t="shared" si="1"/>
        <v> </v>
      </c>
      <c r="E4880" s="19" t="str">
        <f t="shared" si="2"/>
        <v> </v>
      </c>
      <c r="F4880" s="21"/>
    </row>
    <row r="4881">
      <c r="A4881" s="19">
        <v>16682.0</v>
      </c>
      <c r="B4881" s="19" t="s">
        <v>4875</v>
      </c>
      <c r="C4881" s="20">
        <v>20068.0</v>
      </c>
      <c r="D4881" s="19" t="str">
        <f t="shared" si="1"/>
        <v> </v>
      </c>
      <c r="E4881" s="19" t="str">
        <f t="shared" si="2"/>
        <v> </v>
      </c>
      <c r="F4881" s="21"/>
    </row>
    <row r="4882">
      <c r="A4882" s="19">
        <v>16683.0</v>
      </c>
      <c r="B4882" s="19" t="s">
        <v>4876</v>
      </c>
      <c r="C4882" s="20">
        <v>32333.0</v>
      </c>
      <c r="D4882" s="19" t="str">
        <f t="shared" si="1"/>
        <v> </v>
      </c>
      <c r="E4882" s="19" t="str">
        <f t="shared" si="2"/>
        <v> </v>
      </c>
      <c r="F4882" s="21"/>
    </row>
    <row r="4883">
      <c r="A4883" s="19">
        <v>16684.0</v>
      </c>
      <c r="B4883" s="19" t="s">
        <v>4877</v>
      </c>
      <c r="C4883" s="20">
        <v>29291.0</v>
      </c>
      <c r="D4883" s="19" t="str">
        <f t="shared" si="1"/>
        <v> </v>
      </c>
      <c r="E4883" s="19" t="str">
        <f t="shared" si="2"/>
        <v> </v>
      </c>
      <c r="F4883" s="21"/>
    </row>
    <row r="4884">
      <c r="A4884" s="19">
        <v>16685.0</v>
      </c>
      <c r="B4884" s="19" t="s">
        <v>4878</v>
      </c>
      <c r="C4884" s="20">
        <v>28179.0</v>
      </c>
      <c r="D4884" s="19" t="str">
        <f t="shared" si="1"/>
        <v> </v>
      </c>
      <c r="E4884" s="19" t="str">
        <f t="shared" si="2"/>
        <v> </v>
      </c>
      <c r="F4884" s="21"/>
    </row>
    <row r="4885">
      <c r="A4885" s="19">
        <v>16686.0</v>
      </c>
      <c r="B4885" s="19" t="s">
        <v>4879</v>
      </c>
      <c r="C4885" s="20">
        <v>14867.0</v>
      </c>
      <c r="D4885" s="19" t="str">
        <f t="shared" si="1"/>
        <v> </v>
      </c>
      <c r="E4885" s="19" t="str">
        <f t="shared" si="2"/>
        <v> </v>
      </c>
      <c r="F4885" s="21"/>
    </row>
    <row r="4886">
      <c r="A4886" s="19">
        <v>16687.0</v>
      </c>
      <c r="B4886" s="19" t="s">
        <v>4880</v>
      </c>
      <c r="C4886" s="20">
        <v>17055.0</v>
      </c>
      <c r="D4886" s="19" t="str">
        <f t="shared" si="1"/>
        <v> </v>
      </c>
      <c r="E4886" s="19" t="str">
        <f t="shared" si="2"/>
        <v> </v>
      </c>
      <c r="F4886" s="21"/>
    </row>
    <row r="4887">
      <c r="A4887" s="19">
        <v>16690.0</v>
      </c>
      <c r="B4887" s="19" t="s">
        <v>4881</v>
      </c>
      <c r="C4887" s="20">
        <v>21564.0</v>
      </c>
      <c r="D4887" s="19" t="str">
        <f t="shared" si="1"/>
        <v> </v>
      </c>
      <c r="E4887" s="19" t="str">
        <f t="shared" si="2"/>
        <v> </v>
      </c>
      <c r="F4887" s="21"/>
    </row>
    <row r="4888">
      <c r="A4888" s="19">
        <v>16691.0</v>
      </c>
      <c r="B4888" s="19" t="s">
        <v>4882</v>
      </c>
      <c r="C4888" s="20">
        <v>28721.0</v>
      </c>
      <c r="D4888" s="19" t="str">
        <f t="shared" si="1"/>
        <v> </v>
      </c>
      <c r="E4888" s="19" t="str">
        <f t="shared" si="2"/>
        <v> </v>
      </c>
      <c r="F4888" s="21"/>
    </row>
    <row r="4889">
      <c r="A4889" s="19">
        <v>16692.0</v>
      </c>
      <c r="B4889" s="19" t="s">
        <v>4883</v>
      </c>
      <c r="C4889" s="20">
        <v>18634.0</v>
      </c>
      <c r="D4889" s="19" t="str">
        <f t="shared" si="1"/>
        <v> </v>
      </c>
      <c r="E4889" s="19" t="str">
        <f t="shared" si="2"/>
        <v> </v>
      </c>
      <c r="F4889" s="21"/>
    </row>
    <row r="4890">
      <c r="A4890" s="19">
        <v>16693.0</v>
      </c>
      <c r="B4890" s="19" t="s">
        <v>4884</v>
      </c>
      <c r="C4890" s="20">
        <v>30127.0</v>
      </c>
      <c r="D4890" s="19" t="str">
        <f t="shared" si="1"/>
        <v> </v>
      </c>
      <c r="E4890" s="19" t="str">
        <f t="shared" si="2"/>
        <v> </v>
      </c>
      <c r="F4890" s="21"/>
    </row>
    <row r="4891">
      <c r="A4891" s="19">
        <v>16694.0</v>
      </c>
      <c r="B4891" s="19" t="s">
        <v>4885</v>
      </c>
      <c r="C4891" s="20">
        <v>12270.0</v>
      </c>
      <c r="D4891" s="19" t="str">
        <f t="shared" si="1"/>
        <v> </v>
      </c>
      <c r="E4891" s="19" t="str">
        <f t="shared" si="2"/>
        <v> </v>
      </c>
      <c r="F4891" s="21"/>
    </row>
    <row r="4892">
      <c r="A4892" s="19">
        <v>16695.0</v>
      </c>
      <c r="B4892" s="19" t="s">
        <v>4886</v>
      </c>
      <c r="C4892" s="20">
        <v>22489.0</v>
      </c>
      <c r="D4892" s="19" t="str">
        <f t="shared" si="1"/>
        <v> </v>
      </c>
      <c r="E4892" s="19" t="str">
        <f t="shared" si="2"/>
        <v> </v>
      </c>
      <c r="F4892" s="21"/>
    </row>
    <row r="4893">
      <c r="A4893" s="19">
        <v>16697.0</v>
      </c>
      <c r="B4893" s="19" t="s">
        <v>4887</v>
      </c>
      <c r="C4893" s="20">
        <v>25544.0</v>
      </c>
      <c r="D4893" s="19" t="str">
        <f t="shared" si="1"/>
        <v> </v>
      </c>
      <c r="E4893" s="19" t="str">
        <f t="shared" si="2"/>
        <v> </v>
      </c>
      <c r="F4893" s="21"/>
    </row>
    <row r="4894">
      <c r="A4894" s="19">
        <v>16699.0</v>
      </c>
      <c r="B4894" s="19" t="s">
        <v>4888</v>
      </c>
      <c r="C4894" s="20">
        <v>20034.0</v>
      </c>
      <c r="D4894" s="19" t="str">
        <f t="shared" si="1"/>
        <v> </v>
      </c>
      <c r="E4894" s="19" t="str">
        <f t="shared" si="2"/>
        <v> </v>
      </c>
      <c r="F4894" s="21"/>
    </row>
    <row r="4895">
      <c r="A4895" s="19">
        <v>16700.0</v>
      </c>
      <c r="B4895" s="19" t="s">
        <v>4889</v>
      </c>
      <c r="C4895" s="20">
        <v>9823.0</v>
      </c>
      <c r="D4895" s="19" t="str">
        <f t="shared" si="1"/>
        <v> </v>
      </c>
      <c r="E4895" s="19" t="str">
        <f t="shared" si="2"/>
        <v> </v>
      </c>
      <c r="F4895" s="21"/>
    </row>
    <row r="4896">
      <c r="A4896" s="19">
        <v>16701.0</v>
      </c>
      <c r="B4896" s="19" t="s">
        <v>1174</v>
      </c>
      <c r="C4896" s="20">
        <v>31681.0</v>
      </c>
      <c r="D4896" s="19" t="str">
        <f t="shared" si="1"/>
        <v>Repeat</v>
      </c>
      <c r="E4896" s="19" t="str">
        <f t="shared" si="2"/>
        <v> </v>
      </c>
      <c r="F4896" s="21"/>
    </row>
    <row r="4897">
      <c r="A4897" s="19">
        <v>16703.0</v>
      </c>
      <c r="B4897" s="19" t="s">
        <v>4890</v>
      </c>
      <c r="C4897" s="20">
        <v>22337.0</v>
      </c>
      <c r="D4897" s="19" t="str">
        <f t="shared" si="1"/>
        <v> </v>
      </c>
      <c r="E4897" s="19" t="str">
        <f t="shared" si="2"/>
        <v> </v>
      </c>
      <c r="F4897" s="21"/>
    </row>
    <row r="4898">
      <c r="A4898" s="19">
        <v>16704.0</v>
      </c>
      <c r="B4898" s="19" t="s">
        <v>4891</v>
      </c>
      <c r="C4898" s="20">
        <v>22637.0</v>
      </c>
      <c r="D4898" s="19" t="str">
        <f t="shared" si="1"/>
        <v> </v>
      </c>
      <c r="E4898" s="19" t="str">
        <f t="shared" si="2"/>
        <v> </v>
      </c>
      <c r="F4898" s="21"/>
    </row>
    <row r="4899">
      <c r="A4899" s="19">
        <v>16705.0</v>
      </c>
      <c r="B4899" s="19" t="s">
        <v>718</v>
      </c>
      <c r="C4899" s="20">
        <v>20001.0</v>
      </c>
      <c r="D4899" s="19" t="str">
        <f t="shared" si="1"/>
        <v>Repeat</v>
      </c>
      <c r="E4899" s="19" t="str">
        <f t="shared" si="2"/>
        <v> </v>
      </c>
      <c r="F4899" s="21"/>
    </row>
    <row r="4900">
      <c r="A4900" s="19">
        <v>16707.0</v>
      </c>
      <c r="B4900" s="19" t="s">
        <v>2276</v>
      </c>
      <c r="C4900" s="20">
        <v>12534.0</v>
      </c>
      <c r="D4900" s="19" t="str">
        <f t="shared" si="1"/>
        <v>Repeat</v>
      </c>
      <c r="E4900" s="19" t="str">
        <f t="shared" si="2"/>
        <v> </v>
      </c>
      <c r="F4900" s="21"/>
    </row>
    <row r="4901">
      <c r="A4901" s="19">
        <v>16708.0</v>
      </c>
      <c r="B4901" s="19" t="s">
        <v>4892</v>
      </c>
      <c r="C4901" s="20">
        <v>11530.0</v>
      </c>
      <c r="D4901" s="19" t="str">
        <f t="shared" si="1"/>
        <v> </v>
      </c>
      <c r="E4901" s="19" t="str">
        <f t="shared" si="2"/>
        <v> </v>
      </c>
      <c r="F4901" s="21"/>
    </row>
    <row r="4902">
      <c r="A4902" s="19">
        <v>16709.0</v>
      </c>
      <c r="B4902" s="19" t="s">
        <v>4893</v>
      </c>
      <c r="C4902" s="20">
        <v>23212.0</v>
      </c>
      <c r="D4902" s="19" t="str">
        <f t="shared" si="1"/>
        <v>Repeat</v>
      </c>
      <c r="E4902" s="19" t="str">
        <f t="shared" si="2"/>
        <v> </v>
      </c>
      <c r="F4902" s="21"/>
    </row>
    <row r="4903">
      <c r="A4903" s="19">
        <v>16712.0</v>
      </c>
      <c r="B4903" s="19" t="s">
        <v>4894</v>
      </c>
      <c r="C4903" s="20">
        <v>20122.0</v>
      </c>
      <c r="D4903" s="19" t="str">
        <f t="shared" si="1"/>
        <v> </v>
      </c>
      <c r="E4903" s="19" t="str">
        <f t="shared" si="2"/>
        <v> </v>
      </c>
      <c r="F4903" s="21"/>
    </row>
    <row r="4904">
      <c r="A4904" s="19">
        <v>16713.0</v>
      </c>
      <c r="B4904" s="19" t="s">
        <v>4895</v>
      </c>
      <c r="C4904" s="20">
        <v>25588.0</v>
      </c>
      <c r="D4904" s="19" t="str">
        <f t="shared" si="1"/>
        <v> </v>
      </c>
      <c r="E4904" s="19" t="str">
        <f t="shared" si="2"/>
        <v> </v>
      </c>
      <c r="F4904" s="21"/>
    </row>
    <row r="4905">
      <c r="A4905" s="19">
        <v>16714.0</v>
      </c>
      <c r="B4905" s="19" t="s">
        <v>4896</v>
      </c>
      <c r="C4905" s="20">
        <v>19087.0</v>
      </c>
      <c r="D4905" s="19" t="str">
        <f t="shared" si="1"/>
        <v> </v>
      </c>
      <c r="E4905" s="19" t="str">
        <f t="shared" si="2"/>
        <v> </v>
      </c>
      <c r="F4905" s="21"/>
    </row>
    <row r="4906">
      <c r="A4906" s="19">
        <v>16715.0</v>
      </c>
      <c r="B4906" s="19" t="s">
        <v>4897</v>
      </c>
      <c r="C4906" s="20">
        <v>23242.0</v>
      </c>
      <c r="D4906" s="19" t="str">
        <f t="shared" si="1"/>
        <v> </v>
      </c>
      <c r="E4906" s="19" t="str">
        <f t="shared" si="2"/>
        <v> </v>
      </c>
      <c r="F4906" s="21"/>
    </row>
    <row r="4907">
      <c r="A4907" s="19">
        <v>16716.0</v>
      </c>
      <c r="B4907" s="19" t="s">
        <v>4898</v>
      </c>
      <c r="C4907" s="20">
        <v>30856.0</v>
      </c>
      <c r="D4907" s="19" t="str">
        <f t="shared" si="1"/>
        <v> </v>
      </c>
      <c r="E4907" s="19" t="str">
        <f t="shared" si="2"/>
        <v> </v>
      </c>
      <c r="F4907" s="21"/>
    </row>
    <row r="4908">
      <c r="A4908" s="19">
        <v>16718.0</v>
      </c>
      <c r="B4908" s="19" t="s">
        <v>4899</v>
      </c>
      <c r="C4908" s="20">
        <v>22824.0</v>
      </c>
      <c r="D4908" s="19" t="str">
        <f t="shared" si="1"/>
        <v> </v>
      </c>
      <c r="E4908" s="19" t="str">
        <f t="shared" si="2"/>
        <v> </v>
      </c>
      <c r="F4908" s="21"/>
    </row>
    <row r="4909">
      <c r="A4909" s="19">
        <v>16719.0</v>
      </c>
      <c r="B4909" s="19" t="s">
        <v>4900</v>
      </c>
      <c r="C4909" s="20">
        <v>22401.0</v>
      </c>
      <c r="D4909" s="19" t="str">
        <f t="shared" si="1"/>
        <v> </v>
      </c>
      <c r="E4909" s="19" t="str">
        <f t="shared" si="2"/>
        <v> </v>
      </c>
      <c r="F4909" s="21"/>
    </row>
    <row r="4910">
      <c r="A4910" s="19">
        <v>16720.0</v>
      </c>
      <c r="B4910" s="19" t="s">
        <v>4901</v>
      </c>
      <c r="C4910" s="20">
        <v>29601.0</v>
      </c>
      <c r="D4910" s="19" t="str">
        <f t="shared" si="1"/>
        <v> </v>
      </c>
      <c r="E4910" s="19" t="str">
        <f t="shared" si="2"/>
        <v> </v>
      </c>
      <c r="F4910" s="21"/>
    </row>
    <row r="4911">
      <c r="A4911" s="19">
        <v>16721.0</v>
      </c>
      <c r="B4911" s="19" t="s">
        <v>4902</v>
      </c>
      <c r="C4911" s="20">
        <v>29245.0</v>
      </c>
      <c r="D4911" s="19" t="str">
        <f t="shared" si="1"/>
        <v> </v>
      </c>
      <c r="E4911" s="19" t="str">
        <f t="shared" si="2"/>
        <v> </v>
      </c>
      <c r="F4911" s="21"/>
    </row>
    <row r="4912">
      <c r="A4912" s="19">
        <v>16722.0</v>
      </c>
      <c r="B4912" s="19" t="s">
        <v>4903</v>
      </c>
      <c r="C4912" s="20">
        <v>17812.0</v>
      </c>
      <c r="D4912" s="19" t="str">
        <f t="shared" si="1"/>
        <v> </v>
      </c>
      <c r="E4912" s="19" t="str">
        <f t="shared" si="2"/>
        <v> </v>
      </c>
      <c r="F4912" s="21"/>
    </row>
    <row r="4913">
      <c r="A4913" s="19">
        <v>16723.0</v>
      </c>
      <c r="B4913" s="19" t="s">
        <v>4904</v>
      </c>
      <c r="C4913" s="20">
        <v>25804.0</v>
      </c>
      <c r="D4913" s="19" t="str">
        <f t="shared" si="1"/>
        <v> </v>
      </c>
      <c r="E4913" s="19" t="str">
        <f t="shared" si="2"/>
        <v> </v>
      </c>
      <c r="F4913" s="21"/>
    </row>
    <row r="4914">
      <c r="A4914" s="19">
        <v>16725.0</v>
      </c>
      <c r="B4914" s="19" t="s">
        <v>4905</v>
      </c>
      <c r="C4914" s="20">
        <v>33524.0</v>
      </c>
      <c r="D4914" s="19" t="str">
        <f t="shared" si="1"/>
        <v> </v>
      </c>
      <c r="E4914" s="19" t="str">
        <f t="shared" si="2"/>
        <v> </v>
      </c>
      <c r="F4914" s="21"/>
    </row>
    <row r="4915">
      <c r="A4915" s="19">
        <v>16726.0</v>
      </c>
      <c r="B4915" s="19" t="s">
        <v>4906</v>
      </c>
      <c r="C4915" s="20">
        <v>24152.0</v>
      </c>
      <c r="D4915" s="19" t="str">
        <f t="shared" si="1"/>
        <v> </v>
      </c>
      <c r="E4915" s="19" t="str">
        <f t="shared" si="2"/>
        <v> </v>
      </c>
      <c r="F4915" s="21"/>
    </row>
    <row r="4916">
      <c r="A4916" s="19">
        <v>16727.0</v>
      </c>
      <c r="B4916" s="19" t="s">
        <v>4907</v>
      </c>
      <c r="C4916" s="20">
        <v>22667.0</v>
      </c>
      <c r="D4916" s="19" t="str">
        <f t="shared" si="1"/>
        <v> </v>
      </c>
      <c r="E4916" s="19" t="str">
        <f t="shared" si="2"/>
        <v> </v>
      </c>
      <c r="F4916" s="21"/>
    </row>
    <row r="4917">
      <c r="A4917" s="19">
        <v>16728.0</v>
      </c>
      <c r="B4917" s="19" t="s">
        <v>4908</v>
      </c>
      <c r="C4917" s="20">
        <v>16042.0</v>
      </c>
      <c r="D4917" s="19" t="str">
        <f t="shared" si="1"/>
        <v> </v>
      </c>
      <c r="E4917" s="19" t="str">
        <f t="shared" si="2"/>
        <v> </v>
      </c>
      <c r="F4917" s="21"/>
    </row>
    <row r="4918">
      <c r="A4918" s="19">
        <v>16730.0</v>
      </c>
      <c r="B4918" s="19" t="s">
        <v>4909</v>
      </c>
      <c r="C4918" s="20">
        <v>22649.0</v>
      </c>
      <c r="D4918" s="19" t="str">
        <f t="shared" si="1"/>
        <v> </v>
      </c>
      <c r="E4918" s="19" t="str">
        <f t="shared" si="2"/>
        <v> </v>
      </c>
      <c r="F4918" s="21"/>
    </row>
    <row r="4919">
      <c r="A4919" s="19">
        <v>16731.0</v>
      </c>
      <c r="B4919" s="19" t="s">
        <v>4910</v>
      </c>
      <c r="C4919" s="20">
        <v>19431.0</v>
      </c>
      <c r="D4919" s="19" t="str">
        <f t="shared" si="1"/>
        <v> </v>
      </c>
      <c r="E4919" s="19" t="str">
        <f t="shared" si="2"/>
        <v> </v>
      </c>
      <c r="F4919" s="21"/>
    </row>
    <row r="4920">
      <c r="A4920" s="19">
        <v>16732.0</v>
      </c>
      <c r="B4920" s="19" t="s">
        <v>4911</v>
      </c>
      <c r="C4920" s="20">
        <v>23942.0</v>
      </c>
      <c r="D4920" s="19" t="str">
        <f t="shared" si="1"/>
        <v> </v>
      </c>
      <c r="E4920" s="19" t="str">
        <f t="shared" si="2"/>
        <v> </v>
      </c>
      <c r="F4920" s="21"/>
    </row>
    <row r="4921">
      <c r="A4921" s="19">
        <v>16733.0</v>
      </c>
      <c r="B4921" s="19" t="s">
        <v>4912</v>
      </c>
      <c r="C4921" s="20">
        <v>18127.0</v>
      </c>
      <c r="D4921" s="19" t="str">
        <f t="shared" si="1"/>
        <v> </v>
      </c>
      <c r="E4921" s="19" t="str">
        <f t="shared" si="2"/>
        <v> </v>
      </c>
      <c r="F4921" s="21"/>
    </row>
    <row r="4922">
      <c r="A4922" s="19">
        <v>16734.0</v>
      </c>
      <c r="B4922" s="19" t="s">
        <v>4913</v>
      </c>
      <c r="C4922" s="20">
        <v>16208.0</v>
      </c>
      <c r="D4922" s="19" t="str">
        <f t="shared" si="1"/>
        <v> </v>
      </c>
      <c r="E4922" s="19" t="str">
        <f t="shared" si="2"/>
        <v> </v>
      </c>
      <c r="F4922" s="21"/>
    </row>
    <row r="4923">
      <c r="A4923" s="19">
        <v>17088.0</v>
      </c>
      <c r="B4923" s="19" t="s">
        <v>4914</v>
      </c>
      <c r="C4923" s="20">
        <v>27790.0</v>
      </c>
      <c r="D4923" s="19" t="str">
        <f t="shared" si="1"/>
        <v> </v>
      </c>
      <c r="E4923" s="19" t="str">
        <f t="shared" si="2"/>
        <v> </v>
      </c>
      <c r="F4923" s="21"/>
    </row>
    <row r="4924">
      <c r="A4924" s="19">
        <v>16736.0</v>
      </c>
      <c r="B4924" s="19" t="s">
        <v>4915</v>
      </c>
      <c r="C4924" s="20">
        <v>28145.0</v>
      </c>
      <c r="D4924" s="19" t="str">
        <f t="shared" si="1"/>
        <v> </v>
      </c>
      <c r="E4924" s="19" t="str">
        <f t="shared" si="2"/>
        <v> </v>
      </c>
      <c r="F4924" s="21"/>
    </row>
    <row r="4925">
      <c r="A4925" s="19">
        <v>16162.0</v>
      </c>
      <c r="B4925" s="19" t="s">
        <v>4916</v>
      </c>
      <c r="C4925" s="20">
        <v>27212.0</v>
      </c>
      <c r="D4925" s="19" t="str">
        <f t="shared" si="1"/>
        <v> </v>
      </c>
      <c r="E4925" s="19" t="str">
        <f t="shared" si="2"/>
        <v> </v>
      </c>
      <c r="F4925" s="21"/>
    </row>
    <row r="4926">
      <c r="A4926" s="19">
        <v>16738.0</v>
      </c>
      <c r="B4926" s="19" t="s">
        <v>4917</v>
      </c>
      <c r="C4926" s="20">
        <v>23693.0</v>
      </c>
      <c r="D4926" s="19" t="str">
        <f t="shared" si="1"/>
        <v> </v>
      </c>
      <c r="E4926" s="19" t="str">
        <f t="shared" si="2"/>
        <v> </v>
      </c>
      <c r="F4926" s="21"/>
    </row>
    <row r="4927">
      <c r="A4927" s="19">
        <v>16739.0</v>
      </c>
      <c r="B4927" s="19" t="s">
        <v>4918</v>
      </c>
      <c r="C4927" s="20">
        <v>16716.0</v>
      </c>
      <c r="D4927" s="19" t="str">
        <f t="shared" si="1"/>
        <v> </v>
      </c>
      <c r="E4927" s="19" t="str">
        <f t="shared" si="2"/>
        <v> </v>
      </c>
      <c r="F4927" s="21"/>
    </row>
    <row r="4928">
      <c r="A4928" s="19">
        <v>16740.0</v>
      </c>
      <c r="B4928" s="19" t="s">
        <v>4919</v>
      </c>
      <c r="C4928" s="20">
        <v>25008.0</v>
      </c>
      <c r="D4928" s="19" t="str">
        <f t="shared" si="1"/>
        <v> </v>
      </c>
      <c r="E4928" s="19" t="str">
        <f t="shared" si="2"/>
        <v> </v>
      </c>
      <c r="F4928" s="21"/>
    </row>
    <row r="4929">
      <c r="A4929" s="19">
        <v>16741.0</v>
      </c>
      <c r="B4929" s="19" t="s">
        <v>4920</v>
      </c>
      <c r="C4929" s="20">
        <v>21643.0</v>
      </c>
      <c r="D4929" s="19" t="str">
        <f t="shared" si="1"/>
        <v> </v>
      </c>
      <c r="E4929" s="19" t="str">
        <f t="shared" si="2"/>
        <v> </v>
      </c>
      <c r="F4929" s="21"/>
    </row>
    <row r="4930">
      <c r="A4930" s="19">
        <v>16743.0</v>
      </c>
      <c r="B4930" s="19" t="s">
        <v>4921</v>
      </c>
      <c r="C4930" s="20">
        <v>13975.0</v>
      </c>
      <c r="D4930" s="19" t="str">
        <f t="shared" si="1"/>
        <v> </v>
      </c>
      <c r="E4930" s="19" t="str">
        <f t="shared" si="2"/>
        <v> </v>
      </c>
      <c r="F4930" s="21"/>
    </row>
    <row r="4931">
      <c r="A4931" s="19">
        <v>16745.0</v>
      </c>
      <c r="B4931" s="19" t="s">
        <v>4922</v>
      </c>
      <c r="C4931" s="20">
        <v>34760.0</v>
      </c>
      <c r="D4931" s="19" t="str">
        <f t="shared" si="1"/>
        <v> </v>
      </c>
      <c r="E4931" s="19" t="str">
        <f t="shared" si="2"/>
        <v> </v>
      </c>
      <c r="F4931" s="21"/>
    </row>
    <row r="4932">
      <c r="A4932" s="19">
        <v>16746.0</v>
      </c>
      <c r="B4932" s="19" t="s">
        <v>4923</v>
      </c>
      <c r="C4932" s="20">
        <v>25838.0</v>
      </c>
      <c r="D4932" s="19" t="str">
        <f t="shared" si="1"/>
        <v> </v>
      </c>
      <c r="E4932" s="19" t="str">
        <f t="shared" si="2"/>
        <v> </v>
      </c>
      <c r="F4932" s="21"/>
    </row>
    <row r="4933">
      <c r="A4933" s="19">
        <v>16747.0</v>
      </c>
      <c r="B4933" s="19" t="s">
        <v>4924</v>
      </c>
      <c r="C4933" s="20">
        <v>24565.0</v>
      </c>
      <c r="D4933" s="19" t="str">
        <f t="shared" si="1"/>
        <v> </v>
      </c>
      <c r="E4933" s="19" t="str">
        <f t="shared" si="2"/>
        <v> </v>
      </c>
      <c r="F4933" s="21"/>
    </row>
    <row r="4934">
      <c r="A4934" s="19">
        <v>16748.0</v>
      </c>
      <c r="B4934" s="19" t="s">
        <v>4925</v>
      </c>
      <c r="C4934" s="20">
        <v>26623.0</v>
      </c>
      <c r="D4934" s="19" t="str">
        <f t="shared" si="1"/>
        <v> </v>
      </c>
      <c r="E4934" s="19" t="str">
        <f t="shared" si="2"/>
        <v> </v>
      </c>
      <c r="F4934" s="21"/>
    </row>
    <row r="4935">
      <c r="A4935" s="19">
        <v>16749.0</v>
      </c>
      <c r="B4935" s="19" t="s">
        <v>4926</v>
      </c>
      <c r="C4935" s="20">
        <v>23943.0</v>
      </c>
      <c r="D4935" s="19" t="str">
        <f t="shared" si="1"/>
        <v> </v>
      </c>
      <c r="E4935" s="19" t="str">
        <f t="shared" si="2"/>
        <v> </v>
      </c>
      <c r="F4935" s="21"/>
    </row>
    <row r="4936">
      <c r="A4936" s="19">
        <v>16750.0</v>
      </c>
      <c r="B4936" s="19" t="s">
        <v>4927</v>
      </c>
      <c r="C4936" s="20">
        <v>28666.0</v>
      </c>
      <c r="D4936" s="19" t="str">
        <f t="shared" si="1"/>
        <v> </v>
      </c>
      <c r="E4936" s="19" t="str">
        <f t="shared" si="2"/>
        <v> </v>
      </c>
      <c r="F4936" s="21"/>
    </row>
    <row r="4937">
      <c r="A4937" s="19">
        <v>16751.0</v>
      </c>
      <c r="B4937" s="19" t="s">
        <v>4928</v>
      </c>
      <c r="C4937" s="20">
        <v>31857.0</v>
      </c>
      <c r="D4937" s="19" t="str">
        <f t="shared" si="1"/>
        <v> </v>
      </c>
      <c r="E4937" s="19" t="str">
        <f t="shared" si="2"/>
        <v> </v>
      </c>
      <c r="F4937" s="21"/>
    </row>
    <row r="4938">
      <c r="A4938" s="19">
        <v>16754.0</v>
      </c>
      <c r="B4938" s="19" t="s">
        <v>4929</v>
      </c>
      <c r="C4938" s="20">
        <v>33434.0</v>
      </c>
      <c r="D4938" s="19" t="str">
        <f t="shared" si="1"/>
        <v> </v>
      </c>
      <c r="E4938" s="19" t="str">
        <f t="shared" si="2"/>
        <v> </v>
      </c>
      <c r="F4938" s="21"/>
    </row>
    <row r="4939">
      <c r="A4939" s="19">
        <v>16755.0</v>
      </c>
      <c r="B4939" s="19" t="s">
        <v>4930</v>
      </c>
      <c r="C4939" s="20">
        <v>14324.0</v>
      </c>
      <c r="D4939" s="19" t="str">
        <f t="shared" si="1"/>
        <v> </v>
      </c>
      <c r="E4939" s="19" t="str">
        <f t="shared" si="2"/>
        <v> </v>
      </c>
      <c r="F4939" s="21"/>
    </row>
    <row r="4940">
      <c r="A4940" s="19">
        <v>16756.0</v>
      </c>
      <c r="B4940" s="19" t="s">
        <v>4931</v>
      </c>
      <c r="C4940" s="20">
        <v>16349.0</v>
      </c>
      <c r="D4940" s="19" t="str">
        <f t="shared" si="1"/>
        <v> </v>
      </c>
      <c r="E4940" s="19" t="str">
        <f t="shared" si="2"/>
        <v> </v>
      </c>
      <c r="F4940" s="21"/>
    </row>
    <row r="4941">
      <c r="A4941" s="19">
        <v>16757.0</v>
      </c>
      <c r="B4941" s="19" t="s">
        <v>4932</v>
      </c>
      <c r="C4941" s="20">
        <v>22411.0</v>
      </c>
      <c r="D4941" s="19" t="str">
        <f t="shared" si="1"/>
        <v> </v>
      </c>
      <c r="E4941" s="19" t="str">
        <f t="shared" si="2"/>
        <v> </v>
      </c>
      <c r="F4941" s="21"/>
    </row>
    <row r="4942">
      <c r="A4942" s="19">
        <v>16758.0</v>
      </c>
      <c r="B4942" s="19" t="s">
        <v>4933</v>
      </c>
      <c r="C4942" s="20">
        <v>19768.0</v>
      </c>
      <c r="D4942" s="19" t="str">
        <f t="shared" si="1"/>
        <v> </v>
      </c>
      <c r="E4942" s="19" t="str">
        <f t="shared" si="2"/>
        <v> </v>
      </c>
      <c r="F4942" s="21"/>
    </row>
    <row r="4943">
      <c r="A4943" s="19">
        <v>16759.0</v>
      </c>
      <c r="B4943" s="19" t="s">
        <v>4934</v>
      </c>
      <c r="C4943" s="20">
        <v>19183.0</v>
      </c>
      <c r="D4943" s="19" t="str">
        <f t="shared" si="1"/>
        <v> </v>
      </c>
      <c r="E4943" s="19" t="str">
        <f t="shared" si="2"/>
        <v> </v>
      </c>
      <c r="F4943" s="21"/>
    </row>
    <row r="4944">
      <c r="A4944" s="19">
        <v>16760.0</v>
      </c>
      <c r="B4944" s="19" t="s">
        <v>4935</v>
      </c>
      <c r="C4944" s="20">
        <v>21765.0</v>
      </c>
      <c r="D4944" s="19" t="str">
        <f t="shared" si="1"/>
        <v> </v>
      </c>
      <c r="E4944" s="19" t="str">
        <f t="shared" si="2"/>
        <v> </v>
      </c>
      <c r="F4944" s="21"/>
    </row>
    <row r="4945">
      <c r="A4945" s="19">
        <v>16761.0</v>
      </c>
      <c r="B4945" s="19" t="s">
        <v>4936</v>
      </c>
      <c r="C4945" s="20">
        <v>19754.0</v>
      </c>
      <c r="D4945" s="19" t="str">
        <f t="shared" si="1"/>
        <v> </v>
      </c>
      <c r="E4945" s="19" t="str">
        <f t="shared" si="2"/>
        <v> </v>
      </c>
      <c r="F4945" s="21"/>
    </row>
    <row r="4946">
      <c r="A4946" s="19">
        <v>16762.0</v>
      </c>
      <c r="B4946" s="19" t="s">
        <v>4937</v>
      </c>
      <c r="C4946" s="20">
        <v>27945.0</v>
      </c>
      <c r="D4946" s="19" t="str">
        <f t="shared" si="1"/>
        <v> </v>
      </c>
      <c r="E4946" s="19" t="str">
        <f t="shared" si="2"/>
        <v>Repeat</v>
      </c>
      <c r="F4946" s="21"/>
    </row>
    <row r="4947">
      <c r="A4947" s="19">
        <v>16763.0</v>
      </c>
      <c r="B4947" s="19" t="s">
        <v>4938</v>
      </c>
      <c r="C4947" s="20">
        <v>25170.0</v>
      </c>
      <c r="D4947" s="19" t="str">
        <f t="shared" si="1"/>
        <v> </v>
      </c>
      <c r="E4947" s="19" t="str">
        <f t="shared" si="2"/>
        <v> </v>
      </c>
      <c r="F4947" s="21"/>
    </row>
    <row r="4948">
      <c r="A4948" s="19">
        <v>16764.0</v>
      </c>
      <c r="B4948" s="19" t="s">
        <v>4939</v>
      </c>
      <c r="C4948" s="20">
        <v>18476.0</v>
      </c>
      <c r="D4948" s="19" t="str">
        <f t="shared" si="1"/>
        <v> </v>
      </c>
      <c r="E4948" s="19" t="str">
        <f t="shared" si="2"/>
        <v> </v>
      </c>
      <c r="F4948" s="21"/>
    </row>
    <row r="4949">
      <c r="A4949" s="19">
        <v>16765.0</v>
      </c>
      <c r="B4949" s="19" t="s">
        <v>4940</v>
      </c>
      <c r="C4949" s="20">
        <v>18773.0</v>
      </c>
      <c r="D4949" s="19" t="str">
        <f t="shared" si="1"/>
        <v> </v>
      </c>
      <c r="E4949" s="19" t="str">
        <f t="shared" si="2"/>
        <v> </v>
      </c>
      <c r="F4949" s="21"/>
    </row>
    <row r="4950">
      <c r="A4950" s="19">
        <v>16766.0</v>
      </c>
      <c r="B4950" s="19" t="s">
        <v>4941</v>
      </c>
      <c r="C4950" s="20">
        <v>18093.0</v>
      </c>
      <c r="D4950" s="19" t="str">
        <f t="shared" si="1"/>
        <v> </v>
      </c>
      <c r="E4950" s="19" t="str">
        <f t="shared" si="2"/>
        <v> </v>
      </c>
      <c r="F4950" s="21"/>
    </row>
    <row r="4951">
      <c r="A4951" s="19">
        <v>16767.0</v>
      </c>
      <c r="B4951" s="19" t="s">
        <v>4942</v>
      </c>
      <c r="C4951" s="20">
        <v>31048.0</v>
      </c>
      <c r="D4951" s="19" t="str">
        <f t="shared" si="1"/>
        <v> </v>
      </c>
      <c r="E4951" s="19" t="str">
        <f t="shared" si="2"/>
        <v> </v>
      </c>
      <c r="F4951" s="21"/>
    </row>
    <row r="4952">
      <c r="A4952" s="19">
        <v>16768.0</v>
      </c>
      <c r="B4952" s="19" t="s">
        <v>4943</v>
      </c>
      <c r="C4952" s="20">
        <v>26866.0</v>
      </c>
      <c r="D4952" s="19" t="str">
        <f t="shared" si="1"/>
        <v> </v>
      </c>
      <c r="E4952" s="19" t="str">
        <f t="shared" si="2"/>
        <v> </v>
      </c>
      <c r="F4952" s="21"/>
    </row>
    <row r="4953">
      <c r="A4953" s="19">
        <v>16769.0</v>
      </c>
      <c r="B4953" s="19" t="s">
        <v>4944</v>
      </c>
      <c r="C4953" s="20">
        <v>32635.0</v>
      </c>
      <c r="D4953" s="19" t="str">
        <f t="shared" si="1"/>
        <v> </v>
      </c>
      <c r="E4953" s="19" t="str">
        <f t="shared" si="2"/>
        <v> </v>
      </c>
      <c r="F4953" s="21"/>
    </row>
    <row r="4954">
      <c r="A4954" s="19">
        <v>16770.0</v>
      </c>
      <c r="B4954" s="19" t="s">
        <v>4945</v>
      </c>
      <c r="C4954" s="20">
        <v>12003.0</v>
      </c>
      <c r="D4954" s="19" t="str">
        <f t="shared" si="1"/>
        <v> </v>
      </c>
      <c r="E4954" s="19" t="str">
        <f t="shared" si="2"/>
        <v> </v>
      </c>
      <c r="F4954" s="21"/>
    </row>
    <row r="4955">
      <c r="A4955" s="19">
        <v>16771.0</v>
      </c>
      <c r="B4955" s="19" t="s">
        <v>4946</v>
      </c>
      <c r="C4955" s="20">
        <v>19565.0</v>
      </c>
      <c r="D4955" s="19" t="str">
        <f t="shared" si="1"/>
        <v> </v>
      </c>
      <c r="E4955" s="19" t="str">
        <f t="shared" si="2"/>
        <v> </v>
      </c>
      <c r="F4955" s="21"/>
    </row>
    <row r="4956">
      <c r="A4956" s="19">
        <v>16772.0</v>
      </c>
      <c r="B4956" s="19" t="s">
        <v>4947</v>
      </c>
      <c r="C4956" s="20">
        <v>20303.0</v>
      </c>
      <c r="D4956" s="19" t="str">
        <f t="shared" si="1"/>
        <v> </v>
      </c>
      <c r="E4956" s="19" t="str">
        <f t="shared" si="2"/>
        <v> </v>
      </c>
      <c r="F4956" s="21"/>
    </row>
    <row r="4957">
      <c r="A4957" s="19">
        <v>16773.0</v>
      </c>
      <c r="B4957" s="19" t="s">
        <v>4948</v>
      </c>
      <c r="C4957" s="20">
        <v>13956.0</v>
      </c>
      <c r="D4957" s="19" t="str">
        <f t="shared" si="1"/>
        <v> </v>
      </c>
      <c r="E4957" s="19" t="str">
        <f t="shared" si="2"/>
        <v> </v>
      </c>
      <c r="F4957" s="21"/>
    </row>
    <row r="4958">
      <c r="A4958" s="19">
        <v>16775.0</v>
      </c>
      <c r="B4958" s="19" t="s">
        <v>4949</v>
      </c>
      <c r="C4958" s="20">
        <v>16800.0</v>
      </c>
      <c r="D4958" s="19" t="str">
        <f t="shared" si="1"/>
        <v> </v>
      </c>
      <c r="E4958" s="19" t="str">
        <f t="shared" si="2"/>
        <v> </v>
      </c>
      <c r="F4958" s="21"/>
    </row>
    <row r="4959">
      <c r="A4959" s="19">
        <v>16776.0</v>
      </c>
      <c r="B4959" s="19" t="s">
        <v>4950</v>
      </c>
      <c r="C4959" s="20">
        <v>29416.0</v>
      </c>
      <c r="D4959" s="19" t="str">
        <f t="shared" si="1"/>
        <v> </v>
      </c>
      <c r="E4959" s="19" t="str">
        <f t="shared" si="2"/>
        <v> </v>
      </c>
      <c r="F4959" s="21"/>
    </row>
    <row r="4960">
      <c r="A4960" s="19">
        <v>16264.0</v>
      </c>
      <c r="B4960" s="19" t="s">
        <v>4951</v>
      </c>
      <c r="C4960" s="20">
        <v>25336.0</v>
      </c>
      <c r="D4960" s="19" t="str">
        <f t="shared" si="1"/>
        <v> </v>
      </c>
      <c r="E4960" s="19" t="str">
        <f t="shared" si="2"/>
        <v> </v>
      </c>
      <c r="F4960" s="21"/>
    </row>
    <row r="4961">
      <c r="A4961" s="19">
        <v>16778.0</v>
      </c>
      <c r="B4961" s="19" t="s">
        <v>4952</v>
      </c>
      <c r="C4961" s="20">
        <v>24169.0</v>
      </c>
      <c r="D4961" s="19" t="str">
        <f t="shared" si="1"/>
        <v> </v>
      </c>
      <c r="E4961" s="19" t="str">
        <f t="shared" si="2"/>
        <v> </v>
      </c>
      <c r="F4961" s="21"/>
    </row>
    <row r="4962">
      <c r="A4962" s="19">
        <v>16779.0</v>
      </c>
      <c r="B4962" s="19" t="s">
        <v>4953</v>
      </c>
      <c r="C4962" s="20">
        <v>23570.0</v>
      </c>
      <c r="D4962" s="19" t="str">
        <f t="shared" si="1"/>
        <v> </v>
      </c>
      <c r="E4962" s="19" t="str">
        <f t="shared" si="2"/>
        <v> </v>
      </c>
      <c r="F4962" s="21"/>
    </row>
    <row r="4963">
      <c r="A4963" s="19">
        <v>16780.0</v>
      </c>
      <c r="B4963" s="19" t="s">
        <v>4954</v>
      </c>
      <c r="C4963" s="20">
        <v>34780.0</v>
      </c>
      <c r="D4963" s="19" t="str">
        <f t="shared" si="1"/>
        <v> </v>
      </c>
      <c r="E4963" s="19" t="str">
        <f t="shared" si="2"/>
        <v> </v>
      </c>
      <c r="F4963" s="21"/>
    </row>
    <row r="4964">
      <c r="A4964" s="19">
        <v>16782.0</v>
      </c>
      <c r="B4964" s="19" t="s">
        <v>4955</v>
      </c>
      <c r="C4964" s="20">
        <v>19179.0</v>
      </c>
      <c r="D4964" s="19" t="str">
        <f t="shared" si="1"/>
        <v> </v>
      </c>
      <c r="E4964" s="19" t="str">
        <f t="shared" si="2"/>
        <v> </v>
      </c>
      <c r="F4964" s="21"/>
    </row>
    <row r="4965">
      <c r="A4965" s="19">
        <v>16783.0</v>
      </c>
      <c r="B4965" s="19" t="s">
        <v>4956</v>
      </c>
      <c r="C4965" s="20">
        <v>27272.0</v>
      </c>
      <c r="D4965" s="19" t="str">
        <f t="shared" si="1"/>
        <v> </v>
      </c>
      <c r="E4965" s="19" t="str">
        <f t="shared" si="2"/>
        <v> </v>
      </c>
      <c r="F4965" s="21"/>
    </row>
    <row r="4966">
      <c r="A4966" s="19">
        <v>16785.0</v>
      </c>
      <c r="B4966" s="19" t="s">
        <v>4957</v>
      </c>
      <c r="C4966" s="20">
        <v>22221.0</v>
      </c>
      <c r="D4966" s="19" t="str">
        <f t="shared" si="1"/>
        <v> </v>
      </c>
      <c r="E4966" s="19" t="str">
        <f t="shared" si="2"/>
        <v> </v>
      </c>
      <c r="F4966" s="21"/>
    </row>
    <row r="4967">
      <c r="A4967" s="19">
        <v>16786.0</v>
      </c>
      <c r="B4967" s="19" t="s">
        <v>4958</v>
      </c>
      <c r="C4967" s="20">
        <v>19366.0</v>
      </c>
      <c r="D4967" s="19" t="str">
        <f t="shared" si="1"/>
        <v> </v>
      </c>
      <c r="E4967" s="19" t="str">
        <f t="shared" si="2"/>
        <v> </v>
      </c>
      <c r="F4967" s="21"/>
    </row>
    <row r="4968">
      <c r="A4968" s="19">
        <v>16788.0</v>
      </c>
      <c r="B4968" s="19" t="s">
        <v>4959</v>
      </c>
      <c r="C4968" s="20">
        <v>18684.0</v>
      </c>
      <c r="D4968" s="19" t="str">
        <f t="shared" si="1"/>
        <v> </v>
      </c>
      <c r="E4968" s="19" t="str">
        <f t="shared" si="2"/>
        <v> </v>
      </c>
      <c r="F4968" s="21"/>
    </row>
    <row r="4969">
      <c r="A4969" s="19">
        <v>16789.0</v>
      </c>
      <c r="B4969" s="19" t="s">
        <v>4960</v>
      </c>
      <c r="C4969" s="20">
        <v>21424.0</v>
      </c>
      <c r="D4969" s="19" t="str">
        <f t="shared" si="1"/>
        <v> </v>
      </c>
      <c r="E4969" s="19" t="str">
        <f t="shared" si="2"/>
        <v> </v>
      </c>
      <c r="F4969" s="21"/>
    </row>
    <row r="4970">
      <c r="A4970" s="19">
        <v>16790.0</v>
      </c>
      <c r="B4970" s="19" t="s">
        <v>4961</v>
      </c>
      <c r="C4970" s="20">
        <v>27641.0</v>
      </c>
      <c r="D4970" s="19" t="str">
        <f t="shared" si="1"/>
        <v> </v>
      </c>
      <c r="E4970" s="19" t="str">
        <f t="shared" si="2"/>
        <v> </v>
      </c>
      <c r="F4970" s="21"/>
    </row>
    <row r="4971">
      <c r="A4971" s="19">
        <v>16791.0</v>
      </c>
      <c r="B4971" s="19" t="s">
        <v>4962</v>
      </c>
      <c r="C4971" s="20">
        <v>14348.0</v>
      </c>
      <c r="D4971" s="19" t="str">
        <f t="shared" si="1"/>
        <v> </v>
      </c>
      <c r="E4971" s="19" t="str">
        <f t="shared" si="2"/>
        <v> </v>
      </c>
      <c r="F4971" s="21"/>
    </row>
    <row r="4972">
      <c r="A4972" s="19">
        <v>16792.0</v>
      </c>
      <c r="B4972" s="19" t="s">
        <v>4963</v>
      </c>
      <c r="C4972" s="20">
        <v>13375.0</v>
      </c>
      <c r="D4972" s="19" t="str">
        <f t="shared" si="1"/>
        <v> </v>
      </c>
      <c r="E4972" s="19" t="str">
        <f t="shared" si="2"/>
        <v> </v>
      </c>
      <c r="F4972" s="21"/>
    </row>
    <row r="4973">
      <c r="A4973" s="19">
        <v>16793.0</v>
      </c>
      <c r="B4973" s="19" t="s">
        <v>4964</v>
      </c>
      <c r="C4973" s="20">
        <v>21247.0</v>
      </c>
      <c r="D4973" s="19" t="str">
        <f t="shared" si="1"/>
        <v> </v>
      </c>
      <c r="E4973" s="19" t="str">
        <f t="shared" si="2"/>
        <v> </v>
      </c>
      <c r="F4973" s="21"/>
    </row>
    <row r="4974">
      <c r="A4974" s="19">
        <v>16794.0</v>
      </c>
      <c r="B4974" s="19" t="s">
        <v>4965</v>
      </c>
      <c r="C4974" s="20">
        <v>18089.0</v>
      </c>
      <c r="D4974" s="19" t="str">
        <f t="shared" si="1"/>
        <v> </v>
      </c>
      <c r="E4974" s="19" t="str">
        <f t="shared" si="2"/>
        <v> </v>
      </c>
      <c r="F4974" s="21"/>
    </row>
    <row r="4975">
      <c r="A4975" s="19">
        <v>16795.0</v>
      </c>
      <c r="B4975" s="19" t="s">
        <v>4966</v>
      </c>
      <c r="C4975" s="20">
        <v>18695.0</v>
      </c>
      <c r="D4975" s="19" t="str">
        <f t="shared" si="1"/>
        <v> </v>
      </c>
      <c r="E4975" s="19" t="str">
        <f t="shared" si="2"/>
        <v> </v>
      </c>
      <c r="F4975" s="21"/>
    </row>
    <row r="4976">
      <c r="A4976" s="19">
        <v>16796.0</v>
      </c>
      <c r="B4976" s="19" t="s">
        <v>4967</v>
      </c>
      <c r="C4976" s="20">
        <v>12606.0</v>
      </c>
      <c r="D4976" s="19" t="str">
        <f t="shared" si="1"/>
        <v> </v>
      </c>
      <c r="E4976" s="19" t="str">
        <f t="shared" si="2"/>
        <v> </v>
      </c>
      <c r="F4976" s="21"/>
    </row>
    <row r="4977">
      <c r="A4977" s="19">
        <v>16797.0</v>
      </c>
      <c r="B4977" s="19" t="s">
        <v>4968</v>
      </c>
      <c r="C4977" s="20">
        <v>26237.0</v>
      </c>
      <c r="D4977" s="19" t="str">
        <f t="shared" si="1"/>
        <v> </v>
      </c>
      <c r="E4977" s="19" t="str">
        <f t="shared" si="2"/>
        <v> </v>
      </c>
      <c r="F4977" s="21"/>
    </row>
    <row r="4978">
      <c r="A4978" s="19">
        <v>16798.0</v>
      </c>
      <c r="B4978" s="19" t="s">
        <v>4969</v>
      </c>
      <c r="C4978" s="20">
        <v>19395.0</v>
      </c>
      <c r="D4978" s="19" t="str">
        <f t="shared" si="1"/>
        <v> </v>
      </c>
      <c r="E4978" s="19" t="str">
        <f t="shared" si="2"/>
        <v> </v>
      </c>
      <c r="F4978" s="21"/>
    </row>
    <row r="4979">
      <c r="A4979" s="19">
        <v>16799.0</v>
      </c>
      <c r="B4979" s="19" t="s">
        <v>4970</v>
      </c>
      <c r="C4979" s="20">
        <v>30903.0</v>
      </c>
      <c r="D4979" s="19" t="str">
        <f t="shared" si="1"/>
        <v> </v>
      </c>
      <c r="E4979" s="19" t="str">
        <f t="shared" si="2"/>
        <v> </v>
      </c>
      <c r="F4979" s="21"/>
    </row>
    <row r="4980">
      <c r="A4980" s="19">
        <v>16800.0</v>
      </c>
      <c r="B4980" s="19" t="s">
        <v>4971</v>
      </c>
      <c r="C4980" s="20">
        <v>15294.0</v>
      </c>
      <c r="D4980" s="19" t="str">
        <f t="shared" si="1"/>
        <v> </v>
      </c>
      <c r="E4980" s="19" t="str">
        <f t="shared" si="2"/>
        <v> </v>
      </c>
      <c r="F4980" s="21"/>
    </row>
    <row r="4981">
      <c r="A4981" s="19">
        <v>16801.0</v>
      </c>
      <c r="B4981" s="19" t="s">
        <v>4972</v>
      </c>
      <c r="C4981" s="20">
        <v>16955.0</v>
      </c>
      <c r="D4981" s="19" t="str">
        <f t="shared" si="1"/>
        <v> </v>
      </c>
      <c r="E4981" s="19" t="str">
        <f t="shared" si="2"/>
        <v> </v>
      </c>
      <c r="F4981" s="21"/>
    </row>
    <row r="4982">
      <c r="A4982" s="19">
        <v>16803.0</v>
      </c>
      <c r="B4982" s="19" t="s">
        <v>4973</v>
      </c>
      <c r="C4982" s="20">
        <v>13461.0</v>
      </c>
      <c r="D4982" s="19" t="str">
        <f t="shared" si="1"/>
        <v>Repeat</v>
      </c>
      <c r="E4982" s="19" t="str">
        <f t="shared" si="2"/>
        <v> </v>
      </c>
      <c r="F4982" s="21"/>
    </row>
    <row r="4983">
      <c r="A4983" s="19">
        <v>16804.0</v>
      </c>
      <c r="B4983" s="19" t="s">
        <v>4974</v>
      </c>
      <c r="C4983" s="20">
        <v>14781.0</v>
      </c>
      <c r="D4983" s="19" t="str">
        <f t="shared" si="1"/>
        <v> </v>
      </c>
      <c r="E4983" s="19" t="str">
        <f t="shared" si="2"/>
        <v> </v>
      </c>
      <c r="F4983" s="21"/>
    </row>
    <row r="4984">
      <c r="A4984" s="19">
        <v>16805.0</v>
      </c>
      <c r="B4984" s="19" t="s">
        <v>4975</v>
      </c>
      <c r="C4984" s="20">
        <v>18771.0</v>
      </c>
      <c r="D4984" s="19" t="str">
        <f t="shared" si="1"/>
        <v> </v>
      </c>
      <c r="E4984" s="19" t="str">
        <f t="shared" si="2"/>
        <v> </v>
      </c>
      <c r="F4984" s="21"/>
    </row>
    <row r="4985">
      <c r="A4985" s="19">
        <v>16806.0</v>
      </c>
      <c r="B4985" s="19" t="s">
        <v>4976</v>
      </c>
      <c r="C4985" s="20">
        <v>24302.0</v>
      </c>
      <c r="D4985" s="19" t="str">
        <f t="shared" si="1"/>
        <v> </v>
      </c>
      <c r="E4985" s="19" t="str">
        <f t="shared" si="2"/>
        <v> </v>
      </c>
      <c r="F4985" s="21"/>
    </row>
    <row r="4986">
      <c r="A4986" s="19">
        <v>16807.0</v>
      </c>
      <c r="B4986" s="19" t="s">
        <v>4977</v>
      </c>
      <c r="C4986" s="20">
        <v>13912.0</v>
      </c>
      <c r="D4986" s="19" t="str">
        <f t="shared" si="1"/>
        <v> </v>
      </c>
      <c r="E4986" s="19" t="str">
        <f t="shared" si="2"/>
        <v> </v>
      </c>
      <c r="F4986" s="21"/>
    </row>
    <row r="4987">
      <c r="A4987" s="19">
        <v>16808.0</v>
      </c>
      <c r="B4987" s="19" t="s">
        <v>4978</v>
      </c>
      <c r="C4987" s="20">
        <v>23943.0</v>
      </c>
      <c r="D4987" s="19" t="str">
        <f t="shared" si="1"/>
        <v> </v>
      </c>
      <c r="E4987" s="19" t="str">
        <f t="shared" si="2"/>
        <v> </v>
      </c>
      <c r="F4987" s="21"/>
    </row>
    <row r="4988">
      <c r="A4988" s="19">
        <v>16809.0</v>
      </c>
      <c r="B4988" s="19" t="s">
        <v>4979</v>
      </c>
      <c r="C4988" s="20">
        <v>14615.0</v>
      </c>
      <c r="D4988" s="19" t="str">
        <f t="shared" si="1"/>
        <v> </v>
      </c>
      <c r="E4988" s="19" t="str">
        <f t="shared" si="2"/>
        <v> </v>
      </c>
      <c r="F4988" s="21"/>
    </row>
    <row r="4989">
      <c r="A4989" s="19">
        <v>16810.0</v>
      </c>
      <c r="B4989" s="19" t="s">
        <v>4980</v>
      </c>
      <c r="C4989" s="20">
        <v>27556.0</v>
      </c>
      <c r="D4989" s="19" t="str">
        <f t="shared" si="1"/>
        <v> </v>
      </c>
      <c r="E4989" s="19" t="str">
        <f t="shared" si="2"/>
        <v> </v>
      </c>
      <c r="F4989" s="21"/>
    </row>
    <row r="4990">
      <c r="A4990" s="19">
        <v>16811.0</v>
      </c>
      <c r="B4990" s="19" t="s">
        <v>4981</v>
      </c>
      <c r="C4990" s="20">
        <v>22145.0</v>
      </c>
      <c r="D4990" s="19" t="str">
        <f t="shared" si="1"/>
        <v> </v>
      </c>
      <c r="E4990" s="19" t="str">
        <f t="shared" si="2"/>
        <v> </v>
      </c>
      <c r="F4990" s="21"/>
    </row>
    <row r="4991">
      <c r="A4991" s="19">
        <v>16812.0</v>
      </c>
      <c r="B4991" s="19" t="s">
        <v>4982</v>
      </c>
      <c r="C4991" s="20">
        <v>29782.0</v>
      </c>
      <c r="D4991" s="19" t="str">
        <f t="shared" si="1"/>
        <v> </v>
      </c>
      <c r="E4991" s="19" t="str">
        <f t="shared" si="2"/>
        <v> </v>
      </c>
      <c r="F4991" s="21"/>
    </row>
    <row r="4992">
      <c r="A4992" s="19">
        <v>16813.0</v>
      </c>
      <c r="B4992" s="19" t="s">
        <v>4983</v>
      </c>
      <c r="C4992" s="20">
        <v>19496.0</v>
      </c>
      <c r="D4992" s="19" t="str">
        <f t="shared" si="1"/>
        <v> </v>
      </c>
      <c r="E4992" s="19" t="str">
        <f t="shared" si="2"/>
        <v> </v>
      </c>
      <c r="F4992" s="21"/>
    </row>
    <row r="4993">
      <c r="A4993" s="19">
        <v>16815.0</v>
      </c>
      <c r="B4993" s="19" t="s">
        <v>4984</v>
      </c>
      <c r="C4993" s="20">
        <v>23011.0</v>
      </c>
      <c r="D4993" s="19" t="str">
        <f t="shared" si="1"/>
        <v> </v>
      </c>
      <c r="E4993" s="19" t="str">
        <f t="shared" si="2"/>
        <v> </v>
      </c>
      <c r="F4993" s="21"/>
    </row>
    <row r="4994">
      <c r="A4994" s="19">
        <v>16816.0</v>
      </c>
      <c r="B4994" s="19" t="s">
        <v>4985</v>
      </c>
      <c r="C4994" s="20">
        <v>14299.0</v>
      </c>
      <c r="D4994" s="19" t="str">
        <f t="shared" si="1"/>
        <v> </v>
      </c>
      <c r="E4994" s="19" t="str">
        <f t="shared" si="2"/>
        <v> </v>
      </c>
      <c r="F4994" s="21"/>
    </row>
    <row r="4995">
      <c r="A4995" s="19">
        <v>16818.0</v>
      </c>
      <c r="B4995" s="19" t="s">
        <v>4986</v>
      </c>
      <c r="C4995" s="20">
        <v>19668.0</v>
      </c>
      <c r="D4995" s="19" t="str">
        <f t="shared" si="1"/>
        <v> </v>
      </c>
      <c r="E4995" s="19" t="str">
        <f t="shared" si="2"/>
        <v> </v>
      </c>
      <c r="F4995" s="21"/>
    </row>
    <row r="4996">
      <c r="A4996" s="19">
        <v>16820.0</v>
      </c>
      <c r="B4996" s="19" t="s">
        <v>4987</v>
      </c>
      <c r="C4996" s="20">
        <v>22084.0</v>
      </c>
      <c r="D4996" s="19" t="str">
        <f t="shared" si="1"/>
        <v> </v>
      </c>
      <c r="E4996" s="19" t="str">
        <f t="shared" si="2"/>
        <v> </v>
      </c>
      <c r="F4996" s="21"/>
    </row>
    <row r="4997">
      <c r="A4997" s="19">
        <v>16821.0</v>
      </c>
      <c r="B4997" s="19" t="s">
        <v>4988</v>
      </c>
      <c r="C4997" s="20">
        <v>11699.0</v>
      </c>
      <c r="D4997" s="19" t="str">
        <f t="shared" si="1"/>
        <v> </v>
      </c>
      <c r="E4997" s="19" t="str">
        <f t="shared" si="2"/>
        <v> </v>
      </c>
      <c r="F4997" s="21"/>
    </row>
    <row r="4998">
      <c r="A4998" s="19">
        <v>16822.0</v>
      </c>
      <c r="B4998" s="19" t="s">
        <v>4989</v>
      </c>
      <c r="C4998" s="20">
        <v>27282.0</v>
      </c>
      <c r="D4998" s="19" t="str">
        <f t="shared" si="1"/>
        <v> </v>
      </c>
      <c r="E4998" s="19" t="str">
        <f t="shared" si="2"/>
        <v> </v>
      </c>
      <c r="F4998" s="21"/>
    </row>
    <row r="4999">
      <c r="A4999" s="19">
        <v>16823.0</v>
      </c>
      <c r="B4999" s="19" t="s">
        <v>4990</v>
      </c>
      <c r="C4999" s="20">
        <v>30531.0</v>
      </c>
      <c r="D4999" s="19" t="str">
        <f t="shared" si="1"/>
        <v> </v>
      </c>
      <c r="E4999" s="19" t="str">
        <f t="shared" si="2"/>
        <v> </v>
      </c>
      <c r="F4999" s="21"/>
    </row>
    <row r="5000">
      <c r="A5000" s="19">
        <v>16826.0</v>
      </c>
      <c r="B5000" s="19" t="s">
        <v>4991</v>
      </c>
      <c r="C5000" s="20">
        <v>13221.0</v>
      </c>
      <c r="D5000" s="19" t="str">
        <f t="shared" si="1"/>
        <v> </v>
      </c>
      <c r="E5000" s="19" t="str">
        <f t="shared" si="2"/>
        <v> </v>
      </c>
      <c r="F5000" s="21"/>
    </row>
    <row r="5001">
      <c r="A5001" s="19">
        <v>16827.0</v>
      </c>
      <c r="B5001" s="19" t="s">
        <v>4992</v>
      </c>
      <c r="C5001" s="20">
        <v>25937.0</v>
      </c>
      <c r="D5001" s="19" t="str">
        <f t="shared" si="1"/>
        <v> </v>
      </c>
      <c r="E5001" s="19" t="str">
        <f t="shared" si="2"/>
        <v> </v>
      </c>
      <c r="F5001" s="21"/>
    </row>
    <row r="5002">
      <c r="A5002" s="19">
        <v>16829.0</v>
      </c>
      <c r="B5002" s="19" t="s">
        <v>4993</v>
      </c>
      <c r="C5002" s="20">
        <v>25909.0</v>
      </c>
      <c r="D5002" s="19" t="str">
        <f t="shared" si="1"/>
        <v> </v>
      </c>
      <c r="E5002" s="19" t="str">
        <f t="shared" si="2"/>
        <v> </v>
      </c>
      <c r="F5002" s="21"/>
    </row>
    <row r="5003">
      <c r="A5003" s="19">
        <v>16830.0</v>
      </c>
      <c r="B5003" s="19" t="s">
        <v>4994</v>
      </c>
      <c r="C5003" s="20">
        <v>30164.0</v>
      </c>
      <c r="D5003" s="19" t="str">
        <f t="shared" si="1"/>
        <v> </v>
      </c>
      <c r="E5003" s="19" t="str">
        <f t="shared" si="2"/>
        <v> </v>
      </c>
      <c r="F5003" s="21"/>
    </row>
    <row r="5004">
      <c r="A5004" s="19">
        <v>16831.0</v>
      </c>
      <c r="B5004" s="19" t="s">
        <v>4995</v>
      </c>
      <c r="C5004" s="20">
        <v>28136.0</v>
      </c>
      <c r="D5004" s="19" t="str">
        <f t="shared" si="1"/>
        <v> </v>
      </c>
      <c r="E5004" s="19" t="str">
        <f t="shared" si="2"/>
        <v> </v>
      </c>
      <c r="F5004" s="21"/>
    </row>
    <row r="5005">
      <c r="A5005" s="19">
        <v>16832.0</v>
      </c>
      <c r="B5005" s="19" t="s">
        <v>4996</v>
      </c>
      <c r="C5005" s="20">
        <v>25336.0</v>
      </c>
      <c r="D5005" s="19" t="str">
        <f t="shared" si="1"/>
        <v> </v>
      </c>
      <c r="E5005" s="19" t="str">
        <f t="shared" si="2"/>
        <v>Repeat</v>
      </c>
      <c r="F5005" s="21"/>
    </row>
    <row r="5006">
      <c r="A5006" s="19">
        <v>16833.0</v>
      </c>
      <c r="B5006" s="19" t="s">
        <v>4997</v>
      </c>
      <c r="C5006" s="20">
        <v>17920.0</v>
      </c>
      <c r="D5006" s="19" t="str">
        <f t="shared" si="1"/>
        <v> </v>
      </c>
      <c r="E5006" s="19" t="str">
        <f t="shared" si="2"/>
        <v> </v>
      </c>
      <c r="F5006" s="21"/>
    </row>
    <row r="5007">
      <c r="A5007" s="19">
        <v>16834.0</v>
      </c>
      <c r="B5007" s="19" t="s">
        <v>4998</v>
      </c>
      <c r="C5007" s="20">
        <v>19637.0</v>
      </c>
      <c r="D5007" s="19" t="str">
        <f t="shared" si="1"/>
        <v> </v>
      </c>
      <c r="E5007" s="19" t="str">
        <f t="shared" si="2"/>
        <v> </v>
      </c>
      <c r="F5007" s="21"/>
    </row>
    <row r="5008">
      <c r="A5008" s="19">
        <v>16835.0</v>
      </c>
      <c r="B5008" s="19" t="s">
        <v>4999</v>
      </c>
      <c r="C5008" s="20">
        <v>24826.0</v>
      </c>
      <c r="D5008" s="19" t="str">
        <f t="shared" si="1"/>
        <v> </v>
      </c>
      <c r="E5008" s="19" t="str">
        <f t="shared" si="2"/>
        <v> </v>
      </c>
      <c r="F5008" s="21"/>
    </row>
    <row r="5009">
      <c r="A5009" s="19">
        <v>16735.0</v>
      </c>
      <c r="B5009" s="19" t="s">
        <v>5000</v>
      </c>
      <c r="C5009" s="20">
        <v>26892.0</v>
      </c>
      <c r="D5009" s="19" t="str">
        <f t="shared" si="1"/>
        <v> </v>
      </c>
      <c r="E5009" s="19" t="str">
        <f t="shared" si="2"/>
        <v> </v>
      </c>
      <c r="F5009" s="21"/>
    </row>
    <row r="5010">
      <c r="A5010" s="19">
        <v>16839.0</v>
      </c>
      <c r="B5010" s="19" t="s">
        <v>5001</v>
      </c>
      <c r="C5010" s="20">
        <v>32140.0</v>
      </c>
      <c r="D5010" s="19" t="str">
        <f t="shared" si="1"/>
        <v> </v>
      </c>
      <c r="E5010" s="19" t="str">
        <f t="shared" si="2"/>
        <v> </v>
      </c>
      <c r="F5010" s="21"/>
    </row>
    <row r="5011">
      <c r="A5011" s="19">
        <v>16840.0</v>
      </c>
      <c r="B5011" s="19" t="s">
        <v>5002</v>
      </c>
      <c r="C5011" s="20">
        <v>23491.0</v>
      </c>
      <c r="D5011" s="19" t="str">
        <f t="shared" si="1"/>
        <v> </v>
      </c>
      <c r="E5011" s="19" t="str">
        <f t="shared" si="2"/>
        <v>Repeat</v>
      </c>
      <c r="F5011" s="21"/>
    </row>
    <row r="5012">
      <c r="A5012" s="19">
        <v>16841.0</v>
      </c>
      <c r="B5012" s="19" t="s">
        <v>5003</v>
      </c>
      <c r="C5012" s="20">
        <v>14393.0</v>
      </c>
      <c r="D5012" s="19" t="str">
        <f t="shared" si="1"/>
        <v> </v>
      </c>
      <c r="E5012" s="19" t="str">
        <f t="shared" si="2"/>
        <v> </v>
      </c>
      <c r="F5012" s="21"/>
    </row>
    <row r="5013">
      <c r="A5013" s="19">
        <v>16486.0</v>
      </c>
      <c r="B5013" s="19" t="s">
        <v>5004</v>
      </c>
      <c r="C5013" s="20">
        <v>16220.0</v>
      </c>
      <c r="D5013" s="19" t="str">
        <f t="shared" si="1"/>
        <v> </v>
      </c>
      <c r="E5013" s="19" t="str">
        <f t="shared" si="2"/>
        <v> </v>
      </c>
      <c r="F5013" s="21"/>
    </row>
    <row r="5014">
      <c r="A5014" s="19">
        <v>16846.0</v>
      </c>
      <c r="B5014" s="19" t="s">
        <v>5005</v>
      </c>
      <c r="C5014" s="20">
        <v>23704.0</v>
      </c>
      <c r="D5014" s="19" t="str">
        <f t="shared" si="1"/>
        <v> </v>
      </c>
      <c r="E5014" s="19" t="str">
        <f t="shared" si="2"/>
        <v> </v>
      </c>
      <c r="F5014" s="21"/>
    </row>
    <row r="5015">
      <c r="A5015" s="19">
        <v>16848.0</v>
      </c>
      <c r="B5015" s="19" t="s">
        <v>5006</v>
      </c>
      <c r="C5015" s="20">
        <v>20597.0</v>
      </c>
      <c r="D5015" s="19" t="str">
        <f t="shared" si="1"/>
        <v> </v>
      </c>
      <c r="E5015" s="19" t="str">
        <f t="shared" si="2"/>
        <v> </v>
      </c>
      <c r="F5015" s="21"/>
    </row>
    <row r="5016">
      <c r="A5016" s="19">
        <v>16850.0</v>
      </c>
      <c r="B5016" s="19" t="s">
        <v>5007</v>
      </c>
      <c r="C5016" s="20">
        <v>19077.0</v>
      </c>
      <c r="D5016" s="19" t="str">
        <f t="shared" si="1"/>
        <v> </v>
      </c>
      <c r="E5016" s="19" t="str">
        <f t="shared" si="2"/>
        <v> </v>
      </c>
      <c r="F5016" s="21"/>
    </row>
    <row r="5017">
      <c r="A5017" s="19">
        <v>16851.0</v>
      </c>
      <c r="B5017" s="19" t="s">
        <v>5008</v>
      </c>
      <c r="C5017" s="20">
        <v>17272.0</v>
      </c>
      <c r="D5017" s="19" t="str">
        <f t="shared" si="1"/>
        <v> </v>
      </c>
      <c r="E5017" s="19" t="str">
        <f t="shared" si="2"/>
        <v> </v>
      </c>
      <c r="F5017" s="21"/>
    </row>
    <row r="5018">
      <c r="A5018" s="19">
        <v>16852.0</v>
      </c>
      <c r="B5018" s="19" t="s">
        <v>5009</v>
      </c>
      <c r="C5018" s="20">
        <v>34411.0</v>
      </c>
      <c r="D5018" s="19" t="str">
        <f t="shared" si="1"/>
        <v> </v>
      </c>
      <c r="E5018" s="19" t="str">
        <f t="shared" si="2"/>
        <v> </v>
      </c>
      <c r="F5018" s="21"/>
    </row>
    <row r="5019">
      <c r="A5019" s="19">
        <v>16854.0</v>
      </c>
      <c r="B5019" s="19" t="s">
        <v>5010</v>
      </c>
      <c r="C5019" s="20">
        <v>24522.0</v>
      </c>
      <c r="D5019" s="19" t="str">
        <f t="shared" si="1"/>
        <v> </v>
      </c>
      <c r="E5019" s="19" t="str">
        <f t="shared" si="2"/>
        <v> </v>
      </c>
      <c r="F5019" s="21"/>
    </row>
    <row r="5020">
      <c r="A5020" s="19">
        <v>16855.0</v>
      </c>
      <c r="B5020" s="19" t="s">
        <v>5011</v>
      </c>
      <c r="C5020" s="20">
        <v>23890.0</v>
      </c>
      <c r="D5020" s="19" t="str">
        <f t="shared" si="1"/>
        <v> </v>
      </c>
      <c r="E5020" s="19" t="str">
        <f t="shared" si="2"/>
        <v> </v>
      </c>
      <c r="F5020" s="21"/>
    </row>
    <row r="5021">
      <c r="A5021" s="19">
        <v>16857.0</v>
      </c>
      <c r="B5021" s="19" t="s">
        <v>5012</v>
      </c>
      <c r="C5021" s="20">
        <v>22690.0</v>
      </c>
      <c r="D5021" s="19" t="str">
        <f t="shared" si="1"/>
        <v> </v>
      </c>
      <c r="E5021" s="19" t="str">
        <f t="shared" si="2"/>
        <v> </v>
      </c>
      <c r="F5021" s="21"/>
    </row>
    <row r="5022">
      <c r="A5022" s="19">
        <v>16858.0</v>
      </c>
      <c r="B5022" s="19" t="s">
        <v>5013</v>
      </c>
      <c r="C5022" s="20">
        <v>19847.0</v>
      </c>
      <c r="D5022" s="19" t="str">
        <f t="shared" si="1"/>
        <v> </v>
      </c>
      <c r="E5022" s="19" t="str">
        <f t="shared" si="2"/>
        <v> </v>
      </c>
      <c r="F5022" s="21"/>
    </row>
    <row r="5023">
      <c r="A5023" s="19">
        <v>16859.0</v>
      </c>
      <c r="B5023" s="19" t="s">
        <v>5014</v>
      </c>
      <c r="C5023" s="20">
        <v>22276.0</v>
      </c>
      <c r="D5023" s="19" t="str">
        <f t="shared" si="1"/>
        <v> </v>
      </c>
      <c r="E5023" s="19" t="str">
        <f t="shared" si="2"/>
        <v> </v>
      </c>
      <c r="F5023" s="21"/>
    </row>
    <row r="5024">
      <c r="A5024" s="19">
        <v>16861.0</v>
      </c>
      <c r="B5024" s="19" t="s">
        <v>5015</v>
      </c>
      <c r="C5024" s="20">
        <v>24927.0</v>
      </c>
      <c r="D5024" s="19" t="str">
        <f t="shared" si="1"/>
        <v> </v>
      </c>
      <c r="E5024" s="19" t="str">
        <f t="shared" si="2"/>
        <v> </v>
      </c>
      <c r="F5024" s="21"/>
    </row>
    <row r="5025">
      <c r="A5025" s="19">
        <v>16863.0</v>
      </c>
      <c r="B5025" s="19" t="s">
        <v>5016</v>
      </c>
      <c r="C5025" s="20">
        <v>27112.0</v>
      </c>
      <c r="D5025" s="19" t="str">
        <f t="shared" si="1"/>
        <v>Repeat</v>
      </c>
      <c r="E5025" s="19" t="str">
        <f t="shared" si="2"/>
        <v>Repeat</v>
      </c>
      <c r="F5025" s="21"/>
    </row>
    <row r="5026">
      <c r="A5026" s="19">
        <v>16865.0</v>
      </c>
      <c r="B5026" s="19" t="s">
        <v>5017</v>
      </c>
      <c r="C5026" s="20">
        <v>21283.0</v>
      </c>
      <c r="D5026" s="19" t="str">
        <f t="shared" si="1"/>
        <v> </v>
      </c>
      <c r="E5026" s="19" t="str">
        <f t="shared" si="2"/>
        <v> </v>
      </c>
      <c r="F5026" s="21"/>
    </row>
    <row r="5027">
      <c r="A5027" s="19">
        <v>16866.0</v>
      </c>
      <c r="B5027" s="19" t="s">
        <v>361</v>
      </c>
      <c r="C5027" s="20">
        <v>9671.0</v>
      </c>
      <c r="D5027" s="19" t="str">
        <f t="shared" si="1"/>
        <v>Repeat</v>
      </c>
      <c r="E5027" s="19" t="str">
        <f t="shared" si="2"/>
        <v> </v>
      </c>
      <c r="F5027" s="21"/>
    </row>
    <row r="5028">
      <c r="A5028" s="19">
        <v>16867.0</v>
      </c>
      <c r="B5028" s="19" t="s">
        <v>5018</v>
      </c>
      <c r="C5028" s="20">
        <v>32056.0</v>
      </c>
      <c r="D5028" s="19" t="str">
        <f t="shared" si="1"/>
        <v> </v>
      </c>
      <c r="E5028" s="19" t="str">
        <f t="shared" si="2"/>
        <v> </v>
      </c>
      <c r="F5028" s="21"/>
    </row>
    <row r="5029">
      <c r="A5029" s="19">
        <v>16868.0</v>
      </c>
      <c r="B5029" s="19" t="s">
        <v>5019</v>
      </c>
      <c r="C5029" s="20">
        <v>19142.0</v>
      </c>
      <c r="D5029" s="19" t="str">
        <f t="shared" si="1"/>
        <v> </v>
      </c>
      <c r="E5029" s="19" t="str">
        <f t="shared" si="2"/>
        <v> </v>
      </c>
      <c r="F5029" s="21"/>
    </row>
    <row r="5030">
      <c r="A5030" s="19">
        <v>16869.0</v>
      </c>
      <c r="B5030" s="19" t="s">
        <v>5020</v>
      </c>
      <c r="C5030" s="20">
        <v>22884.0</v>
      </c>
      <c r="D5030" s="19" t="str">
        <f t="shared" si="1"/>
        <v> </v>
      </c>
      <c r="E5030" s="19" t="str">
        <f t="shared" si="2"/>
        <v> </v>
      </c>
      <c r="F5030" s="21"/>
    </row>
    <row r="5031">
      <c r="A5031" s="19">
        <v>16870.0</v>
      </c>
      <c r="B5031" s="19" t="s">
        <v>5021</v>
      </c>
      <c r="C5031" s="20">
        <v>30787.0</v>
      </c>
      <c r="D5031" s="19" t="str">
        <f t="shared" si="1"/>
        <v> </v>
      </c>
      <c r="E5031" s="19" t="str">
        <f t="shared" si="2"/>
        <v> </v>
      </c>
      <c r="F5031" s="21"/>
    </row>
    <row r="5032">
      <c r="A5032" s="19">
        <v>16871.0</v>
      </c>
      <c r="B5032" s="19" t="s">
        <v>5022</v>
      </c>
      <c r="C5032" s="20">
        <v>19460.0</v>
      </c>
      <c r="D5032" s="19" t="str">
        <f t="shared" si="1"/>
        <v> </v>
      </c>
      <c r="E5032" s="19" t="str">
        <f t="shared" si="2"/>
        <v>Repeat</v>
      </c>
      <c r="F5032" s="21"/>
    </row>
    <row r="5033">
      <c r="A5033" s="19">
        <v>16873.0</v>
      </c>
      <c r="B5033" s="19" t="s">
        <v>5023</v>
      </c>
      <c r="C5033" s="20">
        <v>25643.0</v>
      </c>
      <c r="D5033" s="19" t="str">
        <f t="shared" si="1"/>
        <v> </v>
      </c>
      <c r="E5033" s="19" t="str">
        <f t="shared" si="2"/>
        <v> </v>
      </c>
      <c r="F5033" s="21"/>
    </row>
    <row r="5034">
      <c r="A5034" s="19">
        <v>16874.0</v>
      </c>
      <c r="B5034" s="19" t="s">
        <v>5024</v>
      </c>
      <c r="C5034" s="20">
        <v>12975.0</v>
      </c>
      <c r="D5034" s="19" t="str">
        <f t="shared" si="1"/>
        <v> </v>
      </c>
      <c r="E5034" s="19" t="str">
        <f t="shared" si="2"/>
        <v> </v>
      </c>
      <c r="F5034" s="21"/>
    </row>
    <row r="5035">
      <c r="A5035" s="19">
        <v>16875.0</v>
      </c>
      <c r="B5035" s="19" t="s">
        <v>5025</v>
      </c>
      <c r="C5035" s="20">
        <v>19869.0</v>
      </c>
      <c r="D5035" s="19" t="str">
        <f t="shared" si="1"/>
        <v> </v>
      </c>
      <c r="E5035" s="19" t="str">
        <f t="shared" si="2"/>
        <v> </v>
      </c>
      <c r="F5035" s="21"/>
    </row>
    <row r="5036">
      <c r="A5036" s="19">
        <v>16877.0</v>
      </c>
      <c r="B5036" s="19" t="s">
        <v>5026</v>
      </c>
      <c r="C5036" s="20">
        <v>14780.0</v>
      </c>
      <c r="D5036" s="19" t="str">
        <f t="shared" si="1"/>
        <v> </v>
      </c>
      <c r="E5036" s="19" t="str">
        <f t="shared" si="2"/>
        <v> </v>
      </c>
      <c r="F5036" s="21"/>
    </row>
    <row r="5037">
      <c r="A5037" s="19">
        <v>16878.0</v>
      </c>
      <c r="B5037" s="19" t="s">
        <v>5027</v>
      </c>
      <c r="C5037" s="20">
        <v>19002.0</v>
      </c>
      <c r="D5037" s="19" t="str">
        <f t="shared" si="1"/>
        <v> </v>
      </c>
      <c r="E5037" s="19" t="str">
        <f t="shared" si="2"/>
        <v> </v>
      </c>
      <c r="F5037" s="21"/>
    </row>
    <row r="5038">
      <c r="A5038" s="19">
        <v>16879.0</v>
      </c>
      <c r="B5038" s="19" t="s">
        <v>5028</v>
      </c>
      <c r="C5038" s="20">
        <v>17894.0</v>
      </c>
      <c r="D5038" s="19" t="str">
        <f t="shared" si="1"/>
        <v> </v>
      </c>
      <c r="E5038" s="19" t="str">
        <f t="shared" si="2"/>
        <v> </v>
      </c>
      <c r="F5038" s="21"/>
    </row>
    <row r="5039">
      <c r="A5039" s="19">
        <v>16880.0</v>
      </c>
      <c r="B5039" s="19" t="s">
        <v>5029</v>
      </c>
      <c r="C5039" s="20">
        <v>30693.0</v>
      </c>
      <c r="D5039" s="19" t="str">
        <f t="shared" si="1"/>
        <v> </v>
      </c>
      <c r="E5039" s="19" t="str">
        <f t="shared" si="2"/>
        <v> </v>
      </c>
      <c r="F5039" s="21"/>
    </row>
    <row r="5040">
      <c r="A5040" s="19">
        <v>16881.0</v>
      </c>
      <c r="B5040" s="19" t="s">
        <v>5030</v>
      </c>
      <c r="C5040" s="20">
        <v>17138.0</v>
      </c>
      <c r="D5040" s="19" t="str">
        <f t="shared" si="1"/>
        <v> </v>
      </c>
      <c r="E5040" s="19" t="str">
        <f t="shared" si="2"/>
        <v> </v>
      </c>
      <c r="F5040" s="21"/>
    </row>
    <row r="5041">
      <c r="A5041" s="19">
        <v>16882.0</v>
      </c>
      <c r="B5041" s="19" t="s">
        <v>5031</v>
      </c>
      <c r="C5041" s="20">
        <v>25355.0</v>
      </c>
      <c r="D5041" s="19" t="str">
        <f t="shared" si="1"/>
        <v> </v>
      </c>
      <c r="E5041" s="19" t="str">
        <f t="shared" si="2"/>
        <v> </v>
      </c>
      <c r="F5041" s="21"/>
    </row>
    <row r="5042">
      <c r="A5042" s="19">
        <v>16883.0</v>
      </c>
      <c r="B5042" s="19" t="s">
        <v>5032</v>
      </c>
      <c r="C5042" s="20">
        <v>20142.0</v>
      </c>
      <c r="D5042" s="19" t="str">
        <f t="shared" si="1"/>
        <v> </v>
      </c>
      <c r="E5042" s="19" t="str">
        <f t="shared" si="2"/>
        <v> </v>
      </c>
      <c r="F5042" s="21"/>
    </row>
    <row r="5043">
      <c r="A5043" s="19">
        <v>16885.0</v>
      </c>
      <c r="B5043" s="19" t="s">
        <v>5033</v>
      </c>
      <c r="C5043" s="20">
        <v>10605.0</v>
      </c>
      <c r="D5043" s="19" t="str">
        <f t="shared" si="1"/>
        <v> </v>
      </c>
      <c r="E5043" s="19" t="str">
        <f t="shared" si="2"/>
        <v> </v>
      </c>
      <c r="F5043" s="21"/>
    </row>
    <row r="5044">
      <c r="A5044" s="19">
        <v>16886.0</v>
      </c>
      <c r="B5044" s="19" t="s">
        <v>5034</v>
      </c>
      <c r="C5044" s="20">
        <v>30826.0</v>
      </c>
      <c r="D5044" s="19" t="str">
        <f t="shared" si="1"/>
        <v> </v>
      </c>
      <c r="E5044" s="19" t="str">
        <f t="shared" si="2"/>
        <v> </v>
      </c>
      <c r="F5044" s="21"/>
    </row>
    <row r="5045">
      <c r="A5045" s="19">
        <v>16887.0</v>
      </c>
      <c r="B5045" s="19" t="s">
        <v>5035</v>
      </c>
      <c r="C5045" s="20">
        <v>27615.0</v>
      </c>
      <c r="D5045" s="19" t="str">
        <f t="shared" si="1"/>
        <v> </v>
      </c>
      <c r="E5045" s="19" t="str">
        <f t="shared" si="2"/>
        <v> </v>
      </c>
      <c r="F5045" s="21"/>
    </row>
    <row r="5046">
      <c r="A5046" s="19">
        <v>16888.0</v>
      </c>
      <c r="B5046" s="19" t="s">
        <v>5036</v>
      </c>
      <c r="C5046" s="20">
        <v>12015.0</v>
      </c>
      <c r="D5046" s="19" t="str">
        <f t="shared" si="1"/>
        <v> </v>
      </c>
      <c r="E5046" s="19" t="str">
        <f t="shared" si="2"/>
        <v> </v>
      </c>
      <c r="F5046" s="21"/>
    </row>
    <row r="5047">
      <c r="A5047" s="19">
        <v>16889.0</v>
      </c>
      <c r="B5047" s="19" t="s">
        <v>5037</v>
      </c>
      <c r="C5047" s="20">
        <v>21807.0</v>
      </c>
      <c r="D5047" s="19" t="str">
        <f t="shared" si="1"/>
        <v> </v>
      </c>
      <c r="E5047" s="19" t="str">
        <f t="shared" si="2"/>
        <v> </v>
      </c>
      <c r="F5047" s="21"/>
    </row>
    <row r="5048">
      <c r="A5048" s="19">
        <v>16890.0</v>
      </c>
      <c r="B5048" s="19" t="s">
        <v>5038</v>
      </c>
      <c r="C5048" s="20">
        <v>20319.0</v>
      </c>
      <c r="D5048" s="19" t="str">
        <f t="shared" si="1"/>
        <v> </v>
      </c>
      <c r="E5048" s="19" t="str">
        <f t="shared" si="2"/>
        <v> </v>
      </c>
      <c r="F5048" s="21"/>
    </row>
    <row r="5049">
      <c r="A5049" s="19">
        <v>16891.0</v>
      </c>
      <c r="B5049" s="19" t="s">
        <v>5039</v>
      </c>
      <c r="C5049" s="20">
        <v>20265.0</v>
      </c>
      <c r="D5049" s="19" t="str">
        <f t="shared" si="1"/>
        <v> </v>
      </c>
      <c r="E5049" s="19" t="str">
        <f t="shared" si="2"/>
        <v> </v>
      </c>
      <c r="F5049" s="21"/>
    </row>
    <row r="5050">
      <c r="A5050" s="19">
        <v>16892.0</v>
      </c>
      <c r="B5050" s="19" t="s">
        <v>5040</v>
      </c>
      <c r="C5050" s="20">
        <v>13852.0</v>
      </c>
      <c r="D5050" s="19" t="str">
        <f t="shared" si="1"/>
        <v> </v>
      </c>
      <c r="E5050" s="19" t="str">
        <f t="shared" si="2"/>
        <v> </v>
      </c>
      <c r="F5050" s="21"/>
    </row>
    <row r="5051">
      <c r="A5051" s="19">
        <v>16893.0</v>
      </c>
      <c r="B5051" s="19" t="s">
        <v>5041</v>
      </c>
      <c r="C5051" s="20">
        <v>21530.0</v>
      </c>
      <c r="D5051" s="19" t="str">
        <f t="shared" si="1"/>
        <v> </v>
      </c>
      <c r="E5051" s="19" t="str">
        <f t="shared" si="2"/>
        <v> </v>
      </c>
      <c r="F5051" s="21"/>
    </row>
    <row r="5052">
      <c r="A5052" s="19">
        <v>16894.0</v>
      </c>
      <c r="B5052" s="19" t="s">
        <v>5042</v>
      </c>
      <c r="C5052" s="20">
        <v>18479.0</v>
      </c>
      <c r="D5052" s="19" t="str">
        <f t="shared" si="1"/>
        <v> </v>
      </c>
      <c r="E5052" s="19" t="str">
        <f t="shared" si="2"/>
        <v> </v>
      </c>
      <c r="F5052" s="21"/>
    </row>
    <row r="5053">
      <c r="A5053" s="19">
        <v>16895.0</v>
      </c>
      <c r="B5053" s="19" t="s">
        <v>5043</v>
      </c>
      <c r="C5053" s="20">
        <v>31798.0</v>
      </c>
      <c r="D5053" s="19" t="str">
        <f t="shared" si="1"/>
        <v> </v>
      </c>
      <c r="E5053" s="19" t="str">
        <f t="shared" si="2"/>
        <v> </v>
      </c>
      <c r="F5053" s="21"/>
    </row>
    <row r="5054">
      <c r="A5054" s="19">
        <v>16896.0</v>
      </c>
      <c r="B5054" s="19" t="s">
        <v>5044</v>
      </c>
      <c r="C5054" s="20">
        <v>22688.0</v>
      </c>
      <c r="D5054" s="19" t="str">
        <f t="shared" si="1"/>
        <v> </v>
      </c>
      <c r="E5054" s="19" t="str">
        <f t="shared" si="2"/>
        <v> </v>
      </c>
      <c r="F5054" s="21"/>
    </row>
    <row r="5055">
      <c r="A5055" s="19">
        <v>16897.0</v>
      </c>
      <c r="B5055" s="19" t="s">
        <v>5045</v>
      </c>
      <c r="C5055" s="20">
        <v>14946.0</v>
      </c>
      <c r="D5055" s="19" t="str">
        <f t="shared" si="1"/>
        <v> </v>
      </c>
      <c r="E5055" s="19" t="str">
        <f t="shared" si="2"/>
        <v> </v>
      </c>
      <c r="F5055" s="21"/>
    </row>
    <row r="5056">
      <c r="A5056" s="19">
        <v>17312.0</v>
      </c>
      <c r="B5056" s="19" t="s">
        <v>5046</v>
      </c>
      <c r="C5056" s="20">
        <v>26135.0</v>
      </c>
      <c r="D5056" s="19" t="str">
        <f t="shared" si="1"/>
        <v> </v>
      </c>
      <c r="E5056" s="19" t="str">
        <f t="shared" si="2"/>
        <v> </v>
      </c>
      <c r="F5056" s="21"/>
    </row>
    <row r="5057">
      <c r="A5057" s="19">
        <v>16899.0</v>
      </c>
      <c r="B5057" s="19" t="s">
        <v>5047</v>
      </c>
      <c r="C5057" s="20">
        <v>35019.0</v>
      </c>
      <c r="D5057" s="19" t="str">
        <f t="shared" si="1"/>
        <v> </v>
      </c>
      <c r="E5057" s="19" t="str">
        <f t="shared" si="2"/>
        <v> </v>
      </c>
      <c r="F5057" s="21"/>
    </row>
    <row r="5058">
      <c r="A5058" s="19">
        <v>16900.0</v>
      </c>
      <c r="B5058" s="19" t="s">
        <v>5048</v>
      </c>
      <c r="C5058" s="20">
        <v>26415.0</v>
      </c>
      <c r="D5058" s="19" t="str">
        <f t="shared" si="1"/>
        <v> </v>
      </c>
      <c r="E5058" s="19" t="str">
        <f t="shared" si="2"/>
        <v> </v>
      </c>
      <c r="F5058" s="21"/>
    </row>
    <row r="5059">
      <c r="A5059" s="19">
        <v>16902.0</v>
      </c>
      <c r="B5059" s="19" t="s">
        <v>1312</v>
      </c>
      <c r="C5059" s="20">
        <v>15299.0</v>
      </c>
      <c r="D5059" s="19" t="str">
        <f t="shared" si="1"/>
        <v>Repeat</v>
      </c>
      <c r="E5059" s="19" t="str">
        <f t="shared" si="2"/>
        <v> </v>
      </c>
      <c r="F5059" s="21"/>
    </row>
    <row r="5060">
      <c r="A5060" s="19">
        <v>16903.0</v>
      </c>
      <c r="B5060" s="19" t="s">
        <v>5049</v>
      </c>
      <c r="C5060" s="20">
        <v>15127.0</v>
      </c>
      <c r="D5060" s="19" t="str">
        <f t="shared" si="1"/>
        <v> </v>
      </c>
      <c r="E5060" s="19" t="str">
        <f t="shared" si="2"/>
        <v> </v>
      </c>
      <c r="F5060" s="21"/>
    </row>
    <row r="5061">
      <c r="A5061" s="19">
        <v>16905.0</v>
      </c>
      <c r="B5061" s="19" t="s">
        <v>5050</v>
      </c>
      <c r="C5061" s="20">
        <v>19927.0</v>
      </c>
      <c r="D5061" s="19" t="str">
        <f t="shared" si="1"/>
        <v> </v>
      </c>
      <c r="E5061" s="19" t="str">
        <f t="shared" si="2"/>
        <v> </v>
      </c>
      <c r="F5061" s="21"/>
    </row>
    <row r="5062">
      <c r="A5062" s="19">
        <v>16906.0</v>
      </c>
      <c r="B5062" s="19" t="s">
        <v>5051</v>
      </c>
      <c r="C5062" s="20">
        <v>23086.0</v>
      </c>
      <c r="D5062" s="19" t="str">
        <f t="shared" si="1"/>
        <v> </v>
      </c>
      <c r="E5062" s="19" t="str">
        <f t="shared" si="2"/>
        <v> </v>
      </c>
      <c r="F5062" s="21"/>
    </row>
    <row r="5063">
      <c r="A5063" s="19">
        <v>16907.0</v>
      </c>
      <c r="B5063" s="19" t="s">
        <v>5052</v>
      </c>
      <c r="C5063" s="20">
        <v>28706.0</v>
      </c>
      <c r="D5063" s="19" t="str">
        <f t="shared" si="1"/>
        <v> </v>
      </c>
      <c r="E5063" s="19" t="str">
        <f t="shared" si="2"/>
        <v> </v>
      </c>
      <c r="F5063" s="21"/>
    </row>
    <row r="5064">
      <c r="A5064" s="19">
        <v>16908.0</v>
      </c>
      <c r="B5064" s="19" t="s">
        <v>5053</v>
      </c>
      <c r="C5064" s="20">
        <v>22870.0</v>
      </c>
      <c r="D5064" s="19" t="str">
        <f t="shared" si="1"/>
        <v> </v>
      </c>
      <c r="E5064" s="19" t="str">
        <f t="shared" si="2"/>
        <v> </v>
      </c>
      <c r="F5064" s="21"/>
    </row>
    <row r="5065">
      <c r="A5065" s="19">
        <v>16909.0</v>
      </c>
      <c r="B5065" s="19" t="s">
        <v>5054</v>
      </c>
      <c r="C5065" s="20">
        <v>25231.0</v>
      </c>
      <c r="D5065" s="19" t="str">
        <f t="shared" si="1"/>
        <v> </v>
      </c>
      <c r="E5065" s="19" t="str">
        <f t="shared" si="2"/>
        <v> </v>
      </c>
      <c r="F5065" s="21"/>
    </row>
    <row r="5066">
      <c r="A5066" s="19">
        <v>16910.0</v>
      </c>
      <c r="B5066" s="19" t="s">
        <v>5055</v>
      </c>
      <c r="C5066" s="20">
        <v>27897.0</v>
      </c>
      <c r="D5066" s="19" t="str">
        <f t="shared" si="1"/>
        <v> </v>
      </c>
      <c r="E5066" s="19" t="str">
        <f t="shared" si="2"/>
        <v> </v>
      </c>
      <c r="F5066" s="21"/>
    </row>
    <row r="5067">
      <c r="A5067" s="19">
        <v>16911.0</v>
      </c>
      <c r="B5067" s="19" t="s">
        <v>5056</v>
      </c>
      <c r="C5067" s="20">
        <v>19984.0</v>
      </c>
      <c r="D5067" s="19" t="str">
        <f t="shared" si="1"/>
        <v> </v>
      </c>
      <c r="E5067" s="19" t="str">
        <f t="shared" si="2"/>
        <v> </v>
      </c>
      <c r="F5067" s="21"/>
    </row>
    <row r="5068">
      <c r="A5068" s="19">
        <v>16913.0</v>
      </c>
      <c r="B5068" s="19" t="s">
        <v>5057</v>
      </c>
      <c r="C5068" s="20">
        <v>20603.0</v>
      </c>
      <c r="D5068" s="19" t="str">
        <f t="shared" si="1"/>
        <v> </v>
      </c>
      <c r="E5068" s="19" t="str">
        <f t="shared" si="2"/>
        <v> </v>
      </c>
      <c r="F5068" s="21"/>
    </row>
    <row r="5069">
      <c r="A5069" s="19">
        <v>16914.0</v>
      </c>
      <c r="B5069" s="19" t="s">
        <v>5058</v>
      </c>
      <c r="C5069" s="20">
        <v>22267.0</v>
      </c>
      <c r="D5069" s="19" t="str">
        <f t="shared" si="1"/>
        <v> </v>
      </c>
      <c r="E5069" s="19" t="str">
        <f t="shared" si="2"/>
        <v> </v>
      </c>
      <c r="F5069" s="21"/>
    </row>
    <row r="5070">
      <c r="A5070" s="19">
        <v>16916.0</v>
      </c>
      <c r="B5070" s="19" t="s">
        <v>5059</v>
      </c>
      <c r="C5070" s="20">
        <v>23500.0</v>
      </c>
      <c r="D5070" s="19" t="str">
        <f t="shared" si="1"/>
        <v> </v>
      </c>
      <c r="E5070" s="19" t="str">
        <f t="shared" si="2"/>
        <v> </v>
      </c>
      <c r="F5070" s="21"/>
    </row>
    <row r="5071">
      <c r="A5071" s="19">
        <v>16917.0</v>
      </c>
      <c r="B5071" s="19" t="s">
        <v>5060</v>
      </c>
      <c r="C5071" s="20">
        <v>26322.0</v>
      </c>
      <c r="D5071" s="19" t="str">
        <f t="shared" si="1"/>
        <v> </v>
      </c>
      <c r="E5071" s="19" t="str">
        <f t="shared" si="2"/>
        <v> </v>
      </c>
      <c r="F5071" s="21"/>
    </row>
    <row r="5072">
      <c r="A5072" s="19">
        <v>16918.0</v>
      </c>
      <c r="B5072" s="19" t="s">
        <v>5061</v>
      </c>
      <c r="C5072" s="20">
        <v>25750.0</v>
      </c>
      <c r="D5072" s="19" t="str">
        <f t="shared" si="1"/>
        <v> </v>
      </c>
      <c r="E5072" s="19" t="str">
        <f t="shared" si="2"/>
        <v> </v>
      </c>
      <c r="F5072" s="21"/>
    </row>
    <row r="5073">
      <c r="A5073" s="19">
        <v>16919.0</v>
      </c>
      <c r="B5073" s="19" t="s">
        <v>5062</v>
      </c>
      <c r="C5073" s="20">
        <v>34405.0</v>
      </c>
      <c r="D5073" s="19" t="str">
        <f t="shared" si="1"/>
        <v> </v>
      </c>
      <c r="E5073" s="19" t="str">
        <f t="shared" si="2"/>
        <v> </v>
      </c>
      <c r="F5073" s="21"/>
    </row>
    <row r="5074">
      <c r="A5074" s="19">
        <v>16920.0</v>
      </c>
      <c r="B5074" s="19" t="s">
        <v>5063</v>
      </c>
      <c r="C5074" s="20">
        <v>24682.0</v>
      </c>
      <c r="D5074" s="19" t="str">
        <f t="shared" si="1"/>
        <v> </v>
      </c>
      <c r="E5074" s="19" t="str">
        <f t="shared" si="2"/>
        <v> </v>
      </c>
      <c r="F5074" s="21"/>
    </row>
    <row r="5075">
      <c r="A5075" s="19">
        <v>16922.0</v>
      </c>
      <c r="B5075" s="19" t="s">
        <v>5064</v>
      </c>
      <c r="C5075" s="20">
        <v>25738.0</v>
      </c>
      <c r="D5075" s="19" t="str">
        <f t="shared" si="1"/>
        <v> </v>
      </c>
      <c r="E5075" s="19" t="str">
        <f t="shared" si="2"/>
        <v> </v>
      </c>
      <c r="F5075" s="21"/>
    </row>
    <row r="5076">
      <c r="A5076" s="19">
        <v>16923.0</v>
      </c>
      <c r="B5076" s="19" t="s">
        <v>5065</v>
      </c>
      <c r="C5076" s="20">
        <v>26764.0</v>
      </c>
      <c r="D5076" s="19" t="str">
        <f t="shared" si="1"/>
        <v> </v>
      </c>
      <c r="E5076" s="19" t="str">
        <f t="shared" si="2"/>
        <v> </v>
      </c>
      <c r="F5076" s="21"/>
    </row>
    <row r="5077">
      <c r="A5077" s="19">
        <v>16924.0</v>
      </c>
      <c r="B5077" s="19" t="s">
        <v>5066</v>
      </c>
      <c r="C5077" s="20">
        <v>11577.0</v>
      </c>
      <c r="D5077" s="19" t="str">
        <f t="shared" si="1"/>
        <v> </v>
      </c>
      <c r="E5077" s="19" t="str">
        <f t="shared" si="2"/>
        <v> </v>
      </c>
      <c r="F5077" s="21"/>
    </row>
    <row r="5078">
      <c r="A5078" s="19">
        <v>16927.0</v>
      </c>
      <c r="B5078" s="19" t="s">
        <v>5067</v>
      </c>
      <c r="C5078" s="20">
        <v>19924.0</v>
      </c>
      <c r="D5078" s="19" t="str">
        <f t="shared" si="1"/>
        <v> </v>
      </c>
      <c r="E5078" s="19" t="str">
        <f t="shared" si="2"/>
        <v> </v>
      </c>
      <c r="F5078" s="21"/>
    </row>
    <row r="5079">
      <c r="A5079" s="19">
        <v>16928.0</v>
      </c>
      <c r="B5079" s="19" t="s">
        <v>5068</v>
      </c>
      <c r="C5079" s="20">
        <v>20393.0</v>
      </c>
      <c r="D5079" s="19" t="str">
        <f t="shared" si="1"/>
        <v> </v>
      </c>
      <c r="E5079" s="19" t="str">
        <f t="shared" si="2"/>
        <v> </v>
      </c>
      <c r="F5079" s="21"/>
    </row>
    <row r="5080">
      <c r="A5080" s="19">
        <v>16929.0</v>
      </c>
      <c r="B5080" s="19" t="s">
        <v>231</v>
      </c>
      <c r="C5080" s="20">
        <v>22938.0</v>
      </c>
      <c r="D5080" s="19" t="str">
        <f t="shared" si="1"/>
        <v>Repeat</v>
      </c>
      <c r="E5080" s="19" t="str">
        <f t="shared" si="2"/>
        <v> </v>
      </c>
      <c r="F5080" s="21"/>
    </row>
    <row r="5081">
      <c r="A5081" s="19">
        <v>16930.0</v>
      </c>
      <c r="B5081" s="19" t="s">
        <v>5069</v>
      </c>
      <c r="C5081" s="20">
        <v>23559.0</v>
      </c>
      <c r="D5081" s="19" t="str">
        <f t="shared" si="1"/>
        <v> </v>
      </c>
      <c r="E5081" s="19" t="str">
        <f t="shared" si="2"/>
        <v> </v>
      </c>
      <c r="F5081" s="21"/>
    </row>
    <row r="5082">
      <c r="A5082" s="19">
        <v>16931.0</v>
      </c>
      <c r="B5082" s="19" t="s">
        <v>5070</v>
      </c>
      <c r="C5082" s="20">
        <v>26857.0</v>
      </c>
      <c r="D5082" s="19" t="str">
        <f t="shared" si="1"/>
        <v> </v>
      </c>
      <c r="E5082" s="19" t="str">
        <f t="shared" si="2"/>
        <v> </v>
      </c>
      <c r="F5082" s="21"/>
    </row>
    <row r="5083">
      <c r="A5083" s="19">
        <v>16932.0</v>
      </c>
      <c r="B5083" s="19" t="s">
        <v>5071</v>
      </c>
      <c r="C5083" s="20">
        <v>20388.0</v>
      </c>
      <c r="D5083" s="19" t="str">
        <f t="shared" si="1"/>
        <v> </v>
      </c>
      <c r="E5083" s="19" t="str">
        <f t="shared" si="2"/>
        <v> </v>
      </c>
      <c r="F5083" s="21"/>
    </row>
    <row r="5084">
      <c r="A5084" s="19">
        <v>16933.0</v>
      </c>
      <c r="B5084" s="19" t="s">
        <v>5072</v>
      </c>
      <c r="C5084" s="20">
        <v>12929.0</v>
      </c>
      <c r="D5084" s="19" t="str">
        <f t="shared" si="1"/>
        <v> </v>
      </c>
      <c r="E5084" s="19" t="str">
        <f t="shared" si="2"/>
        <v> </v>
      </c>
      <c r="F5084" s="21"/>
    </row>
    <row r="5085">
      <c r="A5085" s="19">
        <v>16934.0</v>
      </c>
      <c r="B5085" s="19" t="s">
        <v>5073</v>
      </c>
      <c r="C5085" s="20">
        <v>19702.0</v>
      </c>
      <c r="D5085" s="19" t="str">
        <f t="shared" si="1"/>
        <v> </v>
      </c>
      <c r="E5085" s="19" t="str">
        <f t="shared" si="2"/>
        <v> </v>
      </c>
      <c r="F5085" s="21"/>
    </row>
    <row r="5086">
      <c r="A5086" s="19">
        <v>16935.0</v>
      </c>
      <c r="B5086" s="19" t="s">
        <v>5074</v>
      </c>
      <c r="C5086" s="20">
        <v>25212.0</v>
      </c>
      <c r="D5086" s="19" t="str">
        <f t="shared" si="1"/>
        <v> </v>
      </c>
      <c r="E5086" s="19" t="str">
        <f t="shared" si="2"/>
        <v> </v>
      </c>
      <c r="F5086" s="21"/>
    </row>
    <row r="5087">
      <c r="A5087" s="19">
        <v>16936.0</v>
      </c>
      <c r="B5087" s="19" t="s">
        <v>5075</v>
      </c>
      <c r="C5087" s="20">
        <v>26117.0</v>
      </c>
      <c r="D5087" s="19" t="str">
        <f t="shared" si="1"/>
        <v> </v>
      </c>
      <c r="E5087" s="19" t="str">
        <f t="shared" si="2"/>
        <v> </v>
      </c>
      <c r="F5087" s="21"/>
    </row>
    <row r="5088">
      <c r="A5088" s="19">
        <v>16937.0</v>
      </c>
      <c r="B5088" s="19" t="s">
        <v>5076</v>
      </c>
      <c r="C5088" s="20">
        <v>22909.0</v>
      </c>
      <c r="D5088" s="19" t="str">
        <f t="shared" si="1"/>
        <v> </v>
      </c>
      <c r="E5088" s="19" t="str">
        <f t="shared" si="2"/>
        <v> </v>
      </c>
      <c r="F5088" s="21"/>
    </row>
    <row r="5089">
      <c r="A5089" s="19">
        <v>16938.0</v>
      </c>
      <c r="B5089" s="19" t="s">
        <v>5077</v>
      </c>
      <c r="C5089" s="20">
        <v>29159.0</v>
      </c>
      <c r="D5089" s="19" t="str">
        <f t="shared" si="1"/>
        <v> </v>
      </c>
      <c r="E5089" s="19" t="str">
        <f t="shared" si="2"/>
        <v> </v>
      </c>
      <c r="F5089" s="21"/>
    </row>
    <row r="5090">
      <c r="A5090" s="19">
        <v>16939.0</v>
      </c>
      <c r="B5090" s="19" t="s">
        <v>5078</v>
      </c>
      <c r="C5090" s="20">
        <v>15304.0</v>
      </c>
      <c r="D5090" s="19" t="str">
        <f t="shared" si="1"/>
        <v> </v>
      </c>
      <c r="E5090" s="19" t="str">
        <f t="shared" si="2"/>
        <v> </v>
      </c>
      <c r="F5090" s="21"/>
    </row>
    <row r="5091">
      <c r="A5091" s="19">
        <v>16941.0</v>
      </c>
      <c r="B5091" s="19" t="s">
        <v>5079</v>
      </c>
      <c r="C5091" s="20">
        <v>21789.0</v>
      </c>
      <c r="D5091" s="19" t="str">
        <f t="shared" si="1"/>
        <v> </v>
      </c>
      <c r="E5091" s="19" t="str">
        <f t="shared" si="2"/>
        <v> </v>
      </c>
      <c r="F5091" s="21"/>
    </row>
    <row r="5092">
      <c r="A5092" s="19">
        <v>16942.0</v>
      </c>
      <c r="B5092" s="19" t="s">
        <v>5080</v>
      </c>
      <c r="C5092" s="20">
        <v>21275.0</v>
      </c>
      <c r="D5092" s="19" t="str">
        <f t="shared" si="1"/>
        <v> </v>
      </c>
      <c r="E5092" s="19" t="str">
        <f t="shared" si="2"/>
        <v> </v>
      </c>
      <c r="F5092" s="21"/>
    </row>
    <row r="5093">
      <c r="A5093" s="19">
        <v>16943.0</v>
      </c>
      <c r="B5093" s="19" t="s">
        <v>5081</v>
      </c>
      <c r="C5093" s="20">
        <v>16364.0</v>
      </c>
      <c r="D5093" s="19" t="str">
        <f t="shared" si="1"/>
        <v> </v>
      </c>
      <c r="E5093" s="19" t="str">
        <f t="shared" si="2"/>
        <v> </v>
      </c>
      <c r="F5093" s="21"/>
    </row>
    <row r="5094">
      <c r="A5094" s="19">
        <v>16944.0</v>
      </c>
      <c r="B5094" s="19" t="s">
        <v>5082</v>
      </c>
      <c r="C5094" s="20">
        <v>18219.0</v>
      </c>
      <c r="D5094" s="19" t="str">
        <f t="shared" si="1"/>
        <v> </v>
      </c>
      <c r="E5094" s="19" t="str">
        <f t="shared" si="2"/>
        <v> </v>
      </c>
      <c r="F5094" s="21"/>
    </row>
    <row r="5095">
      <c r="A5095" s="19">
        <v>16945.0</v>
      </c>
      <c r="B5095" s="19" t="s">
        <v>5083</v>
      </c>
      <c r="C5095" s="20">
        <v>20148.0</v>
      </c>
      <c r="D5095" s="19" t="str">
        <f t="shared" si="1"/>
        <v> </v>
      </c>
      <c r="E5095" s="19" t="str">
        <f t="shared" si="2"/>
        <v> </v>
      </c>
      <c r="F5095" s="21"/>
    </row>
    <row r="5096">
      <c r="A5096" s="19">
        <v>16946.0</v>
      </c>
      <c r="B5096" s="19" t="s">
        <v>5084</v>
      </c>
      <c r="C5096" s="20">
        <v>31556.0</v>
      </c>
      <c r="D5096" s="19" t="str">
        <f t="shared" si="1"/>
        <v> </v>
      </c>
      <c r="E5096" s="19" t="str">
        <f t="shared" si="2"/>
        <v> </v>
      </c>
      <c r="F5096" s="21"/>
    </row>
    <row r="5097">
      <c r="A5097" s="19">
        <v>16947.0</v>
      </c>
      <c r="B5097" s="19" t="s">
        <v>5085</v>
      </c>
      <c r="C5097" s="20">
        <v>29404.0</v>
      </c>
      <c r="D5097" s="19" t="str">
        <f t="shared" si="1"/>
        <v> </v>
      </c>
      <c r="E5097" s="19" t="str">
        <f t="shared" si="2"/>
        <v> </v>
      </c>
      <c r="F5097" s="21"/>
    </row>
    <row r="5098">
      <c r="A5098" s="19">
        <v>16949.0</v>
      </c>
      <c r="B5098" s="19" t="s">
        <v>5086</v>
      </c>
      <c r="C5098" s="20">
        <v>23888.0</v>
      </c>
      <c r="D5098" s="19" t="str">
        <f t="shared" si="1"/>
        <v> </v>
      </c>
      <c r="E5098" s="19" t="str">
        <f t="shared" si="2"/>
        <v> </v>
      </c>
      <c r="F5098" s="21"/>
    </row>
    <row r="5099">
      <c r="A5099" s="19">
        <v>16950.0</v>
      </c>
      <c r="B5099" s="19" t="s">
        <v>5087</v>
      </c>
      <c r="C5099" s="20">
        <v>21534.0</v>
      </c>
      <c r="D5099" s="19" t="str">
        <f t="shared" si="1"/>
        <v> </v>
      </c>
      <c r="E5099" s="19" t="str">
        <f t="shared" si="2"/>
        <v> </v>
      </c>
      <c r="F5099" s="21"/>
    </row>
    <row r="5100">
      <c r="A5100" s="19">
        <v>16951.0</v>
      </c>
      <c r="B5100" s="19" t="s">
        <v>5088</v>
      </c>
      <c r="C5100" s="20">
        <v>30038.0</v>
      </c>
      <c r="D5100" s="19" t="str">
        <f t="shared" si="1"/>
        <v> </v>
      </c>
      <c r="E5100" s="19" t="str">
        <f t="shared" si="2"/>
        <v> </v>
      </c>
      <c r="F5100" s="21"/>
    </row>
    <row r="5101">
      <c r="A5101" s="19">
        <v>16952.0</v>
      </c>
      <c r="B5101" s="19" t="s">
        <v>5089</v>
      </c>
      <c r="C5101" s="20">
        <v>19025.0</v>
      </c>
      <c r="D5101" s="19" t="str">
        <f t="shared" si="1"/>
        <v> </v>
      </c>
      <c r="E5101" s="19" t="str">
        <f t="shared" si="2"/>
        <v> </v>
      </c>
      <c r="F5101" s="21"/>
    </row>
    <row r="5102">
      <c r="A5102" s="19">
        <v>16954.0</v>
      </c>
      <c r="B5102" s="19" t="s">
        <v>5090</v>
      </c>
      <c r="C5102" s="20">
        <v>15237.0</v>
      </c>
      <c r="D5102" s="19" t="str">
        <f t="shared" si="1"/>
        <v> </v>
      </c>
      <c r="E5102" s="19" t="str">
        <f t="shared" si="2"/>
        <v> </v>
      </c>
      <c r="F5102" s="21"/>
    </row>
    <row r="5103">
      <c r="A5103" s="19">
        <v>16955.0</v>
      </c>
      <c r="B5103" s="19" t="s">
        <v>5091</v>
      </c>
      <c r="C5103" s="20">
        <v>26804.0</v>
      </c>
      <c r="D5103" s="19" t="str">
        <f t="shared" si="1"/>
        <v> </v>
      </c>
      <c r="E5103" s="19" t="str">
        <f t="shared" si="2"/>
        <v> </v>
      </c>
      <c r="F5103" s="21"/>
    </row>
    <row r="5104">
      <c r="A5104" s="19">
        <v>16956.0</v>
      </c>
      <c r="B5104" s="19" t="s">
        <v>5092</v>
      </c>
      <c r="C5104" s="20">
        <v>17859.0</v>
      </c>
      <c r="D5104" s="19" t="str">
        <f t="shared" si="1"/>
        <v> </v>
      </c>
      <c r="E5104" s="19" t="str">
        <f t="shared" si="2"/>
        <v> </v>
      </c>
      <c r="F5104" s="21"/>
    </row>
    <row r="5105">
      <c r="A5105" s="19">
        <v>16957.0</v>
      </c>
      <c r="B5105" s="19" t="s">
        <v>5093</v>
      </c>
      <c r="C5105" s="20">
        <v>15159.0</v>
      </c>
      <c r="D5105" s="19" t="str">
        <f t="shared" si="1"/>
        <v> </v>
      </c>
      <c r="E5105" s="19" t="str">
        <f t="shared" si="2"/>
        <v> </v>
      </c>
      <c r="F5105" s="21"/>
    </row>
    <row r="5106">
      <c r="A5106" s="19">
        <v>16958.0</v>
      </c>
      <c r="B5106" s="19" t="s">
        <v>5094</v>
      </c>
      <c r="C5106" s="20">
        <v>24294.0</v>
      </c>
      <c r="D5106" s="19" t="str">
        <f t="shared" si="1"/>
        <v> </v>
      </c>
      <c r="E5106" s="19" t="str">
        <f t="shared" si="2"/>
        <v> </v>
      </c>
      <c r="F5106" s="21"/>
    </row>
    <row r="5107">
      <c r="A5107" s="19">
        <v>16959.0</v>
      </c>
      <c r="B5107" s="19" t="s">
        <v>5095</v>
      </c>
      <c r="C5107" s="20">
        <v>29067.0</v>
      </c>
      <c r="D5107" s="19" t="str">
        <f t="shared" si="1"/>
        <v> </v>
      </c>
      <c r="E5107" s="19" t="str">
        <f t="shared" si="2"/>
        <v> </v>
      </c>
      <c r="F5107" s="21"/>
    </row>
    <row r="5108">
      <c r="A5108" s="19">
        <v>16961.0</v>
      </c>
      <c r="B5108" s="19" t="s">
        <v>5096</v>
      </c>
      <c r="C5108" s="20">
        <v>22052.0</v>
      </c>
      <c r="D5108" s="19" t="str">
        <f t="shared" si="1"/>
        <v> </v>
      </c>
      <c r="E5108" s="19" t="str">
        <f t="shared" si="2"/>
        <v> </v>
      </c>
      <c r="F5108" s="21"/>
    </row>
    <row r="5109">
      <c r="A5109" s="19">
        <v>16962.0</v>
      </c>
      <c r="B5109" s="19" t="s">
        <v>5097</v>
      </c>
      <c r="C5109" s="20">
        <v>19199.0</v>
      </c>
      <c r="D5109" s="19" t="str">
        <f t="shared" si="1"/>
        <v> </v>
      </c>
      <c r="E5109" s="19" t="str">
        <f t="shared" si="2"/>
        <v> </v>
      </c>
      <c r="F5109" s="21"/>
    </row>
    <row r="5110">
      <c r="A5110" s="19">
        <v>16965.0</v>
      </c>
      <c r="B5110" s="19" t="s">
        <v>5098</v>
      </c>
      <c r="C5110" s="20">
        <v>19061.0</v>
      </c>
      <c r="D5110" s="19" t="str">
        <f t="shared" si="1"/>
        <v> </v>
      </c>
      <c r="E5110" s="19" t="str">
        <f t="shared" si="2"/>
        <v> </v>
      </c>
      <c r="F5110" s="21"/>
    </row>
    <row r="5111">
      <c r="A5111" s="19">
        <v>16967.0</v>
      </c>
      <c r="B5111" s="19" t="s">
        <v>5099</v>
      </c>
      <c r="C5111" s="20">
        <v>23591.0</v>
      </c>
      <c r="D5111" s="19" t="str">
        <f t="shared" si="1"/>
        <v> </v>
      </c>
      <c r="E5111" s="19" t="str">
        <f t="shared" si="2"/>
        <v> </v>
      </c>
      <c r="F5111" s="21"/>
    </row>
    <row r="5112">
      <c r="A5112" s="19">
        <v>16968.0</v>
      </c>
      <c r="B5112" s="19" t="s">
        <v>5100</v>
      </c>
      <c r="C5112" s="20">
        <v>17193.0</v>
      </c>
      <c r="D5112" s="19" t="str">
        <f t="shared" si="1"/>
        <v> </v>
      </c>
      <c r="E5112" s="19" t="str">
        <f t="shared" si="2"/>
        <v> </v>
      </c>
      <c r="F5112" s="21"/>
    </row>
    <row r="5113">
      <c r="A5113" s="19">
        <v>16969.0</v>
      </c>
      <c r="B5113" s="19" t="s">
        <v>5101</v>
      </c>
      <c r="C5113" s="20">
        <v>24840.0</v>
      </c>
      <c r="D5113" s="19" t="str">
        <f t="shared" si="1"/>
        <v> </v>
      </c>
      <c r="E5113" s="19" t="str">
        <f t="shared" si="2"/>
        <v> </v>
      </c>
      <c r="F5113" s="21"/>
    </row>
    <row r="5114">
      <c r="A5114" s="19">
        <v>16970.0</v>
      </c>
      <c r="B5114" s="19" t="s">
        <v>5102</v>
      </c>
      <c r="C5114" s="20">
        <v>19986.0</v>
      </c>
      <c r="D5114" s="19" t="str">
        <f t="shared" si="1"/>
        <v> </v>
      </c>
      <c r="E5114" s="19" t="str">
        <f t="shared" si="2"/>
        <v> </v>
      </c>
      <c r="F5114" s="21"/>
    </row>
    <row r="5115">
      <c r="A5115" s="19">
        <v>16971.0</v>
      </c>
      <c r="B5115" s="19" t="s">
        <v>5103</v>
      </c>
      <c r="C5115" s="20">
        <v>25920.0</v>
      </c>
      <c r="D5115" s="19" t="str">
        <f t="shared" si="1"/>
        <v> </v>
      </c>
      <c r="E5115" s="19" t="str">
        <f t="shared" si="2"/>
        <v> </v>
      </c>
      <c r="F5115" s="21"/>
    </row>
    <row r="5116">
      <c r="A5116" s="19">
        <v>16973.0</v>
      </c>
      <c r="B5116" s="19" t="s">
        <v>5104</v>
      </c>
      <c r="C5116" s="20">
        <v>24541.0</v>
      </c>
      <c r="D5116" s="19" t="str">
        <f t="shared" si="1"/>
        <v> </v>
      </c>
      <c r="E5116" s="19" t="str">
        <f t="shared" si="2"/>
        <v> </v>
      </c>
      <c r="F5116" s="21"/>
    </row>
    <row r="5117">
      <c r="A5117" s="19">
        <v>16974.0</v>
      </c>
      <c r="B5117" s="19" t="s">
        <v>5105</v>
      </c>
      <c r="C5117" s="20">
        <v>18458.0</v>
      </c>
      <c r="D5117" s="19" t="str">
        <f t="shared" si="1"/>
        <v> </v>
      </c>
      <c r="E5117" s="19" t="str">
        <f t="shared" si="2"/>
        <v> </v>
      </c>
      <c r="F5117" s="21"/>
    </row>
    <row r="5118">
      <c r="A5118" s="19">
        <v>16975.0</v>
      </c>
      <c r="B5118" s="19" t="s">
        <v>5106</v>
      </c>
      <c r="C5118" s="20">
        <v>27957.0</v>
      </c>
      <c r="D5118" s="19" t="str">
        <f t="shared" si="1"/>
        <v> </v>
      </c>
      <c r="E5118" s="19" t="str">
        <f t="shared" si="2"/>
        <v> </v>
      </c>
      <c r="F5118" s="21"/>
    </row>
    <row r="5119">
      <c r="A5119" s="19">
        <v>16978.0</v>
      </c>
      <c r="B5119" s="19" t="s">
        <v>5107</v>
      </c>
      <c r="C5119" s="20">
        <v>21205.0</v>
      </c>
      <c r="D5119" s="19" t="str">
        <f t="shared" si="1"/>
        <v> </v>
      </c>
      <c r="E5119" s="19" t="str">
        <f t="shared" si="2"/>
        <v> </v>
      </c>
      <c r="F5119" s="21"/>
    </row>
    <row r="5120">
      <c r="A5120" s="19">
        <v>16979.0</v>
      </c>
      <c r="B5120" s="19" t="s">
        <v>5108</v>
      </c>
      <c r="C5120" s="20">
        <v>20605.0</v>
      </c>
      <c r="D5120" s="19" t="str">
        <f t="shared" si="1"/>
        <v> </v>
      </c>
      <c r="E5120" s="19" t="str">
        <f t="shared" si="2"/>
        <v> </v>
      </c>
      <c r="F5120" s="21"/>
    </row>
    <row r="5121">
      <c r="A5121" s="19">
        <v>16980.0</v>
      </c>
      <c r="B5121" s="19" t="s">
        <v>5109</v>
      </c>
      <c r="C5121" s="20">
        <v>25014.0</v>
      </c>
      <c r="D5121" s="19" t="str">
        <f t="shared" si="1"/>
        <v> </v>
      </c>
      <c r="E5121" s="19" t="str">
        <f t="shared" si="2"/>
        <v> </v>
      </c>
      <c r="F5121" s="21"/>
    </row>
    <row r="5122">
      <c r="A5122" s="19">
        <v>16981.0</v>
      </c>
      <c r="B5122" s="19" t="s">
        <v>5110</v>
      </c>
      <c r="C5122" s="20">
        <v>16257.0</v>
      </c>
      <c r="D5122" s="19" t="str">
        <f t="shared" si="1"/>
        <v> </v>
      </c>
      <c r="E5122" s="19" t="str">
        <f t="shared" si="2"/>
        <v> </v>
      </c>
      <c r="F5122" s="21"/>
    </row>
    <row r="5123">
      <c r="A5123" s="19">
        <v>16982.0</v>
      </c>
      <c r="B5123" s="19" t="s">
        <v>5111</v>
      </c>
      <c r="C5123" s="20">
        <v>21978.0</v>
      </c>
      <c r="D5123" s="19" t="str">
        <f t="shared" si="1"/>
        <v> </v>
      </c>
      <c r="E5123" s="19" t="str">
        <f t="shared" si="2"/>
        <v> </v>
      </c>
      <c r="F5123" s="21"/>
    </row>
    <row r="5124">
      <c r="A5124" s="19">
        <v>16983.0</v>
      </c>
      <c r="B5124" s="19" t="s">
        <v>5112</v>
      </c>
      <c r="C5124" s="20">
        <v>33550.0</v>
      </c>
      <c r="D5124" s="19" t="str">
        <f t="shared" si="1"/>
        <v> </v>
      </c>
      <c r="E5124" s="19" t="str">
        <f t="shared" si="2"/>
        <v> </v>
      </c>
      <c r="F5124" s="21"/>
    </row>
    <row r="5125">
      <c r="A5125" s="19">
        <v>16984.0</v>
      </c>
      <c r="B5125" s="19" t="s">
        <v>5113</v>
      </c>
      <c r="C5125" s="20">
        <v>22620.0</v>
      </c>
      <c r="D5125" s="19" t="str">
        <f t="shared" si="1"/>
        <v> </v>
      </c>
      <c r="E5125" s="19" t="str">
        <f t="shared" si="2"/>
        <v> </v>
      </c>
      <c r="F5125" s="21"/>
    </row>
    <row r="5126">
      <c r="A5126" s="19">
        <v>16985.0</v>
      </c>
      <c r="B5126" s="19" t="s">
        <v>743</v>
      </c>
      <c r="C5126" s="20">
        <v>22406.0</v>
      </c>
      <c r="D5126" s="19" t="str">
        <f t="shared" si="1"/>
        <v>Repeat</v>
      </c>
      <c r="E5126" s="19" t="str">
        <f t="shared" si="2"/>
        <v> </v>
      </c>
      <c r="F5126" s="21"/>
    </row>
    <row r="5127">
      <c r="A5127" s="19">
        <v>16987.0</v>
      </c>
      <c r="B5127" s="19" t="s">
        <v>5114</v>
      </c>
      <c r="C5127" s="20">
        <v>20918.0</v>
      </c>
      <c r="D5127" s="19" t="str">
        <f t="shared" si="1"/>
        <v> </v>
      </c>
      <c r="E5127" s="19" t="str">
        <f t="shared" si="2"/>
        <v> </v>
      </c>
      <c r="F5127" s="21"/>
    </row>
    <row r="5128">
      <c r="A5128" s="19">
        <v>16988.0</v>
      </c>
      <c r="B5128" s="19" t="s">
        <v>5115</v>
      </c>
      <c r="C5128" s="20">
        <v>22702.0</v>
      </c>
      <c r="D5128" s="19" t="str">
        <f t="shared" si="1"/>
        <v> </v>
      </c>
      <c r="E5128" s="19" t="str">
        <f t="shared" si="2"/>
        <v> </v>
      </c>
      <c r="F5128" s="21"/>
    </row>
    <row r="5129">
      <c r="A5129" s="19">
        <v>16989.0</v>
      </c>
      <c r="B5129" s="19" t="s">
        <v>5116</v>
      </c>
      <c r="C5129" s="20">
        <v>17608.0</v>
      </c>
      <c r="D5129" s="19" t="str">
        <f t="shared" si="1"/>
        <v> </v>
      </c>
      <c r="E5129" s="19" t="str">
        <f t="shared" si="2"/>
        <v> </v>
      </c>
      <c r="F5129" s="21"/>
    </row>
    <row r="5130">
      <c r="A5130" s="19">
        <v>16990.0</v>
      </c>
      <c r="B5130" s="19" t="s">
        <v>5117</v>
      </c>
      <c r="C5130" s="20">
        <v>14488.0</v>
      </c>
      <c r="D5130" s="19" t="str">
        <f t="shared" si="1"/>
        <v> </v>
      </c>
      <c r="E5130" s="19" t="str">
        <f t="shared" si="2"/>
        <v> </v>
      </c>
      <c r="F5130" s="21"/>
    </row>
    <row r="5131">
      <c r="A5131" s="19">
        <v>16991.0</v>
      </c>
      <c r="B5131" s="19" t="s">
        <v>5118</v>
      </c>
      <c r="C5131" s="20">
        <v>20338.0</v>
      </c>
      <c r="D5131" s="19" t="str">
        <f t="shared" si="1"/>
        <v> </v>
      </c>
      <c r="E5131" s="19" t="str">
        <f t="shared" si="2"/>
        <v> </v>
      </c>
      <c r="F5131" s="21"/>
    </row>
    <row r="5132">
      <c r="A5132" s="19">
        <v>16993.0</v>
      </c>
      <c r="B5132" s="19" t="s">
        <v>5119</v>
      </c>
      <c r="C5132" s="20">
        <v>14634.0</v>
      </c>
      <c r="D5132" s="19" t="str">
        <f t="shared" si="1"/>
        <v> </v>
      </c>
      <c r="E5132" s="19" t="str">
        <f t="shared" si="2"/>
        <v> </v>
      </c>
      <c r="F5132" s="21"/>
    </row>
    <row r="5133">
      <c r="A5133" s="19">
        <v>16995.0</v>
      </c>
      <c r="B5133" s="19" t="s">
        <v>5120</v>
      </c>
      <c r="C5133" s="20">
        <v>24264.0</v>
      </c>
      <c r="D5133" s="19" t="str">
        <f t="shared" si="1"/>
        <v> </v>
      </c>
      <c r="E5133" s="19" t="str">
        <f t="shared" si="2"/>
        <v> </v>
      </c>
      <c r="F5133" s="21"/>
    </row>
    <row r="5134">
      <c r="A5134" s="19">
        <v>16996.0</v>
      </c>
      <c r="B5134" s="19" t="s">
        <v>5121</v>
      </c>
      <c r="C5134" s="20">
        <v>25072.0</v>
      </c>
      <c r="D5134" s="19" t="str">
        <f t="shared" si="1"/>
        <v> </v>
      </c>
      <c r="E5134" s="19" t="str">
        <f t="shared" si="2"/>
        <v> </v>
      </c>
      <c r="F5134" s="21"/>
    </row>
    <row r="5135">
      <c r="A5135" s="19">
        <v>16997.0</v>
      </c>
      <c r="B5135" s="19" t="s">
        <v>5122</v>
      </c>
      <c r="C5135" s="20">
        <v>19563.0</v>
      </c>
      <c r="D5135" s="19" t="str">
        <f t="shared" si="1"/>
        <v> </v>
      </c>
      <c r="E5135" s="19" t="str">
        <f t="shared" si="2"/>
        <v> </v>
      </c>
      <c r="F5135" s="21"/>
    </row>
    <row r="5136">
      <c r="A5136" s="19">
        <v>16998.0</v>
      </c>
      <c r="B5136" s="19" t="s">
        <v>5123</v>
      </c>
      <c r="C5136" s="20">
        <v>22892.0</v>
      </c>
      <c r="D5136" s="19" t="str">
        <f t="shared" si="1"/>
        <v> </v>
      </c>
      <c r="E5136" s="19" t="str">
        <f t="shared" si="2"/>
        <v> </v>
      </c>
      <c r="F5136" s="21"/>
    </row>
    <row r="5137">
      <c r="A5137" s="19">
        <v>16999.0</v>
      </c>
      <c r="B5137" s="19" t="s">
        <v>5124</v>
      </c>
      <c r="C5137" s="20">
        <v>25187.0</v>
      </c>
      <c r="D5137" s="19" t="str">
        <f t="shared" si="1"/>
        <v> </v>
      </c>
      <c r="E5137" s="19" t="str">
        <f t="shared" si="2"/>
        <v> </v>
      </c>
      <c r="F5137" s="21"/>
    </row>
    <row r="5138">
      <c r="A5138" s="19">
        <v>17001.0</v>
      </c>
      <c r="B5138" s="19" t="s">
        <v>5125</v>
      </c>
      <c r="C5138" s="20">
        <v>21083.0</v>
      </c>
      <c r="D5138" s="19" t="str">
        <f t="shared" si="1"/>
        <v> </v>
      </c>
      <c r="E5138" s="19" t="str">
        <f t="shared" si="2"/>
        <v> </v>
      </c>
      <c r="F5138" s="21"/>
    </row>
    <row r="5139">
      <c r="A5139" s="19">
        <v>17002.0</v>
      </c>
      <c r="B5139" s="19" t="s">
        <v>5126</v>
      </c>
      <c r="C5139" s="20">
        <v>16318.0</v>
      </c>
      <c r="D5139" s="19" t="str">
        <f t="shared" si="1"/>
        <v> </v>
      </c>
      <c r="E5139" s="19" t="str">
        <f t="shared" si="2"/>
        <v> </v>
      </c>
      <c r="F5139" s="21"/>
    </row>
    <row r="5140">
      <c r="A5140" s="19">
        <v>17003.0</v>
      </c>
      <c r="B5140" s="19" t="s">
        <v>5127</v>
      </c>
      <c r="C5140" s="20">
        <v>26677.0</v>
      </c>
      <c r="D5140" s="19" t="str">
        <f t="shared" si="1"/>
        <v> </v>
      </c>
      <c r="E5140" s="19" t="str">
        <f t="shared" si="2"/>
        <v> </v>
      </c>
      <c r="F5140" s="21"/>
    </row>
    <row r="5141">
      <c r="A5141" s="19">
        <v>17005.0</v>
      </c>
      <c r="B5141" s="19" t="s">
        <v>5128</v>
      </c>
      <c r="C5141" s="20">
        <v>22398.0</v>
      </c>
      <c r="D5141" s="19" t="str">
        <f t="shared" si="1"/>
        <v> </v>
      </c>
      <c r="E5141" s="19" t="str">
        <f t="shared" si="2"/>
        <v> </v>
      </c>
      <c r="F5141" s="21"/>
    </row>
    <row r="5142">
      <c r="A5142" s="19">
        <v>17007.0</v>
      </c>
      <c r="B5142" s="19" t="s">
        <v>5129</v>
      </c>
      <c r="C5142" s="20">
        <v>18316.0</v>
      </c>
      <c r="D5142" s="19" t="str">
        <f t="shared" si="1"/>
        <v> </v>
      </c>
      <c r="E5142" s="19" t="str">
        <f t="shared" si="2"/>
        <v> </v>
      </c>
      <c r="F5142" s="21"/>
    </row>
    <row r="5143">
      <c r="A5143" s="19">
        <v>17008.0</v>
      </c>
      <c r="B5143" s="19" t="s">
        <v>5130</v>
      </c>
      <c r="C5143" s="20">
        <v>27220.0</v>
      </c>
      <c r="D5143" s="19" t="str">
        <f t="shared" si="1"/>
        <v> </v>
      </c>
      <c r="E5143" s="19" t="str">
        <f t="shared" si="2"/>
        <v>Repeat</v>
      </c>
      <c r="F5143" s="21"/>
    </row>
    <row r="5144">
      <c r="A5144" s="19">
        <v>17009.0</v>
      </c>
      <c r="B5144" s="19" t="s">
        <v>5131</v>
      </c>
      <c r="C5144" s="20">
        <v>20910.0</v>
      </c>
      <c r="D5144" s="19" t="str">
        <f t="shared" si="1"/>
        <v> </v>
      </c>
      <c r="E5144" s="19" t="str">
        <f t="shared" si="2"/>
        <v> </v>
      </c>
      <c r="F5144" s="21"/>
    </row>
    <row r="5145">
      <c r="A5145" s="19">
        <v>17010.0</v>
      </c>
      <c r="B5145" s="19" t="s">
        <v>5132</v>
      </c>
      <c r="C5145" s="20">
        <v>31117.0</v>
      </c>
      <c r="D5145" s="19" t="str">
        <f t="shared" si="1"/>
        <v> </v>
      </c>
      <c r="E5145" s="19" t="str">
        <f t="shared" si="2"/>
        <v> </v>
      </c>
      <c r="F5145" s="21"/>
    </row>
    <row r="5146">
      <c r="A5146" s="19">
        <v>17011.0</v>
      </c>
      <c r="B5146" s="19" t="s">
        <v>5133</v>
      </c>
      <c r="C5146" s="20">
        <v>31873.0</v>
      </c>
      <c r="D5146" s="19" t="str">
        <f t="shared" si="1"/>
        <v> </v>
      </c>
      <c r="E5146" s="19" t="str">
        <f t="shared" si="2"/>
        <v> </v>
      </c>
      <c r="F5146" s="21"/>
    </row>
    <row r="5147">
      <c r="A5147" s="19">
        <v>17012.0</v>
      </c>
      <c r="B5147" s="19" t="s">
        <v>5134</v>
      </c>
      <c r="C5147" s="20">
        <v>37215.0</v>
      </c>
      <c r="D5147" s="19" t="str">
        <f t="shared" si="1"/>
        <v> </v>
      </c>
      <c r="E5147" s="19" t="str">
        <f t="shared" si="2"/>
        <v> </v>
      </c>
      <c r="F5147" s="21"/>
    </row>
    <row r="5148">
      <c r="A5148" s="19">
        <v>17013.0</v>
      </c>
      <c r="B5148" s="19" t="s">
        <v>5135</v>
      </c>
      <c r="C5148" s="20">
        <v>21932.0</v>
      </c>
      <c r="D5148" s="19" t="str">
        <f t="shared" si="1"/>
        <v> </v>
      </c>
      <c r="E5148" s="19" t="str">
        <f t="shared" si="2"/>
        <v> </v>
      </c>
      <c r="F5148" s="21"/>
    </row>
    <row r="5149">
      <c r="A5149" s="19">
        <v>17014.0</v>
      </c>
      <c r="B5149" s="19" t="s">
        <v>5136</v>
      </c>
      <c r="C5149" s="20">
        <v>21430.0</v>
      </c>
      <c r="D5149" s="19" t="str">
        <f t="shared" si="1"/>
        <v> </v>
      </c>
      <c r="E5149" s="19" t="str">
        <f t="shared" si="2"/>
        <v> </v>
      </c>
      <c r="F5149" s="21"/>
    </row>
    <row r="5150">
      <c r="A5150" s="19">
        <v>17016.0</v>
      </c>
      <c r="B5150" s="19" t="s">
        <v>5137</v>
      </c>
      <c r="C5150" s="20">
        <v>21593.0</v>
      </c>
      <c r="D5150" s="19" t="str">
        <f t="shared" si="1"/>
        <v> </v>
      </c>
      <c r="E5150" s="19" t="str">
        <f t="shared" si="2"/>
        <v> </v>
      </c>
      <c r="F5150" s="21"/>
    </row>
    <row r="5151">
      <c r="A5151" s="19">
        <v>17017.0</v>
      </c>
      <c r="B5151" s="19" t="s">
        <v>5138</v>
      </c>
      <c r="C5151" s="20">
        <v>29428.0</v>
      </c>
      <c r="D5151" s="19" t="str">
        <f t="shared" si="1"/>
        <v> </v>
      </c>
      <c r="E5151" s="19" t="str">
        <f t="shared" si="2"/>
        <v> </v>
      </c>
      <c r="F5151" s="21"/>
    </row>
    <row r="5152">
      <c r="A5152" s="19">
        <v>17018.0</v>
      </c>
      <c r="B5152" s="19" t="s">
        <v>5139</v>
      </c>
      <c r="C5152" s="20">
        <v>13331.0</v>
      </c>
      <c r="D5152" s="19" t="str">
        <f t="shared" si="1"/>
        <v> </v>
      </c>
      <c r="E5152" s="19" t="str">
        <f t="shared" si="2"/>
        <v> </v>
      </c>
      <c r="F5152" s="21"/>
    </row>
    <row r="5153">
      <c r="A5153" s="19">
        <v>17019.0</v>
      </c>
      <c r="B5153" s="19" t="s">
        <v>3765</v>
      </c>
      <c r="C5153" s="20">
        <v>26989.0</v>
      </c>
      <c r="D5153" s="19" t="str">
        <f t="shared" si="1"/>
        <v>Repeat</v>
      </c>
      <c r="E5153" s="19" t="str">
        <f t="shared" si="2"/>
        <v> </v>
      </c>
      <c r="F5153" s="21"/>
    </row>
    <row r="5154">
      <c r="A5154" s="19">
        <v>17020.0</v>
      </c>
      <c r="B5154" s="19" t="s">
        <v>5140</v>
      </c>
      <c r="C5154" s="20">
        <v>17746.0</v>
      </c>
      <c r="D5154" s="19" t="str">
        <f t="shared" si="1"/>
        <v> </v>
      </c>
      <c r="E5154" s="19" t="str">
        <f t="shared" si="2"/>
        <v> </v>
      </c>
      <c r="F5154" s="21"/>
    </row>
    <row r="5155">
      <c r="A5155" s="19">
        <v>17021.0</v>
      </c>
      <c r="B5155" s="19" t="s">
        <v>5141</v>
      </c>
      <c r="C5155" s="20">
        <v>18852.0</v>
      </c>
      <c r="D5155" s="19" t="str">
        <f t="shared" si="1"/>
        <v> </v>
      </c>
      <c r="E5155" s="19" t="str">
        <f t="shared" si="2"/>
        <v> </v>
      </c>
      <c r="F5155" s="21"/>
    </row>
    <row r="5156">
      <c r="A5156" s="19">
        <v>17022.0</v>
      </c>
      <c r="B5156" s="19" t="s">
        <v>5142</v>
      </c>
      <c r="C5156" s="20">
        <v>24614.0</v>
      </c>
      <c r="D5156" s="19" t="str">
        <f t="shared" si="1"/>
        <v> </v>
      </c>
      <c r="E5156" s="19" t="str">
        <f t="shared" si="2"/>
        <v> </v>
      </c>
      <c r="F5156" s="21"/>
    </row>
    <row r="5157">
      <c r="A5157" s="19">
        <v>17024.0</v>
      </c>
      <c r="B5157" s="19" t="s">
        <v>5143</v>
      </c>
      <c r="C5157" s="20">
        <v>31335.0</v>
      </c>
      <c r="D5157" s="19" t="str">
        <f t="shared" si="1"/>
        <v> </v>
      </c>
      <c r="E5157" s="19" t="str">
        <f t="shared" si="2"/>
        <v> </v>
      </c>
      <c r="F5157" s="21"/>
    </row>
    <row r="5158">
      <c r="A5158" s="19">
        <v>17025.0</v>
      </c>
      <c r="B5158" s="19" t="s">
        <v>5144</v>
      </c>
      <c r="C5158" s="20">
        <v>24788.0</v>
      </c>
      <c r="D5158" s="19" t="str">
        <f t="shared" si="1"/>
        <v> </v>
      </c>
      <c r="E5158" s="19" t="str">
        <f t="shared" si="2"/>
        <v> </v>
      </c>
      <c r="F5158" s="21"/>
    </row>
    <row r="5159">
      <c r="A5159" s="19">
        <v>17026.0</v>
      </c>
      <c r="B5159" s="19" t="s">
        <v>5145</v>
      </c>
      <c r="C5159" s="20">
        <v>24338.0</v>
      </c>
      <c r="D5159" s="19" t="str">
        <f t="shared" si="1"/>
        <v> </v>
      </c>
      <c r="E5159" s="19" t="str">
        <f t="shared" si="2"/>
        <v> </v>
      </c>
      <c r="F5159" s="21"/>
    </row>
    <row r="5160">
      <c r="A5160" s="19">
        <v>17027.0</v>
      </c>
      <c r="B5160" s="19" t="s">
        <v>5146</v>
      </c>
      <c r="C5160" s="20">
        <v>17124.0</v>
      </c>
      <c r="D5160" s="19" t="str">
        <f t="shared" si="1"/>
        <v> </v>
      </c>
      <c r="E5160" s="19" t="str">
        <f t="shared" si="2"/>
        <v> </v>
      </c>
      <c r="F5160" s="21"/>
    </row>
    <row r="5161">
      <c r="A5161" s="19">
        <v>17028.0</v>
      </c>
      <c r="B5161" s="19" t="s">
        <v>5147</v>
      </c>
      <c r="C5161" s="20">
        <v>22485.0</v>
      </c>
      <c r="D5161" s="19" t="str">
        <f t="shared" si="1"/>
        <v> </v>
      </c>
      <c r="E5161" s="19" t="str">
        <f t="shared" si="2"/>
        <v> </v>
      </c>
      <c r="F5161" s="21"/>
    </row>
    <row r="5162">
      <c r="A5162" s="19">
        <v>17029.0</v>
      </c>
      <c r="B5162" s="19" t="s">
        <v>5148</v>
      </c>
      <c r="C5162" s="20">
        <v>14167.0</v>
      </c>
      <c r="D5162" s="19" t="str">
        <f t="shared" si="1"/>
        <v> </v>
      </c>
      <c r="E5162" s="19" t="str">
        <f t="shared" si="2"/>
        <v> </v>
      </c>
      <c r="F5162" s="21"/>
    </row>
    <row r="5163">
      <c r="A5163" s="19">
        <v>17030.0</v>
      </c>
      <c r="B5163" s="19" t="s">
        <v>5149</v>
      </c>
      <c r="C5163" s="20">
        <v>14120.0</v>
      </c>
      <c r="D5163" s="19" t="str">
        <f t="shared" si="1"/>
        <v> </v>
      </c>
      <c r="E5163" s="19" t="str">
        <f t="shared" si="2"/>
        <v> </v>
      </c>
      <c r="F5163" s="21"/>
    </row>
    <row r="5164">
      <c r="A5164" s="19">
        <v>17032.0</v>
      </c>
      <c r="B5164" s="19" t="s">
        <v>5150</v>
      </c>
      <c r="C5164" s="20">
        <v>26641.0</v>
      </c>
      <c r="D5164" s="19" t="str">
        <f t="shared" si="1"/>
        <v> </v>
      </c>
      <c r="E5164" s="19" t="str">
        <f t="shared" si="2"/>
        <v> </v>
      </c>
      <c r="F5164" s="21"/>
    </row>
    <row r="5165">
      <c r="A5165" s="19">
        <v>17033.0</v>
      </c>
      <c r="B5165" s="19" t="s">
        <v>5151</v>
      </c>
      <c r="C5165" s="20">
        <v>20774.0</v>
      </c>
      <c r="D5165" s="19" t="str">
        <f t="shared" si="1"/>
        <v> </v>
      </c>
      <c r="E5165" s="19" t="str">
        <f t="shared" si="2"/>
        <v> </v>
      </c>
      <c r="F5165" s="21"/>
    </row>
    <row r="5166">
      <c r="A5166" s="19">
        <v>17034.0</v>
      </c>
      <c r="B5166" s="19" t="s">
        <v>5152</v>
      </c>
      <c r="C5166" s="20">
        <v>22143.0</v>
      </c>
      <c r="D5166" s="19" t="str">
        <f t="shared" si="1"/>
        <v> </v>
      </c>
      <c r="E5166" s="19" t="str">
        <f t="shared" si="2"/>
        <v> </v>
      </c>
      <c r="F5166" s="21"/>
    </row>
    <row r="5167">
      <c r="A5167" s="19">
        <v>17422.0</v>
      </c>
      <c r="B5167" s="19" t="s">
        <v>5153</v>
      </c>
      <c r="C5167" s="20">
        <v>25496.0</v>
      </c>
      <c r="D5167" s="19" t="str">
        <f t="shared" si="1"/>
        <v> </v>
      </c>
      <c r="E5167" s="19" t="str">
        <f t="shared" si="2"/>
        <v> </v>
      </c>
      <c r="F5167" s="21"/>
    </row>
    <row r="5168">
      <c r="A5168" s="19">
        <v>17036.0</v>
      </c>
      <c r="B5168" s="19" t="s">
        <v>5154</v>
      </c>
      <c r="C5168" s="20">
        <v>19720.0</v>
      </c>
      <c r="D5168" s="19" t="str">
        <f t="shared" si="1"/>
        <v> </v>
      </c>
      <c r="E5168" s="19" t="str">
        <f t="shared" si="2"/>
        <v> </v>
      </c>
      <c r="F5168" s="21"/>
    </row>
    <row r="5169">
      <c r="A5169" s="19">
        <v>17038.0</v>
      </c>
      <c r="B5169" s="19" t="s">
        <v>5155</v>
      </c>
      <c r="C5169" s="20">
        <v>16355.0</v>
      </c>
      <c r="D5169" s="19" t="str">
        <f t="shared" si="1"/>
        <v> </v>
      </c>
      <c r="E5169" s="19" t="str">
        <f t="shared" si="2"/>
        <v> </v>
      </c>
      <c r="F5169" s="21"/>
    </row>
    <row r="5170">
      <c r="A5170" s="19">
        <v>17039.0</v>
      </c>
      <c r="B5170" s="19" t="s">
        <v>5156</v>
      </c>
      <c r="C5170" s="20">
        <v>22843.0</v>
      </c>
      <c r="D5170" s="19" t="str">
        <f t="shared" si="1"/>
        <v> </v>
      </c>
      <c r="E5170" s="19" t="str">
        <f t="shared" si="2"/>
        <v> </v>
      </c>
      <c r="F5170" s="21"/>
    </row>
    <row r="5171">
      <c r="A5171" s="19">
        <v>17040.0</v>
      </c>
      <c r="B5171" s="19" t="s">
        <v>5157</v>
      </c>
      <c r="C5171" s="20">
        <v>18883.0</v>
      </c>
      <c r="D5171" s="19" t="str">
        <f t="shared" si="1"/>
        <v> </v>
      </c>
      <c r="E5171" s="19" t="str">
        <f t="shared" si="2"/>
        <v> </v>
      </c>
      <c r="F5171" s="21"/>
    </row>
    <row r="5172">
      <c r="A5172" s="19">
        <v>17041.0</v>
      </c>
      <c r="B5172" s="19" t="s">
        <v>5158</v>
      </c>
      <c r="C5172" s="20">
        <v>32411.0</v>
      </c>
      <c r="D5172" s="19" t="str">
        <f t="shared" si="1"/>
        <v> </v>
      </c>
      <c r="E5172" s="19" t="str">
        <f t="shared" si="2"/>
        <v> </v>
      </c>
      <c r="F5172" s="21"/>
    </row>
    <row r="5173">
      <c r="A5173" s="19">
        <v>17042.0</v>
      </c>
      <c r="B5173" s="19" t="s">
        <v>5159</v>
      </c>
      <c r="C5173" s="20">
        <v>16764.0</v>
      </c>
      <c r="D5173" s="19" t="str">
        <f t="shared" si="1"/>
        <v> </v>
      </c>
      <c r="E5173" s="19" t="str">
        <f t="shared" si="2"/>
        <v> </v>
      </c>
      <c r="F5173" s="21"/>
    </row>
    <row r="5174">
      <c r="A5174" s="19">
        <v>17043.0</v>
      </c>
      <c r="B5174" s="19" t="s">
        <v>5160</v>
      </c>
      <c r="C5174" s="20">
        <v>28322.0</v>
      </c>
      <c r="D5174" s="19" t="str">
        <f t="shared" si="1"/>
        <v> </v>
      </c>
      <c r="E5174" s="19" t="str">
        <f t="shared" si="2"/>
        <v> </v>
      </c>
      <c r="F5174" s="21"/>
    </row>
    <row r="5175">
      <c r="A5175" s="19">
        <v>17044.0</v>
      </c>
      <c r="B5175" s="19" t="s">
        <v>5161</v>
      </c>
      <c r="C5175" s="20">
        <v>24728.0</v>
      </c>
      <c r="D5175" s="19" t="str">
        <f t="shared" si="1"/>
        <v> </v>
      </c>
      <c r="E5175" s="19" t="str">
        <f t="shared" si="2"/>
        <v> </v>
      </c>
      <c r="F5175" s="21"/>
    </row>
    <row r="5176">
      <c r="A5176" s="19">
        <v>17046.0</v>
      </c>
      <c r="B5176" s="19" t="s">
        <v>5162</v>
      </c>
      <c r="C5176" s="20">
        <v>30865.0</v>
      </c>
      <c r="D5176" s="19" t="str">
        <f t="shared" si="1"/>
        <v> </v>
      </c>
      <c r="E5176" s="19" t="str">
        <f t="shared" si="2"/>
        <v> </v>
      </c>
      <c r="F5176" s="21"/>
    </row>
    <row r="5177">
      <c r="A5177" s="19">
        <v>17047.0</v>
      </c>
      <c r="B5177" s="19" t="s">
        <v>5163</v>
      </c>
      <c r="C5177" s="20">
        <v>25021.0</v>
      </c>
      <c r="D5177" s="19" t="str">
        <f t="shared" si="1"/>
        <v> </v>
      </c>
      <c r="E5177" s="19" t="str">
        <f t="shared" si="2"/>
        <v> </v>
      </c>
      <c r="F5177" s="21"/>
    </row>
    <row r="5178">
      <c r="A5178" s="19">
        <v>17048.0</v>
      </c>
      <c r="B5178" s="19" t="s">
        <v>5164</v>
      </c>
      <c r="C5178" s="20">
        <v>35213.0</v>
      </c>
      <c r="D5178" s="19" t="str">
        <f t="shared" si="1"/>
        <v> </v>
      </c>
      <c r="E5178" s="19" t="str">
        <f t="shared" si="2"/>
        <v> </v>
      </c>
      <c r="F5178" s="21"/>
    </row>
    <row r="5179">
      <c r="A5179" s="19">
        <v>17049.0</v>
      </c>
      <c r="B5179" s="19" t="s">
        <v>5165</v>
      </c>
      <c r="C5179" s="20">
        <v>16647.0</v>
      </c>
      <c r="D5179" s="19" t="str">
        <f t="shared" si="1"/>
        <v> </v>
      </c>
      <c r="E5179" s="19" t="str">
        <f t="shared" si="2"/>
        <v> </v>
      </c>
      <c r="F5179" s="21"/>
    </row>
    <row r="5180">
      <c r="A5180" s="19">
        <v>17052.0</v>
      </c>
      <c r="B5180" s="19" t="s">
        <v>5166</v>
      </c>
      <c r="C5180" s="20">
        <v>18098.0</v>
      </c>
      <c r="D5180" s="19" t="str">
        <f t="shared" si="1"/>
        <v> </v>
      </c>
      <c r="E5180" s="19" t="str">
        <f t="shared" si="2"/>
        <v> </v>
      </c>
      <c r="F5180" s="21"/>
    </row>
    <row r="5181">
      <c r="A5181" s="19">
        <v>17053.0</v>
      </c>
      <c r="B5181" s="19" t="s">
        <v>5167</v>
      </c>
      <c r="C5181" s="20">
        <v>32858.0</v>
      </c>
      <c r="D5181" s="19" t="str">
        <f t="shared" si="1"/>
        <v> </v>
      </c>
      <c r="E5181" s="19" t="str">
        <f t="shared" si="2"/>
        <v> </v>
      </c>
      <c r="F5181" s="21"/>
    </row>
    <row r="5182">
      <c r="A5182" s="19">
        <v>16737.0</v>
      </c>
      <c r="B5182" s="19" t="s">
        <v>5168</v>
      </c>
      <c r="C5182" s="20">
        <v>28127.0</v>
      </c>
      <c r="D5182" s="19" t="str">
        <f t="shared" si="1"/>
        <v> </v>
      </c>
      <c r="E5182" s="19" t="str">
        <f t="shared" si="2"/>
        <v> </v>
      </c>
      <c r="F5182" s="21"/>
    </row>
    <row r="5183">
      <c r="A5183" s="19">
        <v>17055.0</v>
      </c>
      <c r="B5183" s="19" t="s">
        <v>5169</v>
      </c>
      <c r="C5183" s="20">
        <v>11289.0</v>
      </c>
      <c r="D5183" s="19" t="str">
        <f t="shared" si="1"/>
        <v> </v>
      </c>
      <c r="E5183" s="19" t="str">
        <f t="shared" si="2"/>
        <v> </v>
      </c>
      <c r="F5183" s="21"/>
    </row>
    <row r="5184">
      <c r="A5184" s="19">
        <v>17057.0</v>
      </c>
      <c r="B5184" s="19" t="s">
        <v>5170</v>
      </c>
      <c r="C5184" s="20">
        <v>15821.0</v>
      </c>
      <c r="D5184" s="19" t="str">
        <f t="shared" si="1"/>
        <v> </v>
      </c>
      <c r="E5184" s="19" t="str">
        <f t="shared" si="2"/>
        <v> </v>
      </c>
      <c r="F5184" s="21"/>
    </row>
    <row r="5185">
      <c r="A5185" s="19">
        <v>17058.0</v>
      </c>
      <c r="B5185" s="19" t="s">
        <v>5171</v>
      </c>
      <c r="C5185" s="20">
        <v>28766.0</v>
      </c>
      <c r="D5185" s="19" t="str">
        <f t="shared" si="1"/>
        <v> </v>
      </c>
      <c r="E5185" s="19" t="str">
        <f t="shared" si="2"/>
        <v> </v>
      </c>
      <c r="F5185" s="21"/>
    </row>
    <row r="5186">
      <c r="A5186" s="19">
        <v>17059.0</v>
      </c>
      <c r="B5186" s="19" t="s">
        <v>5172</v>
      </c>
      <c r="C5186" s="20">
        <v>25452.0</v>
      </c>
      <c r="D5186" s="19" t="str">
        <f t="shared" si="1"/>
        <v> </v>
      </c>
      <c r="E5186" s="19" t="str">
        <f t="shared" si="2"/>
        <v> </v>
      </c>
      <c r="F5186" s="21"/>
    </row>
    <row r="5187">
      <c r="A5187" s="19">
        <v>17060.0</v>
      </c>
      <c r="B5187" s="19" t="s">
        <v>5173</v>
      </c>
      <c r="C5187" s="20">
        <v>24734.0</v>
      </c>
      <c r="D5187" s="19" t="str">
        <f t="shared" si="1"/>
        <v> </v>
      </c>
      <c r="E5187" s="19" t="str">
        <f t="shared" si="2"/>
        <v> </v>
      </c>
      <c r="F5187" s="21"/>
    </row>
    <row r="5188">
      <c r="A5188" s="19">
        <v>17062.0</v>
      </c>
      <c r="B5188" s="19" t="s">
        <v>5174</v>
      </c>
      <c r="C5188" s="20">
        <v>28972.0</v>
      </c>
      <c r="D5188" s="19" t="str">
        <f t="shared" si="1"/>
        <v> </v>
      </c>
      <c r="E5188" s="19" t="str">
        <f t="shared" si="2"/>
        <v> </v>
      </c>
      <c r="F5188" s="21"/>
    </row>
    <row r="5189">
      <c r="A5189" s="19">
        <v>17064.0</v>
      </c>
      <c r="B5189" s="19" t="s">
        <v>5175</v>
      </c>
      <c r="C5189" s="20">
        <v>17700.0</v>
      </c>
      <c r="D5189" s="19" t="str">
        <f t="shared" si="1"/>
        <v> </v>
      </c>
      <c r="E5189" s="19" t="str">
        <f t="shared" si="2"/>
        <v> </v>
      </c>
      <c r="F5189" s="21"/>
    </row>
    <row r="5190">
      <c r="A5190" s="19">
        <v>17066.0</v>
      </c>
      <c r="B5190" s="19" t="s">
        <v>5176</v>
      </c>
      <c r="C5190" s="20">
        <v>16544.0</v>
      </c>
      <c r="D5190" s="19" t="str">
        <f t="shared" si="1"/>
        <v> </v>
      </c>
      <c r="E5190" s="19" t="str">
        <f t="shared" si="2"/>
        <v> </v>
      </c>
      <c r="F5190" s="21"/>
    </row>
    <row r="5191">
      <c r="A5191" s="19">
        <v>17067.0</v>
      </c>
      <c r="B5191" s="19" t="s">
        <v>5177</v>
      </c>
      <c r="C5191" s="20">
        <v>33823.0</v>
      </c>
      <c r="D5191" s="19" t="str">
        <f t="shared" si="1"/>
        <v> </v>
      </c>
      <c r="E5191" s="19" t="str">
        <f t="shared" si="2"/>
        <v> </v>
      </c>
      <c r="F5191" s="21"/>
    </row>
    <row r="5192">
      <c r="A5192" s="19">
        <v>17068.0</v>
      </c>
      <c r="B5192" s="19" t="s">
        <v>5178</v>
      </c>
      <c r="C5192" s="20">
        <v>22674.0</v>
      </c>
      <c r="D5192" s="19" t="str">
        <f t="shared" si="1"/>
        <v> </v>
      </c>
      <c r="E5192" s="19" t="str">
        <f t="shared" si="2"/>
        <v> </v>
      </c>
      <c r="F5192" s="21"/>
    </row>
    <row r="5193">
      <c r="A5193" s="19">
        <v>17069.0</v>
      </c>
      <c r="B5193" s="19" t="s">
        <v>5179</v>
      </c>
      <c r="C5193" s="20">
        <v>25720.0</v>
      </c>
      <c r="D5193" s="19" t="str">
        <f t="shared" si="1"/>
        <v> </v>
      </c>
      <c r="E5193" s="19" t="str">
        <f t="shared" si="2"/>
        <v> </v>
      </c>
      <c r="F5193" s="21"/>
    </row>
    <row r="5194">
      <c r="A5194" s="19">
        <v>17070.0</v>
      </c>
      <c r="B5194" s="19" t="s">
        <v>5180</v>
      </c>
      <c r="C5194" s="20">
        <v>21561.0</v>
      </c>
      <c r="D5194" s="19" t="str">
        <f t="shared" si="1"/>
        <v> </v>
      </c>
      <c r="E5194" s="19" t="str">
        <f t="shared" si="2"/>
        <v> </v>
      </c>
      <c r="F5194" s="21"/>
    </row>
    <row r="5195">
      <c r="A5195" s="19">
        <v>17071.0</v>
      </c>
      <c r="B5195" s="19" t="s">
        <v>5181</v>
      </c>
      <c r="C5195" s="20">
        <v>20042.0</v>
      </c>
      <c r="D5195" s="19" t="str">
        <f t="shared" si="1"/>
        <v> </v>
      </c>
      <c r="E5195" s="19" t="str">
        <f t="shared" si="2"/>
        <v> </v>
      </c>
      <c r="F5195" s="21"/>
    </row>
    <row r="5196">
      <c r="A5196" s="19">
        <v>17072.0</v>
      </c>
      <c r="B5196" s="19" t="s">
        <v>5182</v>
      </c>
      <c r="C5196" s="20">
        <v>27779.0</v>
      </c>
      <c r="D5196" s="19" t="str">
        <f t="shared" si="1"/>
        <v> </v>
      </c>
      <c r="E5196" s="19" t="str">
        <f t="shared" si="2"/>
        <v> </v>
      </c>
      <c r="F5196" s="21"/>
    </row>
    <row r="5197">
      <c r="A5197" s="19">
        <v>17074.0</v>
      </c>
      <c r="B5197" s="19" t="s">
        <v>5183</v>
      </c>
      <c r="C5197" s="20">
        <v>19946.0</v>
      </c>
      <c r="D5197" s="19" t="str">
        <f t="shared" si="1"/>
        <v> </v>
      </c>
      <c r="E5197" s="19" t="str">
        <f t="shared" si="2"/>
        <v> </v>
      </c>
      <c r="F5197" s="21"/>
    </row>
    <row r="5198">
      <c r="A5198" s="19">
        <v>17075.0</v>
      </c>
      <c r="B5198" s="19" t="s">
        <v>5184</v>
      </c>
      <c r="C5198" s="20">
        <v>34288.0</v>
      </c>
      <c r="D5198" s="19" t="str">
        <f t="shared" si="1"/>
        <v> </v>
      </c>
      <c r="E5198" s="19" t="str">
        <f t="shared" si="2"/>
        <v> </v>
      </c>
      <c r="F5198" s="21"/>
    </row>
    <row r="5199">
      <c r="A5199" s="19">
        <v>17076.0</v>
      </c>
      <c r="B5199" s="19" t="s">
        <v>5185</v>
      </c>
      <c r="C5199" s="20">
        <v>25317.0</v>
      </c>
      <c r="D5199" s="19" t="str">
        <f t="shared" si="1"/>
        <v> </v>
      </c>
      <c r="E5199" s="19" t="str">
        <f t="shared" si="2"/>
        <v> </v>
      </c>
      <c r="F5199" s="21"/>
    </row>
    <row r="5200">
      <c r="A5200" s="19">
        <v>17078.0</v>
      </c>
      <c r="B5200" s="19" t="s">
        <v>5186</v>
      </c>
      <c r="C5200" s="20">
        <v>15795.0</v>
      </c>
      <c r="D5200" s="19" t="str">
        <f t="shared" si="1"/>
        <v> </v>
      </c>
      <c r="E5200" s="19" t="str">
        <f t="shared" si="2"/>
        <v> </v>
      </c>
      <c r="F5200" s="21"/>
    </row>
    <row r="5201">
      <c r="A5201" s="19">
        <v>17079.0</v>
      </c>
      <c r="B5201" s="19" t="s">
        <v>5187</v>
      </c>
      <c r="C5201" s="20">
        <v>28191.0</v>
      </c>
      <c r="D5201" s="19" t="str">
        <f t="shared" si="1"/>
        <v> </v>
      </c>
      <c r="E5201" s="19" t="str">
        <f t="shared" si="2"/>
        <v> </v>
      </c>
      <c r="F5201" s="21"/>
    </row>
    <row r="5202">
      <c r="A5202" s="19">
        <v>17080.0</v>
      </c>
      <c r="B5202" s="19" t="s">
        <v>5188</v>
      </c>
      <c r="C5202" s="20">
        <v>25813.0</v>
      </c>
      <c r="D5202" s="19" t="str">
        <f t="shared" si="1"/>
        <v> </v>
      </c>
      <c r="E5202" s="19" t="str">
        <f t="shared" si="2"/>
        <v> </v>
      </c>
      <c r="F5202" s="21"/>
    </row>
    <row r="5203">
      <c r="A5203" s="19">
        <v>17081.0</v>
      </c>
      <c r="B5203" s="19" t="s">
        <v>5189</v>
      </c>
      <c r="C5203" s="20">
        <v>14389.0</v>
      </c>
      <c r="D5203" s="19" t="str">
        <f t="shared" si="1"/>
        <v> </v>
      </c>
      <c r="E5203" s="19" t="str">
        <f t="shared" si="2"/>
        <v> </v>
      </c>
      <c r="F5203" s="21"/>
    </row>
    <row r="5204">
      <c r="A5204" s="19">
        <v>17082.0</v>
      </c>
      <c r="B5204" s="19" t="s">
        <v>5190</v>
      </c>
      <c r="C5204" s="20">
        <v>15255.0</v>
      </c>
      <c r="D5204" s="19" t="str">
        <f t="shared" si="1"/>
        <v> </v>
      </c>
      <c r="E5204" s="19" t="str">
        <f t="shared" si="2"/>
        <v> </v>
      </c>
      <c r="F5204" s="21"/>
    </row>
    <row r="5205">
      <c r="A5205" s="19">
        <v>17083.0</v>
      </c>
      <c r="B5205" s="19" t="s">
        <v>5191</v>
      </c>
      <c r="C5205" s="20">
        <v>19218.0</v>
      </c>
      <c r="D5205" s="19" t="str">
        <f t="shared" si="1"/>
        <v> </v>
      </c>
      <c r="E5205" s="19" t="str">
        <f t="shared" si="2"/>
        <v> </v>
      </c>
      <c r="F5205" s="21"/>
    </row>
    <row r="5206">
      <c r="A5206" s="19">
        <v>17085.0</v>
      </c>
      <c r="B5206" s="19" t="s">
        <v>5192</v>
      </c>
      <c r="C5206" s="20">
        <v>25274.0</v>
      </c>
      <c r="D5206" s="19" t="str">
        <f t="shared" si="1"/>
        <v> </v>
      </c>
      <c r="E5206" s="19" t="str">
        <f t="shared" si="2"/>
        <v> </v>
      </c>
      <c r="F5206" s="21"/>
    </row>
    <row r="5207">
      <c r="A5207" s="19">
        <v>17086.0</v>
      </c>
      <c r="B5207" s="19" t="s">
        <v>5193</v>
      </c>
      <c r="C5207" s="20">
        <v>27296.0</v>
      </c>
      <c r="D5207" s="19" t="str">
        <f t="shared" si="1"/>
        <v> </v>
      </c>
      <c r="E5207" s="19" t="str">
        <f t="shared" si="2"/>
        <v> </v>
      </c>
      <c r="F5207" s="21"/>
    </row>
    <row r="5208">
      <c r="A5208" s="19">
        <v>15508.0</v>
      </c>
      <c r="B5208" s="19" t="s">
        <v>5194</v>
      </c>
      <c r="C5208" s="20">
        <v>25256.0</v>
      </c>
      <c r="D5208" s="19" t="str">
        <f t="shared" si="1"/>
        <v> </v>
      </c>
      <c r="E5208" s="19" t="str">
        <f t="shared" si="2"/>
        <v> </v>
      </c>
      <c r="F5208" s="21"/>
    </row>
    <row r="5209">
      <c r="A5209" s="19">
        <v>17089.0</v>
      </c>
      <c r="B5209" s="19" t="s">
        <v>5195</v>
      </c>
      <c r="C5209" s="20">
        <v>18082.0</v>
      </c>
      <c r="D5209" s="19" t="str">
        <f t="shared" si="1"/>
        <v> </v>
      </c>
      <c r="E5209" s="19" t="str">
        <f t="shared" si="2"/>
        <v> </v>
      </c>
      <c r="F5209" s="21"/>
    </row>
    <row r="5210">
      <c r="A5210" s="19">
        <v>17091.0</v>
      </c>
      <c r="B5210" s="19" t="s">
        <v>5196</v>
      </c>
      <c r="C5210" s="20">
        <v>26715.0</v>
      </c>
      <c r="D5210" s="19" t="str">
        <f t="shared" si="1"/>
        <v> </v>
      </c>
      <c r="E5210" s="19" t="str">
        <f t="shared" si="2"/>
        <v> </v>
      </c>
      <c r="F5210" s="21"/>
    </row>
    <row r="5211">
      <c r="A5211" s="19">
        <v>17092.0</v>
      </c>
      <c r="B5211" s="19" t="s">
        <v>5197</v>
      </c>
      <c r="C5211" s="20">
        <v>21671.0</v>
      </c>
      <c r="D5211" s="19" t="str">
        <f t="shared" si="1"/>
        <v> </v>
      </c>
      <c r="E5211" s="19" t="str">
        <f t="shared" si="2"/>
        <v> </v>
      </c>
      <c r="F5211" s="21"/>
    </row>
    <row r="5212">
      <c r="A5212" s="19">
        <v>17093.0</v>
      </c>
      <c r="B5212" s="19" t="s">
        <v>5198</v>
      </c>
      <c r="C5212" s="20">
        <v>23334.0</v>
      </c>
      <c r="D5212" s="19" t="str">
        <f t="shared" si="1"/>
        <v> </v>
      </c>
      <c r="E5212" s="19" t="str">
        <f t="shared" si="2"/>
        <v> </v>
      </c>
      <c r="F5212" s="21"/>
    </row>
    <row r="5213">
      <c r="A5213" s="19">
        <v>17094.0</v>
      </c>
      <c r="B5213" s="19" t="s">
        <v>5199</v>
      </c>
      <c r="C5213" s="20">
        <v>19645.0</v>
      </c>
      <c r="D5213" s="19" t="str">
        <f t="shared" si="1"/>
        <v> </v>
      </c>
      <c r="E5213" s="19" t="str">
        <f t="shared" si="2"/>
        <v> </v>
      </c>
      <c r="F5213" s="21"/>
    </row>
    <row r="5214">
      <c r="A5214" s="19">
        <v>17095.0</v>
      </c>
      <c r="B5214" s="19" t="s">
        <v>5200</v>
      </c>
      <c r="C5214" s="20">
        <v>16812.0</v>
      </c>
      <c r="D5214" s="19" t="str">
        <f t="shared" si="1"/>
        <v> </v>
      </c>
      <c r="E5214" s="19" t="str">
        <f t="shared" si="2"/>
        <v> </v>
      </c>
      <c r="F5214" s="21"/>
    </row>
    <row r="5215">
      <c r="A5215" s="19">
        <v>17096.0</v>
      </c>
      <c r="B5215" s="19" t="s">
        <v>5201</v>
      </c>
      <c r="C5215" s="20">
        <v>14240.0</v>
      </c>
      <c r="D5215" s="19" t="str">
        <f t="shared" si="1"/>
        <v> </v>
      </c>
      <c r="E5215" s="19" t="str">
        <f t="shared" si="2"/>
        <v> </v>
      </c>
      <c r="F5215" s="21"/>
    </row>
    <row r="5216">
      <c r="A5216" s="19">
        <v>17097.0</v>
      </c>
      <c r="B5216" s="19" t="s">
        <v>5202</v>
      </c>
      <c r="C5216" s="20">
        <v>20197.0</v>
      </c>
      <c r="D5216" s="19" t="str">
        <f t="shared" si="1"/>
        <v> </v>
      </c>
      <c r="E5216" s="19" t="str">
        <f t="shared" si="2"/>
        <v> </v>
      </c>
      <c r="F5216" s="21"/>
    </row>
    <row r="5217">
      <c r="A5217" s="19">
        <v>17098.0</v>
      </c>
      <c r="B5217" s="19" t="s">
        <v>5203</v>
      </c>
      <c r="C5217" s="20">
        <v>10771.0</v>
      </c>
      <c r="D5217" s="19" t="str">
        <f t="shared" si="1"/>
        <v>Repeat</v>
      </c>
      <c r="E5217" s="19" t="str">
        <f t="shared" si="2"/>
        <v>Repeat</v>
      </c>
      <c r="F5217" s="21"/>
    </row>
    <row r="5218">
      <c r="A5218" s="19">
        <v>17099.0</v>
      </c>
      <c r="B5218" s="19" t="s">
        <v>5204</v>
      </c>
      <c r="C5218" s="20">
        <v>19994.0</v>
      </c>
      <c r="D5218" s="19" t="str">
        <f t="shared" si="1"/>
        <v> </v>
      </c>
      <c r="E5218" s="19" t="str">
        <f t="shared" si="2"/>
        <v> </v>
      </c>
      <c r="F5218" s="21"/>
    </row>
    <row r="5219">
      <c r="A5219" s="19">
        <v>17100.0</v>
      </c>
      <c r="B5219" s="19" t="s">
        <v>5205</v>
      </c>
      <c r="C5219" s="20">
        <v>20993.0</v>
      </c>
      <c r="D5219" s="19" t="str">
        <f t="shared" si="1"/>
        <v> </v>
      </c>
      <c r="E5219" s="19" t="str">
        <f t="shared" si="2"/>
        <v> </v>
      </c>
      <c r="F5219" s="21"/>
    </row>
    <row r="5220">
      <c r="A5220" s="19">
        <v>17101.0</v>
      </c>
      <c r="B5220" s="19" t="s">
        <v>5206</v>
      </c>
      <c r="C5220" s="20">
        <v>25821.0</v>
      </c>
      <c r="D5220" s="19" t="str">
        <f t="shared" si="1"/>
        <v> </v>
      </c>
      <c r="E5220" s="19" t="str">
        <f t="shared" si="2"/>
        <v> </v>
      </c>
      <c r="F5220" s="21"/>
    </row>
    <row r="5221">
      <c r="A5221" s="19">
        <v>17102.0</v>
      </c>
      <c r="B5221" s="19" t="s">
        <v>5207</v>
      </c>
      <c r="C5221" s="20">
        <v>21299.0</v>
      </c>
      <c r="D5221" s="19" t="str">
        <f t="shared" si="1"/>
        <v> </v>
      </c>
      <c r="E5221" s="19" t="str">
        <f t="shared" si="2"/>
        <v> </v>
      </c>
      <c r="F5221" s="21"/>
    </row>
    <row r="5222">
      <c r="A5222" s="19">
        <v>17103.0</v>
      </c>
      <c r="B5222" s="19" t="s">
        <v>1937</v>
      </c>
      <c r="C5222" s="20">
        <v>24852.0</v>
      </c>
      <c r="D5222" s="19" t="str">
        <f t="shared" si="1"/>
        <v>Repeat</v>
      </c>
      <c r="E5222" s="19" t="str">
        <f t="shared" si="2"/>
        <v> </v>
      </c>
      <c r="F5222" s="21"/>
    </row>
    <row r="5223">
      <c r="A5223" s="19">
        <v>17104.0</v>
      </c>
      <c r="B5223" s="19" t="s">
        <v>5208</v>
      </c>
      <c r="C5223" s="20">
        <v>29278.0</v>
      </c>
      <c r="D5223" s="19" t="str">
        <f t="shared" si="1"/>
        <v> </v>
      </c>
      <c r="E5223" s="19" t="str">
        <f t="shared" si="2"/>
        <v> </v>
      </c>
      <c r="F5223" s="21"/>
    </row>
    <row r="5224">
      <c r="A5224" s="19">
        <v>17105.0</v>
      </c>
      <c r="B5224" s="19" t="s">
        <v>5209</v>
      </c>
      <c r="C5224" s="20">
        <v>25263.0</v>
      </c>
      <c r="D5224" s="19" t="str">
        <f t="shared" si="1"/>
        <v> </v>
      </c>
      <c r="E5224" s="19" t="str">
        <f t="shared" si="2"/>
        <v> </v>
      </c>
      <c r="F5224" s="21"/>
    </row>
    <row r="5225">
      <c r="A5225" s="19">
        <v>17106.0</v>
      </c>
      <c r="B5225" s="19" t="s">
        <v>5210</v>
      </c>
      <c r="C5225" s="20">
        <v>11696.0</v>
      </c>
      <c r="D5225" s="19" t="str">
        <f t="shared" si="1"/>
        <v> </v>
      </c>
      <c r="E5225" s="19" t="str">
        <f t="shared" si="2"/>
        <v>Repeat</v>
      </c>
      <c r="F5225" s="21"/>
    </row>
    <row r="5226">
      <c r="A5226" s="19">
        <v>17107.0</v>
      </c>
      <c r="B5226" s="19" t="s">
        <v>5211</v>
      </c>
      <c r="C5226" s="20">
        <v>33141.0</v>
      </c>
      <c r="D5226" s="19" t="str">
        <f t="shared" si="1"/>
        <v> </v>
      </c>
      <c r="E5226" s="19" t="str">
        <f t="shared" si="2"/>
        <v> </v>
      </c>
      <c r="F5226" s="21"/>
    </row>
    <row r="5227">
      <c r="A5227" s="19">
        <v>17108.0</v>
      </c>
      <c r="B5227" s="19" t="s">
        <v>5212</v>
      </c>
      <c r="C5227" s="20">
        <v>27178.0</v>
      </c>
      <c r="D5227" s="19" t="str">
        <f t="shared" si="1"/>
        <v> </v>
      </c>
      <c r="E5227" s="19" t="str">
        <f t="shared" si="2"/>
        <v> </v>
      </c>
      <c r="F5227" s="21"/>
    </row>
    <row r="5228">
      <c r="A5228" s="19">
        <v>17109.0</v>
      </c>
      <c r="B5228" s="19" t="s">
        <v>5213</v>
      </c>
      <c r="C5228" s="20">
        <v>24191.0</v>
      </c>
      <c r="D5228" s="19" t="str">
        <f t="shared" si="1"/>
        <v> </v>
      </c>
      <c r="E5228" s="19" t="str">
        <f t="shared" si="2"/>
        <v> </v>
      </c>
      <c r="F5228" s="21"/>
    </row>
    <row r="5229">
      <c r="A5229" s="19">
        <v>17110.0</v>
      </c>
      <c r="B5229" s="19" t="s">
        <v>5214</v>
      </c>
      <c r="C5229" s="20">
        <v>20387.0</v>
      </c>
      <c r="D5229" s="19" t="str">
        <f t="shared" si="1"/>
        <v> </v>
      </c>
      <c r="E5229" s="19" t="str">
        <f t="shared" si="2"/>
        <v> </v>
      </c>
      <c r="F5229" s="21"/>
    </row>
    <row r="5230">
      <c r="A5230" s="19">
        <v>17111.0</v>
      </c>
      <c r="B5230" s="19" t="s">
        <v>5215</v>
      </c>
      <c r="C5230" s="20">
        <v>35171.0</v>
      </c>
      <c r="D5230" s="19" t="str">
        <f t="shared" si="1"/>
        <v> </v>
      </c>
      <c r="E5230" s="19" t="str">
        <f t="shared" si="2"/>
        <v> </v>
      </c>
      <c r="F5230" s="21"/>
    </row>
    <row r="5231">
      <c r="A5231" s="19">
        <v>17112.0</v>
      </c>
      <c r="B5231" s="19" t="s">
        <v>5216</v>
      </c>
      <c r="C5231" s="20">
        <v>30598.0</v>
      </c>
      <c r="D5231" s="19" t="str">
        <f t="shared" si="1"/>
        <v> </v>
      </c>
      <c r="E5231" s="19" t="str">
        <f t="shared" si="2"/>
        <v> </v>
      </c>
      <c r="F5231" s="21"/>
    </row>
    <row r="5232">
      <c r="A5232" s="19">
        <v>17114.0</v>
      </c>
      <c r="B5232" s="19" t="s">
        <v>5217</v>
      </c>
      <c r="C5232" s="20">
        <v>18389.0</v>
      </c>
      <c r="D5232" s="19" t="str">
        <f t="shared" si="1"/>
        <v> </v>
      </c>
      <c r="E5232" s="19" t="str">
        <f t="shared" si="2"/>
        <v> </v>
      </c>
      <c r="F5232" s="21"/>
    </row>
    <row r="5233">
      <c r="A5233" s="19">
        <v>17115.0</v>
      </c>
      <c r="B5233" s="19" t="s">
        <v>5218</v>
      </c>
      <c r="C5233" s="20">
        <v>22351.0</v>
      </c>
      <c r="D5233" s="19" t="str">
        <f t="shared" si="1"/>
        <v> </v>
      </c>
      <c r="E5233" s="19" t="str">
        <f t="shared" si="2"/>
        <v> </v>
      </c>
      <c r="F5233" s="21"/>
    </row>
    <row r="5234">
      <c r="A5234" s="19">
        <v>17116.0</v>
      </c>
      <c r="B5234" s="19" t="s">
        <v>5219</v>
      </c>
      <c r="C5234" s="20">
        <v>32878.0</v>
      </c>
      <c r="D5234" s="19" t="str">
        <f t="shared" si="1"/>
        <v> </v>
      </c>
      <c r="E5234" s="19" t="str">
        <f t="shared" si="2"/>
        <v> </v>
      </c>
      <c r="F5234" s="21"/>
    </row>
    <row r="5235">
      <c r="A5235" s="19">
        <v>17117.0</v>
      </c>
      <c r="B5235" s="19" t="s">
        <v>5220</v>
      </c>
      <c r="C5235" s="20">
        <v>18876.0</v>
      </c>
      <c r="D5235" s="19" t="str">
        <f t="shared" si="1"/>
        <v> </v>
      </c>
      <c r="E5235" s="19" t="str">
        <f t="shared" si="2"/>
        <v> </v>
      </c>
      <c r="F5235" s="21"/>
    </row>
    <row r="5236">
      <c r="A5236" s="19">
        <v>17118.0</v>
      </c>
      <c r="B5236" s="19" t="s">
        <v>5221</v>
      </c>
      <c r="C5236" s="20">
        <v>25241.0</v>
      </c>
      <c r="D5236" s="19" t="str">
        <f t="shared" si="1"/>
        <v> </v>
      </c>
      <c r="E5236" s="19" t="str">
        <f t="shared" si="2"/>
        <v> </v>
      </c>
      <c r="F5236" s="21"/>
    </row>
    <row r="5237">
      <c r="A5237" s="19">
        <v>17119.0</v>
      </c>
      <c r="B5237" s="19" t="s">
        <v>5222</v>
      </c>
      <c r="C5237" s="20">
        <v>22189.0</v>
      </c>
      <c r="D5237" s="19" t="str">
        <f t="shared" si="1"/>
        <v> </v>
      </c>
      <c r="E5237" s="19" t="str">
        <f t="shared" si="2"/>
        <v>Repeat</v>
      </c>
      <c r="F5237" s="21"/>
    </row>
    <row r="5238">
      <c r="A5238" s="19">
        <v>17120.0</v>
      </c>
      <c r="B5238" s="19" t="s">
        <v>5223</v>
      </c>
      <c r="C5238" s="20">
        <v>15240.0</v>
      </c>
      <c r="D5238" s="19" t="str">
        <f t="shared" si="1"/>
        <v> </v>
      </c>
      <c r="E5238" s="19" t="str">
        <f t="shared" si="2"/>
        <v> </v>
      </c>
      <c r="F5238" s="21"/>
    </row>
    <row r="5239">
      <c r="A5239" s="19">
        <v>17121.0</v>
      </c>
      <c r="B5239" s="19" t="s">
        <v>5224</v>
      </c>
      <c r="C5239" s="20">
        <v>10085.0</v>
      </c>
      <c r="D5239" s="19" t="str">
        <f t="shared" si="1"/>
        <v> </v>
      </c>
      <c r="E5239" s="19" t="str">
        <f t="shared" si="2"/>
        <v> </v>
      </c>
      <c r="F5239" s="21"/>
    </row>
    <row r="5240">
      <c r="A5240" s="19">
        <v>17123.0</v>
      </c>
      <c r="B5240" s="19" t="s">
        <v>5225</v>
      </c>
      <c r="C5240" s="20">
        <v>20047.0</v>
      </c>
      <c r="D5240" s="19" t="str">
        <f t="shared" si="1"/>
        <v> </v>
      </c>
      <c r="E5240" s="19" t="str">
        <f t="shared" si="2"/>
        <v> </v>
      </c>
      <c r="F5240" s="21"/>
    </row>
    <row r="5241">
      <c r="A5241" s="19">
        <v>17125.0</v>
      </c>
      <c r="B5241" s="19" t="s">
        <v>5226</v>
      </c>
      <c r="C5241" s="20">
        <v>17554.0</v>
      </c>
      <c r="D5241" s="19" t="str">
        <f t="shared" si="1"/>
        <v> </v>
      </c>
      <c r="E5241" s="19" t="str">
        <f t="shared" si="2"/>
        <v> </v>
      </c>
      <c r="F5241" s="21"/>
    </row>
    <row r="5242">
      <c r="A5242" s="19">
        <v>17126.0</v>
      </c>
      <c r="B5242" s="19" t="s">
        <v>5227</v>
      </c>
      <c r="C5242" s="20">
        <v>14466.0</v>
      </c>
      <c r="D5242" s="19" t="str">
        <f t="shared" si="1"/>
        <v> </v>
      </c>
      <c r="E5242" s="19" t="str">
        <f t="shared" si="2"/>
        <v> </v>
      </c>
      <c r="F5242" s="21"/>
    </row>
    <row r="5243">
      <c r="A5243" s="19">
        <v>17127.0</v>
      </c>
      <c r="B5243" s="19" t="s">
        <v>5228</v>
      </c>
      <c r="C5243" s="20">
        <v>20178.0</v>
      </c>
      <c r="D5243" s="19" t="str">
        <f t="shared" si="1"/>
        <v> </v>
      </c>
      <c r="E5243" s="19" t="str">
        <f t="shared" si="2"/>
        <v> </v>
      </c>
      <c r="F5243" s="21"/>
    </row>
    <row r="5244">
      <c r="A5244" s="19">
        <v>17128.0</v>
      </c>
      <c r="B5244" s="19" t="s">
        <v>5229</v>
      </c>
      <c r="C5244" s="20">
        <v>20854.0</v>
      </c>
      <c r="D5244" s="19" t="str">
        <f t="shared" si="1"/>
        <v> </v>
      </c>
      <c r="E5244" s="19" t="str">
        <f t="shared" si="2"/>
        <v> </v>
      </c>
      <c r="F5244" s="21"/>
    </row>
    <row r="5245">
      <c r="A5245" s="19">
        <v>17129.0</v>
      </c>
      <c r="B5245" s="19" t="s">
        <v>5230</v>
      </c>
      <c r="C5245" s="20">
        <v>37263.0</v>
      </c>
      <c r="D5245" s="19" t="str">
        <f t="shared" si="1"/>
        <v> </v>
      </c>
      <c r="E5245" s="19" t="str">
        <f t="shared" si="2"/>
        <v> </v>
      </c>
      <c r="F5245" s="21"/>
    </row>
    <row r="5246">
      <c r="A5246" s="19">
        <v>17132.0</v>
      </c>
      <c r="B5246" s="19" t="s">
        <v>5231</v>
      </c>
      <c r="C5246" s="20">
        <v>20001.0</v>
      </c>
      <c r="D5246" s="19" t="str">
        <f t="shared" si="1"/>
        <v> </v>
      </c>
      <c r="E5246" s="19" t="str">
        <f t="shared" si="2"/>
        <v> </v>
      </c>
      <c r="F5246" s="21"/>
    </row>
    <row r="5247">
      <c r="A5247" s="19">
        <v>17133.0</v>
      </c>
      <c r="B5247" s="19" t="s">
        <v>5232</v>
      </c>
      <c r="C5247" s="20">
        <v>17711.0</v>
      </c>
      <c r="D5247" s="19" t="str">
        <f t="shared" si="1"/>
        <v> </v>
      </c>
      <c r="E5247" s="19" t="str">
        <f t="shared" si="2"/>
        <v> </v>
      </c>
      <c r="F5247" s="21"/>
    </row>
    <row r="5248">
      <c r="A5248" s="19">
        <v>17134.0</v>
      </c>
      <c r="B5248" s="19" t="s">
        <v>5233</v>
      </c>
      <c r="C5248" s="20">
        <v>11819.0</v>
      </c>
      <c r="D5248" s="19" t="str">
        <f t="shared" si="1"/>
        <v> </v>
      </c>
      <c r="E5248" s="19" t="str">
        <f t="shared" si="2"/>
        <v> </v>
      </c>
      <c r="F5248" s="21"/>
    </row>
    <row r="5249">
      <c r="A5249" s="19">
        <v>17135.0</v>
      </c>
      <c r="B5249" s="19" t="s">
        <v>5234</v>
      </c>
      <c r="C5249" s="20">
        <v>7991.0</v>
      </c>
      <c r="D5249" s="19" t="str">
        <f t="shared" si="1"/>
        <v> </v>
      </c>
      <c r="E5249" s="19" t="str">
        <f t="shared" si="2"/>
        <v> </v>
      </c>
      <c r="F5249" s="21"/>
    </row>
    <row r="5250">
      <c r="A5250" s="19">
        <v>17136.0</v>
      </c>
      <c r="B5250" s="19" t="s">
        <v>5235</v>
      </c>
      <c r="C5250" s="20">
        <v>28830.0</v>
      </c>
      <c r="D5250" s="19" t="str">
        <f t="shared" si="1"/>
        <v> </v>
      </c>
      <c r="E5250" s="19" t="str">
        <f t="shared" si="2"/>
        <v> </v>
      </c>
      <c r="F5250" s="21"/>
    </row>
    <row r="5251">
      <c r="A5251" s="19">
        <v>17137.0</v>
      </c>
      <c r="B5251" s="19" t="s">
        <v>5236</v>
      </c>
      <c r="C5251" s="20">
        <v>22217.0</v>
      </c>
      <c r="D5251" s="19" t="str">
        <f t="shared" si="1"/>
        <v> </v>
      </c>
      <c r="E5251" s="19" t="str">
        <f t="shared" si="2"/>
        <v> </v>
      </c>
      <c r="F5251" s="21"/>
    </row>
    <row r="5252">
      <c r="A5252" s="19">
        <v>17139.0</v>
      </c>
      <c r="B5252" s="19" t="s">
        <v>5237</v>
      </c>
      <c r="C5252" s="20">
        <v>15964.0</v>
      </c>
      <c r="D5252" s="19" t="str">
        <f t="shared" si="1"/>
        <v> </v>
      </c>
      <c r="E5252" s="19" t="str">
        <f t="shared" si="2"/>
        <v> </v>
      </c>
      <c r="F5252" s="21"/>
    </row>
    <row r="5253">
      <c r="A5253" s="19">
        <v>17140.0</v>
      </c>
      <c r="B5253" s="19" t="s">
        <v>5238</v>
      </c>
      <c r="C5253" s="20">
        <v>32116.0</v>
      </c>
      <c r="D5253" s="19" t="str">
        <f t="shared" si="1"/>
        <v> </v>
      </c>
      <c r="E5253" s="19" t="str">
        <f t="shared" si="2"/>
        <v> </v>
      </c>
      <c r="F5253" s="21"/>
    </row>
    <row r="5254">
      <c r="A5254" s="19">
        <v>17141.0</v>
      </c>
      <c r="B5254" s="19" t="s">
        <v>5239</v>
      </c>
      <c r="C5254" s="20">
        <v>12984.0</v>
      </c>
      <c r="D5254" s="19" t="str">
        <f t="shared" si="1"/>
        <v> </v>
      </c>
      <c r="E5254" s="19" t="str">
        <f t="shared" si="2"/>
        <v> </v>
      </c>
      <c r="F5254" s="21"/>
    </row>
    <row r="5255">
      <c r="A5255" s="19">
        <v>17142.0</v>
      </c>
      <c r="B5255" s="19" t="s">
        <v>5240</v>
      </c>
      <c r="C5255" s="20">
        <v>30104.0</v>
      </c>
      <c r="D5255" s="19" t="str">
        <f t="shared" si="1"/>
        <v> </v>
      </c>
      <c r="E5255" s="19" t="str">
        <f t="shared" si="2"/>
        <v> </v>
      </c>
      <c r="F5255" s="21"/>
    </row>
    <row r="5256">
      <c r="A5256" s="19">
        <v>17143.0</v>
      </c>
      <c r="B5256" s="19" t="s">
        <v>5241</v>
      </c>
      <c r="C5256" s="20">
        <v>23907.0</v>
      </c>
      <c r="D5256" s="19" t="str">
        <f t="shared" si="1"/>
        <v> </v>
      </c>
      <c r="E5256" s="19" t="str">
        <f t="shared" si="2"/>
        <v> </v>
      </c>
      <c r="F5256" s="21"/>
    </row>
    <row r="5257">
      <c r="A5257" s="19">
        <v>17144.0</v>
      </c>
      <c r="B5257" s="19" t="s">
        <v>5242</v>
      </c>
      <c r="C5257" s="20">
        <v>28295.0</v>
      </c>
      <c r="D5257" s="19" t="str">
        <f t="shared" si="1"/>
        <v> </v>
      </c>
      <c r="E5257" s="19" t="str">
        <f t="shared" si="2"/>
        <v> </v>
      </c>
      <c r="F5257" s="21"/>
    </row>
    <row r="5258">
      <c r="A5258" s="19">
        <v>17146.0</v>
      </c>
      <c r="B5258" s="19" t="s">
        <v>5243</v>
      </c>
      <c r="C5258" s="20">
        <v>20905.0</v>
      </c>
      <c r="D5258" s="19" t="str">
        <f t="shared" si="1"/>
        <v> </v>
      </c>
      <c r="E5258" s="19" t="str">
        <f t="shared" si="2"/>
        <v> </v>
      </c>
      <c r="F5258" s="21"/>
    </row>
    <row r="5259">
      <c r="A5259" s="19">
        <v>17147.0</v>
      </c>
      <c r="B5259" s="19" t="s">
        <v>5244</v>
      </c>
      <c r="C5259" s="20">
        <v>19931.0</v>
      </c>
      <c r="D5259" s="19" t="str">
        <f t="shared" si="1"/>
        <v> </v>
      </c>
      <c r="E5259" s="19" t="str">
        <f t="shared" si="2"/>
        <v> </v>
      </c>
      <c r="F5259" s="21"/>
    </row>
    <row r="5260">
      <c r="A5260" s="19">
        <v>17150.0</v>
      </c>
      <c r="B5260" s="19" t="s">
        <v>5245</v>
      </c>
      <c r="C5260" s="20">
        <v>25756.0</v>
      </c>
      <c r="D5260" s="19" t="str">
        <f t="shared" si="1"/>
        <v> </v>
      </c>
      <c r="E5260" s="19" t="str">
        <f t="shared" si="2"/>
        <v> </v>
      </c>
      <c r="F5260" s="21"/>
    </row>
    <row r="5261">
      <c r="A5261" s="19">
        <v>17151.0</v>
      </c>
      <c r="B5261" s="19" t="s">
        <v>5246</v>
      </c>
      <c r="C5261" s="20">
        <v>32477.0</v>
      </c>
      <c r="D5261" s="19" t="str">
        <f t="shared" si="1"/>
        <v> </v>
      </c>
      <c r="E5261" s="19" t="str">
        <f t="shared" si="2"/>
        <v> </v>
      </c>
      <c r="F5261" s="21"/>
    </row>
    <row r="5262">
      <c r="A5262" s="19">
        <v>17153.0</v>
      </c>
      <c r="B5262" s="19" t="s">
        <v>5247</v>
      </c>
      <c r="C5262" s="20">
        <v>29857.0</v>
      </c>
      <c r="D5262" s="19" t="str">
        <f t="shared" si="1"/>
        <v> </v>
      </c>
      <c r="E5262" s="19" t="str">
        <f t="shared" si="2"/>
        <v> </v>
      </c>
      <c r="F5262" s="21"/>
    </row>
    <row r="5263">
      <c r="A5263" s="19">
        <v>17154.0</v>
      </c>
      <c r="B5263" s="19" t="s">
        <v>5248</v>
      </c>
      <c r="C5263" s="20">
        <v>27058.0</v>
      </c>
      <c r="D5263" s="19" t="str">
        <f t="shared" si="1"/>
        <v> </v>
      </c>
      <c r="E5263" s="19" t="str">
        <f t="shared" si="2"/>
        <v> </v>
      </c>
      <c r="F5263" s="21"/>
    </row>
    <row r="5264">
      <c r="A5264" s="19">
        <v>17155.0</v>
      </c>
      <c r="B5264" s="19" t="s">
        <v>5249</v>
      </c>
      <c r="C5264" s="20">
        <v>20870.0</v>
      </c>
      <c r="D5264" s="19" t="str">
        <f t="shared" si="1"/>
        <v> </v>
      </c>
      <c r="E5264" s="19" t="str">
        <f t="shared" si="2"/>
        <v> </v>
      </c>
      <c r="F5264" s="21"/>
    </row>
    <row r="5265">
      <c r="A5265" s="19">
        <v>17156.0</v>
      </c>
      <c r="B5265" s="19" t="s">
        <v>5250</v>
      </c>
      <c r="C5265" s="20">
        <v>21989.0</v>
      </c>
      <c r="D5265" s="19" t="str">
        <f t="shared" si="1"/>
        <v>Repeat</v>
      </c>
      <c r="E5265" s="19" t="str">
        <f t="shared" si="2"/>
        <v> </v>
      </c>
      <c r="F5265" s="21"/>
    </row>
    <row r="5266">
      <c r="A5266" s="19">
        <v>17157.0</v>
      </c>
      <c r="B5266" s="19" t="s">
        <v>5251</v>
      </c>
      <c r="C5266" s="20">
        <v>21795.0</v>
      </c>
      <c r="D5266" s="19" t="str">
        <f t="shared" si="1"/>
        <v> </v>
      </c>
      <c r="E5266" s="19" t="str">
        <f t="shared" si="2"/>
        <v> </v>
      </c>
      <c r="F5266" s="21"/>
    </row>
    <row r="5267">
      <c r="A5267" s="19">
        <v>17158.0</v>
      </c>
      <c r="B5267" s="19" t="s">
        <v>5252</v>
      </c>
      <c r="C5267" s="20">
        <v>28152.0</v>
      </c>
      <c r="D5267" s="19" t="str">
        <f t="shared" si="1"/>
        <v> </v>
      </c>
      <c r="E5267" s="19" t="str">
        <f t="shared" si="2"/>
        <v> </v>
      </c>
      <c r="F5267" s="21"/>
    </row>
    <row r="5268">
      <c r="A5268" s="19">
        <v>17159.0</v>
      </c>
      <c r="B5268" s="19" t="s">
        <v>5253</v>
      </c>
      <c r="C5268" s="20">
        <v>17702.0</v>
      </c>
      <c r="D5268" s="19" t="str">
        <f t="shared" si="1"/>
        <v> </v>
      </c>
      <c r="E5268" s="19" t="str">
        <f t="shared" si="2"/>
        <v> </v>
      </c>
      <c r="F5268" s="21"/>
    </row>
    <row r="5269">
      <c r="A5269" s="19">
        <v>17162.0</v>
      </c>
      <c r="B5269" s="19" t="s">
        <v>5254</v>
      </c>
      <c r="C5269" s="20">
        <v>22211.0</v>
      </c>
      <c r="D5269" s="19" t="str">
        <f t="shared" si="1"/>
        <v> </v>
      </c>
      <c r="E5269" s="19" t="str">
        <f t="shared" si="2"/>
        <v> </v>
      </c>
      <c r="F5269" s="21"/>
    </row>
    <row r="5270">
      <c r="A5270" s="19">
        <v>17163.0</v>
      </c>
      <c r="B5270" s="19" t="s">
        <v>5255</v>
      </c>
      <c r="C5270" s="20">
        <v>20350.0</v>
      </c>
      <c r="D5270" s="19" t="str">
        <f t="shared" si="1"/>
        <v> </v>
      </c>
      <c r="E5270" s="19" t="str">
        <f t="shared" si="2"/>
        <v> </v>
      </c>
      <c r="F5270" s="21"/>
    </row>
    <row r="5271">
      <c r="A5271" s="19">
        <v>17164.0</v>
      </c>
      <c r="B5271" s="19" t="s">
        <v>5256</v>
      </c>
      <c r="C5271" s="20">
        <v>22850.0</v>
      </c>
      <c r="D5271" s="19" t="str">
        <f t="shared" si="1"/>
        <v> </v>
      </c>
      <c r="E5271" s="19" t="str">
        <f t="shared" si="2"/>
        <v> </v>
      </c>
      <c r="F5271" s="21"/>
    </row>
    <row r="5272">
      <c r="A5272" s="19">
        <v>17165.0</v>
      </c>
      <c r="B5272" s="19" t="s">
        <v>5257</v>
      </c>
      <c r="C5272" s="20">
        <v>13529.0</v>
      </c>
      <c r="D5272" s="19" t="str">
        <f t="shared" si="1"/>
        <v> </v>
      </c>
      <c r="E5272" s="19" t="str">
        <f t="shared" si="2"/>
        <v> </v>
      </c>
      <c r="F5272" s="21"/>
    </row>
    <row r="5273">
      <c r="A5273" s="19">
        <v>17166.0</v>
      </c>
      <c r="B5273" s="19" t="s">
        <v>5258</v>
      </c>
      <c r="C5273" s="20">
        <v>23624.0</v>
      </c>
      <c r="D5273" s="19" t="str">
        <f t="shared" si="1"/>
        <v> </v>
      </c>
      <c r="E5273" s="19" t="str">
        <f t="shared" si="2"/>
        <v> </v>
      </c>
      <c r="F5273" s="21"/>
    </row>
    <row r="5274">
      <c r="A5274" s="19">
        <v>17168.0</v>
      </c>
      <c r="B5274" s="19" t="s">
        <v>5259</v>
      </c>
      <c r="C5274" s="20">
        <v>27344.0</v>
      </c>
      <c r="D5274" s="19" t="str">
        <f t="shared" si="1"/>
        <v> </v>
      </c>
      <c r="E5274" s="19" t="str">
        <f t="shared" si="2"/>
        <v> </v>
      </c>
      <c r="F5274" s="21"/>
    </row>
    <row r="5275">
      <c r="A5275" s="19">
        <v>17170.0</v>
      </c>
      <c r="B5275" s="19" t="s">
        <v>5260</v>
      </c>
      <c r="C5275" s="20">
        <v>15869.0</v>
      </c>
      <c r="D5275" s="19" t="str">
        <f t="shared" si="1"/>
        <v> </v>
      </c>
      <c r="E5275" s="19" t="str">
        <f t="shared" si="2"/>
        <v> </v>
      </c>
      <c r="F5275" s="21"/>
    </row>
    <row r="5276">
      <c r="A5276" s="19">
        <v>17171.0</v>
      </c>
      <c r="B5276" s="19" t="s">
        <v>5261</v>
      </c>
      <c r="C5276" s="20">
        <v>26592.0</v>
      </c>
      <c r="D5276" s="19" t="str">
        <f t="shared" si="1"/>
        <v> </v>
      </c>
      <c r="E5276" s="19" t="str">
        <f t="shared" si="2"/>
        <v> </v>
      </c>
      <c r="F5276" s="21"/>
    </row>
    <row r="5277">
      <c r="A5277" s="19">
        <v>17172.0</v>
      </c>
      <c r="B5277" s="19" t="s">
        <v>5262</v>
      </c>
      <c r="C5277" s="20">
        <v>17998.0</v>
      </c>
      <c r="D5277" s="19" t="str">
        <f t="shared" si="1"/>
        <v> </v>
      </c>
      <c r="E5277" s="19" t="str">
        <f t="shared" si="2"/>
        <v> </v>
      </c>
      <c r="F5277" s="21"/>
    </row>
    <row r="5278">
      <c r="A5278" s="19">
        <v>17173.0</v>
      </c>
      <c r="B5278" s="19" t="s">
        <v>5263</v>
      </c>
      <c r="C5278" s="20">
        <v>29239.0</v>
      </c>
      <c r="D5278" s="19" t="str">
        <f t="shared" si="1"/>
        <v> </v>
      </c>
      <c r="E5278" s="19" t="str">
        <f t="shared" si="2"/>
        <v> </v>
      </c>
      <c r="F5278" s="21"/>
    </row>
    <row r="5279">
      <c r="A5279" s="19">
        <v>17174.0</v>
      </c>
      <c r="B5279" s="19" t="s">
        <v>5264</v>
      </c>
      <c r="C5279" s="20">
        <v>28957.0</v>
      </c>
      <c r="D5279" s="19" t="str">
        <f t="shared" si="1"/>
        <v> </v>
      </c>
      <c r="E5279" s="19" t="str">
        <f t="shared" si="2"/>
        <v> </v>
      </c>
      <c r="F5279" s="21"/>
    </row>
    <row r="5280">
      <c r="A5280" s="19">
        <v>17175.0</v>
      </c>
      <c r="B5280" s="19" t="s">
        <v>5265</v>
      </c>
      <c r="C5280" s="20">
        <v>22114.0</v>
      </c>
      <c r="D5280" s="19" t="str">
        <f t="shared" si="1"/>
        <v> </v>
      </c>
      <c r="E5280" s="19" t="str">
        <f t="shared" si="2"/>
        <v> </v>
      </c>
      <c r="F5280" s="21"/>
    </row>
    <row r="5281">
      <c r="A5281" s="19">
        <v>17176.0</v>
      </c>
      <c r="B5281" s="19" t="s">
        <v>5266</v>
      </c>
      <c r="C5281" s="20">
        <v>17317.0</v>
      </c>
      <c r="D5281" s="19" t="str">
        <f t="shared" si="1"/>
        <v> </v>
      </c>
      <c r="E5281" s="19" t="str">
        <f t="shared" si="2"/>
        <v> </v>
      </c>
      <c r="F5281" s="21"/>
    </row>
    <row r="5282">
      <c r="A5282" s="19">
        <v>17177.0</v>
      </c>
      <c r="B5282" s="19" t="s">
        <v>5267</v>
      </c>
      <c r="C5282" s="20">
        <v>30401.0</v>
      </c>
      <c r="D5282" s="19" t="str">
        <f t="shared" si="1"/>
        <v> </v>
      </c>
      <c r="E5282" s="19" t="str">
        <f t="shared" si="2"/>
        <v> </v>
      </c>
      <c r="F5282" s="21"/>
    </row>
    <row r="5283">
      <c r="A5283" s="19">
        <v>17179.0</v>
      </c>
      <c r="B5283" s="19" t="s">
        <v>5268</v>
      </c>
      <c r="C5283" s="20">
        <v>37615.0</v>
      </c>
      <c r="D5283" s="19" t="str">
        <f t="shared" si="1"/>
        <v> </v>
      </c>
      <c r="E5283" s="19" t="str">
        <f t="shared" si="2"/>
        <v> </v>
      </c>
      <c r="F5283" s="21"/>
    </row>
    <row r="5284">
      <c r="A5284" s="19">
        <v>17180.0</v>
      </c>
      <c r="B5284" s="19" t="s">
        <v>5269</v>
      </c>
      <c r="C5284" s="20">
        <v>14910.0</v>
      </c>
      <c r="D5284" s="19" t="str">
        <f t="shared" si="1"/>
        <v> </v>
      </c>
      <c r="E5284" s="19" t="str">
        <f t="shared" si="2"/>
        <v> </v>
      </c>
      <c r="F5284" s="21"/>
    </row>
    <row r="5285">
      <c r="A5285" s="19">
        <v>17181.0</v>
      </c>
      <c r="B5285" s="19" t="s">
        <v>5270</v>
      </c>
      <c r="C5285" s="20">
        <v>16445.0</v>
      </c>
      <c r="D5285" s="19" t="str">
        <f t="shared" si="1"/>
        <v> </v>
      </c>
      <c r="E5285" s="19" t="str">
        <f t="shared" si="2"/>
        <v> </v>
      </c>
      <c r="F5285" s="21"/>
    </row>
    <row r="5286">
      <c r="A5286" s="19">
        <v>17182.0</v>
      </c>
      <c r="B5286" s="19" t="s">
        <v>5271</v>
      </c>
      <c r="C5286" s="20">
        <v>24399.0</v>
      </c>
      <c r="D5286" s="19" t="str">
        <f t="shared" si="1"/>
        <v> </v>
      </c>
      <c r="E5286" s="19" t="str">
        <f t="shared" si="2"/>
        <v> </v>
      </c>
      <c r="F5286" s="21"/>
    </row>
    <row r="5287">
      <c r="A5287" s="19">
        <v>17184.0</v>
      </c>
      <c r="B5287" s="19" t="s">
        <v>5272</v>
      </c>
      <c r="C5287" s="20">
        <v>26988.0</v>
      </c>
      <c r="D5287" s="19" t="str">
        <f t="shared" si="1"/>
        <v> </v>
      </c>
      <c r="E5287" s="19" t="str">
        <f t="shared" si="2"/>
        <v> </v>
      </c>
      <c r="F5287" s="21"/>
    </row>
    <row r="5288">
      <c r="A5288" s="19">
        <v>17185.0</v>
      </c>
      <c r="B5288" s="19" t="s">
        <v>5273</v>
      </c>
      <c r="C5288" s="20">
        <v>15362.0</v>
      </c>
      <c r="D5288" s="19" t="str">
        <f t="shared" si="1"/>
        <v> </v>
      </c>
      <c r="E5288" s="19" t="str">
        <f t="shared" si="2"/>
        <v> </v>
      </c>
      <c r="F5288" s="21"/>
    </row>
    <row r="5289">
      <c r="A5289" s="19">
        <v>17186.0</v>
      </c>
      <c r="B5289" s="19" t="s">
        <v>5274</v>
      </c>
      <c r="C5289" s="20">
        <v>32887.0</v>
      </c>
      <c r="D5289" s="19" t="str">
        <f t="shared" si="1"/>
        <v> </v>
      </c>
      <c r="E5289" s="19" t="str">
        <f t="shared" si="2"/>
        <v>Repeat</v>
      </c>
      <c r="F5289" s="21"/>
    </row>
    <row r="5290">
      <c r="A5290" s="19">
        <v>16777.0</v>
      </c>
      <c r="B5290" s="19" t="s">
        <v>5275</v>
      </c>
      <c r="C5290" s="20">
        <v>15732.0</v>
      </c>
      <c r="D5290" s="19" t="str">
        <f t="shared" si="1"/>
        <v> </v>
      </c>
      <c r="E5290" s="19" t="str">
        <f t="shared" si="2"/>
        <v> </v>
      </c>
      <c r="F5290" s="21"/>
    </row>
    <row r="5291">
      <c r="A5291" s="19">
        <v>17188.0</v>
      </c>
      <c r="B5291" s="19" t="s">
        <v>5276</v>
      </c>
      <c r="C5291" s="20">
        <v>20711.0</v>
      </c>
      <c r="D5291" s="19" t="str">
        <f t="shared" si="1"/>
        <v> </v>
      </c>
      <c r="E5291" s="19" t="str">
        <f t="shared" si="2"/>
        <v> </v>
      </c>
      <c r="F5291" s="21"/>
    </row>
    <row r="5292">
      <c r="A5292" s="19">
        <v>17189.0</v>
      </c>
      <c r="B5292" s="19" t="s">
        <v>5277</v>
      </c>
      <c r="C5292" s="20">
        <v>26494.0</v>
      </c>
      <c r="D5292" s="19" t="str">
        <f t="shared" si="1"/>
        <v> </v>
      </c>
      <c r="E5292" s="19" t="str">
        <f t="shared" si="2"/>
        <v> </v>
      </c>
      <c r="F5292" s="21"/>
    </row>
    <row r="5293">
      <c r="A5293" s="19">
        <v>17190.0</v>
      </c>
      <c r="B5293" s="19" t="s">
        <v>5278</v>
      </c>
      <c r="C5293" s="20">
        <v>19879.0</v>
      </c>
      <c r="D5293" s="19" t="str">
        <f t="shared" si="1"/>
        <v> </v>
      </c>
      <c r="E5293" s="19" t="str">
        <f t="shared" si="2"/>
        <v> </v>
      </c>
      <c r="F5293" s="21"/>
    </row>
    <row r="5294">
      <c r="A5294" s="19">
        <v>17191.0</v>
      </c>
      <c r="B5294" s="19" t="s">
        <v>5279</v>
      </c>
      <c r="C5294" s="20">
        <v>28971.0</v>
      </c>
      <c r="D5294" s="19" t="str">
        <f t="shared" si="1"/>
        <v> </v>
      </c>
      <c r="E5294" s="19" t="str">
        <f t="shared" si="2"/>
        <v> </v>
      </c>
      <c r="F5294" s="21"/>
    </row>
    <row r="5295">
      <c r="A5295" s="19">
        <v>17192.0</v>
      </c>
      <c r="B5295" s="19" t="s">
        <v>5280</v>
      </c>
      <c r="C5295" s="20">
        <v>19647.0</v>
      </c>
      <c r="D5295" s="19" t="str">
        <f t="shared" si="1"/>
        <v> </v>
      </c>
      <c r="E5295" s="19" t="str">
        <f t="shared" si="2"/>
        <v> </v>
      </c>
      <c r="F5295" s="21"/>
    </row>
    <row r="5296">
      <c r="A5296" s="19">
        <v>17193.0</v>
      </c>
      <c r="B5296" s="19" t="s">
        <v>207</v>
      </c>
      <c r="C5296" s="20">
        <v>13097.0</v>
      </c>
      <c r="D5296" s="19" t="str">
        <f t="shared" si="1"/>
        <v>Repeat</v>
      </c>
      <c r="E5296" s="19" t="str">
        <f t="shared" si="2"/>
        <v> </v>
      </c>
      <c r="F5296" s="21"/>
    </row>
    <row r="5297">
      <c r="A5297" s="19">
        <v>17194.0</v>
      </c>
      <c r="B5297" s="19" t="s">
        <v>5281</v>
      </c>
      <c r="C5297" s="20">
        <v>14925.0</v>
      </c>
      <c r="D5297" s="19" t="str">
        <f t="shared" si="1"/>
        <v> </v>
      </c>
      <c r="E5297" s="19" t="str">
        <f t="shared" si="2"/>
        <v> </v>
      </c>
      <c r="F5297" s="21"/>
    </row>
    <row r="5298">
      <c r="A5298" s="19">
        <v>17195.0</v>
      </c>
      <c r="B5298" s="19" t="s">
        <v>5282</v>
      </c>
      <c r="C5298" s="20">
        <v>23337.0</v>
      </c>
      <c r="D5298" s="19" t="str">
        <f t="shared" si="1"/>
        <v> </v>
      </c>
      <c r="E5298" s="19" t="str">
        <f t="shared" si="2"/>
        <v> </v>
      </c>
      <c r="F5298" s="21"/>
    </row>
    <row r="5299">
      <c r="A5299" s="19">
        <v>17197.0</v>
      </c>
      <c r="B5299" s="19" t="s">
        <v>5283</v>
      </c>
      <c r="C5299" s="20">
        <v>20092.0</v>
      </c>
      <c r="D5299" s="19" t="str">
        <f t="shared" si="1"/>
        <v> </v>
      </c>
      <c r="E5299" s="19" t="str">
        <f t="shared" si="2"/>
        <v>Repeat</v>
      </c>
      <c r="F5299" s="21"/>
    </row>
    <row r="5300">
      <c r="A5300" s="19">
        <v>17198.0</v>
      </c>
      <c r="B5300" s="19" t="s">
        <v>5284</v>
      </c>
      <c r="C5300" s="20">
        <v>20106.0</v>
      </c>
      <c r="D5300" s="19" t="str">
        <f t="shared" si="1"/>
        <v> </v>
      </c>
      <c r="E5300" s="19" t="str">
        <f t="shared" si="2"/>
        <v> </v>
      </c>
      <c r="F5300" s="21"/>
    </row>
    <row r="5301">
      <c r="A5301" s="19">
        <v>17199.0</v>
      </c>
      <c r="B5301" s="19" t="s">
        <v>5285</v>
      </c>
      <c r="C5301" s="20">
        <v>34129.0</v>
      </c>
      <c r="D5301" s="19" t="str">
        <f t="shared" si="1"/>
        <v> </v>
      </c>
      <c r="E5301" s="19" t="str">
        <f t="shared" si="2"/>
        <v> </v>
      </c>
      <c r="F5301" s="21"/>
    </row>
    <row r="5302">
      <c r="A5302" s="19">
        <v>17200.0</v>
      </c>
      <c r="B5302" s="19" t="s">
        <v>5286</v>
      </c>
      <c r="C5302" s="20">
        <v>27599.0</v>
      </c>
      <c r="D5302" s="19" t="str">
        <f t="shared" si="1"/>
        <v> </v>
      </c>
      <c r="E5302" s="19" t="str">
        <f t="shared" si="2"/>
        <v> </v>
      </c>
      <c r="F5302" s="21"/>
    </row>
    <row r="5303">
      <c r="A5303" s="19">
        <v>17201.0</v>
      </c>
      <c r="B5303" s="19" t="s">
        <v>5287</v>
      </c>
      <c r="C5303" s="20">
        <v>25999.0</v>
      </c>
      <c r="D5303" s="19" t="str">
        <f t="shared" si="1"/>
        <v> </v>
      </c>
      <c r="E5303" s="19" t="str">
        <f t="shared" si="2"/>
        <v> </v>
      </c>
      <c r="F5303" s="21"/>
    </row>
    <row r="5304">
      <c r="A5304" s="19">
        <v>17203.0</v>
      </c>
      <c r="B5304" s="19" t="s">
        <v>5288</v>
      </c>
      <c r="C5304" s="20">
        <v>21217.0</v>
      </c>
      <c r="D5304" s="19" t="str">
        <f t="shared" si="1"/>
        <v> </v>
      </c>
      <c r="E5304" s="19" t="str">
        <f t="shared" si="2"/>
        <v> </v>
      </c>
      <c r="F5304" s="21"/>
    </row>
    <row r="5305">
      <c r="A5305" s="19">
        <v>17204.0</v>
      </c>
      <c r="B5305" s="19" t="s">
        <v>5289</v>
      </c>
      <c r="C5305" s="20">
        <v>20195.0</v>
      </c>
      <c r="D5305" s="19" t="str">
        <f t="shared" si="1"/>
        <v> </v>
      </c>
      <c r="E5305" s="19" t="str">
        <f t="shared" si="2"/>
        <v> </v>
      </c>
      <c r="F5305" s="21"/>
    </row>
    <row r="5306">
      <c r="A5306" s="19">
        <v>17205.0</v>
      </c>
      <c r="B5306" s="19" t="s">
        <v>5290</v>
      </c>
      <c r="C5306" s="20">
        <v>18951.0</v>
      </c>
      <c r="D5306" s="19" t="str">
        <f t="shared" si="1"/>
        <v> </v>
      </c>
      <c r="E5306" s="19" t="str">
        <f t="shared" si="2"/>
        <v> </v>
      </c>
      <c r="F5306" s="21"/>
    </row>
    <row r="5307">
      <c r="A5307" s="19">
        <v>17206.0</v>
      </c>
      <c r="B5307" s="19" t="s">
        <v>5291</v>
      </c>
      <c r="C5307" s="20">
        <v>20244.0</v>
      </c>
      <c r="D5307" s="19" t="str">
        <f t="shared" si="1"/>
        <v> </v>
      </c>
      <c r="E5307" s="19" t="str">
        <f t="shared" si="2"/>
        <v> </v>
      </c>
      <c r="F5307" s="21"/>
    </row>
    <row r="5308">
      <c r="A5308" s="19">
        <v>17207.0</v>
      </c>
      <c r="B5308" s="19" t="s">
        <v>5292</v>
      </c>
      <c r="C5308" s="20">
        <v>21962.0</v>
      </c>
      <c r="D5308" s="19" t="str">
        <f t="shared" si="1"/>
        <v> </v>
      </c>
      <c r="E5308" s="19" t="str">
        <f t="shared" si="2"/>
        <v> </v>
      </c>
      <c r="F5308" s="21"/>
    </row>
    <row r="5309">
      <c r="A5309" s="19">
        <v>17209.0</v>
      </c>
      <c r="B5309" s="19" t="s">
        <v>5293</v>
      </c>
      <c r="C5309" s="20">
        <v>31086.0</v>
      </c>
      <c r="D5309" s="19" t="str">
        <f t="shared" si="1"/>
        <v> </v>
      </c>
      <c r="E5309" s="19" t="str">
        <f t="shared" si="2"/>
        <v> </v>
      </c>
      <c r="F5309" s="21"/>
    </row>
    <row r="5310">
      <c r="A5310" s="19">
        <v>17210.0</v>
      </c>
      <c r="B5310" s="19" t="s">
        <v>5294</v>
      </c>
      <c r="C5310" s="20">
        <v>21998.0</v>
      </c>
      <c r="D5310" s="19" t="str">
        <f t="shared" si="1"/>
        <v> </v>
      </c>
      <c r="E5310" s="19" t="str">
        <f t="shared" si="2"/>
        <v> </v>
      </c>
      <c r="F5310" s="21"/>
    </row>
    <row r="5311">
      <c r="A5311" s="19">
        <v>17211.0</v>
      </c>
      <c r="B5311" s="19" t="s">
        <v>5295</v>
      </c>
      <c r="C5311" s="20">
        <v>16418.0</v>
      </c>
      <c r="D5311" s="19" t="str">
        <f t="shared" si="1"/>
        <v> </v>
      </c>
      <c r="E5311" s="19" t="str">
        <f t="shared" si="2"/>
        <v> </v>
      </c>
      <c r="F5311" s="21"/>
    </row>
    <row r="5312">
      <c r="A5312" s="19">
        <v>17212.0</v>
      </c>
      <c r="B5312" s="19" t="s">
        <v>5296</v>
      </c>
      <c r="C5312" s="20">
        <v>12935.0</v>
      </c>
      <c r="D5312" s="19" t="str">
        <f t="shared" si="1"/>
        <v> </v>
      </c>
      <c r="E5312" s="19" t="str">
        <f t="shared" si="2"/>
        <v> </v>
      </c>
      <c r="F5312" s="21"/>
    </row>
    <row r="5313">
      <c r="A5313" s="19">
        <v>17213.0</v>
      </c>
      <c r="B5313" s="19" t="s">
        <v>5297</v>
      </c>
      <c r="C5313" s="20">
        <v>20559.0</v>
      </c>
      <c r="D5313" s="19" t="str">
        <f t="shared" si="1"/>
        <v> </v>
      </c>
      <c r="E5313" s="19" t="str">
        <f t="shared" si="2"/>
        <v>Repeat</v>
      </c>
      <c r="F5313" s="21"/>
    </row>
    <row r="5314">
      <c r="A5314" s="19">
        <v>17214.0</v>
      </c>
      <c r="B5314" s="19" t="s">
        <v>5298</v>
      </c>
      <c r="C5314" s="20">
        <v>27931.0</v>
      </c>
      <c r="D5314" s="19" t="str">
        <f t="shared" si="1"/>
        <v> </v>
      </c>
      <c r="E5314" s="19" t="str">
        <f t="shared" si="2"/>
        <v> </v>
      </c>
      <c r="F5314" s="21"/>
    </row>
    <row r="5315">
      <c r="A5315" s="19">
        <v>17215.0</v>
      </c>
      <c r="B5315" s="19" t="s">
        <v>5299</v>
      </c>
      <c r="C5315" s="20">
        <v>22578.0</v>
      </c>
      <c r="D5315" s="19" t="str">
        <f t="shared" si="1"/>
        <v> </v>
      </c>
      <c r="E5315" s="19" t="str">
        <f t="shared" si="2"/>
        <v> </v>
      </c>
      <c r="F5315" s="21"/>
    </row>
    <row r="5316">
      <c r="A5316" s="19">
        <v>17216.0</v>
      </c>
      <c r="B5316" s="19" t="s">
        <v>5300</v>
      </c>
      <c r="C5316" s="20">
        <v>26265.0</v>
      </c>
      <c r="D5316" s="19" t="str">
        <f t="shared" si="1"/>
        <v> </v>
      </c>
      <c r="E5316" s="19" t="str">
        <f t="shared" si="2"/>
        <v> </v>
      </c>
      <c r="F5316" s="21"/>
    </row>
    <row r="5317">
      <c r="A5317" s="19">
        <v>13600.0</v>
      </c>
      <c r="B5317" s="19" t="s">
        <v>5301</v>
      </c>
      <c r="C5317" s="20">
        <v>25019.0</v>
      </c>
      <c r="D5317" s="19" t="str">
        <f t="shared" si="1"/>
        <v> </v>
      </c>
      <c r="E5317" s="19" t="str">
        <f t="shared" si="2"/>
        <v> </v>
      </c>
      <c r="F5317" s="21"/>
    </row>
    <row r="5318">
      <c r="A5318" s="19">
        <v>17218.0</v>
      </c>
      <c r="B5318" s="19" t="s">
        <v>5302</v>
      </c>
      <c r="C5318" s="20">
        <v>21038.0</v>
      </c>
      <c r="D5318" s="19" t="str">
        <f t="shared" si="1"/>
        <v> </v>
      </c>
      <c r="E5318" s="19" t="str">
        <f t="shared" si="2"/>
        <v> </v>
      </c>
      <c r="F5318" s="21"/>
    </row>
    <row r="5319">
      <c r="A5319" s="19">
        <v>17219.0</v>
      </c>
      <c r="B5319" s="19" t="s">
        <v>5303</v>
      </c>
      <c r="C5319" s="20">
        <v>22454.0</v>
      </c>
      <c r="D5319" s="19" t="str">
        <f t="shared" si="1"/>
        <v> </v>
      </c>
      <c r="E5319" s="19" t="str">
        <f t="shared" si="2"/>
        <v> </v>
      </c>
      <c r="F5319" s="21"/>
    </row>
    <row r="5320">
      <c r="A5320" s="19">
        <v>17220.0</v>
      </c>
      <c r="B5320" s="19" t="s">
        <v>5304</v>
      </c>
      <c r="C5320" s="20">
        <v>34760.0</v>
      </c>
      <c r="D5320" s="19" t="str">
        <f t="shared" si="1"/>
        <v> </v>
      </c>
      <c r="E5320" s="19" t="str">
        <f t="shared" si="2"/>
        <v> </v>
      </c>
      <c r="F5320" s="21"/>
    </row>
    <row r="5321">
      <c r="A5321" s="19">
        <v>17222.0</v>
      </c>
      <c r="B5321" s="19" t="s">
        <v>5305</v>
      </c>
      <c r="C5321" s="20">
        <v>33227.0</v>
      </c>
      <c r="D5321" s="19" t="str">
        <f t="shared" si="1"/>
        <v> </v>
      </c>
      <c r="E5321" s="19" t="str">
        <f t="shared" si="2"/>
        <v> </v>
      </c>
      <c r="F5321" s="21"/>
    </row>
    <row r="5322">
      <c r="A5322" s="19">
        <v>17223.0</v>
      </c>
      <c r="B5322" s="19" t="s">
        <v>5306</v>
      </c>
      <c r="C5322" s="20">
        <v>29464.0</v>
      </c>
      <c r="D5322" s="19" t="str">
        <f t="shared" si="1"/>
        <v> </v>
      </c>
      <c r="E5322" s="19" t="str">
        <f t="shared" si="2"/>
        <v> </v>
      </c>
      <c r="F5322" s="21"/>
    </row>
    <row r="5323">
      <c r="A5323" s="19">
        <v>17224.0</v>
      </c>
      <c r="B5323" s="19" t="s">
        <v>5307</v>
      </c>
      <c r="C5323" s="20">
        <v>19306.0</v>
      </c>
      <c r="D5323" s="19" t="str">
        <f t="shared" si="1"/>
        <v> </v>
      </c>
      <c r="E5323" s="19" t="str">
        <f t="shared" si="2"/>
        <v> </v>
      </c>
      <c r="F5323" s="21"/>
    </row>
    <row r="5324">
      <c r="A5324" s="19">
        <v>17225.0</v>
      </c>
      <c r="B5324" s="19" t="s">
        <v>5308</v>
      </c>
      <c r="C5324" s="20">
        <v>19725.0</v>
      </c>
      <c r="D5324" s="19" t="str">
        <f t="shared" si="1"/>
        <v> </v>
      </c>
      <c r="E5324" s="19" t="str">
        <f t="shared" si="2"/>
        <v> </v>
      </c>
      <c r="F5324" s="21"/>
    </row>
    <row r="5325">
      <c r="A5325" s="19">
        <v>17226.0</v>
      </c>
      <c r="B5325" s="19" t="s">
        <v>5309</v>
      </c>
      <c r="C5325" s="20">
        <v>27961.0</v>
      </c>
      <c r="D5325" s="19" t="str">
        <f t="shared" si="1"/>
        <v> </v>
      </c>
      <c r="E5325" s="19" t="str">
        <f t="shared" si="2"/>
        <v> </v>
      </c>
      <c r="F5325" s="21"/>
    </row>
    <row r="5326">
      <c r="A5326" s="19">
        <v>17227.0</v>
      </c>
      <c r="B5326" s="19" t="s">
        <v>1683</v>
      </c>
      <c r="C5326" s="20">
        <v>16166.0</v>
      </c>
      <c r="D5326" s="19" t="str">
        <f t="shared" si="1"/>
        <v>Repeat</v>
      </c>
      <c r="E5326" s="19" t="str">
        <f t="shared" si="2"/>
        <v> </v>
      </c>
      <c r="F5326" s="21"/>
    </row>
    <row r="5327">
      <c r="A5327" s="19">
        <v>17228.0</v>
      </c>
      <c r="B5327" s="19" t="s">
        <v>5310</v>
      </c>
      <c r="C5327" s="20">
        <v>20508.0</v>
      </c>
      <c r="D5327" s="19" t="str">
        <f t="shared" si="1"/>
        <v> </v>
      </c>
      <c r="E5327" s="19" t="str">
        <f t="shared" si="2"/>
        <v> </v>
      </c>
      <c r="F5327" s="21"/>
    </row>
    <row r="5328">
      <c r="A5328" s="19">
        <v>17229.0</v>
      </c>
      <c r="B5328" s="19" t="s">
        <v>5311</v>
      </c>
      <c r="C5328" s="20">
        <v>18356.0</v>
      </c>
      <c r="D5328" s="19" t="str">
        <f t="shared" si="1"/>
        <v> </v>
      </c>
      <c r="E5328" s="19" t="str">
        <f t="shared" si="2"/>
        <v> </v>
      </c>
      <c r="F5328" s="21"/>
    </row>
    <row r="5329">
      <c r="A5329" s="19">
        <v>17230.0</v>
      </c>
      <c r="B5329" s="19" t="s">
        <v>5312</v>
      </c>
      <c r="C5329" s="20">
        <v>22265.0</v>
      </c>
      <c r="D5329" s="19" t="str">
        <f t="shared" si="1"/>
        <v> </v>
      </c>
      <c r="E5329" s="19" t="str">
        <f t="shared" si="2"/>
        <v> </v>
      </c>
      <c r="F5329" s="21"/>
    </row>
    <row r="5330">
      <c r="A5330" s="19">
        <v>17231.0</v>
      </c>
      <c r="B5330" s="19" t="s">
        <v>5313</v>
      </c>
      <c r="C5330" s="20">
        <v>25588.0</v>
      </c>
      <c r="D5330" s="19" t="str">
        <f t="shared" si="1"/>
        <v> </v>
      </c>
      <c r="E5330" s="19" t="str">
        <f t="shared" si="2"/>
        <v> </v>
      </c>
      <c r="F5330" s="21"/>
    </row>
    <row r="5331">
      <c r="A5331" s="19">
        <v>17232.0</v>
      </c>
      <c r="B5331" s="19" t="s">
        <v>5314</v>
      </c>
      <c r="C5331" s="20">
        <v>24913.0</v>
      </c>
      <c r="D5331" s="19" t="str">
        <f t="shared" si="1"/>
        <v> </v>
      </c>
      <c r="E5331" s="19" t="str">
        <f t="shared" si="2"/>
        <v> </v>
      </c>
      <c r="F5331" s="21"/>
    </row>
    <row r="5332">
      <c r="A5332" s="19">
        <v>17234.0</v>
      </c>
      <c r="B5332" s="19" t="s">
        <v>5315</v>
      </c>
      <c r="C5332" s="20">
        <v>26564.0</v>
      </c>
      <c r="D5332" s="19" t="str">
        <f t="shared" si="1"/>
        <v> </v>
      </c>
      <c r="E5332" s="19" t="str">
        <f t="shared" si="2"/>
        <v> </v>
      </c>
      <c r="F5332" s="21"/>
    </row>
    <row r="5333">
      <c r="A5333" s="19">
        <v>17235.0</v>
      </c>
      <c r="B5333" s="19" t="s">
        <v>5316</v>
      </c>
      <c r="C5333" s="20">
        <v>23653.0</v>
      </c>
      <c r="D5333" s="19" t="str">
        <f t="shared" si="1"/>
        <v> </v>
      </c>
      <c r="E5333" s="19" t="str">
        <f t="shared" si="2"/>
        <v> </v>
      </c>
      <c r="F5333" s="21"/>
    </row>
    <row r="5334">
      <c r="A5334" s="19">
        <v>17236.0</v>
      </c>
      <c r="B5334" s="19" t="s">
        <v>5317</v>
      </c>
      <c r="C5334" s="20">
        <v>22141.0</v>
      </c>
      <c r="D5334" s="19" t="str">
        <f t="shared" si="1"/>
        <v> </v>
      </c>
      <c r="E5334" s="19" t="str">
        <f t="shared" si="2"/>
        <v> </v>
      </c>
      <c r="F5334" s="21"/>
    </row>
    <row r="5335">
      <c r="A5335" s="19">
        <v>17237.0</v>
      </c>
      <c r="B5335" s="19" t="s">
        <v>5318</v>
      </c>
      <c r="C5335" s="20">
        <v>25026.0</v>
      </c>
      <c r="D5335" s="19" t="str">
        <f t="shared" si="1"/>
        <v> </v>
      </c>
      <c r="E5335" s="19" t="str">
        <f t="shared" si="2"/>
        <v> </v>
      </c>
      <c r="F5335" s="21"/>
    </row>
    <row r="5336">
      <c r="A5336" s="19">
        <v>17239.0</v>
      </c>
      <c r="B5336" s="19" t="s">
        <v>5319</v>
      </c>
      <c r="C5336" s="20">
        <v>35554.0</v>
      </c>
      <c r="D5336" s="19" t="str">
        <f t="shared" si="1"/>
        <v> </v>
      </c>
      <c r="E5336" s="19" t="str">
        <f t="shared" si="2"/>
        <v> </v>
      </c>
      <c r="F5336" s="21"/>
    </row>
    <row r="5337">
      <c r="A5337" s="19">
        <v>17240.0</v>
      </c>
      <c r="B5337" s="19" t="s">
        <v>5320</v>
      </c>
      <c r="C5337" s="20">
        <v>17830.0</v>
      </c>
      <c r="D5337" s="19" t="str">
        <f t="shared" si="1"/>
        <v> </v>
      </c>
      <c r="E5337" s="19" t="str">
        <f t="shared" si="2"/>
        <v> </v>
      </c>
      <c r="F5337" s="21"/>
    </row>
    <row r="5338">
      <c r="A5338" s="19">
        <v>17241.0</v>
      </c>
      <c r="B5338" s="19" t="s">
        <v>5321</v>
      </c>
      <c r="C5338" s="20">
        <v>24347.0</v>
      </c>
      <c r="D5338" s="19" t="str">
        <f t="shared" si="1"/>
        <v> </v>
      </c>
      <c r="E5338" s="19" t="str">
        <f t="shared" si="2"/>
        <v> </v>
      </c>
      <c r="F5338" s="21"/>
    </row>
    <row r="5339">
      <c r="A5339" s="19">
        <v>17242.0</v>
      </c>
      <c r="B5339" s="19" t="s">
        <v>5322</v>
      </c>
      <c r="C5339" s="20">
        <v>23320.0</v>
      </c>
      <c r="D5339" s="19" t="str">
        <f t="shared" si="1"/>
        <v> </v>
      </c>
      <c r="E5339" s="19" t="str">
        <f t="shared" si="2"/>
        <v>Repeat</v>
      </c>
      <c r="F5339" s="21"/>
    </row>
    <row r="5340">
      <c r="A5340" s="19">
        <v>17243.0</v>
      </c>
      <c r="B5340" s="19" t="s">
        <v>5323</v>
      </c>
      <c r="C5340" s="20">
        <v>16122.0</v>
      </c>
      <c r="D5340" s="19" t="str">
        <f t="shared" si="1"/>
        <v> </v>
      </c>
      <c r="E5340" s="19" t="str">
        <f t="shared" si="2"/>
        <v> </v>
      </c>
      <c r="F5340" s="21"/>
    </row>
    <row r="5341">
      <c r="A5341" s="19">
        <v>17244.0</v>
      </c>
      <c r="B5341" s="19" t="s">
        <v>1411</v>
      </c>
      <c r="C5341" s="20">
        <v>16927.0</v>
      </c>
      <c r="D5341" s="19" t="str">
        <f t="shared" si="1"/>
        <v>Repeat</v>
      </c>
      <c r="E5341" s="19" t="str">
        <f t="shared" si="2"/>
        <v> </v>
      </c>
      <c r="F5341" s="21"/>
    </row>
    <row r="5342">
      <c r="A5342" s="19">
        <v>17246.0</v>
      </c>
      <c r="B5342" s="19" t="s">
        <v>5324</v>
      </c>
      <c r="C5342" s="20">
        <v>13268.0</v>
      </c>
      <c r="D5342" s="19" t="str">
        <f t="shared" si="1"/>
        <v> </v>
      </c>
      <c r="E5342" s="19" t="str">
        <f t="shared" si="2"/>
        <v> </v>
      </c>
      <c r="F5342" s="21"/>
    </row>
    <row r="5343">
      <c r="A5343" s="19">
        <v>17247.0</v>
      </c>
      <c r="B5343" s="19" t="s">
        <v>5325</v>
      </c>
      <c r="C5343" s="20">
        <v>23075.0</v>
      </c>
      <c r="D5343" s="19" t="str">
        <f t="shared" si="1"/>
        <v> </v>
      </c>
      <c r="E5343" s="19" t="str">
        <f t="shared" si="2"/>
        <v> </v>
      </c>
      <c r="F5343" s="21"/>
    </row>
    <row r="5344">
      <c r="A5344" s="19">
        <v>17248.0</v>
      </c>
      <c r="B5344" s="19" t="s">
        <v>5326</v>
      </c>
      <c r="C5344" s="20">
        <v>24291.0</v>
      </c>
      <c r="D5344" s="19" t="str">
        <f t="shared" si="1"/>
        <v> </v>
      </c>
      <c r="E5344" s="19" t="str">
        <f t="shared" si="2"/>
        <v> </v>
      </c>
      <c r="F5344" s="21"/>
    </row>
    <row r="5345">
      <c r="A5345" s="19">
        <v>17249.0</v>
      </c>
      <c r="B5345" s="19" t="s">
        <v>5327</v>
      </c>
      <c r="C5345" s="20">
        <v>17289.0</v>
      </c>
      <c r="D5345" s="19" t="str">
        <f t="shared" si="1"/>
        <v> </v>
      </c>
      <c r="E5345" s="19" t="str">
        <f t="shared" si="2"/>
        <v> </v>
      </c>
      <c r="F5345" s="21"/>
    </row>
    <row r="5346">
      <c r="A5346" s="19">
        <v>17250.0</v>
      </c>
      <c r="B5346" s="19" t="s">
        <v>5328</v>
      </c>
      <c r="C5346" s="20">
        <v>37376.0</v>
      </c>
      <c r="D5346" s="19" t="str">
        <f t="shared" si="1"/>
        <v> </v>
      </c>
      <c r="E5346" s="19" t="str">
        <f t="shared" si="2"/>
        <v> </v>
      </c>
      <c r="F5346" s="21"/>
    </row>
    <row r="5347">
      <c r="A5347" s="19">
        <v>17251.0</v>
      </c>
      <c r="B5347" s="19" t="s">
        <v>5329</v>
      </c>
      <c r="C5347" s="20">
        <v>26547.0</v>
      </c>
      <c r="D5347" s="19" t="str">
        <f t="shared" si="1"/>
        <v> </v>
      </c>
      <c r="E5347" s="19" t="str">
        <f t="shared" si="2"/>
        <v> </v>
      </c>
      <c r="F5347" s="21"/>
    </row>
    <row r="5348">
      <c r="A5348" s="19">
        <v>17252.0</v>
      </c>
      <c r="B5348" s="19" t="s">
        <v>5330</v>
      </c>
      <c r="C5348" s="20">
        <v>31636.0</v>
      </c>
      <c r="D5348" s="19" t="str">
        <f t="shared" si="1"/>
        <v> </v>
      </c>
      <c r="E5348" s="19" t="str">
        <f t="shared" si="2"/>
        <v> </v>
      </c>
      <c r="F5348" s="21"/>
    </row>
    <row r="5349">
      <c r="A5349" s="19">
        <v>17253.0</v>
      </c>
      <c r="B5349" s="19" t="s">
        <v>5331</v>
      </c>
      <c r="C5349" s="20">
        <v>20904.0</v>
      </c>
      <c r="D5349" s="19" t="str">
        <f t="shared" si="1"/>
        <v> </v>
      </c>
      <c r="E5349" s="19" t="str">
        <f t="shared" si="2"/>
        <v> </v>
      </c>
      <c r="F5349" s="21"/>
    </row>
    <row r="5350">
      <c r="A5350" s="19">
        <v>17255.0</v>
      </c>
      <c r="B5350" s="19" t="s">
        <v>5332</v>
      </c>
      <c r="C5350" s="20">
        <v>24395.0</v>
      </c>
      <c r="D5350" s="19" t="str">
        <f t="shared" si="1"/>
        <v> </v>
      </c>
      <c r="E5350" s="19" t="str">
        <f t="shared" si="2"/>
        <v> </v>
      </c>
      <c r="F5350" s="21"/>
    </row>
    <row r="5351">
      <c r="A5351" s="19">
        <v>16819.0</v>
      </c>
      <c r="B5351" s="19" t="s">
        <v>5333</v>
      </c>
      <c r="C5351" s="20">
        <v>12946.0</v>
      </c>
      <c r="D5351" s="19" t="str">
        <f t="shared" si="1"/>
        <v> </v>
      </c>
      <c r="E5351" s="19" t="str">
        <f t="shared" si="2"/>
        <v> </v>
      </c>
      <c r="F5351" s="21"/>
    </row>
    <row r="5352">
      <c r="A5352" s="19">
        <v>17257.0</v>
      </c>
      <c r="B5352" s="19" t="s">
        <v>5334</v>
      </c>
      <c r="C5352" s="20">
        <v>20232.0</v>
      </c>
      <c r="D5352" s="19" t="str">
        <f t="shared" si="1"/>
        <v> </v>
      </c>
      <c r="E5352" s="19" t="str">
        <f t="shared" si="2"/>
        <v> </v>
      </c>
      <c r="F5352" s="21"/>
    </row>
    <row r="5353">
      <c r="A5353" s="19">
        <v>17258.0</v>
      </c>
      <c r="B5353" s="19" t="s">
        <v>5335</v>
      </c>
      <c r="C5353" s="20">
        <v>15584.0</v>
      </c>
      <c r="D5353" s="19" t="str">
        <f t="shared" si="1"/>
        <v> </v>
      </c>
      <c r="E5353" s="19" t="str">
        <f t="shared" si="2"/>
        <v> </v>
      </c>
      <c r="F5353" s="21"/>
    </row>
    <row r="5354">
      <c r="A5354" s="19">
        <v>17259.0</v>
      </c>
      <c r="B5354" s="19" t="s">
        <v>5336</v>
      </c>
      <c r="C5354" s="20">
        <v>30466.0</v>
      </c>
      <c r="D5354" s="19" t="str">
        <f t="shared" si="1"/>
        <v> </v>
      </c>
      <c r="E5354" s="19" t="str">
        <f t="shared" si="2"/>
        <v> </v>
      </c>
      <c r="F5354" s="21"/>
    </row>
    <row r="5355">
      <c r="A5355" s="19">
        <v>17260.0</v>
      </c>
      <c r="B5355" s="19" t="s">
        <v>5337</v>
      </c>
      <c r="C5355" s="20">
        <v>20239.0</v>
      </c>
      <c r="D5355" s="19" t="str">
        <f t="shared" si="1"/>
        <v> </v>
      </c>
      <c r="E5355" s="19" t="str">
        <f t="shared" si="2"/>
        <v> </v>
      </c>
      <c r="F5355" s="21"/>
    </row>
    <row r="5356">
      <c r="A5356" s="19">
        <v>17261.0</v>
      </c>
      <c r="B5356" s="19" t="s">
        <v>5338</v>
      </c>
      <c r="C5356" s="20">
        <v>29928.0</v>
      </c>
      <c r="D5356" s="19" t="str">
        <f t="shared" si="1"/>
        <v> </v>
      </c>
      <c r="E5356" s="19" t="str">
        <f t="shared" si="2"/>
        <v> </v>
      </c>
      <c r="F5356" s="21"/>
    </row>
    <row r="5357">
      <c r="A5357" s="19">
        <v>17262.0</v>
      </c>
      <c r="B5357" s="19" t="s">
        <v>5339</v>
      </c>
      <c r="C5357" s="20">
        <v>27191.0</v>
      </c>
      <c r="D5357" s="19" t="str">
        <f t="shared" si="1"/>
        <v> </v>
      </c>
      <c r="E5357" s="19" t="str">
        <f t="shared" si="2"/>
        <v> </v>
      </c>
      <c r="F5357" s="21"/>
    </row>
    <row r="5358">
      <c r="A5358" s="19">
        <v>17263.0</v>
      </c>
      <c r="B5358" s="19" t="s">
        <v>5340</v>
      </c>
      <c r="C5358" s="20">
        <v>25223.0</v>
      </c>
      <c r="D5358" s="19" t="str">
        <f t="shared" si="1"/>
        <v> </v>
      </c>
      <c r="E5358" s="19" t="str">
        <f t="shared" si="2"/>
        <v> </v>
      </c>
      <c r="F5358" s="21"/>
    </row>
    <row r="5359">
      <c r="A5359" s="19">
        <v>17264.0</v>
      </c>
      <c r="B5359" s="19" t="s">
        <v>5341</v>
      </c>
      <c r="C5359" s="20">
        <v>18156.0</v>
      </c>
      <c r="D5359" s="19" t="str">
        <f t="shared" si="1"/>
        <v> </v>
      </c>
      <c r="E5359" s="19" t="str">
        <f t="shared" si="2"/>
        <v> </v>
      </c>
      <c r="F5359" s="21"/>
    </row>
    <row r="5360">
      <c r="A5360" s="19">
        <v>17266.0</v>
      </c>
      <c r="B5360" s="19" t="s">
        <v>5342</v>
      </c>
      <c r="C5360" s="20">
        <v>17591.0</v>
      </c>
      <c r="D5360" s="19" t="str">
        <f t="shared" si="1"/>
        <v> </v>
      </c>
      <c r="E5360" s="19" t="str">
        <f t="shared" si="2"/>
        <v> </v>
      </c>
      <c r="F5360" s="21"/>
    </row>
    <row r="5361">
      <c r="A5361" s="19">
        <v>17270.0</v>
      </c>
      <c r="B5361" s="19" t="s">
        <v>5343</v>
      </c>
      <c r="C5361" s="20">
        <v>34986.0</v>
      </c>
      <c r="D5361" s="19" t="str">
        <f t="shared" si="1"/>
        <v> </v>
      </c>
      <c r="E5361" s="19" t="str">
        <f t="shared" si="2"/>
        <v> </v>
      </c>
      <c r="F5361" s="21"/>
    </row>
    <row r="5362">
      <c r="A5362" s="19">
        <v>17271.0</v>
      </c>
      <c r="B5362" s="19" t="s">
        <v>5344</v>
      </c>
      <c r="C5362" s="20">
        <v>30677.0</v>
      </c>
      <c r="D5362" s="19" t="str">
        <f t="shared" si="1"/>
        <v> </v>
      </c>
      <c r="E5362" s="19" t="str">
        <f t="shared" si="2"/>
        <v> </v>
      </c>
      <c r="F5362" s="21"/>
    </row>
    <row r="5363">
      <c r="A5363" s="19">
        <v>17272.0</v>
      </c>
      <c r="B5363" s="19" t="s">
        <v>5345</v>
      </c>
      <c r="C5363" s="20">
        <v>15370.0</v>
      </c>
      <c r="D5363" s="19" t="str">
        <f t="shared" si="1"/>
        <v> </v>
      </c>
      <c r="E5363" s="19" t="str">
        <f t="shared" si="2"/>
        <v>Repeat</v>
      </c>
      <c r="F5363" s="21"/>
    </row>
    <row r="5364">
      <c r="A5364" s="19">
        <v>17273.0</v>
      </c>
      <c r="B5364" s="19" t="s">
        <v>5346</v>
      </c>
      <c r="C5364" s="20">
        <v>20862.0</v>
      </c>
      <c r="D5364" s="19" t="str">
        <f t="shared" si="1"/>
        <v> </v>
      </c>
      <c r="E5364" s="19" t="str">
        <f t="shared" si="2"/>
        <v> </v>
      </c>
      <c r="F5364" s="21"/>
    </row>
    <row r="5365">
      <c r="A5365" s="19">
        <v>17274.0</v>
      </c>
      <c r="B5365" s="19" t="s">
        <v>5347</v>
      </c>
      <c r="C5365" s="20">
        <v>34730.0</v>
      </c>
      <c r="D5365" s="19" t="str">
        <f t="shared" si="1"/>
        <v> </v>
      </c>
      <c r="E5365" s="19" t="str">
        <f t="shared" si="2"/>
        <v> </v>
      </c>
      <c r="F5365" s="21"/>
    </row>
    <row r="5366">
      <c r="A5366" s="19">
        <v>17275.0</v>
      </c>
      <c r="B5366" s="19" t="s">
        <v>5348</v>
      </c>
      <c r="C5366" s="20">
        <v>36215.0</v>
      </c>
      <c r="D5366" s="19" t="str">
        <f t="shared" si="1"/>
        <v> </v>
      </c>
      <c r="E5366" s="19" t="str">
        <f t="shared" si="2"/>
        <v> </v>
      </c>
      <c r="F5366" s="21"/>
    </row>
    <row r="5367">
      <c r="A5367" s="19">
        <v>17277.0</v>
      </c>
      <c r="B5367" s="19" t="s">
        <v>5349</v>
      </c>
      <c r="C5367" s="20">
        <v>29742.0</v>
      </c>
      <c r="D5367" s="19" t="str">
        <f t="shared" si="1"/>
        <v> </v>
      </c>
      <c r="E5367" s="19" t="str">
        <f t="shared" si="2"/>
        <v> </v>
      </c>
      <c r="F5367" s="21"/>
    </row>
    <row r="5368">
      <c r="A5368" s="19">
        <v>17278.0</v>
      </c>
      <c r="B5368" s="19" t="s">
        <v>5350</v>
      </c>
      <c r="C5368" s="20">
        <v>17633.0</v>
      </c>
      <c r="D5368" s="19" t="str">
        <f t="shared" si="1"/>
        <v> </v>
      </c>
      <c r="E5368" s="19" t="str">
        <f t="shared" si="2"/>
        <v> </v>
      </c>
      <c r="F5368" s="21"/>
    </row>
    <row r="5369">
      <c r="A5369" s="19">
        <v>17279.0</v>
      </c>
      <c r="B5369" s="19" t="s">
        <v>5351</v>
      </c>
      <c r="C5369" s="20">
        <v>16640.0</v>
      </c>
      <c r="D5369" s="19" t="str">
        <f t="shared" si="1"/>
        <v> </v>
      </c>
      <c r="E5369" s="19" t="str">
        <f t="shared" si="2"/>
        <v> </v>
      </c>
      <c r="F5369" s="21"/>
    </row>
    <row r="5370">
      <c r="A5370" s="19">
        <v>17280.0</v>
      </c>
      <c r="B5370" s="19" t="s">
        <v>5352</v>
      </c>
      <c r="C5370" s="20">
        <v>29439.0</v>
      </c>
      <c r="D5370" s="19" t="str">
        <f t="shared" si="1"/>
        <v> </v>
      </c>
      <c r="E5370" s="19" t="str">
        <f t="shared" si="2"/>
        <v>Repeat</v>
      </c>
      <c r="F5370" s="21"/>
    </row>
    <row r="5371">
      <c r="A5371" s="19">
        <v>16824.0</v>
      </c>
      <c r="B5371" s="19" t="s">
        <v>5353</v>
      </c>
      <c r="C5371" s="20">
        <v>26090.0</v>
      </c>
      <c r="D5371" s="19" t="str">
        <f t="shared" si="1"/>
        <v> </v>
      </c>
      <c r="E5371" s="19" t="str">
        <f t="shared" si="2"/>
        <v> </v>
      </c>
      <c r="F5371" s="21"/>
    </row>
    <row r="5372">
      <c r="A5372" s="19">
        <v>17282.0</v>
      </c>
      <c r="B5372" s="19" t="s">
        <v>5354</v>
      </c>
      <c r="C5372" s="20">
        <v>23082.0</v>
      </c>
      <c r="D5372" s="19" t="str">
        <f t="shared" si="1"/>
        <v> </v>
      </c>
      <c r="E5372" s="19" t="str">
        <f t="shared" si="2"/>
        <v> </v>
      </c>
      <c r="F5372" s="21"/>
    </row>
    <row r="5373">
      <c r="A5373" s="19">
        <v>17283.0</v>
      </c>
      <c r="B5373" s="19" t="s">
        <v>5355</v>
      </c>
      <c r="C5373" s="20">
        <v>20108.0</v>
      </c>
      <c r="D5373" s="19" t="str">
        <f t="shared" si="1"/>
        <v> </v>
      </c>
      <c r="E5373" s="19" t="str">
        <f t="shared" si="2"/>
        <v> </v>
      </c>
      <c r="F5373" s="21"/>
    </row>
    <row r="5374">
      <c r="A5374" s="19">
        <v>17285.0</v>
      </c>
      <c r="B5374" s="19" t="s">
        <v>5356</v>
      </c>
      <c r="C5374" s="20">
        <v>25666.0</v>
      </c>
      <c r="D5374" s="19" t="str">
        <f t="shared" si="1"/>
        <v> </v>
      </c>
      <c r="E5374" s="19" t="str">
        <f t="shared" si="2"/>
        <v> </v>
      </c>
      <c r="F5374" s="21"/>
    </row>
    <row r="5375">
      <c r="A5375" s="19">
        <v>17286.0</v>
      </c>
      <c r="B5375" s="19" t="s">
        <v>5357</v>
      </c>
      <c r="C5375" s="20">
        <v>16047.0</v>
      </c>
      <c r="D5375" s="19" t="str">
        <f t="shared" si="1"/>
        <v> </v>
      </c>
      <c r="E5375" s="19" t="str">
        <f t="shared" si="2"/>
        <v> </v>
      </c>
      <c r="F5375" s="21"/>
    </row>
    <row r="5376">
      <c r="A5376" s="19">
        <v>17288.0</v>
      </c>
      <c r="B5376" s="19" t="s">
        <v>5358</v>
      </c>
      <c r="C5376" s="20">
        <v>22364.0</v>
      </c>
      <c r="D5376" s="19" t="str">
        <f t="shared" si="1"/>
        <v> </v>
      </c>
      <c r="E5376" s="19" t="str">
        <f t="shared" si="2"/>
        <v> </v>
      </c>
      <c r="F5376" s="21"/>
    </row>
    <row r="5377">
      <c r="A5377" s="19">
        <v>17289.0</v>
      </c>
      <c r="B5377" s="19" t="s">
        <v>5359</v>
      </c>
      <c r="C5377" s="20">
        <v>17562.0</v>
      </c>
      <c r="D5377" s="19" t="str">
        <f t="shared" si="1"/>
        <v> </v>
      </c>
      <c r="E5377" s="19" t="str">
        <f t="shared" si="2"/>
        <v> </v>
      </c>
      <c r="F5377" s="21"/>
    </row>
    <row r="5378">
      <c r="A5378" s="19">
        <v>17290.0</v>
      </c>
      <c r="B5378" s="19" t="s">
        <v>5360</v>
      </c>
      <c r="C5378" s="20">
        <v>15125.0</v>
      </c>
      <c r="D5378" s="19" t="str">
        <f t="shared" si="1"/>
        <v> </v>
      </c>
      <c r="E5378" s="19" t="str">
        <f t="shared" si="2"/>
        <v> </v>
      </c>
      <c r="F5378" s="21"/>
    </row>
    <row r="5379">
      <c r="A5379" s="19">
        <v>17291.0</v>
      </c>
      <c r="B5379" s="19" t="s">
        <v>5361</v>
      </c>
      <c r="C5379" s="20">
        <v>23071.0</v>
      </c>
      <c r="D5379" s="19" t="str">
        <f t="shared" si="1"/>
        <v> </v>
      </c>
      <c r="E5379" s="19" t="str">
        <f t="shared" si="2"/>
        <v> </v>
      </c>
      <c r="F5379" s="21"/>
    </row>
    <row r="5380">
      <c r="A5380" s="19">
        <v>17292.0</v>
      </c>
      <c r="B5380" s="19" t="s">
        <v>5362</v>
      </c>
      <c r="C5380" s="20">
        <v>35216.0</v>
      </c>
      <c r="D5380" s="19" t="str">
        <f t="shared" si="1"/>
        <v> </v>
      </c>
      <c r="E5380" s="19" t="str">
        <f t="shared" si="2"/>
        <v> </v>
      </c>
      <c r="F5380" s="21"/>
    </row>
    <row r="5381">
      <c r="A5381" s="19">
        <v>17293.0</v>
      </c>
      <c r="B5381" s="19" t="s">
        <v>5363</v>
      </c>
      <c r="C5381" s="20">
        <v>16663.0</v>
      </c>
      <c r="D5381" s="19" t="str">
        <f t="shared" si="1"/>
        <v> </v>
      </c>
      <c r="E5381" s="19" t="str">
        <f t="shared" si="2"/>
        <v> </v>
      </c>
      <c r="F5381" s="21"/>
    </row>
    <row r="5382">
      <c r="A5382" s="19">
        <v>17294.0</v>
      </c>
      <c r="B5382" s="19" t="s">
        <v>5364</v>
      </c>
      <c r="C5382" s="20">
        <v>28685.0</v>
      </c>
      <c r="D5382" s="19" t="str">
        <f t="shared" si="1"/>
        <v> </v>
      </c>
      <c r="E5382" s="19" t="str">
        <f t="shared" si="2"/>
        <v> </v>
      </c>
      <c r="F5382" s="21"/>
    </row>
    <row r="5383">
      <c r="A5383" s="19">
        <v>17295.0</v>
      </c>
      <c r="B5383" s="19" t="s">
        <v>5365</v>
      </c>
      <c r="C5383" s="20">
        <v>22870.0</v>
      </c>
      <c r="D5383" s="19" t="str">
        <f t="shared" si="1"/>
        <v> </v>
      </c>
      <c r="E5383" s="19" t="str">
        <f t="shared" si="2"/>
        <v> </v>
      </c>
      <c r="F5383" s="21"/>
    </row>
    <row r="5384">
      <c r="A5384" s="19">
        <v>17297.0</v>
      </c>
      <c r="B5384" s="19" t="s">
        <v>5366</v>
      </c>
      <c r="C5384" s="20">
        <v>18233.0</v>
      </c>
      <c r="D5384" s="19" t="str">
        <f t="shared" si="1"/>
        <v> </v>
      </c>
      <c r="E5384" s="19" t="str">
        <f t="shared" si="2"/>
        <v> </v>
      </c>
      <c r="F5384" s="21"/>
    </row>
    <row r="5385">
      <c r="A5385" s="19">
        <v>17298.0</v>
      </c>
      <c r="B5385" s="19" t="s">
        <v>5367</v>
      </c>
      <c r="C5385" s="20">
        <v>18185.0</v>
      </c>
      <c r="D5385" s="19" t="str">
        <f t="shared" si="1"/>
        <v> </v>
      </c>
      <c r="E5385" s="19" t="str">
        <f t="shared" si="2"/>
        <v> </v>
      </c>
      <c r="F5385" s="21"/>
    </row>
    <row r="5386">
      <c r="A5386" s="19">
        <v>17300.0</v>
      </c>
      <c r="B5386" s="19" t="s">
        <v>5368</v>
      </c>
      <c r="C5386" s="20">
        <v>23437.0</v>
      </c>
      <c r="D5386" s="19" t="str">
        <f t="shared" si="1"/>
        <v> </v>
      </c>
      <c r="E5386" s="19" t="str">
        <f t="shared" si="2"/>
        <v> </v>
      </c>
      <c r="F5386" s="21"/>
    </row>
    <row r="5387">
      <c r="A5387" s="19">
        <v>17301.0</v>
      </c>
      <c r="B5387" s="19" t="s">
        <v>5369</v>
      </c>
      <c r="C5387" s="20">
        <v>31281.0</v>
      </c>
      <c r="D5387" s="19" t="str">
        <f t="shared" si="1"/>
        <v> </v>
      </c>
      <c r="E5387" s="19" t="str">
        <f t="shared" si="2"/>
        <v> </v>
      </c>
      <c r="F5387" s="21"/>
    </row>
    <row r="5388">
      <c r="A5388" s="19">
        <v>17303.0</v>
      </c>
      <c r="B5388" s="19" t="s">
        <v>5370</v>
      </c>
      <c r="C5388" s="20">
        <v>13916.0</v>
      </c>
      <c r="D5388" s="19" t="str">
        <f t="shared" si="1"/>
        <v> </v>
      </c>
      <c r="E5388" s="19" t="str">
        <f t="shared" si="2"/>
        <v>Repeat</v>
      </c>
      <c r="F5388" s="21"/>
    </row>
    <row r="5389">
      <c r="A5389" s="19">
        <v>17305.0</v>
      </c>
      <c r="B5389" s="19" t="s">
        <v>5371</v>
      </c>
      <c r="C5389" s="20">
        <v>17128.0</v>
      </c>
      <c r="D5389" s="19" t="str">
        <f t="shared" si="1"/>
        <v> </v>
      </c>
      <c r="E5389" s="19" t="str">
        <f t="shared" si="2"/>
        <v> </v>
      </c>
      <c r="F5389" s="21"/>
    </row>
    <row r="5390">
      <c r="A5390" s="19">
        <v>17306.0</v>
      </c>
      <c r="B5390" s="19" t="s">
        <v>5372</v>
      </c>
      <c r="C5390" s="20">
        <v>21668.0</v>
      </c>
      <c r="D5390" s="19" t="str">
        <f t="shared" si="1"/>
        <v> </v>
      </c>
      <c r="E5390" s="19" t="str">
        <f t="shared" si="2"/>
        <v> </v>
      </c>
      <c r="F5390" s="21"/>
    </row>
    <row r="5391">
      <c r="A5391" s="19">
        <v>17307.0</v>
      </c>
      <c r="B5391" s="19" t="s">
        <v>5373</v>
      </c>
      <c r="C5391" s="20">
        <v>15229.0</v>
      </c>
      <c r="D5391" s="19" t="str">
        <f t="shared" si="1"/>
        <v> </v>
      </c>
      <c r="E5391" s="19" t="str">
        <f t="shared" si="2"/>
        <v> </v>
      </c>
      <c r="F5391" s="21"/>
    </row>
    <row r="5392">
      <c r="A5392" s="19">
        <v>17308.0</v>
      </c>
      <c r="B5392" s="19" t="s">
        <v>5374</v>
      </c>
      <c r="C5392" s="20">
        <v>26605.0</v>
      </c>
      <c r="D5392" s="19" t="str">
        <f t="shared" si="1"/>
        <v> </v>
      </c>
      <c r="E5392" s="19" t="str">
        <f t="shared" si="2"/>
        <v> </v>
      </c>
      <c r="F5392" s="21"/>
    </row>
    <row r="5393">
      <c r="A5393" s="19">
        <v>17309.0</v>
      </c>
      <c r="B5393" s="19" t="s">
        <v>5375</v>
      </c>
      <c r="C5393" s="20">
        <v>18816.0</v>
      </c>
      <c r="D5393" s="19" t="str">
        <f t="shared" si="1"/>
        <v> </v>
      </c>
      <c r="E5393" s="19" t="str">
        <f t="shared" si="2"/>
        <v> </v>
      </c>
      <c r="F5393" s="21"/>
    </row>
    <row r="5394">
      <c r="A5394" s="19">
        <v>17310.0</v>
      </c>
      <c r="B5394" s="19" t="s">
        <v>5376</v>
      </c>
      <c r="C5394" s="20">
        <v>18041.0</v>
      </c>
      <c r="D5394" s="19" t="str">
        <f t="shared" si="1"/>
        <v> </v>
      </c>
      <c r="E5394" s="19" t="str">
        <f t="shared" si="2"/>
        <v> </v>
      </c>
      <c r="F5394" s="21"/>
    </row>
    <row r="5395">
      <c r="A5395" s="19">
        <v>17311.0</v>
      </c>
      <c r="B5395" s="19" t="s">
        <v>5377</v>
      </c>
      <c r="C5395" s="20">
        <v>26877.0</v>
      </c>
      <c r="D5395" s="19" t="str">
        <f t="shared" si="1"/>
        <v> </v>
      </c>
      <c r="E5395" s="19" t="str">
        <f t="shared" si="2"/>
        <v> </v>
      </c>
      <c r="F5395" s="21"/>
    </row>
    <row r="5396">
      <c r="A5396" s="19">
        <v>17314.0</v>
      </c>
      <c r="B5396" s="19" t="s">
        <v>5378</v>
      </c>
      <c r="C5396" s="20">
        <v>27861.0</v>
      </c>
      <c r="D5396" s="19" t="str">
        <f t="shared" si="1"/>
        <v> </v>
      </c>
      <c r="E5396" s="19" t="str">
        <f t="shared" si="2"/>
        <v> </v>
      </c>
      <c r="F5396" s="21"/>
    </row>
    <row r="5397">
      <c r="A5397" s="19">
        <v>17316.0</v>
      </c>
      <c r="B5397" s="19" t="s">
        <v>5379</v>
      </c>
      <c r="C5397" s="20">
        <v>21188.0</v>
      </c>
      <c r="D5397" s="19" t="str">
        <f t="shared" si="1"/>
        <v> </v>
      </c>
      <c r="E5397" s="19" t="str">
        <f t="shared" si="2"/>
        <v> </v>
      </c>
      <c r="F5397" s="21"/>
    </row>
    <row r="5398">
      <c r="A5398" s="19">
        <v>17317.0</v>
      </c>
      <c r="B5398" s="19" t="s">
        <v>5380</v>
      </c>
      <c r="C5398" s="20">
        <v>20616.0</v>
      </c>
      <c r="D5398" s="19" t="str">
        <f t="shared" si="1"/>
        <v> </v>
      </c>
      <c r="E5398" s="19" t="str">
        <f t="shared" si="2"/>
        <v> </v>
      </c>
      <c r="F5398" s="21"/>
    </row>
    <row r="5399">
      <c r="A5399" s="19">
        <v>17320.0</v>
      </c>
      <c r="B5399" s="19" t="s">
        <v>5381</v>
      </c>
      <c r="C5399" s="20">
        <v>23770.0</v>
      </c>
      <c r="D5399" s="19" t="str">
        <f t="shared" si="1"/>
        <v> </v>
      </c>
      <c r="E5399" s="19" t="str">
        <f t="shared" si="2"/>
        <v> </v>
      </c>
      <c r="F5399" s="21"/>
    </row>
    <row r="5400">
      <c r="A5400" s="19">
        <v>17322.0</v>
      </c>
      <c r="B5400" s="19" t="s">
        <v>5382</v>
      </c>
      <c r="C5400" s="20">
        <v>13998.0</v>
      </c>
      <c r="D5400" s="19" t="str">
        <f t="shared" si="1"/>
        <v> </v>
      </c>
      <c r="E5400" s="19" t="str">
        <f t="shared" si="2"/>
        <v> </v>
      </c>
      <c r="F5400" s="21"/>
    </row>
    <row r="5401">
      <c r="A5401" s="19">
        <v>17324.0</v>
      </c>
      <c r="B5401" s="19" t="s">
        <v>5383</v>
      </c>
      <c r="C5401" s="20">
        <v>27214.0</v>
      </c>
      <c r="D5401" s="19" t="str">
        <f t="shared" si="1"/>
        <v> </v>
      </c>
      <c r="E5401" s="19" t="str">
        <f t="shared" si="2"/>
        <v> </v>
      </c>
      <c r="F5401" s="21"/>
    </row>
    <row r="5402">
      <c r="A5402" s="19">
        <v>17325.0</v>
      </c>
      <c r="B5402" s="19" t="s">
        <v>5384</v>
      </c>
      <c r="C5402" s="20">
        <v>28876.0</v>
      </c>
      <c r="D5402" s="19" t="str">
        <f t="shared" si="1"/>
        <v> </v>
      </c>
      <c r="E5402" s="19" t="str">
        <f t="shared" si="2"/>
        <v> </v>
      </c>
      <c r="F5402" s="21"/>
    </row>
    <row r="5403">
      <c r="A5403" s="19">
        <v>17326.0</v>
      </c>
      <c r="B5403" s="19" t="s">
        <v>5385</v>
      </c>
      <c r="C5403" s="20">
        <v>17382.0</v>
      </c>
      <c r="D5403" s="19" t="str">
        <f t="shared" si="1"/>
        <v> </v>
      </c>
      <c r="E5403" s="19" t="str">
        <f t="shared" si="2"/>
        <v> </v>
      </c>
      <c r="F5403" s="21"/>
    </row>
    <row r="5404">
      <c r="A5404" s="19">
        <v>17327.0</v>
      </c>
      <c r="B5404" s="19" t="s">
        <v>5386</v>
      </c>
      <c r="C5404" s="20">
        <v>24176.0</v>
      </c>
      <c r="D5404" s="19" t="str">
        <f t="shared" si="1"/>
        <v> </v>
      </c>
      <c r="E5404" s="19" t="str">
        <f t="shared" si="2"/>
        <v> </v>
      </c>
      <c r="F5404" s="21"/>
    </row>
    <row r="5405">
      <c r="A5405" s="19">
        <v>17328.0</v>
      </c>
      <c r="B5405" s="19" t="s">
        <v>5387</v>
      </c>
      <c r="C5405" s="20">
        <v>15964.0</v>
      </c>
      <c r="D5405" s="19" t="str">
        <f t="shared" si="1"/>
        <v> </v>
      </c>
      <c r="E5405" s="19" t="str">
        <f t="shared" si="2"/>
        <v>Repeat</v>
      </c>
      <c r="F5405" s="21"/>
    </row>
    <row r="5406">
      <c r="A5406" s="19">
        <v>17329.0</v>
      </c>
      <c r="B5406" s="19" t="s">
        <v>5388</v>
      </c>
      <c r="C5406" s="20">
        <v>27776.0</v>
      </c>
      <c r="D5406" s="19" t="str">
        <f t="shared" si="1"/>
        <v> </v>
      </c>
      <c r="E5406" s="19" t="str">
        <f t="shared" si="2"/>
        <v> </v>
      </c>
      <c r="F5406" s="21"/>
    </row>
    <row r="5407">
      <c r="A5407" s="19">
        <v>17330.0</v>
      </c>
      <c r="B5407" s="19" t="s">
        <v>5389</v>
      </c>
      <c r="C5407" s="20">
        <v>15033.0</v>
      </c>
      <c r="D5407" s="19" t="str">
        <f t="shared" si="1"/>
        <v> </v>
      </c>
      <c r="E5407" s="19" t="str">
        <f t="shared" si="2"/>
        <v> </v>
      </c>
      <c r="F5407" s="21"/>
    </row>
    <row r="5408">
      <c r="A5408" s="19">
        <v>17333.0</v>
      </c>
      <c r="B5408" s="19" t="s">
        <v>5390</v>
      </c>
      <c r="C5408" s="20">
        <v>15071.0</v>
      </c>
      <c r="D5408" s="19" t="str">
        <f t="shared" si="1"/>
        <v> </v>
      </c>
      <c r="E5408" s="19" t="str">
        <f t="shared" si="2"/>
        <v> </v>
      </c>
      <c r="F5408" s="21"/>
    </row>
    <row r="5409">
      <c r="A5409" s="19">
        <v>17334.0</v>
      </c>
      <c r="B5409" s="19" t="s">
        <v>5391</v>
      </c>
      <c r="C5409" s="20">
        <v>25243.0</v>
      </c>
      <c r="D5409" s="19" t="str">
        <f t="shared" si="1"/>
        <v> </v>
      </c>
      <c r="E5409" s="19" t="str">
        <f t="shared" si="2"/>
        <v> </v>
      </c>
      <c r="F5409" s="21"/>
    </row>
    <row r="5410">
      <c r="A5410" s="19">
        <v>17335.0</v>
      </c>
      <c r="B5410" s="19" t="s">
        <v>5392</v>
      </c>
      <c r="C5410" s="20">
        <v>30732.0</v>
      </c>
      <c r="D5410" s="19" t="str">
        <f t="shared" si="1"/>
        <v>Repeat</v>
      </c>
      <c r="E5410" s="19" t="str">
        <f t="shared" si="2"/>
        <v> </v>
      </c>
      <c r="F5410" s="21"/>
    </row>
    <row r="5411">
      <c r="A5411" s="19">
        <v>17336.0</v>
      </c>
      <c r="B5411" s="19" t="s">
        <v>5393</v>
      </c>
      <c r="C5411" s="20">
        <v>12784.0</v>
      </c>
      <c r="D5411" s="19" t="str">
        <f t="shared" si="1"/>
        <v> </v>
      </c>
      <c r="E5411" s="19" t="str">
        <f t="shared" si="2"/>
        <v>Repeat</v>
      </c>
      <c r="F5411" s="21"/>
    </row>
    <row r="5412">
      <c r="A5412" s="19">
        <v>17337.0</v>
      </c>
      <c r="B5412" s="19" t="s">
        <v>5394</v>
      </c>
      <c r="C5412" s="20">
        <v>18183.0</v>
      </c>
      <c r="D5412" s="19" t="str">
        <f t="shared" si="1"/>
        <v> </v>
      </c>
      <c r="E5412" s="19" t="str">
        <f t="shared" si="2"/>
        <v> </v>
      </c>
      <c r="F5412" s="21"/>
    </row>
    <row r="5413">
      <c r="A5413" s="19">
        <v>17339.0</v>
      </c>
      <c r="B5413" s="19" t="s">
        <v>5395</v>
      </c>
      <c r="C5413" s="20">
        <v>15599.0</v>
      </c>
      <c r="D5413" s="19" t="str">
        <f t="shared" si="1"/>
        <v> </v>
      </c>
      <c r="E5413" s="19" t="str">
        <f t="shared" si="2"/>
        <v> </v>
      </c>
      <c r="F5413" s="21"/>
    </row>
    <row r="5414">
      <c r="A5414" s="19">
        <v>17340.0</v>
      </c>
      <c r="B5414" s="19" t="s">
        <v>5396</v>
      </c>
      <c r="C5414" s="20">
        <v>26715.0</v>
      </c>
      <c r="D5414" s="19" t="str">
        <f t="shared" si="1"/>
        <v> </v>
      </c>
      <c r="E5414" s="19" t="str">
        <f t="shared" si="2"/>
        <v> </v>
      </c>
      <c r="F5414" s="21"/>
    </row>
    <row r="5415">
      <c r="A5415" s="19">
        <v>17343.0</v>
      </c>
      <c r="B5415" s="19" t="s">
        <v>5397</v>
      </c>
      <c r="C5415" s="20">
        <v>26929.0</v>
      </c>
      <c r="D5415" s="19" t="str">
        <f t="shared" si="1"/>
        <v> </v>
      </c>
      <c r="E5415" s="19" t="str">
        <f t="shared" si="2"/>
        <v> </v>
      </c>
      <c r="F5415" s="21"/>
    </row>
    <row r="5416">
      <c r="A5416" s="19">
        <v>17344.0</v>
      </c>
      <c r="B5416" s="19" t="s">
        <v>5398</v>
      </c>
      <c r="C5416" s="20">
        <v>20321.0</v>
      </c>
      <c r="D5416" s="19" t="str">
        <f t="shared" si="1"/>
        <v> </v>
      </c>
      <c r="E5416" s="19" t="str">
        <f t="shared" si="2"/>
        <v> </v>
      </c>
      <c r="F5416" s="21"/>
    </row>
    <row r="5417">
      <c r="A5417" s="19">
        <v>17346.0</v>
      </c>
      <c r="B5417" s="19" t="s">
        <v>5399</v>
      </c>
      <c r="C5417" s="20">
        <v>36998.0</v>
      </c>
      <c r="D5417" s="19" t="str">
        <f t="shared" si="1"/>
        <v> </v>
      </c>
      <c r="E5417" s="19" t="str">
        <f t="shared" si="2"/>
        <v> </v>
      </c>
      <c r="F5417" s="21"/>
    </row>
    <row r="5418">
      <c r="A5418" s="19">
        <v>17347.0</v>
      </c>
      <c r="B5418" s="19" t="s">
        <v>5400</v>
      </c>
      <c r="C5418" s="20">
        <v>22820.0</v>
      </c>
      <c r="D5418" s="19" t="str">
        <f t="shared" si="1"/>
        <v> </v>
      </c>
      <c r="E5418" s="19" t="str">
        <f t="shared" si="2"/>
        <v> </v>
      </c>
      <c r="F5418" s="21"/>
    </row>
    <row r="5419">
      <c r="A5419" s="19">
        <v>17348.0</v>
      </c>
      <c r="B5419" s="19" t="s">
        <v>5401</v>
      </c>
      <c r="C5419" s="20">
        <v>24346.0</v>
      </c>
      <c r="D5419" s="19" t="str">
        <f t="shared" si="1"/>
        <v> </v>
      </c>
      <c r="E5419" s="19" t="str">
        <f t="shared" si="2"/>
        <v> </v>
      </c>
      <c r="F5419" s="21"/>
    </row>
    <row r="5420">
      <c r="A5420" s="19">
        <v>17349.0</v>
      </c>
      <c r="B5420" s="19" t="s">
        <v>5402</v>
      </c>
      <c r="C5420" s="20">
        <v>16193.0</v>
      </c>
      <c r="D5420" s="19" t="str">
        <f t="shared" si="1"/>
        <v> </v>
      </c>
      <c r="E5420" s="19" t="str">
        <f t="shared" si="2"/>
        <v> </v>
      </c>
      <c r="F5420" s="21"/>
    </row>
    <row r="5421">
      <c r="A5421" s="19">
        <v>17350.0</v>
      </c>
      <c r="B5421" s="19" t="s">
        <v>5403</v>
      </c>
      <c r="C5421" s="20">
        <v>14746.0</v>
      </c>
      <c r="D5421" s="19" t="str">
        <f t="shared" si="1"/>
        <v> </v>
      </c>
      <c r="E5421" s="19" t="str">
        <f t="shared" si="2"/>
        <v> </v>
      </c>
      <c r="F5421" s="21"/>
    </row>
    <row r="5422">
      <c r="A5422" s="19">
        <v>17351.0</v>
      </c>
      <c r="B5422" s="19" t="s">
        <v>5404</v>
      </c>
      <c r="C5422" s="20">
        <v>13050.0</v>
      </c>
      <c r="D5422" s="19" t="str">
        <f t="shared" si="1"/>
        <v> </v>
      </c>
      <c r="E5422" s="19" t="str">
        <f t="shared" si="2"/>
        <v> </v>
      </c>
      <c r="F5422" s="21"/>
    </row>
    <row r="5423">
      <c r="A5423" s="19">
        <v>17352.0</v>
      </c>
      <c r="B5423" s="19" t="s">
        <v>5405</v>
      </c>
      <c r="C5423" s="20">
        <v>20056.0</v>
      </c>
      <c r="D5423" s="19" t="str">
        <f t="shared" si="1"/>
        <v> </v>
      </c>
      <c r="E5423" s="19" t="str">
        <f t="shared" si="2"/>
        <v> </v>
      </c>
      <c r="F5423" s="21"/>
    </row>
    <row r="5424">
      <c r="A5424" s="19">
        <v>17356.0</v>
      </c>
      <c r="B5424" s="19" t="s">
        <v>5406</v>
      </c>
      <c r="C5424" s="20">
        <v>18854.0</v>
      </c>
      <c r="D5424" s="19" t="str">
        <f t="shared" si="1"/>
        <v> </v>
      </c>
      <c r="E5424" s="19" t="str">
        <f t="shared" si="2"/>
        <v> </v>
      </c>
      <c r="F5424" s="21"/>
    </row>
    <row r="5425">
      <c r="A5425" s="19">
        <v>17357.0</v>
      </c>
      <c r="B5425" s="19" t="s">
        <v>5407</v>
      </c>
      <c r="C5425" s="20">
        <v>18120.0</v>
      </c>
      <c r="D5425" s="19" t="str">
        <f t="shared" si="1"/>
        <v> </v>
      </c>
      <c r="E5425" s="19" t="str">
        <f t="shared" si="2"/>
        <v> </v>
      </c>
      <c r="F5425" s="21"/>
    </row>
    <row r="5426">
      <c r="A5426" s="19">
        <v>17358.0</v>
      </c>
      <c r="B5426" s="19" t="s">
        <v>5408</v>
      </c>
      <c r="C5426" s="20">
        <v>26128.0</v>
      </c>
      <c r="D5426" s="19" t="str">
        <f t="shared" si="1"/>
        <v> </v>
      </c>
      <c r="E5426" s="19" t="str">
        <f t="shared" si="2"/>
        <v> </v>
      </c>
      <c r="F5426" s="21"/>
    </row>
    <row r="5427">
      <c r="A5427" s="19">
        <v>17359.0</v>
      </c>
      <c r="B5427" s="19" t="s">
        <v>5409</v>
      </c>
      <c r="C5427" s="20">
        <v>19875.0</v>
      </c>
      <c r="D5427" s="19" t="str">
        <f t="shared" si="1"/>
        <v> </v>
      </c>
      <c r="E5427" s="19" t="str">
        <f t="shared" si="2"/>
        <v> </v>
      </c>
      <c r="F5427" s="21"/>
    </row>
    <row r="5428">
      <c r="A5428" s="19">
        <v>17360.0</v>
      </c>
      <c r="B5428" s="19" t="s">
        <v>5410</v>
      </c>
      <c r="C5428" s="20">
        <v>19781.0</v>
      </c>
      <c r="D5428" s="19" t="str">
        <f t="shared" si="1"/>
        <v> </v>
      </c>
      <c r="E5428" s="19" t="str">
        <f t="shared" si="2"/>
        <v> </v>
      </c>
      <c r="F5428" s="21"/>
    </row>
    <row r="5429">
      <c r="A5429" s="19">
        <v>17361.0</v>
      </c>
      <c r="B5429" s="19" t="s">
        <v>5411</v>
      </c>
      <c r="C5429" s="20">
        <v>16387.0</v>
      </c>
      <c r="D5429" s="19" t="str">
        <f t="shared" si="1"/>
        <v> </v>
      </c>
      <c r="E5429" s="19" t="str">
        <f t="shared" si="2"/>
        <v> </v>
      </c>
      <c r="F5429" s="21"/>
    </row>
    <row r="5430">
      <c r="A5430" s="19">
        <v>17362.0</v>
      </c>
      <c r="B5430" s="19" t="s">
        <v>5412</v>
      </c>
      <c r="C5430" s="20">
        <v>24242.0</v>
      </c>
      <c r="D5430" s="19" t="str">
        <f t="shared" si="1"/>
        <v> </v>
      </c>
      <c r="E5430" s="19" t="str">
        <f t="shared" si="2"/>
        <v> </v>
      </c>
      <c r="F5430" s="21"/>
    </row>
    <row r="5431">
      <c r="A5431" s="19">
        <v>17363.0</v>
      </c>
      <c r="B5431" s="19" t="s">
        <v>5413</v>
      </c>
      <c r="C5431" s="20">
        <v>25187.0</v>
      </c>
      <c r="D5431" s="19" t="str">
        <f t="shared" si="1"/>
        <v> </v>
      </c>
      <c r="E5431" s="19" t="str">
        <f t="shared" si="2"/>
        <v> </v>
      </c>
      <c r="F5431" s="21"/>
    </row>
    <row r="5432">
      <c r="A5432" s="19">
        <v>17364.0</v>
      </c>
      <c r="B5432" s="19" t="s">
        <v>5414</v>
      </c>
      <c r="C5432" s="20">
        <v>14335.0</v>
      </c>
      <c r="D5432" s="19" t="str">
        <f t="shared" si="1"/>
        <v> </v>
      </c>
      <c r="E5432" s="19" t="str">
        <f t="shared" si="2"/>
        <v> </v>
      </c>
      <c r="F5432" s="21"/>
    </row>
    <row r="5433">
      <c r="A5433" s="19">
        <v>17366.0</v>
      </c>
      <c r="B5433" s="19" t="s">
        <v>5415</v>
      </c>
      <c r="C5433" s="20">
        <v>15609.0</v>
      </c>
      <c r="D5433" s="19" t="str">
        <f t="shared" si="1"/>
        <v> </v>
      </c>
      <c r="E5433" s="19" t="str">
        <f t="shared" si="2"/>
        <v> </v>
      </c>
      <c r="F5433" s="21"/>
    </row>
    <row r="5434">
      <c r="A5434" s="19">
        <v>17367.0</v>
      </c>
      <c r="B5434" s="19" t="s">
        <v>5416</v>
      </c>
      <c r="C5434" s="20">
        <v>20919.0</v>
      </c>
      <c r="D5434" s="19" t="str">
        <f t="shared" si="1"/>
        <v> </v>
      </c>
      <c r="E5434" s="19" t="str">
        <f t="shared" si="2"/>
        <v> </v>
      </c>
      <c r="F5434" s="21"/>
    </row>
    <row r="5435">
      <c r="A5435" s="19">
        <v>17368.0</v>
      </c>
      <c r="B5435" s="19" t="s">
        <v>5417</v>
      </c>
      <c r="C5435" s="20">
        <v>15464.0</v>
      </c>
      <c r="D5435" s="19" t="str">
        <f t="shared" si="1"/>
        <v> </v>
      </c>
      <c r="E5435" s="19" t="str">
        <f t="shared" si="2"/>
        <v>Repeat</v>
      </c>
      <c r="F5435" s="21"/>
    </row>
    <row r="5436">
      <c r="A5436" s="19">
        <v>17369.0</v>
      </c>
      <c r="B5436" s="19" t="s">
        <v>5418</v>
      </c>
      <c r="C5436" s="20">
        <v>32288.0</v>
      </c>
      <c r="D5436" s="19" t="str">
        <f t="shared" si="1"/>
        <v> </v>
      </c>
      <c r="E5436" s="19" t="str">
        <f t="shared" si="2"/>
        <v> </v>
      </c>
      <c r="F5436" s="21"/>
    </row>
    <row r="5437">
      <c r="A5437" s="19">
        <v>17370.0</v>
      </c>
      <c r="B5437" s="19" t="s">
        <v>5419</v>
      </c>
      <c r="C5437" s="20">
        <v>19205.0</v>
      </c>
      <c r="D5437" s="19" t="str">
        <f t="shared" si="1"/>
        <v> </v>
      </c>
      <c r="E5437" s="19" t="str">
        <f t="shared" si="2"/>
        <v> </v>
      </c>
      <c r="F5437" s="21"/>
    </row>
    <row r="5438">
      <c r="A5438" s="19">
        <v>17371.0</v>
      </c>
      <c r="B5438" s="19" t="s">
        <v>5420</v>
      </c>
      <c r="C5438" s="20">
        <v>31691.0</v>
      </c>
      <c r="D5438" s="19" t="str">
        <f t="shared" si="1"/>
        <v> </v>
      </c>
      <c r="E5438" s="19" t="str">
        <f t="shared" si="2"/>
        <v> </v>
      </c>
      <c r="F5438" s="21"/>
    </row>
    <row r="5439">
      <c r="A5439" s="19">
        <v>17372.0</v>
      </c>
      <c r="B5439" s="19" t="s">
        <v>5421</v>
      </c>
      <c r="C5439" s="20">
        <v>28927.0</v>
      </c>
      <c r="D5439" s="19" t="str">
        <f t="shared" si="1"/>
        <v> </v>
      </c>
      <c r="E5439" s="19" t="str">
        <f t="shared" si="2"/>
        <v> </v>
      </c>
      <c r="F5439" s="21"/>
    </row>
    <row r="5440">
      <c r="A5440" s="19">
        <v>17373.0</v>
      </c>
      <c r="B5440" s="19" t="s">
        <v>5422</v>
      </c>
      <c r="C5440" s="20">
        <v>12052.0</v>
      </c>
      <c r="D5440" s="19" t="str">
        <f t="shared" si="1"/>
        <v> </v>
      </c>
      <c r="E5440" s="19" t="str">
        <f t="shared" si="2"/>
        <v> </v>
      </c>
      <c r="F5440" s="21"/>
    </row>
    <row r="5441">
      <c r="A5441" s="19">
        <v>17374.0</v>
      </c>
      <c r="B5441" s="19" t="s">
        <v>5423</v>
      </c>
      <c r="C5441" s="20">
        <v>18469.0</v>
      </c>
      <c r="D5441" s="19" t="str">
        <f t="shared" si="1"/>
        <v> </v>
      </c>
      <c r="E5441" s="19" t="str">
        <f t="shared" si="2"/>
        <v> </v>
      </c>
      <c r="F5441" s="21"/>
    </row>
    <row r="5442">
      <c r="A5442" s="19">
        <v>17375.0</v>
      </c>
      <c r="B5442" s="19" t="s">
        <v>5424</v>
      </c>
      <c r="C5442" s="20">
        <v>20256.0</v>
      </c>
      <c r="D5442" s="19" t="str">
        <f t="shared" si="1"/>
        <v> </v>
      </c>
      <c r="E5442" s="19" t="str">
        <f t="shared" si="2"/>
        <v> </v>
      </c>
      <c r="F5442" s="21"/>
    </row>
    <row r="5443">
      <c r="A5443" s="19">
        <v>17376.0</v>
      </c>
      <c r="B5443" s="19" t="s">
        <v>5425</v>
      </c>
      <c r="C5443" s="20">
        <v>16276.0</v>
      </c>
      <c r="D5443" s="19" t="str">
        <f t="shared" si="1"/>
        <v> </v>
      </c>
      <c r="E5443" s="19" t="str">
        <f t="shared" si="2"/>
        <v> </v>
      </c>
      <c r="F5443" s="21"/>
    </row>
    <row r="5444">
      <c r="A5444" s="19">
        <v>17377.0</v>
      </c>
      <c r="B5444" s="19" t="s">
        <v>5426</v>
      </c>
      <c r="C5444" s="20">
        <v>14196.0</v>
      </c>
      <c r="D5444" s="19" t="str">
        <f t="shared" si="1"/>
        <v> </v>
      </c>
      <c r="E5444" s="19" t="str">
        <f t="shared" si="2"/>
        <v> </v>
      </c>
      <c r="F5444" s="21"/>
    </row>
    <row r="5445">
      <c r="A5445" s="19">
        <v>17378.0</v>
      </c>
      <c r="B5445" s="19" t="s">
        <v>3125</v>
      </c>
      <c r="C5445" s="20">
        <v>15255.0</v>
      </c>
      <c r="D5445" s="19" t="str">
        <f t="shared" si="1"/>
        <v>Repeat</v>
      </c>
      <c r="E5445" s="19" t="str">
        <f t="shared" si="2"/>
        <v> </v>
      </c>
      <c r="F5445" s="21"/>
    </row>
    <row r="5446">
      <c r="A5446" s="19">
        <v>17380.0</v>
      </c>
      <c r="B5446" s="19" t="s">
        <v>5427</v>
      </c>
      <c r="C5446" s="20">
        <v>21029.0</v>
      </c>
      <c r="D5446" s="19" t="str">
        <f t="shared" si="1"/>
        <v> </v>
      </c>
      <c r="E5446" s="19" t="str">
        <f t="shared" si="2"/>
        <v> </v>
      </c>
      <c r="F5446" s="21"/>
    </row>
    <row r="5447">
      <c r="A5447" s="19">
        <v>17381.0</v>
      </c>
      <c r="B5447" s="19" t="s">
        <v>5428</v>
      </c>
      <c r="C5447" s="20">
        <v>28768.0</v>
      </c>
      <c r="D5447" s="19" t="str">
        <f t="shared" si="1"/>
        <v> </v>
      </c>
      <c r="E5447" s="19" t="str">
        <f t="shared" si="2"/>
        <v> </v>
      </c>
      <c r="F5447" s="21"/>
    </row>
    <row r="5448">
      <c r="A5448" s="19">
        <v>17382.0</v>
      </c>
      <c r="B5448" s="19" t="s">
        <v>5429</v>
      </c>
      <c r="C5448" s="20">
        <v>20693.0</v>
      </c>
      <c r="D5448" s="19" t="str">
        <f t="shared" si="1"/>
        <v> </v>
      </c>
      <c r="E5448" s="19" t="str">
        <f t="shared" si="2"/>
        <v> </v>
      </c>
      <c r="F5448" s="21"/>
    </row>
    <row r="5449">
      <c r="A5449" s="19">
        <v>17384.0</v>
      </c>
      <c r="B5449" s="19" t="s">
        <v>5430</v>
      </c>
      <c r="C5449" s="20">
        <v>19907.0</v>
      </c>
      <c r="D5449" s="19" t="str">
        <f t="shared" si="1"/>
        <v> </v>
      </c>
      <c r="E5449" s="19" t="str">
        <f t="shared" si="2"/>
        <v> </v>
      </c>
      <c r="F5449" s="21"/>
    </row>
    <row r="5450">
      <c r="A5450" s="19">
        <v>17385.0</v>
      </c>
      <c r="B5450" s="19" t="s">
        <v>5431</v>
      </c>
      <c r="C5450" s="20">
        <v>29501.0</v>
      </c>
      <c r="D5450" s="19" t="str">
        <f t="shared" si="1"/>
        <v> </v>
      </c>
      <c r="E5450" s="19" t="str">
        <f t="shared" si="2"/>
        <v> </v>
      </c>
      <c r="F5450" s="21"/>
    </row>
    <row r="5451">
      <c r="A5451" s="19">
        <v>17387.0</v>
      </c>
      <c r="B5451" s="19" t="s">
        <v>5432</v>
      </c>
      <c r="C5451" s="20">
        <v>19803.0</v>
      </c>
      <c r="D5451" s="19" t="str">
        <f t="shared" si="1"/>
        <v> </v>
      </c>
      <c r="E5451" s="19" t="str">
        <f t="shared" si="2"/>
        <v>Repeat</v>
      </c>
      <c r="F5451" s="21"/>
    </row>
    <row r="5452">
      <c r="A5452" s="19">
        <v>17388.0</v>
      </c>
      <c r="B5452" s="19" t="s">
        <v>5433</v>
      </c>
      <c r="C5452" s="20">
        <v>20837.0</v>
      </c>
      <c r="D5452" s="19" t="str">
        <f t="shared" si="1"/>
        <v> </v>
      </c>
      <c r="E5452" s="19" t="str">
        <f t="shared" si="2"/>
        <v> </v>
      </c>
      <c r="F5452" s="21"/>
    </row>
    <row r="5453">
      <c r="A5453" s="19">
        <v>17389.0</v>
      </c>
      <c r="B5453" s="19" t="s">
        <v>5434</v>
      </c>
      <c r="C5453" s="20">
        <v>25089.0</v>
      </c>
      <c r="D5453" s="19" t="str">
        <f t="shared" si="1"/>
        <v> </v>
      </c>
      <c r="E5453" s="19" t="str">
        <f t="shared" si="2"/>
        <v> </v>
      </c>
      <c r="F5453" s="21"/>
    </row>
    <row r="5454">
      <c r="A5454" s="19">
        <v>17390.0</v>
      </c>
      <c r="B5454" s="19" t="s">
        <v>5435</v>
      </c>
      <c r="C5454" s="20">
        <v>26869.0</v>
      </c>
      <c r="D5454" s="19" t="str">
        <f t="shared" si="1"/>
        <v> </v>
      </c>
      <c r="E5454" s="19" t="str">
        <f t="shared" si="2"/>
        <v> </v>
      </c>
      <c r="F5454" s="21"/>
    </row>
    <row r="5455">
      <c r="A5455" s="19">
        <v>17391.0</v>
      </c>
      <c r="B5455" s="19" t="s">
        <v>5436</v>
      </c>
      <c r="C5455" s="20">
        <v>21112.0</v>
      </c>
      <c r="D5455" s="19" t="str">
        <f t="shared" si="1"/>
        <v> </v>
      </c>
      <c r="E5455" s="19" t="str">
        <f t="shared" si="2"/>
        <v> </v>
      </c>
      <c r="F5455" s="21"/>
    </row>
    <row r="5456">
      <c r="A5456" s="19">
        <v>17392.0</v>
      </c>
      <c r="B5456" s="19" t="s">
        <v>5437</v>
      </c>
      <c r="C5456" s="20">
        <v>15475.0</v>
      </c>
      <c r="D5456" s="19" t="str">
        <f t="shared" si="1"/>
        <v> </v>
      </c>
      <c r="E5456" s="19" t="str">
        <f t="shared" si="2"/>
        <v> </v>
      </c>
      <c r="F5456" s="21"/>
    </row>
    <row r="5457">
      <c r="A5457" s="19">
        <v>15357.0</v>
      </c>
      <c r="B5457" s="19" t="s">
        <v>5438</v>
      </c>
      <c r="C5457" s="20">
        <v>24988.0</v>
      </c>
      <c r="D5457" s="19" t="str">
        <f t="shared" si="1"/>
        <v> </v>
      </c>
      <c r="E5457" s="19" t="str">
        <f t="shared" si="2"/>
        <v> </v>
      </c>
      <c r="F5457" s="21"/>
    </row>
    <row r="5458">
      <c r="A5458" s="19">
        <v>17394.0</v>
      </c>
      <c r="B5458" s="19" t="s">
        <v>5439</v>
      </c>
      <c r="C5458" s="20">
        <v>20350.0</v>
      </c>
      <c r="D5458" s="19" t="str">
        <f t="shared" si="1"/>
        <v> </v>
      </c>
      <c r="E5458" s="19" t="str">
        <f t="shared" si="2"/>
        <v> </v>
      </c>
      <c r="F5458" s="21"/>
    </row>
    <row r="5459">
      <c r="A5459" s="19">
        <v>17396.0</v>
      </c>
      <c r="B5459" s="19" t="s">
        <v>5440</v>
      </c>
      <c r="C5459" s="20">
        <v>18132.0</v>
      </c>
      <c r="D5459" s="19" t="str">
        <f t="shared" si="1"/>
        <v> </v>
      </c>
      <c r="E5459" s="19" t="str">
        <f t="shared" si="2"/>
        <v> </v>
      </c>
      <c r="F5459" s="21"/>
    </row>
    <row r="5460">
      <c r="A5460" s="19">
        <v>17397.0</v>
      </c>
      <c r="B5460" s="19" t="s">
        <v>5441</v>
      </c>
      <c r="C5460" s="20">
        <v>24358.0</v>
      </c>
      <c r="D5460" s="19" t="str">
        <f t="shared" si="1"/>
        <v> </v>
      </c>
      <c r="E5460" s="19" t="str">
        <f t="shared" si="2"/>
        <v> </v>
      </c>
      <c r="F5460" s="21"/>
    </row>
    <row r="5461">
      <c r="A5461" s="19">
        <v>17399.0</v>
      </c>
      <c r="B5461" s="19" t="s">
        <v>5442</v>
      </c>
      <c r="C5461" s="20">
        <v>19585.0</v>
      </c>
      <c r="D5461" s="19" t="str">
        <f t="shared" si="1"/>
        <v> </v>
      </c>
      <c r="E5461" s="19" t="str">
        <f t="shared" si="2"/>
        <v> </v>
      </c>
      <c r="F5461" s="21"/>
    </row>
    <row r="5462">
      <c r="A5462" s="19">
        <v>17400.0</v>
      </c>
      <c r="B5462" s="19" t="s">
        <v>5443</v>
      </c>
      <c r="C5462" s="20">
        <v>22359.0</v>
      </c>
      <c r="D5462" s="19" t="str">
        <f t="shared" si="1"/>
        <v> </v>
      </c>
      <c r="E5462" s="19" t="str">
        <f t="shared" si="2"/>
        <v> </v>
      </c>
      <c r="F5462" s="21"/>
    </row>
    <row r="5463">
      <c r="A5463" s="19">
        <v>17401.0</v>
      </c>
      <c r="B5463" s="19" t="s">
        <v>5444</v>
      </c>
      <c r="C5463" s="20">
        <v>19270.0</v>
      </c>
      <c r="D5463" s="19" t="str">
        <f t="shared" si="1"/>
        <v> </v>
      </c>
      <c r="E5463" s="19" t="str">
        <f t="shared" si="2"/>
        <v> </v>
      </c>
      <c r="F5463" s="21"/>
    </row>
    <row r="5464">
      <c r="A5464" s="19">
        <v>17402.0</v>
      </c>
      <c r="B5464" s="19" t="s">
        <v>5445</v>
      </c>
      <c r="C5464" s="20">
        <v>34747.0</v>
      </c>
      <c r="D5464" s="19" t="str">
        <f t="shared" si="1"/>
        <v> </v>
      </c>
      <c r="E5464" s="19" t="str">
        <f t="shared" si="2"/>
        <v> </v>
      </c>
      <c r="F5464" s="21"/>
    </row>
    <row r="5465">
      <c r="A5465" s="19">
        <v>17403.0</v>
      </c>
      <c r="B5465" s="19" t="s">
        <v>5446</v>
      </c>
      <c r="C5465" s="20">
        <v>26246.0</v>
      </c>
      <c r="D5465" s="19" t="str">
        <f t="shared" si="1"/>
        <v> </v>
      </c>
      <c r="E5465" s="19" t="str">
        <f t="shared" si="2"/>
        <v> </v>
      </c>
      <c r="F5465" s="21"/>
    </row>
    <row r="5466">
      <c r="A5466" s="19">
        <v>17405.0</v>
      </c>
      <c r="B5466" s="19" t="s">
        <v>5447</v>
      </c>
      <c r="C5466" s="20">
        <v>21578.0</v>
      </c>
      <c r="D5466" s="19" t="str">
        <f t="shared" si="1"/>
        <v> </v>
      </c>
      <c r="E5466" s="19" t="str">
        <f t="shared" si="2"/>
        <v> </v>
      </c>
      <c r="F5466" s="21"/>
    </row>
    <row r="5467">
      <c r="A5467" s="19">
        <v>17407.0</v>
      </c>
      <c r="B5467" s="19" t="s">
        <v>5448</v>
      </c>
      <c r="C5467" s="20">
        <v>37004.0</v>
      </c>
      <c r="D5467" s="19" t="str">
        <f t="shared" si="1"/>
        <v> </v>
      </c>
      <c r="E5467" s="19" t="str">
        <f t="shared" si="2"/>
        <v> </v>
      </c>
      <c r="F5467" s="21"/>
    </row>
    <row r="5468">
      <c r="A5468" s="19">
        <v>17408.0</v>
      </c>
      <c r="B5468" s="19" t="s">
        <v>5449</v>
      </c>
      <c r="C5468" s="20">
        <v>15793.0</v>
      </c>
      <c r="D5468" s="19" t="str">
        <f t="shared" si="1"/>
        <v> </v>
      </c>
      <c r="E5468" s="19" t="str">
        <f t="shared" si="2"/>
        <v> </v>
      </c>
      <c r="F5468" s="21"/>
    </row>
    <row r="5469">
      <c r="A5469" s="19">
        <v>17410.0</v>
      </c>
      <c r="B5469" s="19" t="s">
        <v>5450</v>
      </c>
      <c r="C5469" s="20">
        <v>21489.0</v>
      </c>
      <c r="D5469" s="19" t="str">
        <f t="shared" si="1"/>
        <v> </v>
      </c>
      <c r="E5469" s="19" t="str">
        <f t="shared" si="2"/>
        <v> </v>
      </c>
      <c r="F5469" s="21"/>
    </row>
    <row r="5470">
      <c r="A5470" s="19">
        <v>17413.0</v>
      </c>
      <c r="B5470" s="19" t="s">
        <v>5451</v>
      </c>
      <c r="C5470" s="20">
        <v>23082.0</v>
      </c>
      <c r="D5470" s="19" t="str">
        <f t="shared" si="1"/>
        <v> </v>
      </c>
      <c r="E5470" s="19" t="str">
        <f t="shared" si="2"/>
        <v> </v>
      </c>
      <c r="F5470" s="21"/>
    </row>
    <row r="5471">
      <c r="A5471" s="19">
        <v>17414.0</v>
      </c>
      <c r="B5471" s="19" t="s">
        <v>5452</v>
      </c>
      <c r="C5471" s="20">
        <v>18170.0</v>
      </c>
      <c r="D5471" s="19" t="str">
        <f t="shared" si="1"/>
        <v> </v>
      </c>
      <c r="E5471" s="19" t="str">
        <f t="shared" si="2"/>
        <v> </v>
      </c>
      <c r="F5471" s="21"/>
    </row>
    <row r="5472">
      <c r="A5472" s="19">
        <v>17415.0</v>
      </c>
      <c r="B5472" s="19" t="s">
        <v>5453</v>
      </c>
      <c r="C5472" s="20">
        <v>27400.0</v>
      </c>
      <c r="D5472" s="19" t="str">
        <f t="shared" si="1"/>
        <v> </v>
      </c>
      <c r="E5472" s="19" t="str">
        <f t="shared" si="2"/>
        <v> </v>
      </c>
      <c r="F5472" s="21"/>
    </row>
    <row r="5473">
      <c r="A5473" s="19">
        <v>17417.0</v>
      </c>
      <c r="B5473" s="19" t="s">
        <v>5454</v>
      </c>
      <c r="C5473" s="20">
        <v>18931.0</v>
      </c>
      <c r="D5473" s="19" t="str">
        <f t="shared" si="1"/>
        <v> </v>
      </c>
      <c r="E5473" s="19" t="str">
        <f t="shared" si="2"/>
        <v> </v>
      </c>
      <c r="F5473" s="21"/>
    </row>
    <row r="5474">
      <c r="A5474" s="19">
        <v>17418.0</v>
      </c>
      <c r="B5474" s="19" t="s">
        <v>5455</v>
      </c>
      <c r="C5474" s="20">
        <v>24776.0</v>
      </c>
      <c r="D5474" s="19" t="str">
        <f t="shared" si="1"/>
        <v> </v>
      </c>
      <c r="E5474" s="19" t="str">
        <f t="shared" si="2"/>
        <v> </v>
      </c>
      <c r="F5474" s="21"/>
    </row>
    <row r="5475">
      <c r="A5475" s="19">
        <v>17419.0</v>
      </c>
      <c r="B5475" s="19" t="s">
        <v>5456</v>
      </c>
      <c r="C5475" s="20">
        <v>22908.0</v>
      </c>
      <c r="D5475" s="19" t="str">
        <f t="shared" si="1"/>
        <v> </v>
      </c>
      <c r="E5475" s="19" t="str">
        <f t="shared" si="2"/>
        <v> </v>
      </c>
      <c r="F5475" s="21"/>
    </row>
    <row r="5476">
      <c r="A5476" s="19">
        <v>17420.0</v>
      </c>
      <c r="B5476" s="19" t="s">
        <v>5457</v>
      </c>
      <c r="C5476" s="20">
        <v>34414.0</v>
      </c>
      <c r="D5476" s="19" t="str">
        <f t="shared" si="1"/>
        <v> </v>
      </c>
      <c r="E5476" s="19" t="str">
        <f t="shared" si="2"/>
        <v> </v>
      </c>
      <c r="F5476" s="21"/>
    </row>
    <row r="5477">
      <c r="A5477" s="19">
        <v>17421.0</v>
      </c>
      <c r="B5477" s="19" t="s">
        <v>5458</v>
      </c>
      <c r="C5477" s="20">
        <v>22316.0</v>
      </c>
      <c r="D5477" s="19" t="str">
        <f t="shared" si="1"/>
        <v> </v>
      </c>
      <c r="E5477" s="19" t="str">
        <f t="shared" si="2"/>
        <v> </v>
      </c>
      <c r="F5477" s="21"/>
    </row>
    <row r="5478">
      <c r="A5478" s="19">
        <v>16094.0</v>
      </c>
      <c r="B5478" s="19" t="s">
        <v>5459</v>
      </c>
      <c r="C5478" s="20">
        <v>22960.0</v>
      </c>
      <c r="D5478" s="19" t="str">
        <f t="shared" si="1"/>
        <v> </v>
      </c>
      <c r="E5478" s="19" t="str">
        <f t="shared" si="2"/>
        <v>Repeat</v>
      </c>
      <c r="F5478" s="21"/>
    </row>
    <row r="5479">
      <c r="A5479" s="19">
        <v>17423.0</v>
      </c>
      <c r="B5479" s="19" t="s">
        <v>5460</v>
      </c>
      <c r="C5479" s="20">
        <v>25877.0</v>
      </c>
      <c r="D5479" s="19" t="str">
        <f t="shared" si="1"/>
        <v> </v>
      </c>
      <c r="E5479" s="19" t="str">
        <f t="shared" si="2"/>
        <v> </v>
      </c>
      <c r="F5479" s="21"/>
    </row>
    <row r="5480">
      <c r="A5480" s="19">
        <v>17424.0</v>
      </c>
      <c r="B5480" s="19" t="s">
        <v>5461</v>
      </c>
      <c r="C5480" s="20">
        <v>30127.0</v>
      </c>
      <c r="D5480" s="19" t="str">
        <f t="shared" si="1"/>
        <v> </v>
      </c>
      <c r="E5480" s="19" t="str">
        <f t="shared" si="2"/>
        <v> </v>
      </c>
      <c r="F5480" s="21"/>
    </row>
    <row r="5481">
      <c r="A5481" s="19">
        <v>17425.0</v>
      </c>
      <c r="B5481" s="19" t="s">
        <v>5462</v>
      </c>
      <c r="C5481" s="20">
        <v>22145.0</v>
      </c>
      <c r="D5481" s="19" t="str">
        <f t="shared" si="1"/>
        <v> </v>
      </c>
      <c r="E5481" s="19" t="str">
        <f t="shared" si="2"/>
        <v> </v>
      </c>
      <c r="F5481" s="21"/>
    </row>
    <row r="5482">
      <c r="A5482" s="19">
        <v>17427.0</v>
      </c>
      <c r="B5482" s="19" t="s">
        <v>5463</v>
      </c>
      <c r="C5482" s="20">
        <v>19807.0</v>
      </c>
      <c r="D5482" s="19" t="str">
        <f t="shared" si="1"/>
        <v> </v>
      </c>
      <c r="E5482" s="19" t="str">
        <f t="shared" si="2"/>
        <v> </v>
      </c>
      <c r="F5482" s="21"/>
    </row>
    <row r="5483">
      <c r="A5483" s="19">
        <v>17428.0</v>
      </c>
      <c r="B5483" s="19" t="s">
        <v>5464</v>
      </c>
      <c r="C5483" s="20">
        <v>19307.0</v>
      </c>
      <c r="D5483" s="19" t="str">
        <f t="shared" si="1"/>
        <v> </v>
      </c>
      <c r="E5483" s="19" t="str">
        <f t="shared" si="2"/>
        <v> </v>
      </c>
      <c r="F5483" s="21"/>
    </row>
    <row r="5484">
      <c r="A5484" s="19">
        <v>17429.0</v>
      </c>
      <c r="B5484" s="19" t="s">
        <v>1801</v>
      </c>
      <c r="C5484" s="20">
        <v>22303.0</v>
      </c>
      <c r="D5484" s="19" t="str">
        <f t="shared" si="1"/>
        <v>Repeat</v>
      </c>
      <c r="E5484" s="19" t="str">
        <f t="shared" si="2"/>
        <v> </v>
      </c>
      <c r="F5484" s="21"/>
    </row>
    <row r="5485">
      <c r="A5485" s="19">
        <v>17430.0</v>
      </c>
      <c r="B5485" s="19" t="s">
        <v>5465</v>
      </c>
      <c r="C5485" s="20">
        <v>22361.0</v>
      </c>
      <c r="D5485" s="19" t="str">
        <f t="shared" si="1"/>
        <v> </v>
      </c>
      <c r="E5485" s="19" t="str">
        <f t="shared" si="2"/>
        <v> </v>
      </c>
      <c r="F5485" s="21"/>
    </row>
    <row r="5486">
      <c r="A5486" s="19">
        <v>17431.0</v>
      </c>
      <c r="B5486" s="19" t="s">
        <v>5466</v>
      </c>
      <c r="C5486" s="20">
        <v>30474.0</v>
      </c>
      <c r="D5486" s="19" t="str">
        <f t="shared" si="1"/>
        <v> </v>
      </c>
      <c r="E5486" s="19" t="str">
        <f t="shared" si="2"/>
        <v> </v>
      </c>
      <c r="F5486" s="21"/>
    </row>
    <row r="5487">
      <c r="A5487" s="19">
        <v>17432.0</v>
      </c>
      <c r="B5487" s="19" t="s">
        <v>5467</v>
      </c>
      <c r="C5487" s="20">
        <v>28960.0</v>
      </c>
      <c r="D5487" s="19" t="str">
        <f t="shared" si="1"/>
        <v> </v>
      </c>
      <c r="E5487" s="19" t="str">
        <f t="shared" si="2"/>
        <v> </v>
      </c>
      <c r="F5487" s="21"/>
    </row>
    <row r="5488">
      <c r="A5488" s="19">
        <v>17433.0</v>
      </c>
      <c r="B5488" s="19" t="s">
        <v>5468</v>
      </c>
      <c r="C5488" s="20">
        <v>17676.0</v>
      </c>
      <c r="D5488" s="19" t="str">
        <f t="shared" si="1"/>
        <v> </v>
      </c>
      <c r="E5488" s="19" t="str">
        <f t="shared" si="2"/>
        <v> </v>
      </c>
      <c r="F5488" s="21"/>
    </row>
    <row r="5489">
      <c r="A5489" s="19">
        <v>17434.0</v>
      </c>
      <c r="B5489" s="19" t="s">
        <v>5469</v>
      </c>
      <c r="C5489" s="20">
        <v>23737.0</v>
      </c>
      <c r="D5489" s="19" t="str">
        <f t="shared" si="1"/>
        <v> </v>
      </c>
      <c r="E5489" s="19" t="str">
        <f t="shared" si="2"/>
        <v> </v>
      </c>
      <c r="F5489" s="21"/>
    </row>
    <row r="5490">
      <c r="A5490" s="19">
        <v>17436.0</v>
      </c>
      <c r="B5490" s="19" t="s">
        <v>5470</v>
      </c>
      <c r="C5490" s="20">
        <v>20046.0</v>
      </c>
      <c r="D5490" s="19" t="str">
        <f t="shared" si="1"/>
        <v> </v>
      </c>
      <c r="E5490" s="19" t="str">
        <f t="shared" si="2"/>
        <v> </v>
      </c>
      <c r="F5490" s="21"/>
    </row>
    <row r="5491">
      <c r="A5491" s="22">
        <v>17437.0</v>
      </c>
      <c r="B5491" s="22" t="s">
        <v>5471</v>
      </c>
      <c r="C5491" s="23">
        <v>21770.0</v>
      </c>
      <c r="D5491" s="19" t="str">
        <f t="shared" si="1"/>
        <v> </v>
      </c>
      <c r="E5491" s="19" t="str">
        <f t="shared" si="2"/>
        <v> </v>
      </c>
      <c r="F5491" s="21"/>
    </row>
    <row r="5492">
      <c r="A5492" s="19">
        <v>17438.0</v>
      </c>
      <c r="B5492" s="19" t="s">
        <v>5472</v>
      </c>
      <c r="C5492" s="20">
        <v>30556.0</v>
      </c>
      <c r="D5492" s="19" t="str">
        <f t="shared" si="1"/>
        <v>Repeat</v>
      </c>
      <c r="E5492" s="19" t="str">
        <f t="shared" si="2"/>
        <v> </v>
      </c>
      <c r="F5492" s="21"/>
    </row>
    <row r="5493">
      <c r="A5493" s="19">
        <v>17439.0</v>
      </c>
      <c r="B5493" s="19" t="s">
        <v>5473</v>
      </c>
      <c r="C5493" s="20">
        <v>21513.0</v>
      </c>
      <c r="D5493" s="19" t="str">
        <f t="shared" si="1"/>
        <v> </v>
      </c>
      <c r="E5493" s="19" t="str">
        <f t="shared" si="2"/>
        <v> </v>
      </c>
      <c r="F5493" s="21"/>
    </row>
    <row r="5494">
      <c r="A5494" s="19">
        <v>17441.0</v>
      </c>
      <c r="B5494" s="19" t="s">
        <v>5474</v>
      </c>
      <c r="C5494" s="20">
        <v>36427.0</v>
      </c>
      <c r="D5494" s="19" t="str">
        <f t="shared" si="1"/>
        <v> </v>
      </c>
      <c r="E5494" s="19" t="str">
        <f t="shared" si="2"/>
        <v> </v>
      </c>
      <c r="F5494" s="21"/>
    </row>
    <row r="5495">
      <c r="A5495" s="19">
        <v>17442.0</v>
      </c>
      <c r="B5495" s="19" t="s">
        <v>5475</v>
      </c>
      <c r="C5495" s="20">
        <v>23797.0</v>
      </c>
      <c r="D5495" s="19" t="str">
        <f t="shared" si="1"/>
        <v> </v>
      </c>
      <c r="E5495" s="19" t="str">
        <f t="shared" si="2"/>
        <v> </v>
      </c>
      <c r="F5495" s="21"/>
    </row>
    <row r="5496">
      <c r="A5496" s="22">
        <v>17445.0</v>
      </c>
      <c r="B5496" s="22" t="s">
        <v>5476</v>
      </c>
      <c r="C5496" s="23">
        <v>30569.0</v>
      </c>
      <c r="D5496" s="19" t="str">
        <f t="shared" si="1"/>
        <v> </v>
      </c>
      <c r="E5496" s="19" t="str">
        <f t="shared" si="2"/>
        <v> </v>
      </c>
      <c r="F5496" s="21"/>
    </row>
    <row r="5497">
      <c r="A5497" s="19">
        <v>17446.0</v>
      </c>
      <c r="B5497" s="19" t="s">
        <v>5477</v>
      </c>
      <c r="C5497" s="20">
        <v>20491.0</v>
      </c>
      <c r="D5497" s="19" t="str">
        <f t="shared" si="1"/>
        <v> </v>
      </c>
      <c r="E5497" s="19" t="str">
        <f t="shared" si="2"/>
        <v> </v>
      </c>
      <c r="F5497" s="21"/>
    </row>
    <row r="5498">
      <c r="A5498" s="19">
        <v>17448.0</v>
      </c>
      <c r="B5498" s="19" t="s">
        <v>5478</v>
      </c>
      <c r="C5498" s="20">
        <v>17192.0</v>
      </c>
      <c r="D5498" s="19" t="str">
        <f t="shared" si="1"/>
        <v> </v>
      </c>
      <c r="E5498" s="19" t="str">
        <f t="shared" si="2"/>
        <v> </v>
      </c>
      <c r="F5498" s="21"/>
    </row>
    <row r="5499">
      <c r="A5499" s="19">
        <v>17449.0</v>
      </c>
      <c r="B5499" s="19" t="s">
        <v>5479</v>
      </c>
      <c r="C5499" s="20">
        <v>24002.0</v>
      </c>
      <c r="D5499" s="19" t="str">
        <f t="shared" si="1"/>
        <v> </v>
      </c>
      <c r="E5499" s="19" t="str">
        <f t="shared" si="2"/>
        <v> </v>
      </c>
      <c r="F5499" s="21"/>
    </row>
    <row r="5500">
      <c r="A5500" s="19">
        <v>17450.0</v>
      </c>
      <c r="B5500" s="19" t="s">
        <v>5480</v>
      </c>
      <c r="C5500" s="20">
        <v>28887.0</v>
      </c>
      <c r="D5500" s="19" t="str">
        <f t="shared" si="1"/>
        <v> </v>
      </c>
      <c r="E5500" s="19" t="str">
        <f t="shared" si="2"/>
        <v> </v>
      </c>
      <c r="F5500" s="21"/>
    </row>
    <row r="5501">
      <c r="A5501" s="19">
        <v>17451.0</v>
      </c>
      <c r="B5501" s="19" t="s">
        <v>5481</v>
      </c>
      <c r="C5501" s="20">
        <v>16017.0</v>
      </c>
      <c r="D5501" s="19" t="str">
        <f t="shared" si="1"/>
        <v> </v>
      </c>
      <c r="E5501" s="19" t="str">
        <f t="shared" si="2"/>
        <v> </v>
      </c>
      <c r="F5501" s="21"/>
    </row>
    <row r="5502">
      <c r="A5502" s="19">
        <v>17453.0</v>
      </c>
      <c r="B5502" s="19" t="s">
        <v>5482</v>
      </c>
      <c r="C5502" s="20">
        <v>28969.0</v>
      </c>
      <c r="D5502" s="19" t="str">
        <f t="shared" si="1"/>
        <v> </v>
      </c>
      <c r="E5502" s="19" t="str">
        <f t="shared" si="2"/>
        <v> </v>
      </c>
      <c r="F5502" s="21"/>
    </row>
    <row r="5503">
      <c r="A5503" s="19">
        <v>17454.0</v>
      </c>
      <c r="B5503" s="19" t="s">
        <v>5483</v>
      </c>
      <c r="C5503" s="20">
        <v>14356.0</v>
      </c>
      <c r="D5503" s="19" t="str">
        <f t="shared" si="1"/>
        <v> </v>
      </c>
      <c r="E5503" s="19" t="str">
        <f t="shared" si="2"/>
        <v> </v>
      </c>
      <c r="F5503" s="21"/>
    </row>
    <row r="5504">
      <c r="A5504" s="19">
        <v>17455.0</v>
      </c>
      <c r="B5504" s="19" t="s">
        <v>5484</v>
      </c>
      <c r="C5504" s="20">
        <v>16904.0</v>
      </c>
      <c r="D5504" s="19" t="str">
        <f t="shared" si="1"/>
        <v> </v>
      </c>
      <c r="E5504" s="19" t="str">
        <f t="shared" si="2"/>
        <v> </v>
      </c>
      <c r="F5504" s="21"/>
    </row>
    <row r="5505">
      <c r="A5505" s="19">
        <v>17456.0</v>
      </c>
      <c r="B5505" s="19" t="s">
        <v>5485</v>
      </c>
      <c r="C5505" s="20">
        <v>30232.0</v>
      </c>
      <c r="D5505" s="19" t="str">
        <f t="shared" si="1"/>
        <v> </v>
      </c>
      <c r="E5505" s="19" t="str">
        <f t="shared" si="2"/>
        <v> </v>
      </c>
      <c r="F5505" s="21"/>
    </row>
    <row r="5506">
      <c r="A5506" s="19">
        <v>17457.0</v>
      </c>
      <c r="B5506" s="19" t="s">
        <v>5486</v>
      </c>
      <c r="C5506" s="20">
        <v>13539.0</v>
      </c>
      <c r="D5506" s="19" t="str">
        <f t="shared" si="1"/>
        <v> </v>
      </c>
      <c r="E5506" s="19" t="str">
        <f t="shared" si="2"/>
        <v> </v>
      </c>
      <c r="F5506" s="21"/>
    </row>
    <row r="5507">
      <c r="A5507" s="19">
        <v>17458.0</v>
      </c>
      <c r="B5507" s="19" t="s">
        <v>5487</v>
      </c>
      <c r="C5507" s="20">
        <v>14496.0</v>
      </c>
      <c r="D5507" s="19" t="str">
        <f t="shared" si="1"/>
        <v> </v>
      </c>
      <c r="E5507" s="19" t="str">
        <f t="shared" si="2"/>
        <v> </v>
      </c>
      <c r="F5507" s="21"/>
    </row>
    <row r="5508">
      <c r="A5508" s="19">
        <v>17459.0</v>
      </c>
      <c r="B5508" s="19" t="s">
        <v>5488</v>
      </c>
      <c r="C5508" s="20">
        <v>16684.0</v>
      </c>
      <c r="D5508" s="19" t="str">
        <f t="shared" si="1"/>
        <v> </v>
      </c>
      <c r="E5508" s="19" t="str">
        <f t="shared" si="2"/>
        <v> </v>
      </c>
      <c r="F5508" s="21"/>
    </row>
    <row r="5509">
      <c r="A5509" s="19">
        <v>17460.0</v>
      </c>
      <c r="B5509" s="19" t="s">
        <v>5489</v>
      </c>
      <c r="C5509" s="20">
        <v>17269.0</v>
      </c>
      <c r="D5509" s="19" t="str">
        <f t="shared" si="1"/>
        <v> </v>
      </c>
      <c r="E5509" s="19" t="str">
        <f t="shared" si="2"/>
        <v> </v>
      </c>
      <c r="F5509" s="21"/>
    </row>
    <row r="5510">
      <c r="A5510" s="19">
        <v>17461.0</v>
      </c>
      <c r="B5510" s="19" t="s">
        <v>5490</v>
      </c>
      <c r="C5510" s="20">
        <v>27036.0</v>
      </c>
      <c r="D5510" s="19" t="str">
        <f t="shared" si="1"/>
        <v> </v>
      </c>
      <c r="E5510" s="19" t="str">
        <f t="shared" si="2"/>
        <v>Repeat</v>
      </c>
      <c r="F5510" s="21"/>
    </row>
    <row r="5511">
      <c r="A5511" s="19">
        <v>17462.0</v>
      </c>
      <c r="B5511" s="19" t="s">
        <v>5491</v>
      </c>
      <c r="C5511" s="20">
        <v>25331.0</v>
      </c>
      <c r="D5511" s="19" t="str">
        <f t="shared" si="1"/>
        <v> </v>
      </c>
      <c r="E5511" s="19" t="str">
        <f t="shared" si="2"/>
        <v> </v>
      </c>
      <c r="F5511" s="21"/>
    </row>
    <row r="5512">
      <c r="A5512" s="19">
        <v>17463.0</v>
      </c>
      <c r="B5512" s="19" t="s">
        <v>5492</v>
      </c>
      <c r="C5512" s="20">
        <v>20156.0</v>
      </c>
      <c r="D5512" s="19" t="str">
        <f t="shared" si="1"/>
        <v> </v>
      </c>
      <c r="E5512" s="19" t="str">
        <f t="shared" si="2"/>
        <v> </v>
      </c>
      <c r="F5512" s="21"/>
    </row>
    <row r="5513">
      <c r="A5513" s="19">
        <v>17465.0</v>
      </c>
      <c r="B5513" s="19" t="s">
        <v>5493</v>
      </c>
      <c r="C5513" s="20">
        <v>28970.0</v>
      </c>
      <c r="D5513" s="19" t="str">
        <f t="shared" si="1"/>
        <v> </v>
      </c>
      <c r="E5513" s="19" t="str">
        <f t="shared" si="2"/>
        <v> </v>
      </c>
      <c r="F5513" s="21"/>
    </row>
    <row r="5514">
      <c r="A5514" s="19">
        <v>17466.0</v>
      </c>
      <c r="B5514" s="19" t="s">
        <v>5494</v>
      </c>
      <c r="C5514" s="20">
        <v>18881.0</v>
      </c>
      <c r="D5514" s="19" t="str">
        <f t="shared" si="1"/>
        <v> </v>
      </c>
      <c r="E5514" s="19" t="str">
        <f t="shared" si="2"/>
        <v> </v>
      </c>
      <c r="F5514" s="21"/>
    </row>
    <row r="5515">
      <c r="A5515" s="19">
        <v>17467.0</v>
      </c>
      <c r="B5515" s="19" t="s">
        <v>5495</v>
      </c>
      <c r="C5515" s="20">
        <v>13952.0</v>
      </c>
      <c r="D5515" s="19" t="str">
        <f t="shared" si="1"/>
        <v> </v>
      </c>
      <c r="E5515" s="19" t="str">
        <f t="shared" si="2"/>
        <v> </v>
      </c>
      <c r="F5515" s="21"/>
    </row>
    <row r="5516">
      <c r="A5516" s="19">
        <v>17468.0</v>
      </c>
      <c r="B5516" s="19" t="s">
        <v>5496</v>
      </c>
      <c r="C5516" s="20">
        <v>24099.0</v>
      </c>
      <c r="D5516" s="19" t="str">
        <f t="shared" si="1"/>
        <v> </v>
      </c>
      <c r="E5516" s="19" t="str">
        <f t="shared" si="2"/>
        <v> </v>
      </c>
      <c r="F5516" s="21"/>
    </row>
    <row r="5517">
      <c r="A5517" s="19">
        <v>17469.0</v>
      </c>
      <c r="B5517" s="19" t="s">
        <v>5497</v>
      </c>
      <c r="C5517" s="20">
        <v>24017.0</v>
      </c>
      <c r="D5517" s="19" t="str">
        <f t="shared" si="1"/>
        <v> </v>
      </c>
      <c r="E5517" s="19" t="str">
        <f t="shared" si="2"/>
        <v>Repeat</v>
      </c>
      <c r="F5517" s="21"/>
    </row>
    <row r="5518">
      <c r="A5518" s="19">
        <v>17470.0</v>
      </c>
      <c r="B5518" s="19" t="s">
        <v>5498</v>
      </c>
      <c r="C5518" s="20">
        <v>34674.0</v>
      </c>
      <c r="D5518" s="19" t="str">
        <f t="shared" si="1"/>
        <v> </v>
      </c>
      <c r="E5518" s="19" t="str">
        <f t="shared" si="2"/>
        <v> </v>
      </c>
      <c r="F5518" s="21"/>
    </row>
    <row r="5519">
      <c r="A5519" s="19">
        <v>17471.0</v>
      </c>
      <c r="B5519" s="19" t="s">
        <v>5499</v>
      </c>
      <c r="C5519" s="20">
        <v>19775.0</v>
      </c>
      <c r="D5519" s="19" t="str">
        <f t="shared" si="1"/>
        <v> </v>
      </c>
      <c r="E5519" s="19" t="str">
        <f t="shared" si="2"/>
        <v> </v>
      </c>
      <c r="F5519" s="21"/>
    </row>
    <row r="5520">
      <c r="A5520" s="19">
        <v>17472.0</v>
      </c>
      <c r="B5520" s="19" t="s">
        <v>5500</v>
      </c>
      <c r="C5520" s="20">
        <v>23857.0</v>
      </c>
      <c r="D5520" s="19" t="str">
        <f t="shared" si="1"/>
        <v> </v>
      </c>
      <c r="E5520" s="19" t="str">
        <f t="shared" si="2"/>
        <v>Repeat</v>
      </c>
      <c r="F5520" s="21"/>
    </row>
    <row r="5521">
      <c r="A5521" s="19">
        <v>17473.0</v>
      </c>
      <c r="B5521" s="19" t="s">
        <v>5501</v>
      </c>
      <c r="C5521" s="20">
        <v>16243.0</v>
      </c>
      <c r="D5521" s="19" t="str">
        <f t="shared" si="1"/>
        <v> </v>
      </c>
      <c r="E5521" s="19" t="str">
        <f t="shared" si="2"/>
        <v> </v>
      </c>
      <c r="F5521" s="21"/>
    </row>
    <row r="5522">
      <c r="A5522" s="19">
        <v>17474.0</v>
      </c>
      <c r="B5522" s="19" t="s">
        <v>5502</v>
      </c>
      <c r="C5522" s="20">
        <v>31388.0</v>
      </c>
      <c r="D5522" s="19" t="str">
        <f t="shared" si="1"/>
        <v> </v>
      </c>
      <c r="E5522" s="19" t="str">
        <f t="shared" si="2"/>
        <v> </v>
      </c>
      <c r="F5522" s="21"/>
    </row>
    <row r="5523">
      <c r="A5523" s="19">
        <v>17475.0</v>
      </c>
      <c r="B5523" s="19" t="s">
        <v>5503</v>
      </c>
      <c r="C5523" s="20">
        <v>29600.0</v>
      </c>
      <c r="D5523" s="19" t="str">
        <f t="shared" si="1"/>
        <v> </v>
      </c>
      <c r="E5523" s="19" t="str">
        <f t="shared" si="2"/>
        <v> </v>
      </c>
      <c r="F5523" s="21"/>
    </row>
    <row r="5524">
      <c r="A5524" s="19">
        <v>17476.0</v>
      </c>
      <c r="B5524" s="19" t="s">
        <v>5504</v>
      </c>
      <c r="C5524" s="20">
        <v>18351.0</v>
      </c>
      <c r="D5524" s="19" t="str">
        <f t="shared" si="1"/>
        <v> </v>
      </c>
      <c r="E5524" s="19" t="str">
        <f t="shared" si="2"/>
        <v> </v>
      </c>
      <c r="F5524" s="21"/>
    </row>
    <row r="5525">
      <c r="A5525" s="19">
        <v>17477.0</v>
      </c>
      <c r="B5525" s="19" t="s">
        <v>5505</v>
      </c>
      <c r="C5525" s="20">
        <v>17264.0</v>
      </c>
      <c r="D5525" s="19" t="str">
        <f t="shared" si="1"/>
        <v> </v>
      </c>
      <c r="E5525" s="19" t="str">
        <f t="shared" si="2"/>
        <v> </v>
      </c>
      <c r="F5525" s="21"/>
    </row>
    <row r="5526">
      <c r="A5526" s="19">
        <v>17478.0</v>
      </c>
      <c r="B5526" s="19" t="s">
        <v>5506</v>
      </c>
      <c r="C5526" s="20">
        <v>17962.0</v>
      </c>
      <c r="D5526" s="19" t="str">
        <f t="shared" si="1"/>
        <v> </v>
      </c>
      <c r="E5526" s="19" t="str">
        <f t="shared" si="2"/>
        <v> </v>
      </c>
      <c r="F5526" s="21"/>
    </row>
    <row r="5527">
      <c r="A5527" s="19">
        <v>17481.0</v>
      </c>
      <c r="B5527" s="19" t="s">
        <v>5507</v>
      </c>
      <c r="C5527" s="20">
        <v>22479.0</v>
      </c>
      <c r="D5527" s="19" t="str">
        <f t="shared" si="1"/>
        <v> </v>
      </c>
      <c r="E5527" s="19" t="str">
        <f t="shared" si="2"/>
        <v> </v>
      </c>
      <c r="F5527" s="21"/>
    </row>
    <row r="5528">
      <c r="A5528" s="19">
        <v>17482.0</v>
      </c>
      <c r="B5528" s="19" t="s">
        <v>5508</v>
      </c>
      <c r="C5528" s="20">
        <v>23647.0</v>
      </c>
      <c r="D5528" s="19" t="str">
        <f t="shared" si="1"/>
        <v> </v>
      </c>
      <c r="E5528" s="19" t="str">
        <f t="shared" si="2"/>
        <v> </v>
      </c>
      <c r="F5528" s="21"/>
    </row>
    <row r="5529">
      <c r="A5529" s="19">
        <v>17484.0</v>
      </c>
      <c r="B5529" s="19" t="s">
        <v>5509</v>
      </c>
      <c r="C5529" s="20">
        <v>24593.0</v>
      </c>
      <c r="D5529" s="19" t="str">
        <f t="shared" si="1"/>
        <v> </v>
      </c>
      <c r="E5529" s="19" t="str">
        <f t="shared" si="2"/>
        <v> </v>
      </c>
      <c r="F5529" s="21"/>
    </row>
    <row r="5530">
      <c r="A5530" s="19">
        <v>17485.0</v>
      </c>
      <c r="B5530" s="19" t="s">
        <v>5510</v>
      </c>
      <c r="C5530" s="20">
        <v>24152.0</v>
      </c>
      <c r="D5530" s="19" t="str">
        <f t="shared" si="1"/>
        <v> </v>
      </c>
      <c r="E5530" s="19" t="str">
        <f t="shared" si="2"/>
        <v> </v>
      </c>
      <c r="F5530" s="21"/>
    </row>
    <row r="5531">
      <c r="A5531" s="19">
        <v>17486.0</v>
      </c>
      <c r="B5531" s="19" t="s">
        <v>5511</v>
      </c>
      <c r="C5531" s="20">
        <v>31922.0</v>
      </c>
      <c r="D5531" s="19" t="str">
        <f t="shared" si="1"/>
        <v> </v>
      </c>
      <c r="E5531" s="19" t="str">
        <f t="shared" si="2"/>
        <v> </v>
      </c>
      <c r="F5531" s="21"/>
    </row>
    <row r="5532">
      <c r="A5532" s="19">
        <v>17489.0</v>
      </c>
      <c r="B5532" s="19" t="s">
        <v>270</v>
      </c>
      <c r="C5532" s="20">
        <v>18257.0</v>
      </c>
      <c r="D5532" s="19" t="str">
        <f t="shared" si="1"/>
        <v>Repeat</v>
      </c>
      <c r="E5532" s="19" t="str">
        <f t="shared" si="2"/>
        <v>Repeat</v>
      </c>
      <c r="F5532" s="21"/>
    </row>
    <row r="5533">
      <c r="A5533" s="19">
        <v>17492.0</v>
      </c>
      <c r="B5533" s="19" t="s">
        <v>5512</v>
      </c>
      <c r="C5533" s="20">
        <v>14490.0</v>
      </c>
      <c r="D5533" s="19" t="str">
        <f t="shared" si="1"/>
        <v> </v>
      </c>
      <c r="E5533" s="19" t="str">
        <f t="shared" si="2"/>
        <v> </v>
      </c>
      <c r="F5533" s="21"/>
    </row>
    <row r="5534">
      <c r="A5534" s="19">
        <v>17493.0</v>
      </c>
      <c r="B5534" s="19" t="s">
        <v>5513</v>
      </c>
      <c r="C5534" s="20">
        <v>21631.0</v>
      </c>
      <c r="D5534" s="19" t="str">
        <f t="shared" si="1"/>
        <v> </v>
      </c>
      <c r="E5534" s="19" t="str">
        <f t="shared" si="2"/>
        <v> </v>
      </c>
      <c r="F5534" s="21"/>
    </row>
    <row r="5535">
      <c r="A5535" s="19">
        <v>17494.0</v>
      </c>
      <c r="B5535" s="19" t="s">
        <v>5514</v>
      </c>
      <c r="C5535" s="20">
        <v>11262.0</v>
      </c>
      <c r="D5535" s="19" t="str">
        <f t="shared" si="1"/>
        <v> </v>
      </c>
      <c r="E5535" s="19" t="str">
        <f t="shared" si="2"/>
        <v> </v>
      </c>
      <c r="F5535" s="21"/>
    </row>
    <row r="5536">
      <c r="A5536" s="19">
        <v>17496.0</v>
      </c>
      <c r="B5536" s="19" t="s">
        <v>5515</v>
      </c>
      <c r="C5536" s="20">
        <v>19976.0</v>
      </c>
      <c r="D5536" s="19" t="str">
        <f t="shared" si="1"/>
        <v> </v>
      </c>
      <c r="E5536" s="19" t="str">
        <f t="shared" si="2"/>
        <v> </v>
      </c>
      <c r="F5536" s="21"/>
    </row>
    <row r="5537">
      <c r="A5537" s="19">
        <v>17497.0</v>
      </c>
      <c r="B5537" s="19" t="s">
        <v>5516</v>
      </c>
      <c r="C5537" s="20">
        <v>23612.0</v>
      </c>
      <c r="D5537" s="19" t="str">
        <f t="shared" si="1"/>
        <v> </v>
      </c>
      <c r="E5537" s="19" t="str">
        <f t="shared" si="2"/>
        <v> </v>
      </c>
      <c r="F5537" s="21"/>
    </row>
    <row r="5538">
      <c r="A5538" s="19">
        <v>17498.0</v>
      </c>
      <c r="B5538" s="19" t="s">
        <v>5517</v>
      </c>
      <c r="C5538" s="20">
        <v>18565.0</v>
      </c>
      <c r="D5538" s="19" t="str">
        <f t="shared" si="1"/>
        <v> </v>
      </c>
      <c r="E5538" s="19" t="str">
        <f t="shared" si="2"/>
        <v> </v>
      </c>
      <c r="F5538" s="21"/>
    </row>
    <row r="5539">
      <c r="A5539" s="19">
        <v>17499.0</v>
      </c>
      <c r="B5539" s="19" t="s">
        <v>5518</v>
      </c>
      <c r="C5539" s="20">
        <v>29169.0</v>
      </c>
      <c r="D5539" s="19" t="str">
        <f t="shared" si="1"/>
        <v> </v>
      </c>
      <c r="E5539" s="19" t="str">
        <f t="shared" si="2"/>
        <v> </v>
      </c>
      <c r="F5539" s="21"/>
    </row>
    <row r="5540">
      <c r="A5540" s="19">
        <v>17500.0</v>
      </c>
      <c r="B5540" s="19" t="s">
        <v>5519</v>
      </c>
      <c r="C5540" s="20">
        <v>30285.0</v>
      </c>
      <c r="D5540" s="19" t="str">
        <f t="shared" si="1"/>
        <v> </v>
      </c>
      <c r="E5540" s="19" t="str">
        <f t="shared" si="2"/>
        <v> </v>
      </c>
      <c r="F5540" s="21"/>
    </row>
    <row r="5541">
      <c r="A5541" s="22">
        <v>17502.0</v>
      </c>
      <c r="B5541" s="22" t="s">
        <v>5520</v>
      </c>
      <c r="C5541" s="23">
        <v>32760.0</v>
      </c>
      <c r="D5541" s="19" t="str">
        <f t="shared" si="1"/>
        <v> </v>
      </c>
      <c r="E5541" s="19" t="str">
        <f t="shared" si="2"/>
        <v> </v>
      </c>
      <c r="F5541" s="21"/>
    </row>
    <row r="5542">
      <c r="A5542" s="19">
        <v>17503.0</v>
      </c>
      <c r="B5542" s="19" t="s">
        <v>5521</v>
      </c>
      <c r="C5542" s="20">
        <v>17078.0</v>
      </c>
      <c r="D5542" s="19" t="str">
        <f t="shared" si="1"/>
        <v> </v>
      </c>
      <c r="E5542" s="19" t="str">
        <f t="shared" si="2"/>
        <v> </v>
      </c>
      <c r="F5542" s="21"/>
    </row>
    <row r="5543">
      <c r="A5543" s="19">
        <v>17504.0</v>
      </c>
      <c r="B5543" s="19" t="s">
        <v>5522</v>
      </c>
      <c r="C5543" s="20">
        <v>23663.0</v>
      </c>
      <c r="D5543" s="19" t="str">
        <f t="shared" si="1"/>
        <v> </v>
      </c>
      <c r="E5543" s="19" t="str">
        <f t="shared" si="2"/>
        <v>Repeat</v>
      </c>
      <c r="F5543" s="21"/>
    </row>
    <row r="5544">
      <c r="A5544" s="19">
        <v>17506.0</v>
      </c>
      <c r="B5544" s="19" t="s">
        <v>5523</v>
      </c>
      <c r="C5544" s="20">
        <v>20709.0</v>
      </c>
      <c r="D5544" s="19" t="str">
        <f t="shared" si="1"/>
        <v> </v>
      </c>
      <c r="E5544" s="19" t="str">
        <f t="shared" si="2"/>
        <v> </v>
      </c>
      <c r="F5544" s="21"/>
    </row>
    <row r="5545">
      <c r="A5545" s="19">
        <v>17510.0</v>
      </c>
      <c r="B5545" s="19" t="s">
        <v>5524</v>
      </c>
      <c r="C5545" s="20">
        <v>19005.0</v>
      </c>
      <c r="D5545" s="19" t="str">
        <f t="shared" si="1"/>
        <v> </v>
      </c>
      <c r="E5545" s="19" t="str">
        <f t="shared" si="2"/>
        <v> </v>
      </c>
      <c r="F5545" s="21"/>
    </row>
    <row r="5546">
      <c r="A5546" s="19">
        <v>17513.0</v>
      </c>
      <c r="B5546" s="19" t="s">
        <v>5525</v>
      </c>
      <c r="C5546" s="20">
        <v>13668.0</v>
      </c>
      <c r="D5546" s="19" t="str">
        <f t="shared" si="1"/>
        <v> </v>
      </c>
      <c r="E5546" s="19" t="str">
        <f t="shared" si="2"/>
        <v> </v>
      </c>
      <c r="F5546" s="21"/>
    </row>
    <row r="5547">
      <c r="A5547" s="19">
        <v>17515.0</v>
      </c>
      <c r="B5547" s="19" t="s">
        <v>5526</v>
      </c>
      <c r="C5547" s="20">
        <v>26361.0</v>
      </c>
      <c r="D5547" s="19" t="str">
        <f t="shared" si="1"/>
        <v> </v>
      </c>
      <c r="E5547" s="19" t="str">
        <f t="shared" si="2"/>
        <v> </v>
      </c>
      <c r="F5547" s="21"/>
    </row>
    <row r="5548">
      <c r="A5548" s="19">
        <v>17516.0</v>
      </c>
      <c r="B5548" s="19" t="s">
        <v>5527</v>
      </c>
      <c r="C5548" s="20">
        <v>31876.0</v>
      </c>
      <c r="D5548" s="19" t="str">
        <f t="shared" si="1"/>
        <v> </v>
      </c>
      <c r="E5548" s="19" t="str">
        <f t="shared" si="2"/>
        <v> </v>
      </c>
      <c r="F5548" s="21"/>
    </row>
    <row r="5549">
      <c r="A5549" s="19">
        <v>17517.0</v>
      </c>
      <c r="B5549" s="19" t="s">
        <v>5528</v>
      </c>
      <c r="C5549" s="20">
        <v>28710.0</v>
      </c>
      <c r="D5549" s="19" t="str">
        <f t="shared" si="1"/>
        <v> </v>
      </c>
      <c r="E5549" s="19" t="str">
        <f t="shared" si="2"/>
        <v> </v>
      </c>
      <c r="F5549" s="21"/>
    </row>
    <row r="5550">
      <c r="A5550" s="19">
        <v>17518.0</v>
      </c>
      <c r="B5550" s="19" t="s">
        <v>5529</v>
      </c>
      <c r="C5550" s="20">
        <v>16752.0</v>
      </c>
      <c r="D5550" s="19" t="str">
        <f t="shared" si="1"/>
        <v> </v>
      </c>
      <c r="E5550" s="19" t="str">
        <f t="shared" si="2"/>
        <v>Repeat</v>
      </c>
      <c r="F5550" s="21"/>
    </row>
    <row r="5551">
      <c r="A5551" s="19">
        <v>17519.0</v>
      </c>
      <c r="B5551" s="19" t="s">
        <v>5530</v>
      </c>
      <c r="C5551" s="20">
        <v>23509.0</v>
      </c>
      <c r="D5551" s="19" t="str">
        <f t="shared" si="1"/>
        <v> </v>
      </c>
      <c r="E5551" s="19" t="str">
        <f t="shared" si="2"/>
        <v> </v>
      </c>
      <c r="F5551" s="21"/>
    </row>
    <row r="5552">
      <c r="A5552" s="22">
        <v>17521.0</v>
      </c>
      <c r="B5552" s="22" t="s">
        <v>5531</v>
      </c>
      <c r="C5552" s="23">
        <v>20941.0</v>
      </c>
      <c r="D5552" s="19" t="str">
        <f t="shared" si="1"/>
        <v> </v>
      </c>
      <c r="E5552" s="19" t="str">
        <f t="shared" si="2"/>
        <v>Repeat</v>
      </c>
      <c r="F5552" s="21"/>
    </row>
    <row r="5553">
      <c r="A5553" s="19">
        <v>17522.0</v>
      </c>
      <c r="B5553" s="19" t="s">
        <v>5532</v>
      </c>
      <c r="C5553" s="20">
        <v>18023.0</v>
      </c>
      <c r="D5553" s="19" t="str">
        <f t="shared" si="1"/>
        <v> </v>
      </c>
      <c r="E5553" s="19" t="str">
        <f t="shared" si="2"/>
        <v> </v>
      </c>
      <c r="F5553" s="21"/>
    </row>
    <row r="5554">
      <c r="A5554" s="19">
        <v>17523.0</v>
      </c>
      <c r="B5554" s="19" t="s">
        <v>5533</v>
      </c>
      <c r="C5554" s="20">
        <v>15636.0</v>
      </c>
      <c r="D5554" s="19" t="str">
        <f t="shared" si="1"/>
        <v> </v>
      </c>
      <c r="E5554" s="19" t="str">
        <f t="shared" si="2"/>
        <v> </v>
      </c>
      <c r="F5554" s="21"/>
    </row>
    <row r="5555">
      <c r="A5555" s="19">
        <v>17524.0</v>
      </c>
      <c r="B5555" s="19" t="s">
        <v>5534</v>
      </c>
      <c r="C5555" s="20">
        <v>20396.0</v>
      </c>
      <c r="D5555" s="19" t="str">
        <f t="shared" si="1"/>
        <v> </v>
      </c>
      <c r="E5555" s="19" t="str">
        <f t="shared" si="2"/>
        <v> </v>
      </c>
      <c r="F5555" s="21"/>
    </row>
    <row r="5556">
      <c r="A5556" s="22">
        <v>17528.0</v>
      </c>
      <c r="B5556" s="22" t="s">
        <v>5535</v>
      </c>
      <c r="C5556" s="23">
        <v>26421.0</v>
      </c>
      <c r="D5556" s="19" t="str">
        <f t="shared" si="1"/>
        <v> </v>
      </c>
      <c r="E5556" s="19" t="str">
        <f t="shared" si="2"/>
        <v> </v>
      </c>
      <c r="F5556" s="21"/>
    </row>
    <row r="5557">
      <c r="A5557" s="19">
        <v>17529.0</v>
      </c>
      <c r="B5557" s="19" t="s">
        <v>5536</v>
      </c>
      <c r="C5557" s="20">
        <v>23205.0</v>
      </c>
      <c r="D5557" s="19" t="str">
        <f t="shared" si="1"/>
        <v> </v>
      </c>
      <c r="E5557" s="19" t="str">
        <f t="shared" si="2"/>
        <v> </v>
      </c>
      <c r="F5557" s="21"/>
    </row>
    <row r="5558">
      <c r="A5558" s="22">
        <v>17530.0</v>
      </c>
      <c r="B5558" s="22" t="s">
        <v>5537</v>
      </c>
      <c r="C5558" s="23">
        <v>21720.0</v>
      </c>
      <c r="D5558" s="19" t="str">
        <f t="shared" si="1"/>
        <v> </v>
      </c>
      <c r="E5558" s="19" t="str">
        <f t="shared" si="2"/>
        <v> </v>
      </c>
      <c r="F5558" s="21"/>
    </row>
    <row r="5559">
      <c r="A5559" s="22">
        <v>17531.0</v>
      </c>
      <c r="B5559" s="22" t="s">
        <v>5538</v>
      </c>
      <c r="C5559" s="23">
        <v>22539.0</v>
      </c>
      <c r="D5559" s="19" t="str">
        <f t="shared" si="1"/>
        <v> </v>
      </c>
      <c r="E5559" s="19" t="str">
        <f t="shared" si="2"/>
        <v> </v>
      </c>
      <c r="F5559" s="21"/>
    </row>
    <row r="5560">
      <c r="A5560" s="19">
        <v>17532.0</v>
      </c>
      <c r="B5560" s="19" t="s">
        <v>5539</v>
      </c>
      <c r="C5560" s="20">
        <v>12172.0</v>
      </c>
      <c r="D5560" s="19" t="str">
        <f t="shared" si="1"/>
        <v> </v>
      </c>
      <c r="E5560" s="19" t="str">
        <f t="shared" si="2"/>
        <v> </v>
      </c>
      <c r="F5560" s="21"/>
    </row>
    <row r="5561">
      <c r="A5561" s="22">
        <v>17533.0</v>
      </c>
      <c r="B5561" s="22" t="s">
        <v>5540</v>
      </c>
      <c r="C5561" s="23">
        <v>24130.0</v>
      </c>
      <c r="D5561" s="19" t="str">
        <f t="shared" si="1"/>
        <v> </v>
      </c>
      <c r="E5561" s="19" t="str">
        <f t="shared" si="2"/>
        <v> </v>
      </c>
      <c r="F5561" s="21"/>
    </row>
    <row r="5562">
      <c r="A5562" s="22">
        <v>17534.0</v>
      </c>
      <c r="B5562" s="22" t="s">
        <v>5541</v>
      </c>
      <c r="C5562" s="23">
        <v>21457.0</v>
      </c>
      <c r="D5562" s="19" t="str">
        <f t="shared" si="1"/>
        <v> </v>
      </c>
      <c r="E5562" s="19" t="str">
        <f t="shared" si="2"/>
        <v> </v>
      </c>
      <c r="F5562" s="21"/>
    </row>
    <row r="5563">
      <c r="A5563" s="19">
        <v>17536.0</v>
      </c>
      <c r="B5563" s="19" t="s">
        <v>5542</v>
      </c>
      <c r="C5563" s="20">
        <v>26216.0</v>
      </c>
      <c r="D5563" s="19" t="str">
        <f t="shared" si="1"/>
        <v> </v>
      </c>
      <c r="E5563" s="19" t="str">
        <f t="shared" si="2"/>
        <v> </v>
      </c>
      <c r="F5563" s="21"/>
    </row>
    <row r="5564">
      <c r="A5564" s="19">
        <v>17538.0</v>
      </c>
      <c r="B5564" s="19" t="s">
        <v>5543</v>
      </c>
      <c r="C5564" s="20">
        <v>18030.0</v>
      </c>
      <c r="D5564" s="19" t="str">
        <f t="shared" si="1"/>
        <v> </v>
      </c>
      <c r="E5564" s="19" t="str">
        <f t="shared" si="2"/>
        <v> </v>
      </c>
      <c r="F5564" s="21"/>
    </row>
    <row r="5565">
      <c r="A5565" s="19">
        <v>17539.0</v>
      </c>
      <c r="B5565" s="19" t="s">
        <v>5544</v>
      </c>
      <c r="C5565" s="20">
        <v>29640.0</v>
      </c>
      <c r="D5565" s="19" t="str">
        <f t="shared" si="1"/>
        <v> </v>
      </c>
      <c r="E5565" s="19" t="str">
        <f t="shared" si="2"/>
        <v> </v>
      </c>
      <c r="F5565" s="21"/>
    </row>
    <row r="5566">
      <c r="A5566" s="22">
        <v>17540.0</v>
      </c>
      <c r="B5566" s="22" t="s">
        <v>5545</v>
      </c>
      <c r="C5566" s="23">
        <v>15648.0</v>
      </c>
      <c r="D5566" s="19" t="str">
        <f t="shared" si="1"/>
        <v> </v>
      </c>
      <c r="E5566" s="19" t="str">
        <f t="shared" si="2"/>
        <v> </v>
      </c>
      <c r="F5566" s="21"/>
    </row>
    <row r="5567">
      <c r="A5567" s="22">
        <v>17541.0</v>
      </c>
      <c r="B5567" s="22" t="s">
        <v>5546</v>
      </c>
      <c r="C5567" s="23">
        <v>29868.0</v>
      </c>
      <c r="D5567" s="19" t="str">
        <f t="shared" si="1"/>
        <v> </v>
      </c>
      <c r="E5567" s="19" t="str">
        <f t="shared" si="2"/>
        <v> </v>
      </c>
      <c r="F5567" s="21"/>
    </row>
    <row r="5568">
      <c r="A5568" s="19">
        <v>17542.0</v>
      </c>
      <c r="B5568" s="19" t="s">
        <v>5547</v>
      </c>
      <c r="C5568" s="20">
        <v>20417.0</v>
      </c>
      <c r="D5568" s="19" t="str">
        <f t="shared" si="1"/>
        <v> </v>
      </c>
      <c r="E5568" s="19" t="str">
        <f t="shared" si="2"/>
        <v> </v>
      </c>
      <c r="F5568" s="21"/>
    </row>
    <row r="5569">
      <c r="A5569" s="19">
        <v>17544.0</v>
      </c>
      <c r="B5569" s="19" t="s">
        <v>5548</v>
      </c>
      <c r="C5569" s="20">
        <v>23721.0</v>
      </c>
      <c r="D5569" s="19" t="str">
        <f t="shared" si="1"/>
        <v> </v>
      </c>
      <c r="E5569" s="19" t="str">
        <f t="shared" si="2"/>
        <v> </v>
      </c>
      <c r="F5569" s="21"/>
    </row>
    <row r="5570">
      <c r="A5570" s="19">
        <v>17546.0</v>
      </c>
      <c r="B5570" s="19" t="s">
        <v>5549</v>
      </c>
      <c r="C5570" s="20">
        <v>23240.0</v>
      </c>
      <c r="D5570" s="19" t="str">
        <f t="shared" si="1"/>
        <v> </v>
      </c>
      <c r="E5570" s="19" t="str">
        <f t="shared" si="2"/>
        <v> </v>
      </c>
      <c r="F5570" s="21"/>
    </row>
    <row r="5571">
      <c r="A5571" s="19">
        <v>17547.0</v>
      </c>
      <c r="B5571" s="19" t="s">
        <v>5550</v>
      </c>
      <c r="C5571" s="20">
        <v>20086.0</v>
      </c>
      <c r="D5571" s="19" t="str">
        <f t="shared" si="1"/>
        <v> </v>
      </c>
      <c r="E5571" s="19" t="str">
        <f t="shared" si="2"/>
        <v> </v>
      </c>
      <c r="F5571" s="21"/>
    </row>
    <row r="5572">
      <c r="A5572" s="22">
        <v>17549.0</v>
      </c>
      <c r="B5572" s="22" t="s">
        <v>5551</v>
      </c>
      <c r="C5572" s="23">
        <v>18957.0</v>
      </c>
      <c r="D5572" s="19" t="str">
        <f t="shared" si="1"/>
        <v> </v>
      </c>
      <c r="E5572" s="19" t="str">
        <f t="shared" si="2"/>
        <v> </v>
      </c>
      <c r="F5572" s="21"/>
    </row>
    <row r="5573">
      <c r="A5573" s="22">
        <v>17550.0</v>
      </c>
      <c r="B5573" s="22" t="s">
        <v>5552</v>
      </c>
      <c r="C5573" s="23">
        <v>21743.0</v>
      </c>
      <c r="D5573" s="19" t="str">
        <f t="shared" si="1"/>
        <v> </v>
      </c>
      <c r="E5573" s="19" t="str">
        <f t="shared" si="2"/>
        <v> </v>
      </c>
      <c r="F5573" s="21"/>
    </row>
    <row r="5574">
      <c r="A5574" s="22">
        <v>17551.0</v>
      </c>
      <c r="B5574" s="22" t="s">
        <v>5553</v>
      </c>
      <c r="C5574" s="23">
        <v>32702.0</v>
      </c>
      <c r="D5574" s="19" t="str">
        <f t="shared" si="1"/>
        <v> </v>
      </c>
      <c r="E5574" s="19" t="str">
        <f t="shared" si="2"/>
        <v> </v>
      </c>
      <c r="F5574" s="21"/>
    </row>
    <row r="5575">
      <c r="A5575" s="22">
        <v>17552.0</v>
      </c>
      <c r="B5575" s="22" t="s">
        <v>5554</v>
      </c>
      <c r="C5575" s="23">
        <v>29202.0</v>
      </c>
      <c r="D5575" s="19" t="str">
        <f t="shared" si="1"/>
        <v> </v>
      </c>
      <c r="E5575" s="19" t="str">
        <f t="shared" si="2"/>
        <v> </v>
      </c>
      <c r="F5575" s="21"/>
    </row>
    <row r="5576">
      <c r="A5576" s="22">
        <v>17553.0</v>
      </c>
      <c r="B5576" s="22" t="s">
        <v>5555</v>
      </c>
      <c r="C5576" s="23">
        <v>30002.0</v>
      </c>
      <c r="D5576" s="19" t="str">
        <f t="shared" si="1"/>
        <v> </v>
      </c>
      <c r="E5576" s="19" t="str">
        <f t="shared" si="2"/>
        <v> </v>
      </c>
      <c r="F5576" s="21"/>
    </row>
    <row r="5577">
      <c r="A5577" s="22">
        <v>17554.0</v>
      </c>
      <c r="B5577" s="22" t="s">
        <v>5556</v>
      </c>
      <c r="C5577" s="23">
        <v>27802.0</v>
      </c>
      <c r="D5577" s="19" t="str">
        <f t="shared" si="1"/>
        <v> </v>
      </c>
      <c r="E5577" s="19" t="str">
        <f t="shared" si="2"/>
        <v> </v>
      </c>
      <c r="F5577" s="21"/>
    </row>
    <row r="5578">
      <c r="A5578" s="22">
        <v>17555.0</v>
      </c>
      <c r="B5578" s="22" t="s">
        <v>5557</v>
      </c>
      <c r="C5578" s="23">
        <v>19669.0</v>
      </c>
      <c r="D5578" s="19" t="str">
        <f t="shared" si="1"/>
        <v> </v>
      </c>
      <c r="E5578" s="19" t="str">
        <f t="shared" si="2"/>
        <v>Repeat</v>
      </c>
      <c r="F5578" s="21"/>
    </row>
    <row r="5579">
      <c r="A5579" s="22">
        <v>17556.0</v>
      </c>
      <c r="B5579" s="22" t="s">
        <v>5558</v>
      </c>
      <c r="C5579" s="23">
        <v>37099.0</v>
      </c>
      <c r="D5579" s="19" t="str">
        <f t="shared" si="1"/>
        <v> </v>
      </c>
      <c r="E5579" s="19" t="str">
        <f t="shared" si="2"/>
        <v> </v>
      </c>
      <c r="F5579" s="21"/>
    </row>
    <row r="5580">
      <c r="A5580" s="19">
        <v>17558.0</v>
      </c>
      <c r="B5580" s="19" t="s">
        <v>5559</v>
      </c>
      <c r="C5580" s="20">
        <v>19754.0</v>
      </c>
      <c r="D5580" s="19" t="str">
        <f t="shared" si="1"/>
        <v> </v>
      </c>
      <c r="E5580" s="19" t="str">
        <f t="shared" si="2"/>
        <v> </v>
      </c>
      <c r="F5580" s="21"/>
    </row>
    <row r="5581">
      <c r="A5581" s="19">
        <v>17559.0</v>
      </c>
      <c r="B5581" s="19" t="s">
        <v>5560</v>
      </c>
      <c r="C5581" s="20">
        <v>19216.0</v>
      </c>
      <c r="D5581" s="19" t="str">
        <f t="shared" si="1"/>
        <v> </v>
      </c>
      <c r="E5581" s="19" t="str">
        <f t="shared" si="2"/>
        <v> </v>
      </c>
      <c r="F5581" s="21"/>
    </row>
    <row r="5582">
      <c r="A5582" s="19">
        <v>16688.0</v>
      </c>
      <c r="B5582" s="19" t="s">
        <v>5561</v>
      </c>
      <c r="C5582" s="20">
        <v>22083.0</v>
      </c>
      <c r="D5582" s="19" t="str">
        <f t="shared" si="1"/>
        <v> </v>
      </c>
      <c r="E5582" s="19" t="str">
        <f t="shared" si="2"/>
        <v> </v>
      </c>
      <c r="F5582" s="21"/>
    </row>
    <row r="5583">
      <c r="A5583" s="22">
        <v>17562.0</v>
      </c>
      <c r="B5583" s="22" t="s">
        <v>5562</v>
      </c>
      <c r="C5583" s="23">
        <v>14131.0</v>
      </c>
      <c r="D5583" s="19" t="str">
        <f t="shared" si="1"/>
        <v> </v>
      </c>
      <c r="E5583" s="19" t="str">
        <f t="shared" si="2"/>
        <v>Repeat</v>
      </c>
      <c r="F5583" s="21"/>
    </row>
    <row r="5584">
      <c r="A5584" s="19">
        <v>17563.0</v>
      </c>
      <c r="B5584" s="19" t="s">
        <v>5472</v>
      </c>
      <c r="C5584" s="20">
        <v>19344.0</v>
      </c>
      <c r="D5584" s="19" t="str">
        <f t="shared" si="1"/>
        <v>Repeat</v>
      </c>
      <c r="E5584" s="19" t="str">
        <f t="shared" si="2"/>
        <v> </v>
      </c>
      <c r="F5584" s="21"/>
    </row>
    <row r="5585">
      <c r="A5585" s="19">
        <v>17564.0</v>
      </c>
      <c r="B5585" s="19" t="s">
        <v>5563</v>
      </c>
      <c r="C5585" s="20">
        <v>29667.0</v>
      </c>
      <c r="D5585" s="19" t="str">
        <f t="shared" si="1"/>
        <v> </v>
      </c>
      <c r="E5585" s="19" t="str">
        <f t="shared" si="2"/>
        <v> </v>
      </c>
      <c r="F5585" s="21"/>
    </row>
    <row r="5586">
      <c r="A5586" s="22">
        <v>17565.0</v>
      </c>
      <c r="B5586" s="22" t="s">
        <v>5564</v>
      </c>
      <c r="C5586" s="23">
        <v>28296.0</v>
      </c>
      <c r="D5586" s="19" t="str">
        <f t="shared" si="1"/>
        <v> </v>
      </c>
      <c r="E5586" s="19" t="str">
        <f t="shared" si="2"/>
        <v> </v>
      </c>
      <c r="F5586" s="21"/>
    </row>
    <row r="5587">
      <c r="A5587" s="22">
        <v>17566.0</v>
      </c>
      <c r="B5587" s="22" t="s">
        <v>5565</v>
      </c>
      <c r="C5587" s="23">
        <v>22520.0</v>
      </c>
      <c r="D5587" s="19" t="str">
        <f t="shared" si="1"/>
        <v> </v>
      </c>
      <c r="E5587" s="19" t="str">
        <f t="shared" si="2"/>
        <v>Repeat</v>
      </c>
      <c r="F5587" s="21"/>
    </row>
    <row r="5588">
      <c r="A5588" s="19">
        <v>17567.0</v>
      </c>
      <c r="B5588" s="19" t="s">
        <v>5566</v>
      </c>
      <c r="C5588" s="20">
        <v>19428.0</v>
      </c>
      <c r="D5588" s="19" t="str">
        <f t="shared" si="1"/>
        <v> </v>
      </c>
      <c r="E5588" s="19" t="str">
        <f t="shared" si="2"/>
        <v> </v>
      </c>
      <c r="F5588" s="21"/>
    </row>
    <row r="5589">
      <c r="A5589" s="19">
        <v>17568.0</v>
      </c>
      <c r="B5589" s="19" t="s">
        <v>5567</v>
      </c>
      <c r="C5589" s="20">
        <v>22600.0</v>
      </c>
      <c r="D5589" s="19" t="str">
        <f t="shared" si="1"/>
        <v> </v>
      </c>
      <c r="E5589" s="19" t="str">
        <f t="shared" si="2"/>
        <v> </v>
      </c>
      <c r="F5589" s="21"/>
    </row>
    <row r="5590">
      <c r="A5590" s="19">
        <v>17569.0</v>
      </c>
      <c r="B5590" s="19" t="s">
        <v>5568</v>
      </c>
      <c r="C5590" s="20">
        <v>24274.0</v>
      </c>
      <c r="D5590" s="19" t="str">
        <f t="shared" si="1"/>
        <v> </v>
      </c>
      <c r="E5590" s="19" t="str">
        <f t="shared" si="2"/>
        <v> </v>
      </c>
      <c r="F5590" s="21"/>
    </row>
    <row r="5591">
      <c r="A5591" s="22">
        <v>17571.0</v>
      </c>
      <c r="B5591" s="22" t="s">
        <v>5569</v>
      </c>
      <c r="C5591" s="23">
        <v>26372.0</v>
      </c>
      <c r="D5591" s="19" t="str">
        <f t="shared" si="1"/>
        <v> </v>
      </c>
      <c r="E5591" s="19" t="str">
        <f t="shared" si="2"/>
        <v> </v>
      </c>
      <c r="F5591" s="21"/>
    </row>
    <row r="5592">
      <c r="A5592" s="19">
        <v>17573.0</v>
      </c>
      <c r="B5592" s="19" t="s">
        <v>5570</v>
      </c>
      <c r="C5592" s="20">
        <v>18767.0</v>
      </c>
      <c r="D5592" s="19" t="str">
        <f t="shared" si="1"/>
        <v> </v>
      </c>
      <c r="E5592" s="19" t="str">
        <f t="shared" si="2"/>
        <v> </v>
      </c>
      <c r="F5592" s="21"/>
    </row>
    <row r="5593">
      <c r="A5593" s="19">
        <v>17576.0</v>
      </c>
      <c r="B5593" s="19" t="s">
        <v>5571</v>
      </c>
      <c r="C5593" s="20">
        <v>20370.0</v>
      </c>
      <c r="D5593" s="19" t="str">
        <f t="shared" si="1"/>
        <v> </v>
      </c>
      <c r="E5593" s="19" t="str">
        <f t="shared" si="2"/>
        <v> </v>
      </c>
      <c r="F5593" s="21"/>
    </row>
    <row r="5594">
      <c r="A5594" s="19">
        <v>17577.0</v>
      </c>
      <c r="B5594" s="19" t="s">
        <v>5572</v>
      </c>
      <c r="C5594" s="20">
        <v>23885.0</v>
      </c>
      <c r="D5594" s="19" t="str">
        <f t="shared" si="1"/>
        <v> </v>
      </c>
      <c r="E5594" s="19" t="str">
        <f t="shared" si="2"/>
        <v> </v>
      </c>
      <c r="F5594" s="21"/>
    </row>
    <row r="5595">
      <c r="A5595" s="19">
        <v>17580.0</v>
      </c>
      <c r="B5595" s="19" t="s">
        <v>5573</v>
      </c>
      <c r="C5595" s="20">
        <v>23076.0</v>
      </c>
      <c r="D5595" s="19" t="str">
        <f t="shared" si="1"/>
        <v> </v>
      </c>
      <c r="E5595" s="19" t="str">
        <f t="shared" si="2"/>
        <v> </v>
      </c>
      <c r="F5595" s="21"/>
    </row>
    <row r="5596">
      <c r="A5596" s="22">
        <v>17581.0</v>
      </c>
      <c r="B5596" s="22" t="s">
        <v>5574</v>
      </c>
      <c r="C5596" s="23">
        <v>29340.0</v>
      </c>
      <c r="D5596" s="19" t="str">
        <f t="shared" si="1"/>
        <v> </v>
      </c>
      <c r="E5596" s="19" t="str">
        <f t="shared" si="2"/>
        <v> </v>
      </c>
      <c r="F5596" s="21"/>
    </row>
    <row r="5597">
      <c r="A5597" s="19">
        <v>17582.0</v>
      </c>
      <c r="B5597" s="19" t="s">
        <v>5575</v>
      </c>
      <c r="C5597" s="20">
        <v>16032.0</v>
      </c>
      <c r="D5597" s="19" t="str">
        <f t="shared" si="1"/>
        <v> </v>
      </c>
      <c r="E5597" s="19" t="str">
        <f t="shared" si="2"/>
        <v> </v>
      </c>
      <c r="F5597" s="21"/>
    </row>
    <row r="5598">
      <c r="A5598" s="22">
        <v>17587.0</v>
      </c>
      <c r="B5598" s="22" t="s">
        <v>5576</v>
      </c>
      <c r="C5598" s="23">
        <v>25234.0</v>
      </c>
      <c r="D5598" s="19" t="str">
        <f t="shared" si="1"/>
        <v> </v>
      </c>
      <c r="E5598" s="19" t="str">
        <f t="shared" si="2"/>
        <v> </v>
      </c>
      <c r="F5598" s="21"/>
    </row>
    <row r="5599">
      <c r="A5599" s="22">
        <v>17588.0</v>
      </c>
      <c r="B5599" s="22" t="s">
        <v>5577</v>
      </c>
      <c r="C5599" s="23">
        <v>20083.0</v>
      </c>
      <c r="D5599" s="19" t="str">
        <f t="shared" si="1"/>
        <v> </v>
      </c>
      <c r="E5599" s="19" t="str">
        <f t="shared" si="2"/>
        <v> </v>
      </c>
      <c r="F5599" s="21"/>
    </row>
    <row r="5600">
      <c r="A5600" s="19">
        <v>17589.0</v>
      </c>
      <c r="B5600" s="19" t="s">
        <v>5578</v>
      </c>
      <c r="C5600" s="20">
        <v>24271.0</v>
      </c>
      <c r="D5600" s="19" t="str">
        <f t="shared" si="1"/>
        <v> </v>
      </c>
      <c r="E5600" s="19" t="str">
        <f t="shared" si="2"/>
        <v> </v>
      </c>
      <c r="F5600" s="21"/>
    </row>
    <row r="5601">
      <c r="A5601" s="19">
        <v>17590.0</v>
      </c>
      <c r="B5601" s="19" t="s">
        <v>5579</v>
      </c>
      <c r="C5601" s="20">
        <v>26837.0</v>
      </c>
      <c r="D5601" s="19" t="str">
        <f t="shared" si="1"/>
        <v> </v>
      </c>
      <c r="E5601" s="19" t="str">
        <f t="shared" si="2"/>
        <v> </v>
      </c>
      <c r="F5601" s="21"/>
    </row>
    <row r="5602">
      <c r="A5602" s="19">
        <v>17591.0</v>
      </c>
      <c r="B5602" s="19" t="s">
        <v>5580</v>
      </c>
      <c r="C5602" s="20">
        <v>17332.0</v>
      </c>
      <c r="D5602" s="19" t="str">
        <f t="shared" si="1"/>
        <v> </v>
      </c>
      <c r="E5602" s="19" t="str">
        <f t="shared" si="2"/>
        <v> </v>
      </c>
      <c r="F5602" s="21"/>
    </row>
    <row r="5603">
      <c r="A5603" s="19">
        <v>17592.0</v>
      </c>
      <c r="B5603" s="19" t="s">
        <v>5581</v>
      </c>
      <c r="C5603" s="20">
        <v>20500.0</v>
      </c>
      <c r="D5603" s="19" t="str">
        <f t="shared" si="1"/>
        <v> </v>
      </c>
      <c r="E5603" s="19" t="str">
        <f t="shared" si="2"/>
        <v> </v>
      </c>
      <c r="F5603" s="21"/>
    </row>
    <row r="5604">
      <c r="A5604" s="19">
        <v>17593.0</v>
      </c>
      <c r="B5604" s="19" t="s">
        <v>5582</v>
      </c>
      <c r="C5604" s="20">
        <v>22097.0</v>
      </c>
      <c r="D5604" s="19" t="str">
        <f t="shared" si="1"/>
        <v> </v>
      </c>
      <c r="E5604" s="19" t="str">
        <f t="shared" si="2"/>
        <v> </v>
      </c>
      <c r="F5604" s="21"/>
    </row>
    <row r="5605">
      <c r="A5605" s="22">
        <v>17598.0</v>
      </c>
      <c r="B5605" s="22" t="s">
        <v>5583</v>
      </c>
      <c r="C5605" s="23">
        <v>32870.0</v>
      </c>
      <c r="D5605" s="19" t="str">
        <f t="shared" si="1"/>
        <v> </v>
      </c>
      <c r="E5605" s="19" t="str">
        <f t="shared" si="2"/>
        <v> </v>
      </c>
      <c r="F5605" s="21"/>
    </row>
    <row r="5606">
      <c r="A5606" s="22">
        <v>17600.0</v>
      </c>
      <c r="B5606" s="22" t="s">
        <v>5584</v>
      </c>
      <c r="C5606" s="23">
        <v>28310.0</v>
      </c>
      <c r="D5606" s="19" t="str">
        <f t="shared" si="1"/>
        <v> </v>
      </c>
      <c r="E5606" s="19" t="str">
        <f t="shared" si="2"/>
        <v> </v>
      </c>
      <c r="F5606" s="21"/>
    </row>
    <row r="5607">
      <c r="A5607" s="22">
        <v>17607.0</v>
      </c>
      <c r="B5607" s="22" t="s">
        <v>5585</v>
      </c>
      <c r="C5607" s="23">
        <v>17277.0</v>
      </c>
      <c r="D5607" s="19" t="str">
        <f t="shared" si="1"/>
        <v> </v>
      </c>
      <c r="E5607" s="19" t="str">
        <f t="shared" si="2"/>
        <v> </v>
      </c>
      <c r="F5607" s="21"/>
    </row>
    <row r="5608">
      <c r="A5608" s="19">
        <v>17609.0</v>
      </c>
      <c r="B5608" s="19" t="s">
        <v>5586</v>
      </c>
      <c r="C5608" s="20">
        <v>14571.0</v>
      </c>
      <c r="D5608" s="19" t="str">
        <f t="shared" si="1"/>
        <v> </v>
      </c>
      <c r="E5608" s="19" t="str">
        <f t="shared" si="2"/>
        <v> </v>
      </c>
      <c r="F5608" s="21"/>
    </row>
    <row r="5609">
      <c r="A5609" s="22">
        <v>17611.0</v>
      </c>
      <c r="B5609" s="22" t="s">
        <v>5587</v>
      </c>
      <c r="C5609" s="23">
        <v>18385.0</v>
      </c>
      <c r="D5609" s="19" t="str">
        <f t="shared" si="1"/>
        <v> </v>
      </c>
      <c r="E5609" s="19" t="str">
        <f t="shared" si="2"/>
        <v> </v>
      </c>
      <c r="F5609" s="21"/>
    </row>
    <row r="5610">
      <c r="A5610" s="19">
        <v>17613.0</v>
      </c>
      <c r="B5610" s="19" t="s">
        <v>5588</v>
      </c>
      <c r="C5610" s="20">
        <v>23779.0</v>
      </c>
      <c r="D5610" s="19" t="str">
        <f t="shared" si="1"/>
        <v> </v>
      </c>
      <c r="E5610" s="19" t="str">
        <f t="shared" si="2"/>
        <v>Repeat</v>
      </c>
      <c r="F5610" s="21"/>
    </row>
    <row r="5611">
      <c r="A5611" s="22">
        <v>17615.0</v>
      </c>
      <c r="B5611" s="22" t="s">
        <v>5589</v>
      </c>
      <c r="C5611" s="23">
        <v>16202.0</v>
      </c>
      <c r="D5611" s="19" t="str">
        <f t="shared" si="1"/>
        <v> </v>
      </c>
      <c r="E5611" s="19" t="str">
        <f t="shared" si="2"/>
        <v> </v>
      </c>
      <c r="F5611" s="21"/>
    </row>
    <row r="5612">
      <c r="A5612" s="19">
        <v>17616.0</v>
      </c>
      <c r="B5612" s="19" t="s">
        <v>5590</v>
      </c>
      <c r="C5612" s="20">
        <v>32824.0</v>
      </c>
      <c r="D5612" s="19" t="str">
        <f t="shared" si="1"/>
        <v> </v>
      </c>
      <c r="E5612" s="19" t="str">
        <f t="shared" si="2"/>
        <v> </v>
      </c>
      <c r="F5612" s="21"/>
    </row>
    <row r="5613">
      <c r="A5613" s="19">
        <v>16842.0</v>
      </c>
      <c r="B5613" s="19" t="s">
        <v>5591</v>
      </c>
      <c r="C5613" s="20">
        <v>21658.0</v>
      </c>
      <c r="D5613" s="19" t="str">
        <f t="shared" si="1"/>
        <v> </v>
      </c>
      <c r="E5613" s="19" t="str">
        <f t="shared" si="2"/>
        <v> </v>
      </c>
      <c r="F5613" s="21"/>
    </row>
    <row r="5614">
      <c r="A5614" s="22">
        <v>17622.0</v>
      </c>
      <c r="B5614" s="22" t="s">
        <v>5592</v>
      </c>
      <c r="C5614" s="23">
        <v>25553.0</v>
      </c>
      <c r="D5614" s="19" t="str">
        <f t="shared" si="1"/>
        <v>Repeat</v>
      </c>
      <c r="E5614" s="19" t="str">
        <f t="shared" si="2"/>
        <v>Repeat</v>
      </c>
      <c r="F5614" s="21"/>
    </row>
    <row r="5615">
      <c r="A5615" s="19">
        <v>17628.0</v>
      </c>
      <c r="B5615" s="19" t="s">
        <v>5593</v>
      </c>
      <c r="C5615" s="20">
        <v>21258.0</v>
      </c>
      <c r="D5615" s="19" t="str">
        <f t="shared" si="1"/>
        <v> </v>
      </c>
      <c r="E5615" s="19" t="str">
        <f t="shared" si="2"/>
        <v> </v>
      </c>
      <c r="F5615" s="21"/>
    </row>
    <row r="5616">
      <c r="A5616" s="22">
        <v>17630.0</v>
      </c>
      <c r="B5616" s="22" t="s">
        <v>5594</v>
      </c>
      <c r="C5616" s="23">
        <v>16735.0</v>
      </c>
      <c r="D5616" s="19" t="str">
        <f t="shared" si="1"/>
        <v> </v>
      </c>
      <c r="E5616" s="19" t="str">
        <f t="shared" si="2"/>
        <v> </v>
      </c>
      <c r="F5616" s="21"/>
    </row>
    <row r="5617">
      <c r="A5617" s="19">
        <v>17636.0</v>
      </c>
      <c r="B5617" s="19" t="s">
        <v>5595</v>
      </c>
      <c r="C5617" s="20">
        <v>28769.0</v>
      </c>
      <c r="D5617" s="19" t="str">
        <f t="shared" si="1"/>
        <v> </v>
      </c>
      <c r="E5617" s="19" t="str">
        <f t="shared" si="2"/>
        <v> </v>
      </c>
      <c r="F5617" s="21"/>
    </row>
    <row r="5618">
      <c r="A5618" s="22">
        <v>17638.0</v>
      </c>
      <c r="B5618" s="22" t="s">
        <v>5596</v>
      </c>
      <c r="C5618" s="23">
        <v>24544.0</v>
      </c>
      <c r="D5618" s="19" t="str">
        <f t="shared" si="1"/>
        <v> </v>
      </c>
      <c r="E5618" s="19" t="str">
        <f t="shared" si="2"/>
        <v> </v>
      </c>
      <c r="F5618" s="21"/>
    </row>
    <row r="5619">
      <c r="A5619" s="22">
        <v>17642.0</v>
      </c>
      <c r="B5619" s="22" t="s">
        <v>5597</v>
      </c>
      <c r="C5619" s="23">
        <v>10492.0</v>
      </c>
      <c r="D5619" s="19" t="str">
        <f t="shared" si="1"/>
        <v> </v>
      </c>
      <c r="E5619" s="19" t="str">
        <f t="shared" si="2"/>
        <v>Repeat</v>
      </c>
      <c r="F5619" s="21"/>
    </row>
    <row r="5620">
      <c r="A5620" s="22">
        <v>17644.0</v>
      </c>
      <c r="B5620" s="22" t="s">
        <v>5598</v>
      </c>
      <c r="C5620" s="23">
        <v>17953.0</v>
      </c>
      <c r="D5620" s="19" t="str">
        <f t="shared" si="1"/>
        <v> </v>
      </c>
      <c r="E5620" s="19" t="str">
        <f t="shared" si="2"/>
        <v> </v>
      </c>
      <c r="F5620" s="21"/>
    </row>
    <row r="5621">
      <c r="A5621" s="19">
        <v>17645.0</v>
      </c>
      <c r="B5621" s="19" t="s">
        <v>5599</v>
      </c>
      <c r="C5621" s="20">
        <v>28342.0</v>
      </c>
      <c r="D5621" s="19" t="str">
        <f t="shared" si="1"/>
        <v> </v>
      </c>
      <c r="E5621" s="19" t="str">
        <f t="shared" si="2"/>
        <v> </v>
      </c>
      <c r="F5621" s="21"/>
    </row>
    <row r="5622">
      <c r="A5622" s="19">
        <v>17646.0</v>
      </c>
      <c r="B5622" s="19" t="s">
        <v>5600</v>
      </c>
      <c r="C5622" s="20">
        <v>22520.0</v>
      </c>
      <c r="D5622" s="19" t="str">
        <f t="shared" si="1"/>
        <v> </v>
      </c>
      <c r="E5622" s="19" t="str">
        <f t="shared" si="2"/>
        <v> </v>
      </c>
      <c r="F5622" s="21"/>
    </row>
    <row r="5623">
      <c r="A5623" s="19">
        <v>17650.0</v>
      </c>
      <c r="B5623" s="19" t="s">
        <v>5601</v>
      </c>
      <c r="C5623" s="20">
        <v>20700.0</v>
      </c>
      <c r="D5623" s="19" t="str">
        <f t="shared" si="1"/>
        <v> </v>
      </c>
      <c r="E5623" s="19" t="str">
        <f t="shared" si="2"/>
        <v> </v>
      </c>
      <c r="F5623" s="21"/>
    </row>
    <row r="5624">
      <c r="A5624" s="19">
        <v>17585.0</v>
      </c>
      <c r="B5624" s="19" t="s">
        <v>5602</v>
      </c>
      <c r="C5624" s="20">
        <v>22072.0</v>
      </c>
      <c r="D5624" s="19" t="str">
        <f t="shared" si="1"/>
        <v> </v>
      </c>
      <c r="E5624" s="19" t="str">
        <f t="shared" si="2"/>
        <v> </v>
      </c>
      <c r="F5624" s="21"/>
    </row>
    <row r="5625">
      <c r="A5625" s="22">
        <v>17653.0</v>
      </c>
      <c r="B5625" s="22" t="s">
        <v>5603</v>
      </c>
      <c r="C5625" s="23">
        <v>33117.0</v>
      </c>
      <c r="D5625" s="19" t="str">
        <f t="shared" si="1"/>
        <v> </v>
      </c>
      <c r="E5625" s="19" t="str">
        <f t="shared" si="2"/>
        <v> </v>
      </c>
      <c r="F5625" s="21"/>
    </row>
    <row r="5626">
      <c r="A5626" s="19">
        <v>17654.0</v>
      </c>
      <c r="B5626" s="19" t="s">
        <v>5604</v>
      </c>
      <c r="C5626" s="20">
        <v>25635.0</v>
      </c>
      <c r="D5626" s="19" t="str">
        <f t="shared" si="1"/>
        <v> </v>
      </c>
      <c r="E5626" s="19" t="str">
        <f t="shared" si="2"/>
        <v> </v>
      </c>
      <c r="F5626" s="21"/>
    </row>
    <row r="5627">
      <c r="A5627" s="22">
        <v>17655.0</v>
      </c>
      <c r="B5627" s="22" t="s">
        <v>5605</v>
      </c>
      <c r="C5627" s="23">
        <v>16439.0</v>
      </c>
      <c r="D5627" s="19" t="str">
        <f t="shared" si="1"/>
        <v> </v>
      </c>
      <c r="E5627" s="19" t="str">
        <f t="shared" si="2"/>
        <v> </v>
      </c>
      <c r="F5627" s="21"/>
    </row>
    <row r="5628">
      <c r="A5628" s="22">
        <v>17656.0</v>
      </c>
      <c r="B5628" s="22" t="s">
        <v>5606</v>
      </c>
      <c r="C5628" s="23">
        <v>17028.0</v>
      </c>
      <c r="D5628" s="19" t="str">
        <f t="shared" si="1"/>
        <v> </v>
      </c>
      <c r="E5628" s="19" t="str">
        <f t="shared" si="2"/>
        <v> </v>
      </c>
      <c r="F5628" s="21"/>
    </row>
    <row r="5629">
      <c r="A5629" s="19">
        <v>17661.0</v>
      </c>
      <c r="B5629" s="19" t="s">
        <v>5607</v>
      </c>
      <c r="C5629" s="20">
        <v>18853.0</v>
      </c>
      <c r="D5629" s="19" t="str">
        <f t="shared" si="1"/>
        <v> </v>
      </c>
      <c r="E5629" s="19" t="str">
        <f t="shared" si="2"/>
        <v> </v>
      </c>
      <c r="F5629" s="21"/>
    </row>
    <row r="5630">
      <c r="A5630" s="22">
        <v>17662.0</v>
      </c>
      <c r="B5630" s="22" t="s">
        <v>5608</v>
      </c>
      <c r="C5630" s="23">
        <v>31625.0</v>
      </c>
      <c r="D5630" s="19" t="str">
        <f t="shared" si="1"/>
        <v> </v>
      </c>
      <c r="E5630" s="19" t="str">
        <f t="shared" si="2"/>
        <v> </v>
      </c>
      <c r="F5630" s="21"/>
    </row>
    <row r="5631">
      <c r="A5631" s="22">
        <v>17663.0</v>
      </c>
      <c r="B5631" s="22" t="s">
        <v>5609</v>
      </c>
      <c r="C5631" s="23">
        <v>15789.0</v>
      </c>
      <c r="D5631" s="19" t="str">
        <f t="shared" si="1"/>
        <v> </v>
      </c>
      <c r="E5631" s="19" t="str">
        <f t="shared" si="2"/>
        <v> </v>
      </c>
      <c r="F5631" s="21"/>
    </row>
    <row r="5632">
      <c r="A5632" s="22">
        <v>17665.0</v>
      </c>
      <c r="B5632" s="22" t="s">
        <v>5610</v>
      </c>
      <c r="C5632" s="23">
        <v>11991.0</v>
      </c>
      <c r="D5632" s="19" t="str">
        <f t="shared" si="1"/>
        <v> </v>
      </c>
      <c r="E5632" s="19" t="str">
        <f t="shared" si="2"/>
        <v> </v>
      </c>
      <c r="F5632" s="21"/>
    </row>
    <row r="5633">
      <c r="A5633" s="22">
        <v>17666.0</v>
      </c>
      <c r="B5633" s="22" t="s">
        <v>5611</v>
      </c>
      <c r="C5633" s="23">
        <v>15904.0</v>
      </c>
      <c r="D5633" s="19" t="str">
        <f t="shared" si="1"/>
        <v> </v>
      </c>
      <c r="E5633" s="19" t="str">
        <f t="shared" si="2"/>
        <v> </v>
      </c>
      <c r="F5633" s="21"/>
    </row>
    <row r="5634">
      <c r="A5634" s="22">
        <v>17668.0</v>
      </c>
      <c r="B5634" s="22" t="s">
        <v>5612</v>
      </c>
      <c r="C5634" s="23">
        <v>13250.0</v>
      </c>
      <c r="D5634" s="19" t="str">
        <f t="shared" si="1"/>
        <v> </v>
      </c>
      <c r="E5634" s="19" t="str">
        <f t="shared" si="2"/>
        <v> </v>
      </c>
      <c r="F5634" s="21"/>
    </row>
    <row r="5635">
      <c r="A5635" s="19">
        <v>17670.0</v>
      </c>
      <c r="B5635" s="19" t="s">
        <v>5613</v>
      </c>
      <c r="C5635" s="20">
        <v>15233.0</v>
      </c>
      <c r="D5635" s="19" t="str">
        <f t="shared" si="1"/>
        <v> </v>
      </c>
      <c r="E5635" s="19" t="str">
        <f t="shared" si="2"/>
        <v> </v>
      </c>
      <c r="F5635" s="21"/>
    </row>
    <row r="5636">
      <c r="A5636" s="19">
        <v>17672.0</v>
      </c>
      <c r="B5636" s="19" t="s">
        <v>5614</v>
      </c>
      <c r="C5636" s="20">
        <v>24669.0</v>
      </c>
      <c r="D5636" s="19" t="str">
        <f t="shared" si="1"/>
        <v> </v>
      </c>
      <c r="E5636" s="19" t="str">
        <f t="shared" si="2"/>
        <v>Repeat</v>
      </c>
      <c r="F5636" s="21"/>
    </row>
    <row r="5637">
      <c r="A5637" s="22">
        <v>17674.0</v>
      </c>
      <c r="B5637" s="22" t="s">
        <v>5615</v>
      </c>
      <c r="C5637" s="23">
        <v>27918.0</v>
      </c>
      <c r="D5637" s="19" t="str">
        <f t="shared" si="1"/>
        <v> </v>
      </c>
      <c r="E5637" s="19" t="str">
        <f t="shared" si="2"/>
        <v> </v>
      </c>
      <c r="F5637" s="21"/>
    </row>
    <row r="5638">
      <c r="A5638" s="22">
        <v>17675.0</v>
      </c>
      <c r="B5638" s="22" t="s">
        <v>5616</v>
      </c>
      <c r="C5638" s="23">
        <v>15429.0</v>
      </c>
      <c r="D5638" s="19" t="str">
        <f t="shared" si="1"/>
        <v> </v>
      </c>
      <c r="E5638" s="19" t="str">
        <f t="shared" si="2"/>
        <v>Repeat</v>
      </c>
      <c r="F5638" s="21"/>
    </row>
    <row r="5639">
      <c r="A5639" s="19">
        <v>17679.0</v>
      </c>
      <c r="B5639" s="19" t="s">
        <v>5617</v>
      </c>
      <c r="C5639" s="20">
        <v>29073.0</v>
      </c>
      <c r="D5639" s="19" t="str">
        <f t="shared" si="1"/>
        <v> </v>
      </c>
      <c r="E5639" s="19" t="str">
        <f t="shared" si="2"/>
        <v> </v>
      </c>
      <c r="F5639" s="21"/>
    </row>
    <row r="5640">
      <c r="A5640" s="22">
        <v>17681.0</v>
      </c>
      <c r="B5640" s="22" t="s">
        <v>5618</v>
      </c>
      <c r="C5640" s="23">
        <v>25947.0</v>
      </c>
      <c r="D5640" s="19" t="str">
        <f t="shared" si="1"/>
        <v> </v>
      </c>
      <c r="E5640" s="19" t="str">
        <f t="shared" si="2"/>
        <v> </v>
      </c>
      <c r="F5640" s="21"/>
    </row>
    <row r="5641">
      <c r="A5641" s="19">
        <v>17682.0</v>
      </c>
      <c r="B5641" s="19" t="s">
        <v>5619</v>
      </c>
      <c r="C5641" s="20">
        <v>19868.0</v>
      </c>
      <c r="D5641" s="19" t="str">
        <f t="shared" si="1"/>
        <v> </v>
      </c>
      <c r="E5641" s="19" t="str">
        <f t="shared" si="2"/>
        <v> </v>
      </c>
      <c r="F5641" s="21"/>
    </row>
    <row r="5642">
      <c r="A5642" s="22">
        <v>17684.0</v>
      </c>
      <c r="B5642" s="22" t="s">
        <v>5620</v>
      </c>
      <c r="C5642" s="23">
        <v>15744.0</v>
      </c>
      <c r="D5642" s="19" t="str">
        <f t="shared" si="1"/>
        <v> </v>
      </c>
      <c r="E5642" s="19" t="str">
        <f t="shared" si="2"/>
        <v> </v>
      </c>
      <c r="F5642" s="21"/>
    </row>
    <row r="5643">
      <c r="A5643" s="22">
        <v>17685.0</v>
      </c>
      <c r="B5643" s="22" t="s">
        <v>5621</v>
      </c>
      <c r="C5643" s="23">
        <v>24394.0</v>
      </c>
      <c r="D5643" s="19" t="str">
        <f t="shared" si="1"/>
        <v> </v>
      </c>
      <c r="E5643" s="19" t="str">
        <f t="shared" si="2"/>
        <v>Repeat</v>
      </c>
      <c r="F5643" s="21"/>
    </row>
    <row r="5644">
      <c r="A5644" s="22">
        <v>17691.0</v>
      </c>
      <c r="B5644" s="22" t="s">
        <v>5622</v>
      </c>
      <c r="C5644" s="23">
        <v>15625.0</v>
      </c>
      <c r="D5644" s="19" t="str">
        <f t="shared" si="1"/>
        <v> </v>
      </c>
      <c r="E5644" s="19" t="str">
        <f t="shared" si="2"/>
        <v>Repeat</v>
      </c>
      <c r="F5644" s="21"/>
    </row>
    <row r="5645">
      <c r="A5645" s="22">
        <v>17693.0</v>
      </c>
      <c r="B5645" s="22" t="s">
        <v>5623</v>
      </c>
      <c r="C5645" s="23">
        <v>30218.0</v>
      </c>
      <c r="D5645" s="19" t="str">
        <f t="shared" si="1"/>
        <v> </v>
      </c>
      <c r="E5645" s="19" t="str">
        <f t="shared" si="2"/>
        <v> </v>
      </c>
      <c r="F5645" s="21"/>
    </row>
    <row r="5646">
      <c r="A5646" s="22">
        <v>17697.0</v>
      </c>
      <c r="B5646" s="22" t="s">
        <v>5624</v>
      </c>
      <c r="C5646" s="23">
        <v>24305.0</v>
      </c>
      <c r="D5646" s="19" t="str">
        <f t="shared" si="1"/>
        <v> </v>
      </c>
      <c r="E5646" s="19" t="str">
        <f t="shared" si="2"/>
        <v> </v>
      </c>
      <c r="F5646" s="21"/>
    </row>
    <row r="5647">
      <c r="A5647" s="19">
        <v>17699.0</v>
      </c>
      <c r="B5647" s="19" t="s">
        <v>5625</v>
      </c>
      <c r="C5647" s="20">
        <v>19822.0</v>
      </c>
      <c r="D5647" s="19" t="str">
        <f t="shared" si="1"/>
        <v> </v>
      </c>
      <c r="E5647" s="19" t="str">
        <f t="shared" si="2"/>
        <v> </v>
      </c>
      <c r="F5647" s="21"/>
    </row>
    <row r="5648">
      <c r="A5648" s="22">
        <v>17700.0</v>
      </c>
      <c r="B5648" s="22" t="s">
        <v>5626</v>
      </c>
      <c r="C5648" s="23">
        <v>22880.0</v>
      </c>
      <c r="D5648" s="19" t="str">
        <f t="shared" si="1"/>
        <v> </v>
      </c>
      <c r="E5648" s="19" t="str">
        <f t="shared" si="2"/>
        <v> </v>
      </c>
      <c r="F5648" s="21"/>
    </row>
    <row r="5649">
      <c r="A5649" s="19">
        <v>17704.0</v>
      </c>
      <c r="B5649" s="19" t="s">
        <v>5627</v>
      </c>
      <c r="C5649" s="20">
        <v>26847.0</v>
      </c>
      <c r="D5649" s="19" t="str">
        <f t="shared" si="1"/>
        <v> </v>
      </c>
      <c r="E5649" s="19" t="str">
        <f t="shared" si="2"/>
        <v>Repeat</v>
      </c>
      <c r="F5649" s="21"/>
    </row>
    <row r="5650">
      <c r="A5650" s="19">
        <v>17707.0</v>
      </c>
      <c r="B5650" s="19" t="s">
        <v>5628</v>
      </c>
      <c r="C5650" s="20">
        <v>16095.0</v>
      </c>
      <c r="D5650" s="19" t="str">
        <f t="shared" si="1"/>
        <v> </v>
      </c>
      <c r="E5650" s="19" t="str">
        <f t="shared" si="2"/>
        <v> </v>
      </c>
      <c r="F5650" s="21"/>
    </row>
    <row r="5651">
      <c r="A5651" s="22">
        <v>17708.0</v>
      </c>
      <c r="B5651" s="22" t="s">
        <v>5629</v>
      </c>
      <c r="C5651" s="23">
        <v>14701.0</v>
      </c>
      <c r="D5651" s="19" t="str">
        <f t="shared" si="1"/>
        <v> </v>
      </c>
      <c r="E5651" s="19" t="str">
        <f t="shared" si="2"/>
        <v> </v>
      </c>
      <c r="F5651" s="21"/>
    </row>
    <row r="5652">
      <c r="A5652" s="22">
        <v>17713.0</v>
      </c>
      <c r="B5652" s="22" t="s">
        <v>5630</v>
      </c>
      <c r="C5652" s="23">
        <v>21325.0</v>
      </c>
      <c r="D5652" s="19" t="str">
        <f t="shared" si="1"/>
        <v> </v>
      </c>
      <c r="E5652" s="19" t="str">
        <f t="shared" si="2"/>
        <v> </v>
      </c>
      <c r="F5652" s="21"/>
    </row>
    <row r="5653">
      <c r="A5653" s="22">
        <v>17714.0</v>
      </c>
      <c r="B5653" s="22" t="s">
        <v>5631</v>
      </c>
      <c r="C5653" s="23">
        <v>27440.0</v>
      </c>
      <c r="D5653" s="19" t="str">
        <f t="shared" si="1"/>
        <v> </v>
      </c>
      <c r="E5653" s="19" t="str">
        <f t="shared" si="2"/>
        <v> </v>
      </c>
      <c r="F5653" s="21"/>
    </row>
    <row r="5654">
      <c r="A5654" s="19">
        <v>17722.0</v>
      </c>
      <c r="B5654" s="19" t="s">
        <v>5632</v>
      </c>
      <c r="C5654" s="20">
        <v>18162.0</v>
      </c>
      <c r="D5654" s="19" t="str">
        <f t="shared" si="1"/>
        <v> </v>
      </c>
      <c r="E5654" s="19" t="str">
        <f t="shared" si="2"/>
        <v> </v>
      </c>
      <c r="F5654" s="21"/>
    </row>
    <row r="5655">
      <c r="A5655" s="22">
        <v>17726.0</v>
      </c>
      <c r="B5655" s="22" t="s">
        <v>5633</v>
      </c>
      <c r="C5655" s="23">
        <v>25326.0</v>
      </c>
      <c r="D5655" s="19" t="str">
        <f t="shared" si="1"/>
        <v> </v>
      </c>
      <c r="E5655" s="19" t="str">
        <f t="shared" si="2"/>
        <v> </v>
      </c>
      <c r="F5655" s="21"/>
    </row>
    <row r="5656">
      <c r="A5656" s="19">
        <v>17731.0</v>
      </c>
      <c r="B5656" s="19" t="s">
        <v>5634</v>
      </c>
      <c r="C5656" s="20">
        <v>16165.0</v>
      </c>
      <c r="D5656" s="19" t="str">
        <f t="shared" si="1"/>
        <v> </v>
      </c>
      <c r="E5656" s="19" t="str">
        <f t="shared" si="2"/>
        <v> </v>
      </c>
      <c r="F5656" s="21"/>
    </row>
    <row r="5657">
      <c r="A5657" s="19">
        <v>17737.0</v>
      </c>
      <c r="B5657" s="19" t="s">
        <v>5635</v>
      </c>
      <c r="C5657" s="20">
        <v>20591.0</v>
      </c>
      <c r="D5657" s="19" t="str">
        <f t="shared" si="1"/>
        <v> </v>
      </c>
      <c r="E5657" s="19" t="str">
        <f t="shared" si="2"/>
        <v>Repeat</v>
      </c>
      <c r="F5657" s="21"/>
    </row>
    <row r="5658">
      <c r="A5658" s="19">
        <v>17740.0</v>
      </c>
      <c r="B5658" s="19" t="s">
        <v>5636</v>
      </c>
      <c r="C5658" s="20">
        <v>17787.0</v>
      </c>
      <c r="D5658" s="19" t="str">
        <f t="shared" si="1"/>
        <v> </v>
      </c>
      <c r="E5658" s="19" t="str">
        <f t="shared" si="2"/>
        <v> </v>
      </c>
      <c r="F5658" s="21"/>
    </row>
    <row r="5659">
      <c r="A5659" s="19" t="s">
        <v>5637</v>
      </c>
      <c r="B5659" s="19" t="s">
        <v>5638</v>
      </c>
      <c r="C5659" s="20">
        <v>17945.0</v>
      </c>
      <c r="D5659" s="19" t="str">
        <f t="shared" si="1"/>
        <v> </v>
      </c>
      <c r="E5659" s="19" t="str">
        <f t="shared" si="2"/>
        <v> </v>
      </c>
      <c r="F5659" s="24"/>
    </row>
    <row r="5660">
      <c r="A5660" s="19" t="s">
        <v>5639</v>
      </c>
      <c r="B5660" s="19" t="s">
        <v>506</v>
      </c>
      <c r="C5660" s="20">
        <v>22263.0</v>
      </c>
      <c r="D5660" s="19" t="str">
        <f t="shared" si="1"/>
        <v>Repeat</v>
      </c>
      <c r="E5660" s="19" t="str">
        <f t="shared" si="2"/>
        <v> </v>
      </c>
      <c r="F5660" s="24"/>
    </row>
    <row r="5661">
      <c r="A5661" s="19" t="s">
        <v>5640</v>
      </c>
      <c r="B5661" s="19" t="s">
        <v>555</v>
      </c>
      <c r="C5661" s="20">
        <v>28667.0</v>
      </c>
      <c r="D5661" s="19" t="str">
        <f t="shared" si="1"/>
        <v>Repeat</v>
      </c>
      <c r="E5661" s="19" t="str">
        <f t="shared" si="2"/>
        <v> </v>
      </c>
      <c r="F5661" s="24"/>
    </row>
    <row r="5662">
      <c r="A5662" s="19" t="s">
        <v>5641</v>
      </c>
      <c r="B5662" s="19" t="s">
        <v>651</v>
      </c>
      <c r="C5662" s="20">
        <v>23016.0</v>
      </c>
      <c r="D5662" s="19" t="str">
        <f t="shared" si="1"/>
        <v>Repeat</v>
      </c>
      <c r="E5662" s="19" t="str">
        <f t="shared" si="2"/>
        <v> </v>
      </c>
      <c r="F5662" s="24"/>
    </row>
    <row r="5663">
      <c r="A5663" s="19" t="s">
        <v>5642</v>
      </c>
      <c r="B5663" s="19" t="s">
        <v>694</v>
      </c>
      <c r="C5663" s="20">
        <v>17116.0</v>
      </c>
      <c r="D5663" s="19" t="str">
        <f t="shared" si="1"/>
        <v>Repeat</v>
      </c>
      <c r="E5663" s="19" t="str">
        <f t="shared" si="2"/>
        <v> </v>
      </c>
      <c r="F5663" s="24"/>
    </row>
    <row r="5664">
      <c r="A5664" s="19" t="s">
        <v>5643</v>
      </c>
      <c r="B5664" s="19" t="s">
        <v>750</v>
      </c>
      <c r="C5664" s="20">
        <v>18722.0</v>
      </c>
      <c r="D5664" s="19" t="str">
        <f t="shared" si="1"/>
        <v>Repeat</v>
      </c>
      <c r="E5664" s="19" t="str">
        <f t="shared" si="2"/>
        <v> </v>
      </c>
      <c r="F5664" s="24"/>
    </row>
    <row r="5665">
      <c r="A5665" s="19" t="s">
        <v>5644</v>
      </c>
      <c r="B5665" s="19" t="s">
        <v>751</v>
      </c>
      <c r="C5665" s="20">
        <v>19806.0</v>
      </c>
      <c r="D5665" s="19" t="str">
        <f t="shared" si="1"/>
        <v>Repeat</v>
      </c>
      <c r="E5665" s="19" t="str">
        <f t="shared" si="2"/>
        <v> </v>
      </c>
      <c r="F5665" s="24"/>
    </row>
    <row r="5666">
      <c r="A5666" s="19" t="s">
        <v>5645</v>
      </c>
      <c r="B5666" s="19" t="s">
        <v>5646</v>
      </c>
      <c r="C5666" s="20">
        <v>19324.0</v>
      </c>
      <c r="D5666" s="19" t="str">
        <f t="shared" si="1"/>
        <v> </v>
      </c>
      <c r="E5666" s="19" t="str">
        <f t="shared" si="2"/>
        <v> </v>
      </c>
      <c r="F5666" s="24"/>
    </row>
    <row r="5667">
      <c r="A5667" s="19" t="s">
        <v>5647</v>
      </c>
      <c r="B5667" s="19" t="s">
        <v>796</v>
      </c>
      <c r="C5667" s="20">
        <v>13482.0</v>
      </c>
      <c r="D5667" s="19" t="str">
        <f t="shared" si="1"/>
        <v>Repeat</v>
      </c>
      <c r="E5667" s="19" t="str">
        <f t="shared" si="2"/>
        <v> </v>
      </c>
      <c r="F5667" s="24"/>
    </row>
    <row r="5668">
      <c r="A5668" s="19" t="s">
        <v>5648</v>
      </c>
      <c r="B5668" s="19" t="s">
        <v>798</v>
      </c>
      <c r="C5668" s="20">
        <v>20885.0</v>
      </c>
      <c r="D5668" s="19" t="str">
        <f t="shared" si="1"/>
        <v>Repeat</v>
      </c>
      <c r="E5668" s="19" t="str">
        <f t="shared" si="2"/>
        <v> </v>
      </c>
      <c r="F5668" s="24"/>
    </row>
    <row r="5669">
      <c r="A5669" s="19" t="s">
        <v>5649</v>
      </c>
      <c r="B5669" s="19" t="s">
        <v>805</v>
      </c>
      <c r="C5669" s="20">
        <v>24401.0</v>
      </c>
      <c r="D5669" s="19" t="str">
        <f t="shared" si="1"/>
        <v>Repeat</v>
      </c>
      <c r="E5669" s="19" t="str">
        <f t="shared" si="2"/>
        <v> </v>
      </c>
      <c r="F5669" s="24"/>
    </row>
    <row r="5670">
      <c r="A5670" s="19" t="s">
        <v>5650</v>
      </c>
      <c r="B5670" s="19" t="s">
        <v>5651</v>
      </c>
      <c r="C5670" s="20">
        <v>33348.0</v>
      </c>
      <c r="D5670" s="19" t="str">
        <f t="shared" si="1"/>
        <v> </v>
      </c>
      <c r="E5670" s="19" t="str">
        <f t="shared" si="2"/>
        <v> </v>
      </c>
      <c r="F5670" s="24"/>
    </row>
    <row r="5671">
      <c r="A5671" s="19" t="s">
        <v>5652</v>
      </c>
      <c r="B5671" s="19" t="s">
        <v>911</v>
      </c>
      <c r="C5671" s="20">
        <v>24551.0</v>
      </c>
      <c r="D5671" s="19" t="str">
        <f t="shared" si="1"/>
        <v>Repeat</v>
      </c>
      <c r="E5671" s="19" t="str">
        <f t="shared" si="2"/>
        <v> </v>
      </c>
      <c r="F5671" s="24"/>
    </row>
    <row r="5672">
      <c r="A5672" s="19" t="s">
        <v>5653</v>
      </c>
      <c r="B5672" s="19" t="s">
        <v>1015</v>
      </c>
      <c r="C5672" s="20">
        <v>31522.0</v>
      </c>
      <c r="D5672" s="19" t="str">
        <f t="shared" si="1"/>
        <v>Repeat</v>
      </c>
      <c r="E5672" s="19" t="str">
        <f t="shared" si="2"/>
        <v> </v>
      </c>
      <c r="F5672" s="24"/>
    </row>
    <row r="5673">
      <c r="A5673" s="19" t="s">
        <v>5654</v>
      </c>
      <c r="B5673" s="19" t="s">
        <v>5655</v>
      </c>
      <c r="C5673" s="20">
        <v>33253.0</v>
      </c>
      <c r="D5673" s="19" t="str">
        <f t="shared" si="1"/>
        <v> </v>
      </c>
      <c r="E5673" s="19" t="str">
        <f t="shared" si="2"/>
        <v> </v>
      </c>
      <c r="F5673" s="24"/>
    </row>
    <row r="5674">
      <c r="A5674" s="19" t="s">
        <v>5656</v>
      </c>
      <c r="B5674" s="19" t="s">
        <v>1304</v>
      </c>
      <c r="C5674" s="20">
        <v>27387.0</v>
      </c>
      <c r="D5674" s="19" t="str">
        <f t="shared" si="1"/>
        <v>Repeat</v>
      </c>
      <c r="E5674" s="19" t="str">
        <f t="shared" si="2"/>
        <v> </v>
      </c>
      <c r="F5674" s="24"/>
    </row>
    <row r="5675">
      <c r="A5675" s="19" t="s">
        <v>5657</v>
      </c>
      <c r="B5675" s="19" t="s">
        <v>1309</v>
      </c>
      <c r="C5675" s="20">
        <v>25069.0</v>
      </c>
      <c r="D5675" s="19" t="str">
        <f t="shared" si="1"/>
        <v>Repeat</v>
      </c>
      <c r="E5675" s="19" t="str">
        <f t="shared" si="2"/>
        <v> </v>
      </c>
      <c r="F5675" s="24"/>
    </row>
    <row r="5676">
      <c r="A5676" s="19" t="s">
        <v>5658</v>
      </c>
      <c r="B5676" s="19" t="s">
        <v>1478</v>
      </c>
      <c r="C5676" s="20">
        <v>15274.0</v>
      </c>
      <c r="D5676" s="19" t="str">
        <f t="shared" si="1"/>
        <v>Repeat</v>
      </c>
      <c r="E5676" s="19" t="str">
        <f t="shared" si="2"/>
        <v> </v>
      </c>
      <c r="F5676" s="24"/>
    </row>
    <row r="5677">
      <c r="A5677" s="19" t="s">
        <v>5659</v>
      </c>
      <c r="B5677" s="19" t="s">
        <v>1559</v>
      </c>
      <c r="C5677" s="20">
        <v>16075.0</v>
      </c>
      <c r="D5677" s="19" t="str">
        <f t="shared" si="1"/>
        <v>Repeat</v>
      </c>
      <c r="E5677" s="19" t="str">
        <f t="shared" si="2"/>
        <v> </v>
      </c>
      <c r="F5677" s="24"/>
    </row>
    <row r="5678">
      <c r="A5678" s="19" t="s">
        <v>5660</v>
      </c>
      <c r="B5678" s="19" t="s">
        <v>1698</v>
      </c>
      <c r="C5678" s="20">
        <v>16408.0</v>
      </c>
      <c r="D5678" s="19" t="str">
        <f t="shared" si="1"/>
        <v>Repeat</v>
      </c>
      <c r="E5678" s="19" t="str">
        <f t="shared" si="2"/>
        <v> </v>
      </c>
      <c r="F5678" s="24"/>
    </row>
    <row r="5679">
      <c r="A5679" s="19" t="s">
        <v>5661</v>
      </c>
      <c r="B5679" s="19" t="s">
        <v>5662</v>
      </c>
      <c r="C5679" s="20">
        <v>10504.0</v>
      </c>
      <c r="D5679" s="19" t="str">
        <f t="shared" si="1"/>
        <v> </v>
      </c>
      <c r="E5679" s="19" t="str">
        <f t="shared" si="2"/>
        <v> </v>
      </c>
      <c r="F5679" s="24"/>
    </row>
    <row r="5680">
      <c r="A5680" s="19" t="s">
        <v>17</v>
      </c>
      <c r="B5680" s="19" t="s">
        <v>5663</v>
      </c>
      <c r="C5680" s="20">
        <v>28446.0</v>
      </c>
      <c r="D5680" s="19" t="str">
        <f t="shared" si="1"/>
        <v>Repeat</v>
      </c>
      <c r="E5680" s="19" t="str">
        <f t="shared" si="2"/>
        <v> </v>
      </c>
      <c r="F5680" s="24"/>
    </row>
    <row r="5681">
      <c r="A5681" s="19">
        <v>12928.0</v>
      </c>
      <c r="B5681" s="19" t="s">
        <v>5663</v>
      </c>
      <c r="C5681" s="20">
        <v>28446.0</v>
      </c>
      <c r="D5681" s="19" t="str">
        <f t="shared" si="1"/>
        <v>Repeat</v>
      </c>
      <c r="E5681" s="19" t="str">
        <f t="shared" si="2"/>
        <v> </v>
      </c>
      <c r="F5681" s="24"/>
    </row>
    <row r="5682">
      <c r="A5682" s="19" t="s">
        <v>5664</v>
      </c>
      <c r="B5682" s="19" t="s">
        <v>1875</v>
      </c>
      <c r="C5682" s="20">
        <v>15686.0</v>
      </c>
      <c r="D5682" s="19" t="str">
        <f t="shared" si="1"/>
        <v>Repeat</v>
      </c>
      <c r="E5682" s="19" t="str">
        <f t="shared" si="2"/>
        <v> </v>
      </c>
      <c r="F5682" s="24"/>
    </row>
    <row r="5683">
      <c r="A5683" s="19" t="s">
        <v>5665</v>
      </c>
      <c r="B5683" s="19" t="s">
        <v>1957</v>
      </c>
      <c r="C5683" s="20">
        <v>15746.0</v>
      </c>
      <c r="D5683" s="19" t="str">
        <f t="shared" si="1"/>
        <v>Repeat</v>
      </c>
      <c r="E5683" s="19" t="str">
        <f t="shared" si="2"/>
        <v> </v>
      </c>
      <c r="F5683" s="24"/>
    </row>
    <row r="5684">
      <c r="A5684" s="19" t="s">
        <v>5666</v>
      </c>
      <c r="B5684" s="19" t="s">
        <v>2057</v>
      </c>
      <c r="C5684" s="20">
        <v>10769.0</v>
      </c>
      <c r="D5684" s="19" t="str">
        <f t="shared" si="1"/>
        <v>Repeat</v>
      </c>
      <c r="E5684" s="19" t="str">
        <f t="shared" si="2"/>
        <v> </v>
      </c>
      <c r="F5684" s="24"/>
    </row>
    <row r="5685">
      <c r="A5685" s="19" t="s">
        <v>5667</v>
      </c>
      <c r="B5685" s="19" t="s">
        <v>2132</v>
      </c>
      <c r="C5685" s="20">
        <v>31106.0</v>
      </c>
      <c r="D5685" s="19" t="str">
        <f t="shared" si="1"/>
        <v>Repeat</v>
      </c>
      <c r="E5685" s="19" t="str">
        <f t="shared" si="2"/>
        <v> </v>
      </c>
      <c r="F5685" s="24"/>
    </row>
    <row r="5686">
      <c r="A5686" s="19" t="s">
        <v>5668</v>
      </c>
      <c r="B5686" s="19" t="s">
        <v>2178</v>
      </c>
      <c r="C5686" s="20">
        <v>12842.0</v>
      </c>
      <c r="D5686" s="19" t="str">
        <f t="shared" si="1"/>
        <v>Repeat</v>
      </c>
      <c r="E5686" s="19" t="str">
        <f t="shared" si="2"/>
        <v> </v>
      </c>
      <c r="F5686" s="24"/>
    </row>
    <row r="5687">
      <c r="A5687" s="19" t="s">
        <v>5669</v>
      </c>
      <c r="B5687" s="19" t="s">
        <v>2249</v>
      </c>
      <c r="C5687" s="20">
        <v>19914.0</v>
      </c>
      <c r="D5687" s="19" t="str">
        <f t="shared" si="1"/>
        <v>Repeat</v>
      </c>
      <c r="E5687" s="19" t="str">
        <f t="shared" si="2"/>
        <v> </v>
      </c>
      <c r="F5687" s="24"/>
    </row>
    <row r="5688">
      <c r="A5688" s="19" t="s">
        <v>5670</v>
      </c>
      <c r="B5688" s="19" t="s">
        <v>2253</v>
      </c>
      <c r="C5688" s="20">
        <v>14935.0</v>
      </c>
      <c r="D5688" s="19" t="str">
        <f t="shared" si="1"/>
        <v>Repeat</v>
      </c>
      <c r="E5688" s="19" t="str">
        <f t="shared" si="2"/>
        <v> </v>
      </c>
      <c r="F5688" s="24"/>
    </row>
    <row r="5689">
      <c r="A5689" s="19" t="s">
        <v>5671</v>
      </c>
      <c r="B5689" s="19" t="s">
        <v>5672</v>
      </c>
      <c r="C5689" s="20">
        <v>24561.0</v>
      </c>
      <c r="D5689" s="19" t="str">
        <f t="shared" si="1"/>
        <v>Repeat</v>
      </c>
      <c r="E5689" s="19" t="str">
        <f t="shared" si="2"/>
        <v> </v>
      </c>
      <c r="F5689" s="24"/>
    </row>
    <row r="5690">
      <c r="A5690" s="19" t="s">
        <v>5673</v>
      </c>
      <c r="B5690" s="19" t="s">
        <v>2397</v>
      </c>
      <c r="C5690" s="20">
        <v>28177.0</v>
      </c>
      <c r="D5690" s="19" t="str">
        <f t="shared" si="1"/>
        <v>Repeat</v>
      </c>
      <c r="E5690" s="19" t="str">
        <f t="shared" si="2"/>
        <v> </v>
      </c>
      <c r="F5690" s="24"/>
    </row>
    <row r="5691">
      <c r="A5691" s="19" t="s">
        <v>5674</v>
      </c>
      <c r="B5691" s="19" t="s">
        <v>2451</v>
      </c>
      <c r="C5691" s="20">
        <v>32834.0</v>
      </c>
      <c r="D5691" s="19" t="str">
        <f t="shared" si="1"/>
        <v>Repeat</v>
      </c>
      <c r="E5691" s="19" t="str">
        <f t="shared" si="2"/>
        <v> </v>
      </c>
      <c r="F5691" s="24"/>
    </row>
    <row r="5692">
      <c r="A5692" s="19" t="s">
        <v>5675</v>
      </c>
      <c r="B5692" s="19" t="s">
        <v>2461</v>
      </c>
      <c r="C5692" s="20">
        <v>34963.0</v>
      </c>
      <c r="D5692" s="19" t="str">
        <f t="shared" si="1"/>
        <v>Repeat</v>
      </c>
      <c r="E5692" s="19" t="str">
        <f t="shared" si="2"/>
        <v> </v>
      </c>
      <c r="F5692" s="24"/>
    </row>
    <row r="5693">
      <c r="A5693" s="19" t="s">
        <v>5676</v>
      </c>
      <c r="B5693" s="19" t="s">
        <v>2462</v>
      </c>
      <c r="C5693" s="20">
        <v>23397.0</v>
      </c>
      <c r="D5693" s="19" t="str">
        <f t="shared" si="1"/>
        <v>Repeat</v>
      </c>
      <c r="E5693" s="19" t="str">
        <f t="shared" si="2"/>
        <v> </v>
      </c>
      <c r="F5693" s="24"/>
    </row>
    <row r="5694">
      <c r="A5694" s="19" t="s">
        <v>5677</v>
      </c>
      <c r="B5694" s="19" t="s">
        <v>2477</v>
      </c>
      <c r="C5694" s="20">
        <v>30118.0</v>
      </c>
      <c r="D5694" s="19" t="str">
        <f t="shared" si="1"/>
        <v>Repeat</v>
      </c>
      <c r="E5694" s="19" t="str">
        <f t="shared" si="2"/>
        <v> </v>
      </c>
      <c r="F5694" s="24"/>
    </row>
    <row r="5695">
      <c r="A5695" s="19" t="s">
        <v>5678</v>
      </c>
      <c r="B5695" s="19" t="s">
        <v>2491</v>
      </c>
      <c r="C5695" s="20">
        <v>24812.0</v>
      </c>
      <c r="D5695" s="19" t="str">
        <f t="shared" si="1"/>
        <v>Repeat</v>
      </c>
      <c r="E5695" s="19" t="str">
        <f t="shared" si="2"/>
        <v> </v>
      </c>
      <c r="F5695" s="24"/>
    </row>
    <row r="5696">
      <c r="A5696" s="19" t="s">
        <v>5679</v>
      </c>
      <c r="B5696" s="19" t="s">
        <v>2599</v>
      </c>
      <c r="C5696" s="20">
        <v>21643.0</v>
      </c>
      <c r="D5696" s="19" t="str">
        <f t="shared" si="1"/>
        <v>Repeat</v>
      </c>
      <c r="E5696" s="19" t="str">
        <f t="shared" si="2"/>
        <v> </v>
      </c>
      <c r="F5696" s="24"/>
    </row>
    <row r="5697">
      <c r="A5697" s="19" t="s">
        <v>5680</v>
      </c>
      <c r="B5697" s="19" t="s">
        <v>5681</v>
      </c>
      <c r="C5697" s="20">
        <v>22694.0</v>
      </c>
      <c r="D5697" s="19" t="str">
        <f t="shared" si="1"/>
        <v> </v>
      </c>
      <c r="E5697" s="19" t="str">
        <f t="shared" si="2"/>
        <v> </v>
      </c>
      <c r="F5697" s="24"/>
    </row>
    <row r="5698">
      <c r="A5698" s="19" t="s">
        <v>5682</v>
      </c>
      <c r="B5698" s="19" t="s">
        <v>5683</v>
      </c>
      <c r="C5698" s="20">
        <v>30335.0</v>
      </c>
      <c r="D5698" s="19" t="str">
        <f t="shared" si="1"/>
        <v> </v>
      </c>
      <c r="E5698" s="19" t="str">
        <f t="shared" si="2"/>
        <v> </v>
      </c>
      <c r="F5698" s="24"/>
    </row>
    <row r="5699">
      <c r="A5699" s="19" t="s">
        <v>5684</v>
      </c>
      <c r="B5699" s="19" t="s">
        <v>2660</v>
      </c>
      <c r="C5699" s="20">
        <v>24823.0</v>
      </c>
      <c r="D5699" s="19" t="str">
        <f t="shared" si="1"/>
        <v>Repeat</v>
      </c>
      <c r="E5699" s="19" t="str">
        <f t="shared" si="2"/>
        <v> </v>
      </c>
      <c r="F5699" s="24"/>
    </row>
    <row r="5700">
      <c r="A5700" s="19" t="s">
        <v>5685</v>
      </c>
      <c r="B5700" s="19" t="s">
        <v>2705</v>
      </c>
      <c r="C5700" s="20">
        <v>18535.0</v>
      </c>
      <c r="D5700" s="19" t="str">
        <f t="shared" si="1"/>
        <v>Repeat</v>
      </c>
      <c r="E5700" s="19" t="str">
        <f t="shared" si="2"/>
        <v> </v>
      </c>
      <c r="F5700" s="24"/>
    </row>
    <row r="5701">
      <c r="A5701" s="19" t="s">
        <v>5686</v>
      </c>
      <c r="B5701" s="19" t="s">
        <v>5687</v>
      </c>
      <c r="C5701" s="20">
        <v>22607.0</v>
      </c>
      <c r="D5701" s="19" t="str">
        <f t="shared" si="1"/>
        <v> </v>
      </c>
      <c r="E5701" s="19" t="str">
        <f t="shared" si="2"/>
        <v> </v>
      </c>
      <c r="F5701" s="24"/>
    </row>
    <row r="5702">
      <c r="A5702" s="19" t="s">
        <v>5688</v>
      </c>
      <c r="B5702" s="19" t="s">
        <v>2796</v>
      </c>
      <c r="C5702" s="20">
        <v>17875.0</v>
      </c>
      <c r="D5702" s="19" t="str">
        <f t="shared" si="1"/>
        <v>Repeat</v>
      </c>
      <c r="E5702" s="19" t="str">
        <f t="shared" si="2"/>
        <v> </v>
      </c>
      <c r="F5702" s="24"/>
    </row>
    <row r="5703">
      <c r="A5703" s="19" t="s">
        <v>5689</v>
      </c>
      <c r="B5703" s="19" t="s">
        <v>2844</v>
      </c>
      <c r="C5703" s="20">
        <v>32103.0</v>
      </c>
      <c r="D5703" s="19" t="str">
        <f t="shared" si="1"/>
        <v>Repeat</v>
      </c>
      <c r="E5703" s="19" t="str">
        <f t="shared" si="2"/>
        <v> </v>
      </c>
      <c r="F5703" s="24"/>
    </row>
    <row r="5704">
      <c r="A5704" s="19" t="s">
        <v>5690</v>
      </c>
      <c r="B5704" s="19" t="s">
        <v>2846</v>
      </c>
      <c r="C5704" s="20">
        <v>22076.0</v>
      </c>
      <c r="D5704" s="19" t="str">
        <f t="shared" si="1"/>
        <v>Repeat</v>
      </c>
      <c r="E5704" s="19" t="str">
        <f t="shared" si="2"/>
        <v> </v>
      </c>
      <c r="F5704" s="24"/>
    </row>
    <row r="5705">
      <c r="A5705" s="19" t="s">
        <v>5691</v>
      </c>
      <c r="B5705" s="19" t="s">
        <v>2932</v>
      </c>
      <c r="C5705" s="20">
        <v>29008.0</v>
      </c>
      <c r="D5705" s="19" t="str">
        <f t="shared" si="1"/>
        <v>Repeat</v>
      </c>
      <c r="E5705" s="19" t="str">
        <f t="shared" si="2"/>
        <v> </v>
      </c>
      <c r="F5705" s="24"/>
    </row>
    <row r="5706">
      <c r="A5706" s="19" t="s">
        <v>5692</v>
      </c>
      <c r="B5706" s="19" t="s">
        <v>3052</v>
      </c>
      <c r="C5706" s="20">
        <v>18498.0</v>
      </c>
      <c r="D5706" s="19" t="str">
        <f t="shared" si="1"/>
        <v>Repeat</v>
      </c>
      <c r="E5706" s="19" t="str">
        <f t="shared" si="2"/>
        <v> </v>
      </c>
      <c r="F5706" s="24"/>
    </row>
    <row r="5707">
      <c r="A5707" s="19" t="s">
        <v>5693</v>
      </c>
      <c r="B5707" s="19" t="s">
        <v>3065</v>
      </c>
      <c r="C5707" s="20">
        <v>18101.0</v>
      </c>
      <c r="D5707" s="19" t="str">
        <f t="shared" si="1"/>
        <v>Repeat</v>
      </c>
      <c r="E5707" s="19" t="str">
        <f t="shared" si="2"/>
        <v> </v>
      </c>
      <c r="F5707" s="24"/>
    </row>
    <row r="5708">
      <c r="A5708" s="19" t="s">
        <v>5694</v>
      </c>
      <c r="B5708" s="19" t="s">
        <v>3073</v>
      </c>
      <c r="C5708" s="20">
        <v>30337.0</v>
      </c>
      <c r="D5708" s="19" t="str">
        <f t="shared" si="1"/>
        <v>Repeat</v>
      </c>
      <c r="E5708" s="19" t="str">
        <f t="shared" si="2"/>
        <v> </v>
      </c>
      <c r="F5708" s="24"/>
    </row>
    <row r="5709">
      <c r="A5709" s="19" t="s">
        <v>5695</v>
      </c>
      <c r="B5709" s="19" t="s">
        <v>3075</v>
      </c>
      <c r="C5709" s="20">
        <v>36551.0</v>
      </c>
      <c r="D5709" s="19" t="str">
        <f t="shared" si="1"/>
        <v>Repeat</v>
      </c>
      <c r="E5709" s="19" t="str">
        <f t="shared" si="2"/>
        <v> </v>
      </c>
      <c r="F5709" s="24"/>
    </row>
    <row r="5710">
      <c r="A5710" s="19" t="s">
        <v>5696</v>
      </c>
      <c r="B5710" s="19" t="s">
        <v>3141</v>
      </c>
      <c r="C5710" s="20">
        <v>21465.0</v>
      </c>
      <c r="D5710" s="19" t="str">
        <f t="shared" si="1"/>
        <v>Repeat</v>
      </c>
      <c r="E5710" s="19" t="str">
        <f t="shared" si="2"/>
        <v> </v>
      </c>
      <c r="F5710" s="24"/>
    </row>
    <row r="5711">
      <c r="A5711" s="19" t="s">
        <v>5697</v>
      </c>
      <c r="B5711" s="19" t="s">
        <v>3168</v>
      </c>
      <c r="C5711" s="20">
        <v>21550.0</v>
      </c>
      <c r="D5711" s="19" t="str">
        <f t="shared" si="1"/>
        <v>Repeat</v>
      </c>
      <c r="E5711" s="19" t="str">
        <f t="shared" si="2"/>
        <v> </v>
      </c>
      <c r="F5711" s="24"/>
    </row>
    <row r="5712">
      <c r="A5712" s="19" t="s">
        <v>5698</v>
      </c>
      <c r="B5712" s="19" t="s">
        <v>3230</v>
      </c>
      <c r="C5712" s="20">
        <v>19785.0</v>
      </c>
      <c r="D5712" s="19" t="str">
        <f t="shared" si="1"/>
        <v>Repeat</v>
      </c>
      <c r="E5712" s="19" t="str">
        <f t="shared" si="2"/>
        <v> </v>
      </c>
      <c r="F5712" s="24"/>
    </row>
    <row r="5713">
      <c r="A5713" s="19" t="s">
        <v>5699</v>
      </c>
      <c r="B5713" s="19" t="s">
        <v>3362</v>
      </c>
      <c r="C5713" s="20">
        <v>24183.0</v>
      </c>
      <c r="D5713" s="19" t="str">
        <f t="shared" si="1"/>
        <v>Repeat</v>
      </c>
      <c r="E5713" s="19" t="str">
        <f t="shared" si="2"/>
        <v> </v>
      </c>
      <c r="F5713" s="24"/>
    </row>
    <row r="5714">
      <c r="A5714" s="19" t="s">
        <v>5700</v>
      </c>
      <c r="B5714" s="19" t="s">
        <v>3515</v>
      </c>
      <c r="C5714" s="20">
        <v>25090.0</v>
      </c>
      <c r="D5714" s="19" t="str">
        <f t="shared" si="1"/>
        <v>Repeat</v>
      </c>
      <c r="E5714" s="19" t="str">
        <f t="shared" si="2"/>
        <v> </v>
      </c>
      <c r="F5714" s="24"/>
    </row>
    <row r="5715">
      <c r="A5715" s="19" t="s">
        <v>5701</v>
      </c>
      <c r="B5715" s="19" t="s">
        <v>3583</v>
      </c>
      <c r="C5715" s="20">
        <v>18665.0</v>
      </c>
      <c r="D5715" s="19" t="str">
        <f t="shared" si="1"/>
        <v>Repeat</v>
      </c>
      <c r="E5715" s="19" t="str">
        <f t="shared" si="2"/>
        <v> </v>
      </c>
      <c r="F5715" s="24"/>
    </row>
    <row r="5716">
      <c r="A5716" s="19" t="s">
        <v>5702</v>
      </c>
      <c r="B5716" s="19" t="s">
        <v>3604</v>
      </c>
      <c r="C5716" s="20">
        <v>30883.0</v>
      </c>
      <c r="D5716" s="19" t="str">
        <f t="shared" si="1"/>
        <v>Repeat</v>
      </c>
      <c r="E5716" s="19" t="str">
        <f t="shared" si="2"/>
        <v> </v>
      </c>
      <c r="F5716" s="24"/>
    </row>
    <row r="5717">
      <c r="A5717" s="19" t="s">
        <v>5703</v>
      </c>
      <c r="B5717" s="19" t="s">
        <v>3679</v>
      </c>
      <c r="C5717" s="20">
        <v>23981.0</v>
      </c>
      <c r="D5717" s="19" t="str">
        <f t="shared" si="1"/>
        <v>Repeat</v>
      </c>
      <c r="E5717" s="19" t="str">
        <f t="shared" si="2"/>
        <v> </v>
      </c>
      <c r="F5717" s="24"/>
    </row>
    <row r="5718">
      <c r="A5718" s="19" t="s">
        <v>5704</v>
      </c>
      <c r="B5718" s="19" t="s">
        <v>3693</v>
      </c>
      <c r="C5718" s="20">
        <v>25359.0</v>
      </c>
      <c r="D5718" s="19" t="str">
        <f t="shared" si="1"/>
        <v>Repeat</v>
      </c>
      <c r="E5718" s="19" t="str">
        <f t="shared" si="2"/>
        <v> </v>
      </c>
      <c r="F5718" s="24"/>
    </row>
    <row r="5719">
      <c r="A5719" s="19" t="s">
        <v>5705</v>
      </c>
      <c r="B5719" s="19" t="s">
        <v>3769</v>
      </c>
      <c r="C5719" s="20">
        <v>19211.0</v>
      </c>
      <c r="D5719" s="19" t="str">
        <f t="shared" si="1"/>
        <v>Repeat</v>
      </c>
      <c r="E5719" s="19" t="str">
        <f t="shared" si="2"/>
        <v> </v>
      </c>
      <c r="F5719" s="24"/>
    </row>
    <row r="5720">
      <c r="A5720" s="19" t="s">
        <v>5706</v>
      </c>
      <c r="B5720" s="19" t="s">
        <v>3788</v>
      </c>
      <c r="C5720" s="20">
        <v>17858.0</v>
      </c>
      <c r="D5720" s="19" t="str">
        <f t="shared" si="1"/>
        <v>Repeat</v>
      </c>
      <c r="E5720" s="19" t="str">
        <f t="shared" si="2"/>
        <v> </v>
      </c>
      <c r="F5720" s="24"/>
    </row>
    <row r="5721">
      <c r="A5721" s="19" t="s">
        <v>5707</v>
      </c>
      <c r="B5721" s="19" t="s">
        <v>3864</v>
      </c>
      <c r="C5721" s="20">
        <v>17854.0</v>
      </c>
      <c r="D5721" s="19" t="str">
        <f t="shared" si="1"/>
        <v>Repeat</v>
      </c>
      <c r="E5721" s="19" t="str">
        <f t="shared" si="2"/>
        <v> </v>
      </c>
      <c r="F5721" s="24"/>
    </row>
    <row r="5722">
      <c r="A5722" s="19" t="s">
        <v>5708</v>
      </c>
      <c r="B5722" s="19" t="s">
        <v>3966</v>
      </c>
      <c r="C5722" s="20">
        <v>21458.0</v>
      </c>
      <c r="D5722" s="19" t="str">
        <f t="shared" si="1"/>
        <v>Repeat</v>
      </c>
      <c r="E5722" s="19" t="str">
        <f t="shared" si="2"/>
        <v> </v>
      </c>
      <c r="F5722" s="24"/>
    </row>
    <row r="5723">
      <c r="A5723" s="19" t="s">
        <v>5709</v>
      </c>
      <c r="B5723" s="19" t="s">
        <v>4047</v>
      </c>
      <c r="C5723" s="20">
        <v>23618.0</v>
      </c>
      <c r="D5723" s="19" t="str">
        <f t="shared" si="1"/>
        <v>Repeat</v>
      </c>
      <c r="E5723" s="19" t="str">
        <f t="shared" si="2"/>
        <v> </v>
      </c>
      <c r="F5723" s="24"/>
    </row>
    <row r="5724">
      <c r="A5724" s="19" t="s">
        <v>5710</v>
      </c>
      <c r="B5724" s="19" t="s">
        <v>4049</v>
      </c>
      <c r="C5724" s="20">
        <v>30016.0</v>
      </c>
      <c r="D5724" s="19" t="str">
        <f t="shared" si="1"/>
        <v>Repeat</v>
      </c>
      <c r="E5724" s="19" t="str">
        <f t="shared" si="2"/>
        <v> </v>
      </c>
      <c r="F5724" s="24"/>
    </row>
    <row r="5725">
      <c r="A5725" s="19" t="s">
        <v>5711</v>
      </c>
      <c r="B5725" s="19" t="s">
        <v>4113</v>
      </c>
      <c r="C5725" s="20">
        <v>19289.0</v>
      </c>
      <c r="D5725" s="19" t="str">
        <f t="shared" si="1"/>
        <v>Repeat</v>
      </c>
      <c r="E5725" s="19" t="str">
        <f t="shared" si="2"/>
        <v> </v>
      </c>
      <c r="F5725" s="24"/>
    </row>
    <row r="5726">
      <c r="A5726" s="19" t="s">
        <v>5712</v>
      </c>
      <c r="B5726" s="19" t="s">
        <v>4121</v>
      </c>
      <c r="C5726" s="20">
        <v>17203.0</v>
      </c>
      <c r="D5726" s="19" t="str">
        <f t="shared" si="1"/>
        <v>Repeat</v>
      </c>
      <c r="E5726" s="19" t="str">
        <f t="shared" si="2"/>
        <v> </v>
      </c>
      <c r="F5726" s="24"/>
    </row>
    <row r="5727">
      <c r="A5727" s="19" t="s">
        <v>5713</v>
      </c>
      <c r="B5727" s="19" t="s">
        <v>3931</v>
      </c>
      <c r="C5727" s="20">
        <v>22495.0</v>
      </c>
      <c r="D5727" s="19" t="str">
        <f t="shared" si="1"/>
        <v>Repeat</v>
      </c>
      <c r="E5727" s="19" t="str">
        <f t="shared" si="2"/>
        <v> </v>
      </c>
      <c r="F5727" s="24"/>
    </row>
    <row r="5728">
      <c r="A5728" s="19" t="s">
        <v>5714</v>
      </c>
      <c r="B5728" s="19" t="s">
        <v>4157</v>
      </c>
      <c r="C5728" s="20">
        <v>22485.0</v>
      </c>
      <c r="D5728" s="19" t="str">
        <f t="shared" si="1"/>
        <v>Repeat</v>
      </c>
      <c r="E5728" s="19" t="str">
        <f t="shared" si="2"/>
        <v> </v>
      </c>
      <c r="F5728" s="24"/>
    </row>
    <row r="5729">
      <c r="A5729" s="19" t="s">
        <v>5715</v>
      </c>
      <c r="B5729" s="19" t="s">
        <v>4198</v>
      </c>
      <c r="C5729" s="20">
        <v>22196.0</v>
      </c>
      <c r="D5729" s="19" t="str">
        <f t="shared" si="1"/>
        <v>Repeat</v>
      </c>
      <c r="E5729" s="19" t="str">
        <f t="shared" si="2"/>
        <v> </v>
      </c>
      <c r="F5729" s="24"/>
    </row>
    <row r="5730">
      <c r="A5730" s="19" t="s">
        <v>5716</v>
      </c>
      <c r="B5730" s="19" t="s">
        <v>4244</v>
      </c>
      <c r="C5730" s="20">
        <v>34119.0</v>
      </c>
      <c r="D5730" s="19" t="str">
        <f t="shared" si="1"/>
        <v>Repeat</v>
      </c>
      <c r="E5730" s="19" t="str">
        <f t="shared" si="2"/>
        <v> </v>
      </c>
      <c r="F5730" s="24"/>
    </row>
    <row r="5731">
      <c r="A5731" s="19" t="s">
        <v>5717</v>
      </c>
      <c r="B5731" s="19" t="s">
        <v>4275</v>
      </c>
      <c r="C5731" s="20">
        <v>17518.0</v>
      </c>
      <c r="D5731" s="19" t="str">
        <f t="shared" si="1"/>
        <v>Repeat</v>
      </c>
      <c r="E5731" s="19" t="str">
        <f t="shared" si="2"/>
        <v> </v>
      </c>
      <c r="F5731" s="24"/>
    </row>
    <row r="5732">
      <c r="A5732" s="19" t="s">
        <v>5718</v>
      </c>
      <c r="B5732" s="19" t="s">
        <v>5719</v>
      </c>
      <c r="C5732" s="20">
        <v>22109.0</v>
      </c>
      <c r="D5732" s="19" t="str">
        <f t="shared" si="1"/>
        <v> </v>
      </c>
      <c r="E5732" s="19" t="str">
        <f t="shared" si="2"/>
        <v> </v>
      </c>
      <c r="F5732" s="24"/>
    </row>
    <row r="5733">
      <c r="A5733" s="19" t="s">
        <v>5720</v>
      </c>
      <c r="B5733" s="19" t="s">
        <v>4319</v>
      </c>
      <c r="C5733" s="20">
        <v>26952.0</v>
      </c>
      <c r="D5733" s="19" t="str">
        <f t="shared" si="1"/>
        <v>Repeat</v>
      </c>
      <c r="E5733" s="19" t="str">
        <f t="shared" si="2"/>
        <v> </v>
      </c>
      <c r="F5733" s="24"/>
    </row>
    <row r="5734">
      <c r="A5734" s="19" t="s">
        <v>5721</v>
      </c>
      <c r="B5734" s="19" t="s">
        <v>4351</v>
      </c>
      <c r="C5734" s="20">
        <v>29086.0</v>
      </c>
      <c r="D5734" s="19" t="str">
        <f t="shared" si="1"/>
        <v>Repeat</v>
      </c>
      <c r="E5734" s="19" t="str">
        <f t="shared" si="2"/>
        <v> </v>
      </c>
      <c r="F5734" s="24"/>
    </row>
    <row r="5735">
      <c r="A5735" s="19" t="s">
        <v>5722</v>
      </c>
      <c r="B5735" s="19" t="s">
        <v>4636</v>
      </c>
      <c r="C5735" s="20">
        <v>26714.0</v>
      </c>
      <c r="D5735" s="19" t="str">
        <f t="shared" si="1"/>
        <v>Repeat</v>
      </c>
      <c r="E5735" s="19" t="str">
        <f t="shared" si="2"/>
        <v> </v>
      </c>
      <c r="F5735" s="24"/>
    </row>
    <row r="5736">
      <c r="A5736" s="19" t="s">
        <v>5723</v>
      </c>
      <c r="B5736" s="19" t="s">
        <v>5724</v>
      </c>
      <c r="C5736" s="20">
        <v>16599.0</v>
      </c>
      <c r="D5736" s="19" t="str">
        <f t="shared" si="1"/>
        <v> </v>
      </c>
      <c r="E5736" s="19" t="str">
        <f t="shared" si="2"/>
        <v> </v>
      </c>
      <c r="F5736" s="24"/>
    </row>
    <row r="5737">
      <c r="A5737" s="19" t="s">
        <v>5725</v>
      </c>
      <c r="B5737" s="19" t="s">
        <v>4821</v>
      </c>
      <c r="C5737" s="20">
        <v>36630.0</v>
      </c>
      <c r="D5737" s="19" t="str">
        <f t="shared" si="1"/>
        <v>Repeat</v>
      </c>
      <c r="E5737" s="19" t="str">
        <f t="shared" si="2"/>
        <v> </v>
      </c>
      <c r="F5737" s="24"/>
    </row>
    <row r="5738">
      <c r="A5738" s="19" t="s">
        <v>5726</v>
      </c>
      <c r="B5738" s="19" t="s">
        <v>4893</v>
      </c>
      <c r="C5738" s="20">
        <v>23212.0</v>
      </c>
      <c r="D5738" s="19" t="str">
        <f t="shared" si="1"/>
        <v>Repeat</v>
      </c>
      <c r="E5738" s="19" t="str">
        <f t="shared" si="2"/>
        <v> </v>
      </c>
      <c r="F5738" s="24"/>
    </row>
    <row r="5739">
      <c r="A5739" s="19" t="s">
        <v>5727</v>
      </c>
      <c r="B5739" s="19" t="s">
        <v>5728</v>
      </c>
      <c r="C5739" s="20">
        <v>12933.0</v>
      </c>
      <c r="D5739" s="19" t="str">
        <f t="shared" si="1"/>
        <v> </v>
      </c>
      <c r="E5739" s="19" t="str">
        <f t="shared" si="2"/>
        <v> </v>
      </c>
      <c r="F5739" s="24"/>
    </row>
    <row r="5740">
      <c r="A5740" s="19" t="s">
        <v>5729</v>
      </c>
      <c r="B5740" s="19" t="s">
        <v>5730</v>
      </c>
      <c r="C5740" s="20">
        <v>36057.0</v>
      </c>
      <c r="D5740" s="19" t="str">
        <f t="shared" si="1"/>
        <v> </v>
      </c>
      <c r="E5740" s="19" t="str">
        <f t="shared" si="2"/>
        <v> </v>
      </c>
      <c r="F5740" s="24"/>
    </row>
    <row r="5741">
      <c r="A5741" s="19" t="s">
        <v>5731</v>
      </c>
      <c r="B5741" s="19" t="s">
        <v>44</v>
      </c>
      <c r="C5741" s="20">
        <v>19653.0</v>
      </c>
      <c r="D5741" s="19" t="str">
        <f t="shared" si="1"/>
        <v>Repeat</v>
      </c>
      <c r="E5741" s="19" t="str">
        <f t="shared" si="2"/>
        <v> </v>
      </c>
      <c r="F5741" s="24"/>
    </row>
    <row r="5742">
      <c r="A5742" s="19" t="s">
        <v>5732</v>
      </c>
      <c r="B5742" s="19" t="s">
        <v>192</v>
      </c>
      <c r="C5742" s="20">
        <v>31808.0</v>
      </c>
      <c r="D5742" s="19" t="str">
        <f t="shared" si="1"/>
        <v>Repeat</v>
      </c>
      <c r="E5742" s="19" t="str">
        <f t="shared" si="2"/>
        <v> </v>
      </c>
      <c r="F5742" s="24"/>
    </row>
    <row r="5743">
      <c r="A5743" s="19" t="s">
        <v>5733</v>
      </c>
      <c r="B5743" s="19" t="s">
        <v>237</v>
      </c>
      <c r="C5743" s="20">
        <v>24448.0</v>
      </c>
      <c r="D5743" s="19" t="str">
        <f t="shared" si="1"/>
        <v>Repeat</v>
      </c>
      <c r="E5743" s="19" t="str">
        <f t="shared" si="2"/>
        <v> </v>
      </c>
      <c r="F5743" s="24"/>
    </row>
    <row r="5744">
      <c r="A5744" s="19" t="s">
        <v>5734</v>
      </c>
      <c r="B5744" s="19" t="s">
        <v>289</v>
      </c>
      <c r="C5744" s="20">
        <v>17915.0</v>
      </c>
      <c r="D5744" s="19" t="str">
        <f t="shared" si="1"/>
        <v>Repeat</v>
      </c>
      <c r="E5744" s="19" t="str">
        <f t="shared" si="2"/>
        <v> </v>
      </c>
      <c r="F5744" s="24"/>
    </row>
    <row r="5745">
      <c r="A5745" s="19" t="s">
        <v>5735</v>
      </c>
      <c r="B5745" s="19" t="s">
        <v>5736</v>
      </c>
      <c r="C5745" s="20">
        <v>26420.0</v>
      </c>
      <c r="D5745" s="19" t="str">
        <f t="shared" si="1"/>
        <v>Repeat</v>
      </c>
      <c r="E5745" s="19" t="str">
        <f t="shared" si="2"/>
        <v> </v>
      </c>
      <c r="F5745" s="24"/>
    </row>
    <row r="5746">
      <c r="A5746" s="19">
        <v>17511.0</v>
      </c>
      <c r="B5746" s="19" t="s">
        <v>5737</v>
      </c>
      <c r="C5746" s="20">
        <v>27130.0</v>
      </c>
      <c r="D5746" s="19" t="str">
        <f t="shared" si="1"/>
        <v> </v>
      </c>
      <c r="E5746" s="19" t="str">
        <f t="shared" si="2"/>
        <v> </v>
      </c>
      <c r="F5746" s="21"/>
    </row>
    <row r="5747">
      <c r="A5747" s="19">
        <v>17574.0</v>
      </c>
      <c r="B5747" s="19" t="s">
        <v>5738</v>
      </c>
      <c r="C5747" s="20">
        <v>23497.0</v>
      </c>
      <c r="D5747" s="19" t="str">
        <f t="shared" si="1"/>
        <v> </v>
      </c>
      <c r="E5747" s="19" t="str">
        <f t="shared" si="2"/>
        <v> </v>
      </c>
      <c r="F5747" s="21"/>
    </row>
    <row r="5748">
      <c r="A5748" s="19">
        <v>17323.0</v>
      </c>
      <c r="B5748" s="19" t="s">
        <v>5739</v>
      </c>
      <c r="C5748" s="20">
        <v>25004.0</v>
      </c>
      <c r="D5748" s="19" t="str">
        <f t="shared" si="1"/>
        <v> </v>
      </c>
      <c r="E5748" s="19" t="str">
        <f t="shared" si="2"/>
        <v> </v>
      </c>
      <c r="F5748" s="21"/>
    </row>
    <row r="5749">
      <c r="A5749" s="19">
        <v>17318.0</v>
      </c>
      <c r="B5749" s="19" t="s">
        <v>5740</v>
      </c>
      <c r="C5749" s="20">
        <v>20974.0</v>
      </c>
      <c r="D5749" s="19" t="str">
        <f t="shared" si="1"/>
        <v> </v>
      </c>
      <c r="E5749" s="19" t="str">
        <f t="shared" si="2"/>
        <v> </v>
      </c>
      <c r="F5749" s="21"/>
    </row>
    <row r="5750">
      <c r="A5750" s="19">
        <v>13991.0</v>
      </c>
      <c r="B5750" s="19" t="s">
        <v>5741</v>
      </c>
      <c r="C5750" s="20">
        <v>23382.0</v>
      </c>
      <c r="D5750" s="19" t="str">
        <f t="shared" si="1"/>
        <v> </v>
      </c>
      <c r="E5750" s="19" t="str">
        <f t="shared" si="2"/>
        <v> </v>
      </c>
      <c r="F5750" s="21"/>
    </row>
    <row r="5751">
      <c r="A5751" s="19">
        <v>17512.0</v>
      </c>
      <c r="B5751" s="19" t="s">
        <v>5742</v>
      </c>
      <c r="C5751" s="20">
        <v>16813.0</v>
      </c>
      <c r="D5751" s="19" t="str">
        <f t="shared" si="1"/>
        <v> </v>
      </c>
      <c r="E5751" s="19" t="str">
        <f t="shared" si="2"/>
        <v> </v>
      </c>
      <c r="F5751" s="21"/>
    </row>
    <row r="5752">
      <c r="A5752" s="19">
        <v>17480.0</v>
      </c>
      <c r="B5752" s="19" t="s">
        <v>5743</v>
      </c>
      <c r="C5752" s="20">
        <v>17702.0</v>
      </c>
      <c r="D5752" s="19" t="str">
        <f t="shared" si="1"/>
        <v> </v>
      </c>
      <c r="E5752" s="19" t="str">
        <f t="shared" si="2"/>
        <v>Repeat</v>
      </c>
      <c r="F5752" s="21"/>
    </row>
    <row r="5753">
      <c r="A5753" s="19">
        <v>17321.0</v>
      </c>
      <c r="B5753" s="19" t="s">
        <v>5744</v>
      </c>
      <c r="C5753" s="20">
        <v>19084.0</v>
      </c>
      <c r="D5753" s="19" t="str">
        <f t="shared" si="1"/>
        <v> </v>
      </c>
      <c r="E5753" s="19" t="str">
        <f t="shared" si="2"/>
        <v>Repeat</v>
      </c>
      <c r="F5753" s="21"/>
    </row>
    <row r="5754">
      <c r="A5754" s="19">
        <v>17527.0</v>
      </c>
      <c r="B5754" s="19" t="s">
        <v>5745</v>
      </c>
      <c r="C5754" s="20">
        <v>29049.0</v>
      </c>
      <c r="D5754" s="19" t="str">
        <f t="shared" si="1"/>
        <v> </v>
      </c>
      <c r="E5754" s="19" t="str">
        <f t="shared" si="2"/>
        <v> </v>
      </c>
      <c r="F5754" s="21"/>
    </row>
    <row r="5755">
      <c r="A5755" s="19">
        <v>17575.0</v>
      </c>
      <c r="B5755" s="19" t="s">
        <v>5746</v>
      </c>
      <c r="C5755" s="20">
        <v>30266.0</v>
      </c>
      <c r="D5755" s="19" t="str">
        <f t="shared" si="1"/>
        <v> </v>
      </c>
      <c r="E5755" s="19" t="str">
        <f t="shared" si="2"/>
        <v> </v>
      </c>
      <c r="F5755" s="21"/>
    </row>
    <row r="5756">
      <c r="A5756" s="19">
        <v>17483.0</v>
      </c>
      <c r="B5756" s="19" t="s">
        <v>5747</v>
      </c>
      <c r="C5756" s="20">
        <v>21004.0</v>
      </c>
      <c r="D5756" s="19" t="str">
        <f t="shared" si="1"/>
        <v> </v>
      </c>
      <c r="E5756" s="19" t="str">
        <f t="shared" si="2"/>
        <v> </v>
      </c>
      <c r="F5756" s="21"/>
    </row>
    <row r="5757">
      <c r="A5757" s="19">
        <v>17508.0</v>
      </c>
      <c r="B5757" s="19" t="s">
        <v>5748</v>
      </c>
      <c r="C5757" s="20">
        <v>26371.0</v>
      </c>
      <c r="D5757" s="19" t="str">
        <f t="shared" si="1"/>
        <v> </v>
      </c>
      <c r="E5757" s="19" t="str">
        <f t="shared" si="2"/>
        <v>Repeat</v>
      </c>
      <c r="F5757" s="21"/>
    </row>
    <row r="5758">
      <c r="A5758" s="19">
        <v>14962.0</v>
      </c>
      <c r="B5758" s="19" t="s">
        <v>5749</v>
      </c>
      <c r="C5758" s="20">
        <v>19199.0</v>
      </c>
      <c r="D5758" s="19" t="str">
        <f t="shared" si="1"/>
        <v> </v>
      </c>
      <c r="E5758" s="19" t="str">
        <f t="shared" si="2"/>
        <v> </v>
      </c>
      <c r="F5758" s="21"/>
    </row>
    <row r="5759">
      <c r="A5759" s="19">
        <v>17745.0</v>
      </c>
      <c r="B5759" s="19" t="s">
        <v>5750</v>
      </c>
      <c r="C5759" s="20">
        <v>21949.0</v>
      </c>
      <c r="D5759" s="19" t="str">
        <f t="shared" si="1"/>
        <v> </v>
      </c>
      <c r="E5759" s="19" t="str">
        <f t="shared" si="2"/>
        <v> </v>
      </c>
      <c r="F5759" s="21"/>
    </row>
    <row r="5760">
      <c r="A5760" s="19">
        <v>17752.0</v>
      </c>
      <c r="B5760" s="19" t="s">
        <v>5751</v>
      </c>
      <c r="C5760" s="20">
        <v>12688.0</v>
      </c>
      <c r="D5760" s="19" t="str">
        <f t="shared" si="1"/>
        <v> </v>
      </c>
      <c r="E5760" s="19" t="str">
        <f t="shared" si="2"/>
        <v> </v>
      </c>
      <c r="F5760" s="21"/>
    </row>
    <row r="5761">
      <c r="A5761" s="19">
        <v>17643.0</v>
      </c>
      <c r="B5761" s="19" t="s">
        <v>5752</v>
      </c>
      <c r="C5761" s="20">
        <v>15359.0</v>
      </c>
      <c r="D5761" s="19" t="str">
        <f t="shared" si="1"/>
        <v> </v>
      </c>
      <c r="E5761" s="19" t="str">
        <f t="shared" si="2"/>
        <v> </v>
      </c>
      <c r="F5761" s="21"/>
    </row>
    <row r="5762">
      <c r="A5762" s="19">
        <v>16856.0</v>
      </c>
      <c r="B5762" s="19" t="s">
        <v>5753</v>
      </c>
      <c r="C5762" s="20">
        <v>12796.0</v>
      </c>
      <c r="D5762" s="19" t="str">
        <f t="shared" si="1"/>
        <v> </v>
      </c>
      <c r="E5762" s="19" t="str">
        <f t="shared" si="2"/>
        <v> </v>
      </c>
      <c r="F5762" s="21"/>
    </row>
    <row r="5763">
      <c r="A5763" s="19">
        <v>17054.0</v>
      </c>
      <c r="B5763" s="19" t="s">
        <v>5754</v>
      </c>
      <c r="C5763" s="20">
        <v>15559.0</v>
      </c>
      <c r="D5763" s="19" t="str">
        <f t="shared" si="1"/>
        <v> </v>
      </c>
      <c r="E5763" s="19" t="str">
        <f t="shared" si="2"/>
        <v> </v>
      </c>
      <c r="F5763" s="21"/>
    </row>
    <row r="5764">
      <c r="A5764" s="19">
        <v>17525.0</v>
      </c>
      <c r="B5764" s="19" t="s">
        <v>5755</v>
      </c>
      <c r="C5764" s="20">
        <v>23101.0</v>
      </c>
      <c r="D5764" s="19" t="str">
        <f t="shared" si="1"/>
        <v> </v>
      </c>
      <c r="E5764" s="19" t="str">
        <f t="shared" si="2"/>
        <v>Repeat</v>
      </c>
      <c r="F5764" s="21"/>
    </row>
    <row r="5765">
      <c r="A5765" s="19">
        <v>17594.0</v>
      </c>
      <c r="B5765" s="19" t="s">
        <v>5756</v>
      </c>
      <c r="C5765" s="20">
        <v>29808.0</v>
      </c>
      <c r="D5765" s="19" t="str">
        <f t="shared" si="1"/>
        <v> </v>
      </c>
      <c r="E5765" s="19" t="str">
        <f t="shared" si="2"/>
        <v> </v>
      </c>
      <c r="F5765" s="21"/>
    </row>
    <row r="5766">
      <c r="A5766" s="19">
        <v>17599.0</v>
      </c>
      <c r="B5766" s="19" t="s">
        <v>5757</v>
      </c>
      <c r="C5766" s="20">
        <v>35490.0</v>
      </c>
      <c r="D5766" s="19" t="str">
        <f t="shared" si="1"/>
        <v> </v>
      </c>
      <c r="E5766" s="19" t="str">
        <f t="shared" si="2"/>
        <v> </v>
      </c>
      <c r="F5766" s="21"/>
    </row>
    <row r="5767">
      <c r="A5767" s="19">
        <v>17196.0</v>
      </c>
      <c r="B5767" s="19" t="s">
        <v>5758</v>
      </c>
      <c r="C5767" s="20">
        <v>29902.0</v>
      </c>
      <c r="D5767" s="19" t="str">
        <f t="shared" si="1"/>
        <v> </v>
      </c>
      <c r="E5767" s="19" t="str">
        <f t="shared" si="2"/>
        <v> </v>
      </c>
      <c r="F5767" s="21"/>
    </row>
    <row r="5768">
      <c r="A5768" s="19">
        <v>17131.0</v>
      </c>
      <c r="B5768" s="19" t="s">
        <v>5759</v>
      </c>
      <c r="C5768" s="20">
        <v>20373.0</v>
      </c>
      <c r="D5768" s="19" t="str">
        <f t="shared" si="1"/>
        <v> </v>
      </c>
      <c r="E5768" s="19" t="str">
        <f t="shared" si="2"/>
        <v> </v>
      </c>
      <c r="F5768" s="21"/>
    </row>
    <row r="5769">
      <c r="A5769" s="19">
        <v>17464.0</v>
      </c>
      <c r="B5769" s="19" t="s">
        <v>5760</v>
      </c>
      <c r="C5769" s="20">
        <v>24235.0</v>
      </c>
      <c r="D5769" s="19" t="str">
        <f t="shared" si="1"/>
        <v> </v>
      </c>
      <c r="E5769" s="19" t="str">
        <f t="shared" si="2"/>
        <v> </v>
      </c>
      <c r="F5769" s="21"/>
    </row>
    <row r="5770">
      <c r="A5770" s="19">
        <v>17603.0</v>
      </c>
      <c r="B5770" s="19" t="s">
        <v>5761</v>
      </c>
      <c r="C5770" s="20">
        <v>14719.0</v>
      </c>
      <c r="D5770" s="19" t="str">
        <f t="shared" si="1"/>
        <v> </v>
      </c>
      <c r="E5770" s="19" t="str">
        <f t="shared" si="2"/>
        <v> </v>
      </c>
      <c r="F5770" s="21"/>
    </row>
    <row r="5771">
      <c r="A5771" s="19">
        <v>17138.0</v>
      </c>
      <c r="B5771" s="19" t="s">
        <v>5762</v>
      </c>
      <c r="C5771" s="20">
        <v>25953.0</v>
      </c>
      <c r="D5771" s="19" t="str">
        <f t="shared" si="1"/>
        <v> </v>
      </c>
      <c r="E5771" s="19" t="str">
        <f t="shared" si="2"/>
        <v> </v>
      </c>
      <c r="F5771" s="21"/>
    </row>
    <row r="5772">
      <c r="A5772" s="19">
        <v>17617.0</v>
      </c>
      <c r="B5772" s="19" t="s">
        <v>5763</v>
      </c>
      <c r="C5772" s="20">
        <v>21458.0</v>
      </c>
      <c r="D5772" s="19" t="str">
        <f t="shared" si="1"/>
        <v> </v>
      </c>
      <c r="E5772" s="19" t="str">
        <f t="shared" si="2"/>
        <v> </v>
      </c>
      <c r="F5772" s="21"/>
    </row>
    <row r="5773">
      <c r="A5773" s="19">
        <v>17634.0</v>
      </c>
      <c r="B5773" s="19" t="s">
        <v>5764</v>
      </c>
      <c r="C5773" s="20">
        <v>22974.0</v>
      </c>
      <c r="D5773" s="19" t="str">
        <f t="shared" si="1"/>
        <v> </v>
      </c>
      <c r="E5773" s="19" t="str">
        <f t="shared" si="2"/>
        <v> </v>
      </c>
      <c r="F5773" s="21"/>
    </row>
    <row r="5774">
      <c r="A5774" s="19">
        <v>17233.0</v>
      </c>
      <c r="B5774" s="19" t="s">
        <v>5765</v>
      </c>
      <c r="C5774" s="20">
        <v>21017.0</v>
      </c>
      <c r="D5774" s="19" t="str">
        <f t="shared" si="1"/>
        <v> </v>
      </c>
      <c r="E5774" s="19" t="str">
        <f t="shared" si="2"/>
        <v> </v>
      </c>
      <c r="F5774" s="21"/>
    </row>
    <row r="5775">
      <c r="A5775" s="19">
        <v>17187.0</v>
      </c>
      <c r="B5775" s="19" t="s">
        <v>5766</v>
      </c>
      <c r="C5775" s="20">
        <v>32578.0</v>
      </c>
      <c r="D5775" s="19" t="str">
        <f t="shared" si="1"/>
        <v> </v>
      </c>
      <c r="E5775" s="19" t="str">
        <f t="shared" si="2"/>
        <v> </v>
      </c>
      <c r="F5775" s="21"/>
    </row>
    <row r="5776">
      <c r="A5776" s="19">
        <v>17238.0</v>
      </c>
      <c r="B5776" s="19" t="s">
        <v>5767</v>
      </c>
      <c r="C5776" s="20">
        <v>13756.0</v>
      </c>
      <c r="D5776" s="19" t="str">
        <f t="shared" si="1"/>
        <v> </v>
      </c>
      <c r="E5776" s="19" t="str">
        <f t="shared" si="2"/>
        <v>Repeat</v>
      </c>
      <c r="F5776" s="21"/>
    </row>
    <row r="5777">
      <c r="A5777" s="19">
        <v>17706.0</v>
      </c>
      <c r="B5777" s="19" t="s">
        <v>5768</v>
      </c>
      <c r="C5777" s="20">
        <v>29355.0</v>
      </c>
      <c r="D5777" s="19" t="str">
        <f t="shared" si="1"/>
        <v> </v>
      </c>
      <c r="E5777" s="19" t="str">
        <f t="shared" si="2"/>
        <v> </v>
      </c>
      <c r="F5777" s="21"/>
    </row>
    <row r="5778">
      <c r="A5778" s="19">
        <v>17720.0</v>
      </c>
      <c r="B5778" s="19" t="s">
        <v>5769</v>
      </c>
      <c r="C5778" s="20">
        <v>28016.0</v>
      </c>
      <c r="D5778" s="19" t="str">
        <f t="shared" si="1"/>
        <v> </v>
      </c>
      <c r="E5778" s="19" t="str">
        <f t="shared" si="2"/>
        <v>Repeat</v>
      </c>
      <c r="F5778" s="21"/>
    </row>
    <row r="5779">
      <c r="A5779" s="19">
        <v>17647.0</v>
      </c>
      <c r="B5779" s="19" t="s">
        <v>5770</v>
      </c>
      <c r="C5779" s="20">
        <v>27610.0</v>
      </c>
      <c r="D5779" s="19" t="str">
        <f t="shared" si="1"/>
        <v> </v>
      </c>
      <c r="E5779" s="19" t="str">
        <f t="shared" si="2"/>
        <v> </v>
      </c>
      <c r="F5779" s="21"/>
    </row>
    <row r="5780">
      <c r="A5780" s="19">
        <v>17730.0</v>
      </c>
      <c r="B5780" s="19" t="s">
        <v>5771</v>
      </c>
      <c r="C5780" s="20">
        <v>20478.0</v>
      </c>
      <c r="D5780" s="19" t="str">
        <f t="shared" si="1"/>
        <v> </v>
      </c>
      <c r="E5780" s="19" t="str">
        <f t="shared" si="2"/>
        <v> </v>
      </c>
      <c r="F5780" s="21"/>
    </row>
    <row r="5781">
      <c r="A5781" s="19">
        <v>17747.0</v>
      </c>
      <c r="B5781" s="19" t="s">
        <v>5772</v>
      </c>
      <c r="C5781" s="20">
        <v>23868.0</v>
      </c>
      <c r="D5781" s="19" t="str">
        <f t="shared" si="1"/>
        <v> </v>
      </c>
      <c r="E5781" s="19" t="str">
        <f t="shared" si="2"/>
        <v> </v>
      </c>
      <c r="F5781" s="21"/>
    </row>
    <row r="5782">
      <c r="A5782" s="19">
        <v>17750.0</v>
      </c>
      <c r="B5782" s="19" t="s">
        <v>5773</v>
      </c>
      <c r="C5782" s="20">
        <v>15689.0</v>
      </c>
      <c r="D5782" s="19" t="str">
        <f t="shared" si="1"/>
        <v> </v>
      </c>
      <c r="E5782" s="19" t="str">
        <f t="shared" si="2"/>
        <v> </v>
      </c>
      <c r="F5782" s="21"/>
    </row>
    <row r="5783">
      <c r="A5783" s="19">
        <v>17761.0</v>
      </c>
      <c r="B5783" s="19" t="s">
        <v>5774</v>
      </c>
      <c r="C5783" s="20">
        <v>16187.0</v>
      </c>
      <c r="D5783" s="19" t="str">
        <f t="shared" si="1"/>
        <v> </v>
      </c>
      <c r="E5783" s="19" t="str">
        <f t="shared" si="2"/>
        <v> </v>
      </c>
      <c r="F5783" s="21"/>
    </row>
    <row r="5784">
      <c r="A5784" s="19">
        <v>17755.0</v>
      </c>
      <c r="B5784" s="19" t="s">
        <v>5775</v>
      </c>
      <c r="C5784" s="20">
        <v>26676.0</v>
      </c>
      <c r="D5784" s="19" t="str">
        <f t="shared" si="1"/>
        <v> </v>
      </c>
      <c r="E5784" s="19" t="str">
        <f t="shared" si="2"/>
        <v> </v>
      </c>
      <c r="F5784" s="21"/>
    </row>
    <row r="5785">
      <c r="A5785" s="19">
        <v>17583.0</v>
      </c>
      <c r="B5785" s="19" t="s">
        <v>5776</v>
      </c>
      <c r="C5785" s="20">
        <v>18585.0</v>
      </c>
      <c r="D5785" s="19" t="str">
        <f t="shared" si="1"/>
        <v> </v>
      </c>
      <c r="E5785" s="19" t="str">
        <f t="shared" si="2"/>
        <v> </v>
      </c>
      <c r="F5785" s="21"/>
    </row>
    <row r="5786">
      <c r="A5786" s="19">
        <v>17637.0</v>
      </c>
      <c r="B5786" s="19" t="s">
        <v>5777</v>
      </c>
      <c r="C5786" s="20">
        <v>21661.0</v>
      </c>
      <c r="D5786" s="19" t="str">
        <f t="shared" si="1"/>
        <v> </v>
      </c>
      <c r="E5786" s="19" t="str">
        <f t="shared" si="2"/>
        <v> </v>
      </c>
      <c r="F5786" s="21"/>
    </row>
    <row r="5787">
      <c r="A5787" s="19">
        <v>17770.0</v>
      </c>
      <c r="B5787" s="19" t="s">
        <v>5778</v>
      </c>
      <c r="C5787" s="20">
        <v>12509.0</v>
      </c>
      <c r="D5787" s="19" t="str">
        <f t="shared" si="1"/>
        <v> </v>
      </c>
      <c r="E5787" s="19" t="str">
        <f t="shared" si="2"/>
        <v> </v>
      </c>
      <c r="F5787" s="21"/>
    </row>
    <row r="5788">
      <c r="A5788" s="19">
        <v>17758.0</v>
      </c>
      <c r="B5788" s="19" t="s">
        <v>5779</v>
      </c>
      <c r="C5788" s="20">
        <v>33633.0</v>
      </c>
      <c r="D5788" s="19" t="str">
        <f t="shared" si="1"/>
        <v> </v>
      </c>
      <c r="E5788" s="19" t="str">
        <f t="shared" si="2"/>
        <v> </v>
      </c>
      <c r="F5788" s="21"/>
    </row>
    <row r="5789">
      <c r="A5789" s="19">
        <v>17771.0</v>
      </c>
      <c r="B5789" s="19" t="s">
        <v>5780</v>
      </c>
      <c r="C5789" s="20">
        <v>14316.0</v>
      </c>
      <c r="D5789" s="19" t="str">
        <f t="shared" si="1"/>
        <v> </v>
      </c>
      <c r="E5789" s="19" t="str">
        <f t="shared" si="2"/>
        <v>Repeat</v>
      </c>
      <c r="F5789" s="21"/>
    </row>
    <row r="5790">
      <c r="A5790" s="19">
        <v>17256.0</v>
      </c>
      <c r="B5790" s="19" t="s">
        <v>5781</v>
      </c>
      <c r="C5790" s="20">
        <v>17651.0</v>
      </c>
      <c r="D5790" s="19" t="str">
        <f t="shared" si="1"/>
        <v> </v>
      </c>
      <c r="E5790" s="19" t="str">
        <f t="shared" si="2"/>
        <v> </v>
      </c>
      <c r="F5790" s="21"/>
    </row>
    <row r="5791">
      <c r="A5791" s="19">
        <v>17276.0</v>
      </c>
      <c r="B5791" s="19" t="s">
        <v>5782</v>
      </c>
      <c r="C5791" s="20">
        <v>25945.0</v>
      </c>
      <c r="D5791" s="19" t="str">
        <f t="shared" si="1"/>
        <v> </v>
      </c>
      <c r="E5791" s="19" t="str">
        <f t="shared" si="2"/>
        <v> </v>
      </c>
      <c r="F5791" s="21"/>
    </row>
    <row r="5792">
      <c r="A5792" s="19">
        <v>17281.0</v>
      </c>
      <c r="B5792" s="19" t="s">
        <v>5783</v>
      </c>
      <c r="C5792" s="20">
        <v>22556.0</v>
      </c>
      <c r="D5792" s="19" t="str">
        <f t="shared" si="1"/>
        <v> </v>
      </c>
      <c r="E5792" s="19" t="str">
        <f t="shared" si="2"/>
        <v> </v>
      </c>
      <c r="F5792" s="21"/>
    </row>
    <row r="5793">
      <c r="A5793" s="19">
        <v>17545.0</v>
      </c>
      <c r="B5793" s="19" t="s">
        <v>5784</v>
      </c>
      <c r="C5793" s="20">
        <v>20813.0</v>
      </c>
      <c r="D5793" s="19" t="str">
        <f t="shared" si="1"/>
        <v> </v>
      </c>
      <c r="E5793" s="19" t="str">
        <f t="shared" si="2"/>
        <v> </v>
      </c>
      <c r="F5793" s="21"/>
    </row>
    <row r="5794">
      <c r="A5794" s="19">
        <v>17601.0</v>
      </c>
      <c r="B5794" s="19" t="s">
        <v>5785</v>
      </c>
      <c r="C5794" s="20">
        <v>24249.0</v>
      </c>
      <c r="D5794" s="19" t="str">
        <f t="shared" si="1"/>
        <v> </v>
      </c>
      <c r="E5794" s="19" t="str">
        <f t="shared" si="2"/>
        <v> </v>
      </c>
      <c r="F5794" s="21"/>
    </row>
    <row r="5795">
      <c r="A5795" s="19">
        <v>17479.0</v>
      </c>
      <c r="B5795" s="19" t="s">
        <v>5786</v>
      </c>
      <c r="C5795" s="20">
        <v>25841.0</v>
      </c>
      <c r="D5795" s="19" t="str">
        <f t="shared" si="1"/>
        <v> </v>
      </c>
      <c r="E5795" s="19" t="str">
        <f t="shared" si="2"/>
        <v> </v>
      </c>
      <c r="F5795" s="21"/>
    </row>
    <row r="5796">
      <c r="A5796" s="19">
        <v>17606.0</v>
      </c>
      <c r="B5796" s="19" t="s">
        <v>5787</v>
      </c>
      <c r="C5796" s="20">
        <v>17098.0</v>
      </c>
      <c r="D5796" s="19" t="str">
        <f t="shared" si="1"/>
        <v> </v>
      </c>
      <c r="E5796" s="19" t="str">
        <f t="shared" si="2"/>
        <v>Repeat</v>
      </c>
      <c r="F5796" s="21"/>
    </row>
    <row r="5797">
      <c r="A5797" s="19">
        <v>17537.0</v>
      </c>
      <c r="B5797" s="19" t="s">
        <v>5788</v>
      </c>
      <c r="C5797" s="20">
        <v>20177.0</v>
      </c>
      <c r="D5797" s="19" t="str">
        <f t="shared" si="1"/>
        <v> </v>
      </c>
      <c r="E5797" s="19" t="str">
        <f t="shared" si="2"/>
        <v> </v>
      </c>
      <c r="F5797" s="21"/>
    </row>
    <row r="5798">
      <c r="A5798" s="19">
        <v>17610.0</v>
      </c>
      <c r="B5798" s="19" t="s">
        <v>5789</v>
      </c>
      <c r="C5798" s="20">
        <v>18834.0</v>
      </c>
      <c r="D5798" s="19" t="str">
        <f t="shared" si="1"/>
        <v> </v>
      </c>
      <c r="E5798" s="19" t="str">
        <f t="shared" si="2"/>
        <v>Repeat</v>
      </c>
      <c r="F5798" s="21"/>
    </row>
    <row r="5799">
      <c r="A5799" s="19">
        <v>17618.0</v>
      </c>
      <c r="B5799" s="19" t="s">
        <v>5790</v>
      </c>
      <c r="C5799" s="20">
        <v>35367.0</v>
      </c>
      <c r="D5799" s="19" t="str">
        <f t="shared" si="1"/>
        <v> </v>
      </c>
      <c r="E5799" s="19" t="str">
        <f t="shared" si="2"/>
        <v> </v>
      </c>
      <c r="F5799" s="21"/>
    </row>
    <row r="5800">
      <c r="A5800" s="19">
        <v>17621.0</v>
      </c>
      <c r="B5800" s="19" t="s">
        <v>5791</v>
      </c>
      <c r="C5800" s="20">
        <v>25680.0</v>
      </c>
      <c r="D5800" s="19" t="str">
        <f t="shared" si="1"/>
        <v> </v>
      </c>
      <c r="E5800" s="19" t="str">
        <f t="shared" si="2"/>
        <v> </v>
      </c>
      <c r="F5800" s="21"/>
    </row>
    <row r="5801">
      <c r="A5801" s="19">
        <v>17625.0</v>
      </c>
      <c r="B5801" s="19" t="s">
        <v>5792</v>
      </c>
      <c r="C5801" s="20">
        <v>32514.0</v>
      </c>
      <c r="D5801" s="19" t="str">
        <f t="shared" si="1"/>
        <v> </v>
      </c>
      <c r="E5801" s="19" t="str">
        <f t="shared" si="2"/>
        <v> </v>
      </c>
      <c r="F5801" s="21"/>
    </row>
    <row r="5802">
      <c r="A5802" s="19">
        <v>17596.0</v>
      </c>
      <c r="B5802" s="19" t="s">
        <v>5793</v>
      </c>
      <c r="C5802" s="20">
        <v>28265.0</v>
      </c>
      <c r="D5802" s="19" t="str">
        <f t="shared" si="1"/>
        <v> </v>
      </c>
      <c r="E5802" s="19" t="str">
        <f t="shared" si="2"/>
        <v> </v>
      </c>
      <c r="F5802" s="21"/>
    </row>
    <row r="5803">
      <c r="A5803" s="19">
        <v>17626.0</v>
      </c>
      <c r="B5803" s="19" t="s">
        <v>5794</v>
      </c>
      <c r="C5803" s="20">
        <v>23562.0</v>
      </c>
      <c r="D5803" s="19" t="str">
        <f t="shared" si="1"/>
        <v> </v>
      </c>
      <c r="E5803" s="19" t="str">
        <f t="shared" si="2"/>
        <v> </v>
      </c>
      <c r="F5803" s="21"/>
    </row>
    <row r="5804">
      <c r="A5804" s="19">
        <v>12462.0</v>
      </c>
      <c r="B5804" s="19" t="s">
        <v>5795</v>
      </c>
      <c r="C5804" s="20">
        <v>34256.0</v>
      </c>
      <c r="D5804" s="19" t="str">
        <f t="shared" si="1"/>
        <v> </v>
      </c>
      <c r="E5804" s="19" t="str">
        <f t="shared" si="2"/>
        <v> </v>
      </c>
      <c r="F5804" s="21"/>
    </row>
    <row r="5805">
      <c r="A5805" s="19">
        <v>17632.0</v>
      </c>
      <c r="B5805" s="19" t="s">
        <v>5796</v>
      </c>
      <c r="C5805" s="20">
        <v>31594.0</v>
      </c>
      <c r="D5805" s="19" t="str">
        <f t="shared" si="1"/>
        <v> </v>
      </c>
      <c r="E5805" s="19" t="str">
        <f t="shared" si="2"/>
        <v> </v>
      </c>
      <c r="F5805" s="21"/>
    </row>
    <row r="5806">
      <c r="A5806" s="19">
        <v>17633.0</v>
      </c>
      <c r="B5806" s="19" t="s">
        <v>5797</v>
      </c>
      <c r="C5806" s="20">
        <v>20719.0</v>
      </c>
      <c r="D5806" s="19" t="str">
        <f t="shared" si="1"/>
        <v> </v>
      </c>
      <c r="E5806" s="19" t="str">
        <f t="shared" si="2"/>
        <v> </v>
      </c>
      <c r="F5806" s="21"/>
    </row>
    <row r="5807">
      <c r="A5807" s="19">
        <v>17635.0</v>
      </c>
      <c r="B5807" s="19" t="s">
        <v>5798</v>
      </c>
      <c r="C5807" s="20">
        <v>13329.0</v>
      </c>
      <c r="D5807" s="19" t="str">
        <f t="shared" si="1"/>
        <v> </v>
      </c>
      <c r="E5807" s="19" t="str">
        <f t="shared" si="2"/>
        <v> </v>
      </c>
      <c r="F5807" s="21"/>
    </row>
    <row r="5808">
      <c r="A5808" s="19">
        <v>17639.0</v>
      </c>
      <c r="B5808" s="19" t="s">
        <v>5799</v>
      </c>
      <c r="C5808" s="20">
        <v>21790.0</v>
      </c>
      <c r="D5808" s="19" t="str">
        <f t="shared" si="1"/>
        <v> </v>
      </c>
      <c r="E5808" s="19" t="str">
        <f t="shared" si="2"/>
        <v> </v>
      </c>
      <c r="F5808" s="21"/>
    </row>
    <row r="5809">
      <c r="A5809" s="19">
        <v>17602.0</v>
      </c>
      <c r="B5809" s="19" t="s">
        <v>5800</v>
      </c>
      <c r="C5809" s="20">
        <v>17108.0</v>
      </c>
      <c r="D5809" s="19" t="str">
        <f t="shared" si="1"/>
        <v> </v>
      </c>
      <c r="E5809" s="19" t="str">
        <f t="shared" si="2"/>
        <v> </v>
      </c>
      <c r="F5809" s="21"/>
    </row>
    <row r="5810">
      <c r="A5810" s="19">
        <v>17688.0</v>
      </c>
      <c r="B5810" s="19" t="s">
        <v>5801</v>
      </c>
      <c r="C5810" s="20">
        <v>21857.0</v>
      </c>
      <c r="D5810" s="19" t="str">
        <f t="shared" si="1"/>
        <v> </v>
      </c>
      <c r="E5810" s="19" t="str">
        <f t="shared" si="2"/>
        <v> </v>
      </c>
      <c r="F5810" s="21"/>
    </row>
    <row r="5811">
      <c r="A5811" s="19">
        <v>17686.0</v>
      </c>
      <c r="B5811" s="19" t="s">
        <v>5802</v>
      </c>
      <c r="C5811" s="20">
        <v>28621.0</v>
      </c>
      <c r="D5811" s="19" t="str">
        <f t="shared" si="1"/>
        <v> </v>
      </c>
      <c r="E5811" s="19" t="str">
        <f t="shared" si="2"/>
        <v> </v>
      </c>
      <c r="F5811" s="21"/>
    </row>
    <row r="5812">
      <c r="A5812" s="19">
        <v>17623.0</v>
      </c>
      <c r="B5812" s="19" t="s">
        <v>5803</v>
      </c>
      <c r="C5812" s="20">
        <v>32647.0</v>
      </c>
      <c r="D5812" s="19" t="str">
        <f t="shared" si="1"/>
        <v> </v>
      </c>
      <c r="E5812" s="19" t="str">
        <f t="shared" si="2"/>
        <v> </v>
      </c>
      <c r="F5812" s="21"/>
    </row>
    <row r="5813">
      <c r="A5813" s="19">
        <v>17627.0</v>
      </c>
      <c r="B5813" s="19" t="s">
        <v>5804</v>
      </c>
      <c r="C5813" s="20">
        <v>23417.0</v>
      </c>
      <c r="D5813" s="19" t="str">
        <f t="shared" si="1"/>
        <v> </v>
      </c>
      <c r="E5813" s="19" t="str">
        <f t="shared" si="2"/>
        <v> </v>
      </c>
      <c r="F5813" s="21"/>
    </row>
    <row r="5814">
      <c r="A5814" s="19">
        <v>17620.0</v>
      </c>
      <c r="B5814" s="19" t="s">
        <v>5805</v>
      </c>
      <c r="C5814" s="20">
        <v>19101.0</v>
      </c>
      <c r="D5814" s="19" t="str">
        <f t="shared" si="1"/>
        <v> </v>
      </c>
      <c r="E5814" s="19" t="str">
        <f t="shared" si="2"/>
        <v> </v>
      </c>
      <c r="F5814" s="21"/>
    </row>
    <row r="5815">
      <c r="A5815" s="19">
        <v>17729.0</v>
      </c>
      <c r="B5815" s="19" t="s">
        <v>5806</v>
      </c>
      <c r="C5815" s="20">
        <v>29966.0</v>
      </c>
      <c r="D5815" s="19" t="str">
        <f t="shared" si="1"/>
        <v> </v>
      </c>
      <c r="E5815" s="19" t="str">
        <f t="shared" si="2"/>
        <v> </v>
      </c>
      <c r="F5815" s="21"/>
    </row>
    <row r="5816">
      <c r="A5816" s="19">
        <v>12692.0</v>
      </c>
      <c r="B5816" s="19" t="s">
        <v>5807</v>
      </c>
      <c r="C5816" s="20">
        <v>25492.0</v>
      </c>
      <c r="D5816" s="19" t="str">
        <f t="shared" si="1"/>
        <v> </v>
      </c>
      <c r="E5816" s="19" t="str">
        <f t="shared" si="2"/>
        <v> </v>
      </c>
      <c r="F5816" s="21"/>
    </row>
    <row r="5817">
      <c r="A5817" s="19">
        <v>17640.0</v>
      </c>
      <c r="B5817" s="19" t="s">
        <v>5808</v>
      </c>
      <c r="C5817" s="20">
        <v>22120.0</v>
      </c>
      <c r="D5817" s="19" t="str">
        <f t="shared" si="1"/>
        <v> </v>
      </c>
      <c r="E5817" s="19" t="str">
        <f t="shared" si="2"/>
        <v> </v>
      </c>
      <c r="F5817" s="21"/>
    </row>
    <row r="5818">
      <c r="A5818" s="19">
        <v>9200.0</v>
      </c>
      <c r="B5818" s="19" t="s">
        <v>5809</v>
      </c>
      <c r="C5818" s="20">
        <v>22540.0</v>
      </c>
      <c r="D5818" s="19" t="str">
        <f t="shared" si="1"/>
        <v> </v>
      </c>
      <c r="E5818" s="19" t="str">
        <f t="shared" si="2"/>
        <v> </v>
      </c>
      <c r="F5818" s="21"/>
    </row>
    <row r="5819">
      <c r="A5819" s="19">
        <v>17557.0</v>
      </c>
      <c r="B5819" s="19" t="s">
        <v>5810</v>
      </c>
      <c r="C5819" s="20">
        <v>21735.0</v>
      </c>
      <c r="D5819" s="19" t="str">
        <f t="shared" si="1"/>
        <v> </v>
      </c>
      <c r="E5819" s="19" t="str">
        <f t="shared" si="2"/>
        <v> </v>
      </c>
      <c r="F5819" s="21"/>
    </row>
    <row r="5820">
      <c r="A5820" s="19">
        <v>14837.0</v>
      </c>
      <c r="B5820" s="19" t="s">
        <v>5811</v>
      </c>
      <c r="C5820" s="20">
        <v>18265.0</v>
      </c>
      <c r="D5820" s="19" t="str">
        <f t="shared" si="1"/>
        <v> </v>
      </c>
      <c r="E5820" s="19" t="str">
        <f t="shared" si="2"/>
        <v> </v>
      </c>
      <c r="F5820" s="21"/>
    </row>
    <row r="5821">
      <c r="A5821" s="19">
        <v>15030.0</v>
      </c>
      <c r="B5821" s="19" t="s">
        <v>220</v>
      </c>
      <c r="C5821" s="20">
        <v>19471.0</v>
      </c>
      <c r="D5821" s="19" t="str">
        <f t="shared" si="1"/>
        <v>Repeat</v>
      </c>
      <c r="E5821" s="19" t="str">
        <f t="shared" si="2"/>
        <v> </v>
      </c>
      <c r="F5821" s="21"/>
    </row>
    <row r="5822">
      <c r="A5822" s="19">
        <v>17035.0</v>
      </c>
      <c r="B5822" s="19" t="s">
        <v>5812</v>
      </c>
      <c r="C5822" s="20">
        <v>21199.0</v>
      </c>
      <c r="D5822" s="19" t="str">
        <f t="shared" si="1"/>
        <v> </v>
      </c>
      <c r="E5822" s="19" t="str">
        <f t="shared" si="2"/>
        <v> </v>
      </c>
      <c r="F5822" s="21"/>
    </row>
    <row r="5823">
      <c r="A5823" s="19">
        <v>17393.0</v>
      </c>
      <c r="B5823" s="19" t="s">
        <v>5813</v>
      </c>
      <c r="C5823" s="20">
        <v>21177.0</v>
      </c>
      <c r="D5823" s="19" t="str">
        <f t="shared" si="1"/>
        <v> </v>
      </c>
      <c r="E5823" s="19" t="str">
        <f t="shared" si="2"/>
        <v>Repeat</v>
      </c>
      <c r="F5823" s="21"/>
    </row>
    <row r="5824">
      <c r="A5824" s="19">
        <v>16837.0</v>
      </c>
      <c r="B5824" s="19" t="s">
        <v>5814</v>
      </c>
      <c r="C5824" s="20">
        <v>20933.0</v>
      </c>
      <c r="D5824" s="19" t="str">
        <f t="shared" si="1"/>
        <v> </v>
      </c>
      <c r="E5824" s="19" t="str">
        <f t="shared" si="2"/>
        <v> </v>
      </c>
      <c r="F5824" s="21"/>
    </row>
    <row r="5825">
      <c r="A5825" s="19">
        <v>17560.0</v>
      </c>
      <c r="B5825" s="19" t="s">
        <v>5815</v>
      </c>
      <c r="C5825" s="20">
        <v>20721.0</v>
      </c>
      <c r="D5825" s="19" t="str">
        <f t="shared" si="1"/>
        <v> </v>
      </c>
      <c r="E5825" s="19" t="str">
        <f t="shared" si="2"/>
        <v> </v>
      </c>
      <c r="F5825" s="21"/>
    </row>
    <row r="5826">
      <c r="A5826" s="19">
        <v>16972.0</v>
      </c>
      <c r="B5826" s="19" t="s">
        <v>5816</v>
      </c>
      <c r="C5826" s="20">
        <v>20595.0</v>
      </c>
      <c r="D5826" s="19" t="str">
        <f t="shared" si="1"/>
        <v> </v>
      </c>
      <c r="E5826" s="19" t="str">
        <f t="shared" si="2"/>
        <v> </v>
      </c>
      <c r="F5826" s="21"/>
    </row>
    <row r="5827">
      <c r="A5827" s="19">
        <v>17651.0</v>
      </c>
      <c r="B5827" s="19" t="s">
        <v>5817</v>
      </c>
      <c r="C5827" s="20">
        <v>20365.0</v>
      </c>
      <c r="D5827" s="19" t="str">
        <f t="shared" si="1"/>
        <v> </v>
      </c>
      <c r="E5827" s="19" t="str">
        <f t="shared" si="2"/>
        <v> </v>
      </c>
      <c r="F5827" s="21"/>
    </row>
    <row r="5828">
      <c r="A5828" s="19">
        <v>16845.0</v>
      </c>
      <c r="B5828" s="19" t="s">
        <v>5818</v>
      </c>
      <c r="C5828" s="20">
        <v>16898.0</v>
      </c>
      <c r="D5828" s="19" t="str">
        <f t="shared" si="1"/>
        <v> </v>
      </c>
      <c r="E5828" s="19" t="str">
        <f t="shared" si="2"/>
        <v> </v>
      </c>
      <c r="F5828" s="21"/>
    </row>
    <row r="5829">
      <c r="A5829" s="19">
        <v>17728.0</v>
      </c>
      <c r="B5829" s="19" t="s">
        <v>5819</v>
      </c>
      <c r="C5829" s="20">
        <v>16889.0</v>
      </c>
      <c r="D5829" s="19" t="str">
        <f t="shared" si="1"/>
        <v> </v>
      </c>
      <c r="E5829" s="19" t="str">
        <f t="shared" si="2"/>
        <v> </v>
      </c>
      <c r="F5829" s="21"/>
    </row>
    <row r="5830">
      <c r="A5830" s="19">
        <v>16787.0</v>
      </c>
      <c r="B5830" s="19" t="s">
        <v>5820</v>
      </c>
      <c r="C5830" s="20">
        <v>16576.0</v>
      </c>
      <c r="D5830" s="19" t="str">
        <f t="shared" si="1"/>
        <v> </v>
      </c>
      <c r="E5830" s="19" t="str">
        <f t="shared" si="2"/>
        <v> </v>
      </c>
      <c r="F5830" s="21"/>
    </row>
    <row r="5831">
      <c r="A5831" s="19">
        <v>17087.0</v>
      </c>
      <c r="B5831" s="19" t="s">
        <v>5821</v>
      </c>
      <c r="C5831" s="20">
        <v>16003.0</v>
      </c>
      <c r="D5831" s="19" t="str">
        <f t="shared" si="1"/>
        <v> </v>
      </c>
      <c r="E5831" s="19" t="str">
        <f t="shared" si="2"/>
        <v> </v>
      </c>
      <c r="F5831" s="21"/>
    </row>
    <row r="5832">
      <c r="A5832" s="19">
        <v>17443.0</v>
      </c>
      <c r="B5832" s="19" t="s">
        <v>5822</v>
      </c>
      <c r="C5832" s="20">
        <v>15044.0</v>
      </c>
      <c r="D5832" s="19" t="str">
        <f t="shared" si="1"/>
        <v> </v>
      </c>
      <c r="E5832" s="19" t="str">
        <f t="shared" si="2"/>
        <v> </v>
      </c>
      <c r="F5832" s="21"/>
    </row>
    <row r="5833">
      <c r="A5833" s="19">
        <v>15902.0</v>
      </c>
      <c r="B5833" s="19" t="s">
        <v>5823</v>
      </c>
      <c r="C5833" s="20">
        <v>14350.0</v>
      </c>
      <c r="D5833" s="19" t="str">
        <f t="shared" si="1"/>
        <v> </v>
      </c>
      <c r="E5833" s="19" t="str">
        <f t="shared" si="2"/>
        <v> </v>
      </c>
      <c r="F5833" s="21"/>
    </row>
    <row r="5834">
      <c r="A5834" s="19">
        <v>17604.0</v>
      </c>
      <c r="B5834" s="19" t="s">
        <v>5824</v>
      </c>
      <c r="C5834" s="20">
        <v>29059.0</v>
      </c>
      <c r="D5834" s="19" t="str">
        <f t="shared" si="1"/>
        <v> </v>
      </c>
      <c r="E5834" s="19" t="str">
        <f t="shared" si="2"/>
        <v> </v>
      </c>
      <c r="F5834" s="21"/>
    </row>
    <row r="5835">
      <c r="A5835" s="19">
        <v>17629.0</v>
      </c>
      <c r="B5835" s="19" t="s">
        <v>5825</v>
      </c>
      <c r="C5835" s="20">
        <v>23145.0</v>
      </c>
      <c r="D5835" s="19" t="str">
        <f t="shared" si="1"/>
        <v> </v>
      </c>
      <c r="E5835" s="19" t="str">
        <f t="shared" si="2"/>
        <v> </v>
      </c>
      <c r="F5835" s="21"/>
    </row>
    <row r="5836">
      <c r="A5836" s="19">
        <v>17631.0</v>
      </c>
      <c r="B5836" s="19" t="s">
        <v>5826</v>
      </c>
      <c r="C5836" s="20">
        <v>19203.0</v>
      </c>
      <c r="D5836" s="19" t="str">
        <f t="shared" si="1"/>
        <v> </v>
      </c>
      <c r="E5836" s="19" t="str">
        <f t="shared" si="2"/>
        <v> </v>
      </c>
      <c r="F5836" s="21"/>
    </row>
    <row r="5837">
      <c r="A5837" s="19">
        <v>17641.0</v>
      </c>
      <c r="B5837" s="19" t="s">
        <v>5827</v>
      </c>
      <c r="C5837" s="20">
        <v>13817.0</v>
      </c>
      <c r="D5837" s="19" t="str">
        <f t="shared" si="1"/>
        <v> </v>
      </c>
      <c r="E5837" s="19" t="str">
        <f t="shared" si="2"/>
        <v> </v>
      </c>
      <c r="F5837" s="21"/>
    </row>
    <row r="5838">
      <c r="A5838" s="19">
        <v>17649.0</v>
      </c>
      <c r="B5838" s="19" t="s">
        <v>5828</v>
      </c>
      <c r="C5838" s="20">
        <v>21711.0</v>
      </c>
      <c r="D5838" s="19" t="str">
        <f t="shared" si="1"/>
        <v> </v>
      </c>
      <c r="E5838" s="19" t="str">
        <f t="shared" si="2"/>
        <v> </v>
      </c>
      <c r="F5838" s="21"/>
    </row>
    <row r="5839">
      <c r="A5839" s="19">
        <v>17217.0</v>
      </c>
      <c r="B5839" s="19" t="s">
        <v>5829</v>
      </c>
      <c r="C5839" s="20">
        <v>14145.0</v>
      </c>
      <c r="D5839" s="19" t="str">
        <f t="shared" si="1"/>
        <v> </v>
      </c>
      <c r="E5839" s="19" t="str">
        <f t="shared" si="2"/>
        <v> </v>
      </c>
      <c r="F5839" s="21"/>
    </row>
    <row r="5840">
      <c r="A5840" s="19">
        <v>17652.0</v>
      </c>
      <c r="B5840" s="19" t="s">
        <v>5830</v>
      </c>
      <c r="C5840" s="20">
        <v>30943.0</v>
      </c>
      <c r="D5840" s="19" t="str">
        <f t="shared" si="1"/>
        <v> </v>
      </c>
      <c r="E5840" s="19" t="str">
        <f t="shared" si="2"/>
        <v> </v>
      </c>
      <c r="F5840" s="21"/>
    </row>
    <row r="5841">
      <c r="A5841" s="19">
        <v>17659.0</v>
      </c>
      <c r="B5841" s="19" t="s">
        <v>5831</v>
      </c>
      <c r="C5841" s="20">
        <v>19776.0</v>
      </c>
      <c r="D5841" s="19" t="str">
        <f t="shared" si="1"/>
        <v> </v>
      </c>
      <c r="E5841" s="19" t="str">
        <f t="shared" si="2"/>
        <v> </v>
      </c>
      <c r="F5841" s="21"/>
    </row>
    <row r="5842">
      <c r="A5842" s="19">
        <v>11207.0</v>
      </c>
      <c r="B5842" s="19" t="s">
        <v>5832</v>
      </c>
      <c r="C5842" s="20">
        <v>9739.0</v>
      </c>
      <c r="D5842" s="19" t="str">
        <f t="shared" si="1"/>
        <v> </v>
      </c>
      <c r="E5842" s="19" t="str">
        <f t="shared" si="2"/>
        <v> </v>
      </c>
      <c r="F5842" s="21"/>
    </row>
    <row r="5843">
      <c r="A5843" s="19">
        <v>17756.0</v>
      </c>
      <c r="B5843" s="19" t="s">
        <v>5833</v>
      </c>
      <c r="C5843" s="20">
        <v>16867.0</v>
      </c>
      <c r="D5843" s="19" t="str">
        <f t="shared" si="1"/>
        <v> </v>
      </c>
      <c r="E5843" s="19" t="str">
        <f t="shared" si="2"/>
        <v> </v>
      </c>
      <c r="F5843" s="21"/>
    </row>
    <row r="5844">
      <c r="A5844" s="19">
        <v>17759.0</v>
      </c>
      <c r="B5844" s="19" t="s">
        <v>5834</v>
      </c>
      <c r="C5844" s="20">
        <v>13627.0</v>
      </c>
      <c r="D5844" s="19" t="str">
        <f t="shared" si="1"/>
        <v> </v>
      </c>
      <c r="E5844" s="19" t="str">
        <f t="shared" si="2"/>
        <v> </v>
      </c>
      <c r="F5844" s="21"/>
    </row>
    <row r="5845">
      <c r="A5845" s="19">
        <v>17762.0</v>
      </c>
      <c r="B5845" s="19" t="s">
        <v>5835</v>
      </c>
      <c r="C5845" s="20">
        <v>20994.0</v>
      </c>
      <c r="D5845" s="19" t="str">
        <f t="shared" si="1"/>
        <v> </v>
      </c>
      <c r="E5845" s="19" t="str">
        <f t="shared" si="2"/>
        <v> </v>
      </c>
      <c r="F5845" s="21"/>
    </row>
    <row r="5846">
      <c r="A5846" s="19">
        <v>17769.0</v>
      </c>
      <c r="B5846" s="19" t="s">
        <v>5836</v>
      </c>
      <c r="C5846" s="20">
        <v>20682.0</v>
      </c>
      <c r="D5846" s="19" t="str">
        <f t="shared" si="1"/>
        <v> </v>
      </c>
      <c r="E5846" s="19" t="str">
        <f t="shared" si="2"/>
        <v> </v>
      </c>
      <c r="F5846" s="21"/>
    </row>
    <row r="5847">
      <c r="A5847" s="19">
        <v>17775.0</v>
      </c>
      <c r="B5847" s="19" t="s">
        <v>5837</v>
      </c>
      <c r="C5847" s="20">
        <v>19126.0</v>
      </c>
      <c r="D5847" s="19" t="str">
        <f t="shared" si="1"/>
        <v> </v>
      </c>
      <c r="E5847" s="19" t="str">
        <f t="shared" si="2"/>
        <v> </v>
      </c>
      <c r="F5847" s="21"/>
    </row>
    <row r="5848">
      <c r="A5848" s="19">
        <v>17780.0</v>
      </c>
      <c r="B5848" s="19" t="s">
        <v>5838</v>
      </c>
      <c r="C5848" s="20">
        <v>13468.0</v>
      </c>
      <c r="D5848" s="19" t="str">
        <f t="shared" si="1"/>
        <v> </v>
      </c>
      <c r="E5848" s="19" t="str">
        <f t="shared" si="2"/>
        <v> </v>
      </c>
      <c r="F5848" s="21"/>
    </row>
    <row r="5849">
      <c r="A5849" s="19">
        <v>17790.0</v>
      </c>
      <c r="B5849" s="19" t="s">
        <v>5839</v>
      </c>
      <c r="C5849" s="20">
        <v>13836.0</v>
      </c>
      <c r="D5849" s="19" t="str">
        <f t="shared" si="1"/>
        <v> </v>
      </c>
      <c r="E5849" s="19" t="str">
        <f t="shared" si="2"/>
        <v> </v>
      </c>
      <c r="F5849" s="21"/>
    </row>
    <row r="5850">
      <c r="A5850" s="19">
        <v>17791.0</v>
      </c>
      <c r="B5850" s="19" t="s">
        <v>5840</v>
      </c>
      <c r="C5850" s="20">
        <v>14080.0</v>
      </c>
      <c r="D5850" s="19" t="str">
        <f t="shared" si="1"/>
        <v> </v>
      </c>
      <c r="E5850" s="19" t="str">
        <f t="shared" si="2"/>
        <v>Repeat</v>
      </c>
      <c r="F5850" s="21"/>
    </row>
    <row r="5851">
      <c r="A5851" s="19">
        <v>17680.0</v>
      </c>
      <c r="B5851" s="19" t="s">
        <v>5841</v>
      </c>
      <c r="C5851" s="20">
        <v>15987.0</v>
      </c>
      <c r="D5851" s="19" t="str">
        <f t="shared" si="1"/>
        <v> </v>
      </c>
      <c r="E5851" s="19" t="str">
        <f t="shared" si="2"/>
        <v> </v>
      </c>
      <c r="F5851" s="21"/>
    </row>
    <row r="5852">
      <c r="A5852" s="19">
        <v>17683.0</v>
      </c>
      <c r="B5852" s="19" t="s">
        <v>5842</v>
      </c>
      <c r="C5852" s="20">
        <v>36630.0</v>
      </c>
      <c r="D5852" s="19" t="str">
        <f t="shared" si="1"/>
        <v> </v>
      </c>
      <c r="E5852" s="19" t="str">
        <f t="shared" si="2"/>
        <v> </v>
      </c>
      <c r="F5852" s="21"/>
    </row>
    <row r="5853">
      <c r="A5853" s="19">
        <v>17715.0</v>
      </c>
      <c r="B5853" s="19" t="s">
        <v>5843</v>
      </c>
      <c r="C5853" s="20">
        <v>25325.0</v>
      </c>
      <c r="D5853" s="19" t="str">
        <f t="shared" si="1"/>
        <v> </v>
      </c>
      <c r="E5853" s="19" t="str">
        <f t="shared" si="2"/>
        <v> </v>
      </c>
      <c r="F5853" s="21"/>
    </row>
    <row r="5854">
      <c r="A5854" s="19">
        <v>17687.0</v>
      </c>
      <c r="B5854" s="19" t="s">
        <v>5844</v>
      </c>
      <c r="C5854" s="20">
        <v>23979.0</v>
      </c>
      <c r="D5854" s="19" t="str">
        <f t="shared" si="1"/>
        <v> </v>
      </c>
      <c r="E5854" s="19" t="str">
        <f t="shared" si="2"/>
        <v> </v>
      </c>
      <c r="F5854" s="21"/>
    </row>
    <row r="5855">
      <c r="A5855" s="19">
        <v>17657.0</v>
      </c>
      <c r="B5855" s="19" t="s">
        <v>5845</v>
      </c>
      <c r="C5855" s="20">
        <v>21009.0</v>
      </c>
      <c r="D5855" s="19" t="str">
        <f t="shared" si="1"/>
        <v> </v>
      </c>
      <c r="E5855" s="19" t="str">
        <f t="shared" si="2"/>
        <v> </v>
      </c>
      <c r="F5855" s="21"/>
    </row>
    <row r="5856">
      <c r="A5856" s="19">
        <v>17669.0</v>
      </c>
      <c r="B5856" s="19" t="s">
        <v>5846</v>
      </c>
      <c r="C5856" s="20">
        <v>21131.0</v>
      </c>
      <c r="D5856" s="19" t="str">
        <f t="shared" si="1"/>
        <v> </v>
      </c>
      <c r="E5856" s="19" t="str">
        <f t="shared" si="2"/>
        <v> </v>
      </c>
      <c r="F5856" s="21"/>
    </row>
    <row r="5857">
      <c r="A5857" s="19">
        <v>17734.0</v>
      </c>
      <c r="B5857" s="19" t="s">
        <v>5847</v>
      </c>
      <c r="C5857" s="20">
        <v>18166.0</v>
      </c>
      <c r="D5857" s="19" t="str">
        <f t="shared" si="1"/>
        <v> </v>
      </c>
      <c r="E5857" s="19" t="str">
        <f t="shared" si="2"/>
        <v> </v>
      </c>
      <c r="F5857" s="21"/>
    </row>
    <row r="5858">
      <c r="A5858" s="19">
        <v>17716.0</v>
      </c>
      <c r="B5858" s="19" t="s">
        <v>5848</v>
      </c>
      <c r="C5858" s="20">
        <v>17940.0</v>
      </c>
      <c r="D5858" s="19" t="str">
        <f t="shared" si="1"/>
        <v> </v>
      </c>
      <c r="E5858" s="19" t="str">
        <f t="shared" si="2"/>
        <v> </v>
      </c>
      <c r="F5858" s="21"/>
    </row>
    <row r="5859">
      <c r="A5859" s="19">
        <v>17667.0</v>
      </c>
      <c r="B5859" s="19" t="s">
        <v>5849</v>
      </c>
      <c r="C5859" s="20">
        <v>25503.0</v>
      </c>
      <c r="D5859" s="19" t="str">
        <f t="shared" si="1"/>
        <v> </v>
      </c>
      <c r="E5859" s="19" t="str">
        <f t="shared" si="2"/>
        <v> </v>
      </c>
      <c r="F5859" s="21"/>
    </row>
    <row r="5860">
      <c r="A5860" s="19">
        <v>17696.0</v>
      </c>
      <c r="B5860" s="19" t="s">
        <v>5850</v>
      </c>
      <c r="C5860" s="20">
        <v>21984.0</v>
      </c>
      <c r="D5860" s="19" t="str">
        <f t="shared" si="1"/>
        <v> </v>
      </c>
      <c r="E5860" s="19" t="str">
        <f t="shared" si="2"/>
        <v> </v>
      </c>
      <c r="F5860" s="21"/>
    </row>
    <row r="5861">
      <c r="A5861" s="19">
        <v>17772.0</v>
      </c>
      <c r="B5861" s="19" t="s">
        <v>5851</v>
      </c>
      <c r="C5861" s="20">
        <v>25892.0</v>
      </c>
      <c r="D5861" s="19" t="str">
        <f t="shared" si="1"/>
        <v> </v>
      </c>
      <c r="E5861" s="19" t="str">
        <f t="shared" si="2"/>
        <v> </v>
      </c>
      <c r="F5861" s="21"/>
    </row>
    <row r="5862">
      <c r="A5862" s="19">
        <v>17701.0</v>
      </c>
      <c r="B5862" s="19" t="s">
        <v>2176</v>
      </c>
      <c r="C5862" s="20">
        <v>15476.0</v>
      </c>
      <c r="D5862" s="19" t="str">
        <f t="shared" si="1"/>
        <v>Repeat</v>
      </c>
      <c r="E5862" s="19" t="str">
        <f t="shared" si="2"/>
        <v> </v>
      </c>
      <c r="F5862" s="21"/>
    </row>
    <row r="5863">
      <c r="A5863" s="19">
        <v>10519.0</v>
      </c>
      <c r="B5863" s="19" t="s">
        <v>5852</v>
      </c>
      <c r="C5863" s="20">
        <v>23901.0</v>
      </c>
      <c r="D5863" s="19" t="str">
        <f t="shared" si="1"/>
        <v> </v>
      </c>
      <c r="E5863" s="19" t="str">
        <f t="shared" si="2"/>
        <v> </v>
      </c>
      <c r="F5863" s="21"/>
    </row>
    <row r="5864">
      <c r="A5864" s="19">
        <v>15412.0</v>
      </c>
      <c r="B5864" s="19" t="s">
        <v>5853</v>
      </c>
      <c r="C5864" s="20">
        <v>9126.0</v>
      </c>
      <c r="D5864" s="19" t="str">
        <f t="shared" si="1"/>
        <v> </v>
      </c>
      <c r="E5864" s="19" t="str">
        <f t="shared" si="2"/>
        <v> </v>
      </c>
      <c r="F5864" s="21"/>
    </row>
    <row r="5865">
      <c r="A5865" s="19">
        <v>12201.0</v>
      </c>
      <c r="B5865" s="19" t="s">
        <v>5854</v>
      </c>
      <c r="C5865" s="20">
        <v>16723.0</v>
      </c>
      <c r="D5865" s="19" t="str">
        <f t="shared" si="1"/>
        <v> </v>
      </c>
      <c r="E5865" s="19" t="str">
        <f t="shared" si="2"/>
        <v> </v>
      </c>
      <c r="F5865" s="21"/>
    </row>
    <row r="5866">
      <c r="A5866" s="19">
        <v>17791.0</v>
      </c>
      <c r="B5866" s="19" t="s">
        <v>5855</v>
      </c>
      <c r="C5866" s="20">
        <v>14080.0</v>
      </c>
      <c r="D5866" s="19" t="str">
        <f t="shared" si="1"/>
        <v> </v>
      </c>
      <c r="E5866" s="19" t="str">
        <f t="shared" si="2"/>
        <v>Repeat</v>
      </c>
      <c r="F5866" s="21"/>
    </row>
    <row r="5867">
      <c r="A5867" s="19">
        <v>17411.0</v>
      </c>
      <c r="B5867" s="19" t="s">
        <v>5856</v>
      </c>
      <c r="C5867" s="20">
        <v>33103.0</v>
      </c>
      <c r="D5867" s="19" t="str">
        <f t="shared" si="1"/>
        <v> </v>
      </c>
      <c r="E5867" s="19" t="str">
        <f t="shared" si="2"/>
        <v> </v>
      </c>
      <c r="F5867" s="21"/>
    </row>
    <row r="5868">
      <c r="A5868" s="19">
        <v>12909.0</v>
      </c>
      <c r="B5868" s="19" t="s">
        <v>5857</v>
      </c>
      <c r="C5868" s="20">
        <v>20679.0</v>
      </c>
      <c r="D5868" s="19" t="str">
        <f t="shared" si="1"/>
        <v> </v>
      </c>
      <c r="E5868" s="19" t="str">
        <f t="shared" si="2"/>
        <v>Repeat</v>
      </c>
      <c r="F5868" s="21"/>
    </row>
    <row r="5869">
      <c r="A5869" s="19">
        <v>16139.0</v>
      </c>
      <c r="B5869" s="19" t="s">
        <v>5858</v>
      </c>
      <c r="C5869" s="20">
        <v>31019.0</v>
      </c>
      <c r="D5869" s="19" t="str">
        <f t="shared" si="1"/>
        <v> </v>
      </c>
      <c r="E5869" s="19" t="str">
        <f t="shared" si="2"/>
        <v>Repeat</v>
      </c>
      <c r="F5869" s="21"/>
    </row>
    <row r="5870">
      <c r="A5870" s="19">
        <v>17480.0</v>
      </c>
      <c r="B5870" s="19" t="s">
        <v>5859</v>
      </c>
      <c r="C5870" s="20">
        <v>17702.0</v>
      </c>
      <c r="D5870" s="19" t="str">
        <f t="shared" si="1"/>
        <v> </v>
      </c>
      <c r="E5870" s="19" t="str">
        <f t="shared" si="2"/>
        <v>Repeat</v>
      </c>
      <c r="F5870" s="21"/>
    </row>
    <row r="5871">
      <c r="A5871" s="19">
        <v>17508.0</v>
      </c>
      <c r="B5871" s="19" t="s">
        <v>5860</v>
      </c>
      <c r="C5871" s="20">
        <v>26371.0</v>
      </c>
      <c r="D5871" s="19" t="str">
        <f t="shared" si="1"/>
        <v> </v>
      </c>
      <c r="E5871" s="19" t="str">
        <f t="shared" si="2"/>
        <v>Repeat</v>
      </c>
      <c r="F5871" s="21"/>
    </row>
    <row r="5872">
      <c r="A5872" s="19">
        <v>16605.0</v>
      </c>
      <c r="B5872" s="19" t="s">
        <v>5861</v>
      </c>
      <c r="C5872" s="20">
        <v>34957.0</v>
      </c>
      <c r="D5872" s="19" t="str">
        <f t="shared" si="1"/>
        <v> </v>
      </c>
      <c r="E5872" s="19" t="str">
        <f t="shared" si="2"/>
        <v>Repeat</v>
      </c>
      <c r="F5872" s="21"/>
    </row>
    <row r="5873">
      <c r="A5873" s="19">
        <v>12577.0</v>
      </c>
      <c r="B5873" s="19" t="s">
        <v>5862</v>
      </c>
      <c r="C5873" s="20">
        <v>29381.0</v>
      </c>
      <c r="D5873" s="19" t="str">
        <f t="shared" si="1"/>
        <v> </v>
      </c>
      <c r="E5873" s="19" t="str">
        <f t="shared" si="2"/>
        <v>Repeat</v>
      </c>
      <c r="F5873" s="21"/>
    </row>
    <row r="5874">
      <c r="A5874" s="19">
        <v>17489.0</v>
      </c>
      <c r="B5874" s="19" t="s">
        <v>5863</v>
      </c>
      <c r="C5874" s="20">
        <v>18257.0</v>
      </c>
      <c r="D5874" s="19" t="str">
        <f t="shared" si="1"/>
        <v> </v>
      </c>
      <c r="E5874" s="19" t="str">
        <f t="shared" si="2"/>
        <v>Repeat</v>
      </c>
      <c r="F5874" s="21"/>
    </row>
    <row r="5875">
      <c r="A5875" s="19">
        <v>16762.0</v>
      </c>
      <c r="B5875" s="19" t="s">
        <v>5864</v>
      </c>
      <c r="C5875" s="20">
        <v>27945.0</v>
      </c>
      <c r="D5875" s="19" t="str">
        <f t="shared" si="1"/>
        <v> </v>
      </c>
      <c r="E5875" s="19" t="str">
        <f t="shared" si="2"/>
        <v>Repeat</v>
      </c>
      <c r="F5875" s="21"/>
    </row>
    <row r="5876">
      <c r="A5876" s="19">
        <v>17672.0</v>
      </c>
      <c r="B5876" s="19" t="s">
        <v>5865</v>
      </c>
      <c r="C5876" s="20">
        <v>24669.0</v>
      </c>
      <c r="D5876" s="19" t="str">
        <f t="shared" si="1"/>
        <v> </v>
      </c>
      <c r="E5876" s="19" t="str">
        <f t="shared" si="2"/>
        <v>Repeat</v>
      </c>
      <c r="F5876" s="21"/>
    </row>
    <row r="5877">
      <c r="A5877" s="19">
        <v>17689.0</v>
      </c>
      <c r="B5877" s="19" t="s">
        <v>5866</v>
      </c>
      <c r="C5877" s="20">
        <v>26094.0</v>
      </c>
      <c r="D5877" s="19" t="str">
        <f t="shared" si="1"/>
        <v> </v>
      </c>
      <c r="E5877" s="19" t="str">
        <f t="shared" si="2"/>
        <v> </v>
      </c>
      <c r="F5877" s="21"/>
    </row>
    <row r="5878">
      <c r="A5878" s="19">
        <v>17692.0</v>
      </c>
      <c r="B5878" s="19" t="s">
        <v>5867</v>
      </c>
      <c r="C5878" s="20">
        <v>23476.0</v>
      </c>
      <c r="D5878" s="19" t="str">
        <f t="shared" si="1"/>
        <v> </v>
      </c>
      <c r="E5878" s="19" t="str">
        <f t="shared" si="2"/>
        <v> </v>
      </c>
      <c r="F5878" s="21"/>
    </row>
    <row r="5879">
      <c r="A5879" s="19">
        <v>17695.0</v>
      </c>
      <c r="B5879" s="19" t="s">
        <v>5868</v>
      </c>
      <c r="C5879" s="20">
        <v>19430.0</v>
      </c>
      <c r="D5879" s="19" t="str">
        <f t="shared" si="1"/>
        <v> </v>
      </c>
      <c r="E5879" s="19" t="str">
        <f t="shared" si="2"/>
        <v> </v>
      </c>
      <c r="F5879" s="21"/>
    </row>
    <row r="5880">
      <c r="A5880" s="19">
        <v>17703.0</v>
      </c>
      <c r="B5880" s="19" t="s">
        <v>5869</v>
      </c>
      <c r="C5880" s="20">
        <v>22399.0</v>
      </c>
      <c r="D5880" s="19" t="str">
        <f t="shared" si="1"/>
        <v> </v>
      </c>
      <c r="E5880" s="19" t="str">
        <f t="shared" si="2"/>
        <v> </v>
      </c>
      <c r="F5880" s="21"/>
    </row>
    <row r="5881">
      <c r="A5881" s="19">
        <v>17685.0</v>
      </c>
      <c r="B5881" s="19" t="s">
        <v>5870</v>
      </c>
      <c r="C5881" s="20">
        <v>24394.0</v>
      </c>
      <c r="D5881" s="19" t="str">
        <f t="shared" si="1"/>
        <v> </v>
      </c>
      <c r="E5881" s="19" t="str">
        <f t="shared" si="2"/>
        <v>Repeat</v>
      </c>
      <c r="F5881" s="21"/>
    </row>
    <row r="5882">
      <c r="A5882" s="19">
        <v>17691.0</v>
      </c>
      <c r="B5882" s="19" t="s">
        <v>5871</v>
      </c>
      <c r="C5882" s="20">
        <v>15625.0</v>
      </c>
      <c r="D5882" s="19" t="str">
        <f t="shared" si="1"/>
        <v> </v>
      </c>
      <c r="E5882" s="19" t="str">
        <f t="shared" si="2"/>
        <v>Repeat</v>
      </c>
      <c r="F5882" s="21"/>
    </row>
    <row r="5883">
      <c r="A5883" s="19">
        <v>17709.0</v>
      </c>
      <c r="B5883" s="19" t="s">
        <v>5872</v>
      </c>
      <c r="C5883" s="20">
        <v>29001.0</v>
      </c>
      <c r="D5883" s="19" t="str">
        <f t="shared" si="1"/>
        <v> </v>
      </c>
      <c r="E5883" s="19" t="str">
        <f t="shared" si="2"/>
        <v> </v>
      </c>
      <c r="F5883" s="21"/>
    </row>
    <row r="5884">
      <c r="A5884" s="19">
        <v>17710.0</v>
      </c>
      <c r="B5884" s="19" t="s">
        <v>829</v>
      </c>
      <c r="C5884" s="20">
        <v>19920.0</v>
      </c>
      <c r="D5884" s="19" t="str">
        <f t="shared" si="1"/>
        <v>Repeat</v>
      </c>
      <c r="E5884" s="19" t="str">
        <f t="shared" si="2"/>
        <v> </v>
      </c>
      <c r="F5884" s="21"/>
    </row>
    <row r="5885">
      <c r="A5885" s="19">
        <v>17702.0</v>
      </c>
      <c r="B5885" s="19" t="s">
        <v>5873</v>
      </c>
      <c r="C5885" s="20">
        <v>31731.0</v>
      </c>
      <c r="D5885" s="19" t="str">
        <f t="shared" si="1"/>
        <v> </v>
      </c>
      <c r="E5885" s="19" t="str">
        <f t="shared" si="2"/>
        <v> </v>
      </c>
      <c r="F5885" s="21"/>
    </row>
    <row r="5886">
      <c r="A5886" s="19">
        <v>17711.0</v>
      </c>
      <c r="B5886" s="19" t="s">
        <v>5874</v>
      </c>
      <c r="C5886" s="20">
        <v>15864.0</v>
      </c>
      <c r="D5886" s="19" t="str">
        <f t="shared" si="1"/>
        <v> </v>
      </c>
      <c r="E5886" s="19" t="str">
        <f t="shared" si="2"/>
        <v> </v>
      </c>
      <c r="F5886" s="21"/>
    </row>
    <row r="5887">
      <c r="A5887" s="19">
        <v>17712.0</v>
      </c>
      <c r="B5887" s="19" t="s">
        <v>5875</v>
      </c>
      <c r="C5887" s="20">
        <v>28485.0</v>
      </c>
      <c r="D5887" s="19" t="str">
        <f t="shared" si="1"/>
        <v> </v>
      </c>
      <c r="E5887" s="19" t="str">
        <f t="shared" si="2"/>
        <v> </v>
      </c>
      <c r="F5887" s="21"/>
    </row>
    <row r="5888">
      <c r="A5888" s="19">
        <v>17718.0</v>
      </c>
      <c r="B5888" s="19" t="s">
        <v>5876</v>
      </c>
      <c r="C5888" s="20">
        <v>31448.0</v>
      </c>
      <c r="D5888" s="19" t="str">
        <f t="shared" si="1"/>
        <v> </v>
      </c>
      <c r="E5888" s="19" t="str">
        <f t="shared" si="2"/>
        <v> </v>
      </c>
      <c r="F5888" s="21"/>
    </row>
    <row r="5889">
      <c r="A5889" s="19">
        <v>17721.0</v>
      </c>
      <c r="B5889" s="19" t="s">
        <v>5877</v>
      </c>
      <c r="C5889" s="20">
        <v>29204.0</v>
      </c>
      <c r="D5889" s="19" t="str">
        <f t="shared" si="1"/>
        <v> </v>
      </c>
      <c r="E5889" s="19" t="str">
        <f t="shared" si="2"/>
        <v> </v>
      </c>
      <c r="F5889" s="21"/>
    </row>
    <row r="5890">
      <c r="A5890" s="19">
        <v>17724.0</v>
      </c>
      <c r="B5890" s="19" t="s">
        <v>5878</v>
      </c>
      <c r="C5890" s="20">
        <v>20493.0</v>
      </c>
      <c r="D5890" s="19" t="str">
        <f t="shared" si="1"/>
        <v> </v>
      </c>
      <c r="E5890" s="19" t="str">
        <f t="shared" si="2"/>
        <v> </v>
      </c>
      <c r="F5890" s="21"/>
    </row>
    <row r="5891">
      <c r="A5891" s="19">
        <v>17387.0</v>
      </c>
      <c r="B5891" s="19" t="s">
        <v>5879</v>
      </c>
      <c r="C5891" s="20">
        <v>19803.0</v>
      </c>
      <c r="D5891" s="19" t="str">
        <f t="shared" si="1"/>
        <v> </v>
      </c>
      <c r="E5891" s="19" t="str">
        <f t="shared" si="2"/>
        <v>Repeat</v>
      </c>
      <c r="F5891" s="21"/>
    </row>
    <row r="5892">
      <c r="A5892" s="19">
        <v>17727.0</v>
      </c>
      <c r="B5892" s="19" t="s">
        <v>5880</v>
      </c>
      <c r="C5892" s="20">
        <v>28711.0</v>
      </c>
      <c r="D5892" s="19" t="str">
        <f t="shared" si="1"/>
        <v> </v>
      </c>
      <c r="E5892" s="19" t="str">
        <f t="shared" si="2"/>
        <v> </v>
      </c>
      <c r="F5892" s="21"/>
    </row>
    <row r="5893">
      <c r="A5893" s="19">
        <v>17520.0</v>
      </c>
      <c r="B5893" s="19" t="s">
        <v>5881</v>
      </c>
      <c r="C5893" s="20">
        <v>35085.0</v>
      </c>
      <c r="D5893" s="19" t="str">
        <f t="shared" si="1"/>
        <v> </v>
      </c>
      <c r="E5893" s="19" t="str">
        <f t="shared" si="2"/>
        <v> </v>
      </c>
      <c r="F5893" s="21"/>
    </row>
    <row r="5894">
      <c r="A5894" s="19">
        <v>17732.0</v>
      </c>
      <c r="B5894" s="19" t="s">
        <v>5882</v>
      </c>
      <c r="C5894" s="20">
        <v>20346.0</v>
      </c>
      <c r="D5894" s="19" t="str">
        <f t="shared" si="1"/>
        <v> </v>
      </c>
      <c r="E5894" s="19" t="str">
        <f t="shared" si="2"/>
        <v> </v>
      </c>
      <c r="F5894" s="21"/>
    </row>
    <row r="5895">
      <c r="A5895" s="19">
        <v>17735.0</v>
      </c>
      <c r="B5895" s="19" t="s">
        <v>5883</v>
      </c>
      <c r="C5895" s="20">
        <v>21655.0</v>
      </c>
      <c r="D5895" s="19" t="str">
        <f t="shared" si="1"/>
        <v> </v>
      </c>
      <c r="E5895" s="19" t="str">
        <f t="shared" si="2"/>
        <v> </v>
      </c>
      <c r="F5895" s="21"/>
    </row>
    <row r="5896">
      <c r="A5896" s="19">
        <v>17741.0</v>
      </c>
      <c r="B5896" s="19" t="s">
        <v>811</v>
      </c>
      <c r="C5896" s="20">
        <v>25235.0</v>
      </c>
      <c r="D5896" s="19" t="str">
        <f t="shared" si="1"/>
        <v>Repeat</v>
      </c>
      <c r="E5896" s="19" t="str">
        <f t="shared" si="2"/>
        <v> </v>
      </c>
      <c r="F5896" s="21"/>
    </row>
    <row r="5897">
      <c r="A5897" s="19">
        <v>17743.0</v>
      </c>
      <c r="B5897" s="19" t="s">
        <v>5884</v>
      </c>
      <c r="C5897" s="20">
        <v>20087.0</v>
      </c>
      <c r="D5897" s="19" t="str">
        <f t="shared" si="1"/>
        <v> </v>
      </c>
      <c r="E5897" s="19" t="str">
        <f t="shared" si="2"/>
        <v> </v>
      </c>
      <c r="F5897" s="21"/>
    </row>
    <row r="5898">
      <c r="A5898" s="19">
        <v>17753.0</v>
      </c>
      <c r="B5898" s="19" t="s">
        <v>5885</v>
      </c>
      <c r="C5898" s="20">
        <v>35291.0</v>
      </c>
      <c r="D5898" s="19" t="str">
        <f t="shared" si="1"/>
        <v> </v>
      </c>
      <c r="E5898" s="19" t="str">
        <f t="shared" si="2"/>
        <v> </v>
      </c>
      <c r="F5898" s="21"/>
    </row>
    <row r="5899">
      <c r="A5899" s="19">
        <v>17763.0</v>
      </c>
      <c r="B5899" s="19" t="s">
        <v>5886</v>
      </c>
      <c r="C5899" s="20">
        <v>27224.0</v>
      </c>
      <c r="D5899" s="19" t="str">
        <f t="shared" si="1"/>
        <v> </v>
      </c>
      <c r="E5899" s="19" t="str">
        <f t="shared" si="2"/>
        <v> </v>
      </c>
      <c r="F5899" s="21"/>
    </row>
    <row r="5900">
      <c r="A5900" s="19">
        <v>17764.0</v>
      </c>
      <c r="B5900" s="19" t="s">
        <v>5887</v>
      </c>
      <c r="C5900" s="20">
        <v>15916.0</v>
      </c>
      <c r="D5900" s="19" t="str">
        <f t="shared" si="1"/>
        <v> </v>
      </c>
      <c r="E5900" s="19" t="str">
        <f t="shared" si="2"/>
        <v> </v>
      </c>
      <c r="F5900" s="21"/>
    </row>
    <row r="5901">
      <c r="A5901" s="19">
        <v>17773.0</v>
      </c>
      <c r="B5901" s="19" t="s">
        <v>5888</v>
      </c>
      <c r="C5901" s="20">
        <v>22591.0</v>
      </c>
      <c r="D5901" s="19" t="str">
        <f t="shared" si="1"/>
        <v> </v>
      </c>
      <c r="E5901" s="19" t="str">
        <f t="shared" si="2"/>
        <v> </v>
      </c>
      <c r="F5901" s="21"/>
    </row>
    <row r="5902">
      <c r="A5902" s="19">
        <v>17784.0</v>
      </c>
      <c r="B5902" s="19" t="s">
        <v>5889</v>
      </c>
      <c r="C5902" s="20">
        <v>22673.0</v>
      </c>
      <c r="D5902" s="19" t="str">
        <f t="shared" si="1"/>
        <v> </v>
      </c>
      <c r="E5902" s="19" t="str">
        <f t="shared" si="2"/>
        <v> </v>
      </c>
      <c r="F5902" s="21"/>
    </row>
    <row r="5903">
      <c r="A5903" s="19">
        <v>17800.0</v>
      </c>
      <c r="B5903" s="19" t="s">
        <v>5890</v>
      </c>
      <c r="C5903" s="20">
        <v>30848.0</v>
      </c>
      <c r="D5903" s="19" t="str">
        <f t="shared" si="1"/>
        <v> </v>
      </c>
      <c r="E5903" s="19" t="str">
        <f t="shared" si="2"/>
        <v> </v>
      </c>
      <c r="F5903" s="21"/>
    </row>
    <row r="5904">
      <c r="A5904" s="19">
        <v>17789.0</v>
      </c>
      <c r="B5904" s="19" t="s">
        <v>5891</v>
      </c>
      <c r="C5904" s="20">
        <v>22877.0</v>
      </c>
      <c r="D5904" s="19" t="str">
        <f t="shared" si="1"/>
        <v> </v>
      </c>
      <c r="E5904" s="19" t="str">
        <f t="shared" si="2"/>
        <v> </v>
      </c>
      <c r="F5904" s="21"/>
    </row>
    <row r="5905">
      <c r="A5905" s="19">
        <v>17801.0</v>
      </c>
      <c r="B5905" s="19" t="s">
        <v>5892</v>
      </c>
      <c r="C5905" s="20">
        <v>24106.0</v>
      </c>
      <c r="D5905" s="19" t="str">
        <f t="shared" si="1"/>
        <v> </v>
      </c>
      <c r="E5905" s="19" t="str">
        <f t="shared" si="2"/>
        <v> </v>
      </c>
      <c r="F5905" s="21"/>
    </row>
    <row r="5906">
      <c r="A5906" s="19">
        <v>17792.0</v>
      </c>
      <c r="B5906" s="19" t="s">
        <v>5893</v>
      </c>
      <c r="C5906" s="20">
        <v>31373.0</v>
      </c>
      <c r="D5906" s="19" t="str">
        <f t="shared" si="1"/>
        <v> </v>
      </c>
      <c r="E5906" s="19" t="str">
        <f t="shared" si="2"/>
        <v> </v>
      </c>
      <c r="F5906" s="21"/>
    </row>
    <row r="5907">
      <c r="A5907" s="19">
        <v>17518.0</v>
      </c>
      <c r="B5907" s="19" t="s">
        <v>5894</v>
      </c>
      <c r="C5907" s="20">
        <v>16752.0</v>
      </c>
      <c r="D5907" s="19" t="str">
        <f t="shared" si="1"/>
        <v> </v>
      </c>
      <c r="E5907" s="19" t="str">
        <f t="shared" si="2"/>
        <v>Repeat</v>
      </c>
      <c r="F5907" s="21"/>
    </row>
    <row r="5908">
      <c r="A5908" s="19">
        <v>17787.0</v>
      </c>
      <c r="B5908" s="19" t="s">
        <v>5895</v>
      </c>
      <c r="C5908" s="20">
        <v>17915.0</v>
      </c>
      <c r="D5908" s="19" t="str">
        <f t="shared" si="1"/>
        <v> </v>
      </c>
      <c r="E5908" s="19" t="str">
        <f t="shared" si="2"/>
        <v> </v>
      </c>
      <c r="F5908" s="21"/>
    </row>
    <row r="5909">
      <c r="A5909" s="19">
        <v>15994.0</v>
      </c>
      <c r="B5909" s="19" t="s">
        <v>5896</v>
      </c>
      <c r="C5909" s="20">
        <v>13335.0</v>
      </c>
      <c r="D5909" s="19" t="str">
        <f t="shared" si="1"/>
        <v> </v>
      </c>
      <c r="E5909" s="19" t="str">
        <f t="shared" si="2"/>
        <v>Repeat</v>
      </c>
      <c r="F5909" s="21"/>
    </row>
    <row r="5910">
      <c r="A5910" s="19">
        <v>17321.0</v>
      </c>
      <c r="B5910" s="19" t="s">
        <v>5897</v>
      </c>
      <c r="C5910" s="20">
        <v>19084.0</v>
      </c>
      <c r="D5910" s="19" t="str">
        <f t="shared" si="1"/>
        <v> </v>
      </c>
      <c r="E5910" s="19" t="str">
        <f t="shared" si="2"/>
        <v>Repeat</v>
      </c>
      <c r="F5910" s="21"/>
    </row>
    <row r="5911">
      <c r="A5911" s="19">
        <v>17213.0</v>
      </c>
      <c r="B5911" s="19" t="s">
        <v>5898</v>
      </c>
      <c r="C5911" s="20">
        <v>20559.0</v>
      </c>
      <c r="D5911" s="19" t="str">
        <f t="shared" si="1"/>
        <v> </v>
      </c>
      <c r="E5911" s="19" t="str">
        <f t="shared" si="2"/>
        <v>Repeat</v>
      </c>
      <c r="F5911" s="21"/>
    </row>
    <row r="5912">
      <c r="A5912" s="19">
        <v>16243.0</v>
      </c>
      <c r="B5912" s="19" t="s">
        <v>5899</v>
      </c>
      <c r="C5912" s="20">
        <v>16671.0</v>
      </c>
      <c r="D5912" s="19" t="str">
        <f t="shared" si="1"/>
        <v> </v>
      </c>
      <c r="E5912" s="19" t="str">
        <f t="shared" si="2"/>
        <v>Repeat</v>
      </c>
      <c r="F5912" s="21"/>
    </row>
    <row r="5913">
      <c r="A5913" s="19">
        <v>17242.0</v>
      </c>
      <c r="B5913" s="19" t="s">
        <v>5900</v>
      </c>
      <c r="C5913" s="20">
        <v>23320.0</v>
      </c>
      <c r="D5913" s="19" t="str">
        <f t="shared" si="1"/>
        <v> </v>
      </c>
      <c r="E5913" s="19" t="str">
        <f t="shared" si="2"/>
        <v>Repeat</v>
      </c>
      <c r="F5913" s="21"/>
    </row>
    <row r="5914">
      <c r="A5914" s="19">
        <v>17597.0</v>
      </c>
      <c r="B5914" s="19" t="s">
        <v>5901</v>
      </c>
      <c r="C5914" s="20">
        <v>21091.0</v>
      </c>
      <c r="D5914" s="19" t="str">
        <f t="shared" si="1"/>
        <v> </v>
      </c>
      <c r="E5914" s="19" t="str">
        <f t="shared" si="2"/>
        <v> </v>
      </c>
      <c r="F5914" s="21"/>
    </row>
    <row r="5915">
      <c r="A5915" s="19">
        <v>17572.0</v>
      </c>
      <c r="B5915" s="19" t="s">
        <v>5902</v>
      </c>
      <c r="C5915" s="20">
        <v>16338.0</v>
      </c>
      <c r="D5915" s="19" t="str">
        <f t="shared" si="1"/>
        <v> </v>
      </c>
      <c r="E5915" s="19" t="str">
        <f t="shared" si="2"/>
        <v> </v>
      </c>
      <c r="F5915" s="21"/>
    </row>
    <row r="5916">
      <c r="A5916" s="19">
        <v>17738.0</v>
      </c>
      <c r="B5916" s="19" t="s">
        <v>5903</v>
      </c>
      <c r="C5916" s="20">
        <v>24348.0</v>
      </c>
      <c r="D5916" s="19" t="str">
        <f t="shared" si="1"/>
        <v> </v>
      </c>
      <c r="E5916" s="19" t="str">
        <f t="shared" si="2"/>
        <v> </v>
      </c>
      <c r="F5916" s="21"/>
    </row>
    <row r="5917">
      <c r="A5917" s="19">
        <v>17777.0</v>
      </c>
      <c r="B5917" s="19" t="s">
        <v>5904</v>
      </c>
      <c r="C5917" s="20">
        <v>12674.0</v>
      </c>
      <c r="D5917" s="19" t="str">
        <f t="shared" si="1"/>
        <v> </v>
      </c>
      <c r="E5917" s="19" t="str">
        <f t="shared" si="2"/>
        <v> </v>
      </c>
      <c r="F5917" s="21"/>
    </row>
    <row r="5918">
      <c r="A5918" s="19">
        <v>17796.0</v>
      </c>
      <c r="B5918" s="19" t="s">
        <v>5905</v>
      </c>
      <c r="C5918" s="20">
        <v>10923.0</v>
      </c>
      <c r="D5918" s="19" t="str">
        <f t="shared" si="1"/>
        <v>Repeat</v>
      </c>
      <c r="E5918" s="19" t="str">
        <f t="shared" si="2"/>
        <v>Repeat</v>
      </c>
      <c r="F5918" s="21"/>
    </row>
    <row r="5919">
      <c r="A5919" s="19">
        <v>17797.0</v>
      </c>
      <c r="B5919" s="19" t="s">
        <v>5906</v>
      </c>
      <c r="C5919" s="20">
        <v>17814.0</v>
      </c>
      <c r="D5919" s="19" t="str">
        <f t="shared" si="1"/>
        <v> </v>
      </c>
      <c r="E5919" s="19" t="str">
        <f t="shared" si="2"/>
        <v> </v>
      </c>
      <c r="F5919" s="21"/>
    </row>
    <row r="5920">
      <c r="A5920" s="19">
        <v>13733.0</v>
      </c>
      <c r="B5920" s="19" t="s">
        <v>5907</v>
      </c>
      <c r="C5920" s="20">
        <v>24461.0</v>
      </c>
      <c r="D5920" s="19" t="str">
        <f t="shared" si="1"/>
        <v> </v>
      </c>
      <c r="E5920" s="19" t="str">
        <f t="shared" si="2"/>
        <v>Repeat</v>
      </c>
      <c r="F5920" s="21"/>
    </row>
    <row r="5921">
      <c r="A5921" s="19">
        <v>17805.0</v>
      </c>
      <c r="B5921" s="19" t="s">
        <v>5908</v>
      </c>
      <c r="C5921" s="20">
        <v>13984.0</v>
      </c>
      <c r="D5921" s="19" t="str">
        <f t="shared" si="1"/>
        <v> </v>
      </c>
      <c r="E5921" s="19" t="str">
        <f t="shared" si="2"/>
        <v> </v>
      </c>
      <c r="F5921" s="21"/>
    </row>
    <row r="5922">
      <c r="A5922" s="19">
        <v>17778.0</v>
      </c>
      <c r="B5922" s="19" t="s">
        <v>5909</v>
      </c>
      <c r="C5922" s="20">
        <v>19156.0</v>
      </c>
      <c r="D5922" s="19" t="str">
        <f t="shared" si="1"/>
        <v> </v>
      </c>
      <c r="E5922" s="19" t="str">
        <f t="shared" si="2"/>
        <v> </v>
      </c>
      <c r="F5922" s="21"/>
    </row>
    <row r="5923">
      <c r="A5923" s="19">
        <v>17719.0</v>
      </c>
      <c r="B5923" s="19" t="s">
        <v>5910</v>
      </c>
      <c r="C5923" s="20">
        <v>16470.0</v>
      </c>
      <c r="D5923" s="19" t="str">
        <f t="shared" si="1"/>
        <v> </v>
      </c>
      <c r="E5923" s="19" t="str">
        <f t="shared" si="2"/>
        <v> </v>
      </c>
      <c r="F5923" s="21"/>
    </row>
    <row r="5924">
      <c r="A5924" s="19">
        <v>17782.0</v>
      </c>
      <c r="B5924" s="19" t="s">
        <v>5911</v>
      </c>
      <c r="C5924" s="20">
        <v>14015.0</v>
      </c>
      <c r="D5924" s="19" t="str">
        <f t="shared" si="1"/>
        <v> </v>
      </c>
      <c r="E5924" s="19" t="str">
        <f t="shared" si="2"/>
        <v>Repeat</v>
      </c>
      <c r="F5924" s="21"/>
    </row>
    <row r="5925">
      <c r="A5925" s="19">
        <v>17806.0</v>
      </c>
      <c r="B5925" s="19" t="s">
        <v>5912</v>
      </c>
      <c r="C5925" s="20">
        <v>17363.0</v>
      </c>
      <c r="D5925" s="19" t="str">
        <f t="shared" si="1"/>
        <v> </v>
      </c>
      <c r="E5925" s="19" t="str">
        <f t="shared" si="2"/>
        <v>Repeat</v>
      </c>
      <c r="F5925" s="21"/>
    </row>
    <row r="5926">
      <c r="A5926" s="19">
        <v>17783.0</v>
      </c>
      <c r="B5926" s="19" t="s">
        <v>5913</v>
      </c>
      <c r="C5926" s="20">
        <v>20855.0</v>
      </c>
      <c r="D5926" s="19" t="str">
        <f t="shared" si="1"/>
        <v> </v>
      </c>
      <c r="E5926" s="19" t="str">
        <f t="shared" si="2"/>
        <v> </v>
      </c>
      <c r="F5926" s="21"/>
    </row>
    <row r="5927">
      <c r="A5927" s="19">
        <v>17765.0</v>
      </c>
      <c r="B5927" s="19" t="s">
        <v>5914</v>
      </c>
      <c r="C5927" s="20">
        <v>14661.0</v>
      </c>
      <c r="D5927" s="19" t="str">
        <f t="shared" si="1"/>
        <v> </v>
      </c>
      <c r="E5927" s="19" t="str">
        <f t="shared" si="2"/>
        <v> </v>
      </c>
      <c r="F5927" s="21"/>
    </row>
    <row r="5928">
      <c r="A5928" s="19">
        <v>17808.0</v>
      </c>
      <c r="B5928" s="19" t="s">
        <v>5915</v>
      </c>
      <c r="C5928" s="20">
        <v>33764.0</v>
      </c>
      <c r="D5928" s="19" t="str">
        <f t="shared" si="1"/>
        <v> </v>
      </c>
      <c r="E5928" s="19" t="str">
        <f t="shared" si="2"/>
        <v> </v>
      </c>
      <c r="F5928" s="21"/>
    </row>
    <row r="5929">
      <c r="A5929" s="19">
        <v>16599.0</v>
      </c>
      <c r="B5929" s="19" t="s">
        <v>5916</v>
      </c>
      <c r="C5929" s="20">
        <v>20468.0</v>
      </c>
      <c r="D5929" s="19" t="str">
        <f t="shared" si="1"/>
        <v> </v>
      </c>
      <c r="E5929" s="19" t="str">
        <f t="shared" si="2"/>
        <v>Repeat</v>
      </c>
      <c r="F5929" s="21"/>
    </row>
    <row r="5930">
      <c r="A5930" s="19">
        <v>17504.0</v>
      </c>
      <c r="B5930" s="19" t="s">
        <v>5917</v>
      </c>
      <c r="C5930" s="20">
        <v>23663.0</v>
      </c>
      <c r="D5930" s="19" t="str">
        <f t="shared" si="1"/>
        <v> </v>
      </c>
      <c r="E5930" s="19" t="str">
        <f t="shared" si="2"/>
        <v>Repeat</v>
      </c>
      <c r="F5930" s="21"/>
    </row>
    <row r="5931">
      <c r="A5931" s="19">
        <v>17555.0</v>
      </c>
      <c r="B5931" s="19" t="s">
        <v>5918</v>
      </c>
      <c r="C5931" s="20">
        <v>19669.0</v>
      </c>
      <c r="D5931" s="19" t="str">
        <f t="shared" si="1"/>
        <v> </v>
      </c>
      <c r="E5931" s="19" t="str">
        <f t="shared" si="2"/>
        <v>Repeat</v>
      </c>
      <c r="F5931" s="21"/>
    </row>
    <row r="5932">
      <c r="A5932" s="19">
        <v>16832.0</v>
      </c>
      <c r="B5932" s="19" t="s">
        <v>5919</v>
      </c>
      <c r="C5932" s="20">
        <v>25336.0</v>
      </c>
      <c r="D5932" s="19" t="str">
        <f t="shared" si="1"/>
        <v> </v>
      </c>
      <c r="E5932" s="19" t="str">
        <f t="shared" si="2"/>
        <v>Repeat</v>
      </c>
      <c r="F5932" s="21"/>
    </row>
    <row r="5933">
      <c r="A5933" s="19">
        <v>17393.0</v>
      </c>
      <c r="B5933" s="19" t="s">
        <v>5920</v>
      </c>
      <c r="C5933" s="20">
        <v>21177.0</v>
      </c>
      <c r="D5933" s="19" t="str">
        <f t="shared" si="1"/>
        <v> </v>
      </c>
      <c r="E5933" s="19" t="str">
        <f t="shared" si="2"/>
        <v>Repeat</v>
      </c>
      <c r="F5933" s="21"/>
    </row>
    <row r="5934">
      <c r="A5934" s="19">
        <v>17816.0</v>
      </c>
      <c r="B5934" s="19" t="s">
        <v>5921</v>
      </c>
      <c r="C5934" s="20">
        <v>28990.0</v>
      </c>
      <c r="D5934" s="19" t="str">
        <f t="shared" si="1"/>
        <v> </v>
      </c>
      <c r="E5934" s="19" t="str">
        <f t="shared" si="2"/>
        <v> </v>
      </c>
      <c r="F5934" s="21"/>
    </row>
    <row r="5935">
      <c r="A5935" s="19">
        <v>17817.0</v>
      </c>
      <c r="B5935" s="19" t="s">
        <v>5922</v>
      </c>
      <c r="C5935" s="20">
        <v>18940.0</v>
      </c>
      <c r="D5935" s="19" t="str">
        <f t="shared" si="1"/>
        <v> </v>
      </c>
      <c r="E5935" s="19" t="str">
        <f t="shared" si="2"/>
        <v> </v>
      </c>
      <c r="F5935" s="21"/>
    </row>
    <row r="5936">
      <c r="A5936" s="19">
        <v>17818.0</v>
      </c>
      <c r="B5936" s="19" t="s">
        <v>5923</v>
      </c>
      <c r="C5936" s="20">
        <v>18630.0</v>
      </c>
      <c r="D5936" s="19" t="str">
        <f t="shared" si="1"/>
        <v> </v>
      </c>
      <c r="E5936" s="19" t="str">
        <f t="shared" si="2"/>
        <v> </v>
      </c>
      <c r="F5936" s="21"/>
    </row>
    <row r="5937">
      <c r="A5937" s="19" t="s">
        <v>5924</v>
      </c>
      <c r="B5937" s="19" t="s">
        <v>3140</v>
      </c>
      <c r="C5937" s="20">
        <v>18872.0</v>
      </c>
      <c r="D5937" s="19" t="str">
        <f t="shared" si="1"/>
        <v>Repeat</v>
      </c>
      <c r="E5937" s="19" t="str">
        <f t="shared" si="2"/>
        <v> </v>
      </c>
      <c r="F5937" s="21"/>
    </row>
    <row r="5938">
      <c r="A5938" s="19">
        <v>10873.0</v>
      </c>
      <c r="B5938" s="19" t="s">
        <v>710</v>
      </c>
      <c r="C5938" s="20">
        <v>45478.0</v>
      </c>
      <c r="D5938" s="19" t="str">
        <f t="shared" si="1"/>
        <v>Repeat</v>
      </c>
      <c r="E5938" s="19" t="str">
        <f t="shared" si="2"/>
        <v>Repeat</v>
      </c>
      <c r="F5938" s="21"/>
    </row>
    <row r="5939">
      <c r="A5939" s="19">
        <v>17694.0</v>
      </c>
      <c r="B5939" s="19" t="s">
        <v>5925</v>
      </c>
      <c r="C5939" s="20">
        <v>23052.0</v>
      </c>
      <c r="D5939" s="19" t="str">
        <f t="shared" si="1"/>
        <v> </v>
      </c>
      <c r="E5939" s="19" t="str">
        <f t="shared" si="2"/>
        <v> </v>
      </c>
      <c r="F5939" s="21"/>
    </row>
    <row r="5940">
      <c r="A5940" s="19">
        <v>17272.0</v>
      </c>
      <c r="B5940" s="19" t="s">
        <v>5926</v>
      </c>
      <c r="C5940" s="20">
        <v>15370.0</v>
      </c>
      <c r="D5940" s="19" t="str">
        <f t="shared" si="1"/>
        <v> </v>
      </c>
      <c r="E5940" s="19" t="str">
        <f t="shared" si="2"/>
        <v>Repeat</v>
      </c>
      <c r="F5940" s="21"/>
    </row>
    <row r="5941">
      <c r="A5941" s="19">
        <v>17521.0</v>
      </c>
      <c r="B5941" s="19" t="s">
        <v>5927</v>
      </c>
      <c r="C5941" s="20">
        <v>20941.0</v>
      </c>
      <c r="D5941" s="19" t="str">
        <f t="shared" si="1"/>
        <v> </v>
      </c>
      <c r="E5941" s="19" t="str">
        <f t="shared" si="2"/>
        <v>Repeat</v>
      </c>
      <c r="F5941" s="21"/>
    </row>
    <row r="5942">
      <c r="A5942" s="19">
        <v>17733.0</v>
      </c>
      <c r="B5942" s="19" t="s">
        <v>5928</v>
      </c>
      <c r="C5942" s="20">
        <v>22321.0</v>
      </c>
      <c r="D5942" s="19" t="str">
        <f t="shared" si="1"/>
        <v> </v>
      </c>
      <c r="E5942" s="19" t="str">
        <f t="shared" si="2"/>
        <v> </v>
      </c>
      <c r="F5942" s="21"/>
    </row>
    <row r="5943">
      <c r="A5943" s="19">
        <v>17744.0</v>
      </c>
      <c r="B5943" s="19" t="s">
        <v>5929</v>
      </c>
      <c r="C5943" s="20">
        <v>25802.0</v>
      </c>
      <c r="D5943" s="19" t="str">
        <f t="shared" si="1"/>
        <v> </v>
      </c>
      <c r="E5943" s="19" t="str">
        <f t="shared" si="2"/>
        <v> </v>
      </c>
      <c r="F5943" s="21"/>
    </row>
    <row r="5944">
      <c r="A5944" s="19">
        <v>17698.0</v>
      </c>
      <c r="B5944" s="19" t="s">
        <v>5930</v>
      </c>
      <c r="C5944" s="20">
        <v>27227.0</v>
      </c>
      <c r="D5944" s="19" t="str">
        <f t="shared" si="1"/>
        <v> </v>
      </c>
      <c r="E5944" s="19" t="str">
        <f t="shared" si="2"/>
        <v> </v>
      </c>
      <c r="F5944" s="21"/>
    </row>
    <row r="5945">
      <c r="A5945" s="19">
        <v>17776.0</v>
      </c>
      <c r="B5945" s="19" t="s">
        <v>5931</v>
      </c>
      <c r="C5945" s="20">
        <v>18257.0</v>
      </c>
      <c r="D5945" s="19" t="str">
        <f t="shared" si="1"/>
        <v> </v>
      </c>
      <c r="E5945" s="19" t="str">
        <f t="shared" si="2"/>
        <v> </v>
      </c>
      <c r="F5945" s="21"/>
    </row>
    <row r="5946">
      <c r="A5946" s="19">
        <v>17779.0</v>
      </c>
      <c r="B5946" s="19" t="s">
        <v>5932</v>
      </c>
      <c r="C5946" s="20">
        <v>30087.0</v>
      </c>
      <c r="D5946" s="19" t="str">
        <f t="shared" si="1"/>
        <v> </v>
      </c>
      <c r="E5946" s="19" t="str">
        <f t="shared" si="2"/>
        <v> </v>
      </c>
      <c r="F5946" s="21"/>
    </row>
    <row r="5947">
      <c r="A5947" s="19">
        <v>17781.0</v>
      </c>
      <c r="B5947" s="19" t="s">
        <v>5392</v>
      </c>
      <c r="C5947" s="20">
        <v>26061.0</v>
      </c>
      <c r="D5947" s="19" t="str">
        <f t="shared" si="1"/>
        <v>Repeat</v>
      </c>
      <c r="E5947" s="19" t="str">
        <f t="shared" si="2"/>
        <v> </v>
      </c>
      <c r="F5947" s="21"/>
    </row>
    <row r="5948">
      <c r="A5948" s="19">
        <v>17678.0</v>
      </c>
      <c r="B5948" s="19" t="s">
        <v>5933</v>
      </c>
      <c r="C5948" s="20">
        <v>16948.0</v>
      </c>
      <c r="D5948" s="19" t="str">
        <f t="shared" si="1"/>
        <v> </v>
      </c>
      <c r="E5948" s="19" t="str">
        <f t="shared" si="2"/>
        <v> </v>
      </c>
      <c r="F5948" s="21"/>
    </row>
    <row r="5949">
      <c r="A5949" s="19">
        <v>17379.0</v>
      </c>
      <c r="B5949" s="19" t="s">
        <v>5934</v>
      </c>
      <c r="C5949" s="20">
        <v>25124.0</v>
      </c>
      <c r="D5949" s="19" t="str">
        <f t="shared" si="1"/>
        <v> </v>
      </c>
      <c r="E5949" s="19" t="str">
        <f t="shared" si="2"/>
        <v> </v>
      </c>
      <c r="F5949" s="21"/>
    </row>
    <row r="5950">
      <c r="A5950" s="19">
        <v>17785.0</v>
      </c>
      <c r="B5950" s="19" t="s">
        <v>5935</v>
      </c>
      <c r="C5950" s="20">
        <v>18287.0</v>
      </c>
      <c r="D5950" s="19" t="str">
        <f t="shared" si="1"/>
        <v> </v>
      </c>
      <c r="E5950" s="19" t="str">
        <f t="shared" si="2"/>
        <v> </v>
      </c>
      <c r="F5950" s="21"/>
    </row>
    <row r="5951">
      <c r="A5951" s="19">
        <v>17658.0</v>
      </c>
      <c r="B5951" s="19" t="s">
        <v>5936</v>
      </c>
      <c r="C5951" s="20">
        <v>22123.0</v>
      </c>
      <c r="D5951" s="19" t="str">
        <f t="shared" si="1"/>
        <v> </v>
      </c>
      <c r="E5951" s="19" t="str">
        <f t="shared" si="2"/>
        <v> </v>
      </c>
      <c r="F5951" s="21"/>
    </row>
    <row r="5952">
      <c r="A5952" s="19">
        <v>17799.0</v>
      </c>
      <c r="B5952" s="19" t="s">
        <v>5937</v>
      </c>
      <c r="C5952" s="20">
        <v>24580.0</v>
      </c>
      <c r="D5952" s="19" t="str">
        <f t="shared" si="1"/>
        <v> </v>
      </c>
      <c r="E5952" s="19" t="str">
        <f t="shared" si="2"/>
        <v> </v>
      </c>
      <c r="F5952" s="21"/>
    </row>
    <row r="5953">
      <c r="A5953" s="19">
        <v>9592.0</v>
      </c>
      <c r="B5953" s="19" t="s">
        <v>5938</v>
      </c>
      <c r="C5953" s="20">
        <v>20695.0</v>
      </c>
      <c r="D5953" s="19" t="str">
        <f t="shared" si="1"/>
        <v> </v>
      </c>
      <c r="E5953" s="19" t="str">
        <f t="shared" si="2"/>
        <v> </v>
      </c>
      <c r="F5953" s="21"/>
    </row>
    <row r="5954">
      <c r="A5954" s="19">
        <v>17812.0</v>
      </c>
      <c r="B5954" s="19" t="s">
        <v>5939</v>
      </c>
      <c r="C5954" s="20">
        <v>21219.0</v>
      </c>
      <c r="D5954" s="19" t="str">
        <f t="shared" si="1"/>
        <v> </v>
      </c>
      <c r="E5954" s="19" t="str">
        <f t="shared" si="2"/>
        <v> </v>
      </c>
      <c r="F5954" s="21"/>
    </row>
    <row r="5955">
      <c r="A5955" s="19">
        <v>17814.0</v>
      </c>
      <c r="B5955" s="19" t="s">
        <v>5940</v>
      </c>
      <c r="C5955" s="20">
        <v>27895.0</v>
      </c>
      <c r="D5955" s="19" t="str">
        <f t="shared" si="1"/>
        <v> </v>
      </c>
      <c r="E5955" s="19" t="str">
        <f t="shared" si="2"/>
        <v> </v>
      </c>
      <c r="F5955" s="21"/>
    </row>
    <row r="5956">
      <c r="A5956" s="19">
        <v>17823.0</v>
      </c>
      <c r="B5956" s="19" t="s">
        <v>5941</v>
      </c>
      <c r="C5956" s="20">
        <v>26239.0</v>
      </c>
      <c r="D5956" s="19" t="str">
        <f t="shared" si="1"/>
        <v> </v>
      </c>
      <c r="E5956" s="19" t="str">
        <f t="shared" si="2"/>
        <v> </v>
      </c>
      <c r="F5956" s="21"/>
    </row>
    <row r="5957">
      <c r="A5957" s="19">
        <v>16863.0</v>
      </c>
      <c r="B5957" s="19" t="s">
        <v>5016</v>
      </c>
      <c r="C5957" s="20">
        <v>27111.0</v>
      </c>
      <c r="D5957" s="19" t="str">
        <f t="shared" si="1"/>
        <v>Repeat</v>
      </c>
      <c r="E5957" s="19" t="str">
        <f t="shared" si="2"/>
        <v>Repeat</v>
      </c>
      <c r="F5957" s="21"/>
    </row>
    <row r="5958">
      <c r="A5958" s="19">
        <v>17368.0</v>
      </c>
      <c r="B5958" s="19" t="s">
        <v>5942</v>
      </c>
      <c r="C5958" s="20">
        <v>15464.0</v>
      </c>
      <c r="D5958" s="19" t="str">
        <f t="shared" si="1"/>
        <v> </v>
      </c>
      <c r="E5958" s="19" t="str">
        <f t="shared" si="2"/>
        <v>Repeat</v>
      </c>
      <c r="F5958" s="21"/>
    </row>
    <row r="5959">
      <c r="A5959" s="19">
        <v>17472.0</v>
      </c>
      <c r="B5959" s="19" t="s">
        <v>5943</v>
      </c>
      <c r="C5959" s="20">
        <v>23857.0</v>
      </c>
      <c r="D5959" s="19" t="str">
        <f t="shared" si="1"/>
        <v> </v>
      </c>
      <c r="E5959" s="19" t="str">
        <f t="shared" si="2"/>
        <v>Repeat</v>
      </c>
      <c r="F5959" s="21"/>
    </row>
    <row r="5960">
      <c r="A5960" s="19">
        <v>17675.0</v>
      </c>
      <c r="B5960" s="19" t="s">
        <v>5944</v>
      </c>
      <c r="C5960" s="20">
        <v>15429.0</v>
      </c>
      <c r="D5960" s="19" t="str">
        <f t="shared" si="1"/>
        <v> </v>
      </c>
      <c r="E5960" s="19" t="str">
        <f t="shared" si="2"/>
        <v>Repeat</v>
      </c>
      <c r="F5960" s="21"/>
    </row>
    <row r="5961">
      <c r="A5961" s="19">
        <v>17008.0</v>
      </c>
      <c r="B5961" s="19" t="s">
        <v>5945</v>
      </c>
      <c r="C5961" s="20">
        <v>27220.0</v>
      </c>
      <c r="D5961" s="19" t="str">
        <f t="shared" si="1"/>
        <v> </v>
      </c>
      <c r="E5961" s="19" t="str">
        <f t="shared" si="2"/>
        <v>Repeat</v>
      </c>
      <c r="F5961" s="21"/>
    </row>
    <row r="5962">
      <c r="A5962" s="19">
        <v>17412.0</v>
      </c>
      <c r="B5962" s="19" t="s">
        <v>5946</v>
      </c>
      <c r="C5962" s="20">
        <v>21695.0</v>
      </c>
      <c r="D5962" s="19" t="str">
        <f t="shared" si="1"/>
        <v> </v>
      </c>
      <c r="E5962" s="19" t="str">
        <f t="shared" si="2"/>
        <v> </v>
      </c>
      <c r="F5962" s="21"/>
    </row>
    <row r="5963">
      <c r="A5963" s="19">
        <v>17795.0</v>
      </c>
      <c r="B5963" s="19" t="s">
        <v>5947</v>
      </c>
      <c r="C5963" s="20">
        <v>27896.0</v>
      </c>
      <c r="D5963" s="19" t="str">
        <f t="shared" si="1"/>
        <v> </v>
      </c>
      <c r="E5963" s="19" t="str">
        <f t="shared" si="2"/>
        <v> </v>
      </c>
      <c r="F5963" s="21"/>
    </row>
    <row r="5964">
      <c r="A5964" s="19">
        <v>17802.0</v>
      </c>
      <c r="B5964" s="19" t="s">
        <v>5948</v>
      </c>
      <c r="C5964" s="20">
        <v>17369.0</v>
      </c>
      <c r="D5964" s="19" t="str">
        <f t="shared" si="1"/>
        <v> </v>
      </c>
      <c r="E5964" s="19" t="str">
        <f t="shared" si="2"/>
        <v> </v>
      </c>
      <c r="F5964" s="21"/>
    </row>
    <row r="5965">
      <c r="A5965" s="19">
        <v>17788.0</v>
      </c>
      <c r="B5965" s="19" t="s">
        <v>5949</v>
      </c>
      <c r="C5965" s="20">
        <v>11506.0</v>
      </c>
      <c r="D5965" s="19" t="str">
        <f t="shared" si="1"/>
        <v> </v>
      </c>
      <c r="E5965" s="19" t="str">
        <f t="shared" si="2"/>
        <v>Repeat</v>
      </c>
      <c r="F5965" s="21"/>
    </row>
    <row r="5966">
      <c r="A5966" s="19">
        <v>17807.0</v>
      </c>
      <c r="B5966" s="19" t="s">
        <v>5950</v>
      </c>
      <c r="C5966" s="20">
        <v>27578.0</v>
      </c>
      <c r="D5966" s="19" t="str">
        <f t="shared" si="1"/>
        <v> </v>
      </c>
      <c r="E5966" s="19" t="str">
        <f t="shared" si="2"/>
        <v> </v>
      </c>
      <c r="F5966" s="21"/>
    </row>
    <row r="5967">
      <c r="A5967" s="19">
        <v>17815.0</v>
      </c>
      <c r="B5967" s="19" t="s">
        <v>5951</v>
      </c>
      <c r="C5967" s="20">
        <v>26567.0</v>
      </c>
      <c r="D5967" s="19" t="str">
        <f t="shared" si="1"/>
        <v> </v>
      </c>
      <c r="E5967" s="19" t="str">
        <f t="shared" si="2"/>
        <v> </v>
      </c>
      <c r="F5967" s="21"/>
    </row>
    <row r="5968">
      <c r="A5968" s="19">
        <v>16527.0</v>
      </c>
      <c r="B5968" s="19" t="s">
        <v>5952</v>
      </c>
      <c r="C5968" s="20">
        <v>22233.0</v>
      </c>
      <c r="D5968" s="19" t="str">
        <f t="shared" si="1"/>
        <v> </v>
      </c>
      <c r="E5968" s="19" t="str">
        <f t="shared" si="2"/>
        <v>Repeat</v>
      </c>
      <c r="F5968" s="21"/>
    </row>
    <row r="5969">
      <c r="A5969" s="19">
        <v>17826.0</v>
      </c>
      <c r="B5969" s="19" t="s">
        <v>5953</v>
      </c>
      <c r="C5969" s="20">
        <v>23296.0</v>
      </c>
      <c r="D5969" s="19" t="str">
        <f t="shared" si="1"/>
        <v> </v>
      </c>
      <c r="E5969" s="19" t="str">
        <f t="shared" si="2"/>
        <v> </v>
      </c>
      <c r="F5969" s="21"/>
    </row>
    <row r="5970">
      <c r="A5970" s="19">
        <v>9136.0</v>
      </c>
      <c r="B5970" s="19" t="s">
        <v>26</v>
      </c>
      <c r="C5970" s="20">
        <v>20601.0</v>
      </c>
      <c r="D5970" s="19" t="str">
        <f t="shared" si="1"/>
        <v>Repeat</v>
      </c>
      <c r="E5970" s="19" t="str">
        <f t="shared" si="2"/>
        <v>Repeat</v>
      </c>
      <c r="F5970" s="21"/>
    </row>
    <row r="5971">
      <c r="A5971" s="19">
        <v>17106.0</v>
      </c>
      <c r="B5971" s="19" t="s">
        <v>5954</v>
      </c>
      <c r="C5971" s="20">
        <v>11696.0</v>
      </c>
      <c r="D5971" s="19" t="str">
        <f t="shared" si="1"/>
        <v> </v>
      </c>
      <c r="E5971" s="19" t="str">
        <f t="shared" si="2"/>
        <v>Repeat</v>
      </c>
      <c r="F5971" s="21"/>
    </row>
    <row r="5972">
      <c r="A5972" s="19">
        <v>17642.0</v>
      </c>
      <c r="B5972" s="19" t="s">
        <v>5955</v>
      </c>
      <c r="C5972" s="20">
        <v>47017.0</v>
      </c>
      <c r="D5972" s="19" t="str">
        <f t="shared" si="1"/>
        <v> </v>
      </c>
      <c r="E5972" s="19" t="str">
        <f t="shared" si="2"/>
        <v>Repeat</v>
      </c>
      <c r="F5972" s="21"/>
    </row>
    <row r="5973">
      <c r="A5973" s="19">
        <v>17186.0</v>
      </c>
      <c r="B5973" s="19" t="s">
        <v>5956</v>
      </c>
      <c r="C5973" s="20">
        <v>32887.0</v>
      </c>
      <c r="D5973" s="19" t="str">
        <f t="shared" si="1"/>
        <v> </v>
      </c>
      <c r="E5973" s="19" t="str">
        <f t="shared" si="2"/>
        <v>Repeat</v>
      </c>
      <c r="F5973" s="21"/>
    </row>
    <row r="5974">
      <c r="A5974" s="19">
        <v>16871.0</v>
      </c>
      <c r="B5974" s="19" t="s">
        <v>5957</v>
      </c>
      <c r="C5974" s="20">
        <v>19460.0</v>
      </c>
      <c r="D5974" s="19" t="str">
        <f t="shared" si="1"/>
        <v> </v>
      </c>
      <c r="E5974" s="19" t="str">
        <f t="shared" si="2"/>
        <v>Repeat</v>
      </c>
      <c r="F5974" s="21"/>
    </row>
    <row r="5975">
      <c r="A5975" s="19">
        <v>9141.0</v>
      </c>
      <c r="B5975" s="19" t="s">
        <v>30</v>
      </c>
      <c r="C5975" s="20">
        <v>30758.0</v>
      </c>
      <c r="D5975" s="19" t="str">
        <f t="shared" si="1"/>
        <v>Repeat</v>
      </c>
      <c r="E5975" s="19" t="str">
        <f t="shared" si="2"/>
        <v>Repeat</v>
      </c>
      <c r="F5975" s="21"/>
    </row>
    <row r="5976">
      <c r="A5976" s="19">
        <v>17737.0</v>
      </c>
      <c r="B5976" s="19" t="s">
        <v>5958</v>
      </c>
      <c r="C5976" s="20">
        <v>20591.0</v>
      </c>
      <c r="D5976" s="19" t="str">
        <f t="shared" si="1"/>
        <v> </v>
      </c>
      <c r="E5976" s="19" t="str">
        <f t="shared" si="2"/>
        <v>Repeat</v>
      </c>
      <c r="F5976" s="21"/>
    </row>
    <row r="5977">
      <c r="A5977" s="19">
        <v>17760.0</v>
      </c>
      <c r="B5977" s="19" t="s">
        <v>5959</v>
      </c>
      <c r="C5977" s="20">
        <v>23841.0</v>
      </c>
      <c r="D5977" s="19" t="str">
        <f t="shared" si="1"/>
        <v> </v>
      </c>
      <c r="E5977" s="19" t="str">
        <f t="shared" si="2"/>
        <v> </v>
      </c>
      <c r="F5977" s="21"/>
    </row>
    <row r="5978">
      <c r="A5978" s="19">
        <v>17824.0</v>
      </c>
      <c r="B5978" s="19" t="s">
        <v>5960</v>
      </c>
      <c r="C5978" s="20">
        <v>34075.0</v>
      </c>
      <c r="D5978" s="19" t="str">
        <f t="shared" si="1"/>
        <v> </v>
      </c>
      <c r="E5978" s="19" t="str">
        <f t="shared" si="2"/>
        <v> </v>
      </c>
      <c r="F5978" s="21"/>
    </row>
    <row r="5979">
      <c r="A5979" s="19">
        <v>15556.0</v>
      </c>
      <c r="B5979" s="19" t="s">
        <v>5961</v>
      </c>
      <c r="C5979" s="20">
        <v>12814.0</v>
      </c>
      <c r="D5979" s="19" t="str">
        <f t="shared" si="1"/>
        <v> </v>
      </c>
      <c r="E5979" s="19" t="str">
        <f t="shared" si="2"/>
        <v>Repeat</v>
      </c>
      <c r="F5979" s="21"/>
    </row>
    <row r="5980">
      <c r="A5980" s="19">
        <v>16039.0</v>
      </c>
      <c r="B5980" s="19" t="s">
        <v>5962</v>
      </c>
      <c r="C5980" s="20">
        <v>23742.0</v>
      </c>
      <c r="D5980" s="19" t="str">
        <f t="shared" si="1"/>
        <v> </v>
      </c>
      <c r="E5980" s="19" t="str">
        <f t="shared" si="2"/>
        <v>Repeat</v>
      </c>
      <c r="F5980" s="21"/>
    </row>
    <row r="5981">
      <c r="A5981" s="19">
        <v>9163.0</v>
      </c>
      <c r="B5981" s="19" t="s">
        <v>48</v>
      </c>
      <c r="C5981" s="20">
        <v>17275.0</v>
      </c>
      <c r="D5981" s="19" t="str">
        <f t="shared" si="1"/>
        <v>Repeat</v>
      </c>
      <c r="E5981" s="19" t="str">
        <f t="shared" si="2"/>
        <v>Repeat</v>
      </c>
      <c r="F5981" s="21"/>
    </row>
    <row r="5982">
      <c r="A5982" s="19">
        <v>17796.0</v>
      </c>
      <c r="B5982" s="19" t="s">
        <v>5905</v>
      </c>
      <c r="C5982" s="20">
        <v>47448.0</v>
      </c>
      <c r="D5982" s="19" t="str">
        <f t="shared" si="1"/>
        <v>Repeat</v>
      </c>
      <c r="E5982" s="19" t="str">
        <f t="shared" si="2"/>
        <v>Repeat</v>
      </c>
      <c r="F5982" s="21"/>
    </row>
    <row r="5983">
      <c r="A5983" s="19">
        <v>17788.0</v>
      </c>
      <c r="B5983" s="19" t="s">
        <v>5963</v>
      </c>
      <c r="C5983" s="20">
        <v>11506.0</v>
      </c>
      <c r="D5983" s="19" t="str">
        <f t="shared" si="1"/>
        <v> </v>
      </c>
      <c r="E5983" s="19" t="str">
        <f t="shared" si="2"/>
        <v>Repeat</v>
      </c>
      <c r="F5983" s="21"/>
    </row>
    <row r="5984">
      <c r="A5984" s="19">
        <v>17098.0</v>
      </c>
      <c r="B5984" s="19" t="s">
        <v>5203</v>
      </c>
      <c r="C5984" s="20">
        <v>47296.0</v>
      </c>
      <c r="D5984" s="19" t="str">
        <f t="shared" si="1"/>
        <v>Repeat</v>
      </c>
      <c r="E5984" s="19" t="str">
        <f t="shared" si="2"/>
        <v>Repeat</v>
      </c>
      <c r="F5984" s="21"/>
    </row>
    <row r="5985">
      <c r="A5985" s="19">
        <v>13604.0</v>
      </c>
      <c r="B5985" s="19" t="s">
        <v>5672</v>
      </c>
      <c r="C5985" s="20">
        <v>24561.0</v>
      </c>
      <c r="D5985" s="19" t="str">
        <f t="shared" si="1"/>
        <v>Repeat</v>
      </c>
      <c r="E5985" s="19" t="str">
        <f t="shared" si="2"/>
        <v> </v>
      </c>
      <c r="F5985" s="21"/>
    </row>
    <row r="5986">
      <c r="A5986" s="19">
        <v>17843.0</v>
      </c>
      <c r="B5986" s="19" t="s">
        <v>5964</v>
      </c>
      <c r="C5986" s="20">
        <v>36148.0</v>
      </c>
      <c r="D5986" s="19" t="str">
        <f t="shared" si="1"/>
        <v> </v>
      </c>
      <c r="E5986" s="19" t="str">
        <f t="shared" si="2"/>
        <v> </v>
      </c>
      <c r="F5986" s="21"/>
    </row>
    <row r="5987">
      <c r="A5987" s="19">
        <v>17461.0</v>
      </c>
      <c r="B5987" s="19" t="s">
        <v>5965</v>
      </c>
      <c r="C5987" s="20">
        <v>27036.0</v>
      </c>
      <c r="D5987" s="19" t="str">
        <f t="shared" si="1"/>
        <v> </v>
      </c>
      <c r="E5987" s="19" t="str">
        <f t="shared" si="2"/>
        <v>Repeat</v>
      </c>
      <c r="F5987" s="21"/>
    </row>
    <row r="5988">
      <c r="A5988" s="19">
        <v>17622.0</v>
      </c>
      <c r="B5988" s="19" t="s">
        <v>5592</v>
      </c>
      <c r="C5988" s="20">
        <v>25548.0</v>
      </c>
      <c r="D5988" s="19" t="str">
        <f t="shared" si="1"/>
        <v>Repeat</v>
      </c>
      <c r="E5988" s="19" t="str">
        <f t="shared" si="2"/>
        <v>Repeat</v>
      </c>
      <c r="F5988" s="21"/>
    </row>
    <row r="5989">
      <c r="A5989" s="19">
        <v>17469.0</v>
      </c>
      <c r="B5989" s="19" t="s">
        <v>5966</v>
      </c>
      <c r="C5989" s="20">
        <v>24017.0</v>
      </c>
      <c r="D5989" s="19" t="str">
        <f t="shared" si="1"/>
        <v> </v>
      </c>
      <c r="E5989" s="19" t="str">
        <f t="shared" si="2"/>
        <v>Repeat</v>
      </c>
      <c r="F5989" s="21"/>
    </row>
    <row r="5990">
      <c r="A5990" s="19">
        <v>17119.0</v>
      </c>
      <c r="B5990" s="19" t="s">
        <v>5967</v>
      </c>
      <c r="C5990" s="20">
        <v>22189.0</v>
      </c>
      <c r="D5990" s="19" t="str">
        <f t="shared" si="1"/>
        <v> </v>
      </c>
      <c r="E5990" s="19" t="str">
        <f t="shared" si="2"/>
        <v>Repeat</v>
      </c>
      <c r="F5990" s="21"/>
    </row>
    <row r="5991">
      <c r="A5991" s="19">
        <v>17613.0</v>
      </c>
      <c r="B5991" s="19" t="s">
        <v>5968</v>
      </c>
      <c r="C5991" s="20">
        <v>23779.0</v>
      </c>
      <c r="D5991" s="19" t="str">
        <f t="shared" si="1"/>
        <v> </v>
      </c>
      <c r="E5991" s="19" t="str">
        <f t="shared" si="2"/>
        <v>Repeat</v>
      </c>
      <c r="F5991" s="21"/>
    </row>
    <row r="5992">
      <c r="A5992" s="19">
        <v>17704.0</v>
      </c>
      <c r="B5992" s="19" t="s">
        <v>5969</v>
      </c>
      <c r="C5992" s="20">
        <v>26847.0</v>
      </c>
      <c r="D5992" s="19" t="str">
        <f t="shared" si="1"/>
        <v> </v>
      </c>
      <c r="E5992" s="19" t="str">
        <f t="shared" si="2"/>
        <v>Repeat</v>
      </c>
      <c r="F5992" s="21"/>
    </row>
    <row r="5993">
      <c r="A5993" s="19">
        <v>17303.0</v>
      </c>
      <c r="B5993" s="19" t="s">
        <v>5970</v>
      </c>
      <c r="C5993" s="20">
        <v>13916.0</v>
      </c>
      <c r="D5993" s="19" t="str">
        <f t="shared" si="1"/>
        <v> </v>
      </c>
      <c r="E5993" s="19" t="str">
        <f t="shared" si="2"/>
        <v>Repeat</v>
      </c>
      <c r="F5993" s="21"/>
    </row>
    <row r="5994">
      <c r="A5994" s="19" t="s">
        <v>5971</v>
      </c>
      <c r="B5994" s="19" t="s">
        <v>4973</v>
      </c>
      <c r="C5994" s="20">
        <v>13461.0</v>
      </c>
      <c r="D5994" s="19" t="str">
        <f t="shared" si="1"/>
        <v>Repeat</v>
      </c>
      <c r="E5994" s="19" t="str">
        <f t="shared" si="2"/>
        <v> </v>
      </c>
      <c r="F5994" s="21"/>
    </row>
    <row r="5995">
      <c r="A5995" s="19">
        <v>13187.0</v>
      </c>
      <c r="B5995" s="19" t="s">
        <v>5972</v>
      </c>
      <c r="C5995" s="20">
        <v>20156.0</v>
      </c>
      <c r="D5995" s="19" t="str">
        <f t="shared" si="1"/>
        <v> </v>
      </c>
      <c r="E5995" s="19" t="str">
        <f t="shared" si="2"/>
        <v>Repeat</v>
      </c>
      <c r="F5995" s="21"/>
    </row>
    <row r="5996">
      <c r="A5996" s="19">
        <v>17834.0</v>
      </c>
      <c r="B5996" s="19" t="s">
        <v>5973</v>
      </c>
      <c r="C5996" s="20">
        <v>10266.0</v>
      </c>
      <c r="D5996" s="19" t="str">
        <f t="shared" si="1"/>
        <v> </v>
      </c>
      <c r="E5996" s="19" t="str">
        <f t="shared" si="2"/>
        <v> </v>
      </c>
      <c r="F5996" s="21"/>
    </row>
    <row r="5997">
      <c r="A5997" s="19">
        <v>17846.0</v>
      </c>
      <c r="B5997" s="19" t="s">
        <v>5974</v>
      </c>
      <c r="C5997" s="20">
        <v>19720.0</v>
      </c>
      <c r="D5997" s="19" t="str">
        <f t="shared" si="1"/>
        <v> </v>
      </c>
      <c r="E5997" s="19" t="str">
        <f t="shared" si="2"/>
        <v> </v>
      </c>
      <c r="F5997" s="21"/>
    </row>
    <row r="5998">
      <c r="A5998" s="19">
        <v>12051.0</v>
      </c>
      <c r="B5998" s="19" t="s">
        <v>5975</v>
      </c>
      <c r="C5998" s="20">
        <v>19608.0</v>
      </c>
      <c r="D5998" s="19" t="str">
        <f t="shared" si="1"/>
        <v> </v>
      </c>
      <c r="E5998" s="19" t="str">
        <f t="shared" si="2"/>
        <v> </v>
      </c>
      <c r="F5998" s="21"/>
    </row>
    <row r="5999">
      <c r="A5999" s="19">
        <v>17821.0</v>
      </c>
      <c r="B5999" s="19" t="s">
        <v>5976</v>
      </c>
      <c r="C5999" s="20">
        <v>20126.0</v>
      </c>
      <c r="D5999" s="19" t="str">
        <f t="shared" si="1"/>
        <v> </v>
      </c>
      <c r="E5999" s="19" t="str">
        <f t="shared" si="2"/>
        <v> </v>
      </c>
      <c r="F5999" s="21"/>
    </row>
    <row r="6000">
      <c r="A6000" s="19">
        <v>17848.0</v>
      </c>
      <c r="B6000" s="19" t="s">
        <v>5977</v>
      </c>
      <c r="C6000" s="20">
        <v>19261.0</v>
      </c>
      <c r="D6000" s="19" t="str">
        <f t="shared" si="1"/>
        <v> </v>
      </c>
      <c r="E6000" s="19" t="str">
        <f t="shared" si="2"/>
        <v> </v>
      </c>
      <c r="F6000" s="21"/>
    </row>
    <row r="6001">
      <c r="A6001" s="19">
        <v>17831.0</v>
      </c>
      <c r="B6001" s="19" t="s">
        <v>5978</v>
      </c>
      <c r="C6001" s="20">
        <v>18671.0</v>
      </c>
      <c r="D6001" s="19" t="str">
        <f t="shared" si="1"/>
        <v> </v>
      </c>
      <c r="E6001" s="19" t="str">
        <f t="shared" si="2"/>
        <v> </v>
      </c>
      <c r="F6001" s="21"/>
    </row>
    <row r="6002">
      <c r="A6002" s="19">
        <v>17832.0</v>
      </c>
      <c r="B6002" s="19" t="s">
        <v>5979</v>
      </c>
      <c r="C6002" s="20">
        <v>16496.0</v>
      </c>
      <c r="D6002" s="19" t="str">
        <f t="shared" si="1"/>
        <v> </v>
      </c>
      <c r="E6002" s="19" t="str">
        <f t="shared" si="2"/>
        <v> </v>
      </c>
      <c r="F6002" s="21"/>
    </row>
    <row r="6003">
      <c r="A6003" s="19">
        <v>17872.0</v>
      </c>
      <c r="B6003" s="19" t="s">
        <v>5980</v>
      </c>
      <c r="C6003" s="20">
        <v>11312.0</v>
      </c>
      <c r="D6003" s="19" t="str">
        <f t="shared" si="1"/>
        <v> </v>
      </c>
      <c r="E6003" s="19" t="str">
        <f t="shared" si="2"/>
        <v> </v>
      </c>
      <c r="F6003" s="21"/>
    </row>
    <row r="6004">
      <c r="A6004" s="19">
        <v>17890.0</v>
      </c>
      <c r="B6004" s="19" t="s">
        <v>5981</v>
      </c>
      <c r="C6004" s="20">
        <v>20526.0</v>
      </c>
      <c r="D6004" s="19" t="str">
        <f t="shared" si="1"/>
        <v> </v>
      </c>
      <c r="E6004" s="19" t="str">
        <f t="shared" si="2"/>
        <v> </v>
      </c>
      <c r="F6004" s="21"/>
    </row>
    <row r="6005">
      <c r="A6005" s="19">
        <v>17853.0</v>
      </c>
      <c r="B6005" s="19" t="s">
        <v>5982</v>
      </c>
      <c r="C6005" s="20">
        <v>27562.0</v>
      </c>
      <c r="D6005" s="19" t="str">
        <f t="shared" si="1"/>
        <v> </v>
      </c>
      <c r="E6005" s="19" t="str">
        <f t="shared" si="2"/>
        <v> </v>
      </c>
      <c r="F6005" s="21"/>
    </row>
    <row r="6006">
      <c r="A6006" s="19">
        <v>14113.0</v>
      </c>
      <c r="B6006" s="19" t="s">
        <v>5983</v>
      </c>
      <c r="C6006" s="20">
        <v>21851.0</v>
      </c>
      <c r="D6006" s="19" t="str">
        <f t="shared" si="1"/>
        <v> </v>
      </c>
      <c r="E6006" s="19" t="str">
        <f t="shared" si="2"/>
        <v>Repeat</v>
      </c>
      <c r="F6006" s="21"/>
    </row>
    <row r="6007">
      <c r="A6007" s="19">
        <v>17794.0</v>
      </c>
      <c r="B6007" s="19" t="s">
        <v>5984</v>
      </c>
      <c r="C6007" s="20">
        <v>16034.0</v>
      </c>
      <c r="D6007" s="19" t="str">
        <f t="shared" si="1"/>
        <v> </v>
      </c>
      <c r="E6007" s="19" t="str">
        <f t="shared" si="2"/>
        <v> </v>
      </c>
      <c r="F6007" s="21"/>
    </row>
    <row r="6008">
      <c r="A6008" s="19">
        <v>17793.0</v>
      </c>
      <c r="B6008" s="19" t="s">
        <v>5985</v>
      </c>
      <c r="C6008" s="20">
        <v>20823.0</v>
      </c>
      <c r="D6008" s="19" t="str">
        <f t="shared" si="1"/>
        <v> </v>
      </c>
      <c r="E6008" s="19" t="str">
        <f t="shared" si="2"/>
        <v> </v>
      </c>
      <c r="F6008" s="21"/>
    </row>
    <row r="6009">
      <c r="A6009" s="19">
        <v>17757.0</v>
      </c>
      <c r="B6009" s="19" t="s">
        <v>5986</v>
      </c>
      <c r="C6009" s="20">
        <v>19937.0</v>
      </c>
      <c r="D6009" s="19" t="str">
        <f t="shared" si="1"/>
        <v> </v>
      </c>
      <c r="E6009" s="19" t="str">
        <f t="shared" si="2"/>
        <v> </v>
      </c>
      <c r="F6009" s="21"/>
    </row>
    <row r="6010">
      <c r="A6010" s="19">
        <v>15237.0</v>
      </c>
      <c r="B6010" s="19" t="s">
        <v>5987</v>
      </c>
      <c r="C6010" s="20">
        <v>29803.0</v>
      </c>
      <c r="D6010" s="19" t="str">
        <f t="shared" si="1"/>
        <v> </v>
      </c>
      <c r="E6010" s="19" t="str">
        <f t="shared" si="2"/>
        <v> </v>
      </c>
      <c r="F6010" s="21"/>
    </row>
    <row r="6011">
      <c r="A6011" s="19">
        <v>17562.0</v>
      </c>
      <c r="B6011" s="19" t="s">
        <v>5988</v>
      </c>
      <c r="C6011" s="20">
        <v>14131.0</v>
      </c>
      <c r="D6011" s="19" t="str">
        <f t="shared" si="1"/>
        <v> </v>
      </c>
      <c r="E6011" s="19" t="str">
        <f t="shared" si="2"/>
        <v>Repeat</v>
      </c>
      <c r="F6011" s="21"/>
    </row>
    <row r="6012">
      <c r="A6012" s="19">
        <v>17608.0</v>
      </c>
      <c r="B6012" s="19" t="s">
        <v>5989</v>
      </c>
      <c r="C6012" s="20">
        <v>29429.0</v>
      </c>
      <c r="D6012" s="19" t="str">
        <f t="shared" si="1"/>
        <v> </v>
      </c>
      <c r="E6012" s="19" t="str">
        <f t="shared" si="2"/>
        <v> </v>
      </c>
      <c r="F6012" s="21"/>
    </row>
    <row r="6013">
      <c r="A6013" s="19">
        <v>15652.0</v>
      </c>
      <c r="B6013" s="19" t="s">
        <v>5990</v>
      </c>
      <c r="C6013" s="20">
        <v>21214.0</v>
      </c>
      <c r="D6013" s="19" t="str">
        <f t="shared" si="1"/>
        <v> </v>
      </c>
      <c r="E6013" s="19" t="str">
        <f t="shared" si="2"/>
        <v>Repeat</v>
      </c>
      <c r="F6013" s="21"/>
    </row>
    <row r="6014">
      <c r="A6014" s="19">
        <v>17880.0</v>
      </c>
      <c r="B6014" s="19" t="s">
        <v>5991</v>
      </c>
      <c r="C6014" s="20">
        <v>19527.0</v>
      </c>
      <c r="D6014" s="19" t="str">
        <f t="shared" si="1"/>
        <v> </v>
      </c>
      <c r="E6014" s="19" t="str">
        <f t="shared" si="2"/>
        <v> </v>
      </c>
      <c r="F6014" s="21"/>
    </row>
    <row r="6015">
      <c r="A6015" s="19">
        <v>17894.0</v>
      </c>
      <c r="B6015" s="19" t="s">
        <v>5992</v>
      </c>
      <c r="C6015" s="20">
        <v>21383.0</v>
      </c>
      <c r="D6015" s="19" t="str">
        <f t="shared" si="1"/>
        <v> </v>
      </c>
      <c r="E6015" s="19" t="str">
        <f t="shared" si="2"/>
        <v> </v>
      </c>
      <c r="F6015" s="21"/>
    </row>
    <row r="6016">
      <c r="A6016" s="19">
        <v>17850.0</v>
      </c>
      <c r="B6016" s="19" t="s">
        <v>5993</v>
      </c>
      <c r="C6016" s="20">
        <v>21645.0</v>
      </c>
      <c r="D6016" s="19" t="str">
        <f t="shared" si="1"/>
        <v> </v>
      </c>
      <c r="E6016" s="19" t="str">
        <f t="shared" si="2"/>
        <v> </v>
      </c>
      <c r="F6016" s="21"/>
    </row>
    <row r="6017">
      <c r="A6017" s="19">
        <v>17855.0</v>
      </c>
      <c r="B6017" s="19" t="s">
        <v>5994</v>
      </c>
      <c r="C6017" s="20">
        <v>20194.0</v>
      </c>
      <c r="D6017" s="19" t="str">
        <f t="shared" si="1"/>
        <v> </v>
      </c>
      <c r="E6017" s="19" t="str">
        <f t="shared" si="2"/>
        <v> </v>
      </c>
      <c r="F6017" s="21"/>
    </row>
    <row r="6018">
      <c r="A6018" s="19">
        <v>16016.0</v>
      </c>
      <c r="B6018" s="19" t="s">
        <v>4353</v>
      </c>
      <c r="C6018" s="20">
        <v>9139.0</v>
      </c>
      <c r="D6018" s="19" t="str">
        <f t="shared" si="1"/>
        <v>Repeat</v>
      </c>
      <c r="E6018" s="19" t="str">
        <f t="shared" si="2"/>
        <v>Repeat</v>
      </c>
      <c r="F6018" s="21"/>
    </row>
    <row r="6019">
      <c r="A6019" s="19">
        <v>17893.0</v>
      </c>
      <c r="B6019" s="19" t="s">
        <v>5995</v>
      </c>
      <c r="C6019" s="20">
        <v>17174.0</v>
      </c>
      <c r="D6019" s="19" t="str">
        <f t="shared" si="1"/>
        <v> </v>
      </c>
      <c r="E6019" s="19" t="str">
        <f t="shared" si="2"/>
        <v> </v>
      </c>
      <c r="F6019" s="21"/>
    </row>
    <row r="6020">
      <c r="A6020" s="19">
        <v>17945.0</v>
      </c>
      <c r="B6020" s="19" t="s">
        <v>5996</v>
      </c>
      <c r="C6020" s="20">
        <v>33072.0</v>
      </c>
      <c r="D6020" s="19" t="str">
        <f t="shared" si="1"/>
        <v> </v>
      </c>
      <c r="E6020" s="19" t="str">
        <f t="shared" si="2"/>
        <v> </v>
      </c>
      <c r="F6020" s="21"/>
    </row>
    <row r="6021">
      <c r="A6021" s="19">
        <v>17840.0</v>
      </c>
      <c r="B6021" s="19" t="s">
        <v>5997</v>
      </c>
      <c r="C6021" s="20">
        <v>10590.0</v>
      </c>
      <c r="D6021" s="19" t="str">
        <f t="shared" si="1"/>
        <v> </v>
      </c>
      <c r="E6021" s="19" t="str">
        <f t="shared" si="2"/>
        <v> </v>
      </c>
      <c r="F6021" s="21"/>
    </row>
    <row r="6022">
      <c r="A6022" s="19">
        <v>17830.0</v>
      </c>
      <c r="B6022" s="19" t="s">
        <v>5998</v>
      </c>
      <c r="C6022" s="20">
        <v>25200.0</v>
      </c>
      <c r="D6022" s="19" t="str">
        <f t="shared" si="1"/>
        <v> </v>
      </c>
      <c r="E6022" s="19" t="str">
        <f t="shared" si="2"/>
        <v> </v>
      </c>
      <c r="F6022" s="21"/>
    </row>
    <row r="6023">
      <c r="A6023" s="19">
        <v>17882.0</v>
      </c>
      <c r="B6023" s="19" t="s">
        <v>5999</v>
      </c>
      <c r="C6023" s="20">
        <v>29239.0</v>
      </c>
      <c r="D6023" s="19" t="str">
        <f t="shared" si="1"/>
        <v> </v>
      </c>
      <c r="E6023" s="19" t="str">
        <f t="shared" si="2"/>
        <v> </v>
      </c>
      <c r="F6023" s="21"/>
    </row>
    <row r="6024">
      <c r="A6024" s="19">
        <v>17844.0</v>
      </c>
      <c r="B6024" s="19" t="s">
        <v>6000</v>
      </c>
      <c r="C6024" s="20">
        <v>30422.0</v>
      </c>
      <c r="D6024" s="19" t="str">
        <f t="shared" si="1"/>
        <v> </v>
      </c>
      <c r="E6024" s="19" t="str">
        <f t="shared" si="2"/>
        <v> </v>
      </c>
      <c r="F6024" s="21"/>
    </row>
    <row r="6025">
      <c r="A6025" s="19">
        <v>17867.0</v>
      </c>
      <c r="B6025" s="19" t="s">
        <v>6001</v>
      </c>
      <c r="C6025" s="20">
        <v>20298.0</v>
      </c>
      <c r="D6025" s="19" t="str">
        <f t="shared" si="1"/>
        <v> </v>
      </c>
      <c r="E6025" s="19" t="str">
        <f t="shared" si="2"/>
        <v> </v>
      </c>
      <c r="F6025" s="21"/>
    </row>
    <row r="6026">
      <c r="A6026" s="19">
        <v>17835.0</v>
      </c>
      <c r="B6026" s="19" t="s">
        <v>6002</v>
      </c>
      <c r="C6026" s="20">
        <v>23741.0</v>
      </c>
      <c r="D6026" s="19" t="str">
        <f t="shared" si="1"/>
        <v> </v>
      </c>
      <c r="E6026" s="19" t="str">
        <f t="shared" si="2"/>
        <v> </v>
      </c>
      <c r="F6026" s="21"/>
    </row>
    <row r="6027">
      <c r="A6027" s="19">
        <v>17836.0</v>
      </c>
      <c r="B6027" s="19" t="s">
        <v>6003</v>
      </c>
      <c r="C6027" s="20">
        <v>36797.0</v>
      </c>
      <c r="D6027" s="19" t="str">
        <f t="shared" si="1"/>
        <v> </v>
      </c>
      <c r="E6027" s="19" t="str">
        <f t="shared" si="2"/>
        <v> </v>
      </c>
      <c r="F6027" s="21"/>
    </row>
    <row r="6028">
      <c r="A6028" s="19">
        <v>17854.0</v>
      </c>
      <c r="B6028" s="19" t="s">
        <v>6004</v>
      </c>
      <c r="C6028" s="20">
        <v>22029.0</v>
      </c>
      <c r="D6028" s="19" t="str">
        <f t="shared" si="1"/>
        <v> </v>
      </c>
      <c r="E6028" s="19" t="str">
        <f t="shared" si="2"/>
        <v> </v>
      </c>
      <c r="F6028" s="21"/>
    </row>
    <row r="6029">
      <c r="A6029" s="19">
        <v>17849.0</v>
      </c>
      <c r="B6029" s="19" t="s">
        <v>6005</v>
      </c>
      <c r="C6029" s="20">
        <v>26237.0</v>
      </c>
      <c r="D6029" s="19" t="str">
        <f t="shared" si="1"/>
        <v> </v>
      </c>
      <c r="E6029" s="19" t="str">
        <f t="shared" si="2"/>
        <v> </v>
      </c>
      <c r="F6029" s="21"/>
    </row>
    <row r="6030">
      <c r="A6030" s="19">
        <v>17660.0</v>
      </c>
      <c r="B6030" s="19" t="s">
        <v>6006</v>
      </c>
      <c r="C6030" s="20">
        <v>25150.0</v>
      </c>
      <c r="D6030" s="19" t="str">
        <f t="shared" si="1"/>
        <v> </v>
      </c>
      <c r="E6030" s="19" t="str">
        <f t="shared" si="2"/>
        <v> </v>
      </c>
      <c r="F6030" s="21"/>
    </row>
    <row r="6031">
      <c r="A6031" s="19">
        <v>17073.0</v>
      </c>
      <c r="B6031" s="19" t="s">
        <v>6007</v>
      </c>
      <c r="C6031" s="20">
        <v>36313.0</v>
      </c>
      <c r="D6031" s="19" t="str">
        <f t="shared" si="1"/>
        <v> </v>
      </c>
      <c r="E6031" s="19" t="str">
        <f t="shared" si="2"/>
        <v> </v>
      </c>
      <c r="F6031" s="21"/>
    </row>
    <row r="6032">
      <c r="A6032" s="19">
        <v>17566.0</v>
      </c>
      <c r="B6032" s="19" t="s">
        <v>6008</v>
      </c>
      <c r="C6032" s="20">
        <v>22520.0</v>
      </c>
      <c r="D6032" s="19" t="str">
        <f t="shared" si="1"/>
        <v> </v>
      </c>
      <c r="E6032" s="19" t="str">
        <f t="shared" si="2"/>
        <v>Repeat</v>
      </c>
      <c r="F6032" s="21"/>
    </row>
    <row r="6033">
      <c r="A6033" s="19">
        <v>17833.0</v>
      </c>
      <c r="B6033" s="19" t="s">
        <v>6009</v>
      </c>
      <c r="C6033" s="20">
        <v>16597.0</v>
      </c>
      <c r="D6033" s="19" t="str">
        <f t="shared" si="1"/>
        <v> </v>
      </c>
      <c r="E6033" s="19" t="str">
        <f t="shared" si="2"/>
        <v> </v>
      </c>
      <c r="F6033" s="21"/>
    </row>
    <row r="6034">
      <c r="A6034" s="19" t="s">
        <v>6010</v>
      </c>
      <c r="B6034" s="19" t="s">
        <v>5736</v>
      </c>
      <c r="C6034" s="20">
        <v>26420.0</v>
      </c>
      <c r="D6034" s="19" t="str">
        <f t="shared" si="1"/>
        <v>Repeat</v>
      </c>
      <c r="E6034" s="19" t="str">
        <f t="shared" si="2"/>
        <v> </v>
      </c>
      <c r="F6034" s="21"/>
    </row>
    <row r="6035">
      <c r="A6035" s="19">
        <v>17328.0</v>
      </c>
      <c r="B6035" s="19" t="s">
        <v>6011</v>
      </c>
      <c r="C6035" s="20">
        <v>15964.0</v>
      </c>
      <c r="D6035" s="19" t="str">
        <f t="shared" si="1"/>
        <v> </v>
      </c>
      <c r="E6035" s="19" t="str">
        <f t="shared" si="2"/>
        <v>Repeat</v>
      </c>
      <c r="F6035" s="21"/>
    </row>
    <row r="6036">
      <c r="A6036" s="19">
        <v>17280.0</v>
      </c>
      <c r="B6036" s="19" t="s">
        <v>6012</v>
      </c>
      <c r="C6036" s="20">
        <v>29439.0</v>
      </c>
      <c r="D6036" s="19" t="str">
        <f t="shared" si="1"/>
        <v> </v>
      </c>
      <c r="E6036" s="19" t="str">
        <f t="shared" si="2"/>
        <v>Repeat</v>
      </c>
      <c r="F6036" s="21"/>
    </row>
    <row r="6037">
      <c r="A6037" s="19">
        <v>17525.0</v>
      </c>
      <c r="B6037" s="19" t="s">
        <v>6013</v>
      </c>
      <c r="C6037" s="20">
        <v>23101.0</v>
      </c>
      <c r="D6037" s="19" t="str">
        <f t="shared" si="1"/>
        <v> </v>
      </c>
      <c r="E6037" s="19" t="str">
        <f t="shared" si="2"/>
        <v>Repeat</v>
      </c>
      <c r="F6037" s="21"/>
    </row>
    <row r="6038">
      <c r="A6038" s="19">
        <v>17238.0</v>
      </c>
      <c r="B6038" s="19" t="s">
        <v>6014</v>
      </c>
      <c r="C6038" s="20">
        <v>13756.0</v>
      </c>
      <c r="D6038" s="19" t="str">
        <f t="shared" si="1"/>
        <v> </v>
      </c>
      <c r="E6038" s="19" t="str">
        <f t="shared" si="2"/>
        <v>Repeat</v>
      </c>
      <c r="F6038" s="21"/>
    </row>
    <row r="6039">
      <c r="A6039" s="19">
        <v>17771.0</v>
      </c>
      <c r="B6039" s="19" t="s">
        <v>6015</v>
      </c>
      <c r="C6039" s="20">
        <v>14316.0</v>
      </c>
      <c r="D6039" s="19" t="str">
        <f t="shared" si="1"/>
        <v> </v>
      </c>
      <c r="E6039" s="19" t="str">
        <f t="shared" si="2"/>
        <v>Repeat</v>
      </c>
      <c r="F6039" s="21"/>
    </row>
    <row r="6040">
      <c r="A6040" s="19">
        <v>17606.0</v>
      </c>
      <c r="B6040" s="19" t="s">
        <v>6016</v>
      </c>
      <c r="C6040" s="20">
        <v>17098.0</v>
      </c>
      <c r="D6040" s="19" t="str">
        <f t="shared" si="1"/>
        <v> </v>
      </c>
      <c r="E6040" s="19" t="str">
        <f t="shared" si="2"/>
        <v>Repeat</v>
      </c>
      <c r="F6040" s="21"/>
    </row>
    <row r="6041">
      <c r="A6041" s="19">
        <v>17610.0</v>
      </c>
      <c r="B6041" s="19" t="s">
        <v>6017</v>
      </c>
      <c r="C6041" s="20">
        <v>18834.0</v>
      </c>
      <c r="D6041" s="19" t="str">
        <f t="shared" si="1"/>
        <v> </v>
      </c>
      <c r="E6041" s="19" t="str">
        <f t="shared" si="2"/>
        <v>Repeat</v>
      </c>
      <c r="F6041" s="21"/>
    </row>
    <row r="6042">
      <c r="A6042" s="19">
        <v>17342.0</v>
      </c>
      <c r="B6042" s="19" t="s">
        <v>6018</v>
      </c>
      <c r="C6042" s="20">
        <v>20034.0</v>
      </c>
      <c r="D6042" s="19" t="str">
        <f t="shared" si="1"/>
        <v> </v>
      </c>
      <c r="E6042" s="19" t="str">
        <f t="shared" si="2"/>
        <v> </v>
      </c>
      <c r="F6042" s="21"/>
    </row>
    <row r="6043">
      <c r="A6043" s="19">
        <v>9945.0</v>
      </c>
      <c r="B6043" s="19" t="s">
        <v>6019</v>
      </c>
      <c r="C6043" s="20">
        <v>21443.0</v>
      </c>
      <c r="D6043" s="19" t="str">
        <f t="shared" si="1"/>
        <v> </v>
      </c>
      <c r="E6043" s="19" t="str">
        <f t="shared" si="2"/>
        <v>Repeat</v>
      </c>
      <c r="F6043" s="21"/>
    </row>
    <row r="6044">
      <c r="A6044" s="19">
        <v>17720.0</v>
      </c>
      <c r="B6044" s="19" t="s">
        <v>6020</v>
      </c>
      <c r="C6044" s="20">
        <v>28016.0</v>
      </c>
      <c r="D6044" s="19" t="str">
        <f t="shared" si="1"/>
        <v> </v>
      </c>
      <c r="E6044" s="19" t="str">
        <f t="shared" si="2"/>
        <v>Repeat</v>
      </c>
      <c r="F6044" s="21"/>
    </row>
    <row r="6045">
      <c r="A6045" s="19">
        <v>17782.0</v>
      </c>
      <c r="B6045" s="19" t="s">
        <v>6021</v>
      </c>
      <c r="C6045" s="20">
        <v>14015.0</v>
      </c>
      <c r="D6045" s="19" t="str">
        <f t="shared" si="1"/>
        <v> </v>
      </c>
      <c r="E6045" s="19" t="str">
        <f t="shared" si="2"/>
        <v>Repeat</v>
      </c>
      <c r="F6045" s="21"/>
    </row>
    <row r="6046">
      <c r="A6046" s="19">
        <v>17806.0</v>
      </c>
      <c r="B6046" s="19" t="s">
        <v>6022</v>
      </c>
      <c r="C6046" s="20">
        <v>17363.0</v>
      </c>
      <c r="D6046" s="19" t="str">
        <f t="shared" si="1"/>
        <v> </v>
      </c>
      <c r="E6046" s="19" t="str">
        <f t="shared" si="2"/>
        <v>Repeat</v>
      </c>
      <c r="F6046" s="21"/>
    </row>
    <row r="6047">
      <c r="A6047" s="19">
        <v>17837.0</v>
      </c>
      <c r="B6047" s="19" t="s">
        <v>6023</v>
      </c>
      <c r="C6047" s="20">
        <v>38166.0</v>
      </c>
      <c r="D6047" s="19" t="str">
        <f t="shared" si="1"/>
        <v> </v>
      </c>
      <c r="E6047" s="19" t="str">
        <f t="shared" si="2"/>
        <v> </v>
      </c>
      <c r="F6047" s="21"/>
    </row>
    <row r="6048">
      <c r="A6048" s="19">
        <v>17851.0</v>
      </c>
      <c r="B6048" s="19" t="s">
        <v>6024</v>
      </c>
      <c r="C6048" s="20">
        <v>23405.0</v>
      </c>
      <c r="D6048" s="19" t="str">
        <f t="shared" si="1"/>
        <v> </v>
      </c>
      <c r="E6048" s="19" t="str">
        <f t="shared" si="2"/>
        <v> </v>
      </c>
      <c r="F6048" s="21"/>
    </row>
    <row r="6049">
      <c r="A6049" s="19">
        <v>17825.0</v>
      </c>
      <c r="B6049" s="19" t="s">
        <v>6025</v>
      </c>
      <c r="C6049" s="20">
        <v>15882.0</v>
      </c>
      <c r="D6049" s="19" t="str">
        <f t="shared" si="1"/>
        <v> </v>
      </c>
      <c r="E6049" s="19" t="str">
        <f t="shared" si="2"/>
        <v> </v>
      </c>
      <c r="F6049" s="21"/>
    </row>
    <row r="6050">
      <c r="A6050" s="19">
        <v>9778.0</v>
      </c>
      <c r="B6050" s="19" t="s">
        <v>6026</v>
      </c>
      <c r="C6050" s="20">
        <v>32095.0</v>
      </c>
      <c r="D6050" s="19" t="str">
        <f t="shared" si="1"/>
        <v> </v>
      </c>
      <c r="E6050" s="19" t="str">
        <f t="shared" si="2"/>
        <v> </v>
      </c>
      <c r="F6050" s="21"/>
    </row>
    <row r="6051">
      <c r="A6051" s="19">
        <v>17822.0</v>
      </c>
      <c r="B6051" s="19" t="s">
        <v>6027</v>
      </c>
      <c r="C6051" s="20">
        <v>28711.0</v>
      </c>
      <c r="D6051" s="19" t="str">
        <f t="shared" si="1"/>
        <v> </v>
      </c>
      <c r="E6051" s="19" t="str">
        <f t="shared" si="2"/>
        <v> </v>
      </c>
      <c r="F6051" s="21"/>
    </row>
    <row r="6052">
      <c r="A6052" s="19">
        <v>17857.0</v>
      </c>
      <c r="B6052" s="19" t="s">
        <v>6028</v>
      </c>
      <c r="C6052" s="20">
        <v>23488.0</v>
      </c>
      <c r="D6052" s="19" t="str">
        <f t="shared" si="1"/>
        <v> </v>
      </c>
      <c r="E6052" s="19" t="str">
        <f t="shared" si="2"/>
        <v> </v>
      </c>
      <c r="F6052" s="21"/>
    </row>
    <row r="6053">
      <c r="A6053" s="19">
        <v>17865.0</v>
      </c>
      <c r="B6053" s="19" t="s">
        <v>6029</v>
      </c>
      <c r="C6053" s="20">
        <v>24537.0</v>
      </c>
      <c r="D6053" s="19" t="str">
        <f t="shared" si="1"/>
        <v> </v>
      </c>
      <c r="E6053" s="19" t="str">
        <f t="shared" si="2"/>
        <v> </v>
      </c>
      <c r="F6053" s="21"/>
    </row>
    <row r="6054">
      <c r="A6054" s="19">
        <v>17866.0</v>
      </c>
      <c r="B6054" s="19" t="s">
        <v>6030</v>
      </c>
      <c r="C6054" s="20">
        <v>25015.0</v>
      </c>
      <c r="D6054" s="19" t="str">
        <f t="shared" si="1"/>
        <v> </v>
      </c>
      <c r="E6054" s="19" t="str">
        <f t="shared" si="2"/>
        <v> </v>
      </c>
      <c r="F6054" s="21"/>
    </row>
    <row r="6055">
      <c r="A6055" s="19">
        <v>17870.0</v>
      </c>
      <c r="B6055" s="19" t="s">
        <v>6031</v>
      </c>
      <c r="C6055" s="20">
        <v>12848.0</v>
      </c>
      <c r="D6055" s="19" t="str">
        <f t="shared" si="1"/>
        <v> </v>
      </c>
      <c r="E6055" s="19" t="str">
        <f t="shared" si="2"/>
        <v> </v>
      </c>
      <c r="F6055" s="21"/>
    </row>
    <row r="6056">
      <c r="A6056" s="19">
        <v>17871.0</v>
      </c>
      <c r="B6056" s="19" t="s">
        <v>6032</v>
      </c>
      <c r="C6056" s="20">
        <v>19611.0</v>
      </c>
      <c r="D6056" s="19" t="str">
        <f t="shared" si="1"/>
        <v> </v>
      </c>
      <c r="E6056" s="19" t="str">
        <f t="shared" si="2"/>
        <v> </v>
      </c>
      <c r="F6056" s="21"/>
    </row>
    <row r="6057">
      <c r="A6057" s="19">
        <v>17875.0</v>
      </c>
      <c r="B6057" s="19" t="s">
        <v>6033</v>
      </c>
      <c r="C6057" s="20">
        <v>21630.0</v>
      </c>
      <c r="D6057" s="19" t="str">
        <f t="shared" si="1"/>
        <v> </v>
      </c>
      <c r="E6057" s="19" t="str">
        <f t="shared" si="2"/>
        <v> </v>
      </c>
      <c r="F6057" s="21"/>
    </row>
    <row r="6058">
      <c r="A6058" s="19">
        <v>17858.0</v>
      </c>
      <c r="B6058" s="19" t="s">
        <v>6034</v>
      </c>
      <c r="C6058" s="20">
        <v>15062.0</v>
      </c>
      <c r="D6058" s="19" t="str">
        <f t="shared" si="1"/>
        <v> </v>
      </c>
      <c r="E6058" s="19" t="str">
        <f t="shared" si="2"/>
        <v> </v>
      </c>
      <c r="F6058" s="21"/>
    </row>
    <row r="6059">
      <c r="A6059" s="19">
        <v>17847.0</v>
      </c>
      <c r="B6059" s="19" t="s">
        <v>6035</v>
      </c>
      <c r="C6059" s="20">
        <v>14077.0</v>
      </c>
      <c r="D6059" s="19" t="str">
        <f t="shared" si="1"/>
        <v> </v>
      </c>
      <c r="E6059" s="19" t="str">
        <f t="shared" si="2"/>
        <v> </v>
      </c>
      <c r="F6059" s="21"/>
    </row>
    <row r="6060">
      <c r="A6060" s="19">
        <v>17884.0</v>
      </c>
      <c r="B6060" s="19" t="s">
        <v>6036</v>
      </c>
      <c r="C6060" s="20">
        <v>22699.0</v>
      </c>
      <c r="D6060" s="19" t="str">
        <f t="shared" si="1"/>
        <v> </v>
      </c>
      <c r="E6060" s="19" t="str">
        <f t="shared" si="2"/>
        <v> </v>
      </c>
      <c r="F6060" s="21"/>
    </row>
    <row r="6061">
      <c r="A6061" s="19">
        <v>17886.0</v>
      </c>
      <c r="B6061" s="19" t="s">
        <v>6037</v>
      </c>
      <c r="C6061" s="20">
        <v>20387.0</v>
      </c>
      <c r="D6061" s="19" t="str">
        <f t="shared" si="1"/>
        <v> </v>
      </c>
      <c r="E6061" s="19" t="str">
        <f t="shared" si="2"/>
        <v> </v>
      </c>
      <c r="F6061" s="21"/>
    </row>
    <row r="6062">
      <c r="A6062" s="19">
        <v>17888.0</v>
      </c>
      <c r="B6062" s="19" t="s">
        <v>6038</v>
      </c>
      <c r="C6062" s="20">
        <v>14755.0</v>
      </c>
      <c r="D6062" s="19" t="str">
        <f t="shared" si="1"/>
        <v> </v>
      </c>
      <c r="E6062" s="19" t="str">
        <f t="shared" si="2"/>
        <v> </v>
      </c>
      <c r="F6062" s="21"/>
    </row>
    <row r="6063">
      <c r="A6063" s="19">
        <v>17896.0</v>
      </c>
      <c r="B6063" s="19" t="s">
        <v>6039</v>
      </c>
      <c r="C6063" s="20">
        <v>19176.0</v>
      </c>
      <c r="D6063" s="19" t="str">
        <f t="shared" si="1"/>
        <v> </v>
      </c>
      <c r="E6063" s="19" t="str">
        <f t="shared" si="2"/>
        <v> </v>
      </c>
      <c r="F6063" s="21"/>
    </row>
    <row r="6064">
      <c r="A6064" s="19">
        <v>17900.0</v>
      </c>
      <c r="B6064" s="19" t="s">
        <v>6040</v>
      </c>
      <c r="C6064" s="20">
        <v>25539.0</v>
      </c>
      <c r="D6064" s="19" t="str">
        <f t="shared" si="1"/>
        <v> </v>
      </c>
      <c r="E6064" s="19" t="str">
        <f t="shared" si="2"/>
        <v> </v>
      </c>
      <c r="F6064" s="21"/>
    </row>
    <row r="6065">
      <c r="A6065" s="19">
        <v>17902.0</v>
      </c>
      <c r="B6065" s="19" t="s">
        <v>6041</v>
      </c>
      <c r="C6065" s="20">
        <v>14212.0</v>
      </c>
      <c r="D6065" s="19" t="str">
        <f t="shared" si="1"/>
        <v> </v>
      </c>
      <c r="E6065" s="19" t="str">
        <f t="shared" si="2"/>
        <v> </v>
      </c>
      <c r="F6065" s="21"/>
    </row>
    <row r="6066">
      <c r="A6066" s="19">
        <v>17903.0</v>
      </c>
      <c r="B6066" s="19" t="s">
        <v>6042</v>
      </c>
      <c r="C6066" s="20">
        <v>12274.0</v>
      </c>
      <c r="D6066" s="19" t="str">
        <f t="shared" si="1"/>
        <v> </v>
      </c>
      <c r="E6066" s="19" t="str">
        <f t="shared" si="2"/>
        <v> </v>
      </c>
      <c r="F6066" s="21"/>
    </row>
    <row r="6067">
      <c r="A6067" s="19">
        <v>17751.0</v>
      </c>
      <c r="B6067" s="19" t="s">
        <v>6043</v>
      </c>
      <c r="C6067" s="20">
        <v>23030.0</v>
      </c>
      <c r="D6067" s="19" t="str">
        <f t="shared" si="1"/>
        <v> </v>
      </c>
      <c r="E6067" s="19" t="str">
        <f t="shared" si="2"/>
        <v> </v>
      </c>
      <c r="F6067" s="21"/>
    </row>
    <row r="6068">
      <c r="A6068" s="19">
        <v>17910.0</v>
      </c>
      <c r="B6068" s="19" t="s">
        <v>6044</v>
      </c>
      <c r="C6068" s="20">
        <v>18039.0</v>
      </c>
      <c r="D6068" s="19" t="str">
        <f t="shared" si="1"/>
        <v> </v>
      </c>
      <c r="E6068" s="19" t="str">
        <f t="shared" si="2"/>
        <v> </v>
      </c>
      <c r="F6068" s="21"/>
    </row>
    <row r="6069">
      <c r="A6069" s="19">
        <v>17930.0</v>
      </c>
      <c r="B6069" s="19" t="s">
        <v>6045</v>
      </c>
      <c r="C6069" s="20">
        <v>21107.0</v>
      </c>
      <c r="D6069" s="19" t="str">
        <f t="shared" si="1"/>
        <v> </v>
      </c>
      <c r="E6069" s="19" t="str">
        <f t="shared" si="2"/>
        <v> </v>
      </c>
      <c r="F6069" s="21"/>
    </row>
    <row r="6070">
      <c r="A6070" s="19">
        <v>17948.0</v>
      </c>
      <c r="B6070" s="19" t="s">
        <v>6046</v>
      </c>
      <c r="C6070" s="20">
        <v>21335.0</v>
      </c>
      <c r="D6070" s="19" t="str">
        <f t="shared" si="1"/>
        <v> </v>
      </c>
      <c r="E6070" s="19" t="str">
        <f t="shared" si="2"/>
        <v> </v>
      </c>
      <c r="F6070" s="21"/>
    </row>
    <row r="6071">
      <c r="A6071" s="19">
        <v>17954.0</v>
      </c>
      <c r="B6071" s="19" t="s">
        <v>6047</v>
      </c>
      <c r="C6071" s="20">
        <v>13621.0</v>
      </c>
      <c r="D6071" s="19" t="str">
        <f t="shared" si="1"/>
        <v> </v>
      </c>
      <c r="E6071" s="19" t="str">
        <f t="shared" si="2"/>
        <v> </v>
      </c>
      <c r="F6071" s="21"/>
    </row>
    <row r="6072">
      <c r="A6072" s="19">
        <v>17940.0</v>
      </c>
      <c r="B6072" s="19" t="s">
        <v>6048</v>
      </c>
      <c r="C6072" s="20">
        <v>12708.0</v>
      </c>
      <c r="D6072" s="19" t="str">
        <f t="shared" si="1"/>
        <v> </v>
      </c>
      <c r="E6072" s="19" t="str">
        <f t="shared" si="2"/>
        <v> </v>
      </c>
      <c r="F6072" s="21"/>
    </row>
    <row r="6073">
      <c r="A6073" s="19">
        <v>17957.0</v>
      </c>
      <c r="B6073" s="19" t="s">
        <v>6049</v>
      </c>
      <c r="C6073" s="20">
        <v>19296.0</v>
      </c>
      <c r="D6073" s="19" t="str">
        <f t="shared" si="1"/>
        <v> </v>
      </c>
      <c r="E6073" s="19" t="str">
        <f t="shared" si="2"/>
        <v> </v>
      </c>
      <c r="F6073" s="21"/>
    </row>
    <row r="6074">
      <c r="A6074" s="19">
        <v>17909.0</v>
      </c>
      <c r="B6074" s="19" t="s">
        <v>6050</v>
      </c>
      <c r="C6074" s="20">
        <v>17693.0</v>
      </c>
      <c r="D6074" s="19" t="str">
        <f t="shared" si="1"/>
        <v> </v>
      </c>
      <c r="E6074" s="19" t="str">
        <f t="shared" si="2"/>
        <v> </v>
      </c>
      <c r="F6074" s="21"/>
    </row>
    <row r="6075">
      <c r="A6075" s="19">
        <v>17913.0</v>
      </c>
      <c r="B6075" s="19" t="s">
        <v>6051</v>
      </c>
      <c r="C6075" s="20">
        <v>15556.0</v>
      </c>
      <c r="D6075" s="19" t="str">
        <f t="shared" si="1"/>
        <v> </v>
      </c>
      <c r="E6075" s="19" t="str">
        <f t="shared" si="2"/>
        <v> </v>
      </c>
      <c r="F6075" s="21"/>
    </row>
    <row r="6076">
      <c r="A6076" s="19">
        <v>17952.0</v>
      </c>
      <c r="B6076" s="19" t="s">
        <v>6052</v>
      </c>
      <c r="C6076" s="20">
        <v>20021.0</v>
      </c>
      <c r="D6076" s="19" t="str">
        <f t="shared" si="1"/>
        <v> </v>
      </c>
      <c r="E6076" s="19" t="str">
        <f t="shared" si="2"/>
        <v> </v>
      </c>
      <c r="F6076" s="21"/>
    </row>
    <row r="6077">
      <c r="A6077" s="19">
        <v>16094.0</v>
      </c>
      <c r="B6077" s="19" t="s">
        <v>6053</v>
      </c>
      <c r="C6077" s="20">
        <v>22960.0</v>
      </c>
      <c r="D6077" s="19" t="str">
        <f t="shared" si="1"/>
        <v> </v>
      </c>
      <c r="E6077" s="19" t="str">
        <f t="shared" si="2"/>
        <v>Repeat</v>
      </c>
      <c r="F6077" s="21"/>
    </row>
    <row r="6078">
      <c r="A6078" s="19">
        <v>16840.0</v>
      </c>
      <c r="B6078" s="19" t="s">
        <v>6054</v>
      </c>
      <c r="C6078" s="20">
        <v>23491.0</v>
      </c>
      <c r="D6078" s="19" t="str">
        <f t="shared" si="1"/>
        <v> </v>
      </c>
      <c r="E6078" s="19" t="str">
        <f t="shared" si="2"/>
        <v>Repeat</v>
      </c>
      <c r="F6078" s="21"/>
    </row>
    <row r="6079">
      <c r="A6079" s="19">
        <v>17197.0</v>
      </c>
      <c r="B6079" s="19" t="s">
        <v>6055</v>
      </c>
      <c r="C6079" s="20">
        <v>20092.0</v>
      </c>
      <c r="D6079" s="19" t="str">
        <f t="shared" si="1"/>
        <v> </v>
      </c>
      <c r="E6079" s="19" t="str">
        <f t="shared" si="2"/>
        <v>Repeat</v>
      </c>
      <c r="F6079" s="21"/>
    </row>
    <row r="6080">
      <c r="A6080" s="19">
        <v>13405.0</v>
      </c>
      <c r="B6080" s="19" t="s">
        <v>6056</v>
      </c>
      <c r="C6080" s="20">
        <v>23929.0</v>
      </c>
      <c r="D6080" s="19" t="str">
        <f t="shared" si="1"/>
        <v> </v>
      </c>
      <c r="E6080" s="19" t="str">
        <f t="shared" si="2"/>
        <v>Repeat</v>
      </c>
      <c r="F6080" s="21"/>
    </row>
    <row r="6081">
      <c r="A6081" s="19">
        <v>9153.0</v>
      </c>
      <c r="B6081" s="19" t="s">
        <v>38</v>
      </c>
      <c r="C6081" s="20">
        <v>24623.0</v>
      </c>
      <c r="D6081" s="19" t="str">
        <f t="shared" si="1"/>
        <v>Repeat</v>
      </c>
      <c r="E6081" s="19" t="str">
        <f t="shared" si="2"/>
        <v>Repeat</v>
      </c>
      <c r="F6081" s="21"/>
    </row>
    <row r="6082">
      <c r="A6082" s="19">
        <v>11626.0</v>
      </c>
      <c r="B6082" s="19" t="s">
        <v>6057</v>
      </c>
      <c r="C6082" s="20">
        <v>24025.0</v>
      </c>
      <c r="D6082" s="19" t="str">
        <f t="shared" si="1"/>
        <v> </v>
      </c>
      <c r="E6082" s="19" t="str">
        <f t="shared" si="2"/>
        <v>Repeat</v>
      </c>
      <c r="F6082" s="21"/>
    </row>
    <row r="6083">
      <c r="A6083" s="19">
        <v>9158.0</v>
      </c>
      <c r="B6083" s="19" t="s">
        <v>42</v>
      </c>
      <c r="C6083" s="20">
        <v>29032.0</v>
      </c>
      <c r="D6083" s="19" t="str">
        <f t="shared" si="1"/>
        <v>Repeat</v>
      </c>
      <c r="E6083" s="19" t="str">
        <f t="shared" si="2"/>
        <v>Repeat</v>
      </c>
      <c r="F6083" s="21"/>
    </row>
    <row r="6084">
      <c r="A6084" s="19" t="s">
        <v>6058</v>
      </c>
      <c r="B6084" s="19" t="s">
        <v>5250</v>
      </c>
      <c r="C6084" s="20">
        <v>21989.0</v>
      </c>
      <c r="D6084" s="19" t="str">
        <f t="shared" si="1"/>
        <v>Repeat</v>
      </c>
      <c r="E6084" s="19" t="str">
        <f t="shared" si="2"/>
        <v> </v>
      </c>
      <c r="F6084" s="21"/>
    </row>
    <row r="6085">
      <c r="A6085" s="19">
        <v>17845.0</v>
      </c>
      <c r="B6085" s="19" t="s">
        <v>6059</v>
      </c>
      <c r="C6085" s="20">
        <v>20315.0</v>
      </c>
      <c r="D6085" s="19" t="str">
        <f t="shared" si="1"/>
        <v> </v>
      </c>
      <c r="E6085" s="19" t="str">
        <f t="shared" si="2"/>
        <v> </v>
      </c>
      <c r="F6085" s="21"/>
    </row>
    <row r="6086">
      <c r="A6086" s="19">
        <v>17863.0</v>
      </c>
      <c r="B6086" s="19" t="s">
        <v>6060</v>
      </c>
      <c r="C6086" s="20">
        <v>27703.0</v>
      </c>
      <c r="D6086" s="19" t="str">
        <f t="shared" si="1"/>
        <v> </v>
      </c>
      <c r="E6086" s="19" t="str">
        <f t="shared" si="2"/>
        <v> </v>
      </c>
      <c r="F6086" s="21"/>
    </row>
    <row r="6087">
      <c r="A6087" s="19">
        <v>17869.0</v>
      </c>
      <c r="B6087" s="19" t="s">
        <v>6061</v>
      </c>
      <c r="C6087" s="20">
        <v>14526.0</v>
      </c>
      <c r="D6087" s="19" t="str">
        <f t="shared" si="1"/>
        <v> </v>
      </c>
      <c r="E6087" s="19" t="str">
        <f t="shared" si="2"/>
        <v> </v>
      </c>
      <c r="F6087" s="21"/>
    </row>
    <row r="6088">
      <c r="A6088" s="19">
        <v>17336.0</v>
      </c>
      <c r="B6088" s="19" t="s">
        <v>6062</v>
      </c>
      <c r="C6088" s="20">
        <v>12784.0</v>
      </c>
      <c r="D6088" s="19" t="str">
        <f t="shared" si="1"/>
        <v> </v>
      </c>
      <c r="E6088" s="19" t="str">
        <f t="shared" si="2"/>
        <v>Repeat</v>
      </c>
      <c r="F6088" s="21"/>
    </row>
    <row r="6089">
      <c r="A6089" s="19">
        <v>17820.0</v>
      </c>
      <c r="B6089" s="19" t="s">
        <v>6063</v>
      </c>
      <c r="C6089" s="20">
        <v>30625.0</v>
      </c>
      <c r="D6089" s="19" t="str">
        <f t="shared" si="1"/>
        <v> </v>
      </c>
      <c r="E6089" s="19" t="str">
        <f t="shared" si="2"/>
        <v> </v>
      </c>
      <c r="F6089" s="21"/>
    </row>
    <row r="6090">
      <c r="A6090" s="19">
        <v>17891.0</v>
      </c>
      <c r="B6090" s="19" t="s">
        <v>6064</v>
      </c>
      <c r="C6090" s="20">
        <v>17366.0</v>
      </c>
      <c r="D6090" s="19" t="str">
        <f t="shared" si="1"/>
        <v> </v>
      </c>
      <c r="E6090" s="19" t="str">
        <f t="shared" si="2"/>
        <v> </v>
      </c>
      <c r="F6090" s="21"/>
    </row>
    <row r="6091">
      <c r="A6091" s="19">
        <v>17892.0</v>
      </c>
      <c r="B6091" s="19" t="s">
        <v>6065</v>
      </c>
      <c r="C6091" s="20">
        <v>33326.0</v>
      </c>
      <c r="D6091" s="19" t="str">
        <f t="shared" si="1"/>
        <v> </v>
      </c>
      <c r="E6091" s="19" t="str">
        <f t="shared" si="2"/>
        <v> </v>
      </c>
      <c r="F6091" s="21"/>
    </row>
    <row r="6092">
      <c r="A6092" s="19">
        <v>17895.0</v>
      </c>
      <c r="B6092" s="19" t="s">
        <v>6066</v>
      </c>
      <c r="C6092" s="20">
        <v>25491.0</v>
      </c>
      <c r="D6092" s="19" t="str">
        <f t="shared" si="1"/>
        <v> </v>
      </c>
      <c r="E6092" s="19" t="str">
        <f t="shared" si="2"/>
        <v> </v>
      </c>
      <c r="F6092" s="21"/>
    </row>
    <row r="6093">
      <c r="A6093" s="19">
        <v>17905.0</v>
      </c>
      <c r="B6093" s="19" t="s">
        <v>6067</v>
      </c>
      <c r="C6093" s="20">
        <v>25479.0</v>
      </c>
      <c r="D6093" s="19" t="str">
        <f t="shared" si="1"/>
        <v> </v>
      </c>
      <c r="E6093" s="19" t="str">
        <f t="shared" si="2"/>
        <v> </v>
      </c>
      <c r="F6093" s="21"/>
    </row>
    <row r="6094">
      <c r="A6094" s="19">
        <v>17889.0</v>
      </c>
      <c r="B6094" s="19" t="s">
        <v>6068</v>
      </c>
      <c r="C6094" s="20">
        <v>29350.0</v>
      </c>
      <c r="D6094" s="19" t="str">
        <f t="shared" si="1"/>
        <v> </v>
      </c>
      <c r="E6094" s="19" t="str">
        <f t="shared" si="2"/>
        <v> </v>
      </c>
      <c r="F6094" s="21"/>
    </row>
    <row r="6095">
      <c r="A6095" s="19">
        <v>17928.0</v>
      </c>
      <c r="B6095" s="19" t="s">
        <v>6069</v>
      </c>
      <c r="C6095" s="20">
        <v>17455.0</v>
      </c>
      <c r="D6095" s="19" t="str">
        <f t="shared" si="1"/>
        <v> </v>
      </c>
      <c r="E6095" s="19" t="str">
        <f t="shared" si="2"/>
        <v> </v>
      </c>
      <c r="F6095" s="21"/>
    </row>
    <row r="6096">
      <c r="A6096" s="19">
        <v>17929.0</v>
      </c>
      <c r="B6096" s="19" t="s">
        <v>6070</v>
      </c>
      <c r="C6096" s="20">
        <v>15674.0</v>
      </c>
      <c r="D6096" s="19" t="str">
        <f t="shared" si="1"/>
        <v> </v>
      </c>
      <c r="E6096" s="19" t="str">
        <f t="shared" si="2"/>
        <v> </v>
      </c>
      <c r="F6096" s="21"/>
    </row>
    <row r="6097">
      <c r="A6097" s="19">
        <v>17921.0</v>
      </c>
      <c r="B6097" s="19" t="s">
        <v>6071</v>
      </c>
      <c r="C6097" s="20">
        <v>19439.0</v>
      </c>
      <c r="D6097" s="19" t="str">
        <f t="shared" si="1"/>
        <v> </v>
      </c>
      <c r="E6097" s="19" t="str">
        <f t="shared" si="2"/>
        <v> </v>
      </c>
      <c r="F6097" s="21"/>
    </row>
    <row r="6098">
      <c r="A6098" s="19">
        <v>17887.0</v>
      </c>
      <c r="B6098" s="19" t="s">
        <v>6072</v>
      </c>
      <c r="C6098" s="20">
        <v>20748.0</v>
      </c>
      <c r="D6098" s="19" t="str">
        <f t="shared" si="1"/>
        <v> </v>
      </c>
      <c r="E6098" s="19" t="str">
        <f t="shared" si="2"/>
        <v> </v>
      </c>
      <c r="F6098" s="21"/>
    </row>
    <row r="6099">
      <c r="A6099" s="19">
        <v>17810.0</v>
      </c>
      <c r="B6099" s="19" t="s">
        <v>6073</v>
      </c>
      <c r="C6099" s="20">
        <v>20621.0</v>
      </c>
      <c r="D6099" s="19" t="str">
        <f t="shared" si="1"/>
        <v> </v>
      </c>
      <c r="E6099" s="19" t="str">
        <f t="shared" si="2"/>
        <v> </v>
      </c>
      <c r="F6099" s="21"/>
    </row>
    <row r="6100">
      <c r="A6100" s="19" t="s">
        <v>6074</v>
      </c>
      <c r="B6100" s="19" t="s">
        <v>6075</v>
      </c>
      <c r="C6100" s="20">
        <v>37161.0</v>
      </c>
      <c r="D6100" s="19" t="str">
        <f t="shared" si="1"/>
        <v> </v>
      </c>
      <c r="E6100" s="19" t="str">
        <f t="shared" si="2"/>
        <v> </v>
      </c>
      <c r="F6100" s="21"/>
    </row>
  </sheetData>
  <autoFilter ref="$A$1:$F$6316"/>
  <conditionalFormatting sqref="A1:E6316">
    <cfRule type="expression" dxfId="2" priority="1">
      <formula>$D1="REPEAT"</formula>
    </cfRule>
  </conditionalFormatting>
  <conditionalFormatting sqref="A1:E6316">
    <cfRule type="expression" dxfId="2" priority="2">
      <formula>$E1="REPEAT"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74.43"/>
    <col customWidth="1" min="4" max="4" width="39.0"/>
    <col customWidth="1" min="7" max="7" width="38.0"/>
  </cols>
  <sheetData>
    <row r="1">
      <c r="A1" s="25" t="s">
        <v>6076</v>
      </c>
      <c r="B1" s="26" t="s">
        <v>6077</v>
      </c>
      <c r="C1" s="27" t="s">
        <v>6078</v>
      </c>
      <c r="D1" s="25" t="s">
        <v>6079</v>
      </c>
    </row>
    <row r="2">
      <c r="A2" s="28" t="s">
        <v>6080</v>
      </c>
      <c r="B2" s="29">
        <v>0.3125</v>
      </c>
      <c r="C2" s="30">
        <v>44348.0</v>
      </c>
      <c r="D2" s="31" t="s">
        <v>6081</v>
      </c>
    </row>
    <row r="3">
      <c r="A3" s="32" t="s">
        <v>6082</v>
      </c>
      <c r="B3" s="33">
        <v>0.3229166666666667</v>
      </c>
      <c r="C3" s="34">
        <v>44349.0</v>
      </c>
      <c r="D3" s="35" t="s">
        <v>6083</v>
      </c>
    </row>
    <row r="4">
      <c r="A4" s="35" t="s">
        <v>6081</v>
      </c>
      <c r="B4" s="33">
        <v>0.3333333333333333</v>
      </c>
      <c r="C4" s="34">
        <v>44350.0</v>
      </c>
      <c r="D4" s="35" t="s">
        <v>6084</v>
      </c>
    </row>
    <row r="5">
      <c r="A5" s="32" t="s">
        <v>6085</v>
      </c>
      <c r="B5" s="33">
        <v>0.34375</v>
      </c>
      <c r="C5" s="34">
        <v>44351.0</v>
      </c>
      <c r="D5" s="35" t="s">
        <v>6086</v>
      </c>
    </row>
    <row r="6">
      <c r="A6" s="35" t="s">
        <v>6087</v>
      </c>
      <c r="B6" s="33">
        <v>0.3541666666666667</v>
      </c>
      <c r="C6" s="34">
        <v>44352.0</v>
      </c>
      <c r="D6" s="35" t="s">
        <v>6088</v>
      </c>
    </row>
    <row r="7">
      <c r="A7" s="32" t="s">
        <v>6089</v>
      </c>
      <c r="B7" s="33">
        <v>0.3645833333333333</v>
      </c>
      <c r="C7" s="34">
        <v>44353.0</v>
      </c>
      <c r="D7" s="35" t="s">
        <v>6090</v>
      </c>
    </row>
    <row r="8">
      <c r="A8" s="32" t="s">
        <v>6091</v>
      </c>
      <c r="B8" s="33">
        <v>0.375</v>
      </c>
      <c r="C8" s="34">
        <v>44354.0</v>
      </c>
      <c r="D8" s="35" t="s">
        <v>6092</v>
      </c>
    </row>
    <row r="9">
      <c r="A9" s="35" t="s">
        <v>6093</v>
      </c>
      <c r="B9" s="33">
        <v>0.3854166666666667</v>
      </c>
      <c r="C9" s="34">
        <v>44355.0</v>
      </c>
      <c r="D9" s="35" t="s">
        <v>6094</v>
      </c>
    </row>
    <row r="10">
      <c r="A10" s="32" t="s">
        <v>6083</v>
      </c>
      <c r="B10" s="33">
        <v>0.3958333333333333</v>
      </c>
      <c r="C10" s="34">
        <v>44356.0</v>
      </c>
      <c r="D10" s="35" t="s">
        <v>6095</v>
      </c>
    </row>
    <row r="11">
      <c r="A11" s="32" t="s">
        <v>6084</v>
      </c>
      <c r="B11" s="33">
        <v>0.40625</v>
      </c>
      <c r="C11" s="34">
        <v>44357.0</v>
      </c>
      <c r="D11" s="35" t="s">
        <v>6096</v>
      </c>
    </row>
    <row r="12">
      <c r="A12" s="35" t="s">
        <v>6097</v>
      </c>
      <c r="B12" s="33">
        <v>0.4166666666666667</v>
      </c>
      <c r="C12" s="34">
        <v>44358.0</v>
      </c>
      <c r="D12" s="35" t="s">
        <v>6098</v>
      </c>
    </row>
    <row r="13">
      <c r="A13" s="32" t="s">
        <v>6099</v>
      </c>
      <c r="B13" s="33">
        <v>0.4270833333333333</v>
      </c>
      <c r="C13" s="34">
        <v>44359.0</v>
      </c>
      <c r="D13" s="35" t="s">
        <v>6100</v>
      </c>
    </row>
    <row r="14">
      <c r="A14" s="32" t="s">
        <v>6101</v>
      </c>
      <c r="B14" s="33">
        <v>0.4375</v>
      </c>
      <c r="C14" s="34">
        <v>44360.0</v>
      </c>
      <c r="D14" s="35" t="s">
        <v>6102</v>
      </c>
    </row>
    <row r="15">
      <c r="A15" s="32" t="s">
        <v>6103</v>
      </c>
      <c r="B15" s="33">
        <v>0.4479166666666667</v>
      </c>
      <c r="C15" s="34">
        <v>44361.0</v>
      </c>
      <c r="D15" s="35" t="s">
        <v>6104</v>
      </c>
    </row>
    <row r="16">
      <c r="A16" s="35" t="s">
        <v>6105</v>
      </c>
      <c r="B16" s="33">
        <v>0.4583333333333333</v>
      </c>
      <c r="C16" s="34">
        <v>44362.0</v>
      </c>
      <c r="D16" s="35" t="s">
        <v>6106</v>
      </c>
    </row>
    <row r="17">
      <c r="A17" s="35" t="s">
        <v>6107</v>
      </c>
      <c r="B17" s="33">
        <v>0.46875</v>
      </c>
      <c r="C17" s="34">
        <v>44363.0</v>
      </c>
      <c r="D17" s="35" t="s">
        <v>6108</v>
      </c>
    </row>
    <row r="18">
      <c r="A18" s="35" t="s">
        <v>6109</v>
      </c>
      <c r="B18" s="33">
        <v>0.4791666666666667</v>
      </c>
      <c r="C18" s="34">
        <v>44364.0</v>
      </c>
      <c r="D18" s="35" t="s">
        <v>6110</v>
      </c>
    </row>
    <row r="19">
      <c r="A19" s="35" t="s">
        <v>6086</v>
      </c>
      <c r="B19" s="33">
        <v>0.4895833333333333</v>
      </c>
      <c r="C19" s="34">
        <v>44365.0</v>
      </c>
      <c r="D19" s="35" t="s">
        <v>6111</v>
      </c>
    </row>
    <row r="20">
      <c r="A20" s="35" t="s">
        <v>6088</v>
      </c>
      <c r="B20" s="33">
        <v>0.5</v>
      </c>
      <c r="C20" s="34">
        <v>44366.0</v>
      </c>
      <c r="D20" s="35" t="s">
        <v>6112</v>
      </c>
    </row>
    <row r="21">
      <c r="A21" s="35" t="s">
        <v>6113</v>
      </c>
      <c r="B21" s="33">
        <v>0.5104166666666666</v>
      </c>
      <c r="C21" s="34">
        <v>44367.0</v>
      </c>
      <c r="D21" s="35"/>
    </row>
    <row r="22">
      <c r="A22" s="35" t="s">
        <v>6114</v>
      </c>
      <c r="B22" s="33">
        <v>0.5208333333333334</v>
      </c>
      <c r="C22" s="34">
        <v>44368.0</v>
      </c>
      <c r="D22" s="35"/>
    </row>
    <row r="23">
      <c r="A23" s="35" t="s">
        <v>6115</v>
      </c>
      <c r="B23" s="33">
        <v>0.53125</v>
      </c>
      <c r="C23" s="34">
        <v>44369.0</v>
      </c>
      <c r="D23" s="35"/>
    </row>
    <row r="24">
      <c r="A24" s="32" t="s">
        <v>6116</v>
      </c>
      <c r="B24" s="33">
        <v>0.5416666666666666</v>
      </c>
      <c r="C24" s="34">
        <v>44370.0</v>
      </c>
      <c r="D24" s="35"/>
    </row>
    <row r="25">
      <c r="A25" s="32" t="s">
        <v>6117</v>
      </c>
      <c r="B25" s="33">
        <v>0.5520833333333334</v>
      </c>
      <c r="C25" s="34">
        <v>44371.0</v>
      </c>
      <c r="D25" s="35"/>
    </row>
    <row r="26">
      <c r="A26" s="35" t="s">
        <v>6118</v>
      </c>
      <c r="B26" s="33">
        <v>0.5625</v>
      </c>
      <c r="C26" s="34">
        <v>44372.0</v>
      </c>
      <c r="D26" s="35"/>
    </row>
    <row r="27">
      <c r="A27" s="35" t="s">
        <v>6119</v>
      </c>
      <c r="B27" s="33">
        <v>0.5729166666666666</v>
      </c>
      <c r="C27" s="34">
        <v>44373.0</v>
      </c>
      <c r="D27" s="35"/>
    </row>
    <row r="28">
      <c r="A28" s="32" t="s">
        <v>6120</v>
      </c>
      <c r="B28" s="33">
        <v>0.5833333333333334</v>
      </c>
      <c r="C28" s="34">
        <v>44374.0</v>
      </c>
      <c r="D28" s="36"/>
    </row>
    <row r="29">
      <c r="A29" s="35" t="s">
        <v>6121</v>
      </c>
      <c r="B29" s="33">
        <v>0.59375</v>
      </c>
      <c r="C29" s="34">
        <v>44375.0</v>
      </c>
      <c r="D29" s="36"/>
    </row>
    <row r="30">
      <c r="A30" s="35" t="s">
        <v>6122</v>
      </c>
      <c r="B30" s="33">
        <v>0.6041666666666666</v>
      </c>
      <c r="C30" s="34">
        <v>44376.0</v>
      </c>
      <c r="D30" s="36"/>
    </row>
    <row r="31">
      <c r="A31" s="35" t="s">
        <v>6123</v>
      </c>
      <c r="B31" s="33">
        <v>0.6145833333333334</v>
      </c>
      <c r="C31" s="34">
        <v>44377.0</v>
      </c>
      <c r="D31" s="36"/>
    </row>
    <row r="32">
      <c r="A32" s="32" t="s">
        <v>6124</v>
      </c>
      <c r="B32" s="33">
        <v>0.625</v>
      </c>
      <c r="C32" s="34">
        <v>44378.0</v>
      </c>
      <c r="D32" s="36"/>
    </row>
    <row r="33">
      <c r="A33" s="35" t="s">
        <v>6125</v>
      </c>
      <c r="B33" s="33">
        <v>0.6354166666666666</v>
      </c>
      <c r="C33" s="34">
        <v>44379.0</v>
      </c>
      <c r="D33" s="36"/>
    </row>
    <row r="34">
      <c r="A34" s="35" t="s">
        <v>6090</v>
      </c>
      <c r="B34" s="33">
        <v>0.6458333333333334</v>
      </c>
      <c r="C34" s="34">
        <v>44380.0</v>
      </c>
      <c r="D34" s="36"/>
    </row>
    <row r="35">
      <c r="A35" s="32" t="s">
        <v>6126</v>
      </c>
      <c r="B35" s="33">
        <v>0.65625</v>
      </c>
      <c r="C35" s="34">
        <v>44381.0</v>
      </c>
      <c r="D35" s="36"/>
    </row>
    <row r="36">
      <c r="A36" s="35" t="s">
        <v>6127</v>
      </c>
      <c r="B36" s="33">
        <v>0.6666666666666666</v>
      </c>
      <c r="C36" s="34">
        <v>44382.0</v>
      </c>
      <c r="D36" s="36"/>
    </row>
    <row r="37">
      <c r="A37" s="35" t="s">
        <v>6128</v>
      </c>
      <c r="B37" s="33">
        <v>0.6770833333333334</v>
      </c>
      <c r="C37" s="34">
        <v>44383.0</v>
      </c>
      <c r="D37" s="36"/>
    </row>
    <row r="38">
      <c r="A38" s="35" t="s">
        <v>6129</v>
      </c>
      <c r="B38" s="33">
        <v>0.6875</v>
      </c>
      <c r="C38" s="34">
        <v>44384.0</v>
      </c>
      <c r="D38" s="36"/>
    </row>
    <row r="39">
      <c r="A39" s="32" t="s">
        <v>6130</v>
      </c>
      <c r="B39" s="33">
        <v>0.6979166666666666</v>
      </c>
      <c r="C39" s="34">
        <v>44385.0</v>
      </c>
      <c r="D39" s="36"/>
    </row>
    <row r="40">
      <c r="A40" s="32" t="s">
        <v>6131</v>
      </c>
      <c r="B40" s="33">
        <v>0.7083333333333334</v>
      </c>
      <c r="C40" s="34">
        <v>44386.0</v>
      </c>
      <c r="D40" s="36"/>
    </row>
    <row r="41">
      <c r="A41" s="35" t="s">
        <v>6132</v>
      </c>
      <c r="B41" s="33">
        <v>0.71875</v>
      </c>
      <c r="C41" s="34">
        <v>44387.0</v>
      </c>
      <c r="D41" s="36"/>
    </row>
    <row r="42">
      <c r="A42" s="35" t="s">
        <v>6133</v>
      </c>
      <c r="B42" s="33">
        <v>0.7291666666666666</v>
      </c>
      <c r="C42" s="34">
        <v>44388.0</v>
      </c>
      <c r="D42" s="36"/>
    </row>
    <row r="43">
      <c r="A43" s="35" t="s">
        <v>6092</v>
      </c>
      <c r="B43" s="33">
        <v>0.7395833333333334</v>
      </c>
      <c r="C43" s="34">
        <v>44389.0</v>
      </c>
      <c r="D43" s="36"/>
    </row>
    <row r="44">
      <c r="A44" s="32" t="s">
        <v>6094</v>
      </c>
      <c r="B44" s="33">
        <v>0.75</v>
      </c>
      <c r="C44" s="34">
        <v>44390.0</v>
      </c>
      <c r="D44" s="36"/>
    </row>
    <row r="45">
      <c r="A45" s="32" t="s">
        <v>6095</v>
      </c>
      <c r="B45" s="37"/>
      <c r="C45" s="34">
        <v>44391.0</v>
      </c>
      <c r="D45" s="36"/>
    </row>
    <row r="46">
      <c r="A46" s="32" t="s">
        <v>6134</v>
      </c>
      <c r="B46" s="37"/>
      <c r="C46" s="34">
        <v>44392.0</v>
      </c>
      <c r="D46" s="36"/>
    </row>
    <row r="47">
      <c r="A47" s="35" t="s">
        <v>6135</v>
      </c>
      <c r="B47" s="37"/>
      <c r="C47" s="34">
        <v>44393.0</v>
      </c>
      <c r="D47" s="36"/>
    </row>
    <row r="48">
      <c r="A48" s="32" t="s">
        <v>6136</v>
      </c>
      <c r="B48" s="37"/>
      <c r="C48" s="34">
        <v>44394.0</v>
      </c>
      <c r="D48" s="36"/>
    </row>
    <row r="49">
      <c r="A49" s="35" t="s">
        <v>6096</v>
      </c>
      <c r="B49" s="37"/>
      <c r="C49" s="34">
        <v>44395.0</v>
      </c>
      <c r="D49" s="36"/>
    </row>
    <row r="50">
      <c r="A50" s="32" t="s">
        <v>6137</v>
      </c>
      <c r="B50" s="37"/>
      <c r="C50" s="34">
        <v>44396.0</v>
      </c>
      <c r="D50" s="36"/>
    </row>
    <row r="51">
      <c r="A51" s="32" t="s">
        <v>6098</v>
      </c>
      <c r="B51" s="37"/>
      <c r="C51" s="34">
        <v>44397.0</v>
      </c>
      <c r="D51" s="36"/>
    </row>
    <row r="52">
      <c r="A52" s="32" t="s">
        <v>6100</v>
      </c>
      <c r="B52" s="37"/>
      <c r="C52" s="34">
        <v>44398.0</v>
      </c>
      <c r="D52" s="36"/>
    </row>
    <row r="53">
      <c r="A53" s="35" t="s">
        <v>6138</v>
      </c>
      <c r="B53" s="37"/>
      <c r="C53" s="34">
        <v>44399.0</v>
      </c>
      <c r="D53" s="36"/>
    </row>
    <row r="54">
      <c r="A54" s="32" t="s">
        <v>6139</v>
      </c>
      <c r="B54" s="37"/>
      <c r="C54" s="34">
        <v>44400.0</v>
      </c>
      <c r="D54" s="36"/>
    </row>
    <row r="55">
      <c r="A55" s="35" t="s">
        <v>6140</v>
      </c>
      <c r="B55" s="37"/>
      <c r="C55" s="34">
        <v>44401.0</v>
      </c>
      <c r="D55" s="36"/>
    </row>
    <row r="56">
      <c r="A56" s="35" t="s">
        <v>6141</v>
      </c>
      <c r="B56" s="37"/>
      <c r="C56" s="34">
        <v>44402.0</v>
      </c>
      <c r="D56" s="36"/>
    </row>
    <row r="57">
      <c r="A57" s="32" t="s">
        <v>6142</v>
      </c>
      <c r="B57" s="37"/>
      <c r="C57" s="34">
        <v>44403.0</v>
      </c>
      <c r="D57" s="36"/>
    </row>
    <row r="58">
      <c r="A58" s="35" t="s">
        <v>6102</v>
      </c>
      <c r="B58" s="37"/>
      <c r="C58" s="34">
        <v>44404.0</v>
      </c>
      <c r="D58" s="36"/>
    </row>
    <row r="59">
      <c r="A59" s="35" t="s">
        <v>6104</v>
      </c>
      <c r="B59" s="37"/>
      <c r="C59" s="34">
        <v>44405.0</v>
      </c>
      <c r="D59" s="36"/>
    </row>
    <row r="60">
      <c r="A60" s="35" t="s">
        <v>6106</v>
      </c>
      <c r="B60" s="37"/>
      <c r="C60" s="34">
        <v>44406.0</v>
      </c>
      <c r="D60" s="36"/>
    </row>
    <row r="61">
      <c r="A61" s="35" t="s">
        <v>6143</v>
      </c>
      <c r="B61" s="37"/>
      <c r="C61" s="34">
        <v>44407.0</v>
      </c>
      <c r="D61" s="36"/>
    </row>
    <row r="62">
      <c r="A62" s="35" t="s">
        <v>6144</v>
      </c>
      <c r="B62" s="37"/>
      <c r="C62" s="34">
        <v>44408.0</v>
      </c>
      <c r="D62" s="36"/>
    </row>
    <row r="63">
      <c r="A63" s="32" t="s">
        <v>6145</v>
      </c>
      <c r="B63" s="37"/>
      <c r="C63" s="34">
        <v>44409.0</v>
      </c>
      <c r="D63" s="36"/>
    </row>
    <row r="64">
      <c r="A64" s="32" t="s">
        <v>6146</v>
      </c>
      <c r="B64" s="37"/>
      <c r="C64" s="34">
        <v>44410.0</v>
      </c>
      <c r="D64" s="36"/>
    </row>
    <row r="65">
      <c r="A65" s="35" t="s">
        <v>6108</v>
      </c>
      <c r="B65" s="37"/>
      <c r="C65" s="34">
        <v>44411.0</v>
      </c>
      <c r="D65" s="36"/>
    </row>
    <row r="66">
      <c r="A66" s="32" t="s">
        <v>6147</v>
      </c>
      <c r="B66" s="37"/>
      <c r="C66" s="34">
        <v>44412.0</v>
      </c>
      <c r="D66" s="36"/>
    </row>
    <row r="67">
      <c r="A67" s="32" t="s">
        <v>6148</v>
      </c>
      <c r="B67" s="37"/>
      <c r="C67" s="34">
        <v>44413.0</v>
      </c>
      <c r="D67" s="36"/>
    </row>
    <row r="68">
      <c r="A68" s="35" t="s">
        <v>6149</v>
      </c>
      <c r="B68" s="37"/>
      <c r="C68" s="34">
        <v>44414.0</v>
      </c>
      <c r="D68" s="36"/>
    </row>
    <row r="69">
      <c r="A69" s="35" t="s">
        <v>6150</v>
      </c>
      <c r="B69" s="37"/>
      <c r="C69" s="34">
        <v>44415.0</v>
      </c>
      <c r="D69" s="36"/>
    </row>
    <row r="70">
      <c r="A70" s="32" t="s">
        <v>6151</v>
      </c>
      <c r="B70" s="37"/>
      <c r="C70" s="34">
        <v>44416.0</v>
      </c>
      <c r="D70" s="36"/>
    </row>
    <row r="71">
      <c r="A71" s="35" t="s">
        <v>6152</v>
      </c>
      <c r="B71" s="37"/>
      <c r="C71" s="34">
        <v>44417.0</v>
      </c>
      <c r="D71" s="36"/>
    </row>
    <row r="72">
      <c r="A72" s="35" t="s">
        <v>6153</v>
      </c>
      <c r="B72" s="37"/>
      <c r="C72" s="34">
        <v>44418.0</v>
      </c>
      <c r="D72" s="36"/>
    </row>
    <row r="73">
      <c r="A73" s="32" t="s">
        <v>6154</v>
      </c>
      <c r="B73" s="37"/>
      <c r="C73" s="34">
        <v>44419.0</v>
      </c>
      <c r="D73" s="36"/>
    </row>
    <row r="74">
      <c r="A74" s="32" t="s">
        <v>6155</v>
      </c>
      <c r="B74" s="37"/>
      <c r="C74" s="34">
        <v>44420.0</v>
      </c>
      <c r="D74" s="36"/>
    </row>
    <row r="75">
      <c r="A75" s="35" t="s">
        <v>6156</v>
      </c>
      <c r="B75" s="37"/>
      <c r="C75" s="34">
        <v>44421.0</v>
      </c>
      <c r="D75" s="36"/>
    </row>
    <row r="76">
      <c r="A76" s="32" t="s">
        <v>6157</v>
      </c>
      <c r="B76" s="37"/>
      <c r="C76" s="34">
        <v>44422.0</v>
      </c>
      <c r="D76" s="36"/>
    </row>
    <row r="77">
      <c r="A77" s="32" t="s">
        <v>6158</v>
      </c>
      <c r="B77" s="37"/>
      <c r="C77" s="34">
        <v>44423.0</v>
      </c>
      <c r="D77" s="36"/>
    </row>
    <row r="78">
      <c r="A78" s="35" t="s">
        <v>6159</v>
      </c>
      <c r="B78" s="37"/>
      <c r="C78" s="34">
        <v>44424.0</v>
      </c>
      <c r="D78" s="36"/>
    </row>
    <row r="79">
      <c r="A79" s="35" t="s">
        <v>6160</v>
      </c>
      <c r="B79" s="37"/>
      <c r="C79" s="34">
        <v>44425.0</v>
      </c>
      <c r="D79" s="36"/>
    </row>
    <row r="80">
      <c r="A80" s="32" t="s">
        <v>6161</v>
      </c>
      <c r="B80" s="37"/>
      <c r="C80" s="34">
        <v>44426.0</v>
      </c>
      <c r="D80" s="36"/>
    </row>
    <row r="81">
      <c r="A81" s="35" t="s">
        <v>6162</v>
      </c>
      <c r="B81" s="37"/>
      <c r="C81" s="34">
        <v>44427.0</v>
      </c>
      <c r="D81" s="36"/>
    </row>
    <row r="82">
      <c r="A82" s="35" t="s">
        <v>6163</v>
      </c>
      <c r="B82" s="37"/>
      <c r="C82" s="34">
        <v>44428.0</v>
      </c>
      <c r="D82" s="36"/>
    </row>
    <row r="83">
      <c r="A83" s="35" t="s">
        <v>6164</v>
      </c>
      <c r="B83" s="37"/>
      <c r="C83" s="34">
        <v>44429.0</v>
      </c>
      <c r="D83" s="36"/>
    </row>
    <row r="84">
      <c r="A84" s="35" t="s">
        <v>6110</v>
      </c>
      <c r="B84" s="37"/>
      <c r="C84" s="34">
        <v>44430.0</v>
      </c>
      <c r="D84" s="36"/>
    </row>
    <row r="85">
      <c r="A85" s="35" t="s">
        <v>6165</v>
      </c>
      <c r="B85" s="37"/>
      <c r="C85" s="34">
        <v>44431.0</v>
      </c>
      <c r="D85" s="36"/>
    </row>
    <row r="86">
      <c r="A86" s="35" t="s">
        <v>6166</v>
      </c>
      <c r="B86" s="37"/>
      <c r="C86" s="34">
        <v>44432.0</v>
      </c>
      <c r="D86" s="36"/>
    </row>
    <row r="87">
      <c r="A87" s="35" t="s">
        <v>6111</v>
      </c>
      <c r="B87" s="37"/>
      <c r="C87" s="34">
        <v>44433.0</v>
      </c>
      <c r="D87" s="36"/>
    </row>
    <row r="88">
      <c r="A88" s="35" t="s">
        <v>6167</v>
      </c>
      <c r="B88" s="37"/>
      <c r="C88" s="34">
        <v>44434.0</v>
      </c>
      <c r="D88" s="36"/>
    </row>
    <row r="89">
      <c r="A89" s="35" t="s">
        <v>6168</v>
      </c>
      <c r="B89" s="37"/>
      <c r="C89" s="34">
        <v>44435.0</v>
      </c>
      <c r="D89" s="36"/>
    </row>
    <row r="90">
      <c r="A90" s="35" t="s">
        <v>6169</v>
      </c>
      <c r="B90" s="37"/>
      <c r="C90" s="34">
        <v>44436.0</v>
      </c>
      <c r="D90" s="36"/>
    </row>
    <row r="91">
      <c r="A91" s="35" t="s">
        <v>6170</v>
      </c>
      <c r="B91" s="37"/>
      <c r="C91" s="34">
        <v>44437.0</v>
      </c>
      <c r="D91" s="36"/>
    </row>
    <row r="92">
      <c r="A92" s="35" t="s">
        <v>6171</v>
      </c>
      <c r="B92" s="37"/>
      <c r="C92" s="34">
        <v>44438.0</v>
      </c>
      <c r="D92" s="36"/>
    </row>
    <row r="93">
      <c r="A93" s="35" t="s">
        <v>6172</v>
      </c>
      <c r="B93" s="37"/>
      <c r="C93" s="34">
        <v>44439.0</v>
      </c>
      <c r="D93" s="36"/>
    </row>
    <row r="94">
      <c r="A94" s="35" t="s">
        <v>6173</v>
      </c>
      <c r="B94" s="37"/>
      <c r="C94" s="34">
        <v>44440.0</v>
      </c>
      <c r="D94" s="36"/>
    </row>
    <row r="95">
      <c r="A95" s="32" t="s">
        <v>6174</v>
      </c>
      <c r="B95" s="37"/>
      <c r="C95" s="34">
        <v>44441.0</v>
      </c>
      <c r="D95" s="36"/>
    </row>
    <row r="96">
      <c r="A96" s="35" t="s">
        <v>6175</v>
      </c>
      <c r="B96" s="37"/>
      <c r="C96" s="34">
        <v>44442.0</v>
      </c>
      <c r="D96" s="36"/>
    </row>
    <row r="97">
      <c r="A97" s="35" t="s">
        <v>6176</v>
      </c>
      <c r="B97" s="37"/>
      <c r="C97" s="34">
        <v>44443.0</v>
      </c>
      <c r="D97" s="36"/>
    </row>
    <row r="98">
      <c r="A98" s="38" t="s">
        <v>6177</v>
      </c>
      <c r="B98" s="37"/>
      <c r="C98" s="34">
        <v>44444.0</v>
      </c>
      <c r="D98" s="36"/>
    </row>
    <row r="99">
      <c r="A99" s="35" t="s">
        <v>6178</v>
      </c>
      <c r="B99" s="37"/>
      <c r="C99" s="34">
        <v>44445.0</v>
      </c>
      <c r="D99" s="36"/>
    </row>
    <row r="100">
      <c r="A100" s="32" t="s">
        <v>6179</v>
      </c>
      <c r="B100" s="37"/>
      <c r="C100" s="34">
        <v>44446.0</v>
      </c>
      <c r="D100" s="36"/>
    </row>
    <row r="101">
      <c r="A101" s="35" t="s">
        <v>6180</v>
      </c>
      <c r="B101" s="37"/>
      <c r="C101" s="34">
        <v>44447.0</v>
      </c>
      <c r="D101" s="36"/>
    </row>
    <row r="102">
      <c r="A102" s="35" t="s">
        <v>6181</v>
      </c>
      <c r="B102" s="37"/>
      <c r="C102" s="34">
        <v>44448.0</v>
      </c>
      <c r="D102" s="36"/>
    </row>
    <row r="103">
      <c r="A103" s="35" t="s">
        <v>6182</v>
      </c>
      <c r="B103" s="37"/>
      <c r="C103" s="34">
        <v>44449.0</v>
      </c>
      <c r="D103" s="36"/>
    </row>
    <row r="104">
      <c r="A104" s="35" t="s">
        <v>6183</v>
      </c>
      <c r="B104" s="37"/>
      <c r="C104" s="34">
        <v>44450.0</v>
      </c>
      <c r="D104" s="36"/>
    </row>
    <row r="105">
      <c r="A105" s="32" t="s">
        <v>6184</v>
      </c>
      <c r="B105" s="37"/>
      <c r="C105" s="34">
        <v>44451.0</v>
      </c>
      <c r="D105" s="36"/>
    </row>
    <row r="106">
      <c r="A106" s="35" t="s">
        <v>6185</v>
      </c>
      <c r="B106" s="37"/>
      <c r="C106" s="34">
        <v>44452.0</v>
      </c>
      <c r="D106" s="36"/>
    </row>
    <row r="107">
      <c r="A107" s="35" t="s">
        <v>6112</v>
      </c>
      <c r="B107" s="37"/>
      <c r="C107" s="34">
        <v>44453.0</v>
      </c>
      <c r="D107" s="36"/>
    </row>
    <row r="108">
      <c r="A108" s="32" t="s">
        <v>6186</v>
      </c>
      <c r="B108" s="37"/>
      <c r="C108" s="34">
        <v>44454.0</v>
      </c>
      <c r="D108" s="36"/>
    </row>
    <row r="109">
      <c r="A109" s="32" t="s">
        <v>6187</v>
      </c>
      <c r="B109" s="37"/>
      <c r="C109" s="34">
        <v>44455.0</v>
      </c>
      <c r="D109" s="36"/>
    </row>
    <row r="110">
      <c r="A110" s="35" t="s">
        <v>6188</v>
      </c>
      <c r="B110" s="37"/>
      <c r="C110" s="34">
        <v>44456.0</v>
      </c>
      <c r="D110" s="36"/>
    </row>
    <row r="111">
      <c r="A111" s="32" t="s">
        <v>6189</v>
      </c>
      <c r="B111" s="37"/>
      <c r="C111" s="34">
        <v>44457.0</v>
      </c>
      <c r="D111" s="36"/>
    </row>
    <row r="112">
      <c r="A112" s="32" t="s">
        <v>6190</v>
      </c>
      <c r="B112" s="37"/>
      <c r="C112" s="34">
        <v>44458.0</v>
      </c>
      <c r="D112" s="36"/>
    </row>
    <row r="113">
      <c r="A113" s="35" t="s">
        <v>6191</v>
      </c>
      <c r="B113" s="37"/>
      <c r="C113" s="34">
        <v>44459.0</v>
      </c>
      <c r="D113" s="36"/>
    </row>
    <row r="114">
      <c r="A114" s="32" t="s">
        <v>6192</v>
      </c>
      <c r="B114" s="37"/>
      <c r="C114" s="34">
        <v>44460.0</v>
      </c>
      <c r="D114" s="36"/>
    </row>
    <row r="115">
      <c r="A115" s="32" t="s">
        <v>6193</v>
      </c>
      <c r="B115" s="37"/>
      <c r="C115" s="34">
        <v>44461.0</v>
      </c>
      <c r="D115" s="36"/>
    </row>
    <row r="116">
      <c r="A116" s="32" t="s">
        <v>6194</v>
      </c>
      <c r="B116" s="37"/>
      <c r="C116" s="34">
        <v>44462.0</v>
      </c>
      <c r="D116" s="36"/>
    </row>
    <row r="117">
      <c r="A117" s="32" t="s">
        <v>6195</v>
      </c>
      <c r="B117" s="37"/>
      <c r="C117" s="34">
        <v>44463.0</v>
      </c>
      <c r="D117" s="36"/>
    </row>
    <row r="118">
      <c r="A118" s="32" t="s">
        <v>6196</v>
      </c>
      <c r="B118" s="37"/>
      <c r="C118" s="34">
        <v>44464.0</v>
      </c>
      <c r="D118" s="36"/>
    </row>
    <row r="119">
      <c r="A119" s="35" t="s">
        <v>6197</v>
      </c>
      <c r="B119" s="37"/>
      <c r="C119" s="34">
        <v>44465.0</v>
      </c>
      <c r="D119" s="36"/>
    </row>
    <row r="120">
      <c r="A120" s="32" t="s">
        <v>6198</v>
      </c>
      <c r="B120" s="37"/>
      <c r="C120" s="34">
        <v>44466.0</v>
      </c>
      <c r="D120" s="36"/>
    </row>
    <row r="121">
      <c r="A121" s="32" t="s">
        <v>6199</v>
      </c>
      <c r="B121" s="37"/>
      <c r="C121" s="34">
        <v>44467.0</v>
      </c>
      <c r="D121" s="36"/>
    </row>
    <row r="122">
      <c r="A122" s="32" t="s">
        <v>6200</v>
      </c>
      <c r="B122" s="37"/>
      <c r="C122" s="34">
        <v>44468.0</v>
      </c>
      <c r="D122" s="36"/>
    </row>
    <row r="123">
      <c r="A123" s="39" t="s">
        <v>6201</v>
      </c>
      <c r="B123" s="37"/>
      <c r="C123" s="34">
        <v>44469.0</v>
      </c>
      <c r="D123" s="36"/>
    </row>
    <row r="124">
      <c r="A124" s="39" t="s">
        <v>6202</v>
      </c>
      <c r="B124" s="37"/>
      <c r="C124" s="34">
        <v>44470.0</v>
      </c>
      <c r="D124" s="36"/>
    </row>
    <row r="125">
      <c r="B125" s="37"/>
      <c r="C125" s="34">
        <v>44471.0</v>
      </c>
      <c r="D125" s="36"/>
    </row>
    <row r="126">
      <c r="B126" s="37"/>
      <c r="C126" s="34">
        <v>44472.0</v>
      </c>
      <c r="D126" s="36"/>
    </row>
    <row r="127">
      <c r="B127" s="37"/>
      <c r="C127" s="34">
        <v>44473.0</v>
      </c>
      <c r="D127" s="36"/>
    </row>
    <row r="128">
      <c r="B128" s="37"/>
      <c r="C128" s="34">
        <v>44474.0</v>
      </c>
      <c r="D128" s="36"/>
    </row>
    <row r="129">
      <c r="B129" s="37"/>
      <c r="C129" s="34">
        <v>44475.0</v>
      </c>
      <c r="D129" s="36"/>
    </row>
    <row r="130">
      <c r="B130" s="37"/>
      <c r="C130" s="34">
        <v>44476.0</v>
      </c>
      <c r="D130" s="36"/>
    </row>
    <row r="131">
      <c r="B131" s="37"/>
      <c r="C131" s="34">
        <v>44477.0</v>
      </c>
      <c r="D131" s="36"/>
    </row>
    <row r="132">
      <c r="B132" s="37"/>
      <c r="C132" s="34">
        <v>44478.0</v>
      </c>
      <c r="D132" s="36"/>
    </row>
    <row r="133">
      <c r="B133" s="37"/>
      <c r="C133" s="34">
        <v>44479.0</v>
      </c>
      <c r="D133" s="36"/>
    </row>
    <row r="134">
      <c r="B134" s="37"/>
      <c r="C134" s="34">
        <v>44480.0</v>
      </c>
      <c r="D134" s="36"/>
    </row>
    <row r="135">
      <c r="B135" s="37"/>
      <c r="C135" s="34">
        <v>44481.0</v>
      </c>
      <c r="D135" s="36"/>
    </row>
    <row r="136">
      <c r="B136" s="37"/>
      <c r="C136" s="34">
        <v>44482.0</v>
      </c>
      <c r="D136" s="36"/>
    </row>
    <row r="137">
      <c r="B137" s="37"/>
      <c r="C137" s="34">
        <v>44483.0</v>
      </c>
      <c r="D137" s="36"/>
    </row>
    <row r="138">
      <c r="B138" s="37"/>
      <c r="C138" s="34">
        <v>44484.0</v>
      </c>
      <c r="D138" s="36"/>
    </row>
    <row r="139">
      <c r="B139" s="37"/>
      <c r="C139" s="34">
        <v>44485.0</v>
      </c>
      <c r="D139" s="36"/>
    </row>
    <row r="140">
      <c r="B140" s="37"/>
      <c r="C140" s="34">
        <v>44486.0</v>
      </c>
      <c r="D140" s="36"/>
    </row>
    <row r="141">
      <c r="B141" s="37"/>
      <c r="C141" s="34">
        <v>44487.0</v>
      </c>
      <c r="D141" s="36"/>
    </row>
    <row r="142">
      <c r="B142" s="37"/>
      <c r="C142" s="34">
        <v>44488.0</v>
      </c>
      <c r="D142" s="36"/>
    </row>
    <row r="143">
      <c r="B143" s="37"/>
      <c r="C143" s="34">
        <v>44489.0</v>
      </c>
      <c r="D143" s="36"/>
    </row>
    <row r="144">
      <c r="B144" s="37"/>
      <c r="C144" s="34">
        <v>44490.0</v>
      </c>
      <c r="D144" s="36"/>
    </row>
    <row r="145">
      <c r="B145" s="37"/>
      <c r="C145" s="34">
        <v>44491.0</v>
      </c>
      <c r="D145" s="36"/>
    </row>
    <row r="146">
      <c r="B146" s="37"/>
      <c r="C146" s="34">
        <v>44492.0</v>
      </c>
      <c r="D146" s="36"/>
    </row>
    <row r="147">
      <c r="B147" s="37"/>
      <c r="C147" s="34">
        <v>44493.0</v>
      </c>
      <c r="D147" s="36"/>
    </row>
    <row r="148">
      <c r="B148" s="37"/>
      <c r="C148" s="34">
        <v>44494.0</v>
      </c>
      <c r="D148" s="36"/>
    </row>
    <row r="149">
      <c r="B149" s="37"/>
      <c r="C149" s="34">
        <v>44495.0</v>
      </c>
      <c r="D149" s="36"/>
    </row>
    <row r="150">
      <c r="B150" s="37"/>
      <c r="C150" s="34">
        <v>44496.0</v>
      </c>
      <c r="D150" s="36"/>
    </row>
    <row r="151">
      <c r="B151" s="37"/>
      <c r="C151" s="34">
        <v>44497.0</v>
      </c>
      <c r="D151" s="36"/>
    </row>
    <row r="152">
      <c r="B152" s="37"/>
      <c r="C152" s="34">
        <v>44498.0</v>
      </c>
      <c r="D152" s="36"/>
    </row>
    <row r="153">
      <c r="B153" s="37"/>
      <c r="C153" s="34">
        <v>44499.0</v>
      </c>
      <c r="D153" s="36"/>
    </row>
    <row r="154">
      <c r="B154" s="37"/>
      <c r="C154" s="34">
        <v>44500.0</v>
      </c>
      <c r="D154" s="36"/>
    </row>
    <row r="155">
      <c r="B155" s="37"/>
      <c r="C155" s="34">
        <v>44501.0</v>
      </c>
      <c r="D155" s="36"/>
    </row>
    <row r="156">
      <c r="B156" s="37"/>
      <c r="C156" s="34">
        <v>44502.0</v>
      </c>
      <c r="D156" s="36"/>
    </row>
    <row r="157">
      <c r="B157" s="37"/>
      <c r="C157" s="34">
        <v>44503.0</v>
      </c>
      <c r="D157" s="36"/>
    </row>
    <row r="158">
      <c r="B158" s="37"/>
      <c r="C158" s="34">
        <v>44504.0</v>
      </c>
      <c r="D158" s="36"/>
    </row>
    <row r="159">
      <c r="B159" s="37"/>
      <c r="C159" s="34">
        <v>44505.0</v>
      </c>
      <c r="D159" s="36"/>
    </row>
    <row r="160">
      <c r="B160" s="37"/>
      <c r="C160" s="34">
        <v>44506.0</v>
      </c>
      <c r="D160" s="36"/>
    </row>
    <row r="161">
      <c r="B161" s="37"/>
      <c r="C161" s="34">
        <v>44507.0</v>
      </c>
      <c r="D161" s="36"/>
    </row>
    <row r="162">
      <c r="B162" s="37"/>
      <c r="C162" s="34">
        <v>44508.0</v>
      </c>
      <c r="D162" s="36"/>
    </row>
    <row r="163">
      <c r="B163" s="37"/>
      <c r="C163" s="34">
        <v>44509.0</v>
      </c>
      <c r="D163" s="36"/>
    </row>
    <row r="164">
      <c r="B164" s="37"/>
      <c r="C164" s="34">
        <v>44510.0</v>
      </c>
      <c r="D164" s="36"/>
    </row>
    <row r="165">
      <c r="B165" s="37"/>
      <c r="C165" s="34">
        <v>44511.0</v>
      </c>
      <c r="D165" s="36"/>
    </row>
    <row r="166">
      <c r="B166" s="37"/>
      <c r="C166" s="34">
        <v>44512.0</v>
      </c>
      <c r="D166" s="36"/>
    </row>
    <row r="167">
      <c r="B167" s="37"/>
      <c r="C167" s="34">
        <v>44513.0</v>
      </c>
      <c r="D167" s="36"/>
    </row>
    <row r="168">
      <c r="B168" s="37"/>
      <c r="C168" s="34">
        <v>44514.0</v>
      </c>
      <c r="D168" s="36"/>
    </row>
    <row r="169">
      <c r="B169" s="37"/>
      <c r="C169" s="34">
        <v>44515.0</v>
      </c>
      <c r="D169" s="36"/>
    </row>
    <row r="170">
      <c r="B170" s="37"/>
      <c r="C170" s="34">
        <v>44516.0</v>
      </c>
      <c r="D170" s="36"/>
    </row>
    <row r="171">
      <c r="B171" s="37"/>
      <c r="C171" s="34">
        <v>44517.0</v>
      </c>
      <c r="D171" s="36"/>
    </row>
    <row r="172">
      <c r="B172" s="37"/>
      <c r="C172" s="34">
        <v>44518.0</v>
      </c>
      <c r="D172" s="36"/>
    </row>
    <row r="173">
      <c r="B173" s="37"/>
      <c r="C173" s="34">
        <v>44519.0</v>
      </c>
      <c r="D173" s="36"/>
    </row>
    <row r="174">
      <c r="B174" s="37"/>
      <c r="C174" s="34">
        <v>44520.0</v>
      </c>
      <c r="D174" s="36"/>
    </row>
    <row r="175">
      <c r="B175" s="37"/>
      <c r="C175" s="34">
        <v>44521.0</v>
      </c>
      <c r="D175" s="36"/>
    </row>
    <row r="176">
      <c r="B176" s="37"/>
      <c r="C176" s="34">
        <v>44522.0</v>
      </c>
      <c r="D176" s="36"/>
    </row>
    <row r="177">
      <c r="B177" s="37"/>
      <c r="C177" s="34">
        <v>44523.0</v>
      </c>
      <c r="D177" s="36"/>
    </row>
    <row r="178">
      <c r="B178" s="37"/>
      <c r="C178" s="34">
        <v>44524.0</v>
      </c>
      <c r="D178" s="36"/>
    </row>
    <row r="179">
      <c r="B179" s="37"/>
      <c r="C179" s="34">
        <v>44525.0</v>
      </c>
      <c r="D179" s="36"/>
    </row>
    <row r="180">
      <c r="B180" s="37"/>
      <c r="C180" s="34">
        <v>44526.0</v>
      </c>
      <c r="D180" s="36"/>
    </row>
    <row r="181">
      <c r="B181" s="37"/>
      <c r="C181" s="34">
        <v>44527.0</v>
      </c>
      <c r="D181" s="36"/>
    </row>
    <row r="182">
      <c r="B182" s="37"/>
      <c r="C182" s="34">
        <v>44528.0</v>
      </c>
      <c r="D182" s="36"/>
    </row>
    <row r="183">
      <c r="B183" s="37"/>
      <c r="C183" s="34">
        <v>44529.0</v>
      </c>
      <c r="D183" s="36"/>
    </row>
    <row r="184">
      <c r="B184" s="37"/>
      <c r="C184" s="34">
        <v>44530.0</v>
      </c>
      <c r="D184" s="36"/>
    </row>
    <row r="185">
      <c r="B185" s="37"/>
      <c r="C185" s="34">
        <v>44531.0</v>
      </c>
      <c r="D185" s="36"/>
    </row>
    <row r="186">
      <c r="B186" s="37"/>
      <c r="C186" s="34">
        <v>44532.0</v>
      </c>
      <c r="D186" s="36"/>
    </row>
    <row r="187">
      <c r="B187" s="37"/>
      <c r="C187" s="34">
        <v>44533.0</v>
      </c>
      <c r="D187" s="36"/>
    </row>
    <row r="188">
      <c r="B188" s="37"/>
      <c r="C188" s="34">
        <v>44534.0</v>
      </c>
      <c r="D188" s="36"/>
    </row>
    <row r="189">
      <c r="B189" s="37"/>
      <c r="C189" s="34">
        <v>44535.0</v>
      </c>
      <c r="D189" s="36"/>
    </row>
    <row r="190">
      <c r="B190" s="37"/>
      <c r="C190" s="34">
        <v>44536.0</v>
      </c>
      <c r="D190" s="36"/>
    </row>
    <row r="191">
      <c r="B191" s="37"/>
      <c r="C191" s="34">
        <v>44537.0</v>
      </c>
      <c r="D191" s="36"/>
    </row>
    <row r="192">
      <c r="B192" s="37"/>
      <c r="C192" s="34">
        <v>44538.0</v>
      </c>
      <c r="D192" s="36"/>
    </row>
    <row r="193">
      <c r="B193" s="37"/>
      <c r="C193" s="34">
        <v>44539.0</v>
      </c>
      <c r="D193" s="36"/>
    </row>
    <row r="194">
      <c r="B194" s="37"/>
      <c r="C194" s="34">
        <v>44540.0</v>
      </c>
      <c r="D194" s="36"/>
    </row>
    <row r="195">
      <c r="B195" s="37"/>
      <c r="C195" s="34">
        <v>44541.0</v>
      </c>
      <c r="D195" s="36"/>
    </row>
    <row r="196">
      <c r="B196" s="37"/>
      <c r="C196" s="34">
        <v>44542.0</v>
      </c>
      <c r="D196" s="36"/>
    </row>
    <row r="197">
      <c r="B197" s="37"/>
      <c r="C197" s="34">
        <v>44543.0</v>
      </c>
      <c r="D197" s="36"/>
    </row>
    <row r="198">
      <c r="B198" s="37"/>
      <c r="C198" s="34">
        <v>44544.0</v>
      </c>
      <c r="D198" s="36"/>
    </row>
    <row r="199">
      <c r="B199" s="37"/>
      <c r="C199" s="34">
        <v>44545.0</v>
      </c>
      <c r="D199" s="36"/>
    </row>
    <row r="200">
      <c r="B200" s="37"/>
      <c r="C200" s="34">
        <v>44546.0</v>
      </c>
      <c r="D200" s="36"/>
    </row>
    <row r="201">
      <c r="B201" s="37"/>
      <c r="C201" s="34">
        <v>44547.0</v>
      </c>
      <c r="D201" s="36"/>
    </row>
    <row r="202">
      <c r="B202" s="37"/>
      <c r="C202" s="34">
        <v>44548.0</v>
      </c>
      <c r="D202" s="36"/>
    </row>
    <row r="203">
      <c r="B203" s="37"/>
      <c r="C203" s="34">
        <v>44549.0</v>
      </c>
      <c r="D203" s="36"/>
    </row>
    <row r="204">
      <c r="B204" s="37"/>
      <c r="C204" s="34">
        <v>44550.0</v>
      </c>
      <c r="D204" s="36"/>
    </row>
    <row r="205">
      <c r="B205" s="37"/>
      <c r="C205" s="34">
        <v>44551.0</v>
      </c>
      <c r="D205" s="36"/>
    </row>
    <row r="206">
      <c r="B206" s="37"/>
      <c r="C206" s="34">
        <v>44552.0</v>
      </c>
      <c r="D206" s="36"/>
    </row>
    <row r="207">
      <c r="B207" s="37"/>
      <c r="C207" s="34">
        <v>44553.0</v>
      </c>
      <c r="D207" s="36"/>
    </row>
    <row r="208">
      <c r="B208" s="37"/>
      <c r="C208" s="34">
        <v>44554.0</v>
      </c>
      <c r="D208" s="36"/>
    </row>
    <row r="209">
      <c r="B209" s="37"/>
      <c r="C209" s="34">
        <v>44555.0</v>
      </c>
      <c r="D209" s="36"/>
    </row>
    <row r="210">
      <c r="B210" s="37"/>
      <c r="C210" s="34">
        <v>44556.0</v>
      </c>
      <c r="D210" s="36"/>
    </row>
    <row r="211">
      <c r="B211" s="37"/>
      <c r="C211" s="34">
        <v>44557.0</v>
      </c>
      <c r="D211" s="36"/>
    </row>
    <row r="212">
      <c r="B212" s="37"/>
      <c r="C212" s="34">
        <v>44558.0</v>
      </c>
      <c r="D212" s="36"/>
    </row>
    <row r="213">
      <c r="B213" s="37"/>
      <c r="C213" s="34">
        <v>44559.0</v>
      </c>
      <c r="D213" s="36"/>
    </row>
    <row r="214">
      <c r="B214" s="37"/>
      <c r="C214" s="34">
        <v>44560.0</v>
      </c>
      <c r="D214" s="36"/>
    </row>
    <row r="215">
      <c r="B215" s="37"/>
      <c r="C215" s="34">
        <v>44561.0</v>
      </c>
      <c r="D215" s="36"/>
    </row>
    <row r="216">
      <c r="B216" s="37"/>
      <c r="C216" s="34">
        <v>44562.0</v>
      </c>
      <c r="D216" s="36"/>
    </row>
    <row r="217">
      <c r="B217" s="37"/>
      <c r="C217" s="34">
        <v>44563.0</v>
      </c>
      <c r="D217" s="36"/>
    </row>
    <row r="218">
      <c r="B218" s="37"/>
      <c r="C218" s="34">
        <v>44564.0</v>
      </c>
      <c r="D218" s="36"/>
    </row>
    <row r="219">
      <c r="B219" s="37"/>
      <c r="C219" s="34">
        <v>44565.0</v>
      </c>
      <c r="D219" s="36"/>
    </row>
    <row r="220">
      <c r="B220" s="37"/>
      <c r="C220" s="34">
        <v>44566.0</v>
      </c>
      <c r="D220" s="36"/>
    </row>
    <row r="221">
      <c r="B221" s="37"/>
      <c r="C221" s="34">
        <v>44567.0</v>
      </c>
      <c r="D221" s="36"/>
    </row>
    <row r="222">
      <c r="B222" s="37"/>
      <c r="C222" s="34">
        <v>44568.0</v>
      </c>
      <c r="D222" s="36"/>
    </row>
    <row r="223">
      <c r="B223" s="37"/>
      <c r="C223" s="34">
        <v>44569.0</v>
      </c>
      <c r="D223" s="36"/>
    </row>
    <row r="224">
      <c r="B224" s="37"/>
      <c r="C224" s="34">
        <v>44570.0</v>
      </c>
      <c r="D224" s="36"/>
    </row>
    <row r="225">
      <c r="B225" s="37"/>
      <c r="C225" s="34">
        <v>44571.0</v>
      </c>
      <c r="D225" s="36"/>
    </row>
    <row r="226">
      <c r="B226" s="37"/>
      <c r="C226" s="34">
        <v>44572.0</v>
      </c>
      <c r="D226" s="36"/>
    </row>
    <row r="227">
      <c r="B227" s="37"/>
      <c r="C227" s="34">
        <v>44573.0</v>
      </c>
      <c r="D227" s="36"/>
    </row>
    <row r="228">
      <c r="B228" s="37"/>
      <c r="C228" s="34">
        <v>44574.0</v>
      </c>
      <c r="D228" s="36"/>
    </row>
    <row r="229">
      <c r="B229" s="37"/>
      <c r="C229" s="34">
        <v>44575.0</v>
      </c>
      <c r="D229" s="36"/>
    </row>
    <row r="230">
      <c r="B230" s="37"/>
      <c r="C230" s="34">
        <v>44576.0</v>
      </c>
      <c r="D230" s="36"/>
    </row>
    <row r="231">
      <c r="B231" s="37"/>
      <c r="C231" s="34">
        <v>44577.0</v>
      </c>
      <c r="D231" s="36"/>
    </row>
    <row r="232">
      <c r="B232" s="37"/>
      <c r="C232" s="34">
        <v>44578.0</v>
      </c>
      <c r="D232" s="36"/>
    </row>
    <row r="233">
      <c r="B233" s="37"/>
      <c r="C233" s="34">
        <v>44579.0</v>
      </c>
      <c r="D233" s="36"/>
    </row>
    <row r="234">
      <c r="B234" s="37"/>
      <c r="C234" s="34">
        <v>44580.0</v>
      </c>
      <c r="D234" s="36"/>
    </row>
    <row r="235">
      <c r="B235" s="37"/>
      <c r="C235" s="34">
        <v>44581.0</v>
      </c>
      <c r="D235" s="36"/>
    </row>
    <row r="236">
      <c r="B236" s="37"/>
      <c r="C236" s="34">
        <v>44582.0</v>
      </c>
      <c r="D236" s="36"/>
    </row>
    <row r="237">
      <c r="B237" s="37"/>
      <c r="C237" s="34">
        <v>44583.0</v>
      </c>
      <c r="D237" s="36"/>
    </row>
    <row r="238">
      <c r="B238" s="37"/>
      <c r="C238" s="34">
        <v>44584.0</v>
      </c>
      <c r="D238" s="36"/>
    </row>
    <row r="239">
      <c r="B239" s="37"/>
      <c r="C239" s="34">
        <v>44585.0</v>
      </c>
      <c r="D239" s="36"/>
    </row>
    <row r="240">
      <c r="B240" s="37"/>
      <c r="C240" s="34">
        <v>44586.0</v>
      </c>
      <c r="D240" s="36"/>
    </row>
    <row r="241">
      <c r="B241" s="37"/>
      <c r="C241" s="34">
        <v>44587.0</v>
      </c>
      <c r="D241" s="36"/>
    </row>
    <row r="242">
      <c r="B242" s="37"/>
      <c r="C242" s="34">
        <v>44588.0</v>
      </c>
      <c r="D242" s="36"/>
    </row>
    <row r="243">
      <c r="B243" s="37"/>
      <c r="C243" s="34">
        <v>44589.0</v>
      </c>
      <c r="D243" s="36"/>
    </row>
    <row r="244">
      <c r="B244" s="37"/>
      <c r="C244" s="34">
        <v>44590.0</v>
      </c>
      <c r="D244" s="36"/>
    </row>
    <row r="245">
      <c r="B245" s="37"/>
      <c r="C245" s="34">
        <v>44591.0</v>
      </c>
      <c r="D245" s="36"/>
    </row>
    <row r="246">
      <c r="B246" s="37"/>
      <c r="C246" s="34">
        <v>44592.0</v>
      </c>
      <c r="D246" s="36"/>
    </row>
    <row r="247">
      <c r="B247" s="37"/>
      <c r="C247" s="34">
        <v>44593.0</v>
      </c>
      <c r="D247" s="36"/>
    </row>
    <row r="248">
      <c r="B248" s="37"/>
      <c r="C248" s="34">
        <v>44594.0</v>
      </c>
      <c r="D248" s="36"/>
    </row>
    <row r="249">
      <c r="B249" s="37"/>
      <c r="C249" s="34">
        <v>44595.0</v>
      </c>
      <c r="D249" s="36"/>
    </row>
    <row r="250">
      <c r="B250" s="37"/>
      <c r="C250" s="34">
        <v>44596.0</v>
      </c>
      <c r="D250" s="36"/>
    </row>
    <row r="251">
      <c r="B251" s="37"/>
      <c r="C251" s="34">
        <v>44597.0</v>
      </c>
      <c r="D251" s="36"/>
    </row>
    <row r="252">
      <c r="B252" s="37"/>
      <c r="C252" s="34">
        <v>44598.0</v>
      </c>
      <c r="D252" s="36"/>
    </row>
    <row r="253">
      <c r="B253" s="37"/>
      <c r="C253" s="34">
        <v>44599.0</v>
      </c>
      <c r="D253" s="36"/>
    </row>
    <row r="254">
      <c r="B254" s="37"/>
      <c r="C254" s="34">
        <v>44600.0</v>
      </c>
      <c r="D254" s="36"/>
    </row>
    <row r="255">
      <c r="B255" s="37"/>
      <c r="C255" s="34">
        <v>44601.0</v>
      </c>
      <c r="D255" s="36"/>
    </row>
    <row r="256">
      <c r="B256" s="37"/>
      <c r="C256" s="34">
        <v>44602.0</v>
      </c>
      <c r="D256" s="36"/>
    </row>
    <row r="257">
      <c r="B257" s="37"/>
      <c r="C257" s="34">
        <v>44603.0</v>
      </c>
      <c r="D257" s="36"/>
    </row>
    <row r="258">
      <c r="B258" s="37"/>
      <c r="C258" s="34">
        <v>44604.0</v>
      </c>
      <c r="D258" s="36"/>
    </row>
    <row r="259">
      <c r="B259" s="37"/>
      <c r="C259" s="34">
        <v>44605.0</v>
      </c>
      <c r="D259" s="36"/>
    </row>
    <row r="260">
      <c r="B260" s="37"/>
      <c r="C260" s="34">
        <v>44606.0</v>
      </c>
      <c r="D260" s="36"/>
    </row>
    <row r="261">
      <c r="B261" s="37"/>
      <c r="C261" s="34">
        <v>44607.0</v>
      </c>
      <c r="D261" s="36"/>
    </row>
    <row r="262">
      <c r="B262" s="37"/>
      <c r="C262" s="34">
        <v>44608.0</v>
      </c>
      <c r="D262" s="36"/>
    </row>
    <row r="263">
      <c r="B263" s="37"/>
      <c r="C263" s="34">
        <v>44609.0</v>
      </c>
      <c r="D263" s="36"/>
    </row>
    <row r="264">
      <c r="B264" s="37"/>
      <c r="C264" s="34">
        <v>44610.0</v>
      </c>
      <c r="D264" s="36"/>
    </row>
    <row r="265">
      <c r="B265" s="37"/>
      <c r="C265" s="34">
        <v>44611.0</v>
      </c>
      <c r="D265" s="36"/>
    </row>
    <row r="266">
      <c r="B266" s="37"/>
      <c r="C266" s="34">
        <v>44612.0</v>
      </c>
      <c r="D266" s="36"/>
    </row>
    <row r="267">
      <c r="B267" s="37"/>
      <c r="C267" s="34">
        <v>44613.0</v>
      </c>
      <c r="D267" s="36"/>
    </row>
    <row r="268">
      <c r="B268" s="37"/>
      <c r="C268" s="34">
        <v>44614.0</v>
      </c>
      <c r="D268" s="36"/>
    </row>
    <row r="269">
      <c r="B269" s="37"/>
      <c r="C269" s="34">
        <v>44615.0</v>
      </c>
      <c r="D269" s="36"/>
    </row>
    <row r="270">
      <c r="B270" s="37"/>
      <c r="C270" s="34">
        <v>44616.0</v>
      </c>
      <c r="D270" s="36"/>
    </row>
    <row r="271">
      <c r="B271" s="37"/>
      <c r="C271" s="34">
        <v>44617.0</v>
      </c>
      <c r="D271" s="36"/>
    </row>
    <row r="272">
      <c r="B272" s="37"/>
      <c r="C272" s="34">
        <v>44618.0</v>
      </c>
      <c r="D272" s="36"/>
    </row>
    <row r="273">
      <c r="B273" s="37"/>
      <c r="C273" s="34">
        <v>44619.0</v>
      </c>
      <c r="D273" s="36"/>
    </row>
    <row r="274">
      <c r="B274" s="37"/>
      <c r="C274" s="34">
        <v>44620.0</v>
      </c>
      <c r="D274" s="36"/>
    </row>
    <row r="275">
      <c r="B275" s="37"/>
      <c r="C275" s="34">
        <v>44621.0</v>
      </c>
      <c r="D275" s="36"/>
    </row>
    <row r="276">
      <c r="B276" s="37"/>
      <c r="C276" s="34">
        <v>44622.0</v>
      </c>
      <c r="D276" s="36"/>
    </row>
    <row r="277">
      <c r="B277" s="37"/>
      <c r="C277" s="34">
        <v>44623.0</v>
      </c>
      <c r="D277" s="36"/>
    </row>
    <row r="278">
      <c r="B278" s="37"/>
      <c r="C278" s="34">
        <v>44624.0</v>
      </c>
      <c r="D278" s="36"/>
    </row>
    <row r="279">
      <c r="B279" s="37"/>
      <c r="C279" s="34">
        <v>44625.0</v>
      </c>
      <c r="D279" s="36"/>
    </row>
    <row r="280">
      <c r="B280" s="37"/>
      <c r="C280" s="34">
        <v>44626.0</v>
      </c>
      <c r="D280" s="36"/>
    </row>
    <row r="281">
      <c r="B281" s="37"/>
      <c r="C281" s="34">
        <v>44627.0</v>
      </c>
      <c r="D281" s="36"/>
    </row>
    <row r="282">
      <c r="B282" s="37"/>
      <c r="C282" s="34">
        <v>44628.0</v>
      </c>
      <c r="D282" s="36"/>
    </row>
    <row r="283">
      <c r="B283" s="37"/>
      <c r="C283" s="34">
        <v>44629.0</v>
      </c>
      <c r="D283" s="36"/>
    </row>
    <row r="284">
      <c r="B284" s="37"/>
      <c r="C284" s="34">
        <v>44630.0</v>
      </c>
      <c r="D284" s="36"/>
    </row>
    <row r="285">
      <c r="B285" s="37"/>
      <c r="C285" s="34">
        <v>44631.0</v>
      </c>
      <c r="D285" s="36"/>
    </row>
    <row r="286">
      <c r="B286" s="37"/>
      <c r="C286" s="34">
        <v>44632.0</v>
      </c>
      <c r="D286" s="36"/>
    </row>
    <row r="287">
      <c r="B287" s="37"/>
      <c r="C287" s="34">
        <v>44633.0</v>
      </c>
      <c r="D287" s="36"/>
    </row>
    <row r="288">
      <c r="B288" s="37"/>
      <c r="C288" s="34">
        <v>44634.0</v>
      </c>
      <c r="D288" s="36"/>
    </row>
    <row r="289">
      <c r="B289" s="37"/>
      <c r="C289" s="34">
        <v>44635.0</v>
      </c>
      <c r="D289" s="36"/>
    </row>
    <row r="290">
      <c r="B290" s="37"/>
      <c r="C290" s="34">
        <v>44636.0</v>
      </c>
      <c r="D290" s="36"/>
    </row>
    <row r="291">
      <c r="B291" s="37"/>
      <c r="C291" s="34">
        <v>44637.0</v>
      </c>
      <c r="D291" s="36"/>
    </row>
    <row r="292">
      <c r="B292" s="37"/>
      <c r="C292" s="34">
        <v>44638.0</v>
      </c>
      <c r="D292" s="36"/>
    </row>
    <row r="293">
      <c r="B293" s="37"/>
      <c r="C293" s="34">
        <v>44639.0</v>
      </c>
      <c r="D293" s="36"/>
    </row>
    <row r="294">
      <c r="B294" s="37"/>
      <c r="C294" s="34">
        <v>44640.0</v>
      </c>
      <c r="D294" s="36"/>
    </row>
    <row r="295">
      <c r="B295" s="37"/>
      <c r="C295" s="34">
        <v>44641.0</v>
      </c>
      <c r="D295" s="36"/>
    </row>
    <row r="296">
      <c r="B296" s="37"/>
      <c r="C296" s="34">
        <v>44642.0</v>
      </c>
      <c r="D296" s="36"/>
    </row>
    <row r="297">
      <c r="B297" s="37"/>
      <c r="C297" s="34">
        <v>44643.0</v>
      </c>
      <c r="D297" s="36"/>
    </row>
    <row r="298">
      <c r="B298" s="37"/>
      <c r="C298" s="34">
        <v>44644.0</v>
      </c>
      <c r="D298" s="36"/>
    </row>
    <row r="299">
      <c r="B299" s="37"/>
      <c r="C299" s="34">
        <v>44645.0</v>
      </c>
      <c r="D299" s="36"/>
    </row>
    <row r="300">
      <c r="B300" s="37"/>
      <c r="C300" s="34">
        <v>44646.0</v>
      </c>
      <c r="D300" s="36"/>
    </row>
    <row r="301">
      <c r="B301" s="37"/>
      <c r="C301" s="34">
        <v>44647.0</v>
      </c>
      <c r="D301" s="36"/>
    </row>
    <row r="302">
      <c r="B302" s="37"/>
      <c r="C302" s="34">
        <v>44648.0</v>
      </c>
      <c r="D302" s="36"/>
    </row>
    <row r="303">
      <c r="B303" s="37"/>
      <c r="C303" s="34">
        <v>44649.0</v>
      </c>
      <c r="D303" s="36"/>
    </row>
    <row r="304">
      <c r="B304" s="37"/>
      <c r="C304" s="34">
        <v>44650.0</v>
      </c>
      <c r="D304" s="36"/>
    </row>
    <row r="305">
      <c r="B305" s="37"/>
      <c r="C305" s="34">
        <v>44651.0</v>
      </c>
      <c r="D305" s="36"/>
    </row>
    <row r="306">
      <c r="B306" s="37"/>
      <c r="C306" s="34">
        <v>44652.0</v>
      </c>
      <c r="D306" s="36"/>
    </row>
    <row r="307">
      <c r="B307" s="37"/>
      <c r="C307" s="34">
        <v>44653.0</v>
      </c>
      <c r="D307" s="36"/>
    </row>
    <row r="308">
      <c r="B308" s="37"/>
      <c r="C308" s="34">
        <v>44654.0</v>
      </c>
      <c r="D308" s="36"/>
    </row>
    <row r="309">
      <c r="B309" s="37"/>
      <c r="C309" s="34">
        <v>44655.0</v>
      </c>
      <c r="D309" s="36"/>
    </row>
    <row r="310">
      <c r="B310" s="37"/>
      <c r="C310" s="34">
        <v>44656.0</v>
      </c>
      <c r="D310" s="36"/>
    </row>
    <row r="311">
      <c r="B311" s="37"/>
      <c r="C311" s="34">
        <v>44657.0</v>
      </c>
      <c r="D311" s="36"/>
    </row>
    <row r="312">
      <c r="B312" s="37"/>
      <c r="C312" s="34">
        <v>44658.0</v>
      </c>
      <c r="D312" s="36"/>
    </row>
    <row r="313">
      <c r="B313" s="37"/>
      <c r="C313" s="34">
        <v>44659.0</v>
      </c>
      <c r="D313" s="36"/>
    </row>
    <row r="314">
      <c r="B314" s="37"/>
      <c r="C314" s="34">
        <v>44660.0</v>
      </c>
      <c r="D314" s="36"/>
    </row>
    <row r="315">
      <c r="B315" s="37"/>
      <c r="C315" s="34">
        <v>44661.0</v>
      </c>
      <c r="D315" s="36"/>
    </row>
    <row r="316">
      <c r="B316" s="37"/>
      <c r="C316" s="34">
        <v>44662.0</v>
      </c>
      <c r="D316" s="36"/>
    </row>
    <row r="317">
      <c r="B317" s="37"/>
      <c r="C317" s="34">
        <v>44663.0</v>
      </c>
      <c r="D317" s="36"/>
    </row>
    <row r="318">
      <c r="B318" s="37"/>
      <c r="C318" s="34">
        <v>44664.0</v>
      </c>
      <c r="D318" s="36"/>
    </row>
    <row r="319">
      <c r="B319" s="37"/>
      <c r="C319" s="34">
        <v>44665.0</v>
      </c>
      <c r="D319" s="36"/>
    </row>
    <row r="320">
      <c r="B320" s="37"/>
      <c r="C320" s="34">
        <v>44666.0</v>
      </c>
      <c r="D320" s="36"/>
    </row>
    <row r="321">
      <c r="B321" s="37"/>
      <c r="C321" s="34">
        <v>44667.0</v>
      </c>
      <c r="D321" s="36"/>
    </row>
    <row r="322">
      <c r="B322" s="37"/>
      <c r="C322" s="34">
        <v>44668.0</v>
      </c>
      <c r="D322" s="36"/>
    </row>
    <row r="323">
      <c r="B323" s="37"/>
      <c r="C323" s="34">
        <v>44669.0</v>
      </c>
      <c r="D323" s="36"/>
    </row>
    <row r="324">
      <c r="B324" s="37"/>
      <c r="C324" s="34">
        <v>44670.0</v>
      </c>
      <c r="D324" s="36"/>
    </row>
    <row r="325">
      <c r="B325" s="37"/>
      <c r="C325" s="34">
        <v>44671.0</v>
      </c>
      <c r="D325" s="36"/>
    </row>
    <row r="326">
      <c r="B326" s="37"/>
      <c r="C326" s="34">
        <v>44672.0</v>
      </c>
      <c r="D326" s="36"/>
    </row>
    <row r="327">
      <c r="B327" s="37"/>
      <c r="C327" s="34">
        <v>44673.0</v>
      </c>
      <c r="D327" s="36"/>
    </row>
    <row r="328">
      <c r="B328" s="37"/>
      <c r="C328" s="34">
        <v>44674.0</v>
      </c>
      <c r="D328" s="36"/>
    </row>
    <row r="329">
      <c r="B329" s="37"/>
      <c r="C329" s="34">
        <v>44675.0</v>
      </c>
      <c r="D329" s="36"/>
    </row>
    <row r="330">
      <c r="B330" s="37"/>
      <c r="C330" s="34">
        <v>44676.0</v>
      </c>
      <c r="D330" s="36"/>
    </row>
    <row r="331">
      <c r="B331" s="37"/>
      <c r="C331" s="34">
        <v>44677.0</v>
      </c>
      <c r="D331" s="36"/>
    </row>
    <row r="332">
      <c r="B332" s="37"/>
      <c r="C332" s="34">
        <v>44678.0</v>
      </c>
      <c r="D332" s="36"/>
    </row>
    <row r="333">
      <c r="B333" s="37"/>
      <c r="C333" s="34">
        <v>44679.0</v>
      </c>
      <c r="D333" s="36"/>
    </row>
    <row r="334">
      <c r="B334" s="37"/>
      <c r="C334" s="34">
        <v>44680.0</v>
      </c>
      <c r="D334" s="36"/>
    </row>
    <row r="335">
      <c r="B335" s="37"/>
      <c r="C335" s="34">
        <v>44681.0</v>
      </c>
      <c r="D335" s="36"/>
    </row>
    <row r="336">
      <c r="B336" s="37"/>
      <c r="C336" s="34">
        <v>44682.0</v>
      </c>
      <c r="D336" s="36"/>
    </row>
    <row r="337">
      <c r="B337" s="37"/>
      <c r="C337" s="34">
        <v>44683.0</v>
      </c>
      <c r="D337" s="36"/>
    </row>
    <row r="338">
      <c r="B338" s="37"/>
      <c r="C338" s="34">
        <v>44684.0</v>
      </c>
      <c r="D338" s="36"/>
    </row>
    <row r="339">
      <c r="B339" s="37"/>
      <c r="C339" s="34">
        <v>44685.0</v>
      </c>
      <c r="D339" s="36"/>
    </row>
    <row r="340">
      <c r="B340" s="37"/>
      <c r="C340" s="34">
        <v>44686.0</v>
      </c>
      <c r="D340" s="36"/>
    </row>
    <row r="341">
      <c r="B341" s="37"/>
      <c r="C341" s="34">
        <v>44687.0</v>
      </c>
      <c r="D341" s="36"/>
    </row>
    <row r="342">
      <c r="B342" s="37"/>
      <c r="C342" s="34">
        <v>44688.0</v>
      </c>
      <c r="D342" s="36"/>
    </row>
    <row r="343">
      <c r="B343" s="37"/>
      <c r="C343" s="34">
        <v>44689.0</v>
      </c>
      <c r="D343" s="36"/>
    </row>
    <row r="344">
      <c r="B344" s="37"/>
      <c r="C344" s="34">
        <v>44690.0</v>
      </c>
      <c r="D344" s="36"/>
    </row>
    <row r="345">
      <c r="B345" s="37"/>
      <c r="C345" s="34">
        <v>44691.0</v>
      </c>
      <c r="D345" s="36"/>
    </row>
    <row r="346">
      <c r="B346" s="37"/>
      <c r="C346" s="34">
        <v>44692.0</v>
      </c>
      <c r="D346" s="36"/>
    </row>
    <row r="347">
      <c r="B347" s="37"/>
      <c r="C347" s="34">
        <v>44693.0</v>
      </c>
      <c r="D347" s="36"/>
    </row>
    <row r="348">
      <c r="B348" s="37"/>
      <c r="C348" s="34">
        <v>44694.0</v>
      </c>
      <c r="D348" s="36"/>
    </row>
    <row r="349">
      <c r="B349" s="37"/>
      <c r="C349" s="34">
        <v>44695.0</v>
      </c>
      <c r="D349" s="36"/>
    </row>
    <row r="350">
      <c r="B350" s="37"/>
      <c r="C350" s="34">
        <v>44696.0</v>
      </c>
      <c r="D350" s="36"/>
    </row>
    <row r="351">
      <c r="B351" s="37"/>
      <c r="C351" s="34">
        <v>44697.0</v>
      </c>
      <c r="D351" s="36"/>
    </row>
    <row r="352">
      <c r="B352" s="37"/>
      <c r="C352" s="34">
        <v>44698.0</v>
      </c>
      <c r="D352" s="36"/>
    </row>
    <row r="353">
      <c r="B353" s="37"/>
      <c r="C353" s="34">
        <v>44699.0</v>
      </c>
      <c r="D353" s="36"/>
    </row>
    <row r="354">
      <c r="B354" s="37"/>
      <c r="C354" s="34">
        <v>44700.0</v>
      </c>
      <c r="D354" s="36"/>
    </row>
    <row r="355">
      <c r="B355" s="37"/>
      <c r="C355" s="34">
        <v>44701.0</v>
      </c>
      <c r="D355" s="36"/>
    </row>
    <row r="356">
      <c r="B356" s="37"/>
      <c r="C356" s="34">
        <v>44702.0</v>
      </c>
      <c r="D356" s="36"/>
    </row>
    <row r="357">
      <c r="B357" s="37"/>
      <c r="C357" s="34">
        <v>44703.0</v>
      </c>
      <c r="D357" s="36"/>
    </row>
    <row r="358">
      <c r="B358" s="37"/>
      <c r="C358" s="34">
        <v>44704.0</v>
      </c>
      <c r="D358" s="36"/>
    </row>
    <row r="359">
      <c r="B359" s="37"/>
      <c r="C359" s="34">
        <v>44705.0</v>
      </c>
      <c r="D359" s="36"/>
    </row>
    <row r="360">
      <c r="B360" s="37"/>
      <c r="C360" s="34">
        <v>44706.0</v>
      </c>
      <c r="D360" s="36"/>
    </row>
    <row r="361">
      <c r="B361" s="37"/>
      <c r="C361" s="34">
        <v>44707.0</v>
      </c>
      <c r="D361" s="36"/>
    </row>
    <row r="362">
      <c r="B362" s="37"/>
      <c r="C362" s="34">
        <v>44708.0</v>
      </c>
      <c r="D362" s="36"/>
    </row>
    <row r="363">
      <c r="B363" s="37"/>
      <c r="C363" s="34">
        <v>44709.0</v>
      </c>
      <c r="D363" s="36"/>
    </row>
    <row r="364">
      <c r="B364" s="37"/>
      <c r="C364" s="34">
        <v>44710.0</v>
      </c>
      <c r="D364" s="36"/>
    </row>
    <row r="365">
      <c r="B365" s="37"/>
      <c r="C365" s="34">
        <v>44711.0</v>
      </c>
      <c r="D365" s="36"/>
    </row>
    <row r="366">
      <c r="B366" s="37"/>
      <c r="C366" s="34">
        <v>44712.0</v>
      </c>
      <c r="D366" s="36"/>
    </row>
    <row r="367">
      <c r="B367" s="37"/>
      <c r="C367" s="34">
        <v>44713.0</v>
      </c>
      <c r="D367" s="36"/>
    </row>
    <row r="368">
      <c r="B368" s="37"/>
      <c r="C368" s="34">
        <v>44714.0</v>
      </c>
      <c r="D368" s="36"/>
    </row>
    <row r="369">
      <c r="B369" s="37"/>
      <c r="C369" s="34">
        <v>44715.0</v>
      </c>
      <c r="D369" s="36"/>
    </row>
    <row r="370">
      <c r="B370" s="37"/>
      <c r="C370" s="34">
        <v>44716.0</v>
      </c>
      <c r="D370" s="36"/>
    </row>
    <row r="371">
      <c r="B371" s="37"/>
      <c r="C371" s="34">
        <v>44717.0</v>
      </c>
      <c r="D371" s="36"/>
    </row>
    <row r="372">
      <c r="B372" s="37"/>
      <c r="C372" s="34">
        <v>44718.0</v>
      </c>
      <c r="D372" s="36"/>
    </row>
    <row r="373">
      <c r="B373" s="37"/>
      <c r="C373" s="34">
        <v>44719.0</v>
      </c>
      <c r="D373" s="36"/>
    </row>
    <row r="374">
      <c r="B374" s="37"/>
      <c r="C374" s="34">
        <v>44720.0</v>
      </c>
      <c r="D374" s="36"/>
    </row>
    <row r="375">
      <c r="B375" s="37"/>
      <c r="C375" s="34">
        <v>44721.0</v>
      </c>
      <c r="D375" s="36"/>
    </row>
    <row r="376">
      <c r="B376" s="37"/>
      <c r="C376" s="34">
        <v>44722.0</v>
      </c>
      <c r="D376" s="36"/>
    </row>
    <row r="377">
      <c r="B377" s="37"/>
      <c r="C377" s="34">
        <v>44723.0</v>
      </c>
      <c r="D377" s="36"/>
    </row>
    <row r="378">
      <c r="B378" s="37"/>
      <c r="C378" s="34">
        <v>44724.0</v>
      </c>
      <c r="D378" s="36"/>
    </row>
    <row r="379">
      <c r="B379" s="37"/>
      <c r="C379" s="34">
        <v>44725.0</v>
      </c>
      <c r="D379" s="36"/>
    </row>
    <row r="380">
      <c r="B380" s="37"/>
      <c r="C380" s="34">
        <v>44726.0</v>
      </c>
      <c r="D380" s="36"/>
    </row>
    <row r="381">
      <c r="B381" s="37"/>
      <c r="C381" s="34">
        <v>44727.0</v>
      </c>
      <c r="D381" s="36"/>
    </row>
    <row r="382">
      <c r="B382" s="37"/>
      <c r="C382" s="34">
        <v>44728.0</v>
      </c>
      <c r="D382" s="36"/>
    </row>
    <row r="383">
      <c r="B383" s="37"/>
      <c r="C383" s="34">
        <v>44729.0</v>
      </c>
      <c r="D383" s="36"/>
    </row>
    <row r="384">
      <c r="B384" s="37"/>
      <c r="C384" s="34">
        <v>44730.0</v>
      </c>
      <c r="D384" s="36"/>
    </row>
    <row r="385">
      <c r="B385" s="37"/>
      <c r="C385" s="34">
        <v>44731.0</v>
      </c>
      <c r="D385" s="36"/>
    </row>
    <row r="386">
      <c r="B386" s="37"/>
      <c r="C386" s="34">
        <v>44732.0</v>
      </c>
      <c r="D386" s="36"/>
    </row>
    <row r="387">
      <c r="B387" s="37"/>
      <c r="C387" s="34">
        <v>44733.0</v>
      </c>
      <c r="D387" s="36"/>
    </row>
    <row r="388">
      <c r="B388" s="37"/>
      <c r="C388" s="34">
        <v>44734.0</v>
      </c>
      <c r="D388" s="36"/>
    </row>
    <row r="389">
      <c r="B389" s="37"/>
      <c r="C389" s="34">
        <v>44735.0</v>
      </c>
      <c r="D389" s="36"/>
    </row>
    <row r="390">
      <c r="B390" s="37"/>
      <c r="C390" s="34">
        <v>44736.0</v>
      </c>
      <c r="D390" s="36"/>
    </row>
    <row r="391">
      <c r="B391" s="37"/>
      <c r="C391" s="34">
        <v>44737.0</v>
      </c>
      <c r="D391" s="36"/>
    </row>
    <row r="392">
      <c r="B392" s="37"/>
      <c r="C392" s="34">
        <v>44738.0</v>
      </c>
      <c r="D392" s="36"/>
    </row>
    <row r="393">
      <c r="B393" s="37"/>
      <c r="C393" s="34">
        <v>44739.0</v>
      </c>
      <c r="D393" s="36"/>
    </row>
    <row r="394">
      <c r="B394" s="37"/>
      <c r="C394" s="34">
        <v>44740.0</v>
      </c>
      <c r="D394" s="36"/>
    </row>
    <row r="395">
      <c r="B395" s="37"/>
      <c r="C395" s="34">
        <v>44741.0</v>
      </c>
      <c r="D395" s="36"/>
    </row>
    <row r="396">
      <c r="B396" s="37"/>
      <c r="C396" s="34">
        <v>44742.0</v>
      </c>
      <c r="D396" s="36"/>
    </row>
    <row r="397">
      <c r="B397" s="37"/>
      <c r="C397" s="34">
        <v>44743.0</v>
      </c>
      <c r="D397" s="36"/>
    </row>
    <row r="398">
      <c r="B398" s="37"/>
      <c r="C398" s="34">
        <v>44744.0</v>
      </c>
      <c r="D398" s="36"/>
    </row>
    <row r="399">
      <c r="B399" s="37"/>
      <c r="C399" s="34">
        <v>44745.0</v>
      </c>
      <c r="D399" s="36"/>
    </row>
    <row r="400">
      <c r="B400" s="37"/>
      <c r="C400" s="34">
        <v>44746.0</v>
      </c>
      <c r="D400" s="36"/>
    </row>
    <row r="401">
      <c r="B401" s="37"/>
      <c r="C401" s="34">
        <v>44747.0</v>
      </c>
      <c r="D401" s="36"/>
    </row>
    <row r="402">
      <c r="B402" s="37"/>
      <c r="C402" s="34">
        <v>44748.0</v>
      </c>
      <c r="D402" s="36"/>
    </row>
    <row r="403">
      <c r="B403" s="37"/>
      <c r="C403" s="34">
        <v>44749.0</v>
      </c>
      <c r="D403" s="36"/>
    </row>
    <row r="404">
      <c r="B404" s="37"/>
      <c r="C404" s="34">
        <v>44750.0</v>
      </c>
      <c r="D404" s="36"/>
    </row>
    <row r="405">
      <c r="B405" s="37"/>
      <c r="C405" s="34">
        <v>44751.0</v>
      </c>
      <c r="D405" s="36"/>
    </row>
    <row r="406">
      <c r="B406" s="37"/>
      <c r="C406" s="34">
        <v>44752.0</v>
      </c>
      <c r="D406" s="36"/>
    </row>
    <row r="407">
      <c r="B407" s="37"/>
      <c r="C407" s="34">
        <v>44753.0</v>
      </c>
      <c r="D407" s="36"/>
    </row>
    <row r="408">
      <c r="B408" s="37"/>
      <c r="C408" s="34">
        <v>44754.0</v>
      </c>
      <c r="D408" s="36"/>
    </row>
    <row r="409">
      <c r="B409" s="37"/>
      <c r="C409" s="34">
        <v>44755.0</v>
      </c>
      <c r="D409" s="36"/>
    </row>
    <row r="410">
      <c r="B410" s="37"/>
      <c r="C410" s="34">
        <v>44756.0</v>
      </c>
      <c r="D410" s="36"/>
    </row>
    <row r="411">
      <c r="B411" s="37"/>
      <c r="C411" s="34">
        <v>44757.0</v>
      </c>
      <c r="D411" s="36"/>
    </row>
    <row r="412">
      <c r="B412" s="37"/>
      <c r="C412" s="34">
        <v>44758.0</v>
      </c>
      <c r="D412" s="36"/>
    </row>
    <row r="413">
      <c r="B413" s="37"/>
      <c r="C413" s="34">
        <v>44759.0</v>
      </c>
      <c r="D413" s="36"/>
    </row>
    <row r="414">
      <c r="B414" s="37"/>
      <c r="C414" s="34">
        <v>44760.0</v>
      </c>
      <c r="D414" s="36"/>
    </row>
    <row r="415">
      <c r="B415" s="37"/>
      <c r="C415" s="34">
        <v>44761.0</v>
      </c>
      <c r="D415" s="36"/>
    </row>
    <row r="416">
      <c r="B416" s="37"/>
      <c r="C416" s="34">
        <v>44762.0</v>
      </c>
      <c r="D416" s="36"/>
    </row>
    <row r="417">
      <c r="B417" s="37"/>
      <c r="C417" s="34">
        <v>44763.0</v>
      </c>
      <c r="D417" s="36"/>
    </row>
    <row r="418">
      <c r="B418" s="37"/>
      <c r="C418" s="34">
        <v>44764.0</v>
      </c>
      <c r="D418" s="36"/>
    </row>
    <row r="419">
      <c r="B419" s="37"/>
      <c r="C419" s="34">
        <v>44765.0</v>
      </c>
      <c r="D419" s="36"/>
    </row>
    <row r="420">
      <c r="B420" s="37"/>
      <c r="C420" s="34">
        <v>44766.0</v>
      </c>
      <c r="D420" s="36"/>
    </row>
    <row r="421">
      <c r="B421" s="37"/>
      <c r="C421" s="34">
        <v>44767.0</v>
      </c>
      <c r="D421" s="36"/>
    </row>
    <row r="422">
      <c r="B422" s="37"/>
      <c r="C422" s="34">
        <v>44768.0</v>
      </c>
      <c r="D422" s="36"/>
    </row>
    <row r="423">
      <c r="B423" s="37"/>
      <c r="C423" s="34">
        <v>44769.0</v>
      </c>
      <c r="D423" s="36"/>
    </row>
    <row r="424">
      <c r="B424" s="37"/>
      <c r="C424" s="34">
        <v>44770.0</v>
      </c>
      <c r="D424" s="36"/>
    </row>
    <row r="425">
      <c r="B425" s="37"/>
      <c r="C425" s="34">
        <v>44771.0</v>
      </c>
      <c r="D425" s="36"/>
    </row>
    <row r="426">
      <c r="B426" s="37"/>
      <c r="C426" s="34">
        <v>44772.0</v>
      </c>
      <c r="D426" s="36"/>
    </row>
    <row r="427">
      <c r="B427" s="37"/>
      <c r="C427" s="34">
        <v>44773.0</v>
      </c>
      <c r="D427" s="36"/>
    </row>
    <row r="428">
      <c r="B428" s="37"/>
      <c r="C428" s="34">
        <v>44774.0</v>
      </c>
      <c r="D428" s="36"/>
    </row>
    <row r="429">
      <c r="B429" s="37"/>
      <c r="C429" s="34">
        <v>44775.0</v>
      </c>
      <c r="D429" s="36"/>
    </row>
    <row r="430">
      <c r="B430" s="37"/>
      <c r="C430" s="34">
        <v>44776.0</v>
      </c>
      <c r="D430" s="36"/>
    </row>
    <row r="431">
      <c r="B431" s="37"/>
      <c r="C431" s="34">
        <v>44777.0</v>
      </c>
      <c r="D431" s="36"/>
    </row>
    <row r="432">
      <c r="B432" s="37"/>
      <c r="C432" s="34">
        <v>44778.0</v>
      </c>
      <c r="D432" s="36"/>
    </row>
    <row r="433">
      <c r="B433" s="37"/>
      <c r="C433" s="34">
        <v>44779.0</v>
      </c>
      <c r="D433" s="36"/>
    </row>
    <row r="434">
      <c r="B434" s="37"/>
      <c r="C434" s="34">
        <v>44780.0</v>
      </c>
      <c r="D434" s="36"/>
    </row>
    <row r="435">
      <c r="B435" s="37"/>
      <c r="C435" s="34">
        <v>44781.0</v>
      </c>
      <c r="D435" s="36"/>
    </row>
    <row r="436">
      <c r="B436" s="37"/>
      <c r="C436" s="34">
        <v>44782.0</v>
      </c>
      <c r="D436" s="36"/>
    </row>
    <row r="437">
      <c r="B437" s="37"/>
      <c r="C437" s="34">
        <v>44783.0</v>
      </c>
      <c r="D437" s="36"/>
    </row>
    <row r="438">
      <c r="B438" s="37"/>
      <c r="C438" s="34">
        <v>44784.0</v>
      </c>
      <c r="D438" s="36"/>
    </row>
    <row r="439">
      <c r="B439" s="37"/>
      <c r="C439" s="34">
        <v>44785.0</v>
      </c>
      <c r="D439" s="36"/>
    </row>
    <row r="440">
      <c r="B440" s="37"/>
      <c r="C440" s="34">
        <v>44786.0</v>
      </c>
      <c r="D440" s="36"/>
    </row>
    <row r="441">
      <c r="B441" s="37"/>
      <c r="C441" s="34">
        <v>44787.0</v>
      </c>
      <c r="D441" s="36"/>
    </row>
    <row r="442">
      <c r="B442" s="37"/>
      <c r="C442" s="34">
        <v>44788.0</v>
      </c>
      <c r="D442" s="36"/>
    </row>
    <row r="443">
      <c r="B443" s="37"/>
      <c r="C443" s="34">
        <v>44789.0</v>
      </c>
      <c r="D443" s="36"/>
    </row>
    <row r="444">
      <c r="B444" s="37"/>
      <c r="C444" s="34">
        <v>44790.0</v>
      </c>
      <c r="D444" s="36"/>
    </row>
    <row r="445">
      <c r="B445" s="37"/>
      <c r="C445" s="34">
        <v>44791.0</v>
      </c>
      <c r="D445" s="36"/>
    </row>
    <row r="446">
      <c r="B446" s="37"/>
      <c r="C446" s="34">
        <v>44792.0</v>
      </c>
      <c r="D446" s="36"/>
    </row>
    <row r="447">
      <c r="B447" s="37"/>
      <c r="C447" s="34">
        <v>44793.0</v>
      </c>
      <c r="D447" s="36"/>
    </row>
    <row r="448">
      <c r="B448" s="37"/>
      <c r="C448" s="34">
        <v>44794.0</v>
      </c>
      <c r="D448" s="36"/>
    </row>
    <row r="449">
      <c r="B449" s="37"/>
      <c r="C449" s="34">
        <v>44795.0</v>
      </c>
      <c r="D449" s="36"/>
    </row>
    <row r="450">
      <c r="B450" s="37"/>
      <c r="C450" s="34">
        <v>44796.0</v>
      </c>
      <c r="D450" s="36"/>
    </row>
    <row r="451">
      <c r="B451" s="37"/>
      <c r="C451" s="34">
        <v>44797.0</v>
      </c>
      <c r="D451" s="36"/>
    </row>
    <row r="452">
      <c r="B452" s="37"/>
      <c r="C452" s="34">
        <v>44798.0</v>
      </c>
      <c r="D452" s="36"/>
    </row>
    <row r="453">
      <c r="B453" s="37"/>
      <c r="C453" s="34">
        <v>44799.0</v>
      </c>
      <c r="D453" s="36"/>
    </row>
    <row r="454">
      <c r="B454" s="37"/>
      <c r="C454" s="34">
        <v>44800.0</v>
      </c>
      <c r="D454" s="36"/>
    </row>
    <row r="455">
      <c r="B455" s="37"/>
      <c r="C455" s="34">
        <v>44801.0</v>
      </c>
      <c r="D455" s="36"/>
    </row>
    <row r="456">
      <c r="B456" s="37"/>
      <c r="C456" s="34">
        <v>44802.0</v>
      </c>
      <c r="D456" s="36"/>
    </row>
    <row r="457">
      <c r="B457" s="37"/>
      <c r="C457" s="34">
        <v>44803.0</v>
      </c>
      <c r="D457" s="36"/>
    </row>
    <row r="458">
      <c r="B458" s="37"/>
      <c r="C458" s="34">
        <v>44804.0</v>
      </c>
      <c r="D458" s="36"/>
    </row>
    <row r="459">
      <c r="B459" s="37"/>
      <c r="C459" s="34">
        <v>44805.0</v>
      </c>
      <c r="D459" s="36"/>
    </row>
    <row r="460">
      <c r="B460" s="37"/>
      <c r="C460" s="34">
        <v>44806.0</v>
      </c>
      <c r="D460" s="36"/>
    </row>
    <row r="461">
      <c r="B461" s="37"/>
      <c r="C461" s="34">
        <v>44807.0</v>
      </c>
      <c r="D461" s="36"/>
    </row>
    <row r="462">
      <c r="B462" s="37"/>
      <c r="C462" s="34">
        <v>44808.0</v>
      </c>
      <c r="D462" s="36"/>
    </row>
    <row r="463">
      <c r="B463" s="37"/>
      <c r="C463" s="34">
        <v>44809.0</v>
      </c>
      <c r="D463" s="36"/>
    </row>
    <row r="464">
      <c r="B464" s="37"/>
      <c r="C464" s="34">
        <v>44810.0</v>
      </c>
      <c r="D464" s="36"/>
    </row>
    <row r="465">
      <c r="B465" s="37"/>
      <c r="C465" s="34">
        <v>44811.0</v>
      </c>
      <c r="D465" s="36"/>
    </row>
    <row r="466">
      <c r="B466" s="37"/>
      <c r="C466" s="34">
        <v>44812.0</v>
      </c>
      <c r="D466" s="36"/>
    </row>
    <row r="467">
      <c r="B467" s="37"/>
      <c r="C467" s="34">
        <v>44813.0</v>
      </c>
      <c r="D467" s="36"/>
    </row>
    <row r="468">
      <c r="B468" s="37"/>
      <c r="C468" s="34">
        <v>44814.0</v>
      </c>
      <c r="D468" s="36"/>
    </row>
    <row r="469">
      <c r="B469" s="37"/>
      <c r="C469" s="34">
        <v>44815.0</v>
      </c>
      <c r="D469" s="36"/>
    </row>
    <row r="470">
      <c r="B470" s="37"/>
      <c r="C470" s="34">
        <v>44816.0</v>
      </c>
      <c r="D470" s="36"/>
    </row>
    <row r="471">
      <c r="B471" s="37"/>
      <c r="C471" s="34">
        <v>44817.0</v>
      </c>
      <c r="D471" s="36"/>
    </row>
    <row r="472">
      <c r="B472" s="37"/>
      <c r="C472" s="34">
        <v>44818.0</v>
      </c>
      <c r="D472" s="36"/>
    </row>
    <row r="473">
      <c r="B473" s="37"/>
      <c r="C473" s="34">
        <v>44819.0</v>
      </c>
      <c r="D473" s="36"/>
    </row>
    <row r="474">
      <c r="B474" s="37"/>
      <c r="C474" s="34">
        <v>44820.0</v>
      </c>
      <c r="D474" s="36"/>
    </row>
    <row r="475">
      <c r="B475" s="37"/>
      <c r="C475" s="34">
        <v>44821.0</v>
      </c>
      <c r="D475" s="36"/>
    </row>
    <row r="476">
      <c r="B476" s="37"/>
      <c r="C476" s="34">
        <v>44822.0</v>
      </c>
      <c r="D476" s="36"/>
    </row>
    <row r="477">
      <c r="B477" s="37"/>
      <c r="C477" s="34">
        <v>44823.0</v>
      </c>
      <c r="D477" s="36"/>
    </row>
    <row r="478">
      <c r="B478" s="37"/>
      <c r="C478" s="34">
        <v>44824.0</v>
      </c>
      <c r="D478" s="36"/>
    </row>
    <row r="479">
      <c r="B479" s="37"/>
      <c r="C479" s="34">
        <v>44825.0</v>
      </c>
      <c r="D479" s="36"/>
    </row>
    <row r="480">
      <c r="B480" s="37"/>
      <c r="C480" s="34">
        <v>44826.0</v>
      </c>
      <c r="D480" s="36"/>
    </row>
    <row r="481">
      <c r="B481" s="37"/>
      <c r="C481" s="34">
        <v>44827.0</v>
      </c>
      <c r="D481" s="36"/>
    </row>
    <row r="482">
      <c r="B482" s="37"/>
      <c r="C482" s="34">
        <v>44828.0</v>
      </c>
      <c r="D482" s="36"/>
    </row>
    <row r="483">
      <c r="B483" s="37"/>
      <c r="C483" s="34">
        <v>44829.0</v>
      </c>
      <c r="D483" s="36"/>
    </row>
    <row r="484">
      <c r="B484" s="37"/>
      <c r="C484" s="34">
        <v>44830.0</v>
      </c>
      <c r="D484" s="36"/>
    </row>
    <row r="485">
      <c r="B485" s="37"/>
      <c r="C485" s="34">
        <v>44831.0</v>
      </c>
      <c r="D485" s="36"/>
    </row>
    <row r="486">
      <c r="B486" s="37"/>
      <c r="C486" s="34">
        <v>44832.0</v>
      </c>
      <c r="D486" s="36"/>
    </row>
    <row r="487">
      <c r="B487" s="37"/>
      <c r="C487" s="34">
        <v>44833.0</v>
      </c>
      <c r="D487" s="36"/>
    </row>
    <row r="488">
      <c r="B488" s="37"/>
      <c r="C488" s="34">
        <v>44834.0</v>
      </c>
      <c r="D488" s="36"/>
    </row>
    <row r="489">
      <c r="B489" s="37"/>
      <c r="C489" s="34">
        <v>44835.0</v>
      </c>
      <c r="D489" s="36"/>
    </row>
    <row r="490">
      <c r="B490" s="37"/>
      <c r="C490" s="34">
        <v>44836.0</v>
      </c>
      <c r="D490" s="36"/>
    </row>
    <row r="491">
      <c r="B491" s="37"/>
      <c r="C491" s="34">
        <v>44837.0</v>
      </c>
      <c r="D491" s="36"/>
    </row>
    <row r="492">
      <c r="B492" s="37"/>
      <c r="C492" s="34">
        <v>44838.0</v>
      </c>
      <c r="D492" s="36"/>
    </row>
    <row r="493">
      <c r="B493" s="37"/>
      <c r="C493" s="34">
        <v>44839.0</v>
      </c>
      <c r="D493" s="36"/>
    </row>
    <row r="494">
      <c r="B494" s="37"/>
      <c r="C494" s="34">
        <v>44840.0</v>
      </c>
      <c r="D494" s="36"/>
    </row>
    <row r="495">
      <c r="B495" s="37"/>
      <c r="C495" s="34">
        <v>44841.0</v>
      </c>
      <c r="D495" s="36"/>
    </row>
    <row r="496">
      <c r="B496" s="37"/>
      <c r="C496" s="34">
        <v>44842.0</v>
      </c>
      <c r="D496" s="36"/>
    </row>
    <row r="497">
      <c r="B497" s="37"/>
      <c r="C497" s="34">
        <v>44843.0</v>
      </c>
      <c r="D497" s="36"/>
    </row>
    <row r="498">
      <c r="B498" s="37"/>
      <c r="C498" s="34">
        <v>44844.0</v>
      </c>
      <c r="D498" s="36"/>
    </row>
    <row r="499">
      <c r="B499" s="37"/>
      <c r="C499" s="34">
        <v>44845.0</v>
      </c>
      <c r="D499" s="36"/>
    </row>
    <row r="500">
      <c r="B500" s="37"/>
      <c r="C500" s="34">
        <v>44846.0</v>
      </c>
      <c r="D500" s="36"/>
    </row>
    <row r="501">
      <c r="B501" s="37"/>
      <c r="C501" s="34">
        <v>44847.0</v>
      </c>
      <c r="D501" s="36"/>
    </row>
    <row r="502">
      <c r="B502" s="37"/>
      <c r="C502" s="34">
        <v>44848.0</v>
      </c>
      <c r="D502" s="36"/>
    </row>
    <row r="503">
      <c r="B503" s="37"/>
      <c r="C503" s="34">
        <v>44849.0</v>
      </c>
      <c r="D503" s="36"/>
    </row>
    <row r="504">
      <c r="B504" s="37"/>
      <c r="C504" s="34">
        <v>44850.0</v>
      </c>
      <c r="D504" s="36"/>
    </row>
    <row r="505">
      <c r="B505" s="37"/>
      <c r="C505" s="34">
        <v>44851.0</v>
      </c>
      <c r="D505" s="36"/>
    </row>
    <row r="506">
      <c r="B506" s="37"/>
      <c r="C506" s="34">
        <v>44852.0</v>
      </c>
      <c r="D506" s="36"/>
    </row>
    <row r="507">
      <c r="B507" s="37"/>
      <c r="C507" s="34">
        <v>44853.0</v>
      </c>
      <c r="D507" s="36"/>
    </row>
    <row r="508">
      <c r="B508" s="37"/>
      <c r="C508" s="34">
        <v>44854.0</v>
      </c>
      <c r="D508" s="36"/>
    </row>
    <row r="509">
      <c r="B509" s="37"/>
      <c r="C509" s="34">
        <v>44855.0</v>
      </c>
      <c r="D509" s="36"/>
    </row>
    <row r="510">
      <c r="B510" s="37"/>
      <c r="C510" s="34">
        <v>44856.0</v>
      </c>
      <c r="D510" s="36"/>
    </row>
    <row r="511">
      <c r="B511" s="37"/>
      <c r="C511" s="34">
        <v>44857.0</v>
      </c>
      <c r="D511" s="36"/>
    </row>
    <row r="512">
      <c r="B512" s="37"/>
      <c r="C512" s="34">
        <v>44858.0</v>
      </c>
      <c r="D512" s="36"/>
    </row>
    <row r="513">
      <c r="B513" s="37"/>
      <c r="C513" s="34">
        <v>44859.0</v>
      </c>
      <c r="D513" s="36"/>
    </row>
    <row r="514">
      <c r="B514" s="37"/>
      <c r="C514" s="34">
        <v>44860.0</v>
      </c>
      <c r="D514" s="36"/>
    </row>
    <row r="515">
      <c r="B515" s="37"/>
      <c r="C515" s="34">
        <v>44861.0</v>
      </c>
      <c r="D515" s="36"/>
    </row>
    <row r="516">
      <c r="B516" s="37"/>
      <c r="C516" s="34">
        <v>44862.0</v>
      </c>
      <c r="D516" s="36"/>
    </row>
    <row r="517">
      <c r="B517" s="37"/>
      <c r="C517" s="34">
        <v>44863.0</v>
      </c>
      <c r="D517" s="36"/>
    </row>
    <row r="518">
      <c r="B518" s="37"/>
      <c r="C518" s="34">
        <v>44864.0</v>
      </c>
      <c r="D518" s="36"/>
    </row>
    <row r="519">
      <c r="B519" s="37"/>
      <c r="C519" s="34">
        <v>44865.0</v>
      </c>
      <c r="D519" s="36"/>
    </row>
    <row r="520">
      <c r="B520" s="37"/>
      <c r="C520" s="34">
        <v>44866.0</v>
      </c>
      <c r="D520" s="36"/>
    </row>
    <row r="521">
      <c r="B521" s="37"/>
      <c r="C521" s="34">
        <v>44867.0</v>
      </c>
      <c r="D521" s="36"/>
    </row>
    <row r="522">
      <c r="B522" s="37"/>
      <c r="C522" s="34">
        <v>44868.0</v>
      </c>
      <c r="D522" s="36"/>
    </row>
    <row r="523">
      <c r="B523" s="37"/>
      <c r="C523" s="34">
        <v>44869.0</v>
      </c>
      <c r="D523" s="36"/>
    </row>
    <row r="524">
      <c r="B524" s="37"/>
      <c r="C524" s="34">
        <v>44870.0</v>
      </c>
      <c r="D524" s="36"/>
    </row>
    <row r="525">
      <c r="B525" s="37"/>
      <c r="C525" s="34">
        <v>44871.0</v>
      </c>
      <c r="D525" s="36"/>
    </row>
    <row r="526">
      <c r="B526" s="37"/>
      <c r="C526" s="34">
        <v>44872.0</v>
      </c>
      <c r="D526" s="36"/>
    </row>
    <row r="527">
      <c r="B527" s="37"/>
      <c r="C527" s="34">
        <v>44873.0</v>
      </c>
      <c r="D527" s="36"/>
    </row>
    <row r="528">
      <c r="B528" s="37"/>
      <c r="C528" s="34">
        <v>44874.0</v>
      </c>
      <c r="D528" s="36"/>
    </row>
    <row r="529">
      <c r="B529" s="37"/>
      <c r="C529" s="34">
        <v>44875.0</v>
      </c>
      <c r="D529" s="36"/>
    </row>
    <row r="530">
      <c r="B530" s="37"/>
      <c r="C530" s="34">
        <v>44876.0</v>
      </c>
      <c r="D530" s="36"/>
    </row>
    <row r="531">
      <c r="B531" s="37"/>
      <c r="C531" s="34">
        <v>44877.0</v>
      </c>
      <c r="D531" s="36"/>
    </row>
    <row r="532">
      <c r="B532" s="37"/>
      <c r="C532" s="34">
        <v>44878.0</v>
      </c>
      <c r="D532" s="36"/>
    </row>
    <row r="533">
      <c r="B533" s="37"/>
      <c r="C533" s="34">
        <v>44879.0</v>
      </c>
      <c r="D533" s="36"/>
    </row>
    <row r="534">
      <c r="B534" s="37"/>
      <c r="C534" s="34">
        <v>44880.0</v>
      </c>
      <c r="D534" s="36"/>
    </row>
    <row r="535">
      <c r="B535" s="37"/>
      <c r="C535" s="34">
        <v>44881.0</v>
      </c>
      <c r="D535" s="36"/>
    </row>
    <row r="536">
      <c r="B536" s="37"/>
      <c r="C536" s="34">
        <v>44882.0</v>
      </c>
      <c r="D536" s="36"/>
    </row>
    <row r="537">
      <c r="B537" s="37"/>
      <c r="C537" s="34">
        <v>44883.0</v>
      </c>
      <c r="D537" s="36"/>
    </row>
    <row r="538">
      <c r="B538" s="37"/>
      <c r="C538" s="34">
        <v>44884.0</v>
      </c>
      <c r="D538" s="36"/>
    </row>
    <row r="539">
      <c r="B539" s="37"/>
      <c r="C539" s="34">
        <v>44885.0</v>
      </c>
      <c r="D539" s="36"/>
    </row>
    <row r="540">
      <c r="B540" s="37"/>
      <c r="C540" s="34">
        <v>44886.0</v>
      </c>
      <c r="D540" s="36"/>
    </row>
    <row r="541">
      <c r="B541" s="37"/>
      <c r="C541" s="34">
        <v>44887.0</v>
      </c>
      <c r="D541" s="36"/>
    </row>
    <row r="542">
      <c r="B542" s="37"/>
      <c r="C542" s="34">
        <v>44888.0</v>
      </c>
      <c r="D542" s="36"/>
    </row>
    <row r="543">
      <c r="B543" s="37"/>
      <c r="C543" s="34">
        <v>44889.0</v>
      </c>
      <c r="D543" s="36"/>
    </row>
    <row r="544">
      <c r="B544" s="37"/>
      <c r="C544" s="34">
        <v>44890.0</v>
      </c>
      <c r="D544" s="36"/>
    </row>
    <row r="545">
      <c r="B545" s="37"/>
      <c r="C545" s="34">
        <v>44891.0</v>
      </c>
      <c r="D545" s="36"/>
    </row>
    <row r="546">
      <c r="B546" s="37"/>
      <c r="C546" s="34">
        <v>44892.0</v>
      </c>
      <c r="D546" s="36"/>
    </row>
    <row r="547">
      <c r="B547" s="37"/>
      <c r="C547" s="34">
        <v>44893.0</v>
      </c>
      <c r="D547" s="36"/>
    </row>
    <row r="548">
      <c r="B548" s="37"/>
      <c r="C548" s="34">
        <v>44894.0</v>
      </c>
      <c r="D548" s="36"/>
    </row>
    <row r="549">
      <c r="B549" s="37"/>
      <c r="C549" s="34">
        <v>44895.0</v>
      </c>
      <c r="D549" s="36"/>
    </row>
    <row r="550">
      <c r="B550" s="37"/>
      <c r="C550" s="34">
        <v>44896.0</v>
      </c>
      <c r="D550" s="36"/>
    </row>
    <row r="551">
      <c r="B551" s="37"/>
      <c r="C551" s="34">
        <v>44897.0</v>
      </c>
      <c r="D551" s="36"/>
    </row>
    <row r="552">
      <c r="B552" s="37"/>
      <c r="C552" s="34">
        <v>44898.0</v>
      </c>
      <c r="D552" s="36"/>
    </row>
    <row r="553">
      <c r="B553" s="37"/>
      <c r="C553" s="34">
        <v>44899.0</v>
      </c>
      <c r="D553" s="36"/>
    </row>
    <row r="554">
      <c r="B554" s="37"/>
      <c r="C554" s="34">
        <v>44900.0</v>
      </c>
      <c r="D554" s="36"/>
    </row>
    <row r="555">
      <c r="B555" s="37"/>
      <c r="C555" s="34">
        <v>44901.0</v>
      </c>
      <c r="D555" s="36"/>
    </row>
    <row r="556">
      <c r="B556" s="37"/>
      <c r="C556" s="34">
        <v>44902.0</v>
      </c>
      <c r="D556" s="36"/>
    </row>
    <row r="557">
      <c r="B557" s="37"/>
      <c r="C557" s="34">
        <v>44903.0</v>
      </c>
      <c r="D557" s="36"/>
    </row>
    <row r="558">
      <c r="B558" s="37"/>
      <c r="C558" s="34">
        <v>44904.0</v>
      </c>
      <c r="D558" s="36"/>
    </row>
    <row r="559">
      <c r="B559" s="37"/>
      <c r="C559" s="34">
        <v>44905.0</v>
      </c>
      <c r="D559" s="36"/>
    </row>
    <row r="560">
      <c r="B560" s="37"/>
      <c r="C560" s="34">
        <v>44906.0</v>
      </c>
      <c r="D560" s="36"/>
    </row>
    <row r="561">
      <c r="B561" s="37"/>
      <c r="C561" s="34">
        <v>44907.0</v>
      </c>
      <c r="D561" s="36"/>
    </row>
    <row r="562">
      <c r="B562" s="37"/>
      <c r="C562" s="34">
        <v>44908.0</v>
      </c>
      <c r="D562" s="36"/>
    </row>
    <row r="563">
      <c r="B563" s="37"/>
      <c r="C563" s="34">
        <v>44909.0</v>
      </c>
      <c r="D563" s="36"/>
    </row>
    <row r="564">
      <c r="B564" s="37"/>
      <c r="C564" s="34">
        <v>44910.0</v>
      </c>
      <c r="D564" s="36"/>
    </row>
    <row r="565">
      <c r="B565" s="37"/>
      <c r="C565" s="34">
        <v>44911.0</v>
      </c>
      <c r="D565" s="36"/>
    </row>
    <row r="566">
      <c r="B566" s="37"/>
      <c r="C566" s="34">
        <v>44912.0</v>
      </c>
      <c r="D566" s="36"/>
    </row>
    <row r="567">
      <c r="B567" s="37"/>
      <c r="C567" s="34">
        <v>44913.0</v>
      </c>
      <c r="D567" s="36"/>
    </row>
    <row r="568">
      <c r="B568" s="37"/>
      <c r="C568" s="34">
        <v>44914.0</v>
      </c>
      <c r="D568" s="36"/>
    </row>
    <row r="569">
      <c r="B569" s="37"/>
      <c r="C569" s="34">
        <v>44915.0</v>
      </c>
      <c r="D569" s="36"/>
    </row>
    <row r="570">
      <c r="B570" s="37"/>
      <c r="C570" s="34">
        <v>44916.0</v>
      </c>
      <c r="D570" s="36"/>
    </row>
    <row r="571">
      <c r="B571" s="37"/>
      <c r="C571" s="34">
        <v>44917.0</v>
      </c>
      <c r="D571" s="36"/>
    </row>
    <row r="572">
      <c r="B572" s="37"/>
      <c r="C572" s="34">
        <v>44918.0</v>
      </c>
      <c r="D572" s="36"/>
    </row>
    <row r="573">
      <c r="B573" s="37"/>
      <c r="C573" s="34">
        <v>44919.0</v>
      </c>
      <c r="D573" s="36"/>
    </row>
    <row r="574">
      <c r="B574" s="37"/>
      <c r="C574" s="34">
        <v>44920.0</v>
      </c>
      <c r="D574" s="36"/>
    </row>
    <row r="575">
      <c r="B575" s="37"/>
      <c r="C575" s="34">
        <v>44921.0</v>
      </c>
      <c r="D575" s="36"/>
    </row>
    <row r="576">
      <c r="B576" s="37"/>
      <c r="C576" s="34">
        <v>44922.0</v>
      </c>
      <c r="D576" s="36"/>
    </row>
    <row r="577">
      <c r="B577" s="37"/>
      <c r="C577" s="34">
        <v>44923.0</v>
      </c>
      <c r="D577" s="36"/>
    </row>
    <row r="578">
      <c r="B578" s="37"/>
      <c r="C578" s="34">
        <v>44924.0</v>
      </c>
      <c r="D578" s="36"/>
    </row>
    <row r="579">
      <c r="B579" s="37"/>
      <c r="C579" s="34">
        <v>44925.0</v>
      </c>
      <c r="D579" s="36"/>
    </row>
    <row r="580">
      <c r="B580" s="37"/>
      <c r="C580" s="34">
        <v>44926.0</v>
      </c>
      <c r="D580" s="36"/>
    </row>
    <row r="581">
      <c r="B581" s="37"/>
      <c r="C581" s="34">
        <v>44927.0</v>
      </c>
      <c r="D581" s="36"/>
    </row>
    <row r="582">
      <c r="B582" s="37"/>
      <c r="C582" s="34">
        <v>44928.0</v>
      </c>
      <c r="D582" s="36"/>
    </row>
    <row r="583">
      <c r="B583" s="37"/>
      <c r="C583" s="34">
        <v>44929.0</v>
      </c>
      <c r="D583" s="36"/>
    </row>
    <row r="584">
      <c r="B584" s="37"/>
      <c r="C584" s="34">
        <v>44930.0</v>
      </c>
      <c r="D584" s="36"/>
    </row>
    <row r="585">
      <c r="B585" s="37"/>
      <c r="C585" s="34">
        <v>44931.0</v>
      </c>
      <c r="D585" s="36"/>
    </row>
    <row r="586">
      <c r="B586" s="37"/>
      <c r="C586" s="34">
        <v>44932.0</v>
      </c>
      <c r="D586" s="36"/>
    </row>
    <row r="587">
      <c r="B587" s="37"/>
      <c r="C587" s="34">
        <v>44933.0</v>
      </c>
      <c r="D587" s="36"/>
    </row>
    <row r="588">
      <c r="B588" s="37"/>
      <c r="C588" s="34">
        <v>44934.0</v>
      </c>
      <c r="D588" s="36"/>
    </row>
    <row r="589">
      <c r="B589" s="37"/>
      <c r="C589" s="34">
        <v>44935.0</v>
      </c>
      <c r="D589" s="36"/>
    </row>
    <row r="590">
      <c r="B590" s="37"/>
      <c r="C590" s="34">
        <v>44936.0</v>
      </c>
      <c r="D590" s="36"/>
    </row>
    <row r="591">
      <c r="B591" s="37"/>
      <c r="C591" s="34">
        <v>44937.0</v>
      </c>
      <c r="D591" s="36"/>
    </row>
    <row r="592">
      <c r="B592" s="37"/>
      <c r="C592" s="34">
        <v>44938.0</v>
      </c>
      <c r="D592" s="36"/>
    </row>
    <row r="593">
      <c r="B593" s="37"/>
      <c r="C593" s="34">
        <v>44939.0</v>
      </c>
      <c r="D593" s="36"/>
    </row>
    <row r="594">
      <c r="B594" s="37"/>
      <c r="C594" s="34">
        <v>44940.0</v>
      </c>
      <c r="D594" s="36"/>
    </row>
    <row r="595">
      <c r="B595" s="37"/>
      <c r="C595" s="34">
        <v>44941.0</v>
      </c>
      <c r="D595" s="36"/>
    </row>
    <row r="596">
      <c r="B596" s="37"/>
      <c r="C596" s="34">
        <v>44942.0</v>
      </c>
      <c r="D596" s="36"/>
    </row>
    <row r="597">
      <c r="B597" s="37"/>
      <c r="C597" s="34">
        <v>44943.0</v>
      </c>
      <c r="D597" s="36"/>
    </row>
    <row r="598">
      <c r="B598" s="37"/>
      <c r="C598" s="34">
        <v>44944.0</v>
      </c>
      <c r="D598" s="36"/>
    </row>
    <row r="599">
      <c r="B599" s="37"/>
      <c r="C599" s="34">
        <v>44945.0</v>
      </c>
      <c r="D599" s="36"/>
    </row>
    <row r="600">
      <c r="B600" s="37"/>
      <c r="C600" s="34">
        <v>44946.0</v>
      </c>
      <c r="D600" s="36"/>
    </row>
    <row r="601">
      <c r="B601" s="37"/>
      <c r="C601" s="34">
        <v>44947.0</v>
      </c>
      <c r="D601" s="36"/>
    </row>
    <row r="602">
      <c r="B602" s="37"/>
      <c r="C602" s="34">
        <v>44948.0</v>
      </c>
      <c r="D602" s="36"/>
    </row>
    <row r="603">
      <c r="B603" s="37"/>
      <c r="C603" s="34">
        <v>44949.0</v>
      </c>
      <c r="D603" s="36"/>
    </row>
    <row r="604">
      <c r="B604" s="37"/>
      <c r="C604" s="34">
        <v>44950.0</v>
      </c>
      <c r="D604" s="36"/>
    </row>
    <row r="605">
      <c r="B605" s="37"/>
      <c r="C605" s="34">
        <v>44951.0</v>
      </c>
      <c r="D605" s="36"/>
    </row>
    <row r="606">
      <c r="B606" s="37"/>
      <c r="C606" s="34">
        <v>44952.0</v>
      </c>
      <c r="D606" s="36"/>
    </row>
    <row r="607">
      <c r="B607" s="37"/>
      <c r="C607" s="34">
        <v>44953.0</v>
      </c>
      <c r="D607" s="36"/>
    </row>
    <row r="608">
      <c r="B608" s="37"/>
      <c r="C608" s="34">
        <v>44954.0</v>
      </c>
      <c r="D608" s="36"/>
    </row>
    <row r="609">
      <c r="B609" s="37"/>
      <c r="C609" s="34">
        <v>44955.0</v>
      </c>
      <c r="D609" s="36"/>
    </row>
    <row r="610">
      <c r="B610" s="37"/>
      <c r="C610" s="34">
        <v>44956.0</v>
      </c>
      <c r="D610" s="36"/>
    </row>
    <row r="611">
      <c r="B611" s="37"/>
      <c r="C611" s="34">
        <v>44957.0</v>
      </c>
      <c r="D611" s="36"/>
    </row>
    <row r="612">
      <c r="B612" s="37"/>
      <c r="C612" s="34">
        <v>44958.0</v>
      </c>
      <c r="D612" s="36"/>
    </row>
    <row r="613">
      <c r="B613" s="37"/>
      <c r="C613" s="34">
        <v>44959.0</v>
      </c>
      <c r="D613" s="36"/>
    </row>
    <row r="614">
      <c r="B614" s="37"/>
      <c r="C614" s="34">
        <v>44960.0</v>
      </c>
      <c r="D614" s="36"/>
    </row>
    <row r="615">
      <c r="B615" s="37"/>
      <c r="C615" s="34">
        <v>44961.0</v>
      </c>
      <c r="D615" s="36"/>
    </row>
    <row r="616">
      <c r="B616" s="37"/>
      <c r="C616" s="34">
        <v>44962.0</v>
      </c>
      <c r="D616" s="36"/>
    </row>
    <row r="617">
      <c r="B617" s="37"/>
      <c r="C617" s="34">
        <v>44963.0</v>
      </c>
      <c r="D617" s="36"/>
    </row>
    <row r="618">
      <c r="B618" s="37"/>
      <c r="C618" s="34">
        <v>44964.0</v>
      </c>
      <c r="D618" s="36"/>
    </row>
    <row r="619">
      <c r="B619" s="37"/>
      <c r="C619" s="34">
        <v>44965.0</v>
      </c>
      <c r="D619" s="36"/>
    </row>
    <row r="620">
      <c r="B620" s="37"/>
      <c r="C620" s="34">
        <v>44966.0</v>
      </c>
      <c r="D620" s="36"/>
    </row>
    <row r="621">
      <c r="B621" s="37"/>
      <c r="C621" s="34">
        <v>44967.0</v>
      </c>
      <c r="D621" s="36"/>
    </row>
    <row r="622">
      <c r="B622" s="37"/>
      <c r="C622" s="34">
        <v>44968.0</v>
      </c>
      <c r="D622" s="36"/>
    </row>
    <row r="623">
      <c r="B623" s="37"/>
      <c r="C623" s="34">
        <v>44969.0</v>
      </c>
      <c r="D623" s="36"/>
    </row>
    <row r="624">
      <c r="B624" s="37"/>
      <c r="C624" s="34">
        <v>44970.0</v>
      </c>
      <c r="D624" s="36"/>
    </row>
    <row r="625">
      <c r="B625" s="37"/>
      <c r="C625" s="34">
        <v>44971.0</v>
      </c>
      <c r="D625" s="36"/>
    </row>
    <row r="626">
      <c r="B626" s="37"/>
      <c r="C626" s="34">
        <v>44972.0</v>
      </c>
      <c r="D626" s="36"/>
    </row>
    <row r="627">
      <c r="B627" s="37"/>
      <c r="C627" s="34">
        <v>44973.0</v>
      </c>
      <c r="D627" s="36"/>
    </row>
    <row r="628">
      <c r="B628" s="37"/>
      <c r="C628" s="34">
        <v>44974.0</v>
      </c>
      <c r="D628" s="36"/>
    </row>
    <row r="629">
      <c r="B629" s="37"/>
      <c r="C629" s="34">
        <v>44975.0</v>
      </c>
      <c r="D629" s="36"/>
    </row>
    <row r="630">
      <c r="B630" s="37"/>
      <c r="C630" s="34">
        <v>44976.0</v>
      </c>
      <c r="D630" s="36"/>
    </row>
    <row r="631">
      <c r="B631" s="37"/>
      <c r="C631" s="34">
        <v>44977.0</v>
      </c>
      <c r="D631" s="36"/>
    </row>
    <row r="632">
      <c r="B632" s="37"/>
      <c r="C632" s="34">
        <v>44978.0</v>
      </c>
      <c r="D632" s="36"/>
    </row>
    <row r="633">
      <c r="B633" s="37"/>
      <c r="C633" s="34">
        <v>44979.0</v>
      </c>
      <c r="D633" s="36"/>
    </row>
    <row r="634">
      <c r="B634" s="37"/>
      <c r="C634" s="34">
        <v>44980.0</v>
      </c>
      <c r="D634" s="36"/>
    </row>
    <row r="635">
      <c r="B635" s="37"/>
      <c r="C635" s="34">
        <v>44981.0</v>
      </c>
      <c r="D635" s="36"/>
    </row>
    <row r="636">
      <c r="B636" s="37"/>
      <c r="C636" s="34">
        <v>44982.0</v>
      </c>
      <c r="D636" s="36"/>
    </row>
    <row r="637">
      <c r="B637" s="37"/>
      <c r="C637" s="34">
        <v>44983.0</v>
      </c>
      <c r="D637" s="36"/>
    </row>
    <row r="638">
      <c r="B638" s="37"/>
      <c r="C638" s="34">
        <v>44984.0</v>
      </c>
      <c r="D638" s="36"/>
    </row>
    <row r="639">
      <c r="B639" s="37"/>
      <c r="C639" s="34">
        <v>44985.0</v>
      </c>
      <c r="D639" s="36"/>
    </row>
    <row r="640">
      <c r="B640" s="37"/>
      <c r="C640" s="34">
        <v>44986.0</v>
      </c>
      <c r="D640" s="36"/>
    </row>
    <row r="641">
      <c r="B641" s="37"/>
      <c r="C641" s="34">
        <v>44987.0</v>
      </c>
      <c r="D641" s="36"/>
    </row>
    <row r="642">
      <c r="B642" s="37"/>
      <c r="C642" s="34">
        <v>44988.0</v>
      </c>
      <c r="D642" s="36"/>
    </row>
    <row r="643">
      <c r="B643" s="37"/>
      <c r="C643" s="34">
        <v>44989.0</v>
      </c>
      <c r="D643" s="36"/>
    </row>
    <row r="644">
      <c r="B644" s="37"/>
      <c r="C644" s="34">
        <v>44990.0</v>
      </c>
      <c r="D644" s="36"/>
    </row>
    <row r="645">
      <c r="B645" s="37"/>
      <c r="C645" s="34">
        <v>44991.0</v>
      </c>
      <c r="D645" s="36"/>
    </row>
    <row r="646">
      <c r="B646" s="37"/>
      <c r="C646" s="34">
        <v>44992.0</v>
      </c>
      <c r="D646" s="36"/>
    </row>
    <row r="647">
      <c r="B647" s="37"/>
      <c r="C647" s="34">
        <v>44993.0</v>
      </c>
      <c r="D647" s="36"/>
    </row>
    <row r="648">
      <c r="B648" s="37"/>
      <c r="C648" s="34">
        <v>44994.0</v>
      </c>
      <c r="D648" s="36"/>
    </row>
    <row r="649">
      <c r="B649" s="37"/>
      <c r="C649" s="34">
        <v>44995.0</v>
      </c>
      <c r="D649" s="36"/>
    </row>
    <row r="650">
      <c r="B650" s="37"/>
      <c r="C650" s="34">
        <v>44996.0</v>
      </c>
      <c r="D650" s="36"/>
    </row>
    <row r="651">
      <c r="B651" s="37"/>
      <c r="C651" s="34">
        <v>44997.0</v>
      </c>
      <c r="D651" s="36"/>
    </row>
    <row r="652">
      <c r="B652" s="37"/>
      <c r="C652" s="34">
        <v>44998.0</v>
      </c>
      <c r="D652" s="36"/>
    </row>
    <row r="653">
      <c r="B653" s="37"/>
      <c r="C653" s="34">
        <v>44999.0</v>
      </c>
      <c r="D653" s="36"/>
    </row>
    <row r="654">
      <c r="B654" s="37"/>
      <c r="C654" s="34">
        <v>45000.0</v>
      </c>
      <c r="D654" s="36"/>
    </row>
    <row r="655">
      <c r="B655" s="37"/>
      <c r="C655" s="34">
        <v>45001.0</v>
      </c>
      <c r="D655" s="36"/>
    </row>
    <row r="656">
      <c r="B656" s="37"/>
      <c r="C656" s="34">
        <v>45002.0</v>
      </c>
      <c r="D656" s="36"/>
    </row>
    <row r="657">
      <c r="B657" s="37"/>
      <c r="C657" s="34">
        <v>45003.0</v>
      </c>
      <c r="D657" s="36"/>
    </row>
    <row r="658">
      <c r="B658" s="37"/>
      <c r="C658" s="34">
        <v>45004.0</v>
      </c>
      <c r="D658" s="36"/>
    </row>
    <row r="659">
      <c r="B659" s="37"/>
      <c r="C659" s="34">
        <v>45005.0</v>
      </c>
      <c r="D659" s="36"/>
    </row>
    <row r="660">
      <c r="B660" s="37"/>
      <c r="C660" s="34">
        <v>45006.0</v>
      </c>
      <c r="D660" s="36"/>
    </row>
    <row r="661">
      <c r="B661" s="37"/>
      <c r="C661" s="34">
        <v>45007.0</v>
      </c>
      <c r="D661" s="36"/>
    </row>
    <row r="662">
      <c r="B662" s="37"/>
      <c r="C662" s="34">
        <v>45008.0</v>
      </c>
      <c r="D662" s="36"/>
    </row>
    <row r="663">
      <c r="B663" s="37"/>
      <c r="C663" s="34">
        <v>45009.0</v>
      </c>
      <c r="D663" s="36"/>
    </row>
    <row r="664">
      <c r="B664" s="37"/>
      <c r="C664" s="34">
        <v>45010.0</v>
      </c>
      <c r="D664" s="36"/>
    </row>
    <row r="665">
      <c r="B665" s="37"/>
      <c r="C665" s="34">
        <v>45011.0</v>
      </c>
      <c r="D665" s="36"/>
    </row>
    <row r="666">
      <c r="B666" s="37"/>
      <c r="C666" s="34">
        <v>45012.0</v>
      </c>
      <c r="D666" s="36"/>
    </row>
    <row r="667">
      <c r="B667" s="37"/>
      <c r="C667" s="34">
        <v>45013.0</v>
      </c>
      <c r="D667" s="36"/>
    </row>
    <row r="668">
      <c r="B668" s="37"/>
      <c r="C668" s="34">
        <v>45014.0</v>
      </c>
      <c r="D668" s="36"/>
    </row>
    <row r="669">
      <c r="B669" s="37"/>
      <c r="C669" s="34">
        <v>45015.0</v>
      </c>
      <c r="D669" s="36"/>
    </row>
    <row r="670">
      <c r="B670" s="37"/>
      <c r="C670" s="34">
        <v>45016.0</v>
      </c>
      <c r="D670" s="36"/>
    </row>
    <row r="671">
      <c r="B671" s="37"/>
      <c r="C671" s="34">
        <v>45017.0</v>
      </c>
      <c r="D671" s="36"/>
    </row>
    <row r="672">
      <c r="B672" s="37"/>
      <c r="C672" s="34">
        <v>45018.0</v>
      </c>
      <c r="D672" s="36"/>
    </row>
    <row r="673">
      <c r="B673" s="37"/>
      <c r="C673" s="34">
        <v>45019.0</v>
      </c>
      <c r="D673" s="36"/>
    </row>
    <row r="674">
      <c r="B674" s="37"/>
      <c r="C674" s="34">
        <v>45020.0</v>
      </c>
      <c r="D674" s="36"/>
    </row>
    <row r="675">
      <c r="B675" s="37"/>
      <c r="C675" s="34">
        <v>45021.0</v>
      </c>
      <c r="D675" s="36"/>
    </row>
    <row r="676">
      <c r="B676" s="37"/>
      <c r="C676" s="34">
        <v>45022.0</v>
      </c>
      <c r="D676" s="36"/>
    </row>
    <row r="677">
      <c r="B677" s="37"/>
      <c r="C677" s="34">
        <v>45023.0</v>
      </c>
      <c r="D677" s="36"/>
    </row>
    <row r="678">
      <c r="B678" s="37"/>
      <c r="C678" s="34">
        <v>45024.0</v>
      </c>
      <c r="D678" s="36"/>
    </row>
    <row r="679">
      <c r="B679" s="37"/>
      <c r="C679" s="34">
        <v>45025.0</v>
      </c>
      <c r="D679" s="36"/>
    </row>
    <row r="680">
      <c r="B680" s="37"/>
      <c r="C680" s="34">
        <v>45026.0</v>
      </c>
      <c r="D680" s="36"/>
    </row>
    <row r="681">
      <c r="B681" s="37"/>
      <c r="C681" s="34">
        <v>45027.0</v>
      </c>
      <c r="D681" s="36"/>
    </row>
    <row r="682">
      <c r="B682" s="37"/>
      <c r="C682" s="34">
        <v>45028.0</v>
      </c>
      <c r="D682" s="36"/>
    </row>
    <row r="683">
      <c r="B683" s="37"/>
      <c r="C683" s="34">
        <v>45029.0</v>
      </c>
      <c r="D683" s="36"/>
    </row>
    <row r="684">
      <c r="B684" s="37"/>
      <c r="C684" s="34">
        <v>45030.0</v>
      </c>
      <c r="D684" s="36"/>
    </row>
    <row r="685">
      <c r="B685" s="37"/>
      <c r="C685" s="34">
        <v>45031.0</v>
      </c>
      <c r="D685" s="36"/>
    </row>
    <row r="686">
      <c r="B686" s="37"/>
      <c r="C686" s="34">
        <v>45032.0</v>
      </c>
      <c r="D686" s="36"/>
    </row>
    <row r="687">
      <c r="B687" s="37"/>
      <c r="C687" s="34">
        <v>45033.0</v>
      </c>
      <c r="D687" s="36"/>
    </row>
    <row r="688">
      <c r="B688" s="37"/>
      <c r="C688" s="34">
        <v>45034.0</v>
      </c>
      <c r="D688" s="36"/>
    </row>
    <row r="689">
      <c r="B689" s="37"/>
      <c r="C689" s="34">
        <v>45035.0</v>
      </c>
      <c r="D689" s="36"/>
    </row>
    <row r="690">
      <c r="B690" s="37"/>
      <c r="C690" s="34">
        <v>45036.0</v>
      </c>
      <c r="D690" s="36"/>
    </row>
    <row r="691">
      <c r="B691" s="37"/>
      <c r="C691" s="34">
        <v>45037.0</v>
      </c>
      <c r="D691" s="36"/>
    </row>
    <row r="692">
      <c r="B692" s="37"/>
      <c r="C692" s="34">
        <v>45038.0</v>
      </c>
      <c r="D692" s="36"/>
    </row>
    <row r="693">
      <c r="B693" s="37"/>
      <c r="C693" s="34">
        <v>45039.0</v>
      </c>
      <c r="D693" s="36"/>
    </row>
    <row r="694">
      <c r="B694" s="37"/>
      <c r="C694" s="34">
        <v>45040.0</v>
      </c>
      <c r="D694" s="36"/>
    </row>
    <row r="695">
      <c r="B695" s="37"/>
      <c r="C695" s="34">
        <v>45041.0</v>
      </c>
      <c r="D695" s="36"/>
    </row>
    <row r="696">
      <c r="B696" s="37"/>
      <c r="C696" s="34">
        <v>45042.0</v>
      </c>
      <c r="D696" s="36"/>
    </row>
    <row r="697">
      <c r="B697" s="37"/>
      <c r="C697" s="34">
        <v>45043.0</v>
      </c>
      <c r="D697" s="36"/>
    </row>
    <row r="698">
      <c r="B698" s="37"/>
      <c r="C698" s="34">
        <v>45044.0</v>
      </c>
      <c r="D698" s="36"/>
    </row>
    <row r="699">
      <c r="B699" s="37"/>
      <c r="C699" s="34">
        <v>45045.0</v>
      </c>
      <c r="D699" s="36"/>
    </row>
    <row r="700">
      <c r="B700" s="37"/>
      <c r="C700" s="34">
        <v>45046.0</v>
      </c>
      <c r="D700" s="36"/>
    </row>
    <row r="701">
      <c r="B701" s="37"/>
      <c r="C701" s="34">
        <v>45047.0</v>
      </c>
      <c r="D701" s="36"/>
    </row>
    <row r="702">
      <c r="B702" s="37"/>
      <c r="C702" s="34">
        <v>45048.0</v>
      </c>
      <c r="D702" s="36"/>
    </row>
    <row r="703">
      <c r="B703" s="37"/>
      <c r="C703" s="34">
        <v>45049.0</v>
      </c>
      <c r="D703" s="36"/>
    </row>
    <row r="704">
      <c r="B704" s="37"/>
      <c r="C704" s="34">
        <v>45050.0</v>
      </c>
      <c r="D704" s="36"/>
    </row>
    <row r="705">
      <c r="B705" s="37"/>
      <c r="C705" s="34">
        <v>45051.0</v>
      </c>
      <c r="D705" s="36"/>
    </row>
    <row r="706">
      <c r="B706" s="37"/>
      <c r="C706" s="34">
        <v>45052.0</v>
      </c>
      <c r="D706" s="36"/>
    </row>
    <row r="707">
      <c r="B707" s="37"/>
      <c r="C707" s="34">
        <v>45053.0</v>
      </c>
      <c r="D707" s="36"/>
    </row>
    <row r="708">
      <c r="B708" s="37"/>
      <c r="C708" s="34">
        <v>45054.0</v>
      </c>
      <c r="D708" s="36"/>
    </row>
    <row r="709">
      <c r="B709" s="37"/>
      <c r="C709" s="34">
        <v>45055.0</v>
      </c>
      <c r="D709" s="36"/>
    </row>
    <row r="710">
      <c r="B710" s="37"/>
      <c r="C710" s="34">
        <v>45056.0</v>
      </c>
      <c r="D710" s="36"/>
    </row>
    <row r="711">
      <c r="B711" s="37"/>
      <c r="C711" s="34">
        <v>45057.0</v>
      </c>
      <c r="D711" s="36"/>
    </row>
    <row r="712">
      <c r="B712" s="37"/>
      <c r="C712" s="34">
        <v>45058.0</v>
      </c>
      <c r="D712" s="36"/>
    </row>
    <row r="713">
      <c r="B713" s="37"/>
      <c r="C713" s="34">
        <v>45059.0</v>
      </c>
      <c r="D713" s="36"/>
    </row>
    <row r="714">
      <c r="B714" s="37"/>
      <c r="C714" s="34">
        <v>45060.0</v>
      </c>
      <c r="D714" s="36"/>
    </row>
    <row r="715">
      <c r="B715" s="37"/>
      <c r="C715" s="34">
        <v>45061.0</v>
      </c>
      <c r="D715" s="36"/>
    </row>
    <row r="716">
      <c r="B716" s="37"/>
      <c r="C716" s="34">
        <v>45062.0</v>
      </c>
      <c r="D716" s="36"/>
    </row>
    <row r="717">
      <c r="B717" s="37"/>
      <c r="C717" s="34">
        <v>45063.0</v>
      </c>
      <c r="D717" s="36"/>
    </row>
    <row r="718">
      <c r="B718" s="37"/>
      <c r="C718" s="34">
        <v>45064.0</v>
      </c>
      <c r="D718" s="36"/>
    </row>
    <row r="719">
      <c r="B719" s="37"/>
      <c r="C719" s="34">
        <v>45065.0</v>
      </c>
      <c r="D719" s="36"/>
    </row>
    <row r="720">
      <c r="B720" s="37"/>
      <c r="C720" s="34">
        <v>45066.0</v>
      </c>
      <c r="D720" s="36"/>
    </row>
    <row r="721">
      <c r="B721" s="37"/>
      <c r="C721" s="34">
        <v>45067.0</v>
      </c>
      <c r="D721" s="36"/>
    </row>
    <row r="722">
      <c r="B722" s="37"/>
      <c r="C722" s="34">
        <v>45068.0</v>
      </c>
      <c r="D722" s="36"/>
    </row>
    <row r="723">
      <c r="B723" s="37"/>
      <c r="C723" s="34">
        <v>45069.0</v>
      </c>
      <c r="D723" s="36"/>
    </row>
    <row r="724">
      <c r="B724" s="37"/>
      <c r="C724" s="34">
        <v>45070.0</v>
      </c>
      <c r="D724" s="36"/>
    </row>
    <row r="725">
      <c r="B725" s="37"/>
      <c r="C725" s="34">
        <v>45071.0</v>
      </c>
      <c r="D725" s="36"/>
    </row>
    <row r="726">
      <c r="B726" s="37"/>
      <c r="C726" s="34">
        <v>45072.0</v>
      </c>
      <c r="D726" s="36"/>
    </row>
    <row r="727">
      <c r="B727" s="37"/>
      <c r="C727" s="34">
        <v>45073.0</v>
      </c>
      <c r="D727" s="36"/>
    </row>
    <row r="728">
      <c r="B728" s="37"/>
      <c r="C728" s="34">
        <v>45074.0</v>
      </c>
      <c r="D728" s="36"/>
    </row>
    <row r="729">
      <c r="B729" s="37"/>
      <c r="C729" s="34">
        <v>45075.0</v>
      </c>
      <c r="D729" s="36"/>
    </row>
    <row r="730">
      <c r="B730" s="37"/>
      <c r="C730" s="34">
        <v>45076.0</v>
      </c>
      <c r="D730" s="36"/>
    </row>
    <row r="731">
      <c r="B731" s="37"/>
      <c r="C731" s="34">
        <v>45077.0</v>
      </c>
      <c r="D731" s="36"/>
    </row>
    <row r="732">
      <c r="B732" s="37"/>
      <c r="C732" s="34">
        <v>45078.0</v>
      </c>
      <c r="D732" s="36"/>
    </row>
    <row r="733">
      <c r="B733" s="37"/>
      <c r="C733" s="34">
        <v>45079.0</v>
      </c>
      <c r="D733" s="36"/>
    </row>
    <row r="734">
      <c r="B734" s="37"/>
      <c r="C734" s="34">
        <v>45080.0</v>
      </c>
      <c r="D734" s="36"/>
    </row>
    <row r="735">
      <c r="B735" s="37"/>
      <c r="C735" s="34">
        <v>45081.0</v>
      </c>
      <c r="D735" s="36"/>
    </row>
    <row r="736">
      <c r="B736" s="37"/>
      <c r="C736" s="34">
        <v>45082.0</v>
      </c>
      <c r="D736" s="36"/>
    </row>
    <row r="737">
      <c r="B737" s="37"/>
      <c r="C737" s="34">
        <v>45083.0</v>
      </c>
      <c r="D737" s="36"/>
    </row>
    <row r="738">
      <c r="B738" s="37"/>
      <c r="C738" s="34">
        <v>45084.0</v>
      </c>
      <c r="D738" s="36"/>
    </row>
    <row r="739">
      <c r="B739" s="37"/>
      <c r="C739" s="34">
        <v>45085.0</v>
      </c>
      <c r="D739" s="36"/>
    </row>
    <row r="740">
      <c r="B740" s="37"/>
      <c r="C740" s="34">
        <v>45086.0</v>
      </c>
      <c r="D740" s="36"/>
    </row>
    <row r="741">
      <c r="B741" s="37"/>
      <c r="C741" s="34">
        <v>45087.0</v>
      </c>
      <c r="D741" s="36"/>
    </row>
    <row r="742">
      <c r="B742" s="37"/>
      <c r="C742" s="34">
        <v>45088.0</v>
      </c>
      <c r="D742" s="36"/>
    </row>
    <row r="743">
      <c r="B743" s="37"/>
      <c r="C743" s="34">
        <v>45089.0</v>
      </c>
      <c r="D743" s="36"/>
    </row>
    <row r="744">
      <c r="B744" s="37"/>
      <c r="C744" s="34">
        <v>45090.0</v>
      </c>
      <c r="D744" s="36"/>
    </row>
    <row r="745">
      <c r="B745" s="37"/>
      <c r="C745" s="34">
        <v>45091.0</v>
      </c>
      <c r="D745" s="36"/>
    </row>
    <row r="746">
      <c r="B746" s="37"/>
      <c r="C746" s="34">
        <v>45092.0</v>
      </c>
      <c r="D746" s="36"/>
    </row>
    <row r="747">
      <c r="B747" s="37"/>
      <c r="C747" s="34">
        <v>45093.0</v>
      </c>
      <c r="D747" s="36"/>
    </row>
    <row r="748">
      <c r="B748" s="37"/>
      <c r="C748" s="34">
        <v>45094.0</v>
      </c>
      <c r="D748" s="36"/>
    </row>
    <row r="749">
      <c r="B749" s="37"/>
      <c r="C749" s="34">
        <v>45095.0</v>
      </c>
      <c r="D749" s="36"/>
    </row>
    <row r="750">
      <c r="B750" s="37"/>
      <c r="C750" s="34">
        <v>45096.0</v>
      </c>
      <c r="D750" s="36"/>
    </row>
    <row r="751">
      <c r="B751" s="37"/>
      <c r="C751" s="34">
        <v>45097.0</v>
      </c>
      <c r="D751" s="36"/>
    </row>
    <row r="752">
      <c r="B752" s="37"/>
      <c r="C752" s="34">
        <v>45098.0</v>
      </c>
      <c r="D752" s="36"/>
    </row>
    <row r="753">
      <c r="B753" s="37"/>
      <c r="C753" s="34">
        <v>45099.0</v>
      </c>
      <c r="D753" s="36"/>
    </row>
    <row r="754">
      <c r="B754" s="37"/>
      <c r="C754" s="34">
        <v>45100.0</v>
      </c>
      <c r="D754" s="36"/>
    </row>
    <row r="755">
      <c r="B755" s="37"/>
      <c r="C755" s="34">
        <v>45101.0</v>
      </c>
      <c r="D755" s="36"/>
    </row>
    <row r="756">
      <c r="B756" s="37"/>
      <c r="C756" s="34">
        <v>45102.0</v>
      </c>
      <c r="D756" s="36"/>
    </row>
    <row r="757">
      <c r="B757" s="37"/>
      <c r="C757" s="34">
        <v>45103.0</v>
      </c>
      <c r="D757" s="36"/>
    </row>
    <row r="758">
      <c r="B758" s="37"/>
      <c r="C758" s="34">
        <v>45104.0</v>
      </c>
      <c r="D758" s="36"/>
    </row>
    <row r="759">
      <c r="B759" s="37"/>
      <c r="C759" s="34">
        <v>45105.0</v>
      </c>
      <c r="D759" s="36"/>
    </row>
    <row r="760">
      <c r="B760" s="37"/>
      <c r="C760" s="34">
        <v>45106.0</v>
      </c>
      <c r="D760" s="36"/>
    </row>
    <row r="761">
      <c r="B761" s="37"/>
      <c r="C761" s="34">
        <v>45107.0</v>
      </c>
      <c r="D761" s="36"/>
    </row>
    <row r="762">
      <c r="B762" s="37"/>
      <c r="C762" s="34">
        <v>45108.0</v>
      </c>
      <c r="D762" s="36"/>
    </row>
    <row r="763">
      <c r="B763" s="37"/>
      <c r="C763" s="34">
        <v>45109.0</v>
      </c>
      <c r="D763" s="36"/>
    </row>
    <row r="764">
      <c r="B764" s="37"/>
      <c r="C764" s="34">
        <v>45110.0</v>
      </c>
      <c r="D764" s="36"/>
    </row>
    <row r="765">
      <c r="B765" s="37"/>
      <c r="C765" s="34">
        <v>45111.0</v>
      </c>
      <c r="D765" s="36"/>
    </row>
    <row r="766">
      <c r="B766" s="37"/>
      <c r="C766" s="34">
        <v>45112.0</v>
      </c>
      <c r="D766" s="36"/>
    </row>
    <row r="767">
      <c r="B767" s="37"/>
      <c r="C767" s="34">
        <v>45113.0</v>
      </c>
      <c r="D767" s="36"/>
    </row>
    <row r="768">
      <c r="B768" s="37"/>
      <c r="C768" s="34">
        <v>45114.0</v>
      </c>
      <c r="D768" s="36"/>
    </row>
    <row r="769">
      <c r="B769" s="37"/>
      <c r="C769" s="34">
        <v>45115.0</v>
      </c>
      <c r="D769" s="36"/>
    </row>
    <row r="770">
      <c r="B770" s="37"/>
      <c r="C770" s="34">
        <v>45116.0</v>
      </c>
      <c r="D770" s="36"/>
    </row>
    <row r="771">
      <c r="B771" s="37"/>
      <c r="C771" s="34">
        <v>45117.0</v>
      </c>
      <c r="D771" s="36"/>
    </row>
    <row r="772">
      <c r="B772" s="37"/>
      <c r="C772" s="34">
        <v>45118.0</v>
      </c>
      <c r="D772" s="36"/>
    </row>
    <row r="773">
      <c r="B773" s="37"/>
      <c r="C773" s="34">
        <v>45119.0</v>
      </c>
      <c r="D773" s="36"/>
    </row>
    <row r="774">
      <c r="B774" s="37"/>
      <c r="C774" s="34">
        <v>45120.0</v>
      </c>
      <c r="D774" s="36"/>
    </row>
    <row r="775">
      <c r="B775" s="37"/>
      <c r="C775" s="34">
        <v>45121.0</v>
      </c>
      <c r="D775" s="36"/>
    </row>
    <row r="776">
      <c r="B776" s="37"/>
      <c r="C776" s="34">
        <v>45122.0</v>
      </c>
      <c r="D776" s="36"/>
    </row>
    <row r="777">
      <c r="B777" s="37"/>
      <c r="C777" s="34">
        <v>45123.0</v>
      </c>
      <c r="D777" s="36"/>
    </row>
    <row r="778">
      <c r="B778" s="37"/>
      <c r="C778" s="34">
        <v>45124.0</v>
      </c>
      <c r="D778" s="36"/>
    </row>
    <row r="779">
      <c r="B779" s="37"/>
      <c r="C779" s="34">
        <v>45125.0</v>
      </c>
      <c r="D779" s="36"/>
    </row>
    <row r="780">
      <c r="B780" s="37"/>
      <c r="C780" s="34">
        <v>45126.0</v>
      </c>
      <c r="D780" s="36"/>
    </row>
    <row r="781">
      <c r="B781" s="37"/>
      <c r="C781" s="34">
        <v>45127.0</v>
      </c>
      <c r="D781" s="36"/>
    </row>
    <row r="782">
      <c r="B782" s="37"/>
      <c r="C782" s="34">
        <v>45128.0</v>
      </c>
      <c r="D782" s="36"/>
    </row>
    <row r="783">
      <c r="B783" s="37"/>
      <c r="C783" s="34">
        <v>45129.0</v>
      </c>
      <c r="D783" s="36"/>
    </row>
    <row r="784">
      <c r="B784" s="37"/>
      <c r="C784" s="34">
        <v>45130.0</v>
      </c>
      <c r="D784" s="36"/>
    </row>
    <row r="785">
      <c r="B785" s="37"/>
      <c r="C785" s="34">
        <v>45131.0</v>
      </c>
      <c r="D785" s="36"/>
    </row>
    <row r="786">
      <c r="B786" s="37"/>
      <c r="C786" s="34">
        <v>45132.0</v>
      </c>
      <c r="D786" s="36"/>
    </row>
    <row r="787">
      <c r="B787" s="37"/>
      <c r="C787" s="34">
        <v>45133.0</v>
      </c>
      <c r="D787" s="36"/>
    </row>
    <row r="788">
      <c r="B788" s="37"/>
      <c r="C788" s="34">
        <v>45134.0</v>
      </c>
      <c r="D788" s="36"/>
    </row>
    <row r="789">
      <c r="B789" s="37"/>
      <c r="C789" s="34">
        <v>45135.0</v>
      </c>
      <c r="D789" s="36"/>
    </row>
    <row r="790">
      <c r="B790" s="37"/>
      <c r="C790" s="34">
        <v>45136.0</v>
      </c>
      <c r="D790" s="36"/>
    </row>
    <row r="791">
      <c r="B791" s="37"/>
      <c r="C791" s="34">
        <v>45137.0</v>
      </c>
      <c r="D791" s="36"/>
    </row>
    <row r="792">
      <c r="B792" s="37"/>
      <c r="C792" s="34">
        <v>45138.0</v>
      </c>
      <c r="D792" s="36"/>
    </row>
    <row r="793">
      <c r="B793" s="37"/>
      <c r="C793" s="34">
        <v>45139.0</v>
      </c>
      <c r="D793" s="36"/>
    </row>
    <row r="794">
      <c r="B794" s="37"/>
      <c r="C794" s="34">
        <v>45140.0</v>
      </c>
      <c r="D794" s="36"/>
    </row>
    <row r="795">
      <c r="B795" s="37"/>
      <c r="C795" s="34">
        <v>45141.0</v>
      </c>
      <c r="D795" s="36"/>
    </row>
    <row r="796">
      <c r="B796" s="37"/>
      <c r="C796" s="34">
        <v>45142.0</v>
      </c>
      <c r="D796" s="36"/>
    </row>
    <row r="797">
      <c r="B797" s="37"/>
      <c r="C797" s="34">
        <v>45143.0</v>
      </c>
      <c r="D797" s="36"/>
    </row>
    <row r="798">
      <c r="B798" s="37"/>
      <c r="C798" s="34">
        <v>45144.0</v>
      </c>
      <c r="D798" s="36"/>
    </row>
    <row r="799">
      <c r="B799" s="37"/>
      <c r="C799" s="34">
        <v>45145.0</v>
      </c>
      <c r="D799" s="36"/>
    </row>
    <row r="800">
      <c r="B800" s="37"/>
      <c r="C800" s="34">
        <v>45146.0</v>
      </c>
      <c r="D800" s="36"/>
    </row>
    <row r="801">
      <c r="B801" s="37"/>
      <c r="C801" s="34">
        <v>45147.0</v>
      </c>
      <c r="D801" s="36"/>
    </row>
    <row r="802">
      <c r="B802" s="37"/>
      <c r="C802" s="34">
        <v>45148.0</v>
      </c>
      <c r="D802" s="36"/>
    </row>
    <row r="803">
      <c r="B803" s="37"/>
      <c r="C803" s="34">
        <v>45149.0</v>
      </c>
      <c r="D803" s="36"/>
    </row>
    <row r="804">
      <c r="B804" s="37"/>
      <c r="C804" s="34">
        <v>45150.0</v>
      </c>
      <c r="D804" s="36"/>
    </row>
    <row r="805">
      <c r="B805" s="37"/>
      <c r="C805" s="34">
        <v>45151.0</v>
      </c>
      <c r="D805" s="36"/>
    </row>
    <row r="806">
      <c r="B806" s="37"/>
      <c r="C806" s="34">
        <v>45152.0</v>
      </c>
      <c r="D806" s="36"/>
    </row>
    <row r="807">
      <c r="B807" s="37"/>
      <c r="C807" s="34">
        <v>45153.0</v>
      </c>
      <c r="D807" s="36"/>
    </row>
    <row r="808">
      <c r="B808" s="37"/>
      <c r="C808" s="34">
        <v>45154.0</v>
      </c>
      <c r="D808" s="36"/>
    </row>
    <row r="809">
      <c r="B809" s="37"/>
      <c r="C809" s="34">
        <v>45155.0</v>
      </c>
      <c r="D809" s="36"/>
    </row>
    <row r="810">
      <c r="B810" s="37"/>
      <c r="C810" s="34">
        <v>45156.0</v>
      </c>
      <c r="D810" s="36"/>
    </row>
    <row r="811">
      <c r="B811" s="37"/>
      <c r="C811" s="34">
        <v>45157.0</v>
      </c>
      <c r="D811" s="36"/>
    </row>
    <row r="812">
      <c r="B812" s="37"/>
      <c r="C812" s="34">
        <v>45158.0</v>
      </c>
      <c r="D812" s="36"/>
    </row>
    <row r="813">
      <c r="B813" s="37"/>
      <c r="C813" s="34">
        <v>45159.0</v>
      </c>
      <c r="D813" s="36"/>
    </row>
    <row r="814">
      <c r="B814" s="37"/>
      <c r="C814" s="34">
        <v>45160.0</v>
      </c>
      <c r="D814" s="36"/>
    </row>
    <row r="815">
      <c r="B815" s="37"/>
      <c r="C815" s="34">
        <v>45161.0</v>
      </c>
      <c r="D815" s="36"/>
    </row>
    <row r="816">
      <c r="B816" s="37"/>
      <c r="C816" s="34">
        <v>45162.0</v>
      </c>
      <c r="D816" s="36"/>
    </row>
    <row r="817">
      <c r="B817" s="37"/>
      <c r="C817" s="34">
        <v>45163.0</v>
      </c>
      <c r="D817" s="36"/>
    </row>
    <row r="818">
      <c r="B818" s="37"/>
      <c r="C818" s="34">
        <v>45164.0</v>
      </c>
      <c r="D818" s="36"/>
    </row>
    <row r="819">
      <c r="B819" s="37"/>
      <c r="C819" s="34">
        <v>45165.0</v>
      </c>
      <c r="D819" s="36"/>
    </row>
    <row r="820">
      <c r="B820" s="37"/>
      <c r="C820" s="34">
        <v>45166.0</v>
      </c>
      <c r="D820" s="36"/>
    </row>
    <row r="821">
      <c r="B821" s="37"/>
      <c r="C821" s="34">
        <v>45167.0</v>
      </c>
      <c r="D821" s="36"/>
    </row>
    <row r="822">
      <c r="B822" s="37"/>
      <c r="C822" s="34">
        <v>45168.0</v>
      </c>
      <c r="D822" s="36"/>
    </row>
    <row r="823">
      <c r="B823" s="37"/>
      <c r="C823" s="34">
        <v>45169.0</v>
      </c>
      <c r="D823" s="36"/>
    </row>
    <row r="824">
      <c r="B824" s="37"/>
      <c r="C824" s="34">
        <v>45170.0</v>
      </c>
      <c r="D824" s="36"/>
    </row>
    <row r="825">
      <c r="B825" s="37"/>
      <c r="C825" s="34">
        <v>45171.0</v>
      </c>
      <c r="D825" s="36"/>
    </row>
    <row r="826">
      <c r="B826" s="37"/>
      <c r="C826" s="34">
        <v>45172.0</v>
      </c>
      <c r="D826" s="36"/>
    </row>
    <row r="827">
      <c r="B827" s="37"/>
      <c r="C827" s="34">
        <v>45173.0</v>
      </c>
      <c r="D827" s="36"/>
    </row>
    <row r="828">
      <c r="B828" s="37"/>
      <c r="C828" s="34">
        <v>45174.0</v>
      </c>
      <c r="D828" s="36"/>
    </row>
    <row r="829">
      <c r="B829" s="37"/>
      <c r="C829" s="34">
        <v>45175.0</v>
      </c>
      <c r="D829" s="36"/>
    </row>
    <row r="830">
      <c r="B830" s="37"/>
      <c r="C830" s="34">
        <v>45176.0</v>
      </c>
      <c r="D830" s="36"/>
    </row>
    <row r="831">
      <c r="B831" s="37"/>
      <c r="C831" s="34">
        <v>45177.0</v>
      </c>
      <c r="D831" s="36"/>
    </row>
    <row r="832">
      <c r="B832" s="37"/>
      <c r="C832" s="34">
        <v>45178.0</v>
      </c>
      <c r="D832" s="36"/>
    </row>
    <row r="833">
      <c r="B833" s="37"/>
      <c r="C833" s="34">
        <v>45179.0</v>
      </c>
      <c r="D833" s="36"/>
    </row>
    <row r="834">
      <c r="B834" s="37"/>
      <c r="C834" s="34">
        <v>45180.0</v>
      </c>
      <c r="D834" s="36"/>
    </row>
    <row r="835">
      <c r="B835" s="37"/>
      <c r="C835" s="34">
        <v>45181.0</v>
      </c>
      <c r="D835" s="36"/>
    </row>
    <row r="836">
      <c r="B836" s="37"/>
      <c r="C836" s="34">
        <v>45182.0</v>
      </c>
      <c r="D836" s="36"/>
    </row>
    <row r="837">
      <c r="B837" s="37"/>
      <c r="C837" s="34">
        <v>45183.0</v>
      </c>
      <c r="D837" s="36"/>
    </row>
    <row r="838">
      <c r="B838" s="37"/>
      <c r="C838" s="34">
        <v>45184.0</v>
      </c>
      <c r="D838" s="36"/>
    </row>
    <row r="839">
      <c r="B839" s="37"/>
      <c r="C839" s="34">
        <v>45185.0</v>
      </c>
      <c r="D839" s="36"/>
    </row>
    <row r="840">
      <c r="B840" s="37"/>
      <c r="C840" s="34">
        <v>45186.0</v>
      </c>
      <c r="D840" s="36"/>
    </row>
    <row r="841">
      <c r="B841" s="37"/>
      <c r="C841" s="34">
        <v>45187.0</v>
      </c>
      <c r="D841" s="36"/>
    </row>
    <row r="842">
      <c r="B842" s="37"/>
      <c r="C842" s="34">
        <v>45188.0</v>
      </c>
      <c r="D842" s="36"/>
    </row>
    <row r="843">
      <c r="B843" s="37"/>
      <c r="C843" s="34">
        <v>45189.0</v>
      </c>
      <c r="D843" s="36"/>
    </row>
    <row r="844">
      <c r="B844" s="37"/>
      <c r="C844" s="34">
        <v>45190.0</v>
      </c>
      <c r="D844" s="36"/>
    </row>
    <row r="845">
      <c r="B845" s="37"/>
      <c r="C845" s="34">
        <v>45191.0</v>
      </c>
      <c r="D845" s="36"/>
    </row>
    <row r="846">
      <c r="B846" s="37"/>
      <c r="C846" s="34">
        <v>45192.0</v>
      </c>
      <c r="D846" s="36"/>
    </row>
    <row r="847">
      <c r="B847" s="37"/>
      <c r="C847" s="34">
        <v>45193.0</v>
      </c>
      <c r="D847" s="36"/>
    </row>
    <row r="848">
      <c r="B848" s="37"/>
      <c r="C848" s="34">
        <v>45194.0</v>
      </c>
      <c r="D848" s="36"/>
    </row>
    <row r="849">
      <c r="B849" s="37"/>
      <c r="C849" s="34">
        <v>45195.0</v>
      </c>
      <c r="D849" s="36"/>
    </row>
    <row r="850">
      <c r="B850" s="37"/>
      <c r="C850" s="34">
        <v>45196.0</v>
      </c>
      <c r="D850" s="36"/>
    </row>
    <row r="851">
      <c r="B851" s="37"/>
      <c r="C851" s="34">
        <v>45197.0</v>
      </c>
      <c r="D851" s="36"/>
    </row>
    <row r="852">
      <c r="B852" s="37"/>
      <c r="C852" s="34">
        <v>45198.0</v>
      </c>
      <c r="D852" s="36"/>
    </row>
    <row r="853">
      <c r="B853" s="37"/>
      <c r="C853" s="34">
        <v>45199.0</v>
      </c>
      <c r="D853" s="36"/>
    </row>
    <row r="854">
      <c r="B854" s="37"/>
      <c r="C854" s="34">
        <v>45200.0</v>
      </c>
      <c r="D854" s="36"/>
    </row>
    <row r="855">
      <c r="B855" s="37"/>
      <c r="C855" s="34">
        <v>45201.0</v>
      </c>
      <c r="D855" s="36"/>
    </row>
    <row r="856">
      <c r="B856" s="37"/>
      <c r="C856" s="34">
        <v>45202.0</v>
      </c>
      <c r="D856" s="36"/>
    </row>
    <row r="857">
      <c r="B857" s="37"/>
      <c r="C857" s="34">
        <v>45203.0</v>
      </c>
      <c r="D857" s="36"/>
    </row>
    <row r="858">
      <c r="B858" s="37"/>
      <c r="C858" s="34">
        <v>45204.0</v>
      </c>
      <c r="D858" s="36"/>
    </row>
    <row r="859">
      <c r="B859" s="37"/>
      <c r="C859" s="34">
        <v>45205.0</v>
      </c>
      <c r="D859" s="36"/>
    </row>
    <row r="860">
      <c r="B860" s="37"/>
      <c r="C860" s="34">
        <v>45206.0</v>
      </c>
      <c r="D860" s="36"/>
    </row>
    <row r="861">
      <c r="B861" s="37"/>
      <c r="C861" s="34">
        <v>45207.0</v>
      </c>
      <c r="D861" s="36"/>
    </row>
    <row r="862">
      <c r="B862" s="37"/>
      <c r="C862" s="34">
        <v>45208.0</v>
      </c>
      <c r="D862" s="36"/>
    </row>
    <row r="863">
      <c r="B863" s="37"/>
      <c r="C863" s="34">
        <v>45209.0</v>
      </c>
      <c r="D863" s="36"/>
    </row>
    <row r="864">
      <c r="B864" s="37"/>
      <c r="C864" s="34">
        <v>45210.0</v>
      </c>
      <c r="D864" s="36"/>
    </row>
    <row r="865">
      <c r="B865" s="37"/>
      <c r="C865" s="34">
        <v>45211.0</v>
      </c>
      <c r="D865" s="36"/>
    </row>
    <row r="866">
      <c r="B866" s="37"/>
      <c r="C866" s="34">
        <v>45212.0</v>
      </c>
      <c r="D866" s="36"/>
    </row>
    <row r="867">
      <c r="B867" s="37"/>
      <c r="C867" s="34">
        <v>45213.0</v>
      </c>
      <c r="D867" s="36"/>
    </row>
    <row r="868">
      <c r="B868" s="37"/>
      <c r="C868" s="34">
        <v>45214.0</v>
      </c>
      <c r="D868" s="36"/>
    </row>
    <row r="869">
      <c r="B869" s="37"/>
      <c r="C869" s="34">
        <v>45215.0</v>
      </c>
      <c r="D869" s="36"/>
    </row>
    <row r="870">
      <c r="B870" s="37"/>
      <c r="C870" s="34">
        <v>45216.0</v>
      </c>
      <c r="D870" s="36"/>
    </row>
    <row r="871">
      <c r="B871" s="37"/>
      <c r="C871" s="34">
        <v>45217.0</v>
      </c>
      <c r="D871" s="36"/>
    </row>
    <row r="872">
      <c r="B872" s="37"/>
      <c r="C872" s="34">
        <v>45218.0</v>
      </c>
      <c r="D872" s="36"/>
    </row>
    <row r="873">
      <c r="B873" s="37"/>
      <c r="C873" s="34">
        <v>45219.0</v>
      </c>
      <c r="D873" s="36"/>
    </row>
    <row r="874">
      <c r="B874" s="37"/>
      <c r="C874" s="34">
        <v>45220.0</v>
      </c>
      <c r="D874" s="36"/>
    </row>
    <row r="875">
      <c r="B875" s="37"/>
      <c r="C875" s="34">
        <v>45221.0</v>
      </c>
      <c r="D875" s="36"/>
    </row>
    <row r="876">
      <c r="B876" s="37"/>
      <c r="C876" s="34">
        <v>45222.0</v>
      </c>
      <c r="D876" s="36"/>
    </row>
    <row r="877">
      <c r="B877" s="37"/>
      <c r="C877" s="34">
        <v>45223.0</v>
      </c>
      <c r="D877" s="36"/>
    </row>
    <row r="878">
      <c r="B878" s="37"/>
      <c r="C878" s="34">
        <v>45224.0</v>
      </c>
      <c r="D878" s="36"/>
    </row>
    <row r="879">
      <c r="B879" s="37"/>
      <c r="C879" s="34">
        <v>45225.0</v>
      </c>
      <c r="D879" s="36"/>
    </row>
    <row r="880">
      <c r="B880" s="37"/>
      <c r="C880" s="34">
        <v>45226.0</v>
      </c>
      <c r="D880" s="36"/>
    </row>
    <row r="881">
      <c r="B881" s="37"/>
      <c r="C881" s="34">
        <v>45227.0</v>
      </c>
      <c r="D881" s="36"/>
    </row>
    <row r="882">
      <c r="B882" s="37"/>
      <c r="C882" s="34">
        <v>45228.0</v>
      </c>
      <c r="D882" s="36"/>
    </row>
    <row r="883">
      <c r="B883" s="37"/>
      <c r="C883" s="34">
        <v>45229.0</v>
      </c>
      <c r="D883" s="36"/>
    </row>
    <row r="884">
      <c r="B884" s="37"/>
      <c r="C884" s="34">
        <v>45230.0</v>
      </c>
      <c r="D884" s="36"/>
    </row>
    <row r="885">
      <c r="B885" s="37"/>
      <c r="C885" s="34">
        <v>45231.0</v>
      </c>
      <c r="D885" s="36"/>
    </row>
    <row r="886">
      <c r="B886" s="37"/>
      <c r="C886" s="34">
        <v>45232.0</v>
      </c>
      <c r="D886" s="36"/>
    </row>
    <row r="887">
      <c r="B887" s="37"/>
      <c r="C887" s="34">
        <v>45233.0</v>
      </c>
      <c r="D887" s="36"/>
    </row>
    <row r="888">
      <c r="B888" s="37"/>
      <c r="C888" s="34">
        <v>45234.0</v>
      </c>
      <c r="D888" s="36"/>
    </row>
    <row r="889">
      <c r="B889" s="37"/>
      <c r="C889" s="34">
        <v>45235.0</v>
      </c>
      <c r="D889" s="36"/>
    </row>
    <row r="890">
      <c r="B890" s="37"/>
      <c r="C890" s="34">
        <v>45236.0</v>
      </c>
      <c r="D890" s="36"/>
    </row>
    <row r="891">
      <c r="B891" s="37"/>
      <c r="C891" s="34">
        <v>45237.0</v>
      </c>
      <c r="D891" s="36"/>
    </row>
    <row r="892">
      <c r="B892" s="37"/>
      <c r="C892" s="34">
        <v>45238.0</v>
      </c>
      <c r="D892" s="36"/>
    </row>
    <row r="893">
      <c r="B893" s="37"/>
      <c r="C893" s="34">
        <v>45239.0</v>
      </c>
      <c r="D893" s="36"/>
    </row>
    <row r="894">
      <c r="B894" s="37"/>
      <c r="C894" s="34">
        <v>45240.0</v>
      </c>
      <c r="D894" s="36"/>
    </row>
    <row r="895">
      <c r="B895" s="37"/>
      <c r="C895" s="34">
        <v>45241.0</v>
      </c>
      <c r="D895" s="36"/>
    </row>
    <row r="896">
      <c r="B896" s="37"/>
      <c r="C896" s="34">
        <v>45242.0</v>
      </c>
      <c r="D896" s="36"/>
    </row>
    <row r="897">
      <c r="B897" s="37"/>
      <c r="C897" s="34">
        <v>45243.0</v>
      </c>
      <c r="D897" s="36"/>
    </row>
    <row r="898">
      <c r="B898" s="37"/>
      <c r="C898" s="34">
        <v>45244.0</v>
      </c>
      <c r="D898" s="36"/>
    </row>
    <row r="899">
      <c r="B899" s="37"/>
      <c r="C899" s="34">
        <v>45245.0</v>
      </c>
      <c r="D899" s="36"/>
    </row>
    <row r="900">
      <c r="B900" s="37"/>
      <c r="C900" s="34">
        <v>45246.0</v>
      </c>
      <c r="D900" s="36"/>
    </row>
    <row r="901">
      <c r="B901" s="37"/>
      <c r="C901" s="34">
        <v>45247.0</v>
      </c>
      <c r="D901" s="36"/>
    </row>
    <row r="902">
      <c r="B902" s="37"/>
      <c r="C902" s="34">
        <v>45248.0</v>
      </c>
      <c r="D902" s="36"/>
    </row>
    <row r="903">
      <c r="B903" s="37"/>
      <c r="C903" s="34">
        <v>45249.0</v>
      </c>
      <c r="D903" s="36"/>
    </row>
    <row r="904">
      <c r="B904" s="37"/>
      <c r="C904" s="34">
        <v>45250.0</v>
      </c>
      <c r="D904" s="36"/>
    </row>
    <row r="905">
      <c r="B905" s="37"/>
      <c r="C905" s="34">
        <v>45251.0</v>
      </c>
      <c r="D905" s="36"/>
    </row>
    <row r="906">
      <c r="B906" s="37"/>
      <c r="C906" s="34">
        <v>45252.0</v>
      </c>
      <c r="D906" s="36"/>
    </row>
    <row r="907">
      <c r="B907" s="37"/>
      <c r="C907" s="34">
        <v>45253.0</v>
      </c>
      <c r="D907" s="36"/>
    </row>
    <row r="908">
      <c r="B908" s="37"/>
      <c r="C908" s="34">
        <v>45254.0</v>
      </c>
      <c r="D908" s="36"/>
    </row>
    <row r="909">
      <c r="B909" s="37"/>
      <c r="C909" s="34">
        <v>45255.0</v>
      </c>
      <c r="D909" s="36"/>
    </row>
    <row r="910">
      <c r="B910" s="37"/>
      <c r="C910" s="34">
        <v>45256.0</v>
      </c>
      <c r="D910" s="36"/>
    </row>
    <row r="911">
      <c r="B911" s="37"/>
      <c r="C911" s="34">
        <v>45257.0</v>
      </c>
      <c r="D911" s="36"/>
    </row>
    <row r="912">
      <c r="B912" s="37"/>
      <c r="C912" s="34">
        <v>45258.0</v>
      </c>
      <c r="D912" s="36"/>
    </row>
    <row r="913">
      <c r="B913" s="37"/>
      <c r="C913" s="34">
        <v>45259.0</v>
      </c>
      <c r="D913" s="36"/>
    </row>
    <row r="914">
      <c r="B914" s="37"/>
      <c r="C914" s="34">
        <v>45260.0</v>
      </c>
      <c r="D914" s="36"/>
    </row>
    <row r="915">
      <c r="B915" s="37"/>
      <c r="C915" s="34">
        <v>45261.0</v>
      </c>
      <c r="D915" s="36"/>
    </row>
    <row r="916">
      <c r="B916" s="37"/>
      <c r="C916" s="34">
        <v>45262.0</v>
      </c>
      <c r="D916" s="36"/>
    </row>
    <row r="917">
      <c r="B917" s="37"/>
      <c r="C917" s="34">
        <v>45263.0</v>
      </c>
      <c r="D917" s="36"/>
    </row>
    <row r="918">
      <c r="B918" s="37"/>
      <c r="C918" s="34">
        <v>45264.0</v>
      </c>
      <c r="D918" s="36"/>
    </row>
    <row r="919">
      <c r="B919" s="37"/>
      <c r="C919" s="34">
        <v>45265.0</v>
      </c>
      <c r="D919" s="36"/>
    </row>
    <row r="920">
      <c r="B920" s="37"/>
      <c r="C920" s="34">
        <v>45266.0</v>
      </c>
      <c r="D920" s="36"/>
    </row>
    <row r="921">
      <c r="B921" s="37"/>
      <c r="C921" s="34">
        <v>45267.0</v>
      </c>
      <c r="D921" s="36"/>
    </row>
    <row r="922">
      <c r="B922" s="37"/>
      <c r="C922" s="34">
        <v>45268.0</v>
      </c>
      <c r="D922" s="36"/>
    </row>
    <row r="923">
      <c r="B923" s="37"/>
      <c r="C923" s="34">
        <v>45269.0</v>
      </c>
      <c r="D923" s="36"/>
    </row>
    <row r="924">
      <c r="B924" s="37"/>
      <c r="C924" s="34">
        <v>45270.0</v>
      </c>
      <c r="D924" s="36"/>
    </row>
    <row r="925">
      <c r="B925" s="37"/>
      <c r="C925" s="34">
        <v>45271.0</v>
      </c>
      <c r="D925" s="36"/>
    </row>
    <row r="926">
      <c r="B926" s="37"/>
      <c r="C926" s="34">
        <v>45272.0</v>
      </c>
      <c r="D926" s="36"/>
    </row>
    <row r="927">
      <c r="B927" s="37"/>
      <c r="C927" s="34">
        <v>45273.0</v>
      </c>
      <c r="D927" s="36"/>
    </row>
    <row r="928">
      <c r="B928" s="37"/>
      <c r="C928" s="34">
        <v>45274.0</v>
      </c>
      <c r="D928" s="36"/>
    </row>
    <row r="929">
      <c r="B929" s="37"/>
      <c r="C929" s="34">
        <v>45275.0</v>
      </c>
      <c r="D929" s="36"/>
    </row>
    <row r="930">
      <c r="B930" s="37"/>
      <c r="C930" s="34">
        <v>45276.0</v>
      </c>
      <c r="D930" s="36"/>
    </row>
    <row r="931">
      <c r="B931" s="37"/>
      <c r="C931" s="34">
        <v>45277.0</v>
      </c>
      <c r="D931" s="36"/>
    </row>
    <row r="932">
      <c r="B932" s="37"/>
      <c r="C932" s="34">
        <v>45278.0</v>
      </c>
      <c r="D932" s="36"/>
    </row>
    <row r="933">
      <c r="B933" s="37"/>
      <c r="C933" s="34">
        <v>45279.0</v>
      </c>
      <c r="D933" s="36"/>
    </row>
    <row r="934">
      <c r="B934" s="37"/>
      <c r="C934" s="34">
        <v>45280.0</v>
      </c>
      <c r="D934" s="36"/>
    </row>
    <row r="935">
      <c r="B935" s="37"/>
      <c r="C935" s="34">
        <v>45281.0</v>
      </c>
      <c r="D935" s="36"/>
    </row>
    <row r="936">
      <c r="B936" s="37"/>
      <c r="C936" s="34">
        <v>45282.0</v>
      </c>
      <c r="D936" s="36"/>
    </row>
    <row r="937">
      <c r="B937" s="37"/>
      <c r="C937" s="34">
        <v>45283.0</v>
      </c>
      <c r="D937" s="36"/>
    </row>
    <row r="938">
      <c r="B938" s="37"/>
      <c r="C938" s="34">
        <v>45284.0</v>
      </c>
      <c r="D938" s="36"/>
    </row>
    <row r="939">
      <c r="B939" s="37"/>
      <c r="C939" s="34">
        <v>45285.0</v>
      </c>
      <c r="D939" s="36"/>
    </row>
    <row r="940">
      <c r="B940" s="37"/>
      <c r="C940" s="34">
        <v>45286.0</v>
      </c>
      <c r="D940" s="36"/>
    </row>
    <row r="941">
      <c r="B941" s="37"/>
      <c r="C941" s="34">
        <v>45287.0</v>
      </c>
      <c r="D941" s="36"/>
    </row>
    <row r="942">
      <c r="B942" s="37"/>
      <c r="C942" s="34">
        <v>45288.0</v>
      </c>
      <c r="D942" s="36"/>
    </row>
    <row r="943">
      <c r="B943" s="37"/>
      <c r="C943" s="34">
        <v>45289.0</v>
      </c>
      <c r="D943" s="36"/>
    </row>
    <row r="944">
      <c r="B944" s="37"/>
      <c r="C944" s="34">
        <v>45290.0</v>
      </c>
      <c r="D944" s="36"/>
    </row>
    <row r="945">
      <c r="B945" s="37"/>
      <c r="C945" s="34">
        <v>45291.0</v>
      </c>
      <c r="D945" s="36"/>
    </row>
    <row r="946">
      <c r="B946" s="37"/>
      <c r="C946" s="34">
        <v>45292.0</v>
      </c>
      <c r="D946" s="36"/>
    </row>
    <row r="947">
      <c r="B947" s="37"/>
      <c r="C947" s="34">
        <v>45293.0</v>
      </c>
      <c r="D947" s="36"/>
    </row>
    <row r="948">
      <c r="B948" s="37"/>
      <c r="C948" s="34">
        <v>45294.0</v>
      </c>
      <c r="D948" s="36"/>
    </row>
    <row r="949">
      <c r="B949" s="37"/>
      <c r="C949" s="34">
        <v>45295.0</v>
      </c>
      <c r="D949" s="36"/>
    </row>
    <row r="950">
      <c r="B950" s="37"/>
      <c r="C950" s="34">
        <v>45296.0</v>
      </c>
      <c r="D950" s="36"/>
    </row>
    <row r="951">
      <c r="B951" s="37"/>
      <c r="C951" s="34">
        <v>45297.0</v>
      </c>
      <c r="D951" s="36"/>
    </row>
    <row r="952">
      <c r="B952" s="37"/>
      <c r="C952" s="34">
        <v>45298.0</v>
      </c>
      <c r="D952" s="36"/>
    </row>
    <row r="953">
      <c r="B953" s="37"/>
      <c r="C953" s="34">
        <v>45299.0</v>
      </c>
      <c r="D953" s="36"/>
    </row>
    <row r="954">
      <c r="B954" s="37"/>
      <c r="C954" s="34">
        <v>45300.0</v>
      </c>
      <c r="D954" s="36"/>
    </row>
    <row r="955">
      <c r="B955" s="37"/>
      <c r="C955" s="34">
        <v>45301.0</v>
      </c>
      <c r="D955" s="36"/>
    </row>
    <row r="956">
      <c r="B956" s="37"/>
      <c r="C956" s="34">
        <v>45302.0</v>
      </c>
      <c r="D956" s="36"/>
    </row>
    <row r="957">
      <c r="B957" s="37"/>
      <c r="C957" s="34">
        <v>45303.0</v>
      </c>
      <c r="D957" s="36"/>
    </row>
    <row r="958">
      <c r="B958" s="37"/>
      <c r="C958" s="34">
        <v>45304.0</v>
      </c>
      <c r="D958" s="36"/>
    </row>
    <row r="959">
      <c r="B959" s="37"/>
      <c r="C959" s="34">
        <v>45305.0</v>
      </c>
      <c r="D959" s="36"/>
    </row>
    <row r="960">
      <c r="B960" s="37"/>
      <c r="C960" s="34">
        <v>45306.0</v>
      </c>
      <c r="D960" s="36"/>
    </row>
    <row r="961">
      <c r="B961" s="37"/>
      <c r="C961" s="34">
        <v>45307.0</v>
      </c>
      <c r="D961" s="36"/>
    </row>
    <row r="962">
      <c r="B962" s="37"/>
      <c r="C962" s="34">
        <v>45308.0</v>
      </c>
      <c r="D962" s="36"/>
    </row>
    <row r="963">
      <c r="B963" s="37"/>
      <c r="C963" s="34">
        <v>45309.0</v>
      </c>
      <c r="D963" s="36"/>
    </row>
    <row r="964">
      <c r="B964" s="37"/>
      <c r="C964" s="34">
        <v>45310.0</v>
      </c>
      <c r="D964" s="36"/>
    </row>
    <row r="965">
      <c r="B965" s="37"/>
      <c r="C965" s="34">
        <v>45311.0</v>
      </c>
      <c r="D965" s="36"/>
    </row>
    <row r="966">
      <c r="B966" s="37"/>
      <c r="C966" s="34">
        <v>45312.0</v>
      </c>
      <c r="D966" s="36"/>
    </row>
    <row r="967">
      <c r="B967" s="37"/>
      <c r="C967" s="34">
        <v>45313.0</v>
      </c>
      <c r="D967" s="36"/>
    </row>
    <row r="968">
      <c r="B968" s="37"/>
      <c r="C968" s="34">
        <v>45314.0</v>
      </c>
      <c r="D968" s="36"/>
    </row>
    <row r="969">
      <c r="B969" s="37"/>
      <c r="C969" s="34">
        <v>45315.0</v>
      </c>
      <c r="D969" s="36"/>
    </row>
    <row r="970">
      <c r="B970" s="37"/>
      <c r="C970" s="34">
        <v>45316.0</v>
      </c>
      <c r="D970" s="36"/>
    </row>
    <row r="971">
      <c r="B971" s="37"/>
      <c r="C971" s="34">
        <v>45317.0</v>
      </c>
      <c r="D971" s="36"/>
    </row>
    <row r="972">
      <c r="B972" s="37"/>
      <c r="C972" s="34">
        <v>45318.0</v>
      </c>
      <c r="D972" s="36"/>
    </row>
    <row r="973">
      <c r="B973" s="37"/>
      <c r="C973" s="34">
        <v>45319.0</v>
      </c>
      <c r="D973" s="36"/>
    </row>
    <row r="974">
      <c r="B974" s="37"/>
      <c r="C974" s="34">
        <v>45320.0</v>
      </c>
      <c r="D974" s="36"/>
    </row>
    <row r="975">
      <c r="B975" s="37"/>
      <c r="C975" s="34">
        <v>45321.0</v>
      </c>
      <c r="D975" s="36"/>
    </row>
    <row r="976">
      <c r="B976" s="37"/>
      <c r="C976" s="34">
        <v>45322.0</v>
      </c>
      <c r="D976" s="36"/>
    </row>
    <row r="977">
      <c r="B977" s="37"/>
      <c r="C977" s="34">
        <v>45323.0</v>
      </c>
      <c r="D977" s="36"/>
    </row>
    <row r="978">
      <c r="B978" s="37"/>
      <c r="C978" s="34">
        <v>45324.0</v>
      </c>
      <c r="D978" s="36"/>
    </row>
    <row r="979">
      <c r="B979" s="37"/>
      <c r="C979" s="34">
        <v>45325.0</v>
      </c>
      <c r="D979" s="36"/>
    </row>
    <row r="980">
      <c r="B980" s="37"/>
      <c r="C980" s="34">
        <v>45326.0</v>
      </c>
      <c r="D980" s="36"/>
    </row>
    <row r="981">
      <c r="B981" s="37"/>
      <c r="C981" s="34">
        <v>45327.0</v>
      </c>
      <c r="D981" s="36"/>
    </row>
    <row r="982">
      <c r="B982" s="37"/>
      <c r="C982" s="34">
        <v>45328.0</v>
      </c>
      <c r="D982" s="36"/>
    </row>
    <row r="983">
      <c r="B983" s="37"/>
      <c r="C983" s="34">
        <v>45329.0</v>
      </c>
      <c r="D983" s="36"/>
    </row>
    <row r="984">
      <c r="B984" s="37"/>
      <c r="C984" s="34">
        <v>45330.0</v>
      </c>
      <c r="D984" s="36"/>
    </row>
    <row r="985">
      <c r="B985" s="37"/>
      <c r="C985" s="34">
        <v>45331.0</v>
      </c>
      <c r="D985" s="36"/>
    </row>
    <row r="986">
      <c r="B986" s="37"/>
      <c r="C986" s="34">
        <v>45332.0</v>
      </c>
      <c r="D986" s="36"/>
    </row>
    <row r="987">
      <c r="B987" s="37"/>
      <c r="C987" s="34">
        <v>45333.0</v>
      </c>
      <c r="D987" s="36"/>
    </row>
    <row r="988">
      <c r="B988" s="37"/>
      <c r="C988" s="34">
        <v>45334.0</v>
      </c>
      <c r="D988" s="36"/>
    </row>
    <row r="989">
      <c r="B989" s="37"/>
      <c r="C989" s="34">
        <v>45335.0</v>
      </c>
      <c r="D989" s="36"/>
    </row>
    <row r="990">
      <c r="B990" s="37"/>
      <c r="C990" s="34">
        <v>45336.0</v>
      </c>
      <c r="D990" s="36"/>
    </row>
    <row r="991">
      <c r="B991" s="37"/>
      <c r="C991" s="34">
        <v>45337.0</v>
      </c>
      <c r="D991" s="36"/>
    </row>
    <row r="992">
      <c r="B992" s="37"/>
      <c r="C992" s="34">
        <v>45338.0</v>
      </c>
      <c r="D992" s="36"/>
    </row>
    <row r="993">
      <c r="B993" s="37"/>
      <c r="C993" s="34">
        <v>45339.0</v>
      </c>
      <c r="D993" s="36"/>
    </row>
    <row r="994">
      <c r="B994" s="37"/>
      <c r="C994" s="34">
        <v>45340.0</v>
      </c>
      <c r="D994" s="36"/>
    </row>
    <row r="995">
      <c r="B995" s="37"/>
      <c r="C995" s="34">
        <v>45341.0</v>
      </c>
      <c r="D995" s="36"/>
    </row>
    <row r="996">
      <c r="B996" s="37"/>
      <c r="C996" s="34">
        <v>45342.0</v>
      </c>
      <c r="D996" s="36"/>
    </row>
    <row r="997">
      <c r="B997" s="40"/>
      <c r="C997" s="34">
        <v>45343.0</v>
      </c>
      <c r="D997" s="41"/>
    </row>
  </sheetData>
  <autoFilter ref="$A$1:$A$997">
    <sortState ref="A1:A997">
      <sortCondition ref="A1:A997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9.57"/>
    <col customWidth="1" min="2" max="2" width="5.43"/>
    <col customWidth="1" min="3" max="3" width="7.86"/>
    <col customWidth="1" min="4" max="4" width="28.57"/>
    <col customWidth="1" min="5" max="6" width="7.0"/>
    <col customWidth="1" min="7" max="7" width="12.0"/>
    <col customWidth="1" min="8" max="8" width="10.0"/>
    <col customWidth="1" min="9" max="9" width="9.14"/>
    <col customWidth="1" min="10" max="10" width="38.86"/>
    <col customWidth="1" min="11" max="12" width="5.86"/>
    <col customWidth="1" min="13" max="13" width="7.29"/>
    <col customWidth="1" min="14" max="14" width="7.14"/>
    <col customWidth="1" min="15" max="15" width="8.57"/>
  </cols>
  <sheetData>
    <row r="1">
      <c r="A1" s="42" t="s">
        <v>6203</v>
      </c>
      <c r="B1" s="43" t="s">
        <v>20</v>
      </c>
      <c r="C1" s="44" t="s">
        <v>6077</v>
      </c>
      <c r="D1" s="43" t="s">
        <v>24</v>
      </c>
      <c r="E1" s="45" t="s">
        <v>25</v>
      </c>
      <c r="F1" s="46" t="s">
        <v>21</v>
      </c>
      <c r="G1" s="43" t="s">
        <v>6204</v>
      </c>
      <c r="H1" s="43" t="s">
        <v>6205</v>
      </c>
      <c r="I1" s="43" t="s">
        <v>6206</v>
      </c>
      <c r="J1" s="43" t="s">
        <v>6135</v>
      </c>
      <c r="K1" s="42" t="s">
        <v>6207</v>
      </c>
      <c r="L1" s="42" t="s">
        <v>6208</v>
      </c>
      <c r="M1" s="42" t="s">
        <v>2</v>
      </c>
      <c r="N1" s="42" t="s">
        <v>6209</v>
      </c>
      <c r="O1" s="42" t="s">
        <v>6210</v>
      </c>
    </row>
    <row r="2">
      <c r="A2" s="47" t="str">
        <f t="shared" ref="A2:A683" si="1">B2&amp;F2</f>
        <v>1253844564</v>
      </c>
      <c r="B2" s="48">
        <v>12538.0</v>
      </c>
      <c r="C2" s="49">
        <v>0.3229166666666667</v>
      </c>
      <c r="D2" s="48" t="s">
        <v>1522</v>
      </c>
      <c r="E2" s="50">
        <v>18832.0</v>
      </c>
      <c r="F2" s="51">
        <v>44564.0</v>
      </c>
      <c r="G2" s="48" t="s">
        <v>5</v>
      </c>
      <c r="H2" s="48" t="s">
        <v>6211</v>
      </c>
      <c r="I2" s="48" t="s">
        <v>6212</v>
      </c>
      <c r="J2" s="48" t="s">
        <v>6199</v>
      </c>
      <c r="K2" s="52" t="b">
        <f>IFS($B2=FALSE,"", countif(VLOOKUP($A2,UASCAN!D:D,1,FALSE),$A2)&gt;=1,TRUE,countif(VLOOKUP($B2,UASCAN!D:D,1,FALSE),$B2)=0,FALSE)</f>
        <v>0</v>
      </c>
      <c r="L2" s="52" t="b">
        <f>IFS(B2=FALSE,"", countif(VLOOKUP($B2,'01032022'!B:B,1,FALSE),$B2)&gt;=1,TRUE,countif(VLOOKUP($B2,'01032022'!B:B,1,FALSE),$B2)=0,FALSE)</f>
        <v>1</v>
      </c>
      <c r="M2" s="52" t="str">
        <f>ifs(AND($K2=FALSE,$L2=TRUE),"",AND($K2=FALSE,L2=FALSE),"",AND($K2=TRUE,$L2=TRUE),VLOOKUP($A2,UASCAN!D:F,3,0), AND($K2=TRUE,$L2=FALSE),VLOOKUP($A2,UASCAN!D:F,3,0))</f>
        <v/>
      </c>
      <c r="N2" s="53" t="str">
        <f t="shared" ref="N2:N683" si="2">IF((countif($A$2:$A683,$A2)&gt;1),"Repeat"," ")</f>
        <v> </v>
      </c>
      <c r="O2" s="53" t="str">
        <f t="shared" ref="O2:O683" si="3">IFS(and($K2=TRUE,$L2=FALSE),"ADD"&amp;$F2,and($K2=FALSE,$L2=FALSE),"",and($K2=FALSE,$L2=TRUE),"",and($K2=TRUE,$L2=TRUE),"ADD"&amp;$F2)</f>
        <v/>
      </c>
    </row>
    <row r="3">
      <c r="A3" s="47" t="str">
        <f t="shared" si="1"/>
        <v>1773344564</v>
      </c>
      <c r="B3" s="48">
        <v>17733.0</v>
      </c>
      <c r="C3" s="49">
        <v>0.34375</v>
      </c>
      <c r="D3" s="48" t="s">
        <v>5928</v>
      </c>
      <c r="E3" s="50">
        <v>22321.0</v>
      </c>
      <c r="F3" s="51">
        <v>44564.0</v>
      </c>
      <c r="G3" s="48" t="s">
        <v>6213</v>
      </c>
      <c r="H3" s="48" t="s">
        <v>6211</v>
      </c>
      <c r="I3" s="48" t="s">
        <v>6212</v>
      </c>
      <c r="J3" s="48" t="s">
        <v>6202</v>
      </c>
      <c r="K3" s="52" t="b">
        <f>IFS($B3=FALSE,"", countif(VLOOKUP($A3,UASCAN!D:D,1,FALSE),$A3)&gt;=1,TRUE,countif(VLOOKUP($B3,UASCAN!D:D,1,FALSE),$B3)=0,FALSE)</f>
        <v>0</v>
      </c>
      <c r="L3" s="52" t="b">
        <f>IFS(B3=FALSE,"", countif(VLOOKUP($B3,'01032022'!B:B,1,FALSE),$B3)&gt;=1,TRUE,countif(VLOOKUP($B3,'01032022'!B:B,1,FALSE),$B3)=0,FALSE)</f>
        <v>1</v>
      </c>
      <c r="M3" s="52" t="str">
        <f>ifs(AND($K3=FALSE,$L3=TRUE),"",AND($K3=FALSE,L3=FALSE),"",AND($K3=TRUE,$L3=TRUE),VLOOKUP($A3,UASCAN!D:F,3,0), AND($K3=TRUE,$L3=FALSE),VLOOKUP($A3,UASCAN!D:F,3,0))</f>
        <v/>
      </c>
      <c r="N3" s="53" t="str">
        <f t="shared" si="2"/>
        <v> </v>
      </c>
      <c r="O3" s="53" t="str">
        <f t="shared" si="3"/>
        <v/>
      </c>
    </row>
    <row r="4">
      <c r="A4" s="47" t="str">
        <f t="shared" si="1"/>
        <v>1729444564</v>
      </c>
      <c r="B4" s="48">
        <v>17294.0</v>
      </c>
      <c r="C4" s="49">
        <v>0.3645833333333333</v>
      </c>
      <c r="D4" s="48" t="s">
        <v>5364</v>
      </c>
      <c r="E4" s="50">
        <v>28685.0</v>
      </c>
      <c r="F4" s="51">
        <v>44564.0</v>
      </c>
      <c r="G4" s="48" t="s">
        <v>6213</v>
      </c>
      <c r="H4" s="48" t="s">
        <v>6211</v>
      </c>
      <c r="I4" s="48" t="s">
        <v>6212</v>
      </c>
      <c r="J4" s="48" t="s">
        <v>6082</v>
      </c>
      <c r="K4" s="52" t="b">
        <f>IFS($B4=FALSE,"", countif(VLOOKUP($A4,UASCAN!D:D,1,FALSE),$A4)&gt;=1,TRUE,countif(VLOOKUP($B4,UASCAN!D:D,1,FALSE),$B4)=0,FALSE)</f>
        <v>0</v>
      </c>
      <c r="L4" s="52" t="b">
        <f>IFS(B4=FALSE,"", countif(VLOOKUP($B4,'01032022'!B:B,1,FALSE),$B4)&gt;=1,TRUE,countif(VLOOKUP($B4,'01032022'!B:B,1,FALSE),$B4)=0,FALSE)</f>
        <v>1</v>
      </c>
      <c r="M4" s="52" t="str">
        <f>ifs(AND($K4=FALSE,$L4=TRUE),"",AND($K4=FALSE,L4=FALSE),"",AND($K4=TRUE,$L4=TRUE),VLOOKUP($A4,UASCAN!D:F,3,0), AND($K4=TRUE,$L4=FALSE),VLOOKUP($A4,UASCAN!D:F,3,0))</f>
        <v/>
      </c>
      <c r="N4" s="53" t="str">
        <f t="shared" si="2"/>
        <v> </v>
      </c>
      <c r="O4" s="53" t="str">
        <f t="shared" si="3"/>
        <v/>
      </c>
    </row>
    <row r="5">
      <c r="A5" s="47" t="str">
        <f t="shared" si="1"/>
        <v>1557544564</v>
      </c>
      <c r="B5" s="48">
        <v>15575.0</v>
      </c>
      <c r="C5" s="49">
        <v>0.3645833333333333</v>
      </c>
      <c r="D5" s="48" t="s">
        <v>3956</v>
      </c>
      <c r="E5" s="50">
        <v>25072.0</v>
      </c>
      <c r="F5" s="51">
        <v>44564.0</v>
      </c>
      <c r="G5" s="48" t="s">
        <v>5</v>
      </c>
      <c r="H5" s="48" t="s">
        <v>6211</v>
      </c>
      <c r="I5" s="48" t="s">
        <v>6212</v>
      </c>
      <c r="J5" s="48" t="s">
        <v>6082</v>
      </c>
      <c r="K5" s="52" t="b">
        <f>IFS($B5=FALSE,"", countif(VLOOKUP($A5,UASCAN!D:D,1,FALSE),$A5)&gt;=1,TRUE,countif(VLOOKUP($B5,UASCAN!D:D,1,FALSE),$B5)=0,FALSE)</f>
        <v>0</v>
      </c>
      <c r="L5" s="52" t="b">
        <f>IFS(B5=FALSE,"", countif(VLOOKUP($B5,'01032022'!B:B,1,FALSE),$B5)&gt;=1,TRUE,countif(VLOOKUP($B5,'01032022'!B:B,1,FALSE),$B5)=0,FALSE)</f>
        <v>1</v>
      </c>
      <c r="M5" s="52" t="str">
        <f>ifs(AND($K5=FALSE,$L5=TRUE),"",AND($K5=FALSE,L5=FALSE),"",AND($K5=TRUE,$L5=TRUE),VLOOKUP($A5,UASCAN!D:F,3,0), AND($K5=TRUE,$L5=FALSE),VLOOKUP($A5,UASCAN!D:F,3,0))</f>
        <v/>
      </c>
      <c r="N5" s="53" t="str">
        <f t="shared" si="2"/>
        <v> </v>
      </c>
      <c r="O5" s="53" t="str">
        <f t="shared" si="3"/>
        <v/>
      </c>
    </row>
    <row r="6">
      <c r="A6" s="47" t="str">
        <f t="shared" si="1"/>
        <v>1773044564</v>
      </c>
      <c r="B6" s="48">
        <v>17730.0</v>
      </c>
      <c r="C6" s="49">
        <v>0.3958333333333333</v>
      </c>
      <c r="D6" s="48" t="s">
        <v>5771</v>
      </c>
      <c r="E6" s="50">
        <v>20478.0</v>
      </c>
      <c r="F6" s="51">
        <v>44564.0</v>
      </c>
      <c r="G6" s="48" t="s">
        <v>6213</v>
      </c>
      <c r="H6" s="48" t="s">
        <v>6211</v>
      </c>
      <c r="I6" s="48" t="s">
        <v>6212</v>
      </c>
      <c r="J6" s="48" t="s">
        <v>6161</v>
      </c>
      <c r="K6" s="52" t="b">
        <f>IFS($B6=FALSE,"", countif(VLOOKUP($A6,UASCAN!D:D,1,FALSE),$A6)&gt;=1,TRUE,countif(VLOOKUP($B6,UASCAN!D:D,1,FALSE),$B6)=0,FALSE)</f>
        <v>0</v>
      </c>
      <c r="L6" s="52" t="b">
        <f>IFS(B6=FALSE,"", countif(VLOOKUP($B6,'01032022'!B:B,1,FALSE),$B6)&gt;=1,TRUE,countif(VLOOKUP($B6,'01032022'!B:B,1,FALSE),$B6)=0,FALSE)</f>
        <v>1</v>
      </c>
      <c r="M6" s="52" t="str">
        <f>ifs(AND($K6=FALSE,$L6=TRUE),"",AND($K6=FALSE,L6=FALSE),"",AND($K6=TRUE,$L6=TRUE),VLOOKUP($A6,UASCAN!D:F,3,0), AND($K6=TRUE,$L6=FALSE),VLOOKUP($A6,UASCAN!D:F,3,0))</f>
        <v/>
      </c>
      <c r="N6" s="53" t="str">
        <f t="shared" si="2"/>
        <v> </v>
      </c>
      <c r="O6" s="53" t="str">
        <f t="shared" si="3"/>
        <v/>
      </c>
    </row>
    <row r="7">
      <c r="A7" s="47" t="str">
        <f t="shared" si="1"/>
        <v>1774444564</v>
      </c>
      <c r="B7" s="48">
        <v>17744.0</v>
      </c>
      <c r="C7" s="49">
        <v>0.3958333333333333</v>
      </c>
      <c r="D7" s="48" t="s">
        <v>5929</v>
      </c>
      <c r="E7" s="50">
        <v>25802.0</v>
      </c>
      <c r="F7" s="51">
        <v>44564.0</v>
      </c>
      <c r="G7" s="48" t="s">
        <v>6214</v>
      </c>
      <c r="H7" s="48" t="s">
        <v>6211</v>
      </c>
      <c r="I7" s="48" t="s">
        <v>6212</v>
      </c>
      <c r="J7" s="48" t="s">
        <v>6142</v>
      </c>
      <c r="K7" s="52" t="b">
        <f>IFS($B7=FALSE,"", countif(VLOOKUP($A7,UASCAN!D:D,1,FALSE),$A7)&gt;=1,TRUE,countif(VLOOKUP($B7,UASCAN!D:D,1,FALSE),$B7)=0,FALSE)</f>
        <v>0</v>
      </c>
      <c r="L7" s="52" t="b">
        <f>IFS(B7=FALSE,"", countif(VLOOKUP($B7,'01032022'!B:B,1,FALSE),$B7)&gt;=1,TRUE,countif(VLOOKUP($B7,'01032022'!B:B,1,FALSE),$B7)=0,FALSE)</f>
        <v>1</v>
      </c>
      <c r="M7" s="52" t="str">
        <f>ifs(AND($K7=FALSE,$L7=TRUE),"",AND($K7=FALSE,L7=FALSE),"",AND($K7=TRUE,$L7=TRUE),VLOOKUP($A7,UASCAN!D:F,3,0), AND($K7=TRUE,$L7=FALSE),VLOOKUP($A7,UASCAN!D:F,3,0))</f>
        <v/>
      </c>
      <c r="N7" s="53" t="str">
        <f t="shared" si="2"/>
        <v> </v>
      </c>
      <c r="O7" s="53" t="str">
        <f t="shared" si="3"/>
        <v/>
      </c>
    </row>
    <row r="8">
      <c r="A8" s="47" t="str">
        <f t="shared" si="1"/>
        <v>1737944564</v>
      </c>
      <c r="B8" s="48">
        <v>17379.0</v>
      </c>
      <c r="C8" s="49">
        <v>0.4166666666666667</v>
      </c>
      <c r="D8" s="48" t="s">
        <v>5934</v>
      </c>
      <c r="E8" s="50">
        <v>25124.0</v>
      </c>
      <c r="F8" s="51">
        <v>44564.0</v>
      </c>
      <c r="G8" s="48" t="s">
        <v>6213</v>
      </c>
      <c r="H8" s="48" t="s">
        <v>6211</v>
      </c>
      <c r="I8" s="48" t="s">
        <v>6212</v>
      </c>
      <c r="J8" s="48" t="s">
        <v>6199</v>
      </c>
      <c r="K8" s="52" t="b">
        <f>IFS($B8=FALSE,"", countif(VLOOKUP($A8,UASCAN!D:D,1,FALSE),$A8)&gt;=1,TRUE,countif(VLOOKUP($B8,UASCAN!D:D,1,FALSE),$B8)=0,FALSE)</f>
        <v>0</v>
      </c>
      <c r="L8" s="52" t="b">
        <f>IFS(B8=FALSE,"", countif(VLOOKUP($B8,'01032022'!B:B,1,FALSE),$B8)&gt;=1,TRUE,countif(VLOOKUP($B8,'01032022'!B:B,1,FALSE),$B8)=0,FALSE)</f>
        <v>1</v>
      </c>
      <c r="M8" s="52" t="str">
        <f>ifs(AND($K8=FALSE,$L8=TRUE),"",AND($K8=FALSE,L8=FALSE),"",AND($K8=TRUE,$L8=TRUE),VLOOKUP($A8,UASCAN!D:F,3,0), AND($K8=TRUE,$L8=FALSE),VLOOKUP($A8,UASCAN!D:F,3,0))</f>
        <v/>
      </c>
      <c r="N8" s="53" t="str">
        <f t="shared" si="2"/>
        <v> </v>
      </c>
      <c r="O8" s="53" t="str">
        <f t="shared" si="3"/>
        <v/>
      </c>
    </row>
    <row r="9">
      <c r="A9" s="47" t="str">
        <f t="shared" si="1"/>
        <v>1386344564</v>
      </c>
      <c r="B9" s="48">
        <v>13863.0</v>
      </c>
      <c r="C9" s="49">
        <v>0.4166666666666667</v>
      </c>
      <c r="D9" s="48" t="s">
        <v>2565</v>
      </c>
      <c r="E9" s="50">
        <v>29842.0</v>
      </c>
      <c r="F9" s="51">
        <v>44564.0</v>
      </c>
      <c r="G9" s="48" t="s">
        <v>6215</v>
      </c>
      <c r="H9" s="48" t="s">
        <v>6211</v>
      </c>
      <c r="I9" s="48" t="s">
        <v>6212</v>
      </c>
      <c r="J9" s="48" t="s">
        <v>6174</v>
      </c>
      <c r="K9" s="52" t="b">
        <f>IFS($B9=FALSE,"", countif(VLOOKUP($A9,UASCAN!D:D,1,FALSE),$A9)&gt;=1,TRUE,countif(VLOOKUP($B9,UASCAN!D:D,1,FALSE),$B9)=0,FALSE)</f>
        <v>0</v>
      </c>
      <c r="L9" s="52" t="b">
        <f>IFS(B9=FALSE,"", countif(VLOOKUP($B9,'01032022'!B:B,1,FALSE),$B9)&gt;=1,TRUE,countif(VLOOKUP($B9,'01032022'!B:B,1,FALSE),$B9)=0,FALSE)</f>
        <v>1</v>
      </c>
      <c r="M9" s="52" t="str">
        <f>ifs(AND($K9=FALSE,$L9=TRUE),"",AND($K9=FALSE,L9=FALSE),"",AND($K9=TRUE,$L9=TRUE),VLOOKUP($A9,UASCAN!D:F,3,0), AND($K9=TRUE,$L9=FALSE),VLOOKUP($A9,UASCAN!D:F,3,0))</f>
        <v/>
      </c>
      <c r="N9" s="53" t="str">
        <f t="shared" si="2"/>
        <v> </v>
      </c>
      <c r="O9" s="53" t="str">
        <f t="shared" si="3"/>
        <v/>
      </c>
    </row>
    <row r="10">
      <c r="A10" s="47" t="str">
        <f t="shared" si="1"/>
        <v>1403544564</v>
      </c>
      <c r="B10" s="48">
        <v>14035.0</v>
      </c>
      <c r="C10" s="49">
        <v>0.4270833333333333</v>
      </c>
      <c r="D10" s="48" t="s">
        <v>2693</v>
      </c>
      <c r="E10" s="50">
        <v>22362.0</v>
      </c>
      <c r="F10" s="51">
        <v>44564.0</v>
      </c>
      <c r="G10" s="48" t="s">
        <v>6216</v>
      </c>
      <c r="H10" s="48" t="s">
        <v>6211</v>
      </c>
      <c r="I10" s="48" t="s">
        <v>6212</v>
      </c>
      <c r="J10" s="48" t="s">
        <v>6189</v>
      </c>
      <c r="K10" s="52" t="b">
        <f>IFS($B10=FALSE,"", countif(VLOOKUP($A10,UASCAN!D:D,1,FALSE),$A10)&gt;=1,TRUE,countif(VLOOKUP($B10,UASCAN!D:D,1,FALSE),$B10)=0,FALSE)</f>
        <v>0</v>
      </c>
      <c r="L10" s="52" t="b">
        <f>IFS(B10=FALSE,"", countif(VLOOKUP($B10,'01032022'!B:B,1,FALSE),$B10)&gt;=1,TRUE,countif(VLOOKUP($B10,'01032022'!B:B,1,FALSE),$B10)=0,FALSE)</f>
        <v>1</v>
      </c>
      <c r="M10" s="52" t="str">
        <f>ifs(AND($K10=FALSE,$L10=TRUE),"",AND($K10=FALSE,L10=FALSE),"",AND($K10=TRUE,$L10=TRUE),VLOOKUP($A10,UASCAN!D:F,3,0), AND($K10=TRUE,$L10=FALSE),VLOOKUP($A10,UASCAN!D:F,3,0))</f>
        <v/>
      </c>
      <c r="N10" s="53" t="str">
        <f t="shared" si="2"/>
        <v> </v>
      </c>
      <c r="O10" s="53" t="str">
        <f t="shared" si="3"/>
        <v/>
      </c>
    </row>
    <row r="11">
      <c r="A11" s="47" t="str">
        <f t="shared" si="1"/>
        <v>1779944564</v>
      </c>
      <c r="B11" s="48">
        <v>17799.0</v>
      </c>
      <c r="C11" s="49">
        <v>0.4479166666666667</v>
      </c>
      <c r="D11" s="48" t="s">
        <v>5937</v>
      </c>
      <c r="E11" s="50">
        <v>24580.0</v>
      </c>
      <c r="F11" s="51">
        <v>44564.0</v>
      </c>
      <c r="G11" s="48" t="s">
        <v>6213</v>
      </c>
      <c r="H11" s="48" t="s">
        <v>6211</v>
      </c>
      <c r="I11" s="48" t="s">
        <v>6212</v>
      </c>
      <c r="J11" s="48" t="s">
        <v>6082</v>
      </c>
      <c r="K11" s="52" t="b">
        <f>IFS($B11=FALSE,"", countif(VLOOKUP($A11,UASCAN!D:D,1,FALSE),$A11)&gt;=1,TRUE,countif(VLOOKUP($B11,UASCAN!D:D,1,FALSE),$B11)=0,FALSE)</f>
        <v>0</v>
      </c>
      <c r="L11" s="52" t="b">
        <f>IFS(B11=FALSE,"", countif(VLOOKUP($B11,'01032022'!B:B,1,FALSE),$B11)&gt;=1,TRUE,countif(VLOOKUP($B11,'01032022'!B:B,1,FALSE),$B11)=0,FALSE)</f>
        <v>1</v>
      </c>
      <c r="M11" s="52" t="str">
        <f>ifs(AND($K11=FALSE,$L11=TRUE),"",AND($K11=FALSE,L11=FALSE),"",AND($K11=TRUE,$L11=TRUE),VLOOKUP($A11,UASCAN!D:F,3,0), AND($K11=TRUE,$L11=FALSE),VLOOKUP($A11,UASCAN!D:F,3,0))</f>
        <v/>
      </c>
      <c r="N11" s="53" t="str">
        <f t="shared" si="2"/>
        <v> </v>
      </c>
      <c r="O11" s="53" t="str">
        <f t="shared" si="3"/>
        <v/>
      </c>
    </row>
    <row r="12">
      <c r="A12" s="47" t="str">
        <f t="shared" si="1"/>
        <v>1765844564</v>
      </c>
      <c r="B12" s="48">
        <v>17658.0</v>
      </c>
      <c r="C12" s="49">
        <v>0.46875</v>
      </c>
      <c r="D12" s="48" t="s">
        <v>5936</v>
      </c>
      <c r="E12" s="50">
        <v>22123.0</v>
      </c>
      <c r="F12" s="51">
        <v>44564.0</v>
      </c>
      <c r="G12" s="48" t="s">
        <v>6213</v>
      </c>
      <c r="H12" s="48" t="s">
        <v>6211</v>
      </c>
      <c r="I12" s="48" t="s">
        <v>6212</v>
      </c>
      <c r="J12" s="48" t="s">
        <v>6099</v>
      </c>
      <c r="K12" s="52" t="b">
        <f>IFS($B12=FALSE,"", countif(VLOOKUP($A12,UASCAN!D:D,1,FALSE),$A12)&gt;=1,TRUE,countif(VLOOKUP($B12,UASCAN!D:D,1,FALSE),$B12)=0,FALSE)</f>
        <v>0</v>
      </c>
      <c r="L12" s="52" t="b">
        <f>IFS(B12=FALSE,"", countif(VLOOKUP($B12,'01032022'!B:B,1,FALSE),$B12)&gt;=1,TRUE,countif(VLOOKUP($B12,'01032022'!B:B,1,FALSE),$B12)=0,FALSE)</f>
        <v>1</v>
      </c>
      <c r="M12" s="52" t="str">
        <f>ifs(AND($K12=FALSE,$L12=TRUE),"",AND($K12=FALSE,L12=FALSE),"",AND($K12=TRUE,$L12=TRUE),VLOOKUP($A12,UASCAN!D:F,3,0), AND($K12=TRUE,$L12=FALSE),VLOOKUP($A12,UASCAN!D:F,3,0))</f>
        <v/>
      </c>
      <c r="N12" s="53" t="str">
        <f t="shared" si="2"/>
        <v> </v>
      </c>
      <c r="O12" s="53" t="str">
        <f t="shared" si="3"/>
        <v/>
      </c>
    </row>
    <row r="13">
      <c r="A13" s="47" t="str">
        <f t="shared" si="1"/>
        <v>1299044564</v>
      </c>
      <c r="B13" s="48">
        <v>12990.0</v>
      </c>
      <c r="C13" s="49">
        <v>0.4791666666666667</v>
      </c>
      <c r="D13" s="48" t="s">
        <v>1881</v>
      </c>
      <c r="E13" s="50">
        <v>23448.0</v>
      </c>
      <c r="F13" s="51">
        <v>44564.0</v>
      </c>
      <c r="G13" s="48" t="s">
        <v>5</v>
      </c>
      <c r="H13" s="48" t="s">
        <v>6211</v>
      </c>
      <c r="I13" s="48" t="s">
        <v>6212</v>
      </c>
      <c r="J13" s="48" t="s">
        <v>6199</v>
      </c>
      <c r="K13" s="52" t="b">
        <f>IFS($B13=FALSE,"", countif(VLOOKUP($A13,UASCAN!D:D,1,FALSE),$A13)&gt;=1,TRUE,countif(VLOOKUP($B13,UASCAN!D:D,1,FALSE),$B13)=0,FALSE)</f>
        <v>0</v>
      </c>
      <c r="L13" s="52" t="b">
        <f>IFS(B13=FALSE,"", countif(VLOOKUP($B13,'01032022'!B:B,1,FALSE),$B13)&gt;=1,TRUE,countif(VLOOKUP($B13,'01032022'!B:B,1,FALSE),$B13)=0,FALSE)</f>
        <v>1</v>
      </c>
      <c r="M13" s="52" t="str">
        <f>ifs(AND($K13=FALSE,$L13=TRUE),"",AND($K13=FALSE,L13=FALSE),"",AND($K13=TRUE,$L13=TRUE),VLOOKUP($A13,UASCAN!D:F,3,0), AND($K13=TRUE,$L13=FALSE),VLOOKUP($A13,UASCAN!D:F,3,0))</f>
        <v/>
      </c>
      <c r="N13" s="53" t="str">
        <f t="shared" si="2"/>
        <v> </v>
      </c>
      <c r="O13" s="53" t="str">
        <f t="shared" si="3"/>
        <v/>
      </c>
    </row>
    <row r="14">
      <c r="A14" s="47" t="str">
        <f t="shared" si="1"/>
        <v>1767844564</v>
      </c>
      <c r="B14" s="48">
        <v>17678.0</v>
      </c>
      <c r="C14" s="49">
        <v>0.5416666666666666</v>
      </c>
      <c r="D14" s="48" t="s">
        <v>5933</v>
      </c>
      <c r="E14" s="50">
        <v>16948.0</v>
      </c>
      <c r="F14" s="51">
        <v>44564.0</v>
      </c>
      <c r="G14" s="48" t="s">
        <v>6213</v>
      </c>
      <c r="H14" s="48" t="s">
        <v>6211</v>
      </c>
      <c r="I14" s="48" t="s">
        <v>6212</v>
      </c>
      <c r="J14" s="48" t="s">
        <v>6199</v>
      </c>
      <c r="K14" s="52" t="b">
        <f>IFS($B14=FALSE,"", countif(VLOOKUP($A14,UASCAN!D:D,1,FALSE),$A14)&gt;=1,TRUE,countif(VLOOKUP($B14,UASCAN!D:D,1,FALSE),$B14)=0,FALSE)</f>
        <v>1</v>
      </c>
      <c r="L14" s="52" t="b">
        <f>IFS(B14=FALSE,"", countif(VLOOKUP($B14,'01032022'!B:B,1,FALSE),$B14)&gt;=1,TRUE,countif(VLOOKUP($B14,'01032022'!B:B,1,FALSE),$B14)=0,FALSE)</f>
        <v>1</v>
      </c>
      <c r="M14" s="52" t="str">
        <f>ifs(AND($K14=FALSE,$L14=TRUE),"",AND($K14=FALSE,L14=FALSE),"",AND($K14=TRUE,$L14=TRUE),VLOOKUP($A14,UASCAN!D:F,3,0), AND($K14=TRUE,$L14=FALSE),VLOOKUP($A14,UASCAN!D:F,3,0))</f>
        <v>CH</v>
      </c>
      <c r="N14" s="53" t="str">
        <f t="shared" si="2"/>
        <v> </v>
      </c>
      <c r="O14" s="53" t="str">
        <f t="shared" si="3"/>
        <v>ADD44564</v>
      </c>
    </row>
    <row r="15">
      <c r="A15" s="47" t="str">
        <f t="shared" si="1"/>
        <v>1781444564</v>
      </c>
      <c r="B15" s="48">
        <v>17814.0</v>
      </c>
      <c r="C15" s="49">
        <v>0.5416666666666666</v>
      </c>
      <c r="D15" s="48" t="s">
        <v>5940</v>
      </c>
      <c r="E15" s="50">
        <v>27895.0</v>
      </c>
      <c r="F15" s="51">
        <v>44564.0</v>
      </c>
      <c r="G15" s="48" t="s">
        <v>6213</v>
      </c>
      <c r="H15" s="48" t="s">
        <v>6211</v>
      </c>
      <c r="I15" s="48" t="s">
        <v>6212</v>
      </c>
      <c r="J15" s="48" t="s">
        <v>6101</v>
      </c>
      <c r="K15" s="52" t="b">
        <f>IFS($B15=FALSE,"", countif(VLOOKUP($A15,UASCAN!D:D,1,FALSE),$A15)&gt;=1,TRUE,countif(VLOOKUP($B15,UASCAN!D:D,1,FALSE),$B15)=0,FALSE)</f>
        <v>1</v>
      </c>
      <c r="L15" s="52" t="b">
        <f>IFS(B15=FALSE,"", countif(VLOOKUP($B15,'01032022'!B:B,1,FALSE),$B15)&gt;=1,TRUE,countif(VLOOKUP($B15,'01032022'!B:B,1,FALSE),$B15)=0,FALSE)</f>
        <v>1</v>
      </c>
      <c r="M15" s="52" t="str">
        <f>ifs(AND($K15=FALSE,$L15=TRUE),"",AND($K15=FALSE,L15=FALSE),"",AND($K15=TRUE,$L15=TRUE),VLOOKUP($A15,UASCAN!D:F,3,0), AND($K15=TRUE,$L15=FALSE),VLOOKUP($A15,UASCAN!D:F,3,0))</f>
        <v>CH</v>
      </c>
      <c r="N15" s="53" t="str">
        <f t="shared" si="2"/>
        <v> </v>
      </c>
      <c r="O15" s="53" t="str">
        <f t="shared" si="3"/>
        <v>ADD44564</v>
      </c>
    </row>
    <row r="16">
      <c r="A16" s="47" t="str">
        <f t="shared" si="1"/>
        <v>1781244564</v>
      </c>
      <c r="B16" s="48">
        <v>17812.0</v>
      </c>
      <c r="C16" s="49">
        <v>0.5416666666666666</v>
      </c>
      <c r="D16" s="48" t="s">
        <v>5939</v>
      </c>
      <c r="E16" s="50">
        <v>21219.0</v>
      </c>
      <c r="F16" s="51">
        <v>44564.0</v>
      </c>
      <c r="G16" s="48" t="s">
        <v>6213</v>
      </c>
      <c r="H16" s="48" t="s">
        <v>6211</v>
      </c>
      <c r="I16" s="48" t="s">
        <v>6212</v>
      </c>
      <c r="J16" s="48" t="s">
        <v>6089</v>
      </c>
      <c r="K16" s="52" t="b">
        <f>IFS($B16=FALSE,"", countif(VLOOKUP($A16,UASCAN!D:D,1,FALSE),$A16)&gt;=1,TRUE,countif(VLOOKUP($B16,UASCAN!D:D,1,FALSE),$B16)=0,FALSE)</f>
        <v>1</v>
      </c>
      <c r="L16" s="52" t="b">
        <f>IFS(B16=FALSE,"", countif(VLOOKUP($B16,'01032022'!B:B,1,FALSE),$B16)&gt;=1,TRUE,countif(VLOOKUP($B16,'01032022'!B:B,1,FALSE),$B16)=0,FALSE)</f>
        <v>1</v>
      </c>
      <c r="M16" s="52" t="str">
        <f>ifs(AND($K16=FALSE,$L16=TRUE),"",AND($K16=FALSE,L16=FALSE),"",AND($K16=TRUE,$L16=TRUE),VLOOKUP($A16,UASCAN!D:F,3,0), AND($K16=TRUE,$L16=FALSE),VLOOKUP($A16,UASCAN!D:F,3,0))</f>
        <v>CH</v>
      </c>
      <c r="N16" s="53" t="str">
        <f t="shared" si="2"/>
        <v> </v>
      </c>
      <c r="O16" s="53" t="str">
        <f t="shared" si="3"/>
        <v>ADD44564</v>
      </c>
    </row>
    <row r="17">
      <c r="A17" s="47" t="str">
        <f t="shared" si="1"/>
        <v>1740344564</v>
      </c>
      <c r="B17" s="48">
        <v>17403.0</v>
      </c>
      <c r="C17" s="49">
        <v>0.59375</v>
      </c>
      <c r="D17" s="48" t="s">
        <v>5446</v>
      </c>
      <c r="E17" s="50">
        <v>26246.0</v>
      </c>
      <c r="F17" s="51">
        <v>44564.0</v>
      </c>
      <c r="G17" s="48" t="s">
        <v>6213</v>
      </c>
      <c r="H17" s="48" t="s">
        <v>6211</v>
      </c>
      <c r="I17" s="48" t="s">
        <v>6212</v>
      </c>
      <c r="J17" s="48" t="s">
        <v>6217</v>
      </c>
      <c r="K17" s="52" t="b">
        <f>IFS($B17=FALSE,"", countif(VLOOKUP($A17,UASCAN!D:D,1,FALSE),$A17)&gt;=1,TRUE,countif(VLOOKUP($B17,UASCAN!D:D,1,FALSE),$B17)=0,FALSE)</f>
        <v>0</v>
      </c>
      <c r="L17" s="52" t="b">
        <f>IFS(B17=FALSE,"", countif(VLOOKUP($B17,'01032022'!B:B,1,FALSE),$B17)&gt;=1,TRUE,countif(VLOOKUP($B17,'01032022'!B:B,1,FALSE),$B17)=0,FALSE)</f>
        <v>1</v>
      </c>
      <c r="M17" s="52" t="str">
        <f>ifs(AND($K17=FALSE,$L17=TRUE),"",AND($K17=FALSE,L17=FALSE),"",AND($K17=TRUE,$L17=TRUE),VLOOKUP($A17,UASCAN!D:F,3,0), AND($K17=TRUE,$L17=FALSE),VLOOKUP($A17,UASCAN!D:F,3,0))</f>
        <v/>
      </c>
      <c r="N17" s="53" t="str">
        <f t="shared" si="2"/>
        <v> </v>
      </c>
      <c r="O17" s="53" t="str">
        <f t="shared" si="3"/>
        <v/>
      </c>
    </row>
    <row r="18">
      <c r="A18" s="47" t="str">
        <f t="shared" si="1"/>
        <v>927144564</v>
      </c>
      <c r="B18" s="48">
        <v>9271.0</v>
      </c>
      <c r="C18" s="49">
        <v>0.59375</v>
      </c>
      <c r="D18" s="48" t="s">
        <v>125</v>
      </c>
      <c r="E18" s="50">
        <v>24708.0</v>
      </c>
      <c r="F18" s="51">
        <v>44564.0</v>
      </c>
      <c r="G18" s="48" t="s">
        <v>5</v>
      </c>
      <c r="H18" s="48" t="s">
        <v>6211</v>
      </c>
      <c r="I18" s="48" t="s">
        <v>6212</v>
      </c>
      <c r="J18" s="48" t="s">
        <v>6137</v>
      </c>
      <c r="K18" s="52" t="b">
        <f>IFS($B18=FALSE,"", countif(VLOOKUP($A18,UASCAN!D:D,1,FALSE),$A18)&gt;=1,TRUE,countif(VLOOKUP($B18,UASCAN!D:D,1,FALSE),$B18)=0,FALSE)</f>
        <v>0</v>
      </c>
      <c r="L18" s="52" t="b">
        <f>IFS(B18=FALSE,"", countif(VLOOKUP($B18,'01032022'!B:B,1,FALSE),$B18)&gt;=1,TRUE,countif(VLOOKUP($B18,'01032022'!B:B,1,FALSE),$B18)=0,FALSE)</f>
        <v>1</v>
      </c>
      <c r="M18" s="52" t="str">
        <f>ifs(AND($K18=FALSE,$L18=TRUE),"",AND($K18=FALSE,L18=FALSE),"",AND($K18=TRUE,$L18=TRUE),VLOOKUP($A18,UASCAN!D:F,3,0), AND($K18=TRUE,$L18=FALSE),VLOOKUP($A18,UASCAN!D:F,3,0))</f>
        <v/>
      </c>
      <c r="N18" s="53" t="str">
        <f t="shared" si="2"/>
        <v> </v>
      </c>
      <c r="O18" s="53" t="str">
        <f t="shared" si="3"/>
        <v/>
      </c>
    </row>
    <row r="19">
      <c r="A19" s="47" t="str">
        <f t="shared" si="1"/>
        <v>1769444564</v>
      </c>
      <c r="B19" s="48">
        <v>17694.0</v>
      </c>
      <c r="C19" s="49">
        <v>0.6145833333333334</v>
      </c>
      <c r="D19" s="48" t="s">
        <v>5925</v>
      </c>
      <c r="E19" s="50">
        <v>23052.0</v>
      </c>
      <c r="F19" s="51">
        <v>44564.0</v>
      </c>
      <c r="G19" s="48" t="s">
        <v>6213</v>
      </c>
      <c r="H19" s="48" t="s">
        <v>6211</v>
      </c>
      <c r="I19" s="48" t="s">
        <v>6212</v>
      </c>
      <c r="J19" s="48" t="s">
        <v>6130</v>
      </c>
      <c r="K19" s="52" t="b">
        <f>IFS($B19=FALSE,"", countif(VLOOKUP($A19,UASCAN!D:D,1,FALSE),$A19)&gt;=1,TRUE,countif(VLOOKUP($B19,UASCAN!D:D,1,FALSE),$B19)=0,FALSE)</f>
        <v>0</v>
      </c>
      <c r="L19" s="52" t="b">
        <f>IFS(B19=FALSE,"", countif(VLOOKUP($B19,'01032022'!B:B,1,FALSE),$B19)&gt;=1,TRUE,countif(VLOOKUP($B19,'01032022'!B:B,1,FALSE),$B19)=0,FALSE)</f>
        <v>1</v>
      </c>
      <c r="M19" s="52" t="str">
        <f>ifs(AND($K19=FALSE,$L19=TRUE),"",AND($K19=FALSE,L19=FALSE),"",AND($K19=TRUE,$L19=TRUE),VLOOKUP($A19,UASCAN!D:F,3,0), AND($K19=TRUE,$L19=FALSE),VLOOKUP($A19,UASCAN!D:F,3,0))</f>
        <v/>
      </c>
      <c r="N19" s="53" t="str">
        <f t="shared" si="2"/>
        <v> </v>
      </c>
      <c r="O19" s="53" t="str">
        <f t="shared" si="3"/>
        <v/>
      </c>
    </row>
    <row r="20">
      <c r="A20" s="47" t="str">
        <f t="shared" si="1"/>
        <v>1603744564</v>
      </c>
      <c r="B20" s="48">
        <v>16037.0</v>
      </c>
      <c r="C20" s="49">
        <v>0.6354166666666666</v>
      </c>
      <c r="D20" s="48" t="s">
        <v>4371</v>
      </c>
      <c r="E20" s="50">
        <v>16788.0</v>
      </c>
      <c r="F20" s="51">
        <v>44564.0</v>
      </c>
      <c r="G20" s="48" t="s">
        <v>5</v>
      </c>
      <c r="H20" s="48" t="s">
        <v>6211</v>
      </c>
      <c r="I20" s="48" t="s">
        <v>6212</v>
      </c>
      <c r="J20" s="48" t="s">
        <v>6174</v>
      </c>
      <c r="K20" s="52" t="b">
        <f>IFS($B20=FALSE,"", countif(VLOOKUP($A20,UASCAN!D:D,1,FALSE),$A20)&gt;=1,TRUE,countif(VLOOKUP($B20,UASCAN!D:D,1,FALSE),$B20)=0,FALSE)</f>
        <v>0</v>
      </c>
      <c r="L20" s="52" t="b">
        <f>IFS(B20=FALSE,"", countif(VLOOKUP($B20,'01032022'!B:B,1,FALSE),$B20)&gt;=1,TRUE,countif(VLOOKUP($B20,'01032022'!B:B,1,FALSE),$B20)=0,FALSE)</f>
        <v>1</v>
      </c>
      <c r="M20" s="52" t="str">
        <f>ifs(AND($K20=FALSE,$L20=TRUE),"",AND($K20=FALSE,L20=FALSE),"",AND($K20=TRUE,$L20=TRUE),VLOOKUP($A20,UASCAN!D:F,3,0), AND($K20=TRUE,$L20=FALSE),VLOOKUP($A20,UASCAN!D:F,3,0))</f>
        <v/>
      </c>
      <c r="N20" s="53" t="str">
        <f t="shared" si="2"/>
        <v> </v>
      </c>
      <c r="O20" s="53" t="str">
        <f t="shared" si="3"/>
        <v/>
      </c>
    </row>
    <row r="21">
      <c r="A21" s="47" t="str">
        <f t="shared" si="1"/>
        <v>959244564</v>
      </c>
      <c r="B21" s="48">
        <v>9592.0</v>
      </c>
      <c r="C21" s="49">
        <v>0.34375</v>
      </c>
      <c r="D21" s="48" t="s">
        <v>5938</v>
      </c>
      <c r="E21" s="50">
        <v>20695.0</v>
      </c>
      <c r="F21" s="51">
        <v>44564.0</v>
      </c>
      <c r="G21" s="48" t="s">
        <v>6216</v>
      </c>
      <c r="H21" s="48" t="s">
        <v>6218</v>
      </c>
      <c r="I21" s="48" t="s">
        <v>6219</v>
      </c>
      <c r="J21" s="48" t="s">
        <v>6195</v>
      </c>
      <c r="K21" s="52" t="b">
        <f>IFS($B21=FALSE,"", countif(VLOOKUP($A21,UASCAN!D:D,1,FALSE),$A21)&gt;=1,TRUE,countif(VLOOKUP($B21,UASCAN!D:D,1,FALSE),$B21)=0,FALSE)</f>
        <v>1</v>
      </c>
      <c r="L21" s="52" t="b">
        <f>IFS(B21=FALSE,"", countif(VLOOKUP($B21,'01032022'!B:B,1,FALSE),$B21)&gt;=1,TRUE,countif(VLOOKUP($B21,'01032022'!B:B,1,FALSE),$B21)=0,FALSE)</f>
        <v>1</v>
      </c>
      <c r="M21" s="52" t="str">
        <f>ifs(AND($K21=FALSE,$L21=TRUE),"",AND($K21=FALSE,L21=FALSE),"",AND($K21=TRUE,$L21=TRUE),VLOOKUP($A21,UASCAN!D:F,3,0), AND($K21=TRUE,$L21=FALSE),VLOOKUP($A21,UASCAN!D:F,3,0))</f>
        <v>CH</v>
      </c>
      <c r="N21" s="53" t="str">
        <f t="shared" si="2"/>
        <v> </v>
      </c>
      <c r="O21" s="53" t="str">
        <f t="shared" si="3"/>
        <v>ADD44564</v>
      </c>
    </row>
    <row r="22">
      <c r="A22" s="47" t="str">
        <f t="shared" si="1"/>
        <v>1580744564</v>
      </c>
      <c r="B22" s="48">
        <v>15807.0</v>
      </c>
      <c r="C22" s="49">
        <v>0.3541666666666667</v>
      </c>
      <c r="D22" s="48" t="s">
        <v>4167</v>
      </c>
      <c r="E22" s="50">
        <v>22632.0</v>
      </c>
      <c r="F22" s="51">
        <v>44564.0</v>
      </c>
      <c r="G22" s="48" t="s">
        <v>5</v>
      </c>
      <c r="H22" s="48" t="s">
        <v>6218</v>
      </c>
      <c r="I22" s="48" t="s">
        <v>6219</v>
      </c>
      <c r="J22" s="48" t="s">
        <v>6186</v>
      </c>
      <c r="K22" s="52" t="b">
        <f>IFS($B22=FALSE,"", countif(VLOOKUP($A22,UASCAN!D:D,1,FALSE),$A22)&gt;=1,TRUE,countif(VLOOKUP($B22,UASCAN!D:D,1,FALSE),$B22)=0,FALSE)</f>
        <v>0</v>
      </c>
      <c r="L22" s="52" t="b">
        <f>IFS(B22=FALSE,"", countif(VLOOKUP($B22,'01032022'!B:B,1,FALSE),$B22)&gt;=1,TRUE,countif(VLOOKUP($B22,'01032022'!B:B,1,FALSE),$B22)=0,FALSE)</f>
        <v>1</v>
      </c>
      <c r="M22" s="52" t="str">
        <f>ifs(AND($K22=FALSE,$L22=TRUE),"",AND($K22=FALSE,L22=FALSE),"",AND($K22=TRUE,$L22=TRUE),VLOOKUP($A22,UASCAN!D:F,3,0), AND($K22=TRUE,$L22=FALSE),VLOOKUP($A22,UASCAN!D:F,3,0))</f>
        <v/>
      </c>
      <c r="N22" s="53" t="str">
        <f t="shared" si="2"/>
        <v> </v>
      </c>
      <c r="O22" s="53" t="str">
        <f t="shared" si="3"/>
        <v/>
      </c>
    </row>
    <row r="23">
      <c r="A23" s="47" t="str">
        <f t="shared" si="1"/>
        <v>947344564</v>
      </c>
      <c r="B23" s="48">
        <v>9473.0</v>
      </c>
      <c r="C23" s="49">
        <v>0.3645833333333333</v>
      </c>
      <c r="D23" s="48" t="s">
        <v>178</v>
      </c>
      <c r="E23" s="50">
        <v>17984.0</v>
      </c>
      <c r="F23" s="51">
        <v>44564.0</v>
      </c>
      <c r="G23" s="48" t="s">
        <v>6216</v>
      </c>
      <c r="H23" s="48" t="s">
        <v>6218</v>
      </c>
      <c r="I23" s="48" t="s">
        <v>6219</v>
      </c>
      <c r="J23" s="48" t="s">
        <v>6196</v>
      </c>
      <c r="K23" s="52" t="b">
        <f>IFS($B23=FALSE,"", countif(VLOOKUP($A23,UASCAN!D:D,1,FALSE),$A23)&gt;=1,TRUE,countif(VLOOKUP($B23,UASCAN!D:D,1,FALSE),$B23)=0,FALSE)</f>
        <v>0</v>
      </c>
      <c r="L23" s="52" t="b">
        <f>IFS(B23=FALSE,"", countif(VLOOKUP($B23,'01032022'!B:B,1,FALSE),$B23)&gt;=1,TRUE,countif(VLOOKUP($B23,'01032022'!B:B,1,FALSE),$B23)=0,FALSE)</f>
        <v>1</v>
      </c>
      <c r="M23" s="52" t="str">
        <f>ifs(AND($K23=FALSE,$L23=TRUE),"",AND($K23=FALSE,L23=FALSE),"",AND($K23=TRUE,$L23=TRUE),VLOOKUP($A23,UASCAN!D:F,3,0), AND($K23=TRUE,$L23=FALSE),VLOOKUP($A23,UASCAN!D:F,3,0))</f>
        <v/>
      </c>
      <c r="N23" s="53" t="str">
        <f t="shared" si="2"/>
        <v> </v>
      </c>
      <c r="O23" s="53" t="str">
        <f t="shared" si="3"/>
        <v/>
      </c>
    </row>
    <row r="24">
      <c r="A24" s="47" t="str">
        <f t="shared" si="1"/>
        <v>986144564</v>
      </c>
      <c r="B24" s="48">
        <v>9861.0</v>
      </c>
      <c r="C24" s="49">
        <v>0.375</v>
      </c>
      <c r="D24" s="48" t="s">
        <v>325</v>
      </c>
      <c r="E24" s="50">
        <v>22756.0</v>
      </c>
      <c r="F24" s="51">
        <v>44564.0</v>
      </c>
      <c r="G24" s="48" t="s">
        <v>5</v>
      </c>
      <c r="H24" s="48" t="s">
        <v>6218</v>
      </c>
      <c r="I24" s="48" t="s">
        <v>6219</v>
      </c>
      <c r="J24" s="48" t="s">
        <v>6082</v>
      </c>
      <c r="K24" s="52" t="b">
        <f>IFS($B24=FALSE,"", countif(VLOOKUP($A24,UASCAN!D:D,1,FALSE),$A24)&gt;=1,TRUE,countif(VLOOKUP($B24,UASCAN!D:D,1,FALSE),$B24)=0,FALSE)</f>
        <v>0</v>
      </c>
      <c r="L24" s="52" t="b">
        <f>IFS(B24=FALSE,"", countif(VLOOKUP($B24,'01032022'!B:B,1,FALSE),$B24)&gt;=1,TRUE,countif(VLOOKUP($B24,'01032022'!B:B,1,FALSE),$B24)=0,FALSE)</f>
        <v>1</v>
      </c>
      <c r="M24" s="52" t="str">
        <f>ifs(AND($K24=FALSE,$L24=TRUE),"",AND($K24=FALSE,L24=FALSE),"",AND($K24=TRUE,$L24=TRUE),VLOOKUP($A24,UASCAN!D:F,3,0), AND($K24=TRUE,$L24=FALSE),VLOOKUP($A24,UASCAN!D:F,3,0))</f>
        <v/>
      </c>
      <c r="N24" s="53" t="str">
        <f t="shared" si="2"/>
        <v> </v>
      </c>
      <c r="O24" s="53" t="str">
        <f t="shared" si="3"/>
        <v/>
      </c>
    </row>
    <row r="25">
      <c r="A25" s="47" t="str">
        <f t="shared" si="1"/>
        <v>1605144564</v>
      </c>
      <c r="B25" s="48">
        <v>16051.0</v>
      </c>
      <c r="C25" s="49">
        <v>0.3958333333333333</v>
      </c>
      <c r="D25" s="48" t="s">
        <v>4382</v>
      </c>
      <c r="E25" s="50">
        <v>24194.0</v>
      </c>
      <c r="F25" s="51">
        <v>44564.0</v>
      </c>
      <c r="G25" s="48" t="s">
        <v>6215</v>
      </c>
      <c r="H25" s="48" t="s">
        <v>6218</v>
      </c>
      <c r="I25" s="48" t="s">
        <v>6219</v>
      </c>
      <c r="J25" s="48" t="s">
        <v>6199</v>
      </c>
      <c r="K25" s="52" t="b">
        <f>IFS($B25=FALSE,"", countif(VLOOKUP($A25,UASCAN!D:D,1,FALSE),$A25)&gt;=1,TRUE,countif(VLOOKUP($B25,UASCAN!D:D,1,FALSE),$B25)=0,FALSE)</f>
        <v>0</v>
      </c>
      <c r="L25" s="52" t="b">
        <f>IFS(B25=FALSE,"", countif(VLOOKUP($B25,'01032022'!B:B,1,FALSE),$B25)&gt;=1,TRUE,countif(VLOOKUP($B25,'01032022'!B:B,1,FALSE),$B25)=0,FALSE)</f>
        <v>1</v>
      </c>
      <c r="M25" s="52" t="str">
        <f>ifs(AND($K25=FALSE,$L25=TRUE),"",AND($K25=FALSE,L25=FALSE),"",AND($K25=TRUE,$L25=TRUE),VLOOKUP($A25,UASCAN!D:F,3,0), AND($K25=TRUE,$L25=FALSE),VLOOKUP($A25,UASCAN!D:F,3,0))</f>
        <v/>
      </c>
      <c r="N25" s="53" t="str">
        <f t="shared" si="2"/>
        <v> </v>
      </c>
      <c r="O25" s="53" t="str">
        <f t="shared" si="3"/>
        <v/>
      </c>
    </row>
    <row r="26">
      <c r="A26" s="47" t="str">
        <f t="shared" si="1"/>
        <v>1009444564</v>
      </c>
      <c r="B26" s="48">
        <v>10094.0</v>
      </c>
      <c r="C26" s="49">
        <v>0.4270833333333333</v>
      </c>
      <c r="D26" s="48" t="s">
        <v>410</v>
      </c>
      <c r="E26" s="50">
        <v>24190.0</v>
      </c>
      <c r="F26" s="51">
        <v>44564.0</v>
      </c>
      <c r="G26" s="48" t="s">
        <v>5</v>
      </c>
      <c r="H26" s="48" t="s">
        <v>6218</v>
      </c>
      <c r="I26" s="48" t="s">
        <v>6219</v>
      </c>
      <c r="J26" s="48" t="s">
        <v>6095</v>
      </c>
      <c r="K26" s="52" t="b">
        <f>IFS($B26=FALSE,"", countif(VLOOKUP($A26,UASCAN!D:D,1,FALSE),$A26)&gt;=1,TRUE,countif(VLOOKUP($B26,UASCAN!D:D,1,FALSE),$B26)=0,FALSE)</f>
        <v>0</v>
      </c>
      <c r="L26" s="52" t="b">
        <f>IFS(B26=FALSE,"", countif(VLOOKUP($B26,'01032022'!B:B,1,FALSE),$B26)&gt;=1,TRUE,countif(VLOOKUP($B26,'01032022'!B:B,1,FALSE),$B26)=0,FALSE)</f>
        <v>1</v>
      </c>
      <c r="M26" s="52" t="str">
        <f>ifs(AND($K26=FALSE,$L26=TRUE),"",AND($K26=FALSE,L26=FALSE),"",AND($K26=TRUE,$L26=TRUE),VLOOKUP($A26,UASCAN!D:F,3,0), AND($K26=TRUE,$L26=FALSE),VLOOKUP($A26,UASCAN!D:F,3,0))</f>
        <v/>
      </c>
      <c r="N26" s="53" t="str">
        <f t="shared" si="2"/>
        <v> </v>
      </c>
      <c r="O26" s="53" t="str">
        <f t="shared" si="3"/>
        <v/>
      </c>
    </row>
    <row r="27">
      <c r="A27" s="47" t="str">
        <f t="shared" si="1"/>
        <v>1733444564</v>
      </c>
      <c r="B27" s="48">
        <v>17334.0</v>
      </c>
      <c r="C27" s="49">
        <v>0.4479166666666667</v>
      </c>
      <c r="D27" s="48" t="s">
        <v>5391</v>
      </c>
      <c r="E27" s="50">
        <v>25243.0</v>
      </c>
      <c r="F27" s="51">
        <v>44564.0</v>
      </c>
      <c r="G27" s="48" t="s">
        <v>6220</v>
      </c>
      <c r="H27" s="48" t="s">
        <v>6218</v>
      </c>
      <c r="I27" s="48" t="s">
        <v>6219</v>
      </c>
      <c r="J27" s="48" t="s">
        <v>6192</v>
      </c>
      <c r="K27" s="52" t="b">
        <f>IFS($B27=FALSE,"", countif(VLOOKUP($A27,UASCAN!D:D,1,FALSE),$A27)&gt;=1,TRUE,countif(VLOOKUP($B27,UASCAN!D:D,1,FALSE),$B27)=0,FALSE)</f>
        <v>0</v>
      </c>
      <c r="L27" s="52" t="b">
        <f>IFS(B27=FALSE,"", countif(VLOOKUP($B27,'01032022'!B:B,1,FALSE),$B27)&gt;=1,TRUE,countif(VLOOKUP($B27,'01032022'!B:B,1,FALSE),$B27)=0,FALSE)</f>
        <v>1</v>
      </c>
      <c r="M27" s="52" t="str">
        <f>ifs(AND($K27=FALSE,$L27=TRUE),"",AND($K27=FALSE,L27=FALSE),"",AND($K27=TRUE,$L27=TRUE),VLOOKUP($A27,UASCAN!D:F,3,0), AND($K27=TRUE,$L27=FALSE),VLOOKUP($A27,UASCAN!D:F,3,0))</f>
        <v/>
      </c>
      <c r="N27" s="53" t="str">
        <f t="shared" si="2"/>
        <v> </v>
      </c>
      <c r="O27" s="53" t="str">
        <f t="shared" si="3"/>
        <v/>
      </c>
    </row>
    <row r="28">
      <c r="A28" s="47" t="str">
        <f t="shared" si="1"/>
        <v>1269744564</v>
      </c>
      <c r="B28" s="48">
        <v>12697.0</v>
      </c>
      <c r="C28" s="49">
        <v>0.4583333333333333</v>
      </c>
      <c r="D28" s="48" t="s">
        <v>1638</v>
      </c>
      <c r="E28" s="50">
        <v>30536.0</v>
      </c>
      <c r="F28" s="51">
        <v>44564.0</v>
      </c>
      <c r="G28" s="48" t="s">
        <v>6215</v>
      </c>
      <c r="H28" s="48" t="s">
        <v>6218</v>
      </c>
      <c r="I28" s="48" t="s">
        <v>6219</v>
      </c>
      <c r="J28" s="48" t="s">
        <v>6084</v>
      </c>
      <c r="K28" s="52" t="b">
        <f>IFS($B28=FALSE,"", countif(VLOOKUP($A28,UASCAN!D:D,1,FALSE),$A28)&gt;=1,TRUE,countif(VLOOKUP($B28,UASCAN!D:D,1,FALSE),$B28)=0,FALSE)</f>
        <v>0</v>
      </c>
      <c r="L28" s="52" t="b">
        <f>IFS(B28=FALSE,"", countif(VLOOKUP($B28,'01032022'!B:B,1,FALSE),$B28)&gt;=1,TRUE,countif(VLOOKUP($B28,'01032022'!B:B,1,FALSE),$B28)=0,FALSE)</f>
        <v>1</v>
      </c>
      <c r="M28" s="52" t="str">
        <f>ifs(AND($K28=FALSE,$L28=TRUE),"",AND($K28=FALSE,L28=FALSE),"",AND($K28=TRUE,$L28=TRUE),VLOOKUP($A28,UASCAN!D:F,3,0), AND($K28=TRUE,$L28=FALSE),VLOOKUP($A28,UASCAN!D:F,3,0))</f>
        <v/>
      </c>
      <c r="N28" s="53" t="str">
        <f t="shared" si="2"/>
        <v> </v>
      </c>
      <c r="O28" s="53" t="str">
        <f t="shared" si="3"/>
        <v/>
      </c>
    </row>
    <row r="29">
      <c r="A29" s="47" t="str">
        <f t="shared" si="1"/>
        <v>1439244564</v>
      </c>
      <c r="B29" s="48">
        <v>14392.0</v>
      </c>
      <c r="C29" s="49">
        <v>0.4583333333333333</v>
      </c>
      <c r="D29" s="48" t="s">
        <v>2976</v>
      </c>
      <c r="E29" s="50">
        <v>21549.0</v>
      </c>
      <c r="F29" s="51">
        <v>44564.0</v>
      </c>
      <c r="G29" s="48" t="s">
        <v>6215</v>
      </c>
      <c r="H29" s="48" t="s">
        <v>6218</v>
      </c>
      <c r="I29" s="48" t="s">
        <v>6219</v>
      </c>
      <c r="J29" s="48" t="s">
        <v>6083</v>
      </c>
      <c r="K29" s="52" t="b">
        <f>IFS($B29=FALSE,"", countif(VLOOKUP($A29,UASCAN!D:D,1,FALSE),$A29)&gt;=1,TRUE,countif(VLOOKUP($B29,UASCAN!D:D,1,FALSE),$B29)=0,FALSE)</f>
        <v>0</v>
      </c>
      <c r="L29" s="52" t="b">
        <f>IFS(B29=FALSE,"", countif(VLOOKUP($B29,'01032022'!B:B,1,FALSE),$B29)&gt;=1,TRUE,countif(VLOOKUP($B29,'01032022'!B:B,1,FALSE),$B29)=0,FALSE)</f>
        <v>1</v>
      </c>
      <c r="M29" s="52" t="str">
        <f>ifs(AND($K29=FALSE,$L29=TRUE),"",AND($K29=FALSE,L29=FALSE),"",AND($K29=TRUE,$L29=TRUE),VLOOKUP($A29,UASCAN!D:F,3,0), AND($K29=TRUE,$L29=FALSE),VLOOKUP($A29,UASCAN!D:F,3,0))</f>
        <v/>
      </c>
      <c r="N29" s="53" t="str">
        <f t="shared" si="2"/>
        <v> </v>
      </c>
      <c r="O29" s="53" t="str">
        <f t="shared" si="3"/>
        <v/>
      </c>
    </row>
    <row r="30">
      <c r="A30" s="47" t="str">
        <f t="shared" si="1"/>
        <v>1530744564</v>
      </c>
      <c r="B30" s="48">
        <v>15307.0</v>
      </c>
      <c r="C30" s="49">
        <v>0.5520833333333334</v>
      </c>
      <c r="D30" s="48" t="s">
        <v>3728</v>
      </c>
      <c r="E30" s="50">
        <v>21690.0</v>
      </c>
      <c r="F30" s="51">
        <v>44564.0</v>
      </c>
      <c r="G30" s="48" t="s">
        <v>6216</v>
      </c>
      <c r="H30" s="48" t="s">
        <v>6218</v>
      </c>
      <c r="I30" s="48" t="s">
        <v>6219</v>
      </c>
      <c r="J30" s="48" t="s">
        <v>6196</v>
      </c>
      <c r="K30" s="52" t="b">
        <f>IFS($B30=FALSE,"", countif(VLOOKUP($A30,UASCAN!D:D,1,FALSE),$A30)&gt;=1,TRUE,countif(VLOOKUP($B30,UASCAN!D:D,1,FALSE),$B30)=0,FALSE)</f>
        <v>0</v>
      </c>
      <c r="L30" s="52" t="b">
        <f>IFS(B30=FALSE,"", countif(VLOOKUP($B30,'01032022'!B:B,1,FALSE),$B30)&gt;=1,TRUE,countif(VLOOKUP($B30,'01032022'!B:B,1,FALSE),$B30)=0,FALSE)</f>
        <v>1</v>
      </c>
      <c r="M30" s="52" t="str">
        <f>ifs(AND($K30=FALSE,$L30=TRUE),"",AND($K30=FALSE,L30=FALSE),"",AND($K30=TRUE,$L30=TRUE),VLOOKUP($A30,UASCAN!D:F,3,0), AND($K30=TRUE,$L30=FALSE),VLOOKUP($A30,UASCAN!D:F,3,0))</f>
        <v/>
      </c>
      <c r="N30" s="53" t="str">
        <f t="shared" si="2"/>
        <v> </v>
      </c>
      <c r="O30" s="53" t="str">
        <f t="shared" si="3"/>
        <v/>
      </c>
    </row>
    <row r="31">
      <c r="A31" s="47" t="str">
        <f t="shared" si="1"/>
        <v>1323444564</v>
      </c>
      <c r="B31" s="48">
        <v>13234.0</v>
      </c>
      <c r="C31" s="49">
        <v>0.5625</v>
      </c>
      <c r="D31" s="48" t="s">
        <v>2078</v>
      </c>
      <c r="E31" s="50">
        <v>17399.0</v>
      </c>
      <c r="F31" s="51">
        <v>44564.0</v>
      </c>
      <c r="G31" s="48" t="s">
        <v>6215</v>
      </c>
      <c r="H31" s="48" t="s">
        <v>6218</v>
      </c>
      <c r="I31" s="48" t="s">
        <v>6219</v>
      </c>
      <c r="J31" s="48" t="s">
        <v>6187</v>
      </c>
      <c r="K31" s="52" t="b">
        <f>IFS($B31=FALSE,"", countif(VLOOKUP($A31,UASCAN!D:D,1,FALSE),$A31)&gt;=1,TRUE,countif(VLOOKUP($B31,UASCAN!D:D,1,FALSE),$B31)=0,FALSE)</f>
        <v>0</v>
      </c>
      <c r="L31" s="52" t="b">
        <f>IFS(B31=FALSE,"", countif(VLOOKUP($B31,'01032022'!B:B,1,FALSE),$B31)&gt;=1,TRUE,countif(VLOOKUP($B31,'01032022'!B:B,1,FALSE),$B31)=0,FALSE)</f>
        <v>1</v>
      </c>
      <c r="M31" s="52" t="str">
        <f>ifs(AND($K31=FALSE,$L31=TRUE),"",AND($K31=FALSE,L31=FALSE),"",AND($K31=TRUE,$L31=TRUE),VLOOKUP($A31,UASCAN!D:F,3,0), AND($K31=TRUE,$L31=FALSE),VLOOKUP($A31,UASCAN!D:F,3,0))</f>
        <v/>
      </c>
      <c r="N31" s="53" t="str">
        <f t="shared" si="2"/>
        <v> </v>
      </c>
      <c r="O31" s="53" t="str">
        <f t="shared" si="3"/>
        <v/>
      </c>
    </row>
    <row r="32">
      <c r="A32" s="47" t="str">
        <f t="shared" si="1"/>
        <v>1327344564</v>
      </c>
      <c r="B32" s="48">
        <v>13273.0</v>
      </c>
      <c r="C32" s="49">
        <v>0.5729166666666666</v>
      </c>
      <c r="D32" s="48" t="s">
        <v>2106</v>
      </c>
      <c r="E32" s="50">
        <v>30146.0</v>
      </c>
      <c r="F32" s="51">
        <v>44564.0</v>
      </c>
      <c r="G32" s="48" t="s">
        <v>6215</v>
      </c>
      <c r="H32" s="48" t="s">
        <v>6218</v>
      </c>
      <c r="I32" s="48" t="s">
        <v>6219</v>
      </c>
      <c r="J32" s="48" t="s">
        <v>6154</v>
      </c>
      <c r="K32" s="52" t="b">
        <f>IFS($B32=FALSE,"", countif(VLOOKUP($A32,UASCAN!D:D,1,FALSE),$A32)&gt;=1,TRUE,countif(VLOOKUP($B32,UASCAN!D:D,1,FALSE),$B32)=0,FALSE)</f>
        <v>0</v>
      </c>
      <c r="L32" s="52" t="b">
        <f>IFS(B32=FALSE,"", countif(VLOOKUP($B32,'01032022'!B:B,1,FALSE),$B32)&gt;=1,TRUE,countif(VLOOKUP($B32,'01032022'!B:B,1,FALSE),$B32)=0,FALSE)</f>
        <v>1</v>
      </c>
      <c r="M32" s="52" t="str">
        <f>ifs(AND($K32=FALSE,$L32=TRUE),"",AND($K32=FALSE,L32=FALSE),"",AND($K32=TRUE,$L32=TRUE),VLOOKUP($A32,UASCAN!D:F,3,0), AND($K32=TRUE,$L32=FALSE),VLOOKUP($A32,UASCAN!D:F,3,0))</f>
        <v/>
      </c>
      <c r="N32" s="53" t="str">
        <f t="shared" si="2"/>
        <v> </v>
      </c>
      <c r="O32" s="53" t="str">
        <f t="shared" si="3"/>
        <v/>
      </c>
    </row>
    <row r="33">
      <c r="A33" s="47" t="str">
        <f t="shared" si="1"/>
        <v>1644944564</v>
      </c>
      <c r="B33" s="48">
        <v>16449.0</v>
      </c>
      <c r="C33" s="49">
        <v>0.5833333333333334</v>
      </c>
      <c r="D33" s="48" t="s">
        <v>4697</v>
      </c>
      <c r="E33" s="50">
        <v>23434.0</v>
      </c>
      <c r="F33" s="51">
        <v>44564.0</v>
      </c>
      <c r="G33" s="48" t="s">
        <v>6216</v>
      </c>
      <c r="H33" s="48" t="s">
        <v>6218</v>
      </c>
      <c r="I33" s="48" t="s">
        <v>6219</v>
      </c>
      <c r="J33" s="48" t="s">
        <v>6189</v>
      </c>
      <c r="K33" s="52" t="b">
        <f>IFS($B33=FALSE,"", countif(VLOOKUP($A33,UASCAN!D:D,1,FALSE),$A33)&gt;=1,TRUE,countif(VLOOKUP($B33,UASCAN!D:D,1,FALSE),$B33)=0,FALSE)</f>
        <v>0</v>
      </c>
      <c r="L33" s="52" t="b">
        <f>IFS(B33=FALSE,"", countif(VLOOKUP($B33,'01032022'!B:B,1,FALSE),$B33)&gt;=1,TRUE,countif(VLOOKUP($B33,'01032022'!B:B,1,FALSE),$B33)=0,FALSE)</f>
        <v>1</v>
      </c>
      <c r="M33" s="52" t="str">
        <f>ifs(AND($K33=FALSE,$L33=TRUE),"",AND($K33=FALSE,L33=FALSE),"",AND($K33=TRUE,$L33=TRUE),VLOOKUP($A33,UASCAN!D:F,3,0), AND($K33=TRUE,$L33=FALSE),VLOOKUP($A33,UASCAN!D:F,3,0))</f>
        <v/>
      </c>
      <c r="N33" s="53" t="str">
        <f t="shared" si="2"/>
        <v> </v>
      </c>
      <c r="O33" s="53" t="str">
        <f t="shared" si="3"/>
        <v/>
      </c>
    </row>
    <row r="34">
      <c r="A34" s="47" t="str">
        <f t="shared" si="1"/>
        <v>1577244564</v>
      </c>
      <c r="B34" s="48">
        <v>15772.0</v>
      </c>
      <c r="C34" s="49">
        <v>0.6145833333333334</v>
      </c>
      <c r="D34" s="48" t="s">
        <v>4136</v>
      </c>
      <c r="E34" s="50">
        <v>24343.0</v>
      </c>
      <c r="F34" s="51">
        <v>44564.0</v>
      </c>
      <c r="G34" s="48" t="s">
        <v>6220</v>
      </c>
      <c r="H34" s="48" t="s">
        <v>6218</v>
      </c>
      <c r="I34" s="48" t="s">
        <v>6219</v>
      </c>
      <c r="J34" s="48" t="s">
        <v>6193</v>
      </c>
      <c r="K34" s="52" t="b">
        <f>IFS($B34=FALSE,"", countif(VLOOKUP($A34,UASCAN!D:D,1,FALSE),$A34)&gt;=1,TRUE,countif(VLOOKUP($B34,UASCAN!D:D,1,FALSE),$B34)=0,FALSE)</f>
        <v>0</v>
      </c>
      <c r="L34" s="52" t="b">
        <f>IFS(B34=FALSE,"", countif(VLOOKUP($B34,'01032022'!B:B,1,FALSE),$B34)&gt;=1,TRUE,countif(VLOOKUP($B34,'01032022'!B:B,1,FALSE),$B34)=0,FALSE)</f>
        <v>1</v>
      </c>
      <c r="M34" s="52" t="str">
        <f>ifs(AND($K34=FALSE,$L34=TRUE),"",AND($K34=FALSE,L34=FALSE),"",AND($K34=TRUE,$L34=TRUE),VLOOKUP($A34,UASCAN!D:F,3,0), AND($K34=TRUE,$L34=FALSE),VLOOKUP($A34,UASCAN!D:F,3,0))</f>
        <v/>
      </c>
      <c r="N34" s="53" t="str">
        <f t="shared" si="2"/>
        <v> </v>
      </c>
      <c r="O34" s="53" t="str">
        <f t="shared" si="3"/>
        <v/>
      </c>
    </row>
    <row r="35">
      <c r="A35" s="47" t="str">
        <f t="shared" si="1"/>
        <v>1344244564</v>
      </c>
      <c r="B35" s="48">
        <v>13442.0</v>
      </c>
      <c r="C35" s="49">
        <v>0.625</v>
      </c>
      <c r="D35" s="48" t="s">
        <v>2232</v>
      </c>
      <c r="E35" s="50">
        <v>19087.0</v>
      </c>
      <c r="F35" s="51">
        <v>44564.0</v>
      </c>
      <c r="G35" s="48" t="s">
        <v>6215</v>
      </c>
      <c r="H35" s="48" t="s">
        <v>6218</v>
      </c>
      <c r="I35" s="48" t="s">
        <v>6219</v>
      </c>
      <c r="J35" s="48" t="s">
        <v>6199</v>
      </c>
      <c r="K35" s="52" t="b">
        <f>IFS($B35=FALSE,"", countif(VLOOKUP($A35,UASCAN!D:D,1,FALSE),$A35)&gt;=1,TRUE,countif(VLOOKUP($B35,UASCAN!D:D,1,FALSE),$B35)=0,FALSE)</f>
        <v>0</v>
      </c>
      <c r="L35" s="52" t="b">
        <f>IFS(B35=FALSE,"", countif(VLOOKUP($B35,'01032022'!B:B,1,FALSE),$B35)&gt;=1,TRUE,countif(VLOOKUP($B35,'01032022'!B:B,1,FALSE),$B35)=0,FALSE)</f>
        <v>1</v>
      </c>
      <c r="M35" s="52" t="str">
        <f>ifs(AND($K35=FALSE,$L35=TRUE),"",AND($K35=FALSE,L35=FALSE),"",AND($K35=TRUE,$L35=TRUE),VLOOKUP($A35,UASCAN!D:F,3,0), AND($K35=TRUE,$L35=FALSE),VLOOKUP($A35,UASCAN!D:F,3,0))</f>
        <v/>
      </c>
      <c r="N35" s="53" t="str">
        <f t="shared" si="2"/>
        <v> </v>
      </c>
      <c r="O35" s="53" t="str">
        <f t="shared" si="3"/>
        <v/>
      </c>
    </row>
    <row r="36">
      <c r="A36" s="47" t="str">
        <f t="shared" si="1"/>
        <v>1534044564</v>
      </c>
      <c r="B36" s="48">
        <v>15340.0</v>
      </c>
      <c r="C36" s="49">
        <v>0.6354166666666666</v>
      </c>
      <c r="D36" s="48" t="s">
        <v>3754</v>
      </c>
      <c r="E36" s="50">
        <v>20218.0</v>
      </c>
      <c r="F36" s="51">
        <v>44564.0</v>
      </c>
      <c r="G36" s="48" t="s">
        <v>6220</v>
      </c>
      <c r="H36" s="48" t="s">
        <v>6218</v>
      </c>
      <c r="I36" s="48" t="s">
        <v>6219</v>
      </c>
      <c r="J36" s="48" t="s">
        <v>6190</v>
      </c>
      <c r="K36" s="52" t="b">
        <f>IFS($B36=FALSE,"", countif(VLOOKUP($A36,UASCAN!D:D,1,FALSE),$A36)&gt;=1,TRUE,countif(VLOOKUP($B36,UASCAN!D:D,1,FALSE),$B36)=0,FALSE)</f>
        <v>0</v>
      </c>
      <c r="L36" s="52" t="b">
        <f>IFS(B36=FALSE,"", countif(VLOOKUP($B36,'01032022'!B:B,1,FALSE),$B36)&gt;=1,TRUE,countif(VLOOKUP($B36,'01032022'!B:B,1,FALSE),$B36)=0,FALSE)</f>
        <v>1</v>
      </c>
      <c r="M36" s="52" t="str">
        <f>ifs(AND($K36=FALSE,$L36=TRUE),"",AND($K36=FALSE,L36=FALSE),"",AND($K36=TRUE,$L36=TRUE),VLOOKUP($A36,UASCAN!D:F,3,0), AND($K36=TRUE,$L36=FALSE),VLOOKUP($A36,UASCAN!D:F,3,0))</f>
        <v/>
      </c>
      <c r="N36" s="53" t="str">
        <f t="shared" si="2"/>
        <v> </v>
      </c>
      <c r="O36" s="53" t="str">
        <f t="shared" si="3"/>
        <v/>
      </c>
    </row>
    <row r="37">
      <c r="A37" s="47" t="str">
        <f t="shared" si="1"/>
        <v>1443444564</v>
      </c>
      <c r="B37" s="48">
        <v>14434.0</v>
      </c>
      <c r="C37" s="49">
        <v>0.6458333333333334</v>
      </c>
      <c r="D37" s="48" t="s">
        <v>3005</v>
      </c>
      <c r="E37" s="50">
        <v>22526.0</v>
      </c>
      <c r="F37" s="51">
        <v>44564.0</v>
      </c>
      <c r="G37" s="48" t="s">
        <v>5</v>
      </c>
      <c r="H37" s="48" t="s">
        <v>6218</v>
      </c>
      <c r="I37" s="48" t="s">
        <v>6219</v>
      </c>
      <c r="J37" s="48" t="s">
        <v>6130</v>
      </c>
      <c r="K37" s="52" t="b">
        <f>IFS($B37=FALSE,"", countif(VLOOKUP($A37,UASCAN!D:D,1,FALSE),$A37)&gt;=1,TRUE,countif(VLOOKUP($B37,UASCAN!D:D,1,FALSE),$B37)=0,FALSE)</f>
        <v>0</v>
      </c>
      <c r="L37" s="52" t="b">
        <f>IFS(B37=FALSE,"", countif(VLOOKUP($B37,'01032022'!B:B,1,FALSE),$B37)&gt;=1,TRUE,countif(VLOOKUP($B37,'01032022'!B:B,1,FALSE),$B37)=0,FALSE)</f>
        <v>1</v>
      </c>
      <c r="M37" s="52" t="str">
        <f>ifs(AND($K37=FALSE,$L37=TRUE),"",AND($K37=FALSE,L37=FALSE),"",AND($K37=TRUE,$L37=TRUE),VLOOKUP($A37,UASCAN!D:F,3,0), AND($K37=TRUE,$L37=FALSE),VLOOKUP($A37,UASCAN!D:F,3,0))</f>
        <v/>
      </c>
      <c r="N37" s="53" t="str">
        <f t="shared" si="2"/>
        <v> </v>
      </c>
      <c r="O37" s="53" t="str">
        <f t="shared" si="3"/>
        <v/>
      </c>
    </row>
    <row r="38">
      <c r="A38" s="47" t="str">
        <f t="shared" si="1"/>
        <v>1679644564</v>
      </c>
      <c r="B38" s="48">
        <v>16796.0</v>
      </c>
      <c r="C38" s="49">
        <v>0.375</v>
      </c>
      <c r="D38" s="48" t="s">
        <v>4967</v>
      </c>
      <c r="E38" s="50">
        <v>12606.0</v>
      </c>
      <c r="F38" s="51">
        <v>44564.0</v>
      </c>
      <c r="G38" s="48" t="s">
        <v>5</v>
      </c>
      <c r="H38" s="48" t="s">
        <v>6211</v>
      </c>
      <c r="I38" s="48" t="s">
        <v>6221</v>
      </c>
      <c r="J38" s="48" t="s">
        <v>6137</v>
      </c>
      <c r="K38" s="52" t="b">
        <f>IFS($B38=FALSE,"", countif(VLOOKUP($A38,UASCAN!D:D,1,FALSE),$A38)&gt;=1,TRUE,countif(VLOOKUP($B38,UASCAN!D:D,1,FALSE),$B38)=0,FALSE)</f>
        <v>0</v>
      </c>
      <c r="L38" s="52" t="b">
        <f>IFS(B38=FALSE,"", countif(VLOOKUP($B38,'01032022'!B:B,1,FALSE),$B38)&gt;=1,TRUE,countif(VLOOKUP($B38,'01032022'!B:B,1,FALSE),$B38)=0,FALSE)</f>
        <v>1</v>
      </c>
      <c r="M38" s="52" t="str">
        <f>ifs(AND($K38=FALSE,$L38=TRUE),"",AND($K38=FALSE,L38=FALSE),"",AND($K38=TRUE,$L38=TRUE),VLOOKUP($A38,UASCAN!D:F,3,0), AND($K38=TRUE,$L38=FALSE),VLOOKUP($A38,UASCAN!D:F,3,0))</f>
        <v/>
      </c>
      <c r="N38" s="53" t="str">
        <f t="shared" si="2"/>
        <v> </v>
      </c>
      <c r="O38" s="53" t="str">
        <f t="shared" si="3"/>
        <v/>
      </c>
    </row>
    <row r="39">
      <c r="A39" s="47" t="str">
        <f t="shared" si="1"/>
        <v>919944564</v>
      </c>
      <c r="B39" s="48">
        <v>9199.0</v>
      </c>
      <c r="C39" s="49">
        <v>0.40625</v>
      </c>
      <c r="D39" s="48" t="s">
        <v>73</v>
      </c>
      <c r="E39" s="50">
        <v>17981.0</v>
      </c>
      <c r="F39" s="51">
        <v>44564.0</v>
      </c>
      <c r="G39" s="48" t="s">
        <v>5</v>
      </c>
      <c r="H39" s="48" t="s">
        <v>6211</v>
      </c>
      <c r="I39" s="48" t="s">
        <v>6221</v>
      </c>
      <c r="J39" s="48" t="s">
        <v>6137</v>
      </c>
      <c r="K39" s="52" t="b">
        <f>IFS($B39=FALSE,"", countif(VLOOKUP($A39,UASCAN!D:D,1,FALSE),$A39)&gt;=1,TRUE,countif(VLOOKUP($B39,UASCAN!D:D,1,FALSE),$B39)=0,FALSE)</f>
        <v>0</v>
      </c>
      <c r="L39" s="52" t="b">
        <f>IFS(B39=FALSE,"", countif(VLOOKUP($B39,'01032022'!B:B,1,FALSE),$B39)&gt;=1,TRUE,countif(VLOOKUP($B39,'01032022'!B:B,1,FALSE),$B39)=0,FALSE)</f>
        <v>1</v>
      </c>
      <c r="M39" s="52" t="str">
        <f>ifs(AND($K39=FALSE,$L39=TRUE),"",AND($K39=FALSE,L39=FALSE),"",AND($K39=TRUE,$L39=TRUE),VLOOKUP($A39,UASCAN!D:F,3,0), AND($K39=TRUE,$L39=FALSE),VLOOKUP($A39,UASCAN!D:F,3,0))</f>
        <v/>
      </c>
      <c r="N39" s="53" t="str">
        <f t="shared" si="2"/>
        <v> </v>
      </c>
      <c r="O39" s="53" t="str">
        <f t="shared" si="3"/>
        <v/>
      </c>
    </row>
    <row r="40">
      <c r="A40" s="47" t="str">
        <f t="shared" si="1"/>
        <v>983844564</v>
      </c>
      <c r="B40" s="48">
        <v>9838.0</v>
      </c>
      <c r="C40" s="49">
        <v>0.4583333333333333</v>
      </c>
      <c r="D40" s="48" t="s">
        <v>312</v>
      </c>
      <c r="E40" s="50">
        <v>27927.0</v>
      </c>
      <c r="F40" s="51">
        <v>44564.0</v>
      </c>
      <c r="G40" s="48" t="s">
        <v>6215</v>
      </c>
      <c r="H40" s="48" t="s">
        <v>6211</v>
      </c>
      <c r="I40" s="48" t="s">
        <v>6221</v>
      </c>
      <c r="J40" s="48" t="s">
        <v>6137</v>
      </c>
      <c r="K40" s="52" t="b">
        <f>IFS($B40=FALSE,"", countif(VLOOKUP($A40,UASCAN!D:D,1,FALSE),$A40)&gt;=1,TRUE,countif(VLOOKUP($B40,UASCAN!D:D,1,FALSE),$B40)=0,FALSE)</f>
        <v>0</v>
      </c>
      <c r="L40" s="52" t="b">
        <f>IFS(B40=FALSE,"", countif(VLOOKUP($B40,'01032022'!B:B,1,FALSE),$B40)&gt;=1,TRUE,countif(VLOOKUP($B40,'01032022'!B:B,1,FALSE),$B40)=0,FALSE)</f>
        <v>1</v>
      </c>
      <c r="M40" s="52" t="str">
        <f>ifs(AND($K40=FALSE,$L40=TRUE),"",AND($K40=FALSE,L40=FALSE),"",AND($K40=TRUE,$L40=TRUE),VLOOKUP($A40,UASCAN!D:F,3,0), AND($K40=TRUE,$L40=FALSE),VLOOKUP($A40,UASCAN!D:F,3,0))</f>
        <v/>
      </c>
      <c r="N40" s="53" t="str">
        <f t="shared" si="2"/>
        <v> </v>
      </c>
      <c r="O40" s="53" t="str">
        <f t="shared" si="3"/>
        <v/>
      </c>
    </row>
    <row r="41">
      <c r="A41" s="47" t="str">
        <f t="shared" si="1"/>
        <v>1412544564</v>
      </c>
      <c r="B41" s="48">
        <v>14125.0</v>
      </c>
      <c r="C41" s="49">
        <v>0.5416666666666666</v>
      </c>
      <c r="D41" s="48" t="s">
        <v>2764</v>
      </c>
      <c r="E41" s="50">
        <v>20213.0</v>
      </c>
      <c r="F41" s="51">
        <v>44564.0</v>
      </c>
      <c r="G41" s="48" t="s">
        <v>6216</v>
      </c>
      <c r="H41" s="48" t="s">
        <v>6211</v>
      </c>
      <c r="I41" s="48" t="s">
        <v>6221</v>
      </c>
      <c r="J41" s="48" t="s">
        <v>6192</v>
      </c>
      <c r="K41" s="52" t="b">
        <f>IFS($B41=FALSE,"", countif(VLOOKUP($A41,UASCAN!D:D,1,FALSE),$A41)&gt;=1,TRUE,countif(VLOOKUP($B41,UASCAN!D:D,1,FALSE),$B41)=0,FALSE)</f>
        <v>1</v>
      </c>
      <c r="L41" s="52" t="b">
        <f>IFS(B41=FALSE,"", countif(VLOOKUP($B41,'01032022'!B:B,1,FALSE),$B41)&gt;=1,TRUE,countif(VLOOKUP($B41,'01032022'!B:B,1,FALSE),$B41)=0,FALSE)</f>
        <v>1</v>
      </c>
      <c r="M41" s="52" t="str">
        <f>ifs(AND($K41=FALSE,$L41=TRUE),"",AND($K41=FALSE,L41=FALSE),"",AND($K41=TRUE,$L41=TRUE),VLOOKUP($A41,UASCAN!D:F,3,0), AND($K41=TRUE,$L41=FALSE),VLOOKUP($A41,UASCAN!D:F,3,0))</f>
        <v>CH</v>
      </c>
      <c r="N41" s="53" t="str">
        <f t="shared" si="2"/>
        <v> </v>
      </c>
      <c r="O41" s="53" t="str">
        <f t="shared" si="3"/>
        <v>ADD44564</v>
      </c>
    </row>
    <row r="42">
      <c r="A42" s="47" t="str">
        <f t="shared" si="1"/>
        <v>1567044564</v>
      </c>
      <c r="B42" s="48">
        <v>15670.0</v>
      </c>
      <c r="C42" s="49">
        <v>0.5625</v>
      </c>
      <c r="D42" s="48" t="s">
        <v>4041</v>
      </c>
      <c r="E42" s="50">
        <v>19901.0</v>
      </c>
      <c r="F42" s="51">
        <v>44564.0</v>
      </c>
      <c r="G42" s="48" t="s">
        <v>6216</v>
      </c>
      <c r="H42" s="48" t="s">
        <v>6211</v>
      </c>
      <c r="I42" s="48" t="s">
        <v>6221</v>
      </c>
      <c r="J42" s="48" t="s">
        <v>6190</v>
      </c>
      <c r="K42" s="52" t="b">
        <f>IFS($B42=FALSE,"", countif(VLOOKUP($A42,UASCAN!D:D,1,FALSE),$A42)&gt;=1,TRUE,countif(VLOOKUP($B42,UASCAN!D:D,1,FALSE),$B42)=0,FALSE)</f>
        <v>1</v>
      </c>
      <c r="L42" s="52" t="b">
        <f>IFS(B42=FALSE,"", countif(VLOOKUP($B42,'01032022'!B:B,1,FALSE),$B42)&gt;=1,TRUE,countif(VLOOKUP($B42,'01032022'!B:B,1,FALSE),$B42)=0,FALSE)</f>
        <v>1</v>
      </c>
      <c r="M42" s="52" t="str">
        <f>ifs(AND($K42=FALSE,$L42=TRUE),"",AND($K42=FALSE,L42=FALSE),"",AND($K42=TRUE,$L42=TRUE),VLOOKUP($A42,UASCAN!D:F,3,0), AND($K42=TRUE,$L42=FALSE),VLOOKUP($A42,UASCAN!D:F,3,0))</f>
        <v>CH</v>
      </c>
      <c r="N42" s="53" t="str">
        <f t="shared" si="2"/>
        <v> </v>
      </c>
      <c r="O42" s="53" t="str">
        <f t="shared" si="3"/>
        <v>ADD44564</v>
      </c>
    </row>
    <row r="43">
      <c r="A43" s="47" t="str">
        <f t="shared" si="1"/>
        <v>1667544564</v>
      </c>
      <c r="B43" s="48">
        <v>16675.0</v>
      </c>
      <c r="C43" s="49">
        <v>0.5833333333333334</v>
      </c>
      <c r="D43" s="48" t="s">
        <v>4869</v>
      </c>
      <c r="E43" s="50">
        <v>11940.0</v>
      </c>
      <c r="F43" s="51">
        <v>44564.0</v>
      </c>
      <c r="G43" s="48" t="s">
        <v>5</v>
      </c>
      <c r="H43" s="48" t="s">
        <v>6211</v>
      </c>
      <c r="I43" s="48" t="s">
        <v>6221</v>
      </c>
      <c r="J43" s="48" t="s">
        <v>6137</v>
      </c>
      <c r="K43" s="52" t="b">
        <f>IFS($B43=FALSE,"", countif(VLOOKUP($A43,UASCAN!D:D,1,FALSE),$A43)&gt;=1,TRUE,countif(VLOOKUP($B43,UASCAN!D:D,1,FALSE),$B43)=0,FALSE)</f>
        <v>0</v>
      </c>
      <c r="L43" s="52" t="b">
        <f>IFS(B43=FALSE,"", countif(VLOOKUP($B43,'01032022'!B:B,1,FALSE),$B43)&gt;=1,TRUE,countif(VLOOKUP($B43,'01032022'!B:B,1,FALSE),$B43)=0,FALSE)</f>
        <v>1</v>
      </c>
      <c r="M43" s="52" t="str">
        <f>ifs(AND($K43=FALSE,$L43=TRUE),"",AND($K43=FALSE,L43=FALSE),"",AND($K43=TRUE,$L43=TRUE),VLOOKUP($A43,UASCAN!D:F,3,0), AND($K43=TRUE,$L43=FALSE),VLOOKUP($A43,UASCAN!D:F,3,0))</f>
        <v/>
      </c>
      <c r="N43" s="53" t="str">
        <f t="shared" si="2"/>
        <v> </v>
      </c>
      <c r="O43" s="53" t="str">
        <f t="shared" si="3"/>
        <v/>
      </c>
    </row>
    <row r="44">
      <c r="A44" s="47" t="str">
        <f t="shared" si="1"/>
        <v>1668244564</v>
      </c>
      <c r="B44" s="48">
        <v>16682.0</v>
      </c>
      <c r="C44" s="49">
        <v>0.6145833333333334</v>
      </c>
      <c r="D44" s="48" t="s">
        <v>4875</v>
      </c>
      <c r="E44" s="50">
        <v>20068.0</v>
      </c>
      <c r="F44" s="51">
        <v>44564.0</v>
      </c>
      <c r="G44" s="48" t="s">
        <v>6216</v>
      </c>
      <c r="H44" s="48" t="s">
        <v>6211</v>
      </c>
      <c r="I44" s="48" t="s">
        <v>6221</v>
      </c>
      <c r="J44" s="48" t="s">
        <v>6194</v>
      </c>
      <c r="K44" s="52" t="b">
        <f>IFS($B44=FALSE,"", countif(VLOOKUP($A44,UASCAN!D:D,1,FALSE),$A44)&gt;=1,TRUE,countif(VLOOKUP($B44,UASCAN!D:D,1,FALSE),$B44)=0,FALSE)</f>
        <v>0</v>
      </c>
      <c r="L44" s="52" t="b">
        <f>IFS(B44=FALSE,"", countif(VLOOKUP($B44,'01032022'!B:B,1,FALSE),$B44)&gt;=1,TRUE,countif(VLOOKUP($B44,'01032022'!B:B,1,FALSE),$B44)=0,FALSE)</f>
        <v>1</v>
      </c>
      <c r="M44" s="52" t="str">
        <f>ifs(AND($K44=FALSE,$L44=TRUE),"",AND($K44=FALSE,L44=FALSE),"",AND($K44=TRUE,$L44=TRUE),VLOOKUP($A44,UASCAN!D:F,3,0), AND($K44=TRUE,$L44=FALSE),VLOOKUP($A44,UASCAN!D:F,3,0))</f>
        <v/>
      </c>
      <c r="N44" s="53" t="str">
        <f t="shared" si="2"/>
        <v> </v>
      </c>
      <c r="O44" s="53" t="str">
        <f t="shared" si="3"/>
        <v/>
      </c>
    </row>
    <row r="45">
      <c r="A45" s="47" t="str">
        <f t="shared" si="1"/>
        <v>1014144564</v>
      </c>
      <c r="B45" s="48">
        <v>10141.0</v>
      </c>
      <c r="C45" s="49">
        <v>0.6458333333333334</v>
      </c>
      <c r="D45" s="48" t="s">
        <v>425</v>
      </c>
      <c r="E45" s="50">
        <v>23797.0</v>
      </c>
      <c r="F45" s="51">
        <v>44564.0</v>
      </c>
      <c r="G45" s="48" t="s">
        <v>6216</v>
      </c>
      <c r="H45" s="48" t="s">
        <v>6211</v>
      </c>
      <c r="I45" s="48" t="s">
        <v>6221</v>
      </c>
      <c r="J45" s="48" t="s">
        <v>6190</v>
      </c>
      <c r="K45" s="52" t="b">
        <f>IFS($B45=FALSE,"", countif(VLOOKUP($A45,UASCAN!D:D,1,FALSE),$A45)&gt;=1,TRUE,countif(VLOOKUP($B45,UASCAN!D:D,1,FALSE),$B45)=0,FALSE)</f>
        <v>0</v>
      </c>
      <c r="L45" s="52" t="b">
        <f>IFS(B45=FALSE,"", countif(VLOOKUP($B45,'01032022'!B:B,1,FALSE),$B45)&gt;=1,TRUE,countif(VLOOKUP($B45,'01032022'!B:B,1,FALSE),$B45)=0,FALSE)</f>
        <v>1</v>
      </c>
      <c r="M45" s="52" t="str">
        <f>ifs(AND($K45=FALSE,$L45=TRUE),"",AND($K45=FALSE,L45=FALSE),"",AND($K45=TRUE,$L45=TRUE),VLOOKUP($A45,UASCAN!D:F,3,0), AND($K45=TRUE,$L45=FALSE),VLOOKUP($A45,UASCAN!D:F,3,0))</f>
        <v/>
      </c>
      <c r="N45" s="53" t="str">
        <f t="shared" si="2"/>
        <v> </v>
      </c>
      <c r="O45" s="53" t="str">
        <f t="shared" si="3"/>
        <v/>
      </c>
    </row>
    <row r="46">
      <c r="A46" s="47" t="str">
        <f t="shared" si="1"/>
        <v>1167044564</v>
      </c>
      <c r="B46" s="48">
        <v>11670.0</v>
      </c>
      <c r="C46" s="49">
        <v>0.3645833333333333</v>
      </c>
      <c r="D46" s="48" t="s">
        <v>1051</v>
      </c>
      <c r="E46" s="50">
        <v>20486.0</v>
      </c>
      <c r="F46" s="51">
        <v>44564.0</v>
      </c>
      <c r="G46" s="48" t="s">
        <v>6216</v>
      </c>
      <c r="H46" s="48" t="s">
        <v>6218</v>
      </c>
      <c r="I46" s="48" t="s">
        <v>6222</v>
      </c>
      <c r="J46" s="48" t="s">
        <v>6196</v>
      </c>
      <c r="K46" s="52" t="b">
        <f>IFS($B46=FALSE,"", countif(VLOOKUP($A46,UASCAN!D:D,1,FALSE),$A46)&gt;=1,TRUE,countif(VLOOKUP($B46,UASCAN!D:D,1,FALSE),$B46)=0,FALSE)</f>
        <v>0</v>
      </c>
      <c r="L46" s="52" t="b">
        <f>IFS(B46=FALSE,"", countif(VLOOKUP($B46,'01032022'!B:B,1,FALSE),$B46)&gt;=1,TRUE,countif(VLOOKUP($B46,'01032022'!B:B,1,FALSE),$B46)=0,FALSE)</f>
        <v>1</v>
      </c>
      <c r="M46" s="52" t="str">
        <f>ifs(AND($K46=FALSE,$L46=TRUE),"",AND($K46=FALSE,L46=FALSE),"",AND($K46=TRUE,$L46=TRUE),VLOOKUP($A46,UASCAN!D:F,3,0), AND($K46=TRUE,$L46=FALSE),VLOOKUP($A46,UASCAN!D:F,3,0))</f>
        <v/>
      </c>
      <c r="N46" s="53" t="str">
        <f t="shared" si="2"/>
        <v> </v>
      </c>
      <c r="O46" s="53" t="str">
        <f t="shared" si="3"/>
        <v/>
      </c>
    </row>
    <row r="47">
      <c r="A47" s="47" t="str">
        <f t="shared" si="1"/>
        <v>1519844564</v>
      </c>
      <c r="B47" s="48">
        <v>15198.0</v>
      </c>
      <c r="C47" s="49">
        <v>0.375</v>
      </c>
      <c r="D47" s="48" t="s">
        <v>3638</v>
      </c>
      <c r="E47" s="50">
        <v>21482.0</v>
      </c>
      <c r="F47" s="51">
        <v>44564.0</v>
      </c>
      <c r="G47" s="48" t="s">
        <v>6220</v>
      </c>
      <c r="H47" s="48" t="s">
        <v>6218</v>
      </c>
      <c r="I47" s="48" t="s">
        <v>6222</v>
      </c>
      <c r="J47" s="48" t="s">
        <v>6192</v>
      </c>
      <c r="K47" s="52" t="b">
        <f>IFS($B47=FALSE,"", countif(VLOOKUP($A47,UASCAN!D:D,1,FALSE),$A47)&gt;=1,TRUE,countif(VLOOKUP($B47,UASCAN!D:D,1,FALSE),$B47)=0,FALSE)</f>
        <v>0</v>
      </c>
      <c r="L47" s="52" t="b">
        <f>IFS(B47=FALSE,"", countif(VLOOKUP($B47,'01032022'!B:B,1,FALSE),$B47)&gt;=1,TRUE,countif(VLOOKUP($B47,'01032022'!B:B,1,FALSE),$B47)=0,FALSE)</f>
        <v>1</v>
      </c>
      <c r="M47" s="52" t="str">
        <f>ifs(AND($K47=FALSE,$L47=TRUE),"",AND($K47=FALSE,L47=FALSE),"",AND($K47=TRUE,$L47=TRUE),VLOOKUP($A47,UASCAN!D:F,3,0), AND($K47=TRUE,$L47=FALSE),VLOOKUP($A47,UASCAN!D:F,3,0))</f>
        <v/>
      </c>
      <c r="N47" s="53" t="str">
        <f t="shared" si="2"/>
        <v> </v>
      </c>
      <c r="O47" s="53" t="str">
        <f t="shared" si="3"/>
        <v/>
      </c>
    </row>
    <row r="48">
      <c r="A48" s="47" t="str">
        <f t="shared" si="1"/>
        <v>1173644564</v>
      </c>
      <c r="B48" s="48">
        <v>11736.0</v>
      </c>
      <c r="C48" s="49">
        <v>0.3854166666666667</v>
      </c>
      <c r="D48" s="48" t="s">
        <v>1084</v>
      </c>
      <c r="E48" s="50">
        <v>21851.0</v>
      </c>
      <c r="F48" s="51">
        <v>44564.0</v>
      </c>
      <c r="G48" s="48" t="s">
        <v>5</v>
      </c>
      <c r="H48" s="48" t="s">
        <v>6218</v>
      </c>
      <c r="I48" s="48" t="s">
        <v>6222</v>
      </c>
      <c r="J48" s="48" t="s">
        <v>6091</v>
      </c>
      <c r="K48" s="52" t="b">
        <f>IFS($B48=FALSE,"", countif(VLOOKUP($A48,UASCAN!D:D,1,FALSE),$A48)&gt;=1,TRUE,countif(VLOOKUP($B48,UASCAN!D:D,1,FALSE),$B48)=0,FALSE)</f>
        <v>0</v>
      </c>
      <c r="L48" s="52" t="b">
        <f>IFS(B48=FALSE,"", countif(VLOOKUP($B48,'01032022'!B:B,1,FALSE),$B48)&gt;=1,TRUE,countif(VLOOKUP($B48,'01032022'!B:B,1,FALSE),$B48)=0,FALSE)</f>
        <v>1</v>
      </c>
      <c r="M48" s="52" t="str">
        <f>ifs(AND($K48=FALSE,$L48=TRUE),"",AND($K48=FALSE,L48=FALSE),"",AND($K48=TRUE,$L48=TRUE),VLOOKUP($A48,UASCAN!D:F,3,0), AND($K48=TRUE,$L48=FALSE),VLOOKUP($A48,UASCAN!D:F,3,0))</f>
        <v/>
      </c>
      <c r="N48" s="53" t="str">
        <f t="shared" si="2"/>
        <v> </v>
      </c>
      <c r="O48" s="53" t="str">
        <f t="shared" si="3"/>
        <v/>
      </c>
    </row>
    <row r="49">
      <c r="A49" s="47" t="str">
        <f t="shared" si="1"/>
        <v>1400144564</v>
      </c>
      <c r="B49" s="48">
        <v>14001.0</v>
      </c>
      <c r="C49" s="49">
        <v>0.3958333333333333</v>
      </c>
      <c r="D49" s="48" t="s">
        <v>2664</v>
      </c>
      <c r="E49" s="50">
        <v>25773.0</v>
      </c>
      <c r="F49" s="51">
        <v>44564.0</v>
      </c>
      <c r="G49" s="48" t="s">
        <v>6216</v>
      </c>
      <c r="H49" s="48" t="s">
        <v>6218</v>
      </c>
      <c r="I49" s="48" t="s">
        <v>6222</v>
      </c>
      <c r="J49" s="48" t="s">
        <v>6142</v>
      </c>
      <c r="K49" s="52" t="b">
        <f>IFS($B49=FALSE,"", countif(VLOOKUP($A49,UASCAN!D:D,1,FALSE),$A49)&gt;=1,TRUE,countif(VLOOKUP($B49,UASCAN!D:D,1,FALSE),$B49)=0,FALSE)</f>
        <v>0</v>
      </c>
      <c r="L49" s="52" t="b">
        <f>IFS(B49=FALSE,"", countif(VLOOKUP($B49,'01032022'!B:B,1,FALSE),$B49)&gt;=1,TRUE,countif(VLOOKUP($B49,'01032022'!B:B,1,FALSE),$B49)=0,FALSE)</f>
        <v>1</v>
      </c>
      <c r="M49" s="52" t="str">
        <f>ifs(AND($K49=FALSE,$L49=TRUE),"",AND($K49=FALSE,L49=FALSE),"",AND($K49=TRUE,$L49=TRUE),VLOOKUP($A49,UASCAN!D:F,3,0), AND($K49=TRUE,$L49=FALSE),VLOOKUP($A49,UASCAN!D:F,3,0))</f>
        <v/>
      </c>
      <c r="N49" s="53" t="str">
        <f t="shared" si="2"/>
        <v> </v>
      </c>
      <c r="O49" s="53" t="str">
        <f t="shared" si="3"/>
        <v/>
      </c>
    </row>
    <row r="50">
      <c r="A50" s="47" t="str">
        <f t="shared" si="1"/>
        <v>1570244564</v>
      </c>
      <c r="B50" s="48">
        <v>15702.0</v>
      </c>
      <c r="C50" s="49">
        <v>0.3958333333333333</v>
      </c>
      <c r="D50" s="48" t="s">
        <v>4070</v>
      </c>
      <c r="E50" s="50">
        <v>25899.0</v>
      </c>
      <c r="F50" s="51">
        <v>44564.0</v>
      </c>
      <c r="G50" s="48" t="s">
        <v>5</v>
      </c>
      <c r="H50" s="48" t="s">
        <v>6218</v>
      </c>
      <c r="I50" s="48" t="s">
        <v>6222</v>
      </c>
      <c r="J50" s="48" t="s">
        <v>6124</v>
      </c>
      <c r="K50" s="52" t="b">
        <f>IFS($B50=FALSE,"", countif(VLOOKUP($A50,UASCAN!D:D,1,FALSE),$A50)&gt;=1,TRUE,countif(VLOOKUP($B50,UASCAN!D:D,1,FALSE),$B50)=0,FALSE)</f>
        <v>0</v>
      </c>
      <c r="L50" s="52" t="b">
        <f>IFS(B50=FALSE,"", countif(VLOOKUP($B50,'01032022'!B:B,1,FALSE),$B50)&gt;=1,TRUE,countif(VLOOKUP($B50,'01032022'!B:B,1,FALSE),$B50)=0,FALSE)</f>
        <v>1</v>
      </c>
      <c r="M50" s="52" t="str">
        <f>ifs(AND($K50=FALSE,$L50=TRUE),"",AND($K50=FALSE,L50=FALSE),"",AND($K50=TRUE,$L50=TRUE),VLOOKUP($A50,UASCAN!D:F,3,0), AND($K50=TRUE,$L50=FALSE),VLOOKUP($A50,UASCAN!D:F,3,0))</f>
        <v/>
      </c>
      <c r="N50" s="53" t="str">
        <f t="shared" si="2"/>
        <v> </v>
      </c>
      <c r="O50" s="53" t="str">
        <f t="shared" si="3"/>
        <v/>
      </c>
    </row>
    <row r="51">
      <c r="A51" s="47" t="str">
        <f t="shared" si="1"/>
        <v>1426344564</v>
      </c>
      <c r="B51" s="48">
        <v>14263.0</v>
      </c>
      <c r="C51" s="49">
        <v>0.40625</v>
      </c>
      <c r="D51" s="48" t="s">
        <v>2865</v>
      </c>
      <c r="E51" s="50">
        <v>23301.0</v>
      </c>
      <c r="F51" s="51">
        <v>44564.0</v>
      </c>
      <c r="G51" s="48" t="s">
        <v>5</v>
      </c>
      <c r="H51" s="48" t="s">
        <v>6218</v>
      </c>
      <c r="I51" s="48" t="s">
        <v>6222</v>
      </c>
      <c r="J51" s="48" t="s">
        <v>6095</v>
      </c>
      <c r="K51" s="52" t="b">
        <f>IFS($B51=FALSE,"", countif(VLOOKUP($A51,UASCAN!D:D,1,FALSE),$A51)&gt;=1,TRUE,countif(VLOOKUP($B51,UASCAN!D:D,1,FALSE),$B51)=0,FALSE)</f>
        <v>0</v>
      </c>
      <c r="L51" s="52" t="b">
        <f>IFS(B51=FALSE,"", countif(VLOOKUP($B51,'01032022'!B:B,1,FALSE),$B51)&gt;=1,TRUE,countif(VLOOKUP($B51,'01032022'!B:B,1,FALSE),$B51)=0,FALSE)</f>
        <v>1</v>
      </c>
      <c r="M51" s="52" t="str">
        <f>ifs(AND($K51=FALSE,$L51=TRUE),"",AND($K51=FALSE,L51=FALSE),"",AND($K51=TRUE,$L51=TRUE),VLOOKUP($A51,UASCAN!D:F,3,0), AND($K51=TRUE,$L51=FALSE),VLOOKUP($A51,UASCAN!D:F,3,0))</f>
        <v/>
      </c>
      <c r="N51" s="53" t="str">
        <f t="shared" si="2"/>
        <v> </v>
      </c>
      <c r="O51" s="53" t="str">
        <f t="shared" si="3"/>
        <v/>
      </c>
    </row>
    <row r="52">
      <c r="A52" s="47" t="str">
        <f t="shared" si="1"/>
        <v>987844564</v>
      </c>
      <c r="B52" s="48">
        <v>9878.0</v>
      </c>
      <c r="C52" s="49">
        <v>0.40625</v>
      </c>
      <c r="D52" s="48" t="s">
        <v>331</v>
      </c>
      <c r="E52" s="50">
        <v>26966.0</v>
      </c>
      <c r="F52" s="51">
        <v>44564.0</v>
      </c>
      <c r="G52" s="48" t="s">
        <v>5</v>
      </c>
      <c r="H52" s="48" t="s">
        <v>6218</v>
      </c>
      <c r="I52" s="48" t="s">
        <v>6222</v>
      </c>
      <c r="J52" s="48" t="s">
        <v>6126</v>
      </c>
      <c r="K52" s="52" t="b">
        <f>IFS($B52=FALSE,"", countif(VLOOKUP($A52,UASCAN!D:D,1,FALSE),$A52)&gt;=1,TRUE,countif(VLOOKUP($B52,UASCAN!D:D,1,FALSE),$B52)=0,FALSE)</f>
        <v>0</v>
      </c>
      <c r="L52" s="52" t="b">
        <f>IFS(B52=FALSE,"", countif(VLOOKUP($B52,'01032022'!B:B,1,FALSE),$B52)&gt;=1,TRUE,countif(VLOOKUP($B52,'01032022'!B:B,1,FALSE),$B52)=0,FALSE)</f>
        <v>1</v>
      </c>
      <c r="M52" s="52" t="str">
        <f>ifs(AND($K52=FALSE,$L52=TRUE),"",AND($K52=FALSE,L52=FALSE),"",AND($K52=TRUE,$L52=TRUE),VLOOKUP($A52,UASCAN!D:F,3,0), AND($K52=TRUE,$L52=FALSE),VLOOKUP($A52,UASCAN!D:F,3,0))</f>
        <v/>
      </c>
      <c r="N52" s="53" t="str">
        <f t="shared" si="2"/>
        <v> </v>
      </c>
      <c r="O52" s="53" t="str">
        <f t="shared" si="3"/>
        <v/>
      </c>
    </row>
    <row r="53">
      <c r="A53" s="47" t="str">
        <f t="shared" si="1"/>
        <v>965144564</v>
      </c>
      <c r="B53" s="48">
        <v>9651.0</v>
      </c>
      <c r="C53" s="49">
        <v>0.4270833333333333</v>
      </c>
      <c r="D53" s="48" t="s">
        <v>246</v>
      </c>
      <c r="E53" s="50">
        <v>22812.0</v>
      </c>
      <c r="F53" s="51">
        <v>44564.0</v>
      </c>
      <c r="G53" s="48" t="s">
        <v>6216</v>
      </c>
      <c r="H53" s="48" t="s">
        <v>6218</v>
      </c>
      <c r="I53" s="48" t="s">
        <v>6222</v>
      </c>
      <c r="J53" s="48" t="s">
        <v>6192</v>
      </c>
      <c r="K53" s="52" t="b">
        <f>IFS($B53=FALSE,"", countif(VLOOKUP($A53,UASCAN!D:D,1,FALSE),$A53)&gt;=1,TRUE,countif(VLOOKUP($B53,UASCAN!D:D,1,FALSE),$B53)=0,FALSE)</f>
        <v>0</v>
      </c>
      <c r="L53" s="52" t="b">
        <f>IFS(B53=FALSE,"", countif(VLOOKUP($B53,'01032022'!B:B,1,FALSE),$B53)&gt;=1,TRUE,countif(VLOOKUP($B53,'01032022'!B:B,1,FALSE),$B53)=0,FALSE)</f>
        <v>1</v>
      </c>
      <c r="M53" s="52" t="str">
        <f>ifs(AND($K53=FALSE,$L53=TRUE),"",AND($K53=FALSE,L53=FALSE),"",AND($K53=TRUE,$L53=TRUE),VLOOKUP($A53,UASCAN!D:F,3,0), AND($K53=TRUE,$L53=FALSE),VLOOKUP($A53,UASCAN!D:F,3,0))</f>
        <v/>
      </c>
      <c r="N53" s="53" t="str">
        <f t="shared" si="2"/>
        <v> </v>
      </c>
      <c r="O53" s="53" t="str">
        <f t="shared" si="3"/>
        <v/>
      </c>
    </row>
    <row r="54">
      <c r="A54" s="47" t="str">
        <f t="shared" si="1"/>
        <v>1635044564</v>
      </c>
      <c r="B54" s="48">
        <v>16350.0</v>
      </c>
      <c r="C54" s="49">
        <v>0.4479166666666667</v>
      </c>
      <c r="D54" s="48" t="s">
        <v>4625</v>
      </c>
      <c r="E54" s="50">
        <v>22243.0</v>
      </c>
      <c r="F54" s="51">
        <v>44564.0</v>
      </c>
      <c r="G54" s="48" t="s">
        <v>5</v>
      </c>
      <c r="H54" s="48" t="s">
        <v>6218</v>
      </c>
      <c r="I54" s="48" t="s">
        <v>6222</v>
      </c>
      <c r="J54" s="48" t="s">
        <v>6117</v>
      </c>
      <c r="K54" s="52" t="b">
        <f>IFS($B54=FALSE,"", countif(VLOOKUP($A54,UASCAN!D:D,1,FALSE),$A54)&gt;=1,TRUE,countif(VLOOKUP($B54,UASCAN!D:D,1,FALSE),$B54)=0,FALSE)</f>
        <v>0</v>
      </c>
      <c r="L54" s="52" t="b">
        <f>IFS(B54=FALSE,"", countif(VLOOKUP($B54,'01032022'!B:B,1,FALSE),$B54)&gt;=1,TRUE,countif(VLOOKUP($B54,'01032022'!B:B,1,FALSE),$B54)=0,FALSE)</f>
        <v>1</v>
      </c>
      <c r="M54" s="52" t="str">
        <f>ifs(AND($K54=FALSE,$L54=TRUE),"",AND($K54=FALSE,L54=FALSE),"",AND($K54=TRUE,$L54=TRUE),VLOOKUP($A54,UASCAN!D:F,3,0), AND($K54=TRUE,$L54=FALSE),VLOOKUP($A54,UASCAN!D:F,3,0))</f>
        <v/>
      </c>
      <c r="N54" s="53" t="str">
        <f t="shared" si="2"/>
        <v> </v>
      </c>
      <c r="O54" s="53" t="str">
        <f t="shared" si="3"/>
        <v/>
      </c>
    </row>
    <row r="55">
      <c r="A55" s="47" t="str">
        <f t="shared" si="1"/>
        <v>1057344564</v>
      </c>
      <c r="B55" s="48">
        <v>10573.0</v>
      </c>
      <c r="C55" s="49">
        <v>0.4583333333333333</v>
      </c>
      <c r="D55" s="48" t="s">
        <v>591</v>
      </c>
      <c r="E55" s="50">
        <v>23562.0</v>
      </c>
      <c r="F55" s="51">
        <v>44564.0</v>
      </c>
      <c r="G55" s="48" t="s">
        <v>6215</v>
      </c>
      <c r="H55" s="48" t="s">
        <v>6218</v>
      </c>
      <c r="I55" s="48" t="s">
        <v>6222</v>
      </c>
      <c r="J55" s="48" t="s">
        <v>6199</v>
      </c>
      <c r="K55" s="52" t="b">
        <f>IFS($B55=FALSE,"", countif(VLOOKUP($A55,UASCAN!D:D,1,FALSE),$A55)&gt;=1,TRUE,countif(VLOOKUP($B55,UASCAN!D:D,1,FALSE),$B55)=0,FALSE)</f>
        <v>0</v>
      </c>
      <c r="L55" s="52" t="b">
        <f>IFS(B55=FALSE,"", countif(VLOOKUP($B55,'01032022'!B:B,1,FALSE),$B55)&gt;=1,TRUE,countif(VLOOKUP($B55,'01032022'!B:B,1,FALSE),$B55)=0,FALSE)</f>
        <v>1</v>
      </c>
      <c r="M55" s="52" t="str">
        <f>ifs(AND($K55=FALSE,$L55=TRUE),"",AND($K55=FALSE,L55=FALSE),"",AND($K55=TRUE,$L55=TRUE),VLOOKUP($A55,UASCAN!D:F,3,0), AND($K55=TRUE,$L55=FALSE),VLOOKUP($A55,UASCAN!D:F,3,0))</f>
        <v/>
      </c>
      <c r="N55" s="53" t="str">
        <f t="shared" si="2"/>
        <v> </v>
      </c>
      <c r="O55" s="53" t="str">
        <f t="shared" si="3"/>
        <v/>
      </c>
    </row>
    <row r="56">
      <c r="A56" s="47" t="str">
        <f t="shared" si="1"/>
        <v>1063444564</v>
      </c>
      <c r="B56" s="48">
        <v>10634.0</v>
      </c>
      <c r="C56" s="49">
        <v>0.46875</v>
      </c>
      <c r="D56" s="48" t="s">
        <v>619</v>
      </c>
      <c r="E56" s="50">
        <v>14961.0</v>
      </c>
      <c r="F56" s="51">
        <v>44564.0</v>
      </c>
      <c r="G56" s="48" t="s">
        <v>5</v>
      </c>
      <c r="H56" s="48" t="s">
        <v>6218</v>
      </c>
      <c r="I56" s="48" t="s">
        <v>6222</v>
      </c>
      <c r="J56" s="48" t="s">
        <v>6137</v>
      </c>
      <c r="K56" s="52" t="b">
        <f>IFS($B56=FALSE,"", countif(VLOOKUP($A56,UASCAN!D:D,1,FALSE),$A56)&gt;=1,TRUE,countif(VLOOKUP($B56,UASCAN!D:D,1,FALSE),$B56)=0,FALSE)</f>
        <v>0</v>
      </c>
      <c r="L56" s="52" t="b">
        <f>IFS(B56=FALSE,"", countif(VLOOKUP($B56,'01032022'!B:B,1,FALSE),$B56)&gt;=1,TRUE,countif(VLOOKUP($B56,'01032022'!B:B,1,FALSE),$B56)=0,FALSE)</f>
        <v>1</v>
      </c>
      <c r="M56" s="52" t="str">
        <f>ifs(AND($K56=FALSE,$L56=TRUE),"",AND($K56=FALSE,L56=FALSE),"",AND($K56=TRUE,$L56=TRUE),VLOOKUP($A56,UASCAN!D:F,3,0), AND($K56=TRUE,$L56=FALSE),VLOOKUP($A56,UASCAN!D:F,3,0))</f>
        <v/>
      </c>
      <c r="N56" s="53" t="str">
        <f t="shared" si="2"/>
        <v> </v>
      </c>
      <c r="O56" s="53" t="str">
        <f t="shared" si="3"/>
        <v/>
      </c>
    </row>
    <row r="57">
      <c r="A57" s="47" t="str">
        <f t="shared" si="1"/>
        <v>1212444564</v>
      </c>
      <c r="B57" s="48">
        <v>12124.0</v>
      </c>
      <c r="C57" s="49">
        <v>0.5520833333333334</v>
      </c>
      <c r="D57" s="48" t="s">
        <v>1285</v>
      </c>
      <c r="E57" s="50">
        <v>13850.0</v>
      </c>
      <c r="F57" s="51">
        <v>44564.0</v>
      </c>
      <c r="G57" s="48" t="s">
        <v>6215</v>
      </c>
      <c r="H57" s="48" t="s">
        <v>6218</v>
      </c>
      <c r="I57" s="48" t="s">
        <v>6222</v>
      </c>
      <c r="J57" s="48" t="s">
        <v>6094</v>
      </c>
      <c r="K57" s="52" t="b">
        <f>IFS($B57=FALSE,"", countif(VLOOKUP($A57,UASCAN!D:D,1,FALSE),$A57)&gt;=1,TRUE,countif(VLOOKUP($B57,UASCAN!D:D,1,FALSE),$B57)=0,FALSE)</f>
        <v>0</v>
      </c>
      <c r="L57" s="52" t="b">
        <f>IFS(B57=FALSE,"", countif(VLOOKUP($B57,'01032022'!B:B,1,FALSE),$B57)&gt;=1,TRUE,countif(VLOOKUP($B57,'01032022'!B:B,1,FALSE),$B57)=0,FALSE)</f>
        <v>1</v>
      </c>
      <c r="M57" s="52" t="str">
        <f>ifs(AND($K57=FALSE,$L57=TRUE),"",AND($K57=FALSE,L57=FALSE),"",AND($K57=TRUE,$L57=TRUE),VLOOKUP($A57,UASCAN!D:F,3,0), AND($K57=TRUE,$L57=FALSE),VLOOKUP($A57,UASCAN!D:F,3,0))</f>
        <v/>
      </c>
      <c r="N57" s="53" t="str">
        <f t="shared" si="2"/>
        <v> </v>
      </c>
      <c r="O57" s="53" t="str">
        <f t="shared" si="3"/>
        <v/>
      </c>
    </row>
    <row r="58">
      <c r="A58" s="47" t="str">
        <f t="shared" si="1"/>
        <v>1757544564</v>
      </c>
      <c r="B58" s="48">
        <v>17575.0</v>
      </c>
      <c r="C58" s="49">
        <v>0.5625</v>
      </c>
      <c r="D58" s="48" t="s">
        <v>5746</v>
      </c>
      <c r="E58" s="50">
        <v>30266.0</v>
      </c>
      <c r="F58" s="51">
        <v>44564.0</v>
      </c>
      <c r="G58" s="48" t="s">
        <v>6215</v>
      </c>
      <c r="H58" s="48" t="s">
        <v>6218</v>
      </c>
      <c r="I58" s="48" t="s">
        <v>6222</v>
      </c>
      <c r="J58" s="48" t="s">
        <v>6154</v>
      </c>
      <c r="K58" s="52" t="b">
        <f>IFS($B58=FALSE,"", countif(VLOOKUP($A58,UASCAN!D:D,1,FALSE),$A58)&gt;=1,TRUE,countif(VLOOKUP($B58,UASCAN!D:D,1,FALSE),$B58)=0,FALSE)</f>
        <v>0</v>
      </c>
      <c r="L58" s="52" t="b">
        <f>IFS(B58=FALSE,"", countif(VLOOKUP($B58,'01032022'!B:B,1,FALSE),$B58)&gt;=1,TRUE,countif(VLOOKUP($B58,'01032022'!B:B,1,FALSE),$B58)=0,FALSE)</f>
        <v>1</v>
      </c>
      <c r="M58" s="52" t="str">
        <f>ifs(AND($K58=FALSE,$L58=TRUE),"",AND($K58=FALSE,L58=FALSE),"",AND($K58=TRUE,$L58=TRUE),VLOOKUP($A58,UASCAN!D:F,3,0), AND($K58=TRUE,$L58=FALSE),VLOOKUP($A58,UASCAN!D:F,3,0))</f>
        <v/>
      </c>
      <c r="N58" s="53" t="str">
        <f t="shared" si="2"/>
        <v> </v>
      </c>
      <c r="O58" s="53" t="str">
        <f t="shared" si="3"/>
        <v/>
      </c>
    </row>
    <row r="59">
      <c r="A59" s="47" t="str">
        <f t="shared" si="1"/>
        <v>1038044564</v>
      </c>
      <c r="B59" s="48">
        <v>10380.0</v>
      </c>
      <c r="C59" s="49">
        <v>0.5625</v>
      </c>
      <c r="D59" s="48" t="s">
        <v>524</v>
      </c>
      <c r="E59" s="50">
        <v>17576.0</v>
      </c>
      <c r="F59" s="51">
        <v>44564.0</v>
      </c>
      <c r="G59" s="48" t="s">
        <v>5</v>
      </c>
      <c r="H59" s="48" t="s">
        <v>6218</v>
      </c>
      <c r="I59" s="48" t="s">
        <v>6222</v>
      </c>
      <c r="J59" s="48" t="s">
        <v>6199</v>
      </c>
      <c r="K59" s="52" t="b">
        <f>IFS($B59=FALSE,"", countif(VLOOKUP($A59,UASCAN!D:D,1,FALSE),$A59)&gt;=1,TRUE,countif(VLOOKUP($B59,UASCAN!D:D,1,FALSE),$B59)=0,FALSE)</f>
        <v>0</v>
      </c>
      <c r="L59" s="52" t="b">
        <f>IFS(B59=FALSE,"", countif(VLOOKUP($B59,'01032022'!B:B,1,FALSE),$B59)&gt;=1,TRUE,countif(VLOOKUP($B59,'01032022'!B:B,1,FALSE),$B59)=0,FALSE)</f>
        <v>1</v>
      </c>
      <c r="M59" s="52" t="str">
        <f>ifs(AND($K59=FALSE,$L59=TRUE),"",AND($K59=FALSE,L59=FALSE),"",AND($K59=TRUE,$L59=TRUE),VLOOKUP($A59,UASCAN!D:F,3,0), AND($K59=TRUE,$L59=FALSE),VLOOKUP($A59,UASCAN!D:F,3,0))</f>
        <v/>
      </c>
      <c r="N59" s="53" t="str">
        <f t="shared" si="2"/>
        <v> </v>
      </c>
      <c r="O59" s="53" t="str">
        <f t="shared" si="3"/>
        <v/>
      </c>
    </row>
    <row r="60">
      <c r="A60" s="47" t="str">
        <f t="shared" si="1"/>
        <v>1020444564</v>
      </c>
      <c r="B60" s="48">
        <v>10204.0</v>
      </c>
      <c r="C60" s="49">
        <v>0.5729166666666666</v>
      </c>
      <c r="D60" s="48" t="s">
        <v>455</v>
      </c>
      <c r="E60" s="50">
        <v>30612.0</v>
      </c>
      <c r="F60" s="51">
        <v>44564.0</v>
      </c>
      <c r="G60" s="48" t="s">
        <v>5</v>
      </c>
      <c r="H60" s="48" t="s">
        <v>6218</v>
      </c>
      <c r="I60" s="48" t="s">
        <v>6222</v>
      </c>
      <c r="J60" s="48" t="s">
        <v>6091</v>
      </c>
      <c r="K60" s="52" t="b">
        <f>IFS($B60=FALSE,"", countif(VLOOKUP($A60,UASCAN!D:D,1,FALSE),$A60)&gt;=1,TRUE,countif(VLOOKUP($B60,UASCAN!D:D,1,FALSE),$B60)=0,FALSE)</f>
        <v>0</v>
      </c>
      <c r="L60" s="52" t="b">
        <f>IFS(B60=FALSE,"", countif(VLOOKUP($B60,'01032022'!B:B,1,FALSE),$B60)&gt;=1,TRUE,countif(VLOOKUP($B60,'01032022'!B:B,1,FALSE),$B60)=0,FALSE)</f>
        <v>1</v>
      </c>
      <c r="M60" s="52" t="str">
        <f>ifs(AND($K60=FALSE,$L60=TRUE),"",AND($K60=FALSE,L60=FALSE),"",AND($K60=TRUE,$L60=TRUE),VLOOKUP($A60,UASCAN!D:F,3,0), AND($K60=TRUE,$L60=FALSE),VLOOKUP($A60,UASCAN!D:F,3,0))</f>
        <v/>
      </c>
      <c r="N60" s="53" t="str">
        <f t="shared" si="2"/>
        <v> </v>
      </c>
      <c r="O60" s="53" t="str">
        <f t="shared" si="3"/>
        <v/>
      </c>
    </row>
    <row r="61">
      <c r="A61" s="47" t="str">
        <f t="shared" si="1"/>
        <v>965244564</v>
      </c>
      <c r="B61" s="48">
        <v>9652.0</v>
      </c>
      <c r="C61" s="49">
        <v>0.5833333333333334</v>
      </c>
      <c r="D61" s="48" t="s">
        <v>247</v>
      </c>
      <c r="E61" s="50">
        <v>18328.0</v>
      </c>
      <c r="F61" s="51">
        <v>44564.0</v>
      </c>
      <c r="G61" s="48" t="s">
        <v>5</v>
      </c>
      <c r="H61" s="48" t="s">
        <v>6218</v>
      </c>
      <c r="I61" s="48" t="s">
        <v>6222</v>
      </c>
      <c r="J61" s="48" t="s">
        <v>6199</v>
      </c>
      <c r="K61" s="52" t="b">
        <f>IFS($B61=FALSE,"", countif(VLOOKUP($A61,UASCAN!D:D,1,FALSE),$A61)&gt;=1,TRUE,countif(VLOOKUP($B61,UASCAN!D:D,1,FALSE),$B61)=0,FALSE)</f>
        <v>0</v>
      </c>
      <c r="L61" s="52" t="b">
        <f>IFS(B61=FALSE,"", countif(VLOOKUP($B61,'01032022'!B:B,1,FALSE),$B61)&gt;=1,TRUE,countif(VLOOKUP($B61,'01032022'!B:B,1,FALSE),$B61)=0,FALSE)</f>
        <v>1</v>
      </c>
      <c r="M61" s="52" t="str">
        <f>ifs(AND($K61=FALSE,$L61=TRUE),"",AND($K61=FALSE,L61=FALSE),"",AND($K61=TRUE,$L61=TRUE),VLOOKUP($A61,UASCAN!D:F,3,0), AND($K61=TRUE,$L61=FALSE),VLOOKUP($A61,UASCAN!D:F,3,0))</f>
        <v/>
      </c>
      <c r="N61" s="53" t="str">
        <f t="shared" si="2"/>
        <v> </v>
      </c>
      <c r="O61" s="53" t="str">
        <f t="shared" si="3"/>
        <v/>
      </c>
    </row>
    <row r="62">
      <c r="A62" s="47" t="str">
        <f t="shared" si="1"/>
        <v>1228744564</v>
      </c>
      <c r="B62" s="48">
        <v>12287.0</v>
      </c>
      <c r="C62" s="49">
        <v>0.625</v>
      </c>
      <c r="D62" s="48" t="s">
        <v>1366</v>
      </c>
      <c r="E62" s="50">
        <v>26721.0</v>
      </c>
      <c r="F62" s="51">
        <v>44564.0</v>
      </c>
      <c r="G62" s="48" t="s">
        <v>5</v>
      </c>
      <c r="H62" s="48" t="s">
        <v>6218</v>
      </c>
      <c r="I62" s="48" t="s">
        <v>6222</v>
      </c>
      <c r="J62" s="48" t="s">
        <v>6196</v>
      </c>
      <c r="K62" s="52" t="b">
        <f>IFS($B62=FALSE,"", countif(VLOOKUP($A62,UASCAN!D:D,1,FALSE),$A62)&gt;=1,TRUE,countif(VLOOKUP($B62,UASCAN!D:D,1,FALSE),$B62)=0,FALSE)</f>
        <v>0</v>
      </c>
      <c r="L62" s="52" t="b">
        <f>IFS(B62=FALSE,"", countif(VLOOKUP($B62,'01032022'!B:B,1,FALSE),$B62)&gt;=1,TRUE,countif(VLOOKUP($B62,'01032022'!B:B,1,FALSE),$B62)=0,FALSE)</f>
        <v>1</v>
      </c>
      <c r="M62" s="52" t="str">
        <f>ifs(AND($K62=FALSE,$L62=TRUE),"",AND($K62=FALSE,L62=FALSE),"",AND($K62=TRUE,$L62=TRUE),VLOOKUP($A62,UASCAN!D:F,3,0), AND($K62=TRUE,$L62=FALSE),VLOOKUP($A62,UASCAN!D:F,3,0))</f>
        <v/>
      </c>
      <c r="N62" s="53" t="str">
        <f t="shared" si="2"/>
        <v> </v>
      </c>
      <c r="O62" s="53" t="str">
        <f t="shared" si="3"/>
        <v/>
      </c>
    </row>
    <row r="63">
      <c r="A63" s="47" t="str">
        <f t="shared" si="1"/>
        <v>959344564</v>
      </c>
      <c r="B63" s="48">
        <v>9593.0</v>
      </c>
      <c r="C63" s="49">
        <v>0.6354166666666666</v>
      </c>
      <c r="D63" s="48" t="s">
        <v>227</v>
      </c>
      <c r="E63" s="50">
        <v>23217.0</v>
      </c>
      <c r="F63" s="51">
        <v>44564.0</v>
      </c>
      <c r="G63" s="48" t="s">
        <v>5</v>
      </c>
      <c r="H63" s="48" t="s">
        <v>6218</v>
      </c>
      <c r="I63" s="48" t="s">
        <v>6222</v>
      </c>
      <c r="J63" s="48" t="s">
        <v>6199</v>
      </c>
      <c r="K63" s="52" t="b">
        <f>IFS($B63=FALSE,"", countif(VLOOKUP($A63,UASCAN!D:D,1,FALSE),$A63)&gt;=1,TRUE,countif(VLOOKUP($B63,UASCAN!D:D,1,FALSE),$B63)=0,FALSE)</f>
        <v>0</v>
      </c>
      <c r="L63" s="52" t="b">
        <f>IFS(B63=FALSE,"", countif(VLOOKUP($B63,'01032022'!B:B,1,FALSE),$B63)&gt;=1,TRUE,countif(VLOOKUP($B63,'01032022'!B:B,1,FALSE),$B63)=0,FALSE)</f>
        <v>1</v>
      </c>
      <c r="M63" s="52" t="str">
        <f>ifs(AND($K63=FALSE,$L63=TRUE),"",AND($K63=FALSE,L63=FALSE),"",AND($K63=TRUE,$L63=TRUE),VLOOKUP($A63,UASCAN!D:F,3,0), AND($K63=TRUE,$L63=FALSE),VLOOKUP($A63,UASCAN!D:F,3,0))</f>
        <v/>
      </c>
      <c r="N63" s="53" t="str">
        <f t="shared" si="2"/>
        <v> </v>
      </c>
      <c r="O63" s="53" t="str">
        <f t="shared" si="3"/>
        <v/>
      </c>
    </row>
    <row r="64">
      <c r="A64" s="47" t="str">
        <f t="shared" si="1"/>
        <v>1460044564</v>
      </c>
      <c r="B64" s="48">
        <v>14600.0</v>
      </c>
      <c r="C64" s="49">
        <v>0.3333333333333333</v>
      </c>
      <c r="D64" s="48" t="s">
        <v>3140</v>
      </c>
      <c r="E64" s="50">
        <v>18872.0</v>
      </c>
      <c r="F64" s="51">
        <v>44564.0</v>
      </c>
      <c r="G64" s="48" t="s">
        <v>5</v>
      </c>
      <c r="H64" s="48" t="s">
        <v>6218</v>
      </c>
      <c r="I64" s="48" t="s">
        <v>6219</v>
      </c>
      <c r="J64" s="48" t="s">
        <v>6137</v>
      </c>
      <c r="K64" s="52" t="b">
        <f>IFS($B64=FALSE,"", countif(VLOOKUP($A64,UASCAN!D:D,1,FALSE),$A64)&gt;=1,TRUE,countif(VLOOKUP($B64,UASCAN!D:D,1,FALSE),$B64)=0,FALSE)</f>
        <v>0</v>
      </c>
      <c r="L64" s="52" t="b">
        <f>IFS(B64=FALSE,"", countif(VLOOKUP($B64,'01032022'!B:B,1,FALSE),$B64)&gt;=1,TRUE,countif(VLOOKUP($B64,'01032022'!B:B,1,FALSE),$B64)=0,FALSE)</f>
        <v>1</v>
      </c>
      <c r="M64" s="52" t="str">
        <f>ifs(AND($K64=FALSE,$L64=TRUE),"",AND($K64=FALSE,L64=FALSE),"",AND($K64=TRUE,$L64=TRUE),VLOOKUP($A64,UASCAN!D:F,3,0), AND($K64=TRUE,$L64=FALSE),VLOOKUP($A64,UASCAN!D:F,3,0))</f>
        <v/>
      </c>
      <c r="N64" s="53" t="str">
        <f t="shared" si="2"/>
        <v> </v>
      </c>
      <c r="O64" s="53" t="str">
        <f t="shared" si="3"/>
        <v/>
      </c>
    </row>
    <row r="65">
      <c r="A65" s="47" t="str">
        <f t="shared" si="1"/>
        <v>1780744565</v>
      </c>
      <c r="B65" s="48">
        <v>17807.0</v>
      </c>
      <c r="C65" s="49">
        <v>0.6145833333333334</v>
      </c>
      <c r="D65" s="48" t="s">
        <v>5950</v>
      </c>
      <c r="E65" s="50">
        <v>27578.0</v>
      </c>
      <c r="F65" s="51">
        <v>44565.0</v>
      </c>
      <c r="G65" s="48" t="s">
        <v>6213</v>
      </c>
      <c r="H65" s="48" t="s">
        <v>6211</v>
      </c>
      <c r="I65" s="48" t="s">
        <v>6212</v>
      </c>
      <c r="J65" s="48" t="s">
        <v>6199</v>
      </c>
      <c r="K65" s="52" t="b">
        <f>IFS($B65=FALSE,"", countif(VLOOKUP($A65,UASCAN!D:D,1,FALSE),$A65)&gt;=1,TRUE,countif(VLOOKUP($B65,UASCAN!D:D,1,FALSE),$B65)=0,FALSE)</f>
        <v>0</v>
      </c>
      <c r="L65" s="52" t="b">
        <f>IFS(B65=FALSE,"", countif(VLOOKUP($B65,'01042022'!B:B,1,FALSE),$B65)&gt;=1,TRUE,countif(VLOOKUP($B65,'01042022'!B:B,1,FALSE),$B65)=0,FALSE)</f>
        <v>1</v>
      </c>
      <c r="M65" s="52" t="str">
        <f>ifs(AND($K65=FALSE,$L65=TRUE),"",AND($K65=FALSE,L65=FALSE),"",AND($K65=TRUE,$L65=TRUE),VLOOKUP($A65,UASCAN!D:F,3,0), AND($K65=TRUE,$L65=FALSE),VLOOKUP($A65,UASCAN!D:F,3,0))</f>
        <v/>
      </c>
      <c r="N65" s="53" t="str">
        <f t="shared" si="2"/>
        <v> </v>
      </c>
      <c r="O65" s="53" t="str">
        <f t="shared" si="3"/>
        <v/>
      </c>
    </row>
    <row r="66">
      <c r="A66" s="47" t="str">
        <f t="shared" si="1"/>
        <v>1771644565</v>
      </c>
      <c r="B66" s="48">
        <v>17716.0</v>
      </c>
      <c r="C66" s="49">
        <v>0.6666666666666666</v>
      </c>
      <c r="D66" s="48" t="s">
        <v>5848</v>
      </c>
      <c r="E66" s="50">
        <v>17940.0</v>
      </c>
      <c r="F66" s="51">
        <v>44565.0</v>
      </c>
      <c r="G66" s="48" t="s">
        <v>6214</v>
      </c>
      <c r="H66" s="48" t="s">
        <v>6211</v>
      </c>
      <c r="I66" s="48" t="s">
        <v>6212</v>
      </c>
      <c r="J66" s="48" t="s">
        <v>6190</v>
      </c>
      <c r="K66" s="52" t="b">
        <f>IFS($B66=FALSE,"", countif(VLOOKUP($A66,UASCAN!D:D,1,FALSE),$A66)&gt;=1,TRUE,countif(VLOOKUP($B66,UASCAN!D:D,1,FALSE),$B66)=0,FALSE)</f>
        <v>0</v>
      </c>
      <c r="L66" s="52" t="b">
        <f>IFS(B66=FALSE,"", countif(VLOOKUP($B66,'01042022'!B:B,1,FALSE),$B66)&gt;=1,TRUE,countif(VLOOKUP($B66,'01042022'!B:B,1,FALSE),$B66)=0,FALSE)</f>
        <v>1</v>
      </c>
      <c r="M66" s="52" t="str">
        <f>ifs(AND($K66=FALSE,$L66=TRUE),"",AND($K66=FALSE,L66=FALSE),"",AND($K66=TRUE,$L66=TRUE),VLOOKUP($A66,UASCAN!D:F,3,0), AND($K66=TRUE,$L66=FALSE),VLOOKUP($A66,UASCAN!D:F,3,0))</f>
        <v/>
      </c>
      <c r="N66" s="53" t="str">
        <f t="shared" si="2"/>
        <v> </v>
      </c>
      <c r="O66" s="53" t="str">
        <f t="shared" si="3"/>
        <v/>
      </c>
    </row>
    <row r="67">
      <c r="A67" s="47" t="str">
        <f t="shared" si="1"/>
        <v>1645544565</v>
      </c>
      <c r="B67" s="48">
        <v>16455.0</v>
      </c>
      <c r="C67" s="49">
        <v>0.6875</v>
      </c>
      <c r="D67" s="48" t="s">
        <v>4701</v>
      </c>
      <c r="E67" s="50">
        <v>27691.0</v>
      </c>
      <c r="F67" s="51">
        <v>44565.0</v>
      </c>
      <c r="G67" s="48" t="s">
        <v>6213</v>
      </c>
      <c r="H67" s="48" t="s">
        <v>6211</v>
      </c>
      <c r="I67" s="48" t="s">
        <v>6212</v>
      </c>
      <c r="J67" s="48" t="s">
        <v>6126</v>
      </c>
      <c r="K67" s="52" t="b">
        <f>IFS($B67=FALSE,"", countif(VLOOKUP($A67,UASCAN!D:D,1,FALSE),$A67)&gt;=1,TRUE,countif(VLOOKUP($B67,UASCAN!D:D,1,FALSE),$B67)=0,FALSE)</f>
        <v>0</v>
      </c>
      <c r="L67" s="52" t="b">
        <f>IFS(B67=FALSE,"", countif(VLOOKUP($B67,'01042022'!B:B,1,FALSE),$B67)&gt;=1,TRUE,countif(VLOOKUP($B67,'01042022'!B:B,1,FALSE),$B67)=0,FALSE)</f>
        <v>1</v>
      </c>
      <c r="M67" s="52" t="str">
        <f>ifs(AND($K67=FALSE,$L67=TRUE),"",AND($K67=FALSE,L67=FALSE),"",AND($K67=TRUE,$L67=TRUE),VLOOKUP($A67,UASCAN!D:F,3,0), AND($K67=TRUE,$L67=FALSE),VLOOKUP($A67,UASCAN!D:F,3,0))</f>
        <v/>
      </c>
      <c r="N67" s="53" t="str">
        <f t="shared" si="2"/>
        <v> </v>
      </c>
      <c r="O67" s="53" t="str">
        <f t="shared" si="3"/>
        <v/>
      </c>
    </row>
    <row r="68">
      <c r="A68" s="47" t="str">
        <f t="shared" si="1"/>
        <v>1069344565</v>
      </c>
      <c r="B68" s="48">
        <v>10693.0</v>
      </c>
      <c r="C68" s="49">
        <v>0.6979166666666666</v>
      </c>
      <c r="D68" s="48" t="s">
        <v>641</v>
      </c>
      <c r="E68" s="50">
        <v>27131.0</v>
      </c>
      <c r="F68" s="51">
        <v>44565.0</v>
      </c>
      <c r="G68" s="48" t="s">
        <v>6216</v>
      </c>
      <c r="H68" s="48" t="s">
        <v>6211</v>
      </c>
      <c r="I68" s="48" t="s">
        <v>6212</v>
      </c>
      <c r="J68" s="48" t="s">
        <v>6139</v>
      </c>
      <c r="K68" s="52" t="b">
        <f>IFS($B68=FALSE,"", countif(VLOOKUP($A68,UASCAN!D:D,1,FALSE),$A68)&gt;=1,TRUE,countif(VLOOKUP($B68,UASCAN!D:D,1,FALSE),$B68)=0,FALSE)</f>
        <v>0</v>
      </c>
      <c r="L68" s="52" t="b">
        <f>IFS(B68=FALSE,"", countif(VLOOKUP($B68,'01042022'!B:B,1,FALSE),$B68)&gt;=1,TRUE,countif(VLOOKUP($B68,'01042022'!B:B,1,FALSE),$B68)=0,FALSE)</f>
        <v>1</v>
      </c>
      <c r="M68" s="52" t="str">
        <f>ifs(AND($K68=FALSE,$L68=TRUE),"",AND($K68=FALSE,L68=FALSE),"",AND($K68=TRUE,$L68=TRUE),VLOOKUP($A68,UASCAN!D:F,3,0), AND($K68=TRUE,$L68=FALSE),VLOOKUP($A68,UASCAN!D:F,3,0))</f>
        <v/>
      </c>
      <c r="N68" s="53" t="str">
        <f t="shared" si="2"/>
        <v> </v>
      </c>
      <c r="O68" s="53" t="str">
        <f t="shared" si="3"/>
        <v/>
      </c>
    </row>
    <row r="69">
      <c r="A69" s="47" t="str">
        <f t="shared" si="1"/>
        <v>1694244565</v>
      </c>
      <c r="B69" s="48">
        <v>16942.0</v>
      </c>
      <c r="C69" s="49">
        <v>0.4479166666666667</v>
      </c>
      <c r="D69" s="48" t="s">
        <v>5080</v>
      </c>
      <c r="E69" s="50">
        <v>21275.0</v>
      </c>
      <c r="F69" s="51">
        <v>44565.0</v>
      </c>
      <c r="G69" s="48" t="s">
        <v>6213</v>
      </c>
      <c r="H69" s="48" t="s">
        <v>6211</v>
      </c>
      <c r="I69" s="48" t="s">
        <v>6212</v>
      </c>
      <c r="J69" s="48" t="s">
        <v>6089</v>
      </c>
      <c r="K69" s="52" t="b">
        <f>IFS($B69=FALSE,"", countif(VLOOKUP($A69,UASCAN!D:D,1,FALSE),$A69)&gt;=1,TRUE,countif(VLOOKUP($B69,UASCAN!D:D,1,FALSE),$B69)=0,FALSE)</f>
        <v>0</v>
      </c>
      <c r="L69" s="52" t="b">
        <f>IFS(B69=FALSE,"", countif(VLOOKUP($B69,'01042022'!B:B,1,FALSE),$B69)&gt;=1,TRUE,countif(VLOOKUP($B69,'01042022'!B:B,1,FALSE),$B69)=0,FALSE)</f>
        <v>1</v>
      </c>
      <c r="M69" s="52" t="str">
        <f>ifs(AND($K69=FALSE,$L69=TRUE),"",AND($K69=FALSE,L69=FALSE),"",AND($K69=TRUE,$L69=TRUE),VLOOKUP($A69,UASCAN!D:F,3,0), AND($K69=TRUE,$L69=FALSE),VLOOKUP($A69,UASCAN!D:F,3,0))</f>
        <v/>
      </c>
      <c r="N69" s="53" t="str">
        <f t="shared" si="2"/>
        <v> </v>
      </c>
      <c r="O69" s="53" t="str">
        <f t="shared" si="3"/>
        <v/>
      </c>
    </row>
    <row r="70">
      <c r="A70" s="47" t="str">
        <f t="shared" si="1"/>
        <v>1781544565</v>
      </c>
      <c r="B70" s="48">
        <v>17815.0</v>
      </c>
      <c r="C70" s="49">
        <v>0.4479166666666667</v>
      </c>
      <c r="D70" s="48" t="s">
        <v>5951</v>
      </c>
      <c r="E70" s="50">
        <v>26567.0</v>
      </c>
      <c r="F70" s="51">
        <v>44565.0</v>
      </c>
      <c r="G70" s="48" t="s">
        <v>6213</v>
      </c>
      <c r="H70" s="48" t="s">
        <v>6211</v>
      </c>
      <c r="I70" s="48" t="s">
        <v>6212</v>
      </c>
      <c r="J70" s="48" t="s">
        <v>6217</v>
      </c>
      <c r="K70" s="52" t="b">
        <f>IFS($B70=FALSE,"", countif(VLOOKUP($A70,UASCAN!D:D,1,FALSE),$A70)&gt;=1,TRUE,countif(VLOOKUP($B70,UASCAN!D:D,1,FALSE),$B70)=0,FALSE)</f>
        <v>0</v>
      </c>
      <c r="L70" s="52" t="b">
        <f>IFS(B70=FALSE,"", countif(VLOOKUP($B70,'01042022'!B:B,1,FALSE),$B70)&gt;=1,TRUE,countif(VLOOKUP($B70,'01042022'!B:B,1,FALSE),$B70)=0,FALSE)</f>
        <v>1</v>
      </c>
      <c r="M70" s="52" t="str">
        <f>ifs(AND($K70=FALSE,$L70=TRUE),"",AND($K70=FALSE,L70=FALSE),"",AND($K70=TRUE,$L70=TRUE),VLOOKUP($A70,UASCAN!D:F,3,0), AND($K70=TRUE,$L70=FALSE),VLOOKUP($A70,UASCAN!D:F,3,0))</f>
        <v/>
      </c>
      <c r="N70" s="53" t="str">
        <f t="shared" si="2"/>
        <v> </v>
      </c>
      <c r="O70" s="53" t="str">
        <f t="shared" si="3"/>
        <v/>
      </c>
    </row>
    <row r="71">
      <c r="A71" s="47" t="str">
        <f t="shared" si="1"/>
        <v>1780244565</v>
      </c>
      <c r="B71" s="48">
        <v>17802.0</v>
      </c>
      <c r="C71" s="49">
        <v>0.4479166666666667</v>
      </c>
      <c r="D71" s="48" t="s">
        <v>5948</v>
      </c>
      <c r="E71" s="50">
        <v>17369.0</v>
      </c>
      <c r="F71" s="51">
        <v>44565.0</v>
      </c>
      <c r="G71" s="48" t="s">
        <v>6213</v>
      </c>
      <c r="H71" s="48" t="s">
        <v>6211</v>
      </c>
      <c r="I71" s="48" t="s">
        <v>6212</v>
      </c>
      <c r="J71" s="48" t="s">
        <v>6199</v>
      </c>
      <c r="K71" s="52" t="b">
        <f>IFS($B71=FALSE,"", countif(VLOOKUP($A71,UASCAN!D:D,1,FALSE),$A71)&gt;=1,TRUE,countif(VLOOKUP($B71,UASCAN!D:D,1,FALSE),$B71)=0,FALSE)</f>
        <v>0</v>
      </c>
      <c r="L71" s="52" t="b">
        <f>IFS(B71=FALSE,"", countif(VLOOKUP($B71,'01042022'!B:B,1,FALSE),$B71)&gt;=1,TRUE,countif(VLOOKUP($B71,'01042022'!B:B,1,FALSE),$B71)=0,FALSE)</f>
        <v>1</v>
      </c>
      <c r="M71" s="52" t="str">
        <f>ifs(AND($K71=FALSE,$L71=TRUE),"",AND($K71=FALSE,L71=FALSE),"",AND($K71=TRUE,$L71=TRUE),VLOOKUP($A71,UASCAN!D:F,3,0), AND($K71=TRUE,$L71=FALSE),VLOOKUP($A71,UASCAN!D:F,3,0))</f>
        <v/>
      </c>
      <c r="N71" s="53" t="str">
        <f t="shared" si="2"/>
        <v> </v>
      </c>
      <c r="O71" s="53" t="str">
        <f t="shared" si="3"/>
        <v/>
      </c>
    </row>
    <row r="72">
      <c r="A72" s="47" t="str">
        <f t="shared" si="1"/>
        <v>1125544565</v>
      </c>
      <c r="B72" s="48">
        <v>11255.0</v>
      </c>
      <c r="C72" s="49">
        <v>0.4583333333333333</v>
      </c>
      <c r="D72" s="48" t="s">
        <v>883</v>
      </c>
      <c r="E72" s="50">
        <v>12029.0</v>
      </c>
      <c r="F72" s="51">
        <v>44565.0</v>
      </c>
      <c r="G72" s="48" t="s">
        <v>5</v>
      </c>
      <c r="H72" s="48" t="s">
        <v>6211</v>
      </c>
      <c r="I72" s="48" t="s">
        <v>6212</v>
      </c>
      <c r="J72" s="48" t="s">
        <v>6199</v>
      </c>
      <c r="K72" s="52" t="b">
        <f>IFS($B72=FALSE,"", countif(VLOOKUP($A72,UASCAN!D:D,1,FALSE),$A72)&gt;=1,TRUE,countif(VLOOKUP($B72,UASCAN!D:D,1,FALSE),$B72)=0,FALSE)</f>
        <v>0</v>
      </c>
      <c r="L72" s="52" t="b">
        <f>IFS(B72=FALSE,"", countif(VLOOKUP($B72,'01042022'!B:B,1,FALSE),$B72)&gt;=1,TRUE,countif(VLOOKUP($B72,'01042022'!B:B,1,FALSE),$B72)=0,FALSE)</f>
        <v>1</v>
      </c>
      <c r="M72" s="52" t="str">
        <f>ifs(AND($K72=FALSE,$L72=TRUE),"",AND($K72=FALSE,L72=FALSE),"",AND($K72=TRUE,$L72=TRUE),VLOOKUP($A72,UASCAN!D:F,3,0), AND($K72=TRUE,$L72=FALSE),VLOOKUP($A72,UASCAN!D:F,3,0))</f>
        <v/>
      </c>
      <c r="N72" s="53" t="str">
        <f t="shared" si="2"/>
        <v> </v>
      </c>
      <c r="O72" s="53" t="str">
        <f t="shared" si="3"/>
        <v/>
      </c>
    </row>
    <row r="73">
      <c r="A73" s="47" t="str">
        <f t="shared" si="1"/>
        <v>1747944565</v>
      </c>
      <c r="B73" s="48">
        <v>17479.0</v>
      </c>
      <c r="C73" s="49">
        <v>0.46875</v>
      </c>
      <c r="D73" s="48" t="s">
        <v>5786</v>
      </c>
      <c r="E73" s="50">
        <v>25841.0</v>
      </c>
      <c r="F73" s="51">
        <v>44565.0</v>
      </c>
      <c r="G73" s="48" t="s">
        <v>6214</v>
      </c>
      <c r="H73" s="48" t="s">
        <v>6211</v>
      </c>
      <c r="I73" s="48" t="s">
        <v>6212</v>
      </c>
      <c r="J73" s="48" t="s">
        <v>6139</v>
      </c>
      <c r="K73" s="52" t="b">
        <f>IFS($B73=FALSE,"", countif(VLOOKUP($A73,UASCAN!D:D,1,FALSE),$A73)&gt;=1,TRUE,countif(VLOOKUP($B73,UASCAN!D:D,1,FALSE),$B73)=0,FALSE)</f>
        <v>0</v>
      </c>
      <c r="L73" s="52" t="b">
        <f>IFS(B73=FALSE,"", countif(VLOOKUP($B73,'01042022'!B:B,1,FALSE),$B73)&gt;=1,TRUE,countif(VLOOKUP($B73,'01042022'!B:B,1,FALSE),$B73)=0,FALSE)</f>
        <v>1</v>
      </c>
      <c r="M73" s="52" t="str">
        <f>ifs(AND($K73=FALSE,$L73=TRUE),"",AND($K73=FALSE,L73=FALSE),"",AND($K73=TRUE,$L73=TRUE),VLOOKUP($A73,UASCAN!D:F,3,0), AND($K73=TRUE,$L73=FALSE),VLOOKUP($A73,UASCAN!D:F,3,0))</f>
        <v/>
      </c>
      <c r="N73" s="53" t="str">
        <f t="shared" si="2"/>
        <v> </v>
      </c>
      <c r="O73" s="53" t="str">
        <f t="shared" si="3"/>
        <v/>
      </c>
    </row>
    <row r="74">
      <c r="A74" s="47" t="str">
        <f t="shared" si="1"/>
        <v>1778844565</v>
      </c>
      <c r="B74" s="48">
        <v>17788.0</v>
      </c>
      <c r="C74" s="49">
        <v>0.5416666666666666</v>
      </c>
      <c r="D74" s="48" t="s">
        <v>5949</v>
      </c>
      <c r="E74" s="50">
        <v>11506.0</v>
      </c>
      <c r="F74" s="51">
        <v>44565.0</v>
      </c>
      <c r="G74" s="48" t="s">
        <v>6213</v>
      </c>
      <c r="H74" s="48" t="s">
        <v>6211</v>
      </c>
      <c r="I74" s="48" t="s">
        <v>6212</v>
      </c>
      <c r="J74" s="48" t="s">
        <v>6095</v>
      </c>
      <c r="K74" s="52" t="b">
        <f>IFS($B74=FALSE,"", countif(VLOOKUP($A74,UASCAN!D:D,1,FALSE),$A74)&gt;=1,TRUE,countif(VLOOKUP($B74,UASCAN!D:D,1,FALSE),$B74)=0,FALSE)</f>
        <v>0</v>
      </c>
      <c r="L74" s="52" t="b">
        <f>IFS(B74=FALSE,"", countif(VLOOKUP($B74,'01042022'!B:B,1,FALSE),$B74)&gt;=1,TRUE,countif(VLOOKUP($B74,'01042022'!B:B,1,FALSE),$B74)=0,FALSE)</f>
        <v>1</v>
      </c>
      <c r="M74" s="52" t="str">
        <f>ifs(AND($K74=FALSE,$L74=TRUE),"",AND($K74=FALSE,L74=FALSE),"",AND($K74=TRUE,$L74=TRUE),VLOOKUP($A74,UASCAN!D:F,3,0), AND($K74=TRUE,$L74=FALSE),VLOOKUP($A74,UASCAN!D:F,3,0))</f>
        <v/>
      </c>
      <c r="N74" s="53" t="str">
        <f t="shared" si="2"/>
        <v> </v>
      </c>
      <c r="O74" s="53" t="str">
        <f t="shared" si="3"/>
        <v/>
      </c>
    </row>
    <row r="75">
      <c r="A75" s="47" t="str">
        <f t="shared" si="1"/>
        <v>1670344565</v>
      </c>
      <c r="B75" s="48">
        <v>16703.0</v>
      </c>
      <c r="C75" s="49">
        <v>0.5416666666666666</v>
      </c>
      <c r="D75" s="48" t="s">
        <v>4890</v>
      </c>
      <c r="E75" s="50">
        <v>22337.0</v>
      </c>
      <c r="F75" s="51">
        <v>44565.0</v>
      </c>
      <c r="G75" s="48" t="s">
        <v>5</v>
      </c>
      <c r="H75" s="48" t="s">
        <v>6211</v>
      </c>
      <c r="I75" s="48" t="s">
        <v>6212</v>
      </c>
      <c r="J75" s="48" t="s">
        <v>6118</v>
      </c>
      <c r="K75" s="52" t="b">
        <f>IFS($B75=FALSE,"", countif(VLOOKUP($A75,UASCAN!D:D,1,FALSE),$A75)&gt;=1,TRUE,countif(VLOOKUP($B75,UASCAN!D:D,1,FALSE),$B75)=0,FALSE)</f>
        <v>0</v>
      </c>
      <c r="L75" s="52" t="b">
        <f>IFS(B75=FALSE,"", countif(VLOOKUP($B75,'01042022'!B:B,1,FALSE),$B75)&gt;=1,TRUE,countif(VLOOKUP($B75,'01042022'!B:B,1,FALSE),$B75)=0,FALSE)</f>
        <v>1</v>
      </c>
      <c r="M75" s="52" t="str">
        <f>ifs(AND($K75=FALSE,$L75=TRUE),"",AND($K75=FALSE,L75=FALSE),"",AND($K75=TRUE,$L75=TRUE),VLOOKUP($A75,UASCAN!D:F,3,0), AND($K75=TRUE,$L75=FALSE),VLOOKUP($A75,UASCAN!D:F,3,0))</f>
        <v/>
      </c>
      <c r="N75" s="53" t="str">
        <f t="shared" si="2"/>
        <v> </v>
      </c>
      <c r="O75" s="53" t="str">
        <f t="shared" si="3"/>
        <v/>
      </c>
    </row>
    <row r="76">
      <c r="A76" s="47" t="str">
        <f t="shared" si="1"/>
        <v>1773844565</v>
      </c>
      <c r="B76" s="48">
        <v>17738.0</v>
      </c>
      <c r="C76" s="49">
        <v>0.5625</v>
      </c>
      <c r="D76" s="48" t="s">
        <v>5903</v>
      </c>
      <c r="E76" s="50">
        <v>24348.0</v>
      </c>
      <c r="F76" s="51">
        <v>44565.0</v>
      </c>
      <c r="G76" s="48" t="s">
        <v>6213</v>
      </c>
      <c r="H76" s="48" t="s">
        <v>6211</v>
      </c>
      <c r="I76" s="48" t="s">
        <v>6212</v>
      </c>
      <c r="J76" s="48" t="s">
        <v>6091</v>
      </c>
      <c r="K76" s="52" t="b">
        <f>IFS($B76=FALSE,"", countif(VLOOKUP($A76,UASCAN!D:D,1,FALSE),$A76)&gt;=1,TRUE,countif(VLOOKUP($B76,UASCAN!D:D,1,FALSE),$B76)=0,FALSE)</f>
        <v>0</v>
      </c>
      <c r="L76" s="52" t="b">
        <f>IFS(B76=FALSE,"", countif(VLOOKUP($B76,'01042022'!B:B,1,FALSE),$B76)&gt;=1,TRUE,countif(VLOOKUP($B76,'01042022'!B:B,1,FALSE),$B76)=0,FALSE)</f>
        <v>1</v>
      </c>
      <c r="M76" s="52" t="str">
        <f>ifs(AND($K76=FALSE,$L76=TRUE),"",AND($K76=FALSE,L76=FALSE),"",AND($K76=TRUE,$L76=TRUE),VLOOKUP($A76,UASCAN!D:F,3,0), AND($K76=TRUE,$L76=FALSE),VLOOKUP($A76,UASCAN!D:F,3,0))</f>
        <v/>
      </c>
      <c r="N76" s="53" t="str">
        <f t="shared" si="2"/>
        <v> </v>
      </c>
      <c r="O76" s="53" t="str">
        <f t="shared" si="3"/>
        <v/>
      </c>
    </row>
    <row r="77">
      <c r="A77" s="47" t="str">
        <f t="shared" si="1"/>
        <v>927344565</v>
      </c>
      <c r="B77" s="48">
        <v>9273.0</v>
      </c>
      <c r="C77" s="49">
        <v>0.5625</v>
      </c>
      <c r="D77" s="48" t="s">
        <v>127</v>
      </c>
      <c r="E77" s="50">
        <v>32428.0</v>
      </c>
      <c r="F77" s="51">
        <v>44565.0</v>
      </c>
      <c r="G77" s="48" t="s">
        <v>5</v>
      </c>
      <c r="H77" s="48" t="s">
        <v>6211</v>
      </c>
      <c r="I77" s="48" t="s">
        <v>6212</v>
      </c>
      <c r="J77" s="48" t="s">
        <v>6083</v>
      </c>
      <c r="K77" s="52" t="b">
        <f>IFS($B77=FALSE,"", countif(VLOOKUP($A77,UASCAN!D:D,1,FALSE),$A77)&gt;=1,TRUE,countif(VLOOKUP($B77,UASCAN!D:D,1,FALSE),$B77)=0,FALSE)</f>
        <v>0</v>
      </c>
      <c r="L77" s="52" t="b">
        <f>IFS(B77=FALSE,"", countif(VLOOKUP($B77,'01042022'!B:B,1,FALSE),$B77)&gt;=1,TRUE,countif(VLOOKUP($B77,'01042022'!B:B,1,FALSE),$B77)=0,FALSE)</f>
        <v>1</v>
      </c>
      <c r="M77" s="52" t="str">
        <f>ifs(AND($K77=FALSE,$L77=TRUE),"",AND($K77=FALSE,L77=FALSE),"",AND($K77=TRUE,$L77=TRUE),VLOOKUP($A77,UASCAN!D:F,3,0), AND($K77=TRUE,$L77=FALSE),VLOOKUP($A77,UASCAN!D:F,3,0))</f>
        <v/>
      </c>
      <c r="N77" s="53" t="str">
        <f t="shared" si="2"/>
        <v> </v>
      </c>
      <c r="O77" s="53" t="str">
        <f t="shared" si="3"/>
        <v/>
      </c>
    </row>
    <row r="78">
      <c r="A78" s="47" t="str">
        <f t="shared" si="1"/>
        <v>1737144565</v>
      </c>
      <c r="B78" s="48">
        <v>17371.0</v>
      </c>
      <c r="C78" s="49">
        <v>0.59375</v>
      </c>
      <c r="D78" s="48" t="s">
        <v>5420</v>
      </c>
      <c r="E78" s="50">
        <v>31691.0</v>
      </c>
      <c r="F78" s="51">
        <v>44565.0</v>
      </c>
      <c r="G78" s="48" t="s">
        <v>6213</v>
      </c>
      <c r="H78" s="48" t="s">
        <v>6211</v>
      </c>
      <c r="I78" s="48" t="s">
        <v>6212</v>
      </c>
      <c r="J78" s="48" t="s">
        <v>6126</v>
      </c>
      <c r="K78" s="52" t="b">
        <f>IFS($B78=FALSE,"", countif(VLOOKUP($A78,UASCAN!D:D,1,FALSE),$A78)&gt;=1,TRUE,countif(VLOOKUP($B78,UASCAN!D:D,1,FALSE),$B78)=0,FALSE)</f>
        <v>0</v>
      </c>
      <c r="L78" s="52" t="b">
        <f>IFS(B78=FALSE,"", countif(VLOOKUP($B78,'01042022'!B:B,1,FALSE),$B78)&gt;=1,TRUE,countif(VLOOKUP($B78,'01042022'!B:B,1,FALSE),$B78)=0,FALSE)</f>
        <v>1</v>
      </c>
      <c r="M78" s="52" t="str">
        <f>ifs(AND($K78=FALSE,$L78=TRUE),"",AND($K78=FALSE,L78=FALSE),"",AND($K78=TRUE,$L78=TRUE),VLOOKUP($A78,UASCAN!D:F,3,0), AND($K78=TRUE,$L78=FALSE),VLOOKUP($A78,UASCAN!D:F,3,0))</f>
        <v/>
      </c>
      <c r="N78" s="53" t="str">
        <f t="shared" si="2"/>
        <v> </v>
      </c>
      <c r="O78" s="53" t="str">
        <f t="shared" si="3"/>
        <v/>
      </c>
    </row>
    <row r="79">
      <c r="A79" s="47" t="str">
        <f t="shared" si="1"/>
        <v>1782644565</v>
      </c>
      <c r="B79" s="48">
        <v>17826.0</v>
      </c>
      <c r="C79" s="49">
        <v>0.59375</v>
      </c>
      <c r="D79" s="48" t="s">
        <v>5953</v>
      </c>
      <c r="E79" s="50">
        <v>23296.0</v>
      </c>
      <c r="F79" s="51">
        <v>44565.0</v>
      </c>
      <c r="G79" s="48" t="s">
        <v>6213</v>
      </c>
      <c r="H79" s="48" t="s">
        <v>6211</v>
      </c>
      <c r="I79" s="48" t="s">
        <v>6212</v>
      </c>
      <c r="J79" s="48" t="s">
        <v>6120</v>
      </c>
      <c r="K79" s="52" t="b">
        <f>IFS($B79=FALSE,"", countif(VLOOKUP($A79,UASCAN!D:D,1,FALSE),$A79)&gt;=1,TRUE,countif(VLOOKUP($B79,UASCAN!D:D,1,FALSE),$B79)=0,FALSE)</f>
        <v>0</v>
      </c>
      <c r="L79" s="52" t="b">
        <f>IFS(B79=FALSE,"", countif(VLOOKUP($B79,'01042022'!B:B,1,FALSE),$B79)&gt;=1,TRUE,countif(VLOOKUP($B79,'01042022'!B:B,1,FALSE),$B79)=0,FALSE)</f>
        <v>1</v>
      </c>
      <c r="M79" s="52" t="str">
        <f>ifs(AND($K79=FALSE,$L79=TRUE),"",AND($K79=FALSE,L79=FALSE),"",AND($K79=TRUE,$L79=TRUE),VLOOKUP($A79,UASCAN!D:F,3,0), AND($K79=TRUE,$L79=FALSE),VLOOKUP($A79,UASCAN!D:F,3,0))</f>
        <v/>
      </c>
      <c r="N79" s="53" t="str">
        <f t="shared" si="2"/>
        <v> </v>
      </c>
      <c r="O79" s="53" t="str">
        <f t="shared" si="3"/>
        <v/>
      </c>
    </row>
    <row r="80">
      <c r="A80" s="47" t="str">
        <f t="shared" si="1"/>
        <v>991844565</v>
      </c>
      <c r="B80" s="48">
        <v>9918.0</v>
      </c>
      <c r="C80" s="49">
        <v>0.6041666666666666</v>
      </c>
      <c r="D80" s="48" t="s">
        <v>341</v>
      </c>
      <c r="E80" s="50">
        <v>19828.0</v>
      </c>
      <c r="F80" s="51">
        <v>44565.0</v>
      </c>
      <c r="G80" s="48" t="s">
        <v>6216</v>
      </c>
      <c r="H80" s="48" t="s">
        <v>6211</v>
      </c>
      <c r="I80" s="48" t="s">
        <v>6212</v>
      </c>
      <c r="J80" s="48" t="s">
        <v>6194</v>
      </c>
      <c r="K80" s="52" t="b">
        <f>IFS($B80=FALSE,"", countif(VLOOKUP($A80,UASCAN!D:D,1,FALSE),$A80)&gt;=1,TRUE,countif(VLOOKUP($B80,UASCAN!D:D,1,FALSE),$B80)=0,FALSE)</f>
        <v>0</v>
      </c>
      <c r="L80" s="52" t="b">
        <f>IFS(B80=FALSE,"", countif(VLOOKUP($B80,'01042022'!B:B,1,FALSE),$B80)&gt;=1,TRUE,countif(VLOOKUP($B80,'01042022'!B:B,1,FALSE),$B80)=0,FALSE)</f>
        <v>1</v>
      </c>
      <c r="M80" s="52" t="str">
        <f>ifs(AND($K80=FALSE,$L80=TRUE),"",AND($K80=FALSE,L80=FALSE),"",AND($K80=TRUE,$L80=TRUE),VLOOKUP($A80,UASCAN!D:F,3,0), AND($K80=TRUE,$L80=FALSE),VLOOKUP($A80,UASCAN!D:F,3,0))</f>
        <v/>
      </c>
      <c r="N80" s="53" t="str">
        <f t="shared" si="2"/>
        <v> </v>
      </c>
      <c r="O80" s="53" t="str">
        <f t="shared" si="3"/>
        <v/>
      </c>
    </row>
    <row r="81">
      <c r="A81" s="47" t="str">
        <f t="shared" si="1"/>
        <v>1781844565</v>
      </c>
      <c r="B81" s="48">
        <v>17818.0</v>
      </c>
      <c r="C81" s="49">
        <v>0.6145833333333334</v>
      </c>
      <c r="D81" s="48" t="s">
        <v>5923</v>
      </c>
      <c r="E81" s="50">
        <v>18630.0</v>
      </c>
      <c r="F81" s="51">
        <v>44565.0</v>
      </c>
      <c r="G81" s="48" t="s">
        <v>6213</v>
      </c>
      <c r="H81" s="48" t="s">
        <v>6211</v>
      </c>
      <c r="I81" s="48" t="s">
        <v>6212</v>
      </c>
      <c r="J81" s="48" t="s">
        <v>6101</v>
      </c>
      <c r="K81" s="52" t="b">
        <f>IFS($B81=FALSE,"", countif(VLOOKUP($A81,UASCAN!D:D,1,FALSE),$A81)&gt;=1,TRUE,countif(VLOOKUP($B81,UASCAN!D:D,1,FALSE),$B81)=0,FALSE)</f>
        <v>0</v>
      </c>
      <c r="L81" s="52" t="b">
        <f>IFS(B81=FALSE,"", countif(VLOOKUP($B81,'01042022'!B:B,1,FALSE),$B81)&gt;=1,TRUE,countif(VLOOKUP($B81,'01042022'!B:B,1,FALSE),$B81)=0,FALSE)</f>
        <v>1</v>
      </c>
      <c r="M81" s="52" t="str">
        <f>ifs(AND($K81=FALSE,$L81=TRUE),"",AND($K81=FALSE,L81=FALSE),"",AND($K81=TRUE,$L81=TRUE),VLOOKUP($A81,UASCAN!D:F,3,0), AND($K81=TRUE,$L81=FALSE),VLOOKUP($A81,UASCAN!D:F,3,0))</f>
        <v/>
      </c>
      <c r="N81" s="53" t="str">
        <f t="shared" si="2"/>
        <v> </v>
      </c>
      <c r="O81" s="53" t="str">
        <f t="shared" si="3"/>
        <v/>
      </c>
    </row>
    <row r="82">
      <c r="A82" s="47" t="str">
        <f t="shared" si="1"/>
        <v>1421244565</v>
      </c>
      <c r="B82" s="48">
        <v>14212.0</v>
      </c>
      <c r="C82" s="49">
        <v>0.3541666666666667</v>
      </c>
      <c r="D82" s="48" t="s">
        <v>2827</v>
      </c>
      <c r="E82" s="50">
        <v>21952.0</v>
      </c>
      <c r="F82" s="51">
        <v>44565.0</v>
      </c>
      <c r="G82" s="48" t="s">
        <v>6215</v>
      </c>
      <c r="H82" s="48" t="s">
        <v>6218</v>
      </c>
      <c r="I82" s="48" t="s">
        <v>6219</v>
      </c>
      <c r="J82" s="48" t="s">
        <v>6091</v>
      </c>
      <c r="K82" s="52" t="b">
        <f>IFS($B82=FALSE,"", countif(VLOOKUP($A82,UASCAN!D:D,1,FALSE),$A82)&gt;=1,TRUE,countif(VLOOKUP($B82,UASCAN!D:D,1,FALSE),$B82)=0,FALSE)</f>
        <v>0</v>
      </c>
      <c r="L82" s="52" t="b">
        <f>IFS(B82=FALSE,"", countif(VLOOKUP($B82,'01042022'!B:B,1,FALSE),$B82)&gt;=1,TRUE,countif(VLOOKUP($B82,'01042022'!B:B,1,FALSE),$B82)=0,FALSE)</f>
        <v>1</v>
      </c>
      <c r="M82" s="52" t="str">
        <f>ifs(AND($K82=FALSE,$L82=TRUE),"",AND($K82=FALSE,L82=FALSE),"",AND($K82=TRUE,$L82=TRUE),VLOOKUP($A82,UASCAN!D:F,3,0), AND($K82=TRUE,$L82=FALSE),VLOOKUP($A82,UASCAN!D:F,3,0))</f>
        <v/>
      </c>
      <c r="N82" s="53" t="str">
        <f t="shared" si="2"/>
        <v> </v>
      </c>
      <c r="O82" s="53" t="str">
        <f t="shared" si="3"/>
        <v/>
      </c>
    </row>
    <row r="83">
      <c r="A83" s="47" t="str">
        <f t="shared" si="1"/>
        <v>963044565</v>
      </c>
      <c r="B83" s="48">
        <v>9630.0</v>
      </c>
      <c r="C83" s="49">
        <v>0.375</v>
      </c>
      <c r="D83" s="48" t="s">
        <v>241</v>
      </c>
      <c r="E83" s="50">
        <v>26628.0</v>
      </c>
      <c r="F83" s="51">
        <v>44565.0</v>
      </c>
      <c r="G83" s="48" t="s">
        <v>5</v>
      </c>
      <c r="H83" s="48" t="s">
        <v>6218</v>
      </c>
      <c r="I83" s="48" t="s">
        <v>6219</v>
      </c>
      <c r="J83" s="48" t="s">
        <v>6199</v>
      </c>
      <c r="K83" s="52" t="b">
        <f>IFS($B83=FALSE,"", countif(VLOOKUP($A83,UASCAN!D:D,1,FALSE),$A83)&gt;=1,TRUE,countif(VLOOKUP($B83,UASCAN!D:D,1,FALSE),$B83)=0,FALSE)</f>
        <v>0</v>
      </c>
      <c r="L83" s="52" t="b">
        <f>IFS(B83=FALSE,"", countif(VLOOKUP($B83,'01042022'!B:B,1,FALSE),$B83)&gt;=1,TRUE,countif(VLOOKUP($B83,'01042022'!B:B,1,FALSE),$B83)=0,FALSE)</f>
        <v>1</v>
      </c>
      <c r="M83" s="52" t="str">
        <f>ifs(AND($K83=FALSE,$L83=TRUE),"",AND($K83=FALSE,L83=FALSE),"",AND($K83=TRUE,$L83=TRUE),VLOOKUP($A83,UASCAN!D:F,3,0), AND($K83=TRUE,$L83=FALSE),VLOOKUP($A83,UASCAN!D:F,3,0))</f>
        <v/>
      </c>
      <c r="N83" s="53" t="str">
        <f t="shared" si="2"/>
        <v> </v>
      </c>
      <c r="O83" s="53" t="str">
        <f t="shared" si="3"/>
        <v/>
      </c>
    </row>
    <row r="84">
      <c r="A84" s="47" t="str">
        <f t="shared" si="1"/>
        <v>1650544565</v>
      </c>
      <c r="B84" s="48">
        <v>16505.0</v>
      </c>
      <c r="C84" s="49">
        <v>0.3958333333333333</v>
      </c>
      <c r="D84" s="48" t="s">
        <v>4741</v>
      </c>
      <c r="E84" s="50">
        <v>21464.0</v>
      </c>
      <c r="F84" s="51">
        <v>44565.0</v>
      </c>
      <c r="G84" s="48" t="s">
        <v>6216</v>
      </c>
      <c r="H84" s="48" t="s">
        <v>6218</v>
      </c>
      <c r="I84" s="48" t="s">
        <v>6219</v>
      </c>
      <c r="J84" s="48" t="s">
        <v>6195</v>
      </c>
      <c r="K84" s="52" t="b">
        <f>IFS($B84=FALSE,"", countif(VLOOKUP($A84,UASCAN!D:D,1,FALSE),$A84)&gt;=1,TRUE,countif(VLOOKUP($B84,UASCAN!D:D,1,FALSE),$B84)=0,FALSE)</f>
        <v>0</v>
      </c>
      <c r="L84" s="52" t="b">
        <f>IFS(B84=FALSE,"", countif(VLOOKUP($B84,'01042022'!B:B,1,FALSE),$B84)&gt;=1,TRUE,countif(VLOOKUP($B84,'01042022'!B:B,1,FALSE),$B84)=0,FALSE)</f>
        <v>1</v>
      </c>
      <c r="M84" s="52" t="str">
        <f>ifs(AND($K84=FALSE,$L84=TRUE),"",AND($K84=FALSE,L84=FALSE),"",AND($K84=TRUE,$L84=TRUE),VLOOKUP($A84,UASCAN!D:F,3,0), AND($K84=TRUE,$L84=FALSE),VLOOKUP($A84,UASCAN!D:F,3,0))</f>
        <v/>
      </c>
      <c r="N84" s="53" t="str">
        <f t="shared" si="2"/>
        <v> </v>
      </c>
      <c r="O84" s="53" t="str">
        <f t="shared" si="3"/>
        <v/>
      </c>
    </row>
    <row r="85">
      <c r="A85" s="47" t="str">
        <f t="shared" si="1"/>
        <v>1274944565</v>
      </c>
      <c r="B85" s="48">
        <v>12749.0</v>
      </c>
      <c r="C85" s="49">
        <v>0.3958333333333333</v>
      </c>
      <c r="D85" s="48" t="s">
        <v>1678</v>
      </c>
      <c r="E85" s="50">
        <v>14564.0</v>
      </c>
      <c r="F85" s="51">
        <v>44565.0</v>
      </c>
      <c r="G85" s="48" t="s">
        <v>5</v>
      </c>
      <c r="H85" s="48" t="s">
        <v>6218</v>
      </c>
      <c r="I85" s="48" t="s">
        <v>6219</v>
      </c>
      <c r="J85" s="48" t="s">
        <v>6137</v>
      </c>
      <c r="K85" s="52" t="b">
        <f>IFS($B85=FALSE,"", countif(VLOOKUP($A85,UASCAN!D:D,1,FALSE),$A85)&gt;=1,TRUE,countif(VLOOKUP($B85,UASCAN!D:D,1,FALSE),$B85)=0,FALSE)</f>
        <v>0</v>
      </c>
      <c r="L85" s="52" t="b">
        <f>IFS(B85=FALSE,"", countif(VLOOKUP($B85,'01042022'!B:B,1,FALSE),$B85)&gt;=1,TRUE,countif(VLOOKUP($B85,'01042022'!B:B,1,FALSE),$B85)=0,FALSE)</f>
        <v>1</v>
      </c>
      <c r="M85" s="52" t="str">
        <f>ifs(AND($K85=FALSE,$L85=TRUE),"",AND($K85=FALSE,L85=FALSE),"",AND($K85=TRUE,$L85=TRUE),VLOOKUP($A85,UASCAN!D:F,3,0), AND($K85=TRUE,$L85=FALSE),VLOOKUP($A85,UASCAN!D:F,3,0))</f>
        <v/>
      </c>
      <c r="N85" s="53" t="str">
        <f t="shared" si="2"/>
        <v> </v>
      </c>
      <c r="O85" s="53" t="str">
        <f t="shared" si="3"/>
        <v/>
      </c>
    </row>
    <row r="86">
      <c r="A86" s="47" t="str">
        <f t="shared" si="1"/>
        <v>1504644565</v>
      </c>
      <c r="B86" s="48">
        <v>15046.0</v>
      </c>
      <c r="C86" s="49">
        <v>0.4166666666666667</v>
      </c>
      <c r="D86" s="48" t="s">
        <v>3509</v>
      </c>
      <c r="E86" s="50">
        <v>35872.0</v>
      </c>
      <c r="F86" s="51">
        <v>44565.0</v>
      </c>
      <c r="G86" s="48" t="s">
        <v>6215</v>
      </c>
      <c r="H86" s="48" t="s">
        <v>6218</v>
      </c>
      <c r="I86" s="48" t="s">
        <v>6219</v>
      </c>
      <c r="J86" s="48" t="s">
        <v>6154</v>
      </c>
      <c r="K86" s="52" t="b">
        <f>IFS($B86=FALSE,"", countif(VLOOKUP($A86,UASCAN!D:D,1,FALSE),$A86)&gt;=1,TRUE,countif(VLOOKUP($B86,UASCAN!D:D,1,FALSE),$B86)=0,FALSE)</f>
        <v>0</v>
      </c>
      <c r="L86" s="52" t="b">
        <f>IFS(B86=FALSE,"", countif(VLOOKUP($B86,'01042022'!B:B,1,FALSE),$B86)&gt;=1,TRUE,countif(VLOOKUP($B86,'01042022'!B:B,1,FALSE),$B86)=0,FALSE)</f>
        <v>1</v>
      </c>
      <c r="M86" s="52" t="str">
        <f>ifs(AND($K86=FALSE,$L86=TRUE),"",AND($K86=FALSE,L86=FALSE),"",AND($K86=TRUE,$L86=TRUE),VLOOKUP($A86,UASCAN!D:F,3,0), AND($K86=TRUE,$L86=FALSE),VLOOKUP($A86,UASCAN!D:F,3,0))</f>
        <v/>
      </c>
      <c r="N86" s="53" t="str">
        <f t="shared" si="2"/>
        <v> </v>
      </c>
      <c r="O86" s="53" t="str">
        <f t="shared" si="3"/>
        <v/>
      </c>
    </row>
    <row r="87">
      <c r="A87" s="47" t="str">
        <f t="shared" si="1"/>
        <v>1074144565</v>
      </c>
      <c r="B87" s="48">
        <v>10741.0</v>
      </c>
      <c r="C87" s="49">
        <v>0.4270833333333333</v>
      </c>
      <c r="D87" s="48" t="s">
        <v>664</v>
      </c>
      <c r="E87" s="50">
        <v>18129.0</v>
      </c>
      <c r="F87" s="51">
        <v>44565.0</v>
      </c>
      <c r="G87" s="48" t="s">
        <v>5</v>
      </c>
      <c r="H87" s="48" t="s">
        <v>6218</v>
      </c>
      <c r="I87" s="48" t="s">
        <v>6219</v>
      </c>
      <c r="J87" s="48" t="s">
        <v>6199</v>
      </c>
      <c r="K87" s="52" t="b">
        <f>IFS($B87=FALSE,"", countif(VLOOKUP($A87,UASCAN!D:D,1,FALSE),$A87)&gt;=1,TRUE,countif(VLOOKUP($B87,UASCAN!D:D,1,FALSE),$B87)=0,FALSE)</f>
        <v>0</v>
      </c>
      <c r="L87" s="52" t="b">
        <f>IFS(B87=FALSE,"", countif(VLOOKUP($B87,'01042022'!B:B,1,FALSE),$B87)&gt;=1,TRUE,countif(VLOOKUP($B87,'01042022'!B:B,1,FALSE),$B87)=0,FALSE)</f>
        <v>1</v>
      </c>
      <c r="M87" s="52" t="str">
        <f>ifs(AND($K87=FALSE,$L87=TRUE),"",AND($K87=FALSE,L87=FALSE),"",AND($K87=TRUE,$L87=TRUE),VLOOKUP($A87,UASCAN!D:F,3,0), AND($K87=TRUE,$L87=FALSE),VLOOKUP($A87,UASCAN!D:F,3,0))</f>
        <v/>
      </c>
      <c r="N87" s="53" t="str">
        <f t="shared" si="2"/>
        <v> </v>
      </c>
      <c r="O87" s="53" t="str">
        <f t="shared" si="3"/>
        <v/>
      </c>
    </row>
    <row r="88">
      <c r="A88" s="47" t="str">
        <f t="shared" si="1"/>
        <v>1586244565</v>
      </c>
      <c r="B88" s="48">
        <v>15862.0</v>
      </c>
      <c r="C88" s="49">
        <v>0.4375</v>
      </c>
      <c r="D88" s="48" t="s">
        <v>4217</v>
      </c>
      <c r="E88" s="50">
        <v>15971.0</v>
      </c>
      <c r="F88" s="51">
        <v>44565.0</v>
      </c>
      <c r="G88" s="48" t="s">
        <v>6220</v>
      </c>
      <c r="H88" s="48" t="s">
        <v>6218</v>
      </c>
      <c r="I88" s="48" t="s">
        <v>6219</v>
      </c>
      <c r="J88" s="48" t="s">
        <v>6196</v>
      </c>
      <c r="K88" s="52" t="b">
        <f>IFS($B88=FALSE,"", countif(VLOOKUP($A88,UASCAN!D:D,1,FALSE),$A88)&gt;=1,TRUE,countif(VLOOKUP($B88,UASCAN!D:D,1,FALSE),$B88)=0,FALSE)</f>
        <v>0</v>
      </c>
      <c r="L88" s="52" t="b">
        <f>IFS(B88=FALSE,"", countif(VLOOKUP($B88,'01042022'!B:B,1,FALSE),$B88)&gt;=1,TRUE,countif(VLOOKUP($B88,'01042022'!B:B,1,FALSE),$B88)=0,FALSE)</f>
        <v>1</v>
      </c>
      <c r="M88" s="52" t="str">
        <f>ifs(AND($K88=FALSE,$L88=TRUE),"",AND($K88=FALSE,L88=FALSE),"",AND($K88=TRUE,$L88=TRUE),VLOOKUP($A88,UASCAN!D:F,3,0), AND($K88=TRUE,$L88=FALSE),VLOOKUP($A88,UASCAN!D:F,3,0))</f>
        <v/>
      </c>
      <c r="N88" s="53" t="str">
        <f t="shared" si="2"/>
        <v> </v>
      </c>
      <c r="O88" s="53" t="str">
        <f t="shared" si="3"/>
        <v/>
      </c>
    </row>
    <row r="89">
      <c r="A89" s="47" t="str">
        <f t="shared" si="1"/>
        <v>1388744565</v>
      </c>
      <c r="B89" s="48">
        <v>13887.0</v>
      </c>
      <c r="C89" s="49">
        <v>0.5416666666666666</v>
      </c>
      <c r="D89" s="48" t="s">
        <v>2583</v>
      </c>
      <c r="E89" s="50">
        <v>26068.0</v>
      </c>
      <c r="F89" s="51">
        <v>44565.0</v>
      </c>
      <c r="G89" s="48" t="s">
        <v>6216</v>
      </c>
      <c r="H89" s="48" t="s">
        <v>6218</v>
      </c>
      <c r="I89" s="48" t="s">
        <v>6219</v>
      </c>
      <c r="J89" s="48" t="s">
        <v>6192</v>
      </c>
      <c r="K89" s="52" t="b">
        <f>IFS($B89=FALSE,"", countif(VLOOKUP($A89,UASCAN!D:D,1,FALSE),$A89)&gt;=1,TRUE,countif(VLOOKUP($B89,UASCAN!D:D,1,FALSE),$B89)=0,FALSE)</f>
        <v>0</v>
      </c>
      <c r="L89" s="52" t="b">
        <f>IFS(B89=FALSE,"", countif(VLOOKUP($B89,'01042022'!B:B,1,FALSE),$B89)&gt;=1,TRUE,countif(VLOOKUP($B89,'01042022'!B:B,1,FALSE),$B89)=0,FALSE)</f>
        <v>1</v>
      </c>
      <c r="M89" s="52" t="str">
        <f>ifs(AND($K89=FALSE,$L89=TRUE),"",AND($K89=FALSE,L89=FALSE),"",AND($K89=TRUE,$L89=TRUE),VLOOKUP($A89,UASCAN!D:F,3,0), AND($K89=TRUE,$L89=FALSE),VLOOKUP($A89,UASCAN!D:F,3,0))</f>
        <v/>
      </c>
      <c r="N89" s="53" t="str">
        <f t="shared" si="2"/>
        <v> </v>
      </c>
      <c r="O89" s="53" t="str">
        <f t="shared" si="3"/>
        <v/>
      </c>
    </row>
    <row r="90">
      <c r="A90" s="47" t="str">
        <f t="shared" si="1"/>
        <v>1005544565</v>
      </c>
      <c r="B90" s="48">
        <v>10055.0</v>
      </c>
      <c r="C90" s="49">
        <v>0.5625</v>
      </c>
      <c r="D90" s="48" t="s">
        <v>393</v>
      </c>
      <c r="E90" s="50">
        <v>22515.0</v>
      </c>
      <c r="F90" s="51">
        <v>44565.0</v>
      </c>
      <c r="G90" s="48" t="s">
        <v>5</v>
      </c>
      <c r="H90" s="48" t="s">
        <v>6218</v>
      </c>
      <c r="I90" s="48" t="s">
        <v>6219</v>
      </c>
      <c r="J90" s="48" t="s">
        <v>6199</v>
      </c>
      <c r="K90" s="52" t="b">
        <f>IFS($B90=FALSE,"", countif(VLOOKUP($A90,UASCAN!D:D,1,FALSE),$A90)&gt;=1,TRUE,countif(VLOOKUP($B90,UASCAN!D:D,1,FALSE),$B90)=0,FALSE)</f>
        <v>0</v>
      </c>
      <c r="L90" s="52" t="b">
        <f>IFS(B90=FALSE,"", countif(VLOOKUP($B90,'01042022'!B:B,1,FALSE),$B90)&gt;=1,TRUE,countif(VLOOKUP($B90,'01042022'!B:B,1,FALSE),$B90)=0,FALSE)</f>
        <v>1</v>
      </c>
      <c r="M90" s="52" t="str">
        <f>ifs(AND($K90=FALSE,$L90=TRUE),"",AND($K90=FALSE,L90=FALSE),"",AND($K90=TRUE,$L90=TRUE),VLOOKUP($A90,UASCAN!D:F,3,0), AND($K90=TRUE,$L90=FALSE),VLOOKUP($A90,UASCAN!D:F,3,0))</f>
        <v/>
      </c>
      <c r="N90" s="53" t="str">
        <f t="shared" si="2"/>
        <v> </v>
      </c>
      <c r="O90" s="53" t="str">
        <f t="shared" si="3"/>
        <v/>
      </c>
    </row>
    <row r="91">
      <c r="A91" s="47" t="str">
        <f t="shared" si="1"/>
        <v>977544565</v>
      </c>
      <c r="B91" s="48">
        <v>9775.0</v>
      </c>
      <c r="C91" s="49">
        <v>0.5833333333333334</v>
      </c>
      <c r="D91" s="48" t="s">
        <v>285</v>
      </c>
      <c r="E91" s="50">
        <v>16906.0</v>
      </c>
      <c r="F91" s="51">
        <v>44565.0</v>
      </c>
      <c r="G91" s="48" t="s">
        <v>6215</v>
      </c>
      <c r="H91" s="48" t="s">
        <v>6218</v>
      </c>
      <c r="I91" s="48" t="s">
        <v>6219</v>
      </c>
      <c r="J91" s="48" t="s">
        <v>6094</v>
      </c>
      <c r="K91" s="52" t="b">
        <f>IFS($B91=FALSE,"", countif(VLOOKUP($A91,UASCAN!D:D,1,FALSE),$A91)&gt;=1,TRUE,countif(VLOOKUP($B91,UASCAN!D:D,1,FALSE),$B91)=0,FALSE)</f>
        <v>0</v>
      </c>
      <c r="L91" s="52" t="b">
        <f>IFS(B91=FALSE,"", countif(VLOOKUP($B91,'01042022'!B:B,1,FALSE),$B91)&gt;=1,TRUE,countif(VLOOKUP($B91,'01042022'!B:B,1,FALSE),$B91)=0,FALSE)</f>
        <v>1</v>
      </c>
      <c r="M91" s="52" t="str">
        <f>ifs(AND($K91=FALSE,$L91=TRUE),"",AND($K91=FALSE,L91=FALSE),"",AND($K91=TRUE,$L91=TRUE),VLOOKUP($A91,UASCAN!D:F,3,0), AND($K91=TRUE,$L91=FALSE),VLOOKUP($A91,UASCAN!D:F,3,0))</f>
        <v/>
      </c>
      <c r="N91" s="53" t="str">
        <f t="shared" si="2"/>
        <v> </v>
      </c>
      <c r="O91" s="53" t="str">
        <f t="shared" si="3"/>
        <v/>
      </c>
    </row>
    <row r="92">
      <c r="A92" s="47" t="str">
        <f t="shared" si="1"/>
        <v>1324044565</v>
      </c>
      <c r="B92" s="48">
        <v>13240.0</v>
      </c>
      <c r="C92" s="49">
        <v>0.59375</v>
      </c>
      <c r="D92" s="48" t="s">
        <v>2081</v>
      </c>
      <c r="E92" s="50">
        <v>14574.0</v>
      </c>
      <c r="F92" s="51">
        <v>44565.0</v>
      </c>
      <c r="G92" s="48" t="s">
        <v>5</v>
      </c>
      <c r="H92" s="48" t="s">
        <v>6218</v>
      </c>
      <c r="I92" s="48" t="s">
        <v>6219</v>
      </c>
      <c r="J92" s="48" t="s">
        <v>6158</v>
      </c>
      <c r="K92" s="52" t="b">
        <f>IFS($B92=FALSE,"", countif(VLOOKUP($A92,UASCAN!D:D,1,FALSE),$A92)&gt;=1,TRUE,countif(VLOOKUP($B92,UASCAN!D:D,1,FALSE),$B92)=0,FALSE)</f>
        <v>0</v>
      </c>
      <c r="L92" s="52" t="b">
        <f>IFS(B92=FALSE,"", countif(VLOOKUP($B92,'01042022'!B:B,1,FALSE),$B92)&gt;=1,TRUE,countif(VLOOKUP($B92,'01042022'!B:B,1,FALSE),$B92)=0,FALSE)</f>
        <v>1</v>
      </c>
      <c r="M92" s="52" t="str">
        <f>ifs(AND($K92=FALSE,$L92=TRUE),"",AND($K92=FALSE,L92=FALSE),"",AND($K92=TRUE,$L92=TRUE),VLOOKUP($A92,UASCAN!D:F,3,0), AND($K92=TRUE,$L92=FALSE),VLOOKUP($A92,UASCAN!D:F,3,0))</f>
        <v/>
      </c>
      <c r="N92" s="53" t="str">
        <f t="shared" si="2"/>
        <v> </v>
      </c>
      <c r="O92" s="53" t="str">
        <f t="shared" si="3"/>
        <v/>
      </c>
    </row>
    <row r="93">
      <c r="A93" s="47" t="str">
        <f t="shared" si="1"/>
        <v>1570344565</v>
      </c>
      <c r="B93" s="48">
        <v>15703.0</v>
      </c>
      <c r="C93" s="49">
        <v>0.6145833333333334</v>
      </c>
      <c r="D93" s="48" t="s">
        <v>4071</v>
      </c>
      <c r="E93" s="50">
        <v>22279.0</v>
      </c>
      <c r="F93" s="51">
        <v>44565.0</v>
      </c>
      <c r="G93" s="48" t="s">
        <v>6216</v>
      </c>
      <c r="H93" s="48" t="s">
        <v>6218</v>
      </c>
      <c r="I93" s="48" t="s">
        <v>6219</v>
      </c>
      <c r="J93" s="48" t="s">
        <v>6142</v>
      </c>
      <c r="K93" s="52" t="b">
        <f>IFS($B93=FALSE,"", countif(VLOOKUP($A93,UASCAN!D:D,1,FALSE),$A93)&gt;=1,TRUE,countif(VLOOKUP($B93,UASCAN!D:D,1,FALSE),$B93)=0,FALSE)</f>
        <v>0</v>
      </c>
      <c r="L93" s="52" t="b">
        <f>IFS(B93=FALSE,"", countif(VLOOKUP($B93,'01042022'!B:B,1,FALSE),$B93)&gt;=1,TRUE,countif(VLOOKUP($B93,'01042022'!B:B,1,FALSE),$B93)=0,FALSE)</f>
        <v>1</v>
      </c>
      <c r="M93" s="52" t="str">
        <f>ifs(AND($K93=FALSE,$L93=TRUE),"",AND($K93=FALSE,L93=FALSE),"",AND($K93=TRUE,$L93=TRUE),VLOOKUP($A93,UASCAN!D:F,3,0), AND($K93=TRUE,$L93=FALSE),VLOOKUP($A93,UASCAN!D:F,3,0))</f>
        <v/>
      </c>
      <c r="N93" s="53" t="str">
        <f t="shared" si="2"/>
        <v> </v>
      </c>
      <c r="O93" s="53" t="str">
        <f t="shared" si="3"/>
        <v/>
      </c>
    </row>
    <row r="94">
      <c r="A94" s="47" t="str">
        <f t="shared" si="1"/>
        <v>1553444565</v>
      </c>
      <c r="B94" s="48">
        <v>15534.0</v>
      </c>
      <c r="C94" s="49">
        <v>0.6354166666666666</v>
      </c>
      <c r="D94" s="48" t="s">
        <v>3919</v>
      </c>
      <c r="E94" s="50">
        <v>23905.0</v>
      </c>
      <c r="F94" s="51">
        <v>44565.0</v>
      </c>
      <c r="G94" s="48" t="s">
        <v>5</v>
      </c>
      <c r="H94" s="48" t="s">
        <v>6218</v>
      </c>
      <c r="I94" s="48" t="s">
        <v>6219</v>
      </c>
      <c r="J94" s="48" t="s">
        <v>6117</v>
      </c>
      <c r="K94" s="52" t="b">
        <f>IFS($B94=FALSE,"", countif(VLOOKUP($A94,UASCAN!D:D,1,FALSE),$A94)&gt;=1,TRUE,countif(VLOOKUP($B94,UASCAN!D:D,1,FALSE),$B94)=0,FALSE)</f>
        <v>0</v>
      </c>
      <c r="L94" s="52" t="b">
        <f>IFS(B94=FALSE,"", countif(VLOOKUP($B94,'01042022'!B:B,1,FALSE),$B94)&gt;=1,TRUE,countif(VLOOKUP($B94,'01042022'!B:B,1,FALSE),$B94)=0,FALSE)</f>
        <v>1</v>
      </c>
      <c r="M94" s="52" t="str">
        <f>ifs(AND($K94=FALSE,$L94=TRUE),"",AND($K94=FALSE,L94=FALSE),"",AND($K94=TRUE,$L94=TRUE),VLOOKUP($A94,UASCAN!D:F,3,0), AND($K94=TRUE,$L94=FALSE),VLOOKUP($A94,UASCAN!D:F,3,0))</f>
        <v/>
      </c>
      <c r="N94" s="53" t="str">
        <f t="shared" si="2"/>
        <v> </v>
      </c>
      <c r="O94" s="53" t="str">
        <f t="shared" si="3"/>
        <v/>
      </c>
    </row>
    <row r="95">
      <c r="A95" s="47" t="str">
        <f t="shared" si="1"/>
        <v>1103744565</v>
      </c>
      <c r="B95" s="48">
        <v>11037.0</v>
      </c>
      <c r="C95" s="49">
        <v>0.6458333333333334</v>
      </c>
      <c r="D95" s="48" t="s">
        <v>779</v>
      </c>
      <c r="E95" s="50">
        <v>30904.0</v>
      </c>
      <c r="F95" s="51">
        <v>44565.0</v>
      </c>
      <c r="G95" s="48" t="s">
        <v>5</v>
      </c>
      <c r="H95" s="48" t="s">
        <v>6218</v>
      </c>
      <c r="I95" s="48" t="s">
        <v>6219</v>
      </c>
      <c r="J95" s="48" t="s">
        <v>6089</v>
      </c>
      <c r="K95" s="52" t="b">
        <f>IFS($B95=FALSE,"", countif(VLOOKUP($A95,UASCAN!D:D,1,FALSE),$A95)&gt;=1,TRUE,countif(VLOOKUP($B95,UASCAN!D:D,1,FALSE),$B95)=0,FALSE)</f>
        <v>0</v>
      </c>
      <c r="L95" s="52" t="b">
        <f>IFS(B95=FALSE,"", countif(VLOOKUP($B95,'01042022'!B:B,1,FALSE),$B95)&gt;=1,TRUE,countif(VLOOKUP($B95,'01042022'!B:B,1,FALSE),$B95)=0,FALSE)</f>
        <v>1</v>
      </c>
      <c r="M95" s="52" t="str">
        <f>ifs(AND($K95=FALSE,$L95=TRUE),"",AND($K95=FALSE,L95=FALSE),"",AND($K95=TRUE,$L95=TRUE),VLOOKUP($A95,UASCAN!D:F,3,0), AND($K95=TRUE,$L95=FALSE),VLOOKUP($A95,UASCAN!D:F,3,0))</f>
        <v/>
      </c>
      <c r="N95" s="53" t="str">
        <f t="shared" si="2"/>
        <v> </v>
      </c>
      <c r="O95" s="53" t="str">
        <f t="shared" si="3"/>
        <v/>
      </c>
    </row>
    <row r="96">
      <c r="A96" s="47" t="str">
        <f t="shared" si="1"/>
        <v>1266244565</v>
      </c>
      <c r="B96" s="48">
        <v>12662.0</v>
      </c>
      <c r="C96" s="49">
        <v>0.6458333333333334</v>
      </c>
      <c r="D96" s="48" t="s">
        <v>1612</v>
      </c>
      <c r="E96" s="50">
        <v>25947.0</v>
      </c>
      <c r="F96" s="51">
        <v>44565.0</v>
      </c>
      <c r="G96" s="48" t="s">
        <v>5</v>
      </c>
      <c r="H96" s="48" t="s">
        <v>6218</v>
      </c>
      <c r="I96" s="48" t="s">
        <v>6219</v>
      </c>
      <c r="J96" s="48" t="s">
        <v>6091</v>
      </c>
      <c r="K96" s="52" t="b">
        <f>IFS($B96=FALSE,"", countif(VLOOKUP($A96,UASCAN!D:D,1,FALSE),$A96)&gt;=1,TRUE,countif(VLOOKUP($B96,UASCAN!D:D,1,FALSE),$B96)=0,FALSE)</f>
        <v>0</v>
      </c>
      <c r="L96" s="52" t="b">
        <f>IFS(B96=FALSE,"", countif(VLOOKUP($B96,'01042022'!B:B,1,FALSE),$B96)&gt;=1,TRUE,countif(VLOOKUP($B96,'01042022'!B:B,1,FALSE),$B96)=0,FALSE)</f>
        <v>1</v>
      </c>
      <c r="M96" s="52" t="str">
        <f>ifs(AND($K96=FALSE,$L96=TRUE),"",AND($K96=FALSE,L96=FALSE),"",AND($K96=TRUE,$L96=TRUE),VLOOKUP($A96,UASCAN!D:F,3,0), AND($K96=TRUE,$L96=FALSE),VLOOKUP($A96,UASCAN!D:F,3,0))</f>
        <v/>
      </c>
      <c r="N96" s="53" t="str">
        <f t="shared" si="2"/>
        <v> </v>
      </c>
      <c r="O96" s="53" t="str">
        <f t="shared" si="3"/>
        <v/>
      </c>
    </row>
    <row r="97">
      <c r="A97" s="47" t="str">
        <f t="shared" si="1"/>
        <v>1623544565</v>
      </c>
      <c r="B97" s="48">
        <v>16235.0</v>
      </c>
      <c r="C97" s="49">
        <v>0.40625</v>
      </c>
      <c r="D97" s="48" t="s">
        <v>4536</v>
      </c>
      <c r="E97" s="50">
        <v>21675.0</v>
      </c>
      <c r="F97" s="51">
        <v>44565.0</v>
      </c>
      <c r="G97" s="48" t="s">
        <v>6216</v>
      </c>
      <c r="H97" s="48" t="s">
        <v>6211</v>
      </c>
      <c r="I97" s="48" t="s">
        <v>6221</v>
      </c>
      <c r="J97" s="48" t="s">
        <v>6189</v>
      </c>
      <c r="K97" s="52" t="b">
        <f>IFS($B97=FALSE,"", countif(VLOOKUP($A97,UASCAN!D:D,1,FALSE),$A97)&gt;=1,TRUE,countif(VLOOKUP($B97,UASCAN!D:D,1,FALSE),$B97)=0,FALSE)</f>
        <v>0</v>
      </c>
      <c r="L97" s="52" t="b">
        <f>IFS(B97=FALSE,"", countif(VLOOKUP($B97,'01042022'!B:B,1,FALSE),$B97)&gt;=1,TRUE,countif(VLOOKUP($B97,'01042022'!B:B,1,FALSE),$B97)=0,FALSE)</f>
        <v>1</v>
      </c>
      <c r="M97" s="52" t="str">
        <f>ifs(AND($K97=FALSE,$L97=TRUE),"",AND($K97=FALSE,L97=FALSE),"",AND($K97=TRUE,$L97=TRUE),VLOOKUP($A97,UASCAN!D:F,3,0), AND($K97=TRUE,$L97=FALSE),VLOOKUP($A97,UASCAN!D:F,3,0))</f>
        <v/>
      </c>
      <c r="N97" s="53" t="str">
        <f t="shared" si="2"/>
        <v> </v>
      </c>
      <c r="O97" s="53" t="str">
        <f t="shared" si="3"/>
        <v/>
      </c>
    </row>
    <row r="98">
      <c r="A98" s="47" t="str">
        <f t="shared" si="1"/>
        <v>1506944565</v>
      </c>
      <c r="B98" s="48">
        <v>15069.0</v>
      </c>
      <c r="C98" s="49">
        <v>0.4479166666666667</v>
      </c>
      <c r="D98" s="48" t="s">
        <v>3531</v>
      </c>
      <c r="E98" s="50">
        <v>17192.0</v>
      </c>
      <c r="F98" s="51">
        <v>44565.0</v>
      </c>
      <c r="G98" s="48" t="s">
        <v>6216</v>
      </c>
      <c r="H98" s="48" t="s">
        <v>6211</v>
      </c>
      <c r="I98" s="48" t="s">
        <v>6221</v>
      </c>
      <c r="J98" s="48" t="s">
        <v>6193</v>
      </c>
      <c r="K98" s="52" t="b">
        <f>IFS($B98=FALSE,"", countif(VLOOKUP($A98,UASCAN!D:D,1,FALSE),$A98)&gt;=1,TRUE,countif(VLOOKUP($B98,UASCAN!D:D,1,FALSE),$B98)=0,FALSE)</f>
        <v>0</v>
      </c>
      <c r="L98" s="52" t="b">
        <f>IFS(B98=FALSE,"", countif(VLOOKUP($B98,'01042022'!B:B,1,FALSE),$B98)&gt;=1,TRUE,countif(VLOOKUP($B98,'01042022'!B:B,1,FALSE),$B98)=0,FALSE)</f>
        <v>1</v>
      </c>
      <c r="M98" s="52" t="str">
        <f>ifs(AND($K98=FALSE,$L98=TRUE),"",AND($K98=FALSE,L98=FALSE),"",AND($K98=TRUE,$L98=TRUE),VLOOKUP($A98,UASCAN!D:F,3,0), AND($K98=TRUE,$L98=FALSE),VLOOKUP($A98,UASCAN!D:F,3,0))</f>
        <v/>
      </c>
      <c r="N98" s="53" t="str">
        <f t="shared" si="2"/>
        <v> </v>
      </c>
      <c r="O98" s="53" t="str">
        <f t="shared" si="3"/>
        <v/>
      </c>
    </row>
    <row r="99">
      <c r="A99" s="47" t="str">
        <f t="shared" si="1"/>
        <v>1488044565</v>
      </c>
      <c r="B99" s="48">
        <v>14880.0</v>
      </c>
      <c r="C99" s="49">
        <v>0.4791666666666667</v>
      </c>
      <c r="D99" s="48" t="s">
        <v>3378</v>
      </c>
      <c r="E99" s="50">
        <v>18785.0</v>
      </c>
      <c r="F99" s="51">
        <v>44565.0</v>
      </c>
      <c r="G99" s="48" t="s">
        <v>6220</v>
      </c>
      <c r="H99" s="48" t="s">
        <v>6211</v>
      </c>
      <c r="I99" s="48" t="s">
        <v>6221</v>
      </c>
      <c r="J99" s="48" t="s">
        <v>6196</v>
      </c>
      <c r="K99" s="52" t="b">
        <f>IFS($B99=FALSE,"", countif(VLOOKUP($A99,UASCAN!D:D,1,FALSE),$A99)&gt;=1,TRUE,countif(VLOOKUP($B99,UASCAN!D:D,1,FALSE),$B99)=0,FALSE)</f>
        <v>0</v>
      </c>
      <c r="L99" s="52" t="b">
        <f>IFS(B99=FALSE,"", countif(VLOOKUP($B99,'01042022'!B:B,1,FALSE),$B99)&gt;=1,TRUE,countif(VLOOKUP($B99,'01042022'!B:B,1,FALSE),$B99)=0,FALSE)</f>
        <v>1</v>
      </c>
      <c r="M99" s="52" t="str">
        <f>ifs(AND($K99=FALSE,$L99=TRUE),"",AND($K99=FALSE,L99=FALSE),"",AND($K99=TRUE,$L99=TRUE),VLOOKUP($A99,UASCAN!D:F,3,0), AND($K99=TRUE,$L99=FALSE),VLOOKUP($A99,UASCAN!D:F,3,0))</f>
        <v/>
      </c>
      <c r="N99" s="53" t="str">
        <f t="shared" si="2"/>
        <v> </v>
      </c>
      <c r="O99" s="53" t="str">
        <f t="shared" si="3"/>
        <v/>
      </c>
    </row>
    <row r="100">
      <c r="A100" s="47" t="str">
        <f t="shared" si="1"/>
        <v>1595244565</v>
      </c>
      <c r="B100" s="48">
        <v>15952.0</v>
      </c>
      <c r="C100" s="49">
        <v>0.4895833333333333</v>
      </c>
      <c r="D100" s="48" t="s">
        <v>4297</v>
      </c>
      <c r="E100" s="50">
        <v>21231.0</v>
      </c>
      <c r="F100" s="51">
        <v>44565.0</v>
      </c>
      <c r="G100" s="48" t="s">
        <v>6216</v>
      </c>
      <c r="H100" s="48" t="s">
        <v>6211</v>
      </c>
      <c r="I100" s="48" t="s">
        <v>6221</v>
      </c>
      <c r="J100" s="48" t="s">
        <v>6192</v>
      </c>
      <c r="K100" s="52" t="b">
        <f>IFS($B100=FALSE,"", countif(VLOOKUP($A100,UASCAN!D:D,1,FALSE),$A100)&gt;=1,TRUE,countif(VLOOKUP($B100,UASCAN!D:D,1,FALSE),$B100)=0,FALSE)</f>
        <v>0</v>
      </c>
      <c r="L100" s="52" t="b">
        <f>IFS(B100=FALSE,"", countif(VLOOKUP($B100,'01042022'!B:B,1,FALSE),$B100)&gt;=1,TRUE,countif(VLOOKUP($B100,'01042022'!B:B,1,FALSE),$B100)=0,FALSE)</f>
        <v>1</v>
      </c>
      <c r="M100" s="52" t="str">
        <f>ifs(AND($K100=FALSE,$L100=TRUE),"",AND($K100=FALSE,L100=FALSE),"",AND($K100=TRUE,$L100=TRUE),VLOOKUP($A100,UASCAN!D:F,3,0), AND($K100=TRUE,$L100=FALSE),VLOOKUP($A100,UASCAN!D:F,3,0))</f>
        <v/>
      </c>
      <c r="N100" s="53" t="str">
        <f t="shared" si="2"/>
        <v> </v>
      </c>
      <c r="O100" s="53" t="str">
        <f t="shared" si="3"/>
        <v/>
      </c>
    </row>
    <row r="101">
      <c r="A101" s="47" t="str">
        <f t="shared" si="1"/>
        <v>1087544565</v>
      </c>
      <c r="B101" s="48">
        <v>10875.0</v>
      </c>
      <c r="C101" s="49">
        <v>0.5833333333333334</v>
      </c>
      <c r="D101" s="48" t="s">
        <v>711</v>
      </c>
      <c r="E101" s="50">
        <v>19553.0</v>
      </c>
      <c r="F101" s="51">
        <v>44565.0</v>
      </c>
      <c r="G101" s="48" t="s">
        <v>6216</v>
      </c>
      <c r="H101" s="48" t="s">
        <v>6211</v>
      </c>
      <c r="I101" s="48" t="s">
        <v>6221</v>
      </c>
      <c r="J101" s="48" t="s">
        <v>6196</v>
      </c>
      <c r="K101" s="52" t="b">
        <f>IFS($B101=FALSE,"", countif(VLOOKUP($A101,UASCAN!D:D,1,FALSE),$A101)&gt;=1,TRUE,countif(VLOOKUP($B101,UASCAN!D:D,1,FALSE),$B101)=0,FALSE)</f>
        <v>0</v>
      </c>
      <c r="L101" s="52" t="b">
        <f>IFS(B101=FALSE,"", countif(VLOOKUP($B101,'01042022'!B:B,1,FALSE),$B101)&gt;=1,TRUE,countif(VLOOKUP($B101,'01042022'!B:B,1,FALSE),$B101)=0,FALSE)</f>
        <v>1</v>
      </c>
      <c r="M101" s="52" t="str">
        <f>ifs(AND($K101=FALSE,$L101=TRUE),"",AND($K101=FALSE,L101=FALSE),"",AND($K101=TRUE,$L101=TRUE),VLOOKUP($A101,UASCAN!D:F,3,0), AND($K101=TRUE,$L101=FALSE),VLOOKUP($A101,UASCAN!D:F,3,0))</f>
        <v/>
      </c>
      <c r="N101" s="53" t="str">
        <f t="shared" si="2"/>
        <v> </v>
      </c>
      <c r="O101" s="53" t="str">
        <f t="shared" si="3"/>
        <v/>
      </c>
    </row>
    <row r="102">
      <c r="A102" s="47" t="str">
        <f t="shared" si="1"/>
        <v>1538844565</v>
      </c>
      <c r="B102" s="48">
        <v>15388.0</v>
      </c>
      <c r="C102" s="49">
        <v>0.6354166666666666</v>
      </c>
      <c r="D102" s="48" t="s">
        <v>3797</v>
      </c>
      <c r="E102" s="50">
        <v>20125.0</v>
      </c>
      <c r="F102" s="51">
        <v>44565.0</v>
      </c>
      <c r="G102" s="48" t="s">
        <v>6216</v>
      </c>
      <c r="H102" s="48" t="s">
        <v>6211</v>
      </c>
      <c r="I102" s="48" t="s">
        <v>6221</v>
      </c>
      <c r="J102" s="48" t="s">
        <v>6196</v>
      </c>
      <c r="K102" s="52" t="b">
        <f>IFS($B102=FALSE,"", countif(VLOOKUP($A102,UASCAN!D:D,1,FALSE),$A102)&gt;=1,TRUE,countif(VLOOKUP($B102,UASCAN!D:D,1,FALSE),$B102)=0,FALSE)</f>
        <v>0</v>
      </c>
      <c r="L102" s="52" t="b">
        <f>IFS(B102=FALSE,"", countif(VLOOKUP($B102,'01042022'!B:B,1,FALSE),$B102)&gt;=1,TRUE,countif(VLOOKUP($B102,'01042022'!B:B,1,FALSE),$B102)=0,FALSE)</f>
        <v>1</v>
      </c>
      <c r="M102" s="52" t="str">
        <f>ifs(AND($K102=FALSE,$L102=TRUE),"",AND($K102=FALSE,L102=FALSE),"",AND($K102=TRUE,$L102=TRUE),VLOOKUP($A102,UASCAN!D:F,3,0), AND($K102=TRUE,$L102=FALSE),VLOOKUP($A102,UASCAN!D:F,3,0))</f>
        <v/>
      </c>
      <c r="N102" s="53" t="str">
        <f t="shared" si="2"/>
        <v> </v>
      </c>
      <c r="O102" s="53" t="str">
        <f t="shared" si="3"/>
        <v/>
      </c>
    </row>
    <row r="103">
      <c r="A103" s="47" t="str">
        <f t="shared" si="1"/>
        <v>1385044565</v>
      </c>
      <c r="B103" s="48">
        <v>13850.0</v>
      </c>
      <c r="C103" s="49">
        <v>0.3541666666666667</v>
      </c>
      <c r="D103" s="48" t="s">
        <v>2556</v>
      </c>
      <c r="E103" s="50">
        <v>27494.0</v>
      </c>
      <c r="F103" s="51">
        <v>44565.0</v>
      </c>
      <c r="G103" s="48" t="s">
        <v>5</v>
      </c>
      <c r="H103" s="48" t="s">
        <v>6218</v>
      </c>
      <c r="I103" s="48" t="s">
        <v>6222</v>
      </c>
      <c r="J103" s="48" t="s">
        <v>6202</v>
      </c>
      <c r="K103" s="52" t="b">
        <f>IFS($B103=FALSE,"", countif(VLOOKUP($A103,UASCAN!D:D,1,FALSE),$A103)&gt;=1,TRUE,countif(VLOOKUP($B103,UASCAN!D:D,1,FALSE),$B103)=0,FALSE)</f>
        <v>0</v>
      </c>
      <c r="L103" s="52" t="b">
        <f>IFS(B103=FALSE,"", countif(VLOOKUP($B103,'01042022'!B:B,1,FALSE),$B103)&gt;=1,TRUE,countif(VLOOKUP($B103,'01042022'!B:B,1,FALSE),$B103)=0,FALSE)</f>
        <v>1</v>
      </c>
      <c r="M103" s="52" t="str">
        <f>ifs(AND($K103=FALSE,$L103=TRUE),"",AND($K103=FALSE,L103=FALSE),"",AND($K103=TRUE,$L103=TRUE),VLOOKUP($A103,UASCAN!D:F,3,0), AND($K103=TRUE,$L103=FALSE),VLOOKUP($A103,UASCAN!D:F,3,0))</f>
        <v/>
      </c>
      <c r="N103" s="53" t="str">
        <f t="shared" si="2"/>
        <v> </v>
      </c>
      <c r="O103" s="53" t="str">
        <f t="shared" si="3"/>
        <v/>
      </c>
    </row>
    <row r="104">
      <c r="A104" s="47" t="str">
        <f t="shared" si="1"/>
        <v>1737244565</v>
      </c>
      <c r="B104" s="48">
        <v>17372.0</v>
      </c>
      <c r="C104" s="49">
        <v>0.40625</v>
      </c>
      <c r="D104" s="48" t="s">
        <v>5421</v>
      </c>
      <c r="E104" s="50">
        <v>28927.0</v>
      </c>
      <c r="F104" s="51">
        <v>44565.0</v>
      </c>
      <c r="G104" s="48" t="s">
        <v>6215</v>
      </c>
      <c r="H104" s="48" t="s">
        <v>6218</v>
      </c>
      <c r="I104" s="48" t="s">
        <v>6222</v>
      </c>
      <c r="J104" s="48" t="s">
        <v>6126</v>
      </c>
      <c r="K104" s="52" t="b">
        <f>IFS($B104=FALSE,"", countif(VLOOKUP($A104,UASCAN!D:D,1,FALSE),$A104)&gt;=1,TRUE,countif(VLOOKUP($B104,UASCAN!D:D,1,FALSE),$B104)=0,FALSE)</f>
        <v>0</v>
      </c>
      <c r="L104" s="52" t="b">
        <f>IFS(B104=FALSE,"", countif(VLOOKUP($B104,'01042022'!B:B,1,FALSE),$B104)&gt;=1,TRUE,countif(VLOOKUP($B104,'01042022'!B:B,1,FALSE),$B104)=0,FALSE)</f>
        <v>1</v>
      </c>
      <c r="M104" s="52" t="str">
        <f>ifs(AND($K104=FALSE,$L104=TRUE),"",AND($K104=FALSE,L104=FALSE),"",AND($K104=TRUE,$L104=TRUE),VLOOKUP($A104,UASCAN!D:F,3,0), AND($K104=TRUE,$L104=FALSE),VLOOKUP($A104,UASCAN!D:F,3,0))</f>
        <v/>
      </c>
      <c r="N104" s="53" t="str">
        <f t="shared" si="2"/>
        <v> </v>
      </c>
      <c r="O104" s="53" t="str">
        <f t="shared" si="3"/>
        <v/>
      </c>
    </row>
    <row r="105">
      <c r="A105" s="47" t="str">
        <f t="shared" si="1"/>
        <v>917144565</v>
      </c>
      <c r="B105" s="48">
        <v>9171.0</v>
      </c>
      <c r="C105" s="49">
        <v>0.4166666666666667</v>
      </c>
      <c r="D105" s="48" t="s">
        <v>55</v>
      </c>
      <c r="E105" s="50">
        <v>20896.0</v>
      </c>
      <c r="F105" s="51">
        <v>44565.0</v>
      </c>
      <c r="G105" s="48" t="s">
        <v>5</v>
      </c>
      <c r="H105" s="48" t="s">
        <v>6218</v>
      </c>
      <c r="I105" s="48" t="s">
        <v>6222</v>
      </c>
      <c r="J105" s="48" t="s">
        <v>6083</v>
      </c>
      <c r="K105" s="52" t="b">
        <f>IFS($B105=FALSE,"", countif(VLOOKUP($A105,UASCAN!D:D,1,FALSE),$A105)&gt;=1,TRUE,countif(VLOOKUP($B105,UASCAN!D:D,1,FALSE),$B105)=0,FALSE)</f>
        <v>0</v>
      </c>
      <c r="L105" s="52" t="b">
        <f>IFS(B105=FALSE,"", countif(VLOOKUP($B105,'01042022'!B:B,1,FALSE),$B105)&gt;=1,TRUE,countif(VLOOKUP($B105,'01042022'!B:B,1,FALSE),$B105)=0,FALSE)</f>
        <v>1</v>
      </c>
      <c r="M105" s="52" t="str">
        <f>ifs(AND($K105=FALSE,$L105=TRUE),"",AND($K105=FALSE,L105=FALSE),"",AND($K105=TRUE,$L105=TRUE),VLOOKUP($A105,UASCAN!D:F,3,0), AND($K105=TRUE,$L105=FALSE),VLOOKUP($A105,UASCAN!D:F,3,0))</f>
        <v/>
      </c>
      <c r="N105" s="53" t="str">
        <f t="shared" si="2"/>
        <v> </v>
      </c>
      <c r="O105" s="53" t="str">
        <f t="shared" si="3"/>
        <v/>
      </c>
    </row>
    <row r="106">
      <c r="A106" s="47" t="str">
        <f t="shared" si="1"/>
        <v>1380044565</v>
      </c>
      <c r="B106" s="48">
        <v>13800.0</v>
      </c>
      <c r="C106" s="49">
        <v>0.4375</v>
      </c>
      <c r="D106" s="48" t="s">
        <v>2520</v>
      </c>
      <c r="E106" s="50">
        <v>21061.0</v>
      </c>
      <c r="F106" s="51">
        <v>44565.0</v>
      </c>
      <c r="G106" s="48" t="s">
        <v>6215</v>
      </c>
      <c r="H106" s="48" t="s">
        <v>6218</v>
      </c>
      <c r="I106" s="48" t="s">
        <v>6222</v>
      </c>
      <c r="J106" s="48" t="s">
        <v>6117</v>
      </c>
      <c r="K106" s="52" t="b">
        <f>IFS($B106=FALSE,"", countif(VLOOKUP($A106,UASCAN!D:D,1,FALSE),$A106)&gt;=1,TRUE,countif(VLOOKUP($B106,UASCAN!D:D,1,FALSE),$B106)=0,FALSE)</f>
        <v>0</v>
      </c>
      <c r="L106" s="52" t="b">
        <f>IFS(B106=FALSE,"", countif(VLOOKUP($B106,'01042022'!B:B,1,FALSE),$B106)&gt;=1,TRUE,countif(VLOOKUP($B106,'01042022'!B:B,1,FALSE),$B106)=0,FALSE)</f>
        <v>1</v>
      </c>
      <c r="M106" s="52" t="str">
        <f>ifs(AND($K106=FALSE,$L106=TRUE),"",AND($K106=FALSE,L106=FALSE),"",AND($K106=TRUE,$L106=TRUE),VLOOKUP($A106,UASCAN!D:F,3,0), AND($K106=TRUE,$L106=FALSE),VLOOKUP($A106,UASCAN!D:F,3,0))</f>
        <v/>
      </c>
      <c r="N106" s="53" t="str">
        <f t="shared" si="2"/>
        <v> </v>
      </c>
      <c r="O106" s="53" t="str">
        <f t="shared" si="3"/>
        <v/>
      </c>
    </row>
    <row r="107">
      <c r="A107" s="47" t="str">
        <f t="shared" si="1"/>
        <v>1564844565</v>
      </c>
      <c r="B107" s="48">
        <v>15648.0</v>
      </c>
      <c r="C107" s="49">
        <v>0.4583333333333333</v>
      </c>
      <c r="D107" s="48" t="s">
        <v>4021</v>
      </c>
      <c r="E107" s="50">
        <v>25882.0</v>
      </c>
      <c r="F107" s="51">
        <v>44565.0</v>
      </c>
      <c r="G107" s="48" t="s">
        <v>6220</v>
      </c>
      <c r="H107" s="48" t="s">
        <v>6218</v>
      </c>
      <c r="I107" s="48" t="s">
        <v>6222</v>
      </c>
      <c r="J107" s="48" t="s">
        <v>6196</v>
      </c>
      <c r="K107" s="52" t="b">
        <f>IFS($B107=FALSE,"", countif(VLOOKUP($A107,UASCAN!D:D,1,FALSE),$A107)&gt;=1,TRUE,countif(VLOOKUP($B107,UASCAN!D:D,1,FALSE),$B107)=0,FALSE)</f>
        <v>0</v>
      </c>
      <c r="L107" s="52" t="b">
        <f>IFS(B107=FALSE,"", countif(VLOOKUP($B107,'01042022'!B:B,1,FALSE),$B107)&gt;=1,TRUE,countif(VLOOKUP($B107,'01042022'!B:B,1,FALSE),$B107)=0,FALSE)</f>
        <v>1</v>
      </c>
      <c r="M107" s="52" t="str">
        <f>ifs(AND($K107=FALSE,$L107=TRUE),"",AND($K107=FALSE,L107=FALSE),"",AND($K107=TRUE,$L107=TRUE),VLOOKUP($A107,UASCAN!D:F,3,0), AND($K107=TRUE,$L107=FALSE),VLOOKUP($A107,UASCAN!D:F,3,0))</f>
        <v/>
      </c>
      <c r="N107" s="53" t="str">
        <f t="shared" si="2"/>
        <v> </v>
      </c>
      <c r="O107" s="53" t="str">
        <f t="shared" si="3"/>
        <v/>
      </c>
    </row>
    <row r="108">
      <c r="A108" s="47" t="str">
        <f t="shared" si="1"/>
        <v>1040044565</v>
      </c>
      <c r="B108" s="48">
        <v>10400.0</v>
      </c>
      <c r="C108" s="49">
        <v>0.5416666666666666</v>
      </c>
      <c r="D108" s="48" t="s">
        <v>533</v>
      </c>
      <c r="E108" s="50">
        <v>23351.0</v>
      </c>
      <c r="F108" s="51">
        <v>44565.0</v>
      </c>
      <c r="G108" s="48" t="s">
        <v>5</v>
      </c>
      <c r="H108" s="48" t="s">
        <v>6218</v>
      </c>
      <c r="I108" s="48" t="s">
        <v>6222</v>
      </c>
      <c r="J108" s="48" t="s">
        <v>6099</v>
      </c>
      <c r="K108" s="52" t="b">
        <f>IFS($B108=FALSE,"", countif(VLOOKUP($A108,UASCAN!D:D,1,FALSE),$A108)&gt;=1,TRUE,countif(VLOOKUP($B108,UASCAN!D:D,1,FALSE),$B108)=0,FALSE)</f>
        <v>0</v>
      </c>
      <c r="L108" s="52" t="b">
        <f>IFS(B108=FALSE,"", countif(VLOOKUP($B108,'01042022'!B:B,1,FALSE),$B108)&gt;=1,TRUE,countif(VLOOKUP($B108,'01042022'!B:B,1,FALSE),$B108)=0,FALSE)</f>
        <v>1</v>
      </c>
      <c r="M108" s="52" t="str">
        <f>ifs(AND($K108=FALSE,$L108=TRUE),"",AND($K108=FALSE,L108=FALSE),"",AND($K108=TRUE,$L108=TRUE),VLOOKUP($A108,UASCAN!D:F,3,0), AND($K108=TRUE,$L108=FALSE),VLOOKUP($A108,UASCAN!D:F,3,0))</f>
        <v/>
      </c>
      <c r="N108" s="53" t="str">
        <f t="shared" si="2"/>
        <v> </v>
      </c>
      <c r="O108" s="53" t="str">
        <f t="shared" si="3"/>
        <v/>
      </c>
    </row>
    <row r="109">
      <c r="A109" s="47" t="str">
        <f t="shared" si="1"/>
        <v>1548344565</v>
      </c>
      <c r="B109" s="48">
        <v>15483.0</v>
      </c>
      <c r="C109" s="49">
        <v>0.5416666666666666</v>
      </c>
      <c r="D109" s="48" t="s">
        <v>3547</v>
      </c>
      <c r="E109" s="50">
        <v>27630.0</v>
      </c>
      <c r="F109" s="51">
        <v>44565.0</v>
      </c>
      <c r="G109" s="48" t="s">
        <v>5</v>
      </c>
      <c r="H109" s="48" t="s">
        <v>6218</v>
      </c>
      <c r="I109" s="48" t="s">
        <v>6222</v>
      </c>
      <c r="J109" s="48" t="s">
        <v>6091</v>
      </c>
      <c r="K109" s="52" t="b">
        <f>IFS($B109=FALSE,"", countif(VLOOKUP($A109,UASCAN!D:D,1,FALSE),$A109)&gt;=1,TRUE,countif(VLOOKUP($B109,UASCAN!D:D,1,FALSE),$B109)=0,FALSE)</f>
        <v>0</v>
      </c>
      <c r="L109" s="52" t="b">
        <f>IFS(B109=FALSE,"", countif(VLOOKUP($B109,'01042022'!B:B,1,FALSE),$B109)&gt;=1,TRUE,countif(VLOOKUP($B109,'01042022'!B:B,1,FALSE),$B109)=0,FALSE)</f>
        <v>1</v>
      </c>
      <c r="M109" s="52" t="str">
        <f>ifs(AND($K109=FALSE,$L109=TRUE),"",AND($K109=FALSE,L109=FALSE),"",AND($K109=TRUE,$L109=TRUE),VLOOKUP($A109,UASCAN!D:F,3,0), AND($K109=TRUE,$L109=FALSE),VLOOKUP($A109,UASCAN!D:F,3,0))</f>
        <v/>
      </c>
      <c r="N109" s="53" t="str">
        <f t="shared" si="2"/>
        <v> </v>
      </c>
      <c r="O109" s="53" t="str">
        <f t="shared" si="3"/>
        <v/>
      </c>
    </row>
    <row r="110">
      <c r="A110" s="47" t="str">
        <f t="shared" si="1"/>
        <v>1135544565</v>
      </c>
      <c r="B110" s="48">
        <v>11355.0</v>
      </c>
      <c r="C110" s="49">
        <v>0.5625</v>
      </c>
      <c r="D110" s="48" t="s">
        <v>917</v>
      </c>
      <c r="E110" s="50">
        <v>21117.0</v>
      </c>
      <c r="F110" s="51">
        <v>44565.0</v>
      </c>
      <c r="G110" s="48" t="s">
        <v>6220</v>
      </c>
      <c r="H110" s="48" t="s">
        <v>6218</v>
      </c>
      <c r="I110" s="48" t="s">
        <v>6222</v>
      </c>
      <c r="J110" s="48" t="s">
        <v>6196</v>
      </c>
      <c r="K110" s="52" t="b">
        <f>IFS($B110=FALSE,"", countif(VLOOKUP($A110,UASCAN!D:D,1,FALSE),$A110)&gt;=1,TRUE,countif(VLOOKUP($B110,UASCAN!D:D,1,FALSE),$B110)=0,FALSE)</f>
        <v>0</v>
      </c>
      <c r="L110" s="52" t="b">
        <f>IFS(B110=FALSE,"", countif(VLOOKUP($B110,'01042022'!B:B,1,FALSE),$B110)&gt;=1,TRUE,countif(VLOOKUP($B110,'01042022'!B:B,1,FALSE),$B110)=0,FALSE)</f>
        <v>1</v>
      </c>
      <c r="M110" s="52" t="str">
        <f>ifs(AND($K110=FALSE,$L110=TRUE),"",AND($K110=FALSE,L110=FALSE),"",AND($K110=TRUE,$L110=TRUE),VLOOKUP($A110,UASCAN!D:F,3,0), AND($K110=TRUE,$L110=FALSE),VLOOKUP($A110,UASCAN!D:F,3,0))</f>
        <v/>
      </c>
      <c r="N110" s="53" t="str">
        <f t="shared" si="2"/>
        <v> </v>
      </c>
      <c r="O110" s="53" t="str">
        <f t="shared" si="3"/>
        <v/>
      </c>
    </row>
    <row r="111">
      <c r="A111" s="47" t="str">
        <f t="shared" si="1"/>
        <v>1249944565</v>
      </c>
      <c r="B111" s="48">
        <v>12499.0</v>
      </c>
      <c r="C111" s="49">
        <v>0.5729166666666666</v>
      </c>
      <c r="D111" s="48" t="s">
        <v>1500</v>
      </c>
      <c r="E111" s="50">
        <v>20699.0</v>
      </c>
      <c r="F111" s="51">
        <v>44565.0</v>
      </c>
      <c r="G111" s="48" t="s">
        <v>6216</v>
      </c>
      <c r="H111" s="48" t="s">
        <v>6218</v>
      </c>
      <c r="I111" s="48" t="s">
        <v>6222</v>
      </c>
      <c r="J111" s="48" t="s">
        <v>6196</v>
      </c>
      <c r="K111" s="52" t="b">
        <f>IFS($B111=FALSE,"", countif(VLOOKUP($A111,UASCAN!D:D,1,FALSE),$A111)&gt;=1,TRUE,countif(VLOOKUP($B111,UASCAN!D:D,1,FALSE),$B111)=0,FALSE)</f>
        <v>0</v>
      </c>
      <c r="L111" s="52" t="b">
        <f>IFS(B111=FALSE,"", countif(VLOOKUP($B111,'01042022'!B:B,1,FALSE),$B111)&gt;=1,TRUE,countif(VLOOKUP($B111,'01042022'!B:B,1,FALSE),$B111)=0,FALSE)</f>
        <v>1</v>
      </c>
      <c r="M111" s="52" t="str">
        <f>ifs(AND($K111=FALSE,$L111=TRUE),"",AND($K111=FALSE,L111=FALSE),"",AND($K111=TRUE,$L111=TRUE),VLOOKUP($A111,UASCAN!D:F,3,0), AND($K111=TRUE,$L111=FALSE),VLOOKUP($A111,UASCAN!D:F,3,0))</f>
        <v/>
      </c>
      <c r="N111" s="53" t="str">
        <f t="shared" si="2"/>
        <v> </v>
      </c>
      <c r="O111" s="53" t="str">
        <f t="shared" si="3"/>
        <v/>
      </c>
    </row>
    <row r="112">
      <c r="A112" s="47" t="str">
        <f t="shared" si="1"/>
        <v>1255244565</v>
      </c>
      <c r="B112" s="48">
        <v>12552.0</v>
      </c>
      <c r="C112" s="49">
        <v>0.5833333333333334</v>
      </c>
      <c r="D112" s="48" t="s">
        <v>1534</v>
      </c>
      <c r="E112" s="50">
        <v>28248.0</v>
      </c>
      <c r="F112" s="51">
        <v>44565.0</v>
      </c>
      <c r="G112" s="48" t="s">
        <v>6216</v>
      </c>
      <c r="H112" s="48" t="s">
        <v>6218</v>
      </c>
      <c r="I112" s="48" t="s">
        <v>6222</v>
      </c>
      <c r="J112" s="48" t="s">
        <v>6142</v>
      </c>
      <c r="K112" s="52" t="b">
        <f>IFS($B112=FALSE,"", countif(VLOOKUP($A112,UASCAN!D:D,1,FALSE),$A112)&gt;=1,TRUE,countif(VLOOKUP($B112,UASCAN!D:D,1,FALSE),$B112)=0,FALSE)</f>
        <v>0</v>
      </c>
      <c r="L112" s="52" t="b">
        <f>IFS(B112=FALSE,"", countif(VLOOKUP($B112,'01042022'!B:B,1,FALSE),$B112)&gt;=1,TRUE,countif(VLOOKUP($B112,'01042022'!B:B,1,FALSE),$B112)=0,FALSE)</f>
        <v>1</v>
      </c>
      <c r="M112" s="52" t="str">
        <f>ifs(AND($K112=FALSE,$L112=TRUE),"",AND($K112=FALSE,L112=FALSE),"",AND($K112=TRUE,$L112=TRUE),VLOOKUP($A112,UASCAN!D:F,3,0), AND($K112=TRUE,$L112=FALSE),VLOOKUP($A112,UASCAN!D:F,3,0))</f>
        <v/>
      </c>
      <c r="N112" s="53" t="str">
        <f t="shared" si="2"/>
        <v> </v>
      </c>
      <c r="O112" s="53" t="str">
        <f t="shared" si="3"/>
        <v/>
      </c>
    </row>
    <row r="113">
      <c r="A113" s="47" t="str">
        <f t="shared" si="1"/>
        <v>1080144565</v>
      </c>
      <c r="B113" s="48">
        <v>10801.0</v>
      </c>
      <c r="C113" s="49">
        <v>0.6041666666666666</v>
      </c>
      <c r="D113" s="48" t="s">
        <v>693</v>
      </c>
      <c r="E113" s="50">
        <v>28794.0</v>
      </c>
      <c r="F113" s="51">
        <v>44565.0</v>
      </c>
      <c r="G113" s="48" t="s">
        <v>6215</v>
      </c>
      <c r="H113" s="48" t="s">
        <v>6218</v>
      </c>
      <c r="I113" s="48" t="s">
        <v>6222</v>
      </c>
      <c r="J113" s="48" t="s">
        <v>6082</v>
      </c>
      <c r="K113" s="52" t="b">
        <f>IFS($B113=FALSE,"", countif(VLOOKUP($A113,UASCAN!D:D,1,FALSE),$A113)&gt;=1,TRUE,countif(VLOOKUP($B113,UASCAN!D:D,1,FALSE),$B113)=0,FALSE)</f>
        <v>0</v>
      </c>
      <c r="L113" s="52" t="b">
        <f>IFS(B113=FALSE,"", countif(VLOOKUP($B113,'01042022'!B:B,1,FALSE),$B113)&gt;=1,TRUE,countif(VLOOKUP($B113,'01042022'!B:B,1,FALSE),$B113)=0,FALSE)</f>
        <v>1</v>
      </c>
      <c r="M113" s="52" t="str">
        <f>ifs(AND($K113=FALSE,$L113=TRUE),"",AND($K113=FALSE,L113=FALSE),"",AND($K113=TRUE,$L113=TRUE),VLOOKUP($A113,UASCAN!D:F,3,0), AND($K113=TRUE,$L113=FALSE),VLOOKUP($A113,UASCAN!D:F,3,0))</f>
        <v/>
      </c>
      <c r="N113" s="53" t="str">
        <f t="shared" si="2"/>
        <v> </v>
      </c>
      <c r="O113" s="53" t="str">
        <f t="shared" si="3"/>
        <v/>
      </c>
    </row>
    <row r="114">
      <c r="A114" s="47" t="str">
        <f t="shared" si="1"/>
        <v>1567144565</v>
      </c>
      <c r="B114" s="48">
        <v>15671.0</v>
      </c>
      <c r="C114" s="49">
        <v>0.6458333333333334</v>
      </c>
      <c r="D114" s="48" t="s">
        <v>4042</v>
      </c>
      <c r="E114" s="50">
        <v>23935.0</v>
      </c>
      <c r="F114" s="51">
        <v>44565.0</v>
      </c>
      <c r="G114" s="48" t="s">
        <v>6216</v>
      </c>
      <c r="H114" s="48" t="s">
        <v>6218</v>
      </c>
      <c r="I114" s="48" t="s">
        <v>6222</v>
      </c>
      <c r="J114" s="48" t="s">
        <v>6196</v>
      </c>
      <c r="K114" s="52" t="b">
        <f>IFS($B114=FALSE,"", countif(VLOOKUP($A114,UASCAN!D:D,1,FALSE),$A114)&gt;=1,TRUE,countif(VLOOKUP($B114,UASCAN!D:D,1,FALSE),$B114)=0,FALSE)</f>
        <v>0</v>
      </c>
      <c r="L114" s="52" t="b">
        <f>IFS(B114=FALSE,"", countif(VLOOKUP($B114,'01042022'!B:B,1,FALSE),$B114)&gt;=1,TRUE,countif(VLOOKUP($B114,'01042022'!B:B,1,FALSE),$B114)=0,FALSE)</f>
        <v>1</v>
      </c>
      <c r="M114" s="52" t="str">
        <f>ifs(AND($K114=FALSE,$L114=TRUE),"",AND($K114=FALSE,L114=FALSE),"",AND($K114=TRUE,$L114=TRUE),VLOOKUP($A114,UASCAN!D:F,3,0), AND($K114=TRUE,$L114=FALSE),VLOOKUP($A114,UASCAN!D:F,3,0))</f>
        <v/>
      </c>
      <c r="N114" s="53" t="str">
        <f t="shared" si="2"/>
        <v> </v>
      </c>
      <c r="O114" s="53" t="str">
        <f t="shared" si="3"/>
        <v/>
      </c>
    </row>
    <row r="115">
      <c r="A115" s="47" t="str">
        <f t="shared" si="1"/>
        <v>1259344565</v>
      </c>
      <c r="B115" s="48">
        <v>12593.0</v>
      </c>
      <c r="C115" s="49">
        <v>0.5416666666666666</v>
      </c>
      <c r="D115" s="48" t="s">
        <v>1562</v>
      </c>
      <c r="E115" s="50">
        <v>30103.0</v>
      </c>
      <c r="F115" s="51">
        <v>44565.0</v>
      </c>
      <c r="G115" s="48" t="s">
        <v>6220</v>
      </c>
      <c r="H115" s="48" t="s">
        <v>6218</v>
      </c>
      <c r="I115" s="48" t="s">
        <v>6222</v>
      </c>
      <c r="J115" s="48" t="s">
        <v>6142</v>
      </c>
      <c r="K115" s="52" t="b">
        <f>IFS($B115=FALSE,"", countif(VLOOKUP($A115,UASCAN!D:D,1,FALSE),$A115)&gt;=1,TRUE,countif(VLOOKUP($B115,UASCAN!D:D,1,FALSE),$B115)=0,FALSE)</f>
        <v>0</v>
      </c>
      <c r="L115" s="52" t="b">
        <f>IFS(B115=FALSE,"", countif(VLOOKUP($B115,'01042022'!B:B,1,FALSE),$B115)&gt;=1,TRUE,countif(VLOOKUP($B115,'01042022'!B:B,1,FALSE),$B115)=0,FALSE)</f>
        <v>1</v>
      </c>
      <c r="M115" s="52" t="str">
        <f>ifs(AND($K115=FALSE,$L115=TRUE),"",AND($K115=FALSE,L115=FALSE),"",AND($K115=TRUE,$L115=TRUE),VLOOKUP($A115,UASCAN!D:F,3,0), AND($K115=TRUE,$L115=FALSE),VLOOKUP($A115,UASCAN!D:F,3,0))</f>
        <v/>
      </c>
      <c r="N115" s="53" t="str">
        <f t="shared" si="2"/>
        <v> </v>
      </c>
      <c r="O115" s="53" t="str">
        <f t="shared" si="3"/>
        <v/>
      </c>
    </row>
    <row r="116">
      <c r="A116" s="47" t="str">
        <f t="shared" si="1"/>
        <v>971644566</v>
      </c>
      <c r="B116" s="48">
        <v>9716.0</v>
      </c>
      <c r="C116" s="49">
        <v>0.3645833333333333</v>
      </c>
      <c r="D116" s="48" t="s">
        <v>268</v>
      </c>
      <c r="E116" s="50">
        <v>20692.0</v>
      </c>
      <c r="F116" s="51">
        <v>44566.0</v>
      </c>
      <c r="G116" s="48" t="s">
        <v>6216</v>
      </c>
      <c r="H116" s="48" t="s">
        <v>6218</v>
      </c>
      <c r="I116" s="48" t="s">
        <v>6222</v>
      </c>
      <c r="J116" s="48" t="s">
        <v>6196</v>
      </c>
      <c r="K116" s="52" t="b">
        <f>IFS($B116=FALSE,"", countif(VLOOKUP($A116,UASCAN!D:D,1,FALSE),$A116)&gt;=1,TRUE,countif(VLOOKUP($B116,UASCAN!D:D,1,FALSE),$B116)=0,FALSE)</f>
        <v>0</v>
      </c>
      <c r="L116" s="52" t="b">
        <f>IFS(B116=FALSE,"", countif(VLOOKUP($B116,'01052022'!B:B,1,FALSE),$B116)&gt;=1,TRUE,countif(VLOOKUP($B116,'01052022'!B:B,1,FALSE),$B116)=0,FALSE)</f>
        <v>1</v>
      </c>
      <c r="M116" s="52" t="str">
        <f>ifs(AND($K116=FALSE,$L116=TRUE),"",AND($K116=FALSE,L116=FALSE),"",AND($K116=TRUE,$L116=TRUE),VLOOKUP($A116,UASCAN!D:F,3,0), AND($K116=TRUE,$L116=FALSE),VLOOKUP($A116,UASCAN!D:F,3,0))</f>
        <v/>
      </c>
      <c r="N116" s="53" t="str">
        <f t="shared" si="2"/>
        <v> </v>
      </c>
      <c r="O116" s="53" t="str">
        <f t="shared" si="3"/>
        <v/>
      </c>
    </row>
    <row r="117">
      <c r="A117" s="47" t="str">
        <f t="shared" si="1"/>
        <v>1718644566</v>
      </c>
      <c r="B117" s="48">
        <v>17186.0</v>
      </c>
      <c r="C117" s="49">
        <v>0.5729166666666666</v>
      </c>
      <c r="D117" s="48" t="s">
        <v>5274</v>
      </c>
      <c r="E117" s="50">
        <v>32887.0</v>
      </c>
      <c r="F117" s="51">
        <v>44566.0</v>
      </c>
      <c r="G117" s="48" t="s">
        <v>6215</v>
      </c>
      <c r="H117" s="48" t="s">
        <v>6218</v>
      </c>
      <c r="I117" s="48" t="s">
        <v>6222</v>
      </c>
      <c r="J117" s="48" t="s">
        <v>6126</v>
      </c>
      <c r="K117" s="52" t="b">
        <f>IFS($B117=FALSE,"", countif(VLOOKUP($A117,UASCAN!D:D,1,FALSE),$A117)&gt;=1,TRUE,countif(VLOOKUP($B117,UASCAN!D:D,1,FALSE),$B117)=0,FALSE)</f>
        <v>0</v>
      </c>
      <c r="L117" s="52" t="b">
        <f>IFS(B117=FALSE,"", countif(VLOOKUP($B117,'01052022'!B:B,1,FALSE),$B117)&gt;=1,TRUE,countif(VLOOKUP($B117,'01052022'!B:B,1,FALSE),$B117)=0,FALSE)</f>
        <v>1</v>
      </c>
      <c r="M117" s="52" t="str">
        <f>ifs(AND($K117=FALSE,$L117=TRUE),"",AND($K117=FALSE,L117=FALSE),"",AND($K117=TRUE,$L117=TRUE),VLOOKUP($A117,UASCAN!D:F,3,0), AND($K117=TRUE,$L117=FALSE),VLOOKUP($A117,UASCAN!D:F,3,0))</f>
        <v/>
      </c>
      <c r="N117" s="53" t="str">
        <f t="shared" si="2"/>
        <v> </v>
      </c>
      <c r="O117" s="53" t="str">
        <f t="shared" si="3"/>
        <v/>
      </c>
    </row>
    <row r="118">
      <c r="A118" s="47" t="str">
        <f t="shared" si="1"/>
        <v>1366644566</v>
      </c>
      <c r="B118" s="48">
        <v>13666.0</v>
      </c>
      <c r="C118" s="49">
        <v>0.59375</v>
      </c>
      <c r="D118" s="48" t="s">
        <v>2411</v>
      </c>
      <c r="E118" s="50">
        <v>27283.0</v>
      </c>
      <c r="F118" s="51">
        <v>44566.0</v>
      </c>
      <c r="G118" s="48" t="s">
        <v>6220</v>
      </c>
      <c r="H118" s="48" t="s">
        <v>6218</v>
      </c>
      <c r="I118" s="48" t="s">
        <v>6222</v>
      </c>
      <c r="J118" s="48" t="s">
        <v>6142</v>
      </c>
      <c r="K118" s="52" t="b">
        <f>IFS($B118=FALSE,"", countif(VLOOKUP($A118,UASCAN!D:D,1,FALSE),$A118)&gt;=1,TRUE,countif(VLOOKUP($B118,UASCAN!D:D,1,FALSE),$B118)=0,FALSE)</f>
        <v>0</v>
      </c>
      <c r="L118" s="52" t="b">
        <f>IFS(B118=FALSE,"", countif(VLOOKUP($B118,'01052022'!B:B,1,FALSE),$B118)&gt;=1,TRUE,countif(VLOOKUP($B118,'01052022'!B:B,1,FALSE),$B118)=0,FALSE)</f>
        <v>1</v>
      </c>
      <c r="M118" s="52" t="str">
        <f>ifs(AND($K118=FALSE,$L118=TRUE),"",AND($K118=FALSE,L118=FALSE),"",AND($K118=TRUE,$L118=TRUE),VLOOKUP($A118,UASCAN!D:F,3,0), AND($K118=TRUE,$L118=FALSE),VLOOKUP($A118,UASCAN!D:F,3,0))</f>
        <v/>
      </c>
      <c r="N118" s="53" t="str">
        <f t="shared" si="2"/>
        <v> </v>
      </c>
      <c r="O118" s="53" t="str">
        <f t="shared" si="3"/>
        <v/>
      </c>
    </row>
    <row r="119">
      <c r="A119" s="47" t="str">
        <f t="shared" si="1"/>
        <v>1378444566</v>
      </c>
      <c r="B119" s="48">
        <v>13784.0</v>
      </c>
      <c r="C119" s="49">
        <v>0.6041666666666666</v>
      </c>
      <c r="D119" s="48" t="s">
        <v>2508</v>
      </c>
      <c r="E119" s="50">
        <v>21088.0</v>
      </c>
      <c r="F119" s="51">
        <v>44566.0</v>
      </c>
      <c r="G119" s="48" t="s">
        <v>6220</v>
      </c>
      <c r="H119" s="48" t="s">
        <v>6218</v>
      </c>
      <c r="I119" s="48" t="s">
        <v>6222</v>
      </c>
      <c r="J119" s="48" t="s">
        <v>6142</v>
      </c>
      <c r="K119" s="52" t="b">
        <f>IFS($B119=FALSE,"", countif(VLOOKUP($A119,UASCAN!D:D,1,FALSE),$A119)&gt;=1,TRUE,countif(VLOOKUP($B119,UASCAN!D:D,1,FALSE),$B119)=0,FALSE)</f>
        <v>0</v>
      </c>
      <c r="L119" s="52" t="b">
        <f>IFS(B119=FALSE,"", countif(VLOOKUP($B119,'01052022'!B:B,1,FALSE),$B119)&gt;=1,TRUE,countif(VLOOKUP($B119,'01052022'!B:B,1,FALSE),$B119)=0,FALSE)</f>
        <v>1</v>
      </c>
      <c r="M119" s="52" t="str">
        <f>ifs(AND($K119=FALSE,$L119=TRUE),"",AND($K119=FALSE,L119=FALSE),"",AND($K119=TRUE,$L119=TRUE),VLOOKUP($A119,UASCAN!D:F,3,0), AND($K119=TRUE,$L119=FALSE),VLOOKUP($A119,UASCAN!D:F,3,0))</f>
        <v/>
      </c>
      <c r="N119" s="53" t="str">
        <f t="shared" si="2"/>
        <v> </v>
      </c>
      <c r="O119" s="53" t="str">
        <f t="shared" si="3"/>
        <v/>
      </c>
    </row>
    <row r="120">
      <c r="A120" s="47" t="str">
        <f t="shared" si="1"/>
        <v>1188344566</v>
      </c>
      <c r="B120" s="48">
        <v>11883.0</v>
      </c>
      <c r="C120" s="49">
        <v>0.3333333333333333</v>
      </c>
      <c r="D120" s="48" t="s">
        <v>1171</v>
      </c>
      <c r="E120" s="50">
        <v>18355.0</v>
      </c>
      <c r="F120" s="51">
        <v>44566.0</v>
      </c>
      <c r="G120" s="48" t="s">
        <v>5</v>
      </c>
      <c r="H120" s="48" t="s">
        <v>6218</v>
      </c>
      <c r="I120" s="48" t="s">
        <v>6219</v>
      </c>
      <c r="J120" s="48" t="s">
        <v>6199</v>
      </c>
      <c r="K120" s="52" t="b">
        <f>IFS($B120=FALSE,"", countif(VLOOKUP($A120,UASCAN!D:D,1,FALSE),$A120)&gt;=1,TRUE,countif(VLOOKUP($B120,UASCAN!D:D,1,FALSE),$B120)=0,FALSE)</f>
        <v>0</v>
      </c>
      <c r="L120" s="52" t="b">
        <f>IFS(B120=FALSE,"", countif(VLOOKUP($B120,'01052022'!B:B,1,FALSE),$B120)&gt;=1,TRUE,countif(VLOOKUP($B120,'01052022'!B:B,1,FALSE),$B120)=0,FALSE)</f>
        <v>1</v>
      </c>
      <c r="M120" s="52" t="str">
        <f>ifs(AND($K120=FALSE,$L120=TRUE),"",AND($K120=FALSE,L120=FALSE),"",AND($K120=TRUE,$L120=TRUE),VLOOKUP($A120,UASCAN!D:F,3,0), AND($K120=TRUE,$L120=FALSE),VLOOKUP($A120,UASCAN!D:F,3,0))</f>
        <v/>
      </c>
      <c r="N120" s="53" t="str">
        <f t="shared" si="2"/>
        <v> </v>
      </c>
      <c r="O120" s="53" t="str">
        <f t="shared" si="3"/>
        <v/>
      </c>
    </row>
    <row r="121">
      <c r="A121" s="47" t="str">
        <f t="shared" si="1"/>
        <v>1564344566</v>
      </c>
      <c r="B121" s="48">
        <v>15643.0</v>
      </c>
      <c r="C121" s="49">
        <v>0.34375</v>
      </c>
      <c r="D121" s="48" t="s">
        <v>4016</v>
      </c>
      <c r="E121" s="50">
        <v>26218.0</v>
      </c>
      <c r="F121" s="51">
        <v>44566.0</v>
      </c>
      <c r="G121" s="48" t="s">
        <v>5</v>
      </c>
      <c r="H121" s="48" t="s">
        <v>6218</v>
      </c>
      <c r="I121" s="48" t="s">
        <v>6219</v>
      </c>
      <c r="J121" s="48" t="s">
        <v>6158</v>
      </c>
      <c r="K121" s="52" t="b">
        <f>IFS($B121=FALSE,"", countif(VLOOKUP($A121,UASCAN!D:D,1,FALSE),$A121)&gt;=1,TRUE,countif(VLOOKUP($B121,UASCAN!D:D,1,FALSE),$B121)=0,FALSE)</f>
        <v>0</v>
      </c>
      <c r="L121" s="52" t="b">
        <f>IFS(B121=FALSE,"", countif(VLOOKUP($B121,'01052022'!B:B,1,FALSE),$B121)&gt;=1,TRUE,countif(VLOOKUP($B121,'01052022'!B:B,1,FALSE),$B121)=0,FALSE)</f>
        <v>1</v>
      </c>
      <c r="M121" s="52" t="str">
        <f>ifs(AND($K121=FALSE,$L121=TRUE),"",AND($K121=FALSE,L121=FALSE),"",AND($K121=TRUE,$L121=TRUE),VLOOKUP($A121,UASCAN!D:F,3,0), AND($K121=TRUE,$L121=FALSE),VLOOKUP($A121,UASCAN!D:F,3,0))</f>
        <v/>
      </c>
      <c r="N121" s="53" t="str">
        <f t="shared" si="2"/>
        <v> </v>
      </c>
      <c r="O121" s="53" t="str">
        <f t="shared" si="3"/>
        <v/>
      </c>
    </row>
    <row r="122">
      <c r="A122" s="47" t="str">
        <f t="shared" si="1"/>
        <v>1694144566</v>
      </c>
      <c r="B122" s="48">
        <v>16941.0</v>
      </c>
      <c r="C122" s="49">
        <v>0.3645833333333333</v>
      </c>
      <c r="D122" s="48" t="s">
        <v>5079</v>
      </c>
      <c r="E122" s="50">
        <v>21789.0</v>
      </c>
      <c r="F122" s="51">
        <v>44566.0</v>
      </c>
      <c r="G122" s="48" t="s">
        <v>5</v>
      </c>
      <c r="H122" s="48" t="s">
        <v>6218</v>
      </c>
      <c r="I122" s="48" t="s">
        <v>6219</v>
      </c>
      <c r="J122" s="48" t="s">
        <v>6094</v>
      </c>
      <c r="K122" s="52" t="b">
        <f>IFS($B122=FALSE,"", countif(VLOOKUP($A122,UASCAN!D:D,1,FALSE),$A122)&gt;=1,TRUE,countif(VLOOKUP($B122,UASCAN!D:D,1,FALSE),$B122)=0,FALSE)</f>
        <v>0</v>
      </c>
      <c r="L122" s="52" t="b">
        <f>IFS(B122=FALSE,"", countif(VLOOKUP($B122,'01052022'!B:B,1,FALSE),$B122)&gt;=1,TRUE,countif(VLOOKUP($B122,'01052022'!B:B,1,FALSE),$B122)=0,FALSE)</f>
        <v>1</v>
      </c>
      <c r="M122" s="52" t="str">
        <f>ifs(AND($K122=FALSE,$L122=TRUE),"",AND($K122=FALSE,L122=FALSE),"",AND($K122=TRUE,$L122=TRUE),VLOOKUP($A122,UASCAN!D:F,3,0), AND($K122=TRUE,$L122=FALSE),VLOOKUP($A122,UASCAN!D:F,3,0))</f>
        <v/>
      </c>
      <c r="N122" s="53" t="str">
        <f t="shared" si="2"/>
        <v> </v>
      </c>
      <c r="O122" s="53" t="str">
        <f t="shared" si="3"/>
        <v/>
      </c>
    </row>
    <row r="123">
      <c r="A123" s="47" t="str">
        <f t="shared" si="1"/>
        <v>1557344566</v>
      </c>
      <c r="B123" s="48">
        <v>15573.0</v>
      </c>
      <c r="C123" s="49">
        <v>0.375</v>
      </c>
      <c r="D123" s="48" t="s">
        <v>3954</v>
      </c>
      <c r="E123" s="50">
        <v>26123.0</v>
      </c>
      <c r="F123" s="51">
        <v>44566.0</v>
      </c>
      <c r="G123" s="48" t="s">
        <v>6216</v>
      </c>
      <c r="H123" s="48" t="s">
        <v>6218</v>
      </c>
      <c r="I123" s="48" t="s">
        <v>6219</v>
      </c>
      <c r="J123" s="48" t="s">
        <v>6142</v>
      </c>
      <c r="K123" s="52" t="b">
        <f>IFS($B123=FALSE,"", countif(VLOOKUP($A123,UASCAN!D:D,1,FALSE),$A123)&gt;=1,TRUE,countif(VLOOKUP($B123,UASCAN!D:D,1,FALSE),$B123)=0,FALSE)</f>
        <v>0</v>
      </c>
      <c r="L123" s="52" t="b">
        <f>IFS(B123=FALSE,"", countif(VLOOKUP($B123,'01052022'!B:B,1,FALSE),$B123)&gt;=1,TRUE,countif(VLOOKUP($B123,'01052022'!B:B,1,FALSE),$B123)=0,FALSE)</f>
        <v>1</v>
      </c>
      <c r="M123" s="52" t="str">
        <f>ifs(AND($K123=FALSE,$L123=TRUE),"",AND($K123=FALSE,L123=FALSE),"",AND($K123=TRUE,$L123=TRUE),VLOOKUP($A123,UASCAN!D:F,3,0), AND($K123=TRUE,$L123=FALSE),VLOOKUP($A123,UASCAN!D:F,3,0))</f>
        <v/>
      </c>
      <c r="N123" s="53" t="str">
        <f t="shared" si="2"/>
        <v> </v>
      </c>
      <c r="O123" s="53" t="str">
        <f t="shared" si="3"/>
        <v/>
      </c>
    </row>
    <row r="124">
      <c r="A124" s="47" t="str">
        <f t="shared" si="1"/>
        <v>1571344566</v>
      </c>
      <c r="B124" s="48">
        <v>15713.0</v>
      </c>
      <c r="C124" s="49">
        <v>0.40625</v>
      </c>
      <c r="D124" s="48" t="s">
        <v>4081</v>
      </c>
      <c r="E124" s="50">
        <v>18132.0</v>
      </c>
      <c r="F124" s="51">
        <v>44566.0</v>
      </c>
      <c r="G124" s="48" t="s">
        <v>5</v>
      </c>
      <c r="H124" s="48" t="s">
        <v>6218</v>
      </c>
      <c r="I124" s="48" t="s">
        <v>6219</v>
      </c>
      <c r="J124" s="48" t="s">
        <v>6199</v>
      </c>
      <c r="K124" s="52" t="b">
        <f>IFS($B124=FALSE,"", countif(VLOOKUP($A124,UASCAN!D:D,1,FALSE),$A124)&gt;=1,TRUE,countif(VLOOKUP($B124,UASCAN!D:D,1,FALSE),$B124)=0,FALSE)</f>
        <v>0</v>
      </c>
      <c r="L124" s="52" t="b">
        <f>IFS(B124=FALSE,"", countif(VLOOKUP($B124,'01052022'!B:B,1,FALSE),$B124)&gt;=1,TRUE,countif(VLOOKUP($B124,'01052022'!B:B,1,FALSE),$B124)=0,FALSE)</f>
        <v>1</v>
      </c>
      <c r="M124" s="52" t="str">
        <f>ifs(AND($K124=FALSE,$L124=TRUE),"",AND($K124=FALSE,L124=FALSE),"",AND($K124=TRUE,$L124=TRUE),VLOOKUP($A124,UASCAN!D:F,3,0), AND($K124=TRUE,$L124=FALSE),VLOOKUP($A124,UASCAN!D:F,3,0))</f>
        <v/>
      </c>
      <c r="N124" s="53" t="str">
        <f t="shared" si="2"/>
        <v> </v>
      </c>
      <c r="O124" s="53" t="str">
        <f t="shared" si="3"/>
        <v/>
      </c>
    </row>
    <row r="125">
      <c r="A125" s="47" t="str">
        <f t="shared" si="1"/>
        <v>1230544566</v>
      </c>
      <c r="B125" s="48">
        <v>12305.0</v>
      </c>
      <c r="C125" s="49">
        <v>0.4583333333333333</v>
      </c>
      <c r="D125" s="48" t="s">
        <v>1378</v>
      </c>
      <c r="E125" s="50">
        <v>21728.0</v>
      </c>
      <c r="F125" s="51">
        <v>44566.0</v>
      </c>
      <c r="G125" s="48" t="s">
        <v>5</v>
      </c>
      <c r="H125" s="48" t="s">
        <v>6218</v>
      </c>
      <c r="I125" s="48" t="s">
        <v>6219</v>
      </c>
      <c r="J125" s="48" t="s">
        <v>6137</v>
      </c>
      <c r="K125" s="52" t="b">
        <f>IFS($B125=FALSE,"", countif(VLOOKUP($A125,UASCAN!D:D,1,FALSE),$A125)&gt;=1,TRUE,countif(VLOOKUP($B125,UASCAN!D:D,1,FALSE),$B125)=0,FALSE)</f>
        <v>0</v>
      </c>
      <c r="L125" s="52" t="b">
        <f>IFS(B125=FALSE,"", countif(VLOOKUP($B125,'01052022'!B:B,1,FALSE),$B125)&gt;=1,TRUE,countif(VLOOKUP($B125,'01052022'!B:B,1,FALSE),$B125)=0,FALSE)</f>
        <v>1</v>
      </c>
      <c r="M125" s="52" t="str">
        <f>ifs(AND($K125=FALSE,$L125=TRUE),"",AND($K125=FALSE,L125=FALSE),"",AND($K125=TRUE,$L125=TRUE),VLOOKUP($A125,UASCAN!D:F,3,0), AND($K125=TRUE,$L125=FALSE),VLOOKUP($A125,UASCAN!D:F,3,0))</f>
        <v/>
      </c>
      <c r="N125" s="53" t="str">
        <f t="shared" si="2"/>
        <v> </v>
      </c>
      <c r="O125" s="53" t="str">
        <f t="shared" si="3"/>
        <v/>
      </c>
    </row>
    <row r="126">
      <c r="A126" s="47" t="str">
        <f t="shared" si="1"/>
        <v>1151844566</v>
      </c>
      <c r="B126" s="48">
        <v>11518.0</v>
      </c>
      <c r="C126" s="49">
        <v>0.4583333333333333</v>
      </c>
      <c r="D126" s="48" t="s">
        <v>992</v>
      </c>
      <c r="E126" s="50">
        <v>20702.0</v>
      </c>
      <c r="F126" s="51">
        <v>44566.0</v>
      </c>
      <c r="G126" s="48" t="s">
        <v>6216</v>
      </c>
      <c r="H126" s="48" t="s">
        <v>6218</v>
      </c>
      <c r="I126" s="48" t="s">
        <v>6219</v>
      </c>
      <c r="J126" s="48" t="s">
        <v>6196</v>
      </c>
      <c r="K126" s="52" t="b">
        <f>IFS($B126=FALSE,"", countif(VLOOKUP($A126,UASCAN!D:D,1,FALSE),$A126)&gt;=1,TRUE,countif(VLOOKUP($B126,UASCAN!D:D,1,FALSE),$B126)=0,FALSE)</f>
        <v>0</v>
      </c>
      <c r="L126" s="52" t="b">
        <f>IFS(B126=FALSE,"", countif(VLOOKUP($B126,'01052022'!B:B,1,FALSE),$B126)&gt;=1,TRUE,countif(VLOOKUP($B126,'01052022'!B:B,1,FALSE),$B126)=0,FALSE)</f>
        <v>1</v>
      </c>
      <c r="M126" s="52" t="str">
        <f>ifs(AND($K126=FALSE,$L126=TRUE),"",AND($K126=FALSE,L126=FALSE),"",AND($K126=TRUE,$L126=TRUE),VLOOKUP($A126,UASCAN!D:F,3,0), AND($K126=TRUE,$L126=FALSE),VLOOKUP($A126,UASCAN!D:F,3,0))</f>
        <v/>
      </c>
      <c r="N126" s="53" t="str">
        <f t="shared" si="2"/>
        <v> </v>
      </c>
      <c r="O126" s="53" t="str">
        <f t="shared" si="3"/>
        <v/>
      </c>
    </row>
    <row r="127">
      <c r="A127" s="47" t="str">
        <f t="shared" si="1"/>
        <v>1670544566</v>
      </c>
      <c r="B127" s="48">
        <v>16705.0</v>
      </c>
      <c r="C127" s="49">
        <v>0.5416666666666666</v>
      </c>
      <c r="D127" s="48" t="s">
        <v>718</v>
      </c>
      <c r="E127" s="50">
        <v>20001.0</v>
      </c>
      <c r="F127" s="51">
        <v>44566.0</v>
      </c>
      <c r="G127" s="48" t="s">
        <v>6216</v>
      </c>
      <c r="H127" s="48" t="s">
        <v>6218</v>
      </c>
      <c r="I127" s="48" t="s">
        <v>6219</v>
      </c>
      <c r="J127" s="48" t="s">
        <v>6189</v>
      </c>
      <c r="K127" s="52" t="b">
        <f>IFS($B127=FALSE,"", countif(VLOOKUP($A127,UASCAN!D:D,1,FALSE),$A127)&gt;=1,TRUE,countif(VLOOKUP($B127,UASCAN!D:D,1,FALSE),$B127)=0,FALSE)</f>
        <v>0</v>
      </c>
      <c r="L127" s="52" t="b">
        <f>IFS(B127=FALSE,"", countif(VLOOKUP($B127,'01052022'!B:B,1,FALSE),$B127)&gt;=1,TRUE,countif(VLOOKUP($B127,'01052022'!B:B,1,FALSE),$B127)=0,FALSE)</f>
        <v>1</v>
      </c>
      <c r="M127" s="52" t="str">
        <f>ifs(AND($K127=FALSE,$L127=TRUE),"",AND($K127=FALSE,L127=FALSE),"",AND($K127=TRUE,$L127=TRUE),VLOOKUP($A127,UASCAN!D:F,3,0), AND($K127=TRUE,$L127=FALSE),VLOOKUP($A127,UASCAN!D:F,3,0))</f>
        <v/>
      </c>
      <c r="N127" s="53" t="str">
        <f t="shared" si="2"/>
        <v> </v>
      </c>
      <c r="O127" s="53" t="str">
        <f t="shared" si="3"/>
        <v/>
      </c>
    </row>
    <row r="128">
      <c r="A128" s="47" t="str">
        <f t="shared" si="1"/>
        <v>1687544566</v>
      </c>
      <c r="B128" s="48">
        <v>16875.0</v>
      </c>
      <c r="C128" s="49">
        <v>0.5416666666666666</v>
      </c>
      <c r="D128" s="48" t="s">
        <v>5025</v>
      </c>
      <c r="E128" s="50">
        <v>19869.0</v>
      </c>
      <c r="F128" s="51">
        <v>44566.0</v>
      </c>
      <c r="G128" s="48" t="s">
        <v>5</v>
      </c>
      <c r="H128" s="48" t="s">
        <v>6218</v>
      </c>
      <c r="I128" s="48" t="s">
        <v>6219</v>
      </c>
      <c r="J128" s="48" t="s">
        <v>6199</v>
      </c>
      <c r="K128" s="52" t="b">
        <f>IFS($B128=FALSE,"", countif(VLOOKUP($A128,UASCAN!D:D,1,FALSE),$A128)&gt;=1,TRUE,countif(VLOOKUP($B128,UASCAN!D:D,1,FALSE),$B128)=0,FALSE)</f>
        <v>0</v>
      </c>
      <c r="L128" s="52" t="b">
        <f>IFS(B128=FALSE,"", countif(VLOOKUP($B128,'01052022'!B:B,1,FALSE),$B128)&gt;=1,TRUE,countif(VLOOKUP($B128,'01052022'!B:B,1,FALSE),$B128)=0,FALSE)</f>
        <v>1</v>
      </c>
      <c r="M128" s="52" t="str">
        <f>ifs(AND($K128=FALSE,$L128=TRUE),"",AND($K128=FALSE,L128=FALSE),"",AND($K128=TRUE,$L128=TRUE),VLOOKUP($A128,UASCAN!D:F,3,0), AND($K128=TRUE,$L128=FALSE),VLOOKUP($A128,UASCAN!D:F,3,0))</f>
        <v/>
      </c>
      <c r="N128" s="53" t="str">
        <f t="shared" si="2"/>
        <v> </v>
      </c>
      <c r="O128" s="53" t="str">
        <f t="shared" si="3"/>
        <v/>
      </c>
    </row>
    <row r="129">
      <c r="A129" s="47" t="str">
        <f t="shared" si="1"/>
        <v>1498744566</v>
      </c>
      <c r="B129" s="48">
        <v>14987.0</v>
      </c>
      <c r="C129" s="49">
        <v>0.5833333333333334</v>
      </c>
      <c r="D129" s="48" t="s">
        <v>3464</v>
      </c>
      <c r="E129" s="50">
        <v>27390.0</v>
      </c>
      <c r="F129" s="51">
        <v>44566.0</v>
      </c>
      <c r="G129" s="48" t="s">
        <v>6220</v>
      </c>
      <c r="H129" s="48" t="s">
        <v>6218</v>
      </c>
      <c r="I129" s="48" t="s">
        <v>6219</v>
      </c>
      <c r="J129" s="48" t="s">
        <v>6195</v>
      </c>
      <c r="K129" s="52" t="b">
        <f>IFS($B129=FALSE,"", countif(VLOOKUP($A129,UASCAN!D:D,1,FALSE),$A129)&gt;=1,TRUE,countif(VLOOKUP($B129,UASCAN!D:D,1,FALSE),$B129)=0,FALSE)</f>
        <v>0</v>
      </c>
      <c r="L129" s="52" t="b">
        <f>IFS(B129=FALSE,"", countif(VLOOKUP($B129,'01052022'!B:B,1,FALSE),$B129)&gt;=1,TRUE,countif(VLOOKUP($B129,'01052022'!B:B,1,FALSE),$B129)=0,FALSE)</f>
        <v>1</v>
      </c>
      <c r="M129" s="52" t="str">
        <f>ifs(AND($K129=FALSE,$L129=TRUE),"",AND($K129=FALSE,L129=FALSE),"",AND($K129=TRUE,$L129=TRUE),VLOOKUP($A129,UASCAN!D:F,3,0), AND($K129=TRUE,$L129=FALSE),VLOOKUP($A129,UASCAN!D:F,3,0))</f>
        <v/>
      </c>
      <c r="N129" s="53" t="str">
        <f t="shared" si="2"/>
        <v> </v>
      </c>
      <c r="O129" s="53" t="str">
        <f t="shared" si="3"/>
        <v/>
      </c>
    </row>
    <row r="130">
      <c r="A130" s="47" t="str">
        <f t="shared" si="1"/>
        <v>1620244566</v>
      </c>
      <c r="B130" s="48">
        <v>16202.0</v>
      </c>
      <c r="C130" s="49">
        <v>0.6354166666666666</v>
      </c>
      <c r="D130" s="48" t="s">
        <v>4510</v>
      </c>
      <c r="E130" s="50">
        <v>24456.0</v>
      </c>
      <c r="F130" s="51">
        <v>44566.0</v>
      </c>
      <c r="G130" s="48" t="s">
        <v>5</v>
      </c>
      <c r="H130" s="48" t="s">
        <v>6218</v>
      </c>
      <c r="I130" s="48" t="s">
        <v>6219</v>
      </c>
      <c r="J130" s="48" t="s">
        <v>6117</v>
      </c>
      <c r="K130" s="52" t="b">
        <f>IFS($B130=FALSE,"", countif(VLOOKUP($A130,UASCAN!D:D,1,FALSE),$A130)&gt;=1,TRUE,countif(VLOOKUP($B130,UASCAN!D:D,1,FALSE),$B130)=0,FALSE)</f>
        <v>0</v>
      </c>
      <c r="L130" s="52" t="b">
        <f>IFS(B130=FALSE,"", countif(VLOOKUP($B130,'01052022'!B:B,1,FALSE),$B130)&gt;=1,TRUE,countif(VLOOKUP($B130,'01052022'!B:B,1,FALSE),$B130)=0,FALSE)</f>
        <v>1</v>
      </c>
      <c r="M130" s="52" t="str">
        <f>ifs(AND($K130=FALSE,$L130=TRUE),"",AND($K130=FALSE,L130=FALSE),"",AND($K130=TRUE,$L130=TRUE),VLOOKUP($A130,UASCAN!D:F,3,0), AND($K130=TRUE,$L130=FALSE),VLOOKUP($A130,UASCAN!D:F,3,0))</f>
        <v/>
      </c>
      <c r="N130" s="53" t="str">
        <f t="shared" si="2"/>
        <v> </v>
      </c>
      <c r="O130" s="53" t="str">
        <f t="shared" si="3"/>
        <v/>
      </c>
    </row>
    <row r="131">
      <c r="A131" s="47" t="str">
        <f t="shared" si="1"/>
        <v>1591644566</v>
      </c>
      <c r="B131" s="48">
        <v>15916.0</v>
      </c>
      <c r="C131" s="49">
        <v>0.4166666666666667</v>
      </c>
      <c r="D131" s="48" t="s">
        <v>4267</v>
      </c>
      <c r="E131" s="50">
        <v>24736.0</v>
      </c>
      <c r="F131" s="51">
        <v>44566.0</v>
      </c>
      <c r="G131" s="48" t="s">
        <v>6220</v>
      </c>
      <c r="H131" s="48" t="s">
        <v>6211</v>
      </c>
      <c r="I131" s="48" t="s">
        <v>6212</v>
      </c>
      <c r="J131" s="48" t="s">
        <v>6142</v>
      </c>
      <c r="K131" s="52" t="b">
        <f>IFS($B131=FALSE,"", countif(VLOOKUP($A131,UASCAN!D:D,1,FALSE),$A131)&gt;=1,TRUE,countif(VLOOKUP($B131,UASCAN!D:D,1,FALSE),$B131)=0,FALSE)</f>
        <v>0</v>
      </c>
      <c r="L131" s="52" t="b">
        <f>IFS(B131=FALSE,"", countif(VLOOKUP($B131,'01052022'!B:B,1,FALSE),$B131)&gt;=1,TRUE,countif(VLOOKUP($B131,'01052022'!B:B,1,FALSE),$B131)=0,FALSE)</f>
        <v>1</v>
      </c>
      <c r="M131" s="52" t="str">
        <f>ifs(AND($K131=FALSE,$L131=TRUE),"",AND($K131=FALSE,L131=FALSE),"",AND($K131=TRUE,$L131=TRUE),VLOOKUP($A131,UASCAN!D:F,3,0), AND($K131=TRUE,$L131=FALSE),VLOOKUP($A131,UASCAN!D:F,3,0))</f>
        <v/>
      </c>
      <c r="N131" s="53" t="str">
        <f t="shared" si="2"/>
        <v> </v>
      </c>
      <c r="O131" s="53" t="str">
        <f t="shared" si="3"/>
        <v/>
      </c>
    </row>
    <row r="132">
      <c r="A132" s="47" t="str">
        <f t="shared" si="1"/>
        <v>1373944566</v>
      </c>
      <c r="B132" s="48">
        <v>13739.0</v>
      </c>
      <c r="C132" s="49">
        <v>0.4270833333333333</v>
      </c>
      <c r="D132" s="48" t="s">
        <v>2469</v>
      </c>
      <c r="E132" s="50">
        <v>22361.0</v>
      </c>
      <c r="F132" s="51">
        <v>44566.0</v>
      </c>
      <c r="G132" s="48" t="s">
        <v>6220</v>
      </c>
      <c r="H132" s="48" t="s">
        <v>6211</v>
      </c>
      <c r="I132" s="48" t="s">
        <v>6212</v>
      </c>
      <c r="J132" s="48" t="s">
        <v>6196</v>
      </c>
      <c r="K132" s="52" t="b">
        <f>IFS($B132=FALSE,"", countif(VLOOKUP($A132,UASCAN!D:D,1,FALSE),$A132)&gt;=1,TRUE,countif(VLOOKUP($B132,UASCAN!D:D,1,FALSE),$B132)=0,FALSE)</f>
        <v>0</v>
      </c>
      <c r="L132" s="52" t="b">
        <f>IFS(B132=FALSE,"", countif(VLOOKUP($B132,'01052022'!B:B,1,FALSE),$B132)&gt;=1,TRUE,countif(VLOOKUP($B132,'01052022'!B:B,1,FALSE),$B132)=0,FALSE)</f>
        <v>1</v>
      </c>
      <c r="M132" s="52" t="str">
        <f>ifs(AND($K132=FALSE,$L132=TRUE),"",AND($K132=FALSE,L132=FALSE),"",AND($K132=TRUE,$L132=TRUE),VLOOKUP($A132,UASCAN!D:F,3,0), AND($K132=TRUE,$L132=FALSE),VLOOKUP($A132,UASCAN!D:F,3,0))</f>
        <v/>
      </c>
      <c r="N132" s="53" t="str">
        <f t="shared" si="2"/>
        <v> </v>
      </c>
      <c r="O132" s="53" t="str">
        <f t="shared" si="3"/>
        <v/>
      </c>
    </row>
    <row r="133">
      <c r="A133" s="47" t="str">
        <f t="shared" si="1"/>
        <v>1172744566</v>
      </c>
      <c r="B133" s="48">
        <v>11727.0</v>
      </c>
      <c r="C133" s="49">
        <v>0.4583333333333333</v>
      </c>
      <c r="D133" s="48" t="s">
        <v>1080</v>
      </c>
      <c r="E133" s="50">
        <v>17812.0</v>
      </c>
      <c r="F133" s="51">
        <v>44566.0</v>
      </c>
      <c r="G133" s="48" t="s">
        <v>6220</v>
      </c>
      <c r="H133" s="48" t="s">
        <v>6211</v>
      </c>
      <c r="I133" s="48" t="s">
        <v>6212</v>
      </c>
      <c r="J133" s="48" t="s">
        <v>6190</v>
      </c>
      <c r="K133" s="52" t="b">
        <f>IFS($B133=FALSE,"", countif(VLOOKUP($A133,UASCAN!D:D,1,FALSE),$A133)&gt;=1,TRUE,countif(VLOOKUP($B133,UASCAN!D:D,1,FALSE),$B133)=0,FALSE)</f>
        <v>0</v>
      </c>
      <c r="L133" s="52" t="b">
        <f>IFS(B133=FALSE,"", countif(VLOOKUP($B133,'01052022'!B:B,1,FALSE),$B133)&gt;=1,TRUE,countif(VLOOKUP($B133,'01052022'!B:B,1,FALSE),$B133)=0,FALSE)</f>
        <v>1</v>
      </c>
      <c r="M133" s="52" t="str">
        <f>ifs(AND($K133=FALSE,$L133=TRUE),"",AND($K133=FALSE,L133=FALSE),"",AND($K133=TRUE,$L133=TRUE),VLOOKUP($A133,UASCAN!D:F,3,0), AND($K133=TRUE,$L133=FALSE),VLOOKUP($A133,UASCAN!D:F,3,0))</f>
        <v/>
      </c>
      <c r="N133" s="53" t="str">
        <f t="shared" si="2"/>
        <v> </v>
      </c>
      <c r="O133" s="53" t="str">
        <f t="shared" si="3"/>
        <v/>
      </c>
    </row>
    <row r="134">
      <c r="A134" s="47" t="str">
        <f t="shared" si="1"/>
        <v>1419444566</v>
      </c>
      <c r="B134" s="48">
        <v>14194.0</v>
      </c>
      <c r="C134" s="49">
        <v>0.46875</v>
      </c>
      <c r="D134" s="48" t="s">
        <v>2815</v>
      </c>
      <c r="E134" s="50">
        <v>25721.0</v>
      </c>
      <c r="F134" s="51">
        <v>44566.0</v>
      </c>
      <c r="G134" s="48" t="s">
        <v>6215</v>
      </c>
      <c r="H134" s="48" t="s">
        <v>6211</v>
      </c>
      <c r="I134" s="48" t="s">
        <v>6212</v>
      </c>
      <c r="J134" s="48" t="s">
        <v>6154</v>
      </c>
      <c r="K134" s="52" t="b">
        <f>IFS($B134=FALSE,"", countif(VLOOKUP($A134,UASCAN!D:D,1,FALSE),$A134)&gt;=1,TRUE,countif(VLOOKUP($B134,UASCAN!D:D,1,FALSE),$B134)=0,FALSE)</f>
        <v>0</v>
      </c>
      <c r="L134" s="52" t="b">
        <f>IFS(B134=FALSE,"", countif(VLOOKUP($B134,'01052022'!B:B,1,FALSE),$B134)&gt;=1,TRUE,countif(VLOOKUP($B134,'01052022'!B:B,1,FALSE),$B134)=0,FALSE)</f>
        <v>1</v>
      </c>
      <c r="M134" s="52" t="str">
        <f>ifs(AND($K134=FALSE,$L134=TRUE),"",AND($K134=FALSE,L134=FALSE),"",AND($K134=TRUE,$L134=TRUE),VLOOKUP($A134,UASCAN!D:F,3,0), AND($K134=TRUE,$L134=FALSE),VLOOKUP($A134,UASCAN!D:F,3,0))</f>
        <v/>
      </c>
      <c r="N134" s="53" t="str">
        <f t="shared" si="2"/>
        <v> </v>
      </c>
      <c r="O134" s="53" t="str">
        <f t="shared" si="3"/>
        <v/>
      </c>
    </row>
    <row r="135">
      <c r="A135" s="47" t="str">
        <f t="shared" si="1"/>
        <v>1414444566</v>
      </c>
      <c r="B135" s="48">
        <v>14144.0</v>
      </c>
      <c r="C135" s="49">
        <v>0.4895833333333333</v>
      </c>
      <c r="D135" s="48" t="s">
        <v>2782</v>
      </c>
      <c r="E135" s="50">
        <v>15387.0</v>
      </c>
      <c r="F135" s="51">
        <v>44566.0</v>
      </c>
      <c r="G135" s="48" t="s">
        <v>6216</v>
      </c>
      <c r="H135" s="48" t="s">
        <v>6211</v>
      </c>
      <c r="I135" s="48" t="s">
        <v>6212</v>
      </c>
      <c r="J135" s="48" t="s">
        <v>6189</v>
      </c>
      <c r="K135" s="52" t="b">
        <f>IFS($B135=FALSE,"", countif(VLOOKUP($A135,UASCAN!D:D,1,FALSE),$A135)&gt;=1,TRUE,countif(VLOOKUP($B135,UASCAN!D:D,1,FALSE),$B135)=0,FALSE)</f>
        <v>0</v>
      </c>
      <c r="L135" s="52" t="b">
        <f>IFS(B135=FALSE,"", countif(VLOOKUP($B135,'01052022'!B:B,1,FALSE),$B135)&gt;=1,TRUE,countif(VLOOKUP($B135,'01052022'!B:B,1,FALSE),$B135)=0,FALSE)</f>
        <v>1</v>
      </c>
      <c r="M135" s="52" t="str">
        <f>ifs(AND($K135=FALSE,$L135=TRUE),"",AND($K135=FALSE,L135=FALSE),"",AND($K135=TRUE,$L135=TRUE),VLOOKUP($A135,UASCAN!D:F,3,0), AND($K135=TRUE,$L135=FALSE),VLOOKUP($A135,UASCAN!D:F,3,0))</f>
        <v/>
      </c>
      <c r="N135" s="53" t="str">
        <f t="shared" si="2"/>
        <v> </v>
      </c>
      <c r="O135" s="53" t="str">
        <f t="shared" si="3"/>
        <v/>
      </c>
    </row>
    <row r="136">
      <c r="A136" s="47" t="str">
        <f t="shared" si="1"/>
        <v>1777844566</v>
      </c>
      <c r="B136" s="48">
        <v>17778.0</v>
      </c>
      <c r="C136" s="49">
        <v>0.5729166666666666</v>
      </c>
      <c r="D136" s="48" t="s">
        <v>5909</v>
      </c>
      <c r="E136" s="50">
        <v>19156.0</v>
      </c>
      <c r="F136" s="51">
        <v>44566.0</v>
      </c>
      <c r="G136" s="48" t="s">
        <v>6214</v>
      </c>
      <c r="H136" s="48" t="s">
        <v>6211</v>
      </c>
      <c r="I136" s="48" t="s">
        <v>6212</v>
      </c>
      <c r="J136" s="48" t="s">
        <v>6195</v>
      </c>
      <c r="K136" s="52" t="b">
        <f>IFS($B136=FALSE,"", countif(VLOOKUP($A136,UASCAN!D:D,1,FALSE),$A136)&gt;=1,TRUE,countif(VLOOKUP($B136,UASCAN!D:D,1,FALSE),$B136)=0,FALSE)</f>
        <v>0</v>
      </c>
      <c r="L136" s="52" t="b">
        <f>IFS(B136=FALSE,"", countif(VLOOKUP($B136,'01052022'!B:B,1,FALSE),$B136)&gt;=1,TRUE,countif(VLOOKUP($B136,'01052022'!B:B,1,FALSE),$B136)=0,FALSE)</f>
        <v>1</v>
      </c>
      <c r="M136" s="52" t="str">
        <f>ifs(AND($K136=FALSE,$L136=TRUE),"",AND($K136=FALSE,L136=FALSE),"",AND($K136=TRUE,$L136=TRUE),VLOOKUP($A136,UASCAN!D:F,3,0), AND($K136=TRUE,$L136=FALSE),VLOOKUP($A136,UASCAN!D:F,3,0))</f>
        <v/>
      </c>
      <c r="N136" s="53" t="str">
        <f t="shared" si="2"/>
        <v> </v>
      </c>
      <c r="O136" s="53" t="str">
        <f t="shared" si="3"/>
        <v/>
      </c>
    </row>
    <row r="137">
      <c r="A137" s="47" t="str">
        <f t="shared" si="1"/>
        <v>1590144566</v>
      </c>
      <c r="B137" s="48">
        <v>15901.0</v>
      </c>
      <c r="C137" s="49">
        <v>0.5729166666666666</v>
      </c>
      <c r="D137" s="48" t="s">
        <v>4255</v>
      </c>
      <c r="E137" s="50">
        <v>21182.0</v>
      </c>
      <c r="F137" s="51">
        <v>44566.0</v>
      </c>
      <c r="G137" s="48" t="s">
        <v>5</v>
      </c>
      <c r="H137" s="48" t="s">
        <v>6211</v>
      </c>
      <c r="I137" s="48" t="s">
        <v>6212</v>
      </c>
      <c r="J137" s="48" t="s">
        <v>6185</v>
      </c>
      <c r="K137" s="52" t="b">
        <f>IFS($B137=FALSE,"", countif(VLOOKUP($A137,UASCAN!D:D,1,FALSE),$A137)&gt;=1,TRUE,countif(VLOOKUP($B137,UASCAN!D:D,1,FALSE),$B137)=0,FALSE)</f>
        <v>0</v>
      </c>
      <c r="L137" s="52" t="b">
        <f>IFS(B137=FALSE,"", countif(VLOOKUP($B137,'01052022'!B:B,1,FALSE),$B137)&gt;=1,TRUE,countif(VLOOKUP($B137,'01052022'!B:B,1,FALSE),$B137)=0,FALSE)</f>
        <v>1</v>
      </c>
      <c r="M137" s="52" t="str">
        <f>ifs(AND($K137=FALSE,$L137=TRUE),"",AND($K137=FALSE,L137=FALSE),"",AND($K137=TRUE,$L137=TRUE),VLOOKUP($A137,UASCAN!D:F,3,0), AND($K137=TRUE,$L137=FALSE),VLOOKUP($A137,UASCAN!D:F,3,0))</f>
        <v/>
      </c>
      <c r="N137" s="53" t="str">
        <f t="shared" si="2"/>
        <v> </v>
      </c>
      <c r="O137" s="53" t="str">
        <f t="shared" si="3"/>
        <v/>
      </c>
    </row>
    <row r="138">
      <c r="A138" s="47" t="str">
        <f t="shared" si="1"/>
        <v>1779544566</v>
      </c>
      <c r="B138" s="48">
        <v>17795.0</v>
      </c>
      <c r="C138" s="49">
        <v>0.6041666666666666</v>
      </c>
      <c r="D138" s="48" t="s">
        <v>5947</v>
      </c>
      <c r="E138" s="50">
        <v>27896.0</v>
      </c>
      <c r="F138" s="51">
        <v>44566.0</v>
      </c>
      <c r="G138" s="48" t="s">
        <v>6213</v>
      </c>
      <c r="H138" s="48" t="s">
        <v>6211</v>
      </c>
      <c r="I138" s="48" t="s">
        <v>6212</v>
      </c>
      <c r="J138" s="48" t="s">
        <v>6137</v>
      </c>
      <c r="K138" s="52" t="b">
        <f>IFS($B138=FALSE,"", countif(VLOOKUP($A138,UASCAN!D:D,1,FALSE),$A138)&gt;=1,TRUE,countif(VLOOKUP($B138,UASCAN!D:D,1,FALSE),$B138)=0,FALSE)</f>
        <v>0</v>
      </c>
      <c r="L138" s="52" t="b">
        <f>IFS(B138=FALSE,"", countif(VLOOKUP($B138,'01052022'!B:B,1,FALSE),$B138)&gt;=1,TRUE,countif(VLOOKUP($B138,'01052022'!B:B,1,FALSE),$B138)=0,FALSE)</f>
        <v>1</v>
      </c>
      <c r="M138" s="52" t="str">
        <f>ifs(AND($K138=FALSE,$L138=TRUE),"",AND($K138=FALSE,L138=FALSE),"",AND($K138=TRUE,$L138=TRUE),VLOOKUP($A138,UASCAN!D:F,3,0), AND($K138=TRUE,$L138=FALSE),VLOOKUP($A138,UASCAN!D:F,3,0))</f>
        <v/>
      </c>
      <c r="N138" s="53" t="str">
        <f t="shared" si="2"/>
        <v> </v>
      </c>
      <c r="O138" s="53" t="str">
        <f t="shared" si="3"/>
        <v/>
      </c>
    </row>
    <row r="139">
      <c r="A139" s="47" t="str">
        <f t="shared" si="1"/>
        <v>1246244566</v>
      </c>
      <c r="B139" s="48">
        <v>12462.0</v>
      </c>
      <c r="C139" s="49">
        <v>0.625</v>
      </c>
      <c r="D139" s="48" t="s">
        <v>5795</v>
      </c>
      <c r="E139" s="50">
        <v>34256.0</v>
      </c>
      <c r="F139" s="51">
        <v>44566.0</v>
      </c>
      <c r="G139" s="48" t="s">
        <v>5</v>
      </c>
      <c r="H139" s="48" t="s">
        <v>6211</v>
      </c>
      <c r="I139" s="48" t="s">
        <v>6212</v>
      </c>
      <c r="J139" s="48" t="s">
        <v>6103</v>
      </c>
      <c r="K139" s="52" t="b">
        <f>IFS($B139=FALSE,"", countif(VLOOKUP($A139,UASCAN!D:D,1,FALSE),$A139)&gt;=1,TRUE,countif(VLOOKUP($B139,UASCAN!D:D,1,FALSE),$B139)=0,FALSE)</f>
        <v>0</v>
      </c>
      <c r="L139" s="52" t="b">
        <f>IFS(B139=FALSE,"", countif(VLOOKUP($B139,'01052022'!B:B,1,FALSE),$B139)&gt;=1,TRUE,countif(VLOOKUP($B139,'01052022'!B:B,1,FALSE),$B139)=0,FALSE)</f>
        <v>1</v>
      </c>
      <c r="M139" s="52" t="str">
        <f>ifs(AND($K139=FALSE,$L139=TRUE),"",AND($K139=FALSE,L139=FALSE),"",AND($K139=TRUE,$L139=TRUE),VLOOKUP($A139,UASCAN!D:F,3,0), AND($K139=TRUE,$L139=FALSE),VLOOKUP($A139,UASCAN!D:F,3,0))</f>
        <v/>
      </c>
      <c r="N139" s="53" t="str">
        <f t="shared" si="2"/>
        <v> </v>
      </c>
      <c r="O139" s="53" t="str">
        <f t="shared" si="3"/>
        <v/>
      </c>
    </row>
    <row r="140">
      <c r="A140" s="47" t="str">
        <f t="shared" si="1"/>
        <v>1612844567</v>
      </c>
      <c r="B140" s="48">
        <v>16128.0</v>
      </c>
      <c r="C140" s="49">
        <v>0.34375</v>
      </c>
      <c r="D140" s="48" t="s">
        <v>4450</v>
      </c>
      <c r="E140" s="50">
        <v>16663.0</v>
      </c>
      <c r="F140" s="51">
        <v>44567.0</v>
      </c>
      <c r="G140" s="48" t="s">
        <v>6215</v>
      </c>
      <c r="H140" s="48" t="s">
        <v>6211</v>
      </c>
      <c r="I140" s="48" t="s">
        <v>6212</v>
      </c>
      <c r="J140" s="48" t="s">
        <v>6187</v>
      </c>
      <c r="K140" s="52" t="b">
        <f>IFS($B140=FALSE,"", countif(VLOOKUP($A140,UASCAN!D:D,1,FALSE),$A140)&gt;=1,TRUE,countif(VLOOKUP($B140,UASCAN!D:D,1,FALSE),$B140)=0,FALSE)</f>
        <v>0</v>
      </c>
      <c r="L140" s="52" t="b">
        <f>IFS(B140=FALSE,"", countif(VLOOKUP($B140,'01062022'!B:B,1,FALSE),$B140)&gt;=1,TRUE,countif(VLOOKUP($B140,'01062022'!B:B,1,FALSE),$B140)=0,FALSE)</f>
        <v>1</v>
      </c>
      <c r="M140" s="52" t="str">
        <f>ifs(AND($K140=FALSE,$L140=TRUE),"",AND($K140=FALSE,L140=FALSE),"",AND($K140=TRUE,$L140=TRUE),VLOOKUP($A140,UASCAN!D:F,3,0), AND($K140=TRUE,$L140=FALSE),VLOOKUP($A140,UASCAN!D:F,3,0))</f>
        <v/>
      </c>
      <c r="N140" s="53" t="str">
        <f t="shared" si="2"/>
        <v> </v>
      </c>
      <c r="O140" s="53" t="str">
        <f t="shared" si="3"/>
        <v/>
      </c>
    </row>
    <row r="141">
      <c r="A141" s="47" t="str">
        <f t="shared" si="1"/>
        <v>1634844567</v>
      </c>
      <c r="B141" s="48">
        <v>16348.0</v>
      </c>
      <c r="C141" s="49">
        <v>0.3854166666666667</v>
      </c>
      <c r="D141" s="48" t="s">
        <v>4623</v>
      </c>
      <c r="E141" s="50">
        <v>15288.0</v>
      </c>
      <c r="F141" s="51">
        <v>44567.0</v>
      </c>
      <c r="G141" s="48" t="s">
        <v>6215</v>
      </c>
      <c r="H141" s="48" t="s">
        <v>6211</v>
      </c>
      <c r="I141" s="48" t="s">
        <v>6212</v>
      </c>
      <c r="J141" s="48" t="s">
        <v>6094</v>
      </c>
      <c r="K141" s="52" t="b">
        <f>IFS($B141=FALSE,"", countif(VLOOKUP($A141,UASCAN!D:D,1,FALSE),$A141)&gt;=1,TRUE,countif(VLOOKUP($B141,UASCAN!D:D,1,FALSE),$B141)=0,FALSE)</f>
        <v>0</v>
      </c>
      <c r="L141" s="52" t="b">
        <f>IFS(B141=FALSE,"", countif(VLOOKUP($B141,'01062022'!B:B,1,FALSE),$B141)&gt;=1,TRUE,countif(VLOOKUP($B141,'01062022'!B:B,1,FALSE),$B141)=0,FALSE)</f>
        <v>1</v>
      </c>
      <c r="M141" s="52" t="str">
        <f>ifs(AND($K141=FALSE,$L141=TRUE),"",AND($K141=FALSE,L141=FALSE),"",AND($K141=TRUE,$L141=TRUE),VLOOKUP($A141,UASCAN!D:F,3,0), AND($K141=TRUE,$L141=FALSE),VLOOKUP($A141,UASCAN!D:F,3,0))</f>
        <v/>
      </c>
      <c r="N141" s="53" t="str">
        <f t="shared" si="2"/>
        <v> </v>
      </c>
      <c r="O141" s="53" t="str">
        <f t="shared" si="3"/>
        <v/>
      </c>
    </row>
    <row r="142">
      <c r="A142" s="47" t="str">
        <f t="shared" si="1"/>
        <v>1626044567</v>
      </c>
      <c r="B142" s="48">
        <v>16260.0</v>
      </c>
      <c r="C142" s="49">
        <v>0.3854166666666667</v>
      </c>
      <c r="D142" s="48" t="s">
        <v>4559</v>
      </c>
      <c r="E142" s="50">
        <v>17025.0</v>
      </c>
      <c r="F142" s="51">
        <v>44567.0</v>
      </c>
      <c r="G142" s="48" t="s">
        <v>5</v>
      </c>
      <c r="H142" s="48" t="s">
        <v>6211</v>
      </c>
      <c r="I142" s="48" t="s">
        <v>6212</v>
      </c>
      <c r="J142" s="48" t="s">
        <v>6137</v>
      </c>
      <c r="K142" s="52" t="b">
        <f>IFS($B142=FALSE,"", countif(VLOOKUP($A142,UASCAN!D:D,1,FALSE),$A142)&gt;=1,TRUE,countif(VLOOKUP($B142,UASCAN!D:D,1,FALSE),$B142)=0,FALSE)</f>
        <v>0</v>
      </c>
      <c r="L142" s="52" t="b">
        <f>IFS(B142=FALSE,"", countif(VLOOKUP($B142,'01062022'!B:B,1,FALSE),$B142)&gt;=1,TRUE,countif(VLOOKUP($B142,'01062022'!B:B,1,FALSE),$B142)=0,FALSE)</f>
        <v>1</v>
      </c>
      <c r="M142" s="52" t="str">
        <f>ifs(AND($K142=FALSE,$L142=TRUE),"",AND($K142=FALSE,L142=FALSE),"",AND($K142=TRUE,$L142=TRUE),VLOOKUP($A142,UASCAN!D:F,3,0), AND($K142=TRUE,$L142=FALSE),VLOOKUP($A142,UASCAN!D:F,3,0))</f>
        <v/>
      </c>
      <c r="N142" s="53" t="str">
        <f t="shared" si="2"/>
        <v> </v>
      </c>
      <c r="O142" s="53" t="str">
        <f t="shared" si="3"/>
        <v/>
      </c>
    </row>
    <row r="143">
      <c r="A143" s="47" t="str">
        <f t="shared" si="1"/>
        <v>1679244567</v>
      </c>
      <c r="B143" s="48">
        <v>16792.0</v>
      </c>
      <c r="C143" s="49">
        <v>0.3854166666666667</v>
      </c>
      <c r="D143" s="48" t="s">
        <v>4963</v>
      </c>
      <c r="E143" s="50">
        <v>13375.0</v>
      </c>
      <c r="F143" s="51">
        <v>44567.0</v>
      </c>
      <c r="G143" s="48" t="s">
        <v>6216</v>
      </c>
      <c r="H143" s="48" t="s">
        <v>6211</v>
      </c>
      <c r="I143" s="48" t="s">
        <v>6212</v>
      </c>
      <c r="J143" s="48" t="s">
        <v>6196</v>
      </c>
      <c r="K143" s="52" t="b">
        <f>IFS($B143=FALSE,"", countif(VLOOKUP($A143,UASCAN!D:D,1,FALSE),$A143)&gt;=1,TRUE,countif(VLOOKUP($B143,UASCAN!D:D,1,FALSE),$B143)=0,FALSE)</f>
        <v>0</v>
      </c>
      <c r="L143" s="52" t="b">
        <f>IFS(B143=FALSE,"", countif(VLOOKUP($B143,'01062022'!B:B,1,FALSE),$B143)&gt;=1,TRUE,countif(VLOOKUP($B143,'01062022'!B:B,1,FALSE),$B143)=0,FALSE)</f>
        <v>1</v>
      </c>
      <c r="M143" s="52" t="str">
        <f>ifs(AND($K143=FALSE,$L143=TRUE),"",AND($K143=FALSE,L143=FALSE),"",AND($K143=TRUE,$L143=TRUE),VLOOKUP($A143,UASCAN!D:F,3,0), AND($K143=TRUE,$L143=FALSE),VLOOKUP($A143,UASCAN!D:F,3,0))</f>
        <v/>
      </c>
      <c r="N143" s="53" t="str">
        <f t="shared" si="2"/>
        <v> </v>
      </c>
      <c r="O143" s="53" t="str">
        <f t="shared" si="3"/>
        <v/>
      </c>
    </row>
    <row r="144">
      <c r="A144" s="47" t="str">
        <f t="shared" si="1"/>
        <v>1482144567</v>
      </c>
      <c r="B144" s="48">
        <v>14821.0</v>
      </c>
      <c r="C144" s="49">
        <v>0.3958333333333333</v>
      </c>
      <c r="D144" s="48" t="s">
        <v>3327</v>
      </c>
      <c r="E144" s="50">
        <v>21380.0</v>
      </c>
      <c r="F144" s="51">
        <v>44567.0</v>
      </c>
      <c r="G144" s="48" t="s">
        <v>6215</v>
      </c>
      <c r="H144" s="48" t="s">
        <v>6211</v>
      </c>
      <c r="I144" s="48" t="s">
        <v>6212</v>
      </c>
      <c r="J144" s="48" t="s">
        <v>6084</v>
      </c>
      <c r="K144" s="52" t="b">
        <f>IFS($B144=FALSE,"", countif(VLOOKUP($A144,UASCAN!D:D,1,FALSE),$A144)&gt;=1,TRUE,countif(VLOOKUP($B144,UASCAN!D:D,1,FALSE),$B144)=0,FALSE)</f>
        <v>0</v>
      </c>
      <c r="L144" s="52" t="b">
        <f>IFS(B144=FALSE,"", countif(VLOOKUP($B144,'01062022'!B:B,1,FALSE),$B144)&gt;=1,TRUE,countif(VLOOKUP($B144,'01062022'!B:B,1,FALSE),$B144)=0,FALSE)</f>
        <v>1</v>
      </c>
      <c r="M144" s="52" t="str">
        <f>ifs(AND($K144=FALSE,$L144=TRUE),"",AND($K144=FALSE,L144=FALSE),"",AND($K144=TRUE,$L144=TRUE),VLOOKUP($A144,UASCAN!D:F,3,0), AND($K144=TRUE,$L144=FALSE),VLOOKUP($A144,UASCAN!D:F,3,0))</f>
        <v/>
      </c>
      <c r="N144" s="53" t="str">
        <f t="shared" si="2"/>
        <v> </v>
      </c>
      <c r="O144" s="53" t="str">
        <f t="shared" si="3"/>
        <v/>
      </c>
    </row>
    <row r="145">
      <c r="A145" s="47" t="str">
        <f t="shared" si="1"/>
        <v>1771344567</v>
      </c>
      <c r="B145" s="48">
        <v>17713.0</v>
      </c>
      <c r="C145" s="49">
        <v>0.4166666666666667</v>
      </c>
      <c r="D145" s="48" t="s">
        <v>5630</v>
      </c>
      <c r="E145" s="50">
        <v>21325.0</v>
      </c>
      <c r="F145" s="51">
        <v>44567.0</v>
      </c>
      <c r="G145" s="48" t="s">
        <v>6215</v>
      </c>
      <c r="H145" s="48" t="s">
        <v>6211</v>
      </c>
      <c r="I145" s="48" t="s">
        <v>6212</v>
      </c>
      <c r="J145" s="48" t="s">
        <v>6082</v>
      </c>
      <c r="K145" s="52" t="b">
        <f>IFS($B145=FALSE,"", countif(VLOOKUP($A145,UASCAN!D:D,1,FALSE),$A145)&gt;=1,TRUE,countif(VLOOKUP($B145,UASCAN!D:D,1,FALSE),$B145)=0,FALSE)</f>
        <v>0</v>
      </c>
      <c r="L145" s="52" t="b">
        <f>IFS(B145=FALSE,"", countif(VLOOKUP($B145,'01062022'!B:B,1,FALSE),$B145)&gt;=1,TRUE,countif(VLOOKUP($B145,'01062022'!B:B,1,FALSE),$B145)=0,FALSE)</f>
        <v>1</v>
      </c>
      <c r="M145" s="52" t="str">
        <f>ifs(AND($K145=FALSE,$L145=TRUE),"",AND($K145=FALSE,L145=FALSE),"",AND($K145=TRUE,$L145=TRUE),VLOOKUP($A145,UASCAN!D:F,3,0), AND($K145=TRUE,$L145=FALSE),VLOOKUP($A145,UASCAN!D:F,3,0))</f>
        <v/>
      </c>
      <c r="N145" s="53" t="str">
        <f t="shared" si="2"/>
        <v> </v>
      </c>
      <c r="O145" s="53" t="str">
        <f t="shared" si="3"/>
        <v/>
      </c>
    </row>
    <row r="146">
      <c r="A146" s="47" t="str">
        <f t="shared" si="1"/>
        <v>1735044567</v>
      </c>
      <c r="B146" s="48">
        <v>17350.0</v>
      </c>
      <c r="C146" s="49">
        <v>0.4270833333333333</v>
      </c>
      <c r="D146" s="48" t="s">
        <v>5403</v>
      </c>
      <c r="E146" s="50">
        <v>14746.0</v>
      </c>
      <c r="F146" s="51">
        <v>44567.0</v>
      </c>
      <c r="G146" s="48" t="s">
        <v>6220</v>
      </c>
      <c r="H146" s="48" t="s">
        <v>6211</v>
      </c>
      <c r="I146" s="48" t="s">
        <v>6212</v>
      </c>
      <c r="J146" s="48" t="s">
        <v>6194</v>
      </c>
      <c r="K146" s="52" t="b">
        <f>IFS($B146=FALSE,"", countif(VLOOKUP($A146,UASCAN!D:D,1,FALSE),$A146)&gt;=1,TRUE,countif(VLOOKUP($B146,UASCAN!D:D,1,FALSE),$B146)=0,FALSE)</f>
        <v>0</v>
      </c>
      <c r="L146" s="52" t="b">
        <f>IFS(B146=FALSE,"", countif(VLOOKUP($B146,'01062022'!B:B,1,FALSE),$B146)&gt;=1,TRUE,countif(VLOOKUP($B146,'01062022'!B:B,1,FALSE),$B146)=0,FALSE)</f>
        <v>1</v>
      </c>
      <c r="M146" s="52" t="str">
        <f>ifs(AND($K146=FALSE,$L146=TRUE),"",AND($K146=FALSE,L146=FALSE),"",AND($K146=TRUE,$L146=TRUE),VLOOKUP($A146,UASCAN!D:F,3,0), AND($K146=TRUE,$L146=FALSE),VLOOKUP($A146,UASCAN!D:F,3,0))</f>
        <v/>
      </c>
      <c r="N146" s="53" t="str">
        <f t="shared" si="2"/>
        <v> </v>
      </c>
      <c r="O146" s="53" t="str">
        <f t="shared" si="3"/>
        <v/>
      </c>
    </row>
    <row r="147">
      <c r="A147" s="47" t="str">
        <f t="shared" si="1"/>
        <v>1246444567</v>
      </c>
      <c r="B147" s="48">
        <v>12464.0</v>
      </c>
      <c r="C147" s="49">
        <v>0.4375</v>
      </c>
      <c r="D147" s="48" t="s">
        <v>1477</v>
      </c>
      <c r="E147" s="50">
        <v>16294.0</v>
      </c>
      <c r="F147" s="51">
        <v>44567.0</v>
      </c>
      <c r="G147" s="48" t="s">
        <v>6216</v>
      </c>
      <c r="H147" s="48" t="s">
        <v>6211</v>
      </c>
      <c r="I147" s="48" t="s">
        <v>6212</v>
      </c>
      <c r="J147" s="48" t="s">
        <v>6196</v>
      </c>
      <c r="K147" s="52" t="b">
        <f>IFS($B147=FALSE,"", countif(VLOOKUP($A147,UASCAN!D:D,1,FALSE),$A147)&gt;=1,TRUE,countif(VLOOKUP($B147,UASCAN!D:D,1,FALSE),$B147)=0,FALSE)</f>
        <v>0</v>
      </c>
      <c r="L147" s="52" t="b">
        <f>IFS(B147=FALSE,"", countif(VLOOKUP($B147,'01062022'!B:B,1,FALSE),$B147)&gt;=1,TRUE,countif(VLOOKUP($B147,'01062022'!B:B,1,FALSE),$B147)=0,FALSE)</f>
        <v>1</v>
      </c>
      <c r="M147" s="52" t="str">
        <f>ifs(AND($K147=FALSE,$L147=TRUE),"",AND($K147=FALSE,L147=FALSE),"",AND($K147=TRUE,$L147=TRUE),VLOOKUP($A147,UASCAN!D:F,3,0), AND($K147=TRUE,$L147=FALSE),VLOOKUP($A147,UASCAN!D:F,3,0))</f>
        <v/>
      </c>
      <c r="N147" s="53" t="str">
        <f t="shared" si="2"/>
        <v> </v>
      </c>
      <c r="O147" s="53" t="str">
        <f t="shared" si="3"/>
        <v/>
      </c>
    </row>
    <row r="148">
      <c r="A148" s="47" t="str">
        <f t="shared" si="1"/>
        <v>1580644567</v>
      </c>
      <c r="B148" s="48">
        <v>15806.0</v>
      </c>
      <c r="C148" s="49">
        <v>0.4479166666666667</v>
      </c>
      <c r="D148" s="48" t="s">
        <v>4166</v>
      </c>
      <c r="E148" s="50">
        <v>18664.0</v>
      </c>
      <c r="F148" s="51">
        <v>44567.0</v>
      </c>
      <c r="G148" s="48" t="s">
        <v>6215</v>
      </c>
      <c r="H148" s="48" t="s">
        <v>6211</v>
      </c>
      <c r="I148" s="48" t="s">
        <v>6212</v>
      </c>
      <c r="J148" s="48" t="s">
        <v>6137</v>
      </c>
      <c r="K148" s="52" t="b">
        <f>IFS($B148=FALSE,"", countif(VLOOKUP($A148,UASCAN!D:D,1,FALSE),$A148)&gt;=1,TRUE,countif(VLOOKUP($B148,UASCAN!D:D,1,FALSE),$B148)=0,FALSE)</f>
        <v>0</v>
      </c>
      <c r="L148" s="52" t="b">
        <f>IFS(B148=FALSE,"", countif(VLOOKUP($B148,'01062022'!B:B,1,FALSE),$B148)&gt;=1,TRUE,countif(VLOOKUP($B148,'01062022'!B:B,1,FALSE),$B148)=0,FALSE)</f>
        <v>1</v>
      </c>
      <c r="M148" s="52" t="str">
        <f>ifs(AND($K148=FALSE,$L148=TRUE),"",AND($K148=FALSE,L148=FALSE),"",AND($K148=TRUE,$L148=TRUE),VLOOKUP($A148,UASCAN!D:F,3,0), AND($K148=TRUE,$L148=FALSE),VLOOKUP($A148,UASCAN!D:F,3,0))</f>
        <v/>
      </c>
      <c r="N148" s="53" t="str">
        <f t="shared" si="2"/>
        <v> </v>
      </c>
      <c r="O148" s="53" t="str">
        <f t="shared" si="3"/>
        <v/>
      </c>
    </row>
    <row r="149">
      <c r="A149" s="47" t="str">
        <f t="shared" si="1"/>
        <v>1701744567</v>
      </c>
      <c r="B149" s="48">
        <v>17017.0</v>
      </c>
      <c r="C149" s="49">
        <v>0.4479166666666667</v>
      </c>
      <c r="D149" s="48" t="s">
        <v>5138</v>
      </c>
      <c r="E149" s="50">
        <v>29428.0</v>
      </c>
      <c r="F149" s="51">
        <v>44567.0</v>
      </c>
      <c r="G149" s="48" t="s">
        <v>5</v>
      </c>
      <c r="H149" s="48" t="s">
        <v>6211</v>
      </c>
      <c r="I149" s="48" t="s">
        <v>6212</v>
      </c>
      <c r="J149" s="48" t="s">
        <v>6082</v>
      </c>
      <c r="K149" s="52" t="b">
        <f>IFS($B149=FALSE,"", countif(VLOOKUP($A149,UASCAN!D:D,1,FALSE),$A149)&gt;=1,TRUE,countif(VLOOKUP($B149,UASCAN!D:D,1,FALSE),$B149)=0,FALSE)</f>
        <v>0</v>
      </c>
      <c r="L149" s="52" t="b">
        <f>IFS(B149=FALSE,"", countif(VLOOKUP($B149,'01062022'!B:B,1,FALSE),$B149)&gt;=1,TRUE,countif(VLOOKUP($B149,'01062022'!B:B,1,FALSE),$B149)=0,FALSE)</f>
        <v>1</v>
      </c>
      <c r="M149" s="52" t="str">
        <f>ifs(AND($K149=FALSE,$L149=TRUE),"",AND($K149=FALSE,L149=FALSE),"",AND($K149=TRUE,$L149=TRUE),VLOOKUP($A149,UASCAN!D:F,3,0), AND($K149=TRUE,$L149=FALSE),VLOOKUP($A149,UASCAN!D:F,3,0))</f>
        <v/>
      </c>
      <c r="N149" s="53" t="str">
        <f t="shared" si="2"/>
        <v> </v>
      </c>
      <c r="O149" s="53" t="str">
        <f t="shared" si="3"/>
        <v/>
      </c>
    </row>
    <row r="150">
      <c r="A150" s="47" t="str">
        <f t="shared" si="1"/>
        <v>985344567</v>
      </c>
      <c r="B150" s="48">
        <v>9853.0</v>
      </c>
      <c r="C150" s="49">
        <v>0.46875</v>
      </c>
      <c r="D150" s="48" t="s">
        <v>320</v>
      </c>
      <c r="E150" s="50">
        <v>23125.0</v>
      </c>
      <c r="F150" s="51">
        <v>44567.0</v>
      </c>
      <c r="G150" s="48" t="s">
        <v>5</v>
      </c>
      <c r="H150" s="48" t="s">
        <v>6211</v>
      </c>
      <c r="I150" s="48" t="s">
        <v>6212</v>
      </c>
      <c r="J150" s="48" t="s">
        <v>6158</v>
      </c>
      <c r="K150" s="52" t="b">
        <f>IFS($B150=FALSE,"", countif(VLOOKUP($A150,UASCAN!D:D,1,FALSE),$A150)&gt;=1,TRUE,countif(VLOOKUP($B150,UASCAN!D:D,1,FALSE),$B150)=0,FALSE)</f>
        <v>0</v>
      </c>
      <c r="L150" s="52" t="b">
        <f>IFS(B150=FALSE,"", countif(VLOOKUP($B150,'01062022'!B:B,1,FALSE),$B150)&gt;=1,TRUE,countif(VLOOKUP($B150,'01062022'!B:B,1,FALSE),$B150)=0,FALSE)</f>
        <v>1</v>
      </c>
      <c r="M150" s="52" t="str">
        <f>ifs(AND($K150=FALSE,$L150=TRUE),"",AND($K150=FALSE,L150=FALSE),"",AND($K150=TRUE,$L150=TRUE),VLOOKUP($A150,UASCAN!D:F,3,0), AND($K150=TRUE,$L150=FALSE),VLOOKUP($A150,UASCAN!D:F,3,0))</f>
        <v/>
      </c>
      <c r="N150" s="53" t="str">
        <f t="shared" si="2"/>
        <v> </v>
      </c>
      <c r="O150" s="53" t="str">
        <f t="shared" si="3"/>
        <v/>
      </c>
    </row>
    <row r="151">
      <c r="A151" s="47" t="str">
        <f t="shared" si="1"/>
        <v>1675844567</v>
      </c>
      <c r="B151" s="48">
        <v>16758.0</v>
      </c>
      <c r="C151" s="49">
        <v>0.46875</v>
      </c>
      <c r="D151" s="48" t="s">
        <v>4933</v>
      </c>
      <c r="E151" s="50">
        <v>19768.0</v>
      </c>
      <c r="F151" s="51">
        <v>44567.0</v>
      </c>
      <c r="G151" s="48" t="s">
        <v>6216</v>
      </c>
      <c r="H151" s="48" t="s">
        <v>6211</v>
      </c>
      <c r="I151" s="48" t="s">
        <v>6212</v>
      </c>
      <c r="J151" s="48" t="s">
        <v>6193</v>
      </c>
      <c r="K151" s="52" t="b">
        <f>IFS($B151=FALSE,"", countif(VLOOKUP($A151,UASCAN!D:D,1,FALSE),$A151)&gt;=1,TRUE,countif(VLOOKUP($B151,UASCAN!D:D,1,FALSE),$B151)=0,FALSE)</f>
        <v>0</v>
      </c>
      <c r="L151" s="52" t="b">
        <f>IFS(B151=FALSE,"", countif(VLOOKUP($B151,'01062022'!B:B,1,FALSE),$B151)&gt;=1,TRUE,countif(VLOOKUP($B151,'01062022'!B:B,1,FALSE),$B151)=0,FALSE)</f>
        <v>1</v>
      </c>
      <c r="M151" s="52" t="str">
        <f>ifs(AND($K151=FALSE,$L151=TRUE),"",AND($K151=FALSE,L151=FALSE),"",AND($K151=TRUE,$L151=TRUE),VLOOKUP($A151,UASCAN!D:F,3,0), AND($K151=TRUE,$L151=FALSE),VLOOKUP($A151,UASCAN!D:F,3,0))</f>
        <v/>
      </c>
      <c r="N151" s="53" t="str">
        <f t="shared" si="2"/>
        <v> </v>
      </c>
      <c r="O151" s="53" t="str">
        <f t="shared" si="3"/>
        <v/>
      </c>
    </row>
    <row r="152">
      <c r="A152" s="47" t="str">
        <f t="shared" si="1"/>
        <v>1277844567</v>
      </c>
      <c r="B152" s="48">
        <v>12778.0</v>
      </c>
      <c r="C152" s="49">
        <v>0.4895833333333333</v>
      </c>
      <c r="D152" s="48" t="s">
        <v>1702</v>
      </c>
      <c r="E152" s="50">
        <v>24069.0</v>
      </c>
      <c r="F152" s="51">
        <v>44567.0</v>
      </c>
      <c r="G152" s="48" t="s">
        <v>6220</v>
      </c>
      <c r="H152" s="48" t="s">
        <v>6211</v>
      </c>
      <c r="I152" s="48" t="s">
        <v>6212</v>
      </c>
      <c r="J152" s="48" t="s">
        <v>6196</v>
      </c>
      <c r="K152" s="52" t="b">
        <f>IFS($B152=FALSE,"", countif(VLOOKUP($A152,UASCAN!D:D,1,FALSE),$A152)&gt;=1,TRUE,countif(VLOOKUP($B152,UASCAN!D:D,1,FALSE),$B152)=0,FALSE)</f>
        <v>0</v>
      </c>
      <c r="L152" s="52" t="b">
        <f>IFS(B152=FALSE,"", countif(VLOOKUP($B152,'01062022'!B:B,1,FALSE),$B152)&gt;=1,TRUE,countif(VLOOKUP($B152,'01062022'!B:B,1,FALSE),$B152)=0,FALSE)</f>
        <v>1</v>
      </c>
      <c r="M152" s="52" t="str">
        <f>ifs(AND($K152=FALSE,$L152=TRUE),"",AND($K152=FALSE,L152=FALSE),"",AND($K152=TRUE,$L152=TRUE),VLOOKUP($A152,UASCAN!D:F,3,0), AND($K152=TRUE,$L152=FALSE),VLOOKUP($A152,UASCAN!D:F,3,0))</f>
        <v/>
      </c>
      <c r="N152" s="53" t="str">
        <f t="shared" si="2"/>
        <v> </v>
      </c>
      <c r="O152" s="53" t="str">
        <f t="shared" si="3"/>
        <v/>
      </c>
    </row>
    <row r="153">
      <c r="A153" s="47" t="str">
        <f t="shared" si="1"/>
        <v>1395044567</v>
      </c>
      <c r="B153" s="48">
        <v>13950.0</v>
      </c>
      <c r="C153" s="49">
        <v>0.5520833333333334</v>
      </c>
      <c r="D153" s="48" t="s">
        <v>2634</v>
      </c>
      <c r="E153" s="50">
        <v>21926.0</v>
      </c>
      <c r="F153" s="51">
        <v>44567.0</v>
      </c>
      <c r="G153" s="48" t="s">
        <v>6216</v>
      </c>
      <c r="H153" s="48" t="s">
        <v>6211</v>
      </c>
      <c r="I153" s="48" t="s">
        <v>6212</v>
      </c>
      <c r="J153" s="48" t="s">
        <v>6139</v>
      </c>
      <c r="K153" s="52" t="b">
        <f>IFS($B153=FALSE,"", countif(VLOOKUP($A153,UASCAN!D:D,1,FALSE),$A153)&gt;=1,TRUE,countif(VLOOKUP($B153,UASCAN!D:D,1,FALSE),$B153)=0,FALSE)</f>
        <v>0</v>
      </c>
      <c r="L153" s="52" t="b">
        <f>IFS(B153=FALSE,"", countif(VLOOKUP($B153,'01062022'!B:B,1,FALSE),$B153)&gt;=1,TRUE,countif(VLOOKUP($B153,'01062022'!B:B,1,FALSE),$B153)=0,FALSE)</f>
        <v>1</v>
      </c>
      <c r="M153" s="52" t="str">
        <f>ifs(AND($K153=FALSE,$L153=TRUE),"",AND($K153=FALSE,L153=FALSE),"",AND($K153=TRUE,$L153=TRUE),VLOOKUP($A153,UASCAN!D:F,3,0), AND($K153=TRUE,$L153=FALSE),VLOOKUP($A153,UASCAN!D:F,3,0))</f>
        <v/>
      </c>
      <c r="N153" s="53" t="str">
        <f t="shared" si="2"/>
        <v> </v>
      </c>
      <c r="O153" s="53" t="str">
        <f t="shared" si="3"/>
        <v/>
      </c>
    </row>
    <row r="154">
      <c r="A154" s="47" t="str">
        <f t="shared" si="1"/>
        <v>1263844567</v>
      </c>
      <c r="B154" s="48">
        <v>12638.0</v>
      </c>
      <c r="C154" s="49">
        <v>0.5729166666666666</v>
      </c>
      <c r="D154" s="48" t="s">
        <v>1595</v>
      </c>
      <c r="E154" s="50">
        <v>25617.0</v>
      </c>
      <c r="F154" s="51">
        <v>44567.0</v>
      </c>
      <c r="G154" s="48" t="s">
        <v>5</v>
      </c>
      <c r="H154" s="48" t="s">
        <v>6211</v>
      </c>
      <c r="I154" s="48" t="s">
        <v>6212</v>
      </c>
      <c r="J154" s="48" t="s">
        <v>6117</v>
      </c>
      <c r="K154" s="52" t="b">
        <f>IFS($B154=FALSE,"", countif(VLOOKUP($A154,UASCAN!D:D,1,FALSE),$A154)&gt;=1,TRUE,countif(VLOOKUP($B154,UASCAN!D:D,1,FALSE),$B154)=0,FALSE)</f>
        <v>0</v>
      </c>
      <c r="L154" s="52" t="b">
        <f>IFS(B154=FALSE,"", countif(VLOOKUP($B154,'01062022'!B:B,1,FALSE),$B154)&gt;=1,TRUE,countif(VLOOKUP($B154,'01062022'!B:B,1,FALSE),$B154)=0,FALSE)</f>
        <v>1</v>
      </c>
      <c r="M154" s="52" t="str">
        <f>ifs(AND($K154=FALSE,$L154=TRUE),"",AND($K154=FALSE,L154=FALSE),"",AND($K154=TRUE,$L154=TRUE),VLOOKUP($A154,UASCAN!D:F,3,0), AND($K154=TRUE,$L154=FALSE),VLOOKUP($A154,UASCAN!D:F,3,0))</f>
        <v/>
      </c>
      <c r="N154" s="53" t="str">
        <f t="shared" si="2"/>
        <v> </v>
      </c>
      <c r="O154" s="53" t="str">
        <f t="shared" si="3"/>
        <v/>
      </c>
    </row>
    <row r="155">
      <c r="A155" s="47" t="str">
        <f t="shared" si="1"/>
        <v>1660944567</v>
      </c>
      <c r="B155" s="48">
        <v>16609.0</v>
      </c>
      <c r="C155" s="49">
        <v>0.5729166666666666</v>
      </c>
      <c r="D155" s="48" t="s">
        <v>4817</v>
      </c>
      <c r="E155" s="50">
        <v>19761.0</v>
      </c>
      <c r="F155" s="51">
        <v>44567.0</v>
      </c>
      <c r="G155" s="48" t="s">
        <v>5</v>
      </c>
      <c r="H155" s="48" t="s">
        <v>6211</v>
      </c>
      <c r="I155" s="48" t="s">
        <v>6212</v>
      </c>
      <c r="J155" s="48" t="s">
        <v>6082</v>
      </c>
      <c r="K155" s="52" t="b">
        <f>IFS($B155=FALSE,"", countif(VLOOKUP($A155,UASCAN!D:D,1,FALSE),$A155)&gt;=1,TRUE,countif(VLOOKUP($B155,UASCAN!D:D,1,FALSE),$B155)=0,FALSE)</f>
        <v>0</v>
      </c>
      <c r="L155" s="52" t="b">
        <f>IFS(B155=FALSE,"", countif(VLOOKUP($B155,'01062022'!B:B,1,FALSE),$B155)&gt;=1,TRUE,countif(VLOOKUP($B155,'01062022'!B:B,1,FALSE),$B155)=0,FALSE)</f>
        <v>1</v>
      </c>
      <c r="M155" s="52" t="str">
        <f>ifs(AND($K155=FALSE,$L155=TRUE),"",AND($K155=FALSE,L155=FALSE),"",AND($K155=TRUE,$L155=TRUE),VLOOKUP($A155,UASCAN!D:F,3,0), AND($K155=TRUE,$L155=FALSE),VLOOKUP($A155,UASCAN!D:F,3,0))</f>
        <v/>
      </c>
      <c r="N155" s="53" t="str">
        <f t="shared" si="2"/>
        <v> </v>
      </c>
      <c r="O155" s="53" t="str">
        <f t="shared" si="3"/>
        <v/>
      </c>
    </row>
    <row r="156">
      <c r="A156" s="47" t="str">
        <f t="shared" si="1"/>
        <v>1001544567</v>
      </c>
      <c r="B156" s="48">
        <v>10015.0</v>
      </c>
      <c r="C156" s="49">
        <v>0.59375</v>
      </c>
      <c r="D156" s="48" t="s">
        <v>372</v>
      </c>
      <c r="E156" s="50">
        <v>20741.0</v>
      </c>
      <c r="F156" s="51">
        <v>44567.0</v>
      </c>
      <c r="G156" s="48" t="s">
        <v>5</v>
      </c>
      <c r="H156" s="48" t="s">
        <v>6211</v>
      </c>
      <c r="I156" s="48" t="s">
        <v>6212</v>
      </c>
      <c r="J156" s="48" t="s">
        <v>6085</v>
      </c>
      <c r="K156" s="52" t="b">
        <f>IFS($B156=FALSE,"", countif(VLOOKUP($A156,UASCAN!D:D,1,FALSE),$A156)&gt;=1,TRUE,countif(VLOOKUP($B156,UASCAN!D:D,1,FALSE),$B156)=0,FALSE)</f>
        <v>0</v>
      </c>
      <c r="L156" s="52" t="b">
        <f>IFS(B156=FALSE,"", countif(VLOOKUP($B156,'01062022'!B:B,1,FALSE),$B156)&gt;=1,TRUE,countif(VLOOKUP($B156,'01062022'!B:B,1,FALSE),$B156)=0,FALSE)</f>
        <v>1</v>
      </c>
      <c r="M156" s="52" t="str">
        <f>ifs(AND($K156=FALSE,$L156=TRUE),"",AND($K156=FALSE,L156=FALSE),"",AND($K156=TRUE,$L156=TRUE),VLOOKUP($A156,UASCAN!D:F,3,0), AND($K156=TRUE,$L156=FALSE),VLOOKUP($A156,UASCAN!D:F,3,0))</f>
        <v/>
      </c>
      <c r="N156" s="53" t="str">
        <f t="shared" si="2"/>
        <v> </v>
      </c>
      <c r="O156" s="53" t="str">
        <f t="shared" si="3"/>
        <v/>
      </c>
    </row>
    <row r="157">
      <c r="A157" s="47" t="str">
        <f t="shared" si="1"/>
        <v>989244567</v>
      </c>
      <c r="B157" s="48">
        <v>9892.0</v>
      </c>
      <c r="C157" s="49">
        <v>0.6145833333333334</v>
      </c>
      <c r="D157" s="48" t="s">
        <v>335</v>
      </c>
      <c r="E157" s="50">
        <v>24543.0</v>
      </c>
      <c r="F157" s="51">
        <v>44567.0</v>
      </c>
      <c r="G157" s="48" t="s">
        <v>6215</v>
      </c>
      <c r="H157" s="48" t="s">
        <v>6211</v>
      </c>
      <c r="I157" s="48" t="s">
        <v>6212</v>
      </c>
      <c r="J157" s="48" t="s">
        <v>6199</v>
      </c>
      <c r="K157" s="52" t="b">
        <f>IFS($B157=FALSE,"", countif(VLOOKUP($A157,UASCAN!D:D,1,FALSE),$A157)&gt;=1,TRUE,countif(VLOOKUP($B157,UASCAN!D:D,1,FALSE),$B157)=0,FALSE)</f>
        <v>0</v>
      </c>
      <c r="L157" s="52" t="b">
        <f>IFS(B157=FALSE,"", countif(VLOOKUP($B157,'01062022'!B:B,1,FALSE),$B157)&gt;=1,TRUE,countif(VLOOKUP($B157,'01062022'!B:B,1,FALSE),$B157)=0,FALSE)</f>
        <v>1</v>
      </c>
      <c r="M157" s="52" t="str">
        <f>ifs(AND($K157=FALSE,$L157=TRUE),"",AND($K157=FALSE,L157=FALSE),"",AND($K157=TRUE,$L157=TRUE),VLOOKUP($A157,UASCAN!D:F,3,0), AND($K157=TRUE,$L157=FALSE),VLOOKUP($A157,UASCAN!D:F,3,0))</f>
        <v/>
      </c>
      <c r="N157" s="53" t="str">
        <f t="shared" si="2"/>
        <v> </v>
      </c>
      <c r="O157" s="53" t="str">
        <f t="shared" si="3"/>
        <v/>
      </c>
    </row>
    <row r="158">
      <c r="A158" s="47" t="str">
        <f t="shared" si="1"/>
        <v>1051644567</v>
      </c>
      <c r="B158" s="48">
        <v>10516.0</v>
      </c>
      <c r="C158" s="49">
        <v>0.625</v>
      </c>
      <c r="D158" s="48" t="s">
        <v>580</v>
      </c>
      <c r="E158" s="50">
        <v>25305.0</v>
      </c>
      <c r="F158" s="51">
        <v>44567.0</v>
      </c>
      <c r="G158" s="48" t="s">
        <v>6216</v>
      </c>
      <c r="H158" s="48" t="s">
        <v>6211</v>
      </c>
      <c r="I158" s="48" t="s">
        <v>6212</v>
      </c>
      <c r="J158" s="48" t="s">
        <v>6196</v>
      </c>
      <c r="K158" s="52" t="b">
        <f>IFS($B158=FALSE,"", countif(VLOOKUP($A158,UASCAN!D:D,1,FALSE),$A158)&gt;=1,TRUE,countif(VLOOKUP($B158,UASCAN!D:D,1,FALSE),$B158)=0,FALSE)</f>
        <v>0</v>
      </c>
      <c r="L158" s="52" t="b">
        <f>IFS(B158=FALSE,"", countif(VLOOKUP($B158,'01062022'!B:B,1,FALSE),$B158)&gt;=1,TRUE,countif(VLOOKUP($B158,'01062022'!B:B,1,FALSE),$B158)=0,FALSE)</f>
        <v>1</v>
      </c>
      <c r="M158" s="52" t="str">
        <f>ifs(AND($K158=FALSE,$L158=TRUE),"",AND($K158=FALSE,L158=FALSE),"",AND($K158=TRUE,$L158=TRUE),VLOOKUP($A158,UASCAN!D:F,3,0), AND($K158=TRUE,$L158=FALSE),VLOOKUP($A158,UASCAN!D:F,3,0))</f>
        <v/>
      </c>
      <c r="N158" s="53" t="str">
        <f t="shared" si="2"/>
        <v> </v>
      </c>
      <c r="O158" s="53" t="str">
        <f t="shared" si="3"/>
        <v/>
      </c>
    </row>
    <row r="159">
      <c r="A159" s="47" t="str">
        <f t="shared" si="1"/>
        <v>1239744567</v>
      </c>
      <c r="B159" s="48">
        <v>12397.0</v>
      </c>
      <c r="C159" s="49">
        <v>0.3541666666666667</v>
      </c>
      <c r="D159" s="48" t="s">
        <v>1436</v>
      </c>
      <c r="E159" s="50">
        <v>24151.0</v>
      </c>
      <c r="F159" s="51">
        <v>44567.0</v>
      </c>
      <c r="G159" s="48" t="s">
        <v>6215</v>
      </c>
      <c r="H159" s="48" t="s">
        <v>6218</v>
      </c>
      <c r="I159" s="48" t="s">
        <v>6219</v>
      </c>
      <c r="J159" s="48" t="s">
        <v>6091</v>
      </c>
      <c r="K159" s="52" t="b">
        <f>IFS($B159=FALSE,"", countif(VLOOKUP($A159,UASCAN!D:D,1,FALSE),$A159)&gt;=1,TRUE,countif(VLOOKUP($B159,UASCAN!D:D,1,FALSE),$B159)=0,FALSE)</f>
        <v>0</v>
      </c>
      <c r="L159" s="52" t="b">
        <f>IFS(B159=FALSE,"", countif(VLOOKUP($B159,'01062022'!B:B,1,FALSE),$B159)&gt;=1,TRUE,countif(VLOOKUP($B159,'01062022'!B:B,1,FALSE),$B159)=0,FALSE)</f>
        <v>1</v>
      </c>
      <c r="M159" s="52" t="str">
        <f>ifs(AND($K159=FALSE,$L159=TRUE),"",AND($K159=FALSE,L159=FALSE),"",AND($K159=TRUE,$L159=TRUE),VLOOKUP($A159,UASCAN!D:F,3,0), AND($K159=TRUE,$L159=FALSE),VLOOKUP($A159,UASCAN!D:F,3,0))</f>
        <v/>
      </c>
      <c r="N159" s="53" t="str">
        <f t="shared" si="2"/>
        <v> </v>
      </c>
      <c r="O159" s="53" t="str">
        <f t="shared" si="3"/>
        <v/>
      </c>
    </row>
    <row r="160">
      <c r="A160" s="47" t="str">
        <f t="shared" si="1"/>
        <v>1344744567</v>
      </c>
      <c r="B160" s="48">
        <v>13447.0</v>
      </c>
      <c r="C160" s="49">
        <v>0.3854166666666667</v>
      </c>
      <c r="D160" s="48" t="s">
        <v>2237</v>
      </c>
      <c r="E160" s="50">
        <v>24516.0</v>
      </c>
      <c r="F160" s="51">
        <v>44567.0</v>
      </c>
      <c r="G160" s="48" t="s">
        <v>5</v>
      </c>
      <c r="H160" s="48" t="s">
        <v>6218</v>
      </c>
      <c r="I160" s="48" t="s">
        <v>6219</v>
      </c>
      <c r="J160" s="48" t="s">
        <v>6119</v>
      </c>
      <c r="K160" s="52" t="b">
        <f>IFS($B160=FALSE,"", countif(VLOOKUP($A160,UASCAN!D:D,1,FALSE),$A160)&gt;=1,TRUE,countif(VLOOKUP($B160,UASCAN!D:D,1,FALSE),$B160)=0,FALSE)</f>
        <v>0</v>
      </c>
      <c r="L160" s="52" t="b">
        <f>IFS(B160=FALSE,"", countif(VLOOKUP($B160,'01062022'!B:B,1,FALSE),$B160)&gt;=1,TRUE,countif(VLOOKUP($B160,'01062022'!B:B,1,FALSE),$B160)=0,FALSE)</f>
        <v>1</v>
      </c>
      <c r="M160" s="52" t="str">
        <f>ifs(AND($K160=FALSE,$L160=TRUE),"",AND($K160=FALSE,L160=FALSE),"",AND($K160=TRUE,$L160=TRUE),VLOOKUP($A160,UASCAN!D:F,3,0), AND($K160=TRUE,$L160=FALSE),VLOOKUP($A160,UASCAN!D:F,3,0))</f>
        <v/>
      </c>
      <c r="N160" s="53" t="str">
        <f t="shared" si="2"/>
        <v> </v>
      </c>
      <c r="O160" s="53" t="str">
        <f t="shared" si="3"/>
        <v/>
      </c>
    </row>
    <row r="161">
      <c r="A161" s="47" t="str">
        <f t="shared" si="1"/>
        <v>1508144567</v>
      </c>
      <c r="B161" s="48">
        <v>15081.0</v>
      </c>
      <c r="C161" s="49">
        <v>0.3958333333333333</v>
      </c>
      <c r="D161" s="48" t="s">
        <v>3541</v>
      </c>
      <c r="E161" s="50">
        <v>22789.0</v>
      </c>
      <c r="F161" s="51">
        <v>44567.0</v>
      </c>
      <c r="G161" s="48" t="s">
        <v>5</v>
      </c>
      <c r="H161" s="48" t="s">
        <v>6218</v>
      </c>
      <c r="I161" s="48" t="s">
        <v>6219</v>
      </c>
      <c r="J161" s="48" t="s">
        <v>6130</v>
      </c>
      <c r="K161" s="52" t="b">
        <f>IFS($B161=FALSE,"", countif(VLOOKUP($A161,UASCAN!D:D,1,FALSE),$A161)&gt;=1,TRUE,countif(VLOOKUP($B161,UASCAN!D:D,1,FALSE),$B161)=0,FALSE)</f>
        <v>0</v>
      </c>
      <c r="L161" s="52" t="b">
        <f>IFS(B161=FALSE,"", countif(VLOOKUP($B161,'01062022'!B:B,1,FALSE),$B161)&gt;=1,TRUE,countif(VLOOKUP($B161,'01062022'!B:B,1,FALSE),$B161)=0,FALSE)</f>
        <v>1</v>
      </c>
      <c r="M161" s="52" t="str">
        <f>ifs(AND($K161=FALSE,$L161=TRUE),"",AND($K161=FALSE,L161=FALSE),"",AND($K161=TRUE,$L161=TRUE),VLOOKUP($A161,UASCAN!D:F,3,0), AND($K161=TRUE,$L161=FALSE),VLOOKUP($A161,UASCAN!D:F,3,0))</f>
        <v/>
      </c>
      <c r="N161" s="53" t="str">
        <f t="shared" si="2"/>
        <v> </v>
      </c>
      <c r="O161" s="53" t="str">
        <f t="shared" si="3"/>
        <v/>
      </c>
    </row>
    <row r="162">
      <c r="A162" s="47" t="str">
        <f t="shared" si="1"/>
        <v>1040744567</v>
      </c>
      <c r="B162" s="48">
        <v>10407.0</v>
      </c>
      <c r="C162" s="49">
        <v>0.4166666666666667</v>
      </c>
      <c r="D162" s="48" t="s">
        <v>534</v>
      </c>
      <c r="E162" s="50">
        <v>21435.0</v>
      </c>
      <c r="F162" s="51">
        <v>44567.0</v>
      </c>
      <c r="G162" s="48" t="s">
        <v>6216</v>
      </c>
      <c r="H162" s="48" t="s">
        <v>6218</v>
      </c>
      <c r="I162" s="48" t="s">
        <v>6219</v>
      </c>
      <c r="J162" s="48" t="s">
        <v>6223</v>
      </c>
      <c r="K162" s="52" t="b">
        <f>IFS($B162=FALSE,"", countif(VLOOKUP($A162,UASCAN!D:D,1,FALSE),$A162)&gt;=1,TRUE,countif(VLOOKUP($B162,UASCAN!D:D,1,FALSE),$B162)=0,FALSE)</f>
        <v>0</v>
      </c>
      <c r="L162" s="52" t="b">
        <f>IFS(B162=FALSE,"", countif(VLOOKUP($B162,'01062022'!B:B,1,FALSE),$B162)&gt;=1,TRUE,countif(VLOOKUP($B162,'01062022'!B:B,1,FALSE),$B162)=0,FALSE)</f>
        <v>1</v>
      </c>
      <c r="M162" s="52" t="str">
        <f>ifs(AND($K162=FALSE,$L162=TRUE),"",AND($K162=FALSE,L162=FALSE),"",AND($K162=TRUE,$L162=TRUE),VLOOKUP($A162,UASCAN!D:F,3,0), AND($K162=TRUE,$L162=FALSE),VLOOKUP($A162,UASCAN!D:F,3,0))</f>
        <v/>
      </c>
      <c r="N162" s="53" t="str">
        <f t="shared" si="2"/>
        <v> </v>
      </c>
      <c r="O162" s="53" t="str">
        <f t="shared" si="3"/>
        <v/>
      </c>
    </row>
    <row r="163">
      <c r="A163" s="47" t="str">
        <f t="shared" si="1"/>
        <v>1616744567</v>
      </c>
      <c r="B163" s="48">
        <v>16167.0</v>
      </c>
      <c r="C163" s="49">
        <v>0.5625</v>
      </c>
      <c r="D163" s="48" t="s">
        <v>4482</v>
      </c>
      <c r="E163" s="50">
        <v>19877.0</v>
      </c>
      <c r="F163" s="51">
        <v>44567.0</v>
      </c>
      <c r="G163" s="48" t="s">
        <v>5</v>
      </c>
      <c r="H163" s="48" t="s">
        <v>6218</v>
      </c>
      <c r="I163" s="48" t="s">
        <v>6219</v>
      </c>
      <c r="J163" s="48" t="s">
        <v>6186</v>
      </c>
      <c r="K163" s="52" t="b">
        <f>IFS($B163=FALSE,"", countif(VLOOKUP($A163,UASCAN!D:D,1,FALSE),$A163)&gt;=1,TRUE,countif(VLOOKUP($B163,UASCAN!D:D,1,FALSE),$B163)=0,FALSE)</f>
        <v>0</v>
      </c>
      <c r="L163" s="52" t="b">
        <f>IFS(B163=FALSE,"", countif(VLOOKUP($B163,'01062022'!B:B,1,FALSE),$B163)&gt;=1,TRUE,countif(VLOOKUP($B163,'01062022'!B:B,1,FALSE),$B163)=0,FALSE)</f>
        <v>1</v>
      </c>
      <c r="M163" s="52" t="str">
        <f>ifs(AND($K163=FALSE,$L163=TRUE),"",AND($K163=FALSE,L163=FALSE),"",AND($K163=TRUE,$L163=TRUE),VLOOKUP($A163,UASCAN!D:F,3,0), AND($K163=TRUE,$L163=FALSE),VLOOKUP($A163,UASCAN!D:F,3,0))</f>
        <v/>
      </c>
      <c r="N163" s="53" t="str">
        <f t="shared" si="2"/>
        <v> </v>
      </c>
      <c r="O163" s="53" t="str">
        <f t="shared" si="3"/>
        <v/>
      </c>
    </row>
    <row r="164">
      <c r="A164" s="47" t="str">
        <f t="shared" si="1"/>
        <v>1616644567</v>
      </c>
      <c r="B164" s="48">
        <v>16166.0</v>
      </c>
      <c r="C164" s="49">
        <v>0.5625</v>
      </c>
      <c r="D164" s="48" t="s">
        <v>4481</v>
      </c>
      <c r="E164" s="50">
        <v>21767.0</v>
      </c>
      <c r="F164" s="51">
        <v>44567.0</v>
      </c>
      <c r="G164" s="48" t="s">
        <v>5</v>
      </c>
      <c r="H164" s="48" t="s">
        <v>6218</v>
      </c>
      <c r="I164" s="48" t="s">
        <v>6219</v>
      </c>
      <c r="J164" s="48" t="s">
        <v>6186</v>
      </c>
      <c r="K164" s="52" t="b">
        <f>IFS($B164=FALSE,"", countif(VLOOKUP($A164,UASCAN!D:D,1,FALSE),$A164)&gt;=1,TRUE,countif(VLOOKUP($B164,UASCAN!D:D,1,FALSE),$B164)=0,FALSE)</f>
        <v>0</v>
      </c>
      <c r="L164" s="52" t="b">
        <f>IFS(B164=FALSE,"", countif(VLOOKUP($B164,'01062022'!B:B,1,FALSE),$B164)&gt;=1,TRUE,countif(VLOOKUP($B164,'01062022'!B:B,1,FALSE),$B164)=0,FALSE)</f>
        <v>1</v>
      </c>
      <c r="M164" s="52" t="str">
        <f>ifs(AND($K164=FALSE,$L164=TRUE),"",AND($K164=FALSE,L164=FALSE),"",AND($K164=TRUE,$L164=TRUE),VLOOKUP($A164,UASCAN!D:F,3,0), AND($K164=TRUE,$L164=FALSE),VLOOKUP($A164,UASCAN!D:F,3,0))</f>
        <v/>
      </c>
      <c r="N164" s="53" t="str">
        <f t="shared" si="2"/>
        <v> </v>
      </c>
      <c r="O164" s="53" t="str">
        <f t="shared" si="3"/>
        <v/>
      </c>
    </row>
    <row r="165">
      <c r="A165" s="47" t="str">
        <f t="shared" si="1"/>
        <v>1063244567</v>
      </c>
      <c r="B165" s="48">
        <v>10632.0</v>
      </c>
      <c r="C165" s="49">
        <v>0.5833333333333334</v>
      </c>
      <c r="D165" s="48" t="s">
        <v>617</v>
      </c>
      <c r="E165" s="50">
        <v>22528.0</v>
      </c>
      <c r="F165" s="51">
        <v>44567.0</v>
      </c>
      <c r="G165" s="48" t="s">
        <v>6220</v>
      </c>
      <c r="H165" s="48" t="s">
        <v>6218</v>
      </c>
      <c r="I165" s="48" t="s">
        <v>6219</v>
      </c>
      <c r="J165" s="48" t="s">
        <v>6142</v>
      </c>
      <c r="K165" s="52" t="b">
        <f>IFS($B165=FALSE,"", countif(VLOOKUP($A165,UASCAN!D:D,1,FALSE),$A165)&gt;=1,TRUE,countif(VLOOKUP($B165,UASCAN!D:D,1,FALSE),$B165)=0,FALSE)</f>
        <v>0</v>
      </c>
      <c r="L165" s="52" t="b">
        <f>IFS(B165=FALSE,"", countif(VLOOKUP($B165,'01062022'!B:B,1,FALSE),$B165)&gt;=1,TRUE,countif(VLOOKUP($B165,'01062022'!B:B,1,FALSE),$B165)=0,FALSE)</f>
        <v>1</v>
      </c>
      <c r="M165" s="52" t="str">
        <f>ifs(AND($K165=FALSE,$L165=TRUE),"",AND($K165=FALSE,L165=FALSE),"",AND($K165=TRUE,$L165=TRUE),VLOOKUP($A165,UASCAN!D:F,3,0), AND($K165=TRUE,$L165=FALSE),VLOOKUP($A165,UASCAN!D:F,3,0))</f>
        <v/>
      </c>
      <c r="N165" s="53" t="str">
        <f t="shared" si="2"/>
        <v> </v>
      </c>
      <c r="O165" s="53" t="str">
        <f t="shared" si="3"/>
        <v/>
      </c>
    </row>
    <row r="166">
      <c r="A166" s="47" t="str">
        <f t="shared" si="1"/>
        <v>1333144567</v>
      </c>
      <c r="B166" s="48">
        <v>13331.0</v>
      </c>
      <c r="C166" s="49">
        <v>0.59375</v>
      </c>
      <c r="D166" s="48" t="s">
        <v>2153</v>
      </c>
      <c r="E166" s="50">
        <v>17613.0</v>
      </c>
      <c r="F166" s="51">
        <v>44567.0</v>
      </c>
      <c r="G166" s="48" t="s">
        <v>6215</v>
      </c>
      <c r="H166" s="48" t="s">
        <v>6218</v>
      </c>
      <c r="I166" s="48" t="s">
        <v>6219</v>
      </c>
      <c r="J166" s="48" t="s">
        <v>6095</v>
      </c>
      <c r="K166" s="52" t="b">
        <f>IFS($B166=FALSE,"", countif(VLOOKUP($A166,UASCAN!D:D,1,FALSE),$A166)&gt;=1,TRUE,countif(VLOOKUP($B166,UASCAN!D:D,1,FALSE),$B166)=0,FALSE)</f>
        <v>0</v>
      </c>
      <c r="L166" s="52" t="b">
        <f>IFS(B166=FALSE,"", countif(VLOOKUP($B166,'01062022'!B:B,1,FALSE),$B166)&gt;=1,TRUE,countif(VLOOKUP($B166,'01062022'!B:B,1,FALSE),$B166)=0,FALSE)</f>
        <v>1</v>
      </c>
      <c r="M166" s="52" t="str">
        <f>ifs(AND($K166=FALSE,$L166=TRUE),"",AND($K166=FALSE,L166=FALSE),"",AND($K166=TRUE,$L166=TRUE),VLOOKUP($A166,UASCAN!D:F,3,0), AND($K166=TRUE,$L166=FALSE),VLOOKUP($A166,UASCAN!D:F,3,0))</f>
        <v/>
      </c>
      <c r="N166" s="53" t="str">
        <f t="shared" si="2"/>
        <v> </v>
      </c>
      <c r="O166" s="53" t="str">
        <f t="shared" si="3"/>
        <v/>
      </c>
    </row>
    <row r="167">
      <c r="A167" s="47" t="str">
        <f t="shared" si="1"/>
        <v>1344644567</v>
      </c>
      <c r="B167" s="48">
        <v>13446.0</v>
      </c>
      <c r="C167" s="49">
        <v>0.625</v>
      </c>
      <c r="D167" s="48" t="s">
        <v>2236</v>
      </c>
      <c r="E167" s="50">
        <v>22265.0</v>
      </c>
      <c r="F167" s="51">
        <v>44567.0</v>
      </c>
      <c r="G167" s="48" t="s">
        <v>6220</v>
      </c>
      <c r="H167" s="48" t="s">
        <v>6218</v>
      </c>
      <c r="I167" s="48" t="s">
        <v>6219</v>
      </c>
      <c r="J167" s="48" t="s">
        <v>6142</v>
      </c>
      <c r="K167" s="52" t="b">
        <f>IFS($B167=FALSE,"", countif(VLOOKUP($A167,UASCAN!D:D,1,FALSE),$A167)&gt;=1,TRUE,countif(VLOOKUP($B167,UASCAN!D:D,1,FALSE),$B167)=0,FALSE)</f>
        <v>0</v>
      </c>
      <c r="L167" s="52" t="b">
        <f>IFS(B167=FALSE,"", countif(VLOOKUP($B167,'01062022'!B:B,1,FALSE),$B167)&gt;=1,TRUE,countif(VLOOKUP($B167,'01062022'!B:B,1,FALSE),$B167)=0,FALSE)</f>
        <v>1</v>
      </c>
      <c r="M167" s="52" t="str">
        <f>ifs(AND($K167=FALSE,$L167=TRUE),"",AND($K167=FALSE,L167=FALSE),"",AND($K167=TRUE,$L167=TRUE),VLOOKUP($A167,UASCAN!D:F,3,0), AND($K167=TRUE,$L167=FALSE),VLOOKUP($A167,UASCAN!D:F,3,0))</f>
        <v/>
      </c>
      <c r="N167" s="53" t="str">
        <f t="shared" si="2"/>
        <v> </v>
      </c>
      <c r="O167" s="53" t="str">
        <f t="shared" si="3"/>
        <v/>
      </c>
    </row>
    <row r="168">
      <c r="A168" s="47" t="str">
        <f t="shared" si="1"/>
        <v>1354444567</v>
      </c>
      <c r="B168" s="48">
        <v>13544.0</v>
      </c>
      <c r="C168" s="49">
        <v>0.6354166666666666</v>
      </c>
      <c r="D168" s="48" t="s">
        <v>2316</v>
      </c>
      <c r="E168" s="50">
        <v>27937.0</v>
      </c>
      <c r="F168" s="51">
        <v>44567.0</v>
      </c>
      <c r="G168" s="48" t="s">
        <v>5</v>
      </c>
      <c r="H168" s="48" t="s">
        <v>6218</v>
      </c>
      <c r="I168" s="48" t="s">
        <v>6219</v>
      </c>
      <c r="J168" s="48" t="s">
        <v>6117</v>
      </c>
      <c r="K168" s="52" t="b">
        <f>IFS($B168=FALSE,"", countif(VLOOKUP($A168,UASCAN!D:D,1,FALSE),$A168)&gt;=1,TRUE,countif(VLOOKUP($B168,UASCAN!D:D,1,FALSE),$B168)=0,FALSE)</f>
        <v>0</v>
      </c>
      <c r="L168" s="52" t="b">
        <f>IFS(B168=FALSE,"", countif(VLOOKUP($B168,'01062022'!B:B,1,FALSE),$B168)&gt;=1,TRUE,countif(VLOOKUP($B168,'01062022'!B:B,1,FALSE),$B168)=0,FALSE)</f>
        <v>1</v>
      </c>
      <c r="M168" s="52" t="str">
        <f>ifs(AND($K168=FALSE,$L168=TRUE),"",AND($K168=FALSE,L168=FALSE),"",AND($K168=TRUE,$L168=TRUE),VLOOKUP($A168,UASCAN!D:F,3,0), AND($K168=TRUE,$L168=FALSE),VLOOKUP($A168,UASCAN!D:F,3,0))</f>
        <v/>
      </c>
      <c r="N168" s="53" t="str">
        <f t="shared" si="2"/>
        <v> </v>
      </c>
      <c r="O168" s="53" t="str">
        <f t="shared" si="3"/>
        <v/>
      </c>
    </row>
    <row r="169">
      <c r="A169" s="47" t="str">
        <f t="shared" si="1"/>
        <v>1525344567</v>
      </c>
      <c r="B169" s="48">
        <v>15253.0</v>
      </c>
      <c r="C169" s="49">
        <v>0.6458333333333334</v>
      </c>
      <c r="D169" s="48" t="s">
        <v>3686</v>
      </c>
      <c r="E169" s="50">
        <v>24706.0</v>
      </c>
      <c r="F169" s="51">
        <v>44567.0</v>
      </c>
      <c r="G169" s="48" t="s">
        <v>6215</v>
      </c>
      <c r="H169" s="48" t="s">
        <v>6218</v>
      </c>
      <c r="I169" s="48" t="s">
        <v>6219</v>
      </c>
      <c r="J169" s="48" t="s">
        <v>6084</v>
      </c>
      <c r="K169" s="52" t="b">
        <f>IFS($B169=FALSE,"", countif(VLOOKUP($A169,UASCAN!D:D,1,FALSE),$A169)&gt;=1,TRUE,countif(VLOOKUP($B169,UASCAN!D:D,1,FALSE),$B169)=0,FALSE)</f>
        <v>0</v>
      </c>
      <c r="L169" s="52" t="b">
        <f>IFS(B169=FALSE,"", countif(VLOOKUP($B169,'01062022'!B:B,1,FALSE),$B169)&gt;=1,TRUE,countif(VLOOKUP($B169,'01062022'!B:B,1,FALSE),$B169)=0,FALSE)</f>
        <v>1</v>
      </c>
      <c r="M169" s="52" t="str">
        <f>ifs(AND($K169=FALSE,$L169=TRUE),"",AND($K169=FALSE,L169=FALSE),"",AND($K169=TRUE,$L169=TRUE),VLOOKUP($A169,UASCAN!D:F,3,0), AND($K169=TRUE,$L169=FALSE),VLOOKUP($A169,UASCAN!D:F,3,0))</f>
        <v/>
      </c>
      <c r="N169" s="53" t="str">
        <f t="shared" si="2"/>
        <v> </v>
      </c>
      <c r="O169" s="53" t="str">
        <f t="shared" si="3"/>
        <v/>
      </c>
    </row>
    <row r="170">
      <c r="A170" s="47" t="str">
        <f t="shared" si="1"/>
        <v>1547944567</v>
      </c>
      <c r="B170" s="48">
        <v>15479.0</v>
      </c>
      <c r="C170" s="49">
        <v>0.6458333333333334</v>
      </c>
      <c r="D170" s="48" t="s">
        <v>3871</v>
      </c>
      <c r="E170" s="50">
        <v>28397.0</v>
      </c>
      <c r="F170" s="51">
        <v>44567.0</v>
      </c>
      <c r="G170" s="48" t="s">
        <v>6215</v>
      </c>
      <c r="H170" s="48" t="s">
        <v>6218</v>
      </c>
      <c r="I170" s="48" t="s">
        <v>6219</v>
      </c>
      <c r="J170" s="48" t="s">
        <v>6202</v>
      </c>
      <c r="K170" s="52" t="b">
        <f>IFS($B170=FALSE,"", countif(VLOOKUP($A170,UASCAN!D:D,1,FALSE),$A170)&gt;=1,TRUE,countif(VLOOKUP($B170,UASCAN!D:D,1,FALSE),$B170)=0,FALSE)</f>
        <v>0</v>
      </c>
      <c r="L170" s="52" t="b">
        <f>IFS(B170=FALSE,"", countif(VLOOKUP($B170,'01062022'!B:B,1,FALSE),$B170)&gt;=1,TRUE,countif(VLOOKUP($B170,'01062022'!B:B,1,FALSE),$B170)=0,FALSE)</f>
        <v>1</v>
      </c>
      <c r="M170" s="52" t="str">
        <f>ifs(AND($K170=FALSE,$L170=TRUE),"",AND($K170=FALSE,L170=FALSE),"",AND($K170=TRUE,$L170=TRUE),VLOOKUP($A170,UASCAN!D:F,3,0), AND($K170=TRUE,$L170=FALSE),VLOOKUP($A170,UASCAN!D:F,3,0))</f>
        <v/>
      </c>
      <c r="N170" s="53" t="str">
        <f t="shared" si="2"/>
        <v> </v>
      </c>
      <c r="O170" s="53" t="str">
        <f t="shared" si="3"/>
        <v/>
      </c>
    </row>
    <row r="171">
      <c r="A171" s="47" t="str">
        <f t="shared" si="1"/>
        <v>1194044567</v>
      </c>
      <c r="B171" s="48">
        <v>11940.0</v>
      </c>
      <c r="C171" s="49">
        <v>0.3333333333333333</v>
      </c>
      <c r="D171" s="48" t="s">
        <v>1196</v>
      </c>
      <c r="E171" s="50">
        <v>20958.0</v>
      </c>
      <c r="F171" s="51">
        <v>44567.0</v>
      </c>
      <c r="G171" s="48" t="s">
        <v>5</v>
      </c>
      <c r="H171" s="48" t="s">
        <v>6218</v>
      </c>
      <c r="I171" s="48" t="s">
        <v>6222</v>
      </c>
      <c r="J171" s="48" t="s">
        <v>6089</v>
      </c>
      <c r="K171" s="52" t="b">
        <f>IFS($B171=FALSE,"", countif(VLOOKUP($A171,UASCAN!D:D,1,FALSE),$A171)&gt;=1,TRUE,countif(VLOOKUP($B171,UASCAN!D:D,1,FALSE),$B171)=0,FALSE)</f>
        <v>0</v>
      </c>
      <c r="L171" s="52" t="b">
        <f>IFS(B171=FALSE,"", countif(VLOOKUP($B171,'01062022'!B:B,1,FALSE),$B171)&gt;=1,TRUE,countif(VLOOKUP($B171,'01062022'!B:B,1,FALSE),$B171)=0,FALSE)</f>
        <v>1</v>
      </c>
      <c r="M171" s="52" t="str">
        <f>ifs(AND($K171=FALSE,$L171=TRUE),"",AND($K171=FALSE,L171=FALSE),"",AND($K171=TRUE,$L171=TRUE),VLOOKUP($A171,UASCAN!D:F,3,0), AND($K171=TRUE,$L171=FALSE),VLOOKUP($A171,UASCAN!D:F,3,0))</f>
        <v/>
      </c>
      <c r="N171" s="53" t="str">
        <f t="shared" si="2"/>
        <v> </v>
      </c>
      <c r="O171" s="53" t="str">
        <f t="shared" si="3"/>
        <v/>
      </c>
    </row>
    <row r="172">
      <c r="A172" s="47" t="str">
        <f t="shared" si="1"/>
        <v>1156844567</v>
      </c>
      <c r="B172" s="48">
        <v>11568.0</v>
      </c>
      <c r="C172" s="49">
        <v>0.34375</v>
      </c>
      <c r="D172" s="48" t="s">
        <v>1011</v>
      </c>
      <c r="E172" s="50">
        <v>18906.0</v>
      </c>
      <c r="F172" s="51">
        <v>44567.0</v>
      </c>
      <c r="G172" s="48" t="s">
        <v>6216</v>
      </c>
      <c r="H172" s="48" t="s">
        <v>6218</v>
      </c>
      <c r="I172" s="48" t="s">
        <v>6222</v>
      </c>
      <c r="J172" s="48" t="s">
        <v>6196</v>
      </c>
      <c r="K172" s="52" t="b">
        <f>IFS($B172=FALSE,"", countif(VLOOKUP($A172,UASCAN!D:D,1,FALSE),$A172)&gt;=1,TRUE,countif(VLOOKUP($B172,UASCAN!D:D,1,FALSE),$B172)=0,FALSE)</f>
        <v>0</v>
      </c>
      <c r="L172" s="52" t="b">
        <f>IFS(B172=FALSE,"", countif(VLOOKUP($B172,'01062022'!B:B,1,FALSE),$B172)&gt;=1,TRUE,countif(VLOOKUP($B172,'01062022'!B:B,1,FALSE),$B172)=0,FALSE)</f>
        <v>1</v>
      </c>
      <c r="M172" s="52" t="str">
        <f>ifs(AND($K172=FALSE,$L172=TRUE),"",AND($K172=FALSE,L172=FALSE),"",AND($K172=TRUE,$L172=TRUE),VLOOKUP($A172,UASCAN!D:F,3,0), AND($K172=TRUE,$L172=FALSE),VLOOKUP($A172,UASCAN!D:F,3,0))</f>
        <v/>
      </c>
      <c r="N172" s="53" t="str">
        <f t="shared" si="2"/>
        <v> </v>
      </c>
      <c r="O172" s="53" t="str">
        <f t="shared" si="3"/>
        <v/>
      </c>
    </row>
    <row r="173">
      <c r="A173" s="47" t="str">
        <f t="shared" si="1"/>
        <v>1047944567</v>
      </c>
      <c r="B173" s="48">
        <v>10479.0</v>
      </c>
      <c r="C173" s="49">
        <v>0.3541666666666667</v>
      </c>
      <c r="D173" s="48" t="s">
        <v>564</v>
      </c>
      <c r="E173" s="50">
        <v>19822.0</v>
      </c>
      <c r="F173" s="51">
        <v>44567.0</v>
      </c>
      <c r="G173" s="48" t="s">
        <v>6216</v>
      </c>
      <c r="H173" s="48" t="s">
        <v>6218</v>
      </c>
      <c r="I173" s="48" t="s">
        <v>6222</v>
      </c>
      <c r="J173" s="48" t="s">
        <v>6195</v>
      </c>
      <c r="K173" s="52" t="b">
        <f>IFS($B173=FALSE,"", countif(VLOOKUP($A173,UASCAN!D:D,1,FALSE),$A173)&gt;=1,TRUE,countif(VLOOKUP($B173,UASCAN!D:D,1,FALSE),$B173)=0,FALSE)</f>
        <v>0</v>
      </c>
      <c r="L173" s="52" t="b">
        <f>IFS(B173=FALSE,"", countif(VLOOKUP($B173,'01062022'!B:B,1,FALSE),$B173)&gt;=1,TRUE,countif(VLOOKUP($B173,'01062022'!B:B,1,FALSE),$B173)=0,FALSE)</f>
        <v>1</v>
      </c>
      <c r="M173" s="52" t="str">
        <f>ifs(AND($K173=FALSE,$L173=TRUE),"",AND($K173=FALSE,L173=FALSE),"",AND($K173=TRUE,$L173=TRUE),VLOOKUP($A173,UASCAN!D:F,3,0), AND($K173=TRUE,$L173=FALSE),VLOOKUP($A173,UASCAN!D:F,3,0))</f>
        <v/>
      </c>
      <c r="N173" s="53" t="str">
        <f t="shared" si="2"/>
        <v> </v>
      </c>
      <c r="O173" s="53" t="str">
        <f t="shared" si="3"/>
        <v/>
      </c>
    </row>
    <row r="174">
      <c r="A174" s="47" t="str">
        <f t="shared" si="1"/>
        <v>1090344567</v>
      </c>
      <c r="B174" s="48">
        <v>10903.0</v>
      </c>
      <c r="C174" s="49">
        <v>0.375</v>
      </c>
      <c r="D174" s="48" t="s">
        <v>718</v>
      </c>
      <c r="E174" s="50">
        <v>22992.0</v>
      </c>
      <c r="F174" s="51">
        <v>44567.0</v>
      </c>
      <c r="G174" s="48" t="s">
        <v>5</v>
      </c>
      <c r="H174" s="48" t="s">
        <v>6218</v>
      </c>
      <c r="I174" s="48" t="s">
        <v>6222</v>
      </c>
      <c r="J174" s="48" t="s">
        <v>6094</v>
      </c>
      <c r="K174" s="52" t="b">
        <f>IFS($B174=FALSE,"", countif(VLOOKUP($A174,UASCAN!D:D,1,FALSE),$A174)&gt;=1,TRUE,countif(VLOOKUP($B174,UASCAN!D:D,1,FALSE),$B174)=0,FALSE)</f>
        <v>0</v>
      </c>
      <c r="L174" s="52" t="b">
        <f>IFS(B174=FALSE,"", countif(VLOOKUP($B174,'01062022'!B:B,1,FALSE),$B174)&gt;=1,TRUE,countif(VLOOKUP($B174,'01062022'!B:B,1,FALSE),$B174)=0,FALSE)</f>
        <v>1</v>
      </c>
      <c r="M174" s="52" t="str">
        <f>ifs(AND($K174=FALSE,$L174=TRUE),"",AND($K174=FALSE,L174=FALSE),"",AND($K174=TRUE,$L174=TRUE),VLOOKUP($A174,UASCAN!D:F,3,0), AND($K174=TRUE,$L174=FALSE),VLOOKUP($A174,UASCAN!D:F,3,0))</f>
        <v/>
      </c>
      <c r="N174" s="53" t="str">
        <f t="shared" si="2"/>
        <v> </v>
      </c>
      <c r="O174" s="53" t="str">
        <f t="shared" si="3"/>
        <v/>
      </c>
    </row>
    <row r="175">
      <c r="A175" s="47" t="str">
        <f t="shared" si="1"/>
        <v>1222444567</v>
      </c>
      <c r="B175" s="48">
        <v>12224.0</v>
      </c>
      <c r="C175" s="49">
        <v>0.3854166666666667</v>
      </c>
      <c r="D175" s="48" t="s">
        <v>1331</v>
      </c>
      <c r="E175" s="50">
        <v>28683.0</v>
      </c>
      <c r="F175" s="51">
        <v>44567.0</v>
      </c>
      <c r="G175" s="48" t="s">
        <v>5</v>
      </c>
      <c r="H175" s="48" t="s">
        <v>6218</v>
      </c>
      <c r="I175" s="48" t="s">
        <v>6222</v>
      </c>
      <c r="J175" s="48" t="s">
        <v>6154</v>
      </c>
      <c r="K175" s="52" t="b">
        <f>IFS($B175=FALSE,"", countif(VLOOKUP($A175,UASCAN!D:D,1,FALSE),$A175)&gt;=1,TRUE,countif(VLOOKUP($B175,UASCAN!D:D,1,FALSE),$B175)=0,FALSE)</f>
        <v>0</v>
      </c>
      <c r="L175" s="52" t="b">
        <f>IFS(B175=FALSE,"", countif(VLOOKUP($B175,'01062022'!B:B,1,FALSE),$B175)&gt;=1,TRUE,countif(VLOOKUP($B175,'01062022'!B:B,1,FALSE),$B175)=0,FALSE)</f>
        <v>1</v>
      </c>
      <c r="M175" s="52" t="str">
        <f>ifs(AND($K175=FALSE,$L175=TRUE),"",AND($K175=FALSE,L175=FALSE),"",AND($K175=TRUE,$L175=TRUE),VLOOKUP($A175,UASCAN!D:F,3,0), AND($K175=TRUE,$L175=FALSE),VLOOKUP($A175,UASCAN!D:F,3,0))</f>
        <v/>
      </c>
      <c r="N175" s="53" t="str">
        <f t="shared" si="2"/>
        <v> </v>
      </c>
      <c r="O175" s="53" t="str">
        <f t="shared" si="3"/>
        <v/>
      </c>
    </row>
    <row r="176">
      <c r="A176" s="47" t="str">
        <f t="shared" si="1"/>
        <v>1604644567</v>
      </c>
      <c r="B176" s="48">
        <v>16046.0</v>
      </c>
      <c r="C176" s="49">
        <v>0.4166666666666667</v>
      </c>
      <c r="D176" s="48" t="s">
        <v>4377</v>
      </c>
      <c r="E176" s="50">
        <v>18837.0</v>
      </c>
      <c r="F176" s="51">
        <v>44567.0</v>
      </c>
      <c r="G176" s="48" t="s">
        <v>6220</v>
      </c>
      <c r="H176" s="48" t="s">
        <v>6218</v>
      </c>
      <c r="I176" s="48" t="s">
        <v>6222</v>
      </c>
      <c r="J176" s="48" t="s">
        <v>6192</v>
      </c>
      <c r="K176" s="52" t="b">
        <f>IFS($B176=FALSE,"", countif(VLOOKUP($A176,UASCAN!D:D,1,FALSE),$A176)&gt;=1,TRUE,countif(VLOOKUP($B176,UASCAN!D:D,1,FALSE),$B176)=0,FALSE)</f>
        <v>0</v>
      </c>
      <c r="L176" s="52" t="b">
        <f>IFS(B176=FALSE,"", countif(VLOOKUP($B176,'01062022'!B:B,1,FALSE),$B176)&gt;=1,TRUE,countif(VLOOKUP($B176,'01062022'!B:B,1,FALSE),$B176)=0,FALSE)</f>
        <v>1</v>
      </c>
      <c r="M176" s="52" t="str">
        <f>ifs(AND($K176=FALSE,$L176=TRUE),"",AND($K176=FALSE,L176=FALSE),"",AND($K176=TRUE,$L176=TRUE),VLOOKUP($A176,UASCAN!D:F,3,0), AND($K176=TRUE,$L176=FALSE),VLOOKUP($A176,UASCAN!D:F,3,0))</f>
        <v/>
      </c>
      <c r="N176" s="53" t="str">
        <f t="shared" si="2"/>
        <v> </v>
      </c>
      <c r="O176" s="53" t="str">
        <f t="shared" si="3"/>
        <v/>
      </c>
    </row>
    <row r="177">
      <c r="A177" s="47" t="str">
        <f t="shared" si="1"/>
        <v>1139144567</v>
      </c>
      <c r="B177" s="48">
        <v>11391.0</v>
      </c>
      <c r="C177" s="49">
        <v>0.4375</v>
      </c>
      <c r="D177" s="48" t="s">
        <v>936</v>
      </c>
      <c r="E177" s="50">
        <v>21293.0</v>
      </c>
      <c r="F177" s="51">
        <v>44567.0</v>
      </c>
      <c r="G177" s="48" t="s">
        <v>5</v>
      </c>
      <c r="H177" s="48" t="s">
        <v>6218</v>
      </c>
      <c r="I177" s="48" t="s">
        <v>6222</v>
      </c>
      <c r="J177" s="48" t="s">
        <v>6095</v>
      </c>
      <c r="K177" s="52" t="b">
        <f>IFS($B177=FALSE,"", countif(VLOOKUP($A177,UASCAN!D:D,1,FALSE),$A177)&gt;=1,TRUE,countif(VLOOKUP($B177,UASCAN!D:D,1,FALSE),$B177)=0,FALSE)</f>
        <v>0</v>
      </c>
      <c r="L177" s="52" t="b">
        <f>IFS(B177=FALSE,"", countif(VLOOKUP($B177,'01062022'!B:B,1,FALSE),$B177)&gt;=1,TRUE,countif(VLOOKUP($B177,'01062022'!B:B,1,FALSE),$B177)=0,FALSE)</f>
        <v>1</v>
      </c>
      <c r="M177" s="52" t="str">
        <f>ifs(AND($K177=FALSE,$L177=TRUE),"",AND($K177=FALSE,L177=FALSE),"",AND($K177=TRUE,$L177=TRUE),VLOOKUP($A177,UASCAN!D:F,3,0), AND($K177=TRUE,$L177=FALSE),VLOOKUP($A177,UASCAN!D:F,3,0))</f>
        <v/>
      </c>
      <c r="N177" s="53" t="str">
        <f t="shared" si="2"/>
        <v> </v>
      </c>
      <c r="O177" s="53" t="str">
        <f t="shared" si="3"/>
        <v/>
      </c>
    </row>
    <row r="178">
      <c r="A178" s="47" t="str">
        <f t="shared" si="1"/>
        <v>985444567</v>
      </c>
      <c r="B178" s="48">
        <v>9854.0</v>
      </c>
      <c r="C178" s="49">
        <v>0.4375</v>
      </c>
      <c r="D178" s="48" t="s">
        <v>321</v>
      </c>
      <c r="E178" s="50">
        <v>21614.0</v>
      </c>
      <c r="F178" s="51">
        <v>44567.0</v>
      </c>
      <c r="G178" s="48" t="s">
        <v>5</v>
      </c>
      <c r="H178" s="48" t="s">
        <v>6218</v>
      </c>
      <c r="I178" s="48" t="s">
        <v>6222</v>
      </c>
      <c r="J178" s="48" t="s">
        <v>6137</v>
      </c>
      <c r="K178" s="52" t="b">
        <f>IFS($B178=FALSE,"", countif(VLOOKUP($A178,UASCAN!D:D,1,FALSE),$A178)&gt;=1,TRUE,countif(VLOOKUP($B178,UASCAN!D:D,1,FALSE),$B178)=0,FALSE)</f>
        <v>0</v>
      </c>
      <c r="L178" s="52" t="b">
        <f>IFS(B178=FALSE,"", countif(VLOOKUP($B178,'01062022'!B:B,1,FALSE),$B178)&gt;=1,TRUE,countif(VLOOKUP($B178,'01062022'!B:B,1,FALSE),$B178)=0,FALSE)</f>
        <v>1</v>
      </c>
      <c r="M178" s="52" t="str">
        <f>ifs(AND($K178=FALSE,$L178=TRUE),"",AND($K178=FALSE,L178=FALSE),"",AND($K178=TRUE,$L178=TRUE),VLOOKUP($A178,UASCAN!D:F,3,0), AND($K178=TRUE,$L178=FALSE),VLOOKUP($A178,UASCAN!D:F,3,0))</f>
        <v/>
      </c>
      <c r="N178" s="53" t="str">
        <f t="shared" si="2"/>
        <v> </v>
      </c>
      <c r="O178" s="53" t="str">
        <f t="shared" si="3"/>
        <v/>
      </c>
    </row>
    <row r="179">
      <c r="A179" s="47" t="str">
        <f t="shared" si="1"/>
        <v>1408544567</v>
      </c>
      <c r="B179" s="48">
        <v>14085.0</v>
      </c>
      <c r="C179" s="49">
        <v>0.4583333333333333</v>
      </c>
      <c r="D179" s="48" t="s">
        <v>2730</v>
      </c>
      <c r="E179" s="50">
        <v>15888.0</v>
      </c>
      <c r="F179" s="51">
        <v>44567.0</v>
      </c>
      <c r="G179" s="48" t="s">
        <v>5</v>
      </c>
      <c r="H179" s="48" t="s">
        <v>6218</v>
      </c>
      <c r="I179" s="48" t="s">
        <v>6222</v>
      </c>
      <c r="J179" s="48" t="s">
        <v>6083</v>
      </c>
      <c r="K179" s="52" t="b">
        <f>IFS($B179=FALSE,"", countif(VLOOKUP($A179,UASCAN!D:D,1,FALSE),$A179)&gt;=1,TRUE,countif(VLOOKUP($B179,UASCAN!D:D,1,FALSE),$B179)=0,FALSE)</f>
        <v>0</v>
      </c>
      <c r="L179" s="52" t="b">
        <f>IFS(B179=FALSE,"", countif(VLOOKUP($B179,'01062022'!B:B,1,FALSE),$B179)&gt;=1,TRUE,countif(VLOOKUP($B179,'01062022'!B:B,1,FALSE),$B179)=0,FALSE)</f>
        <v>1</v>
      </c>
      <c r="M179" s="52" t="str">
        <f>ifs(AND($K179=FALSE,$L179=TRUE),"",AND($K179=FALSE,L179=FALSE),"",AND($K179=TRUE,$L179=TRUE),VLOOKUP($A179,UASCAN!D:F,3,0), AND($K179=TRUE,$L179=FALSE),VLOOKUP($A179,UASCAN!D:F,3,0))</f>
        <v/>
      </c>
      <c r="N179" s="53" t="str">
        <f t="shared" si="2"/>
        <v> </v>
      </c>
      <c r="O179" s="53" t="str">
        <f t="shared" si="3"/>
        <v/>
      </c>
    </row>
    <row r="180">
      <c r="A180" s="47" t="str">
        <f t="shared" si="1"/>
        <v>1039944567</v>
      </c>
      <c r="B180" s="48">
        <v>10399.0</v>
      </c>
      <c r="C180" s="49">
        <v>0.5416666666666666</v>
      </c>
      <c r="D180" s="48" t="s">
        <v>532</v>
      </c>
      <c r="E180" s="50">
        <v>29259.0</v>
      </c>
      <c r="F180" s="51">
        <v>44567.0</v>
      </c>
      <c r="G180" s="48" t="s">
        <v>5</v>
      </c>
      <c r="H180" s="48" t="s">
        <v>6218</v>
      </c>
      <c r="I180" s="48" t="s">
        <v>6222</v>
      </c>
      <c r="J180" s="48" t="s">
        <v>6199</v>
      </c>
      <c r="K180" s="52" t="b">
        <f>IFS($B180=FALSE,"", countif(VLOOKUP($A180,UASCAN!D:D,1,FALSE),$A180)&gt;=1,TRUE,countif(VLOOKUP($B180,UASCAN!D:D,1,FALSE),$B180)=0,FALSE)</f>
        <v>0</v>
      </c>
      <c r="L180" s="52" t="b">
        <f>IFS(B180=FALSE,"", countif(VLOOKUP($B180,'01062022'!B:B,1,FALSE),$B180)&gt;=1,TRUE,countif(VLOOKUP($B180,'01062022'!B:B,1,FALSE),$B180)=0,FALSE)</f>
        <v>1</v>
      </c>
      <c r="M180" s="52" t="str">
        <f>ifs(AND($K180=FALSE,$L180=TRUE),"",AND($K180=FALSE,L180=FALSE),"",AND($K180=TRUE,$L180=TRUE),VLOOKUP($A180,UASCAN!D:F,3,0), AND($K180=TRUE,$L180=FALSE),VLOOKUP($A180,UASCAN!D:F,3,0))</f>
        <v/>
      </c>
      <c r="N180" s="53" t="str">
        <f t="shared" si="2"/>
        <v> </v>
      </c>
      <c r="O180" s="53" t="str">
        <f t="shared" si="3"/>
        <v/>
      </c>
    </row>
    <row r="181">
      <c r="A181" s="47" t="str">
        <f t="shared" si="1"/>
        <v>1039244567</v>
      </c>
      <c r="B181" s="48">
        <v>10392.0</v>
      </c>
      <c r="C181" s="49">
        <v>0.5625</v>
      </c>
      <c r="D181" s="48" t="s">
        <v>527</v>
      </c>
      <c r="E181" s="50">
        <v>31105.0</v>
      </c>
      <c r="F181" s="51">
        <v>44567.0</v>
      </c>
      <c r="G181" s="48" t="s">
        <v>5</v>
      </c>
      <c r="H181" s="48" t="s">
        <v>6218</v>
      </c>
      <c r="I181" s="48" t="s">
        <v>6222</v>
      </c>
      <c r="J181" s="48" t="s">
        <v>6137</v>
      </c>
      <c r="K181" s="52" t="b">
        <f>IFS($B181=FALSE,"", countif(VLOOKUP($A181,UASCAN!D:D,1,FALSE),$A181)&gt;=1,TRUE,countif(VLOOKUP($B181,UASCAN!D:D,1,FALSE),$B181)=0,FALSE)</f>
        <v>0</v>
      </c>
      <c r="L181" s="52" t="b">
        <f>IFS(B181=FALSE,"", countif(VLOOKUP($B181,'01062022'!B:B,1,FALSE),$B181)&gt;=1,TRUE,countif(VLOOKUP($B181,'01062022'!B:B,1,FALSE),$B181)=0,FALSE)</f>
        <v>1</v>
      </c>
      <c r="M181" s="52" t="str">
        <f>ifs(AND($K181=FALSE,$L181=TRUE),"",AND($K181=FALSE,L181=FALSE),"",AND($K181=TRUE,$L181=TRUE),VLOOKUP($A181,UASCAN!D:F,3,0), AND($K181=TRUE,$L181=FALSE),VLOOKUP($A181,UASCAN!D:F,3,0))</f>
        <v/>
      </c>
      <c r="N181" s="53" t="str">
        <f t="shared" si="2"/>
        <v> </v>
      </c>
      <c r="O181" s="53" t="str">
        <f t="shared" si="3"/>
        <v/>
      </c>
    </row>
    <row r="182">
      <c r="A182" s="47" t="str">
        <f t="shared" si="1"/>
        <v>1472944567</v>
      </c>
      <c r="B182" s="48">
        <v>14729.0</v>
      </c>
      <c r="C182" s="49">
        <v>0.5729166666666666</v>
      </c>
      <c r="D182" s="48" t="s">
        <v>3252</v>
      </c>
      <c r="E182" s="50">
        <v>30461.0</v>
      </c>
      <c r="F182" s="51">
        <v>44567.0</v>
      </c>
      <c r="G182" s="48" t="s">
        <v>5</v>
      </c>
      <c r="H182" s="48" t="s">
        <v>6218</v>
      </c>
      <c r="I182" s="48" t="s">
        <v>6222</v>
      </c>
      <c r="J182" s="48" t="s">
        <v>6154</v>
      </c>
      <c r="K182" s="52" t="b">
        <f>IFS($B182=FALSE,"", countif(VLOOKUP($A182,UASCAN!D:D,1,FALSE),$A182)&gt;=1,TRUE,countif(VLOOKUP($B182,UASCAN!D:D,1,FALSE),$B182)=0,FALSE)</f>
        <v>0</v>
      </c>
      <c r="L182" s="52" t="b">
        <f>IFS(B182=FALSE,"", countif(VLOOKUP($B182,'01062022'!B:B,1,FALSE),$B182)&gt;=1,TRUE,countif(VLOOKUP($B182,'01062022'!B:B,1,FALSE),$B182)=0,FALSE)</f>
        <v>1</v>
      </c>
      <c r="M182" s="52" t="str">
        <f>ifs(AND($K182=FALSE,$L182=TRUE),"",AND($K182=FALSE,L182=FALSE),"",AND($K182=TRUE,$L182=TRUE),VLOOKUP($A182,UASCAN!D:F,3,0), AND($K182=TRUE,$L182=FALSE),VLOOKUP($A182,UASCAN!D:F,3,0))</f>
        <v/>
      </c>
      <c r="N182" s="53" t="str">
        <f t="shared" si="2"/>
        <v> </v>
      </c>
      <c r="O182" s="53" t="str">
        <f t="shared" si="3"/>
        <v/>
      </c>
    </row>
    <row r="183">
      <c r="A183" s="47" t="str">
        <f t="shared" si="1"/>
        <v>1545044567</v>
      </c>
      <c r="B183" s="48">
        <v>15450.0</v>
      </c>
      <c r="C183" s="49">
        <v>0.6041666666666666</v>
      </c>
      <c r="D183" s="48" t="s">
        <v>3844</v>
      </c>
      <c r="E183" s="50">
        <v>15506.0</v>
      </c>
      <c r="F183" s="51">
        <v>44567.0</v>
      </c>
      <c r="G183" s="48" t="s">
        <v>6216</v>
      </c>
      <c r="H183" s="48" t="s">
        <v>6218</v>
      </c>
      <c r="I183" s="48" t="s">
        <v>6222</v>
      </c>
      <c r="J183" s="48" t="s">
        <v>6196</v>
      </c>
      <c r="K183" s="52" t="b">
        <f>IFS($B183=FALSE,"", countif(VLOOKUP($A183,UASCAN!D:D,1,FALSE),$A183)&gt;=1,TRUE,countif(VLOOKUP($B183,UASCAN!D:D,1,FALSE),$B183)=0,FALSE)</f>
        <v>0</v>
      </c>
      <c r="L183" s="52" t="b">
        <f>IFS(B183=FALSE,"", countif(VLOOKUP($B183,'01062022'!B:B,1,FALSE),$B183)&gt;=1,TRUE,countif(VLOOKUP($B183,'01062022'!B:B,1,FALSE),$B183)=0,FALSE)</f>
        <v>1</v>
      </c>
      <c r="M183" s="52" t="str">
        <f>ifs(AND($K183=FALSE,$L183=TRUE),"",AND($K183=FALSE,L183=FALSE),"",AND($K183=TRUE,$L183=TRUE),VLOOKUP($A183,UASCAN!D:F,3,0), AND($K183=TRUE,$L183=FALSE),VLOOKUP($A183,UASCAN!D:F,3,0))</f>
        <v/>
      </c>
      <c r="N183" s="53" t="str">
        <f t="shared" si="2"/>
        <v> </v>
      </c>
      <c r="O183" s="53" t="str">
        <f t="shared" si="3"/>
        <v/>
      </c>
    </row>
    <row r="184">
      <c r="A184" s="47" t="str">
        <f t="shared" si="1"/>
        <v>1651544567</v>
      </c>
      <c r="B184" s="48">
        <v>16515.0</v>
      </c>
      <c r="C184" s="49">
        <v>0.6354166666666666</v>
      </c>
      <c r="D184" s="48" t="s">
        <v>4750</v>
      </c>
      <c r="E184" s="50">
        <v>17317.0</v>
      </c>
      <c r="F184" s="51">
        <v>44567.0</v>
      </c>
      <c r="G184" s="48" t="s">
        <v>5</v>
      </c>
      <c r="H184" s="48" t="s">
        <v>6218</v>
      </c>
      <c r="I184" s="48" t="s">
        <v>6222</v>
      </c>
      <c r="J184" s="48" t="s">
        <v>6094</v>
      </c>
      <c r="K184" s="52" t="b">
        <f>IFS($B184=FALSE,"", countif(VLOOKUP($A184,UASCAN!D:D,1,FALSE),$A184)&gt;=1,TRUE,countif(VLOOKUP($B184,UASCAN!D:D,1,FALSE),$B184)=0,FALSE)</f>
        <v>0</v>
      </c>
      <c r="L184" s="52" t="b">
        <f>IFS(B184=FALSE,"", countif(VLOOKUP($B184,'01062022'!B:B,1,FALSE),$B184)&gt;=1,TRUE,countif(VLOOKUP($B184,'01062022'!B:B,1,FALSE),$B184)=0,FALSE)</f>
        <v>1</v>
      </c>
      <c r="M184" s="52" t="str">
        <f>ifs(AND($K184=FALSE,$L184=TRUE),"",AND($K184=FALSE,L184=FALSE),"",AND($K184=TRUE,$L184=TRUE),VLOOKUP($A184,UASCAN!D:F,3,0), AND($K184=TRUE,$L184=FALSE),VLOOKUP($A184,UASCAN!D:F,3,0))</f>
        <v/>
      </c>
      <c r="N184" s="53" t="str">
        <f t="shared" si="2"/>
        <v> </v>
      </c>
      <c r="O184" s="53" t="str">
        <f t="shared" si="3"/>
        <v/>
      </c>
    </row>
    <row r="185">
      <c r="A185" s="47" t="str">
        <f t="shared" si="1"/>
        <v>1041544567</v>
      </c>
      <c r="B185" s="48">
        <v>10415.0</v>
      </c>
      <c r="C185" s="49">
        <v>0.6458333333333334</v>
      </c>
      <c r="D185" s="48" t="s">
        <v>537</v>
      </c>
      <c r="E185" s="50">
        <v>25164.0</v>
      </c>
      <c r="F185" s="51">
        <v>44567.0</v>
      </c>
      <c r="G185" s="48" t="s">
        <v>5</v>
      </c>
      <c r="H185" s="48" t="s">
        <v>6218</v>
      </c>
      <c r="I185" s="48" t="s">
        <v>6222</v>
      </c>
      <c r="J185" s="48" t="s">
        <v>6137</v>
      </c>
      <c r="K185" s="52" t="b">
        <f>IFS($B185=FALSE,"", countif(VLOOKUP($A185,UASCAN!D:D,1,FALSE),$A185)&gt;=1,TRUE,countif(VLOOKUP($B185,UASCAN!D:D,1,FALSE),$B185)=0,FALSE)</f>
        <v>0</v>
      </c>
      <c r="L185" s="52" t="b">
        <f>IFS(B185=FALSE,"", countif(VLOOKUP($B185,'01062022'!B:B,1,FALSE),$B185)&gt;=1,TRUE,countif(VLOOKUP($B185,'01062022'!B:B,1,FALSE),$B185)=0,FALSE)</f>
        <v>1</v>
      </c>
      <c r="M185" s="52" t="str">
        <f>ifs(AND($K185=FALSE,$L185=TRUE),"",AND($K185=FALSE,L185=FALSE),"",AND($K185=TRUE,$L185=TRUE),VLOOKUP($A185,UASCAN!D:F,3,0), AND($K185=TRUE,$L185=FALSE),VLOOKUP($A185,UASCAN!D:F,3,0))</f>
        <v/>
      </c>
      <c r="N185" s="53" t="str">
        <f t="shared" si="2"/>
        <v> </v>
      </c>
      <c r="O185" s="53" t="str">
        <f t="shared" si="3"/>
        <v/>
      </c>
    </row>
    <row r="186">
      <c r="A186" s="47" t="str">
        <f t="shared" si="1"/>
        <v>1483944568</v>
      </c>
      <c r="B186" s="48">
        <v>14839.0</v>
      </c>
      <c r="C186" s="49">
        <v>0.3125</v>
      </c>
      <c r="D186" s="48" t="s">
        <v>3342</v>
      </c>
      <c r="E186" s="50">
        <v>23343.0</v>
      </c>
      <c r="F186" s="51">
        <v>44568.0</v>
      </c>
      <c r="G186" s="48" t="s">
        <v>6216</v>
      </c>
      <c r="H186" s="48" t="s">
        <v>6211</v>
      </c>
      <c r="I186" s="48" t="s">
        <v>6212</v>
      </c>
      <c r="J186" s="48" t="s">
        <v>6196</v>
      </c>
      <c r="K186" s="52" t="b">
        <f>IFS($B186=FALSE,"", countif(VLOOKUP($A186,UASCAN!D:D,1,FALSE),$A186)&gt;=1,TRUE,countif(VLOOKUP($B186,UASCAN!D:D,1,FALSE),$B186)=0,FALSE)</f>
        <v>0</v>
      </c>
      <c r="L186" s="52" t="b">
        <f>IFS(B186=FALSE,"", countif(VLOOKUP($B186,'01072022'!B:B,1,FALSE),$B186)&gt;=1,TRUE,countif(VLOOKUP($B186,'01072022'!B:B,1,FALSE),$B186)=0,FALSE)</f>
        <v>1</v>
      </c>
      <c r="M186" s="52" t="str">
        <f>ifs(AND($K186=FALSE,$L186=TRUE),"",AND($K186=FALSE,L186=FALSE),"",AND($K186=TRUE,$L186=TRUE),VLOOKUP($A186,UASCAN!D:F,3,0), AND($K186=TRUE,$L186=FALSE),VLOOKUP($A186,UASCAN!D:F,3,0))</f>
        <v/>
      </c>
      <c r="N186" s="53" t="str">
        <f t="shared" si="2"/>
        <v> </v>
      </c>
      <c r="O186" s="53" t="str">
        <f t="shared" si="3"/>
        <v/>
      </c>
    </row>
    <row r="187">
      <c r="A187" s="47" t="str">
        <f t="shared" si="1"/>
        <v>1538344568</v>
      </c>
      <c r="B187" s="48">
        <v>15383.0</v>
      </c>
      <c r="C187" s="49">
        <v>0.3645833333333333</v>
      </c>
      <c r="D187" s="48" t="s">
        <v>3792</v>
      </c>
      <c r="E187" s="50">
        <v>18387.0</v>
      </c>
      <c r="F187" s="51">
        <v>44568.0</v>
      </c>
      <c r="G187" s="48" t="s">
        <v>6216</v>
      </c>
      <c r="H187" s="48" t="s">
        <v>6211</v>
      </c>
      <c r="I187" s="48" t="s">
        <v>6212</v>
      </c>
      <c r="J187" s="48" t="s">
        <v>6192</v>
      </c>
      <c r="K187" s="52" t="b">
        <f>IFS($B187=FALSE,"", countif(VLOOKUP($A187,UASCAN!D:D,1,FALSE),$A187)&gt;=1,TRUE,countif(VLOOKUP($B187,UASCAN!D:D,1,FALSE),$B187)=0,FALSE)</f>
        <v>0</v>
      </c>
      <c r="L187" s="52" t="b">
        <f>IFS(B187=FALSE,"", countif(VLOOKUP($B187,'01072022'!B:B,1,FALSE),$B187)&gt;=1,TRUE,countif(VLOOKUP($B187,'01072022'!B:B,1,FALSE),$B187)=0,FALSE)</f>
        <v>1</v>
      </c>
      <c r="M187" s="52" t="str">
        <f>ifs(AND($K187=FALSE,$L187=TRUE),"",AND($K187=FALSE,L187=FALSE),"",AND($K187=TRUE,$L187=TRUE),VLOOKUP($A187,UASCAN!D:F,3,0), AND($K187=TRUE,$L187=FALSE),VLOOKUP($A187,UASCAN!D:F,3,0))</f>
        <v/>
      </c>
      <c r="N187" s="53" t="str">
        <f t="shared" si="2"/>
        <v> </v>
      </c>
      <c r="O187" s="53" t="str">
        <f t="shared" si="3"/>
        <v/>
      </c>
    </row>
    <row r="188">
      <c r="A188" s="47" t="str">
        <f t="shared" si="1"/>
        <v>1611944568</v>
      </c>
      <c r="B188" s="48">
        <v>16119.0</v>
      </c>
      <c r="C188" s="49">
        <v>0.3854166666666667</v>
      </c>
      <c r="D188" s="48" t="s">
        <v>4441</v>
      </c>
      <c r="E188" s="50">
        <v>22435.0</v>
      </c>
      <c r="F188" s="51">
        <v>44568.0</v>
      </c>
      <c r="G188" s="48" t="s">
        <v>6215</v>
      </c>
      <c r="H188" s="48" t="s">
        <v>6211</v>
      </c>
      <c r="I188" s="48" t="s">
        <v>6212</v>
      </c>
      <c r="J188" s="48" t="s">
        <v>6117</v>
      </c>
      <c r="K188" s="52" t="b">
        <f>IFS($B188=FALSE,"", countif(VLOOKUP($A188,UASCAN!D:D,1,FALSE),$A188)&gt;=1,TRUE,countif(VLOOKUP($B188,UASCAN!D:D,1,FALSE),$B188)=0,FALSE)</f>
        <v>0</v>
      </c>
      <c r="L188" s="52" t="b">
        <f>IFS(B188=FALSE,"", countif(VLOOKUP($B188,'01072022'!B:B,1,FALSE),$B188)&gt;=1,TRUE,countif(VLOOKUP($B188,'01072022'!B:B,1,FALSE),$B188)=0,FALSE)</f>
        <v>1</v>
      </c>
      <c r="M188" s="52" t="str">
        <f>ifs(AND($K188=FALSE,$L188=TRUE),"",AND($K188=FALSE,L188=FALSE),"",AND($K188=TRUE,$L188=TRUE),VLOOKUP($A188,UASCAN!D:F,3,0), AND($K188=TRUE,$L188=FALSE),VLOOKUP($A188,UASCAN!D:F,3,0))</f>
        <v/>
      </c>
      <c r="N188" s="53" t="str">
        <f t="shared" si="2"/>
        <v> </v>
      </c>
      <c r="O188" s="53" t="str">
        <f t="shared" si="3"/>
        <v/>
      </c>
    </row>
    <row r="189">
      <c r="A189" s="47" t="str">
        <f t="shared" si="1"/>
        <v>1383544568</v>
      </c>
      <c r="B189" s="48">
        <v>13835.0</v>
      </c>
      <c r="C189" s="49">
        <v>0.4166666666666667</v>
      </c>
      <c r="D189" s="48" t="s">
        <v>2543</v>
      </c>
      <c r="E189" s="50">
        <v>18179.0</v>
      </c>
      <c r="F189" s="51">
        <v>44568.0</v>
      </c>
      <c r="G189" s="48" t="s">
        <v>6215</v>
      </c>
      <c r="H189" s="48" t="s">
        <v>6211</v>
      </c>
      <c r="I189" s="48" t="s">
        <v>6212</v>
      </c>
      <c r="J189" s="48" t="s">
        <v>6199</v>
      </c>
      <c r="K189" s="52" t="b">
        <f>IFS($B189=FALSE,"", countif(VLOOKUP($A189,UASCAN!D:D,1,FALSE),$A189)&gt;=1,TRUE,countif(VLOOKUP($B189,UASCAN!D:D,1,FALSE),$B189)=0,FALSE)</f>
        <v>0</v>
      </c>
      <c r="L189" s="52" t="b">
        <f>IFS(B189=FALSE,"", countif(VLOOKUP($B189,'01072022'!B:B,1,FALSE),$B189)&gt;=1,TRUE,countif(VLOOKUP($B189,'01072022'!B:B,1,FALSE),$B189)=0,FALSE)</f>
        <v>1</v>
      </c>
      <c r="M189" s="52" t="str">
        <f>ifs(AND($K189=FALSE,$L189=TRUE),"",AND($K189=FALSE,L189=FALSE),"",AND($K189=TRUE,$L189=TRUE),VLOOKUP($A189,UASCAN!D:F,3,0), AND($K189=TRUE,$L189=FALSE),VLOOKUP($A189,UASCAN!D:F,3,0))</f>
        <v/>
      </c>
      <c r="N189" s="53" t="str">
        <f t="shared" si="2"/>
        <v> </v>
      </c>
      <c r="O189" s="53" t="str">
        <f t="shared" si="3"/>
        <v/>
      </c>
    </row>
    <row r="190">
      <c r="A190" s="47" t="str">
        <f t="shared" si="1"/>
        <v>1412644568</v>
      </c>
      <c r="B190" s="48">
        <v>14126.0</v>
      </c>
      <c r="C190" s="49">
        <v>0.4479166666666667</v>
      </c>
      <c r="D190" s="48" t="s">
        <v>2765</v>
      </c>
      <c r="E190" s="50">
        <v>18823.0</v>
      </c>
      <c r="F190" s="51">
        <v>44568.0</v>
      </c>
      <c r="G190" s="48" t="s">
        <v>6215</v>
      </c>
      <c r="H190" s="48" t="s">
        <v>6211</v>
      </c>
      <c r="I190" s="48" t="s">
        <v>6212</v>
      </c>
      <c r="J190" s="48" t="s">
        <v>6199</v>
      </c>
      <c r="K190" s="52" t="b">
        <f>IFS($B190=FALSE,"", countif(VLOOKUP($A190,UASCAN!D:D,1,FALSE),$A190)&gt;=1,TRUE,countif(VLOOKUP($B190,UASCAN!D:D,1,FALSE),$B190)=0,FALSE)</f>
        <v>0</v>
      </c>
      <c r="L190" s="52" t="b">
        <f>IFS(B190=FALSE,"", countif(VLOOKUP($B190,'01072022'!B:B,1,FALSE),$B190)&gt;=1,TRUE,countif(VLOOKUP($B190,'01072022'!B:B,1,FALSE),$B190)=0,FALSE)</f>
        <v>1</v>
      </c>
      <c r="M190" s="52" t="str">
        <f>ifs(AND($K190=FALSE,$L190=TRUE),"",AND($K190=FALSE,L190=FALSE),"",AND($K190=TRUE,$L190=TRUE),VLOOKUP($A190,UASCAN!D:F,3,0), AND($K190=TRUE,$L190=FALSE),VLOOKUP($A190,UASCAN!D:F,3,0))</f>
        <v/>
      </c>
      <c r="N190" s="53" t="str">
        <f t="shared" si="2"/>
        <v> </v>
      </c>
      <c r="O190" s="53" t="str">
        <f t="shared" si="3"/>
        <v/>
      </c>
    </row>
    <row r="191">
      <c r="A191" s="47" t="str">
        <f t="shared" si="1"/>
        <v>1576544568</v>
      </c>
      <c r="B191" s="48">
        <v>15765.0</v>
      </c>
      <c r="C191" s="49">
        <v>0.4479166666666667</v>
      </c>
      <c r="D191" s="48" t="s">
        <v>4129</v>
      </c>
      <c r="E191" s="50">
        <v>23265.0</v>
      </c>
      <c r="F191" s="51">
        <v>44568.0</v>
      </c>
      <c r="G191" s="48" t="s">
        <v>6220</v>
      </c>
      <c r="H191" s="48" t="s">
        <v>6211</v>
      </c>
      <c r="I191" s="48" t="s">
        <v>6212</v>
      </c>
      <c r="J191" s="48" t="s">
        <v>6192</v>
      </c>
      <c r="K191" s="52" t="b">
        <f>IFS($B191=FALSE,"", countif(VLOOKUP($A191,UASCAN!D:D,1,FALSE),$A191)&gt;=1,TRUE,countif(VLOOKUP($B191,UASCAN!D:D,1,FALSE),$B191)=0,FALSE)</f>
        <v>0</v>
      </c>
      <c r="L191" s="52" t="b">
        <f>IFS(B191=FALSE,"", countif(VLOOKUP($B191,'01072022'!B:B,1,FALSE),$B191)&gt;=1,TRUE,countif(VLOOKUP($B191,'01072022'!B:B,1,FALSE),$B191)=0,FALSE)</f>
        <v>1</v>
      </c>
      <c r="M191" s="52" t="str">
        <f>ifs(AND($K191=FALSE,$L191=TRUE),"",AND($K191=FALSE,L191=FALSE),"",AND($K191=TRUE,$L191=TRUE),VLOOKUP($A191,UASCAN!D:F,3,0), AND($K191=TRUE,$L191=FALSE),VLOOKUP($A191,UASCAN!D:F,3,0))</f>
        <v/>
      </c>
      <c r="N191" s="53" t="str">
        <f t="shared" si="2"/>
        <v> </v>
      </c>
      <c r="O191" s="53" t="str">
        <f t="shared" si="3"/>
        <v/>
      </c>
    </row>
    <row r="192">
      <c r="A192" s="47" t="str">
        <f t="shared" si="1"/>
        <v>1681844568</v>
      </c>
      <c r="B192" s="48">
        <v>16818.0</v>
      </c>
      <c r="C192" s="49">
        <v>0.4583333333333333</v>
      </c>
      <c r="D192" s="48" t="s">
        <v>4986</v>
      </c>
      <c r="E192" s="50">
        <v>19668.0</v>
      </c>
      <c r="F192" s="51">
        <v>44568.0</v>
      </c>
      <c r="G192" s="48" t="s">
        <v>5</v>
      </c>
      <c r="H192" s="48" t="s">
        <v>6211</v>
      </c>
      <c r="I192" s="48" t="s">
        <v>6212</v>
      </c>
      <c r="J192" s="48" t="s">
        <v>6161</v>
      </c>
      <c r="K192" s="52" t="b">
        <f>IFS($B192=FALSE,"", countif(VLOOKUP($A192,UASCAN!D:D,1,FALSE),$A192)&gt;=1,TRUE,countif(VLOOKUP($B192,UASCAN!D:D,1,FALSE),$B192)=0,FALSE)</f>
        <v>0</v>
      </c>
      <c r="L192" s="52" t="b">
        <f>IFS(B192=FALSE,"", countif(VLOOKUP($B192,'01072022'!B:B,1,FALSE),$B192)&gt;=1,TRUE,countif(VLOOKUP($B192,'01072022'!B:B,1,FALSE),$B192)=0,FALSE)</f>
        <v>1</v>
      </c>
      <c r="M192" s="52" t="str">
        <f>ifs(AND($K192=FALSE,$L192=TRUE),"",AND($K192=FALSE,L192=FALSE),"",AND($K192=TRUE,$L192=TRUE),VLOOKUP($A192,UASCAN!D:F,3,0), AND($K192=TRUE,$L192=FALSE),VLOOKUP($A192,UASCAN!D:F,3,0))</f>
        <v/>
      </c>
      <c r="N192" s="53" t="str">
        <f t="shared" si="2"/>
        <v> </v>
      </c>
      <c r="O192" s="53" t="str">
        <f t="shared" si="3"/>
        <v/>
      </c>
    </row>
    <row r="193">
      <c r="A193" s="47" t="str">
        <f t="shared" si="1"/>
        <v>1471844568</v>
      </c>
      <c r="B193" s="48">
        <v>14718.0</v>
      </c>
      <c r="C193" s="49">
        <v>0.5625</v>
      </c>
      <c r="D193" s="48" t="s">
        <v>3241</v>
      </c>
      <c r="E193" s="50">
        <v>19516.0</v>
      </c>
      <c r="F193" s="51">
        <v>44568.0</v>
      </c>
      <c r="G193" s="48" t="s">
        <v>6220</v>
      </c>
      <c r="H193" s="48" t="s">
        <v>6211</v>
      </c>
      <c r="I193" s="48" t="s">
        <v>6212</v>
      </c>
      <c r="J193" s="48" t="s">
        <v>6189</v>
      </c>
      <c r="K193" s="52" t="b">
        <f>IFS($B193=FALSE,"", countif(VLOOKUP($A193,UASCAN!D:D,1,FALSE),$A193)&gt;=1,TRUE,countif(VLOOKUP($B193,UASCAN!D:D,1,FALSE),$B193)=0,FALSE)</f>
        <v>0</v>
      </c>
      <c r="L193" s="52" t="b">
        <f>IFS(B193=FALSE,"", countif(VLOOKUP($B193,'01072022'!B:B,1,FALSE),$B193)&gt;=1,TRUE,countif(VLOOKUP($B193,'01072022'!B:B,1,FALSE),$B193)=0,FALSE)</f>
        <v>1</v>
      </c>
      <c r="M193" s="52" t="str">
        <f>ifs(AND($K193=FALSE,$L193=TRUE),"",AND($K193=FALSE,L193=FALSE),"",AND($K193=TRUE,$L193=TRUE),VLOOKUP($A193,UASCAN!D:F,3,0), AND($K193=TRUE,$L193=FALSE),VLOOKUP($A193,UASCAN!D:F,3,0))</f>
        <v/>
      </c>
      <c r="N193" s="53" t="str">
        <f t="shared" si="2"/>
        <v> </v>
      </c>
      <c r="O193" s="53" t="str">
        <f t="shared" si="3"/>
        <v/>
      </c>
    </row>
    <row r="194">
      <c r="A194" s="47" t="str">
        <f t="shared" si="1"/>
        <v>1502444568</v>
      </c>
      <c r="B194" s="48">
        <v>15024.0</v>
      </c>
      <c r="C194" s="49">
        <v>0.5625</v>
      </c>
      <c r="D194" s="48" t="s">
        <v>3494</v>
      </c>
      <c r="E194" s="50">
        <v>20328.0</v>
      </c>
      <c r="F194" s="51">
        <v>44568.0</v>
      </c>
      <c r="G194" s="48" t="s">
        <v>6216</v>
      </c>
      <c r="H194" s="48" t="s">
        <v>6211</v>
      </c>
      <c r="I194" s="48" t="s">
        <v>6212</v>
      </c>
      <c r="J194" s="48" t="s">
        <v>6189</v>
      </c>
      <c r="K194" s="52" t="b">
        <f>IFS($B194=FALSE,"", countif(VLOOKUP($A194,UASCAN!D:D,1,FALSE),$A194)&gt;=1,TRUE,countif(VLOOKUP($B194,UASCAN!D:D,1,FALSE),$B194)=0,FALSE)</f>
        <v>0</v>
      </c>
      <c r="L194" s="52" t="b">
        <f>IFS(B194=FALSE,"", countif(VLOOKUP($B194,'01072022'!B:B,1,FALSE),$B194)&gt;=1,TRUE,countif(VLOOKUP($B194,'01072022'!B:B,1,FALSE),$B194)=0,FALSE)</f>
        <v>1</v>
      </c>
      <c r="M194" s="52" t="str">
        <f>ifs(AND($K194=FALSE,$L194=TRUE),"",AND($K194=FALSE,L194=FALSE),"",AND($K194=TRUE,$L194=TRUE),VLOOKUP($A194,UASCAN!D:F,3,0), AND($K194=TRUE,$L194=FALSE),VLOOKUP($A194,UASCAN!D:F,3,0))</f>
        <v/>
      </c>
      <c r="N194" s="53" t="str">
        <f t="shared" si="2"/>
        <v> </v>
      </c>
      <c r="O194" s="53" t="str">
        <f t="shared" si="3"/>
        <v/>
      </c>
    </row>
    <row r="195">
      <c r="A195" s="47" t="str">
        <f t="shared" si="1"/>
        <v>1743244568</v>
      </c>
      <c r="B195" s="48">
        <v>17432.0</v>
      </c>
      <c r="C195" s="49">
        <v>0.59375</v>
      </c>
      <c r="D195" s="48" t="s">
        <v>5467</v>
      </c>
      <c r="E195" s="50">
        <v>28960.0</v>
      </c>
      <c r="F195" s="51">
        <v>44568.0</v>
      </c>
      <c r="G195" s="48" t="s">
        <v>6215</v>
      </c>
      <c r="H195" s="48" t="s">
        <v>6211</v>
      </c>
      <c r="I195" s="48" t="s">
        <v>6212</v>
      </c>
      <c r="J195" s="48" t="s">
        <v>6146</v>
      </c>
      <c r="K195" s="52" t="b">
        <f>IFS($B195=FALSE,"", countif(VLOOKUP($A195,UASCAN!D:D,1,FALSE),$A195)&gt;=1,TRUE,countif(VLOOKUP($B195,UASCAN!D:D,1,FALSE),$B195)=0,FALSE)</f>
        <v>0</v>
      </c>
      <c r="L195" s="52" t="b">
        <f>IFS(B195=FALSE,"", countif(VLOOKUP($B195,'01072022'!B:B,1,FALSE),$B195)&gt;=1,TRUE,countif(VLOOKUP($B195,'01072022'!B:B,1,FALSE),$B195)=0,FALSE)</f>
        <v>1</v>
      </c>
      <c r="M195" s="52" t="str">
        <f>ifs(AND($K195=FALSE,$L195=TRUE),"",AND($K195=FALSE,L195=FALSE),"",AND($K195=TRUE,$L195=TRUE),VLOOKUP($A195,UASCAN!D:F,3,0), AND($K195=TRUE,$L195=FALSE),VLOOKUP($A195,UASCAN!D:F,3,0))</f>
        <v/>
      </c>
      <c r="N195" s="53" t="str">
        <f t="shared" si="2"/>
        <v> </v>
      </c>
      <c r="O195" s="53" t="str">
        <f t="shared" si="3"/>
        <v/>
      </c>
    </row>
    <row r="196">
      <c r="A196" s="47" t="str">
        <f t="shared" si="1"/>
        <v>935344568</v>
      </c>
      <c r="B196" s="48">
        <v>9353.0</v>
      </c>
      <c r="C196" s="49">
        <v>0.3333333333333333</v>
      </c>
      <c r="D196" s="48" t="s">
        <v>142</v>
      </c>
      <c r="E196" s="50">
        <v>11841.0</v>
      </c>
      <c r="F196" s="51">
        <v>44568.0</v>
      </c>
      <c r="G196" s="48" t="s">
        <v>5</v>
      </c>
      <c r="H196" s="48" t="s">
        <v>6218</v>
      </c>
      <c r="I196" s="48" t="s">
        <v>6219</v>
      </c>
      <c r="J196" s="48" t="s">
        <v>6137</v>
      </c>
      <c r="K196" s="52" t="b">
        <f>IFS($B196=FALSE,"", countif(VLOOKUP($A196,UASCAN!D:D,1,FALSE),$A196)&gt;=1,TRUE,countif(VLOOKUP($B196,UASCAN!D:D,1,FALSE),$B196)=0,FALSE)</f>
        <v>0</v>
      </c>
      <c r="L196" s="52" t="b">
        <f>IFS(B196=FALSE,"", countif(VLOOKUP($B196,'01072022'!B:B,1,FALSE),$B196)&gt;=1,TRUE,countif(VLOOKUP($B196,'01072022'!B:B,1,FALSE),$B196)=0,FALSE)</f>
        <v>1</v>
      </c>
      <c r="M196" s="52" t="str">
        <f>ifs(AND($K196=FALSE,$L196=TRUE),"",AND($K196=FALSE,L196=FALSE),"",AND($K196=TRUE,$L196=TRUE),VLOOKUP($A196,UASCAN!D:F,3,0), AND($K196=TRUE,$L196=FALSE),VLOOKUP($A196,UASCAN!D:F,3,0))</f>
        <v/>
      </c>
      <c r="N196" s="53" t="str">
        <f t="shared" si="2"/>
        <v> </v>
      </c>
      <c r="O196" s="53" t="str">
        <f t="shared" si="3"/>
        <v/>
      </c>
    </row>
    <row r="197">
      <c r="A197" s="47" t="str">
        <f t="shared" si="1"/>
        <v>1300544568</v>
      </c>
      <c r="B197" s="48">
        <v>13005.0</v>
      </c>
      <c r="C197" s="49">
        <v>0.34375</v>
      </c>
      <c r="D197" s="48" t="s">
        <v>1892</v>
      </c>
      <c r="E197" s="50">
        <v>22674.0</v>
      </c>
      <c r="F197" s="51">
        <v>44568.0</v>
      </c>
      <c r="G197" s="48" t="s">
        <v>6216</v>
      </c>
      <c r="H197" s="48" t="s">
        <v>6218</v>
      </c>
      <c r="I197" s="48" t="s">
        <v>6219</v>
      </c>
      <c r="J197" s="48" t="s">
        <v>6189</v>
      </c>
      <c r="K197" s="52" t="b">
        <f>IFS($B197=FALSE,"", countif(VLOOKUP($A197,UASCAN!D:D,1,FALSE),$A197)&gt;=1,TRUE,countif(VLOOKUP($B197,UASCAN!D:D,1,FALSE),$B197)=0,FALSE)</f>
        <v>0</v>
      </c>
      <c r="L197" s="52" t="b">
        <f>IFS(B197=FALSE,"", countif(VLOOKUP($B197,'01072022'!B:B,1,FALSE),$B197)&gt;=1,TRUE,countif(VLOOKUP($B197,'01072022'!B:B,1,FALSE),$B197)=0,FALSE)</f>
        <v>1</v>
      </c>
      <c r="M197" s="52" t="str">
        <f>ifs(AND($K197=FALSE,$L197=TRUE),"",AND($K197=FALSE,L197=FALSE),"",AND($K197=TRUE,$L197=TRUE),VLOOKUP($A197,UASCAN!D:F,3,0), AND($K197=TRUE,$L197=FALSE),VLOOKUP($A197,UASCAN!D:F,3,0))</f>
        <v/>
      </c>
      <c r="N197" s="53" t="str">
        <f t="shared" si="2"/>
        <v> </v>
      </c>
      <c r="O197" s="53" t="str">
        <f t="shared" si="3"/>
        <v/>
      </c>
    </row>
    <row r="198">
      <c r="A198" s="47" t="str">
        <f t="shared" si="1"/>
        <v>1417244568</v>
      </c>
      <c r="B198" s="48">
        <v>14172.0</v>
      </c>
      <c r="C198" s="49">
        <v>0.3645833333333333</v>
      </c>
      <c r="D198" s="48" t="s">
        <v>2796</v>
      </c>
      <c r="E198" s="50">
        <v>17875.0</v>
      </c>
      <c r="F198" s="51">
        <v>44568.0</v>
      </c>
      <c r="G198" s="48" t="s">
        <v>6215</v>
      </c>
      <c r="H198" s="48" t="s">
        <v>6218</v>
      </c>
      <c r="I198" s="48" t="s">
        <v>6219</v>
      </c>
      <c r="J198" s="48" t="s">
        <v>6199</v>
      </c>
      <c r="K198" s="52" t="b">
        <f>IFS($B198=FALSE,"", countif(VLOOKUP($A198,UASCAN!D:D,1,FALSE),$A198)&gt;=1,TRUE,countif(VLOOKUP($B198,UASCAN!D:D,1,FALSE),$B198)=0,FALSE)</f>
        <v>0</v>
      </c>
      <c r="L198" s="52" t="b">
        <f>IFS(B198=FALSE,"", countif(VLOOKUP($B198,'01072022'!B:B,1,FALSE),$B198)&gt;=1,TRUE,countif(VLOOKUP($B198,'01072022'!B:B,1,FALSE),$B198)=0,FALSE)</f>
        <v>1</v>
      </c>
      <c r="M198" s="52" t="str">
        <f>ifs(AND($K198=FALSE,$L198=TRUE),"",AND($K198=FALSE,L198=FALSE),"",AND($K198=TRUE,$L198=TRUE),VLOOKUP($A198,UASCAN!D:F,3,0), AND($K198=TRUE,$L198=FALSE),VLOOKUP($A198,UASCAN!D:F,3,0))</f>
        <v/>
      </c>
      <c r="N198" s="53" t="str">
        <f t="shared" si="2"/>
        <v> </v>
      </c>
      <c r="O198" s="53" t="str">
        <f t="shared" si="3"/>
        <v/>
      </c>
    </row>
    <row r="199">
      <c r="A199" s="47" t="str">
        <f t="shared" si="1"/>
        <v>1415644568</v>
      </c>
      <c r="B199" s="48">
        <v>14156.0</v>
      </c>
      <c r="C199" s="49">
        <v>0.375</v>
      </c>
      <c r="D199" s="48" t="s">
        <v>2787</v>
      </c>
      <c r="E199" s="50">
        <v>18022.0</v>
      </c>
      <c r="F199" s="51">
        <v>44568.0</v>
      </c>
      <c r="G199" s="48" t="s">
        <v>6220</v>
      </c>
      <c r="H199" s="48" t="s">
        <v>6218</v>
      </c>
      <c r="I199" s="48" t="s">
        <v>6219</v>
      </c>
      <c r="J199" s="48" t="s">
        <v>6100</v>
      </c>
      <c r="K199" s="52" t="b">
        <f>IFS($B199=FALSE,"", countif(VLOOKUP($A199,UASCAN!D:D,1,FALSE),$A199)&gt;=1,TRUE,countif(VLOOKUP($B199,UASCAN!D:D,1,FALSE),$B199)=0,FALSE)</f>
        <v>0</v>
      </c>
      <c r="L199" s="52" t="b">
        <f>IFS(B199=FALSE,"", countif(VLOOKUP($B199,'01072022'!B:B,1,FALSE),$B199)&gt;=1,TRUE,countif(VLOOKUP($B199,'01072022'!B:B,1,FALSE),$B199)=0,FALSE)</f>
        <v>1</v>
      </c>
      <c r="M199" s="52" t="str">
        <f>ifs(AND($K199=FALSE,$L199=TRUE),"",AND($K199=FALSE,L199=FALSE),"",AND($K199=TRUE,$L199=TRUE),VLOOKUP($A199,UASCAN!D:F,3,0), AND($K199=TRUE,$L199=FALSE),VLOOKUP($A199,UASCAN!D:F,3,0))</f>
        <v/>
      </c>
      <c r="N199" s="53" t="str">
        <f t="shared" si="2"/>
        <v> </v>
      </c>
      <c r="O199" s="53" t="str">
        <f t="shared" si="3"/>
        <v/>
      </c>
    </row>
    <row r="200">
      <c r="A200" s="47" t="str">
        <f t="shared" si="1"/>
        <v>1328344568</v>
      </c>
      <c r="B200" s="48">
        <v>13283.0</v>
      </c>
      <c r="C200" s="49">
        <v>0.3958333333333333</v>
      </c>
      <c r="D200" s="48" t="s">
        <v>2115</v>
      </c>
      <c r="E200" s="50">
        <v>28196.0</v>
      </c>
      <c r="F200" s="51">
        <v>44568.0</v>
      </c>
      <c r="G200" s="48" t="s">
        <v>6215</v>
      </c>
      <c r="H200" s="48" t="s">
        <v>6218</v>
      </c>
      <c r="I200" s="48" t="s">
        <v>6219</v>
      </c>
      <c r="J200" s="48" t="s">
        <v>6199</v>
      </c>
      <c r="K200" s="52" t="b">
        <f>IFS($B200=FALSE,"", countif(VLOOKUP($A200,UASCAN!D:D,1,FALSE),$A200)&gt;=1,TRUE,countif(VLOOKUP($B200,UASCAN!D:D,1,FALSE),$B200)=0,FALSE)</f>
        <v>0</v>
      </c>
      <c r="L200" s="52" t="b">
        <f>IFS(B200=FALSE,"", countif(VLOOKUP($B200,'01072022'!B:B,1,FALSE),$B200)&gt;=1,TRUE,countif(VLOOKUP($B200,'01072022'!B:B,1,FALSE),$B200)=0,FALSE)</f>
        <v>1</v>
      </c>
      <c r="M200" s="52" t="str">
        <f>ifs(AND($K200=FALSE,$L200=TRUE),"",AND($K200=FALSE,L200=FALSE),"",AND($K200=TRUE,$L200=TRUE),VLOOKUP($A200,UASCAN!D:F,3,0), AND($K200=TRUE,$L200=FALSE),VLOOKUP($A200,UASCAN!D:F,3,0))</f>
        <v/>
      </c>
      <c r="N200" s="53" t="str">
        <f t="shared" si="2"/>
        <v> </v>
      </c>
      <c r="O200" s="53" t="str">
        <f t="shared" si="3"/>
        <v/>
      </c>
    </row>
    <row r="201">
      <c r="A201" s="47" t="str">
        <f t="shared" si="1"/>
        <v>1746244568</v>
      </c>
      <c r="B201" s="48">
        <v>17462.0</v>
      </c>
      <c r="C201" s="49">
        <v>0.40625</v>
      </c>
      <c r="D201" s="48" t="s">
        <v>5491</v>
      </c>
      <c r="E201" s="50">
        <v>25331.0</v>
      </c>
      <c r="F201" s="51">
        <v>44568.0</v>
      </c>
      <c r="G201" s="48" t="s">
        <v>6220</v>
      </c>
      <c r="H201" s="48" t="s">
        <v>6218</v>
      </c>
      <c r="I201" s="48" t="s">
        <v>6219</v>
      </c>
      <c r="J201" s="48" t="s">
        <v>6142</v>
      </c>
      <c r="K201" s="52" t="b">
        <f>IFS($B201=FALSE,"", countif(VLOOKUP($A201,UASCAN!D:D,1,FALSE),$A201)&gt;=1,TRUE,countif(VLOOKUP($B201,UASCAN!D:D,1,FALSE),$B201)=0,FALSE)</f>
        <v>0</v>
      </c>
      <c r="L201" s="52" t="b">
        <f>IFS(B201=FALSE,"", countif(VLOOKUP($B201,'01072022'!B:B,1,FALSE),$B201)&gt;=1,TRUE,countif(VLOOKUP($B201,'01072022'!B:B,1,FALSE),$B201)=0,FALSE)</f>
        <v>1</v>
      </c>
      <c r="M201" s="52" t="str">
        <f>ifs(AND($K201=FALSE,$L201=TRUE),"",AND($K201=FALSE,L201=FALSE),"",AND($K201=TRUE,$L201=TRUE),VLOOKUP($A201,UASCAN!D:F,3,0), AND($K201=TRUE,$L201=FALSE),VLOOKUP($A201,UASCAN!D:F,3,0))</f>
        <v/>
      </c>
      <c r="N201" s="53" t="str">
        <f t="shared" si="2"/>
        <v> </v>
      </c>
      <c r="O201" s="53" t="str">
        <f t="shared" si="3"/>
        <v/>
      </c>
    </row>
    <row r="202">
      <c r="A202" s="47" t="str">
        <f t="shared" si="1"/>
        <v>1152344568</v>
      </c>
      <c r="B202" s="48">
        <v>11523.0</v>
      </c>
      <c r="C202" s="49">
        <v>0.4270833333333333</v>
      </c>
      <c r="D202" s="48" t="s">
        <v>995</v>
      </c>
      <c r="E202" s="50">
        <v>16133.0</v>
      </c>
      <c r="F202" s="51">
        <v>44568.0</v>
      </c>
      <c r="G202" s="48" t="s">
        <v>5</v>
      </c>
      <c r="H202" s="48" t="s">
        <v>6218</v>
      </c>
      <c r="I202" s="48" t="s">
        <v>6219</v>
      </c>
      <c r="J202" s="48" t="s">
        <v>6094</v>
      </c>
      <c r="K202" s="52" t="b">
        <f>IFS($B202=FALSE,"", countif(VLOOKUP($A202,UASCAN!D:D,1,FALSE),$A202)&gt;=1,TRUE,countif(VLOOKUP($B202,UASCAN!D:D,1,FALSE),$B202)=0,FALSE)</f>
        <v>0</v>
      </c>
      <c r="L202" s="52" t="b">
        <f>IFS(B202=FALSE,"", countif(VLOOKUP($B202,'01072022'!B:B,1,FALSE),$B202)&gt;=1,TRUE,countif(VLOOKUP($B202,'01072022'!B:B,1,FALSE),$B202)=0,FALSE)</f>
        <v>1</v>
      </c>
      <c r="M202" s="52" t="str">
        <f>ifs(AND($K202=FALSE,$L202=TRUE),"",AND($K202=FALSE,L202=FALSE),"",AND($K202=TRUE,$L202=TRUE),VLOOKUP($A202,UASCAN!D:F,3,0), AND($K202=TRUE,$L202=FALSE),VLOOKUP($A202,UASCAN!D:F,3,0))</f>
        <v/>
      </c>
      <c r="N202" s="53" t="str">
        <f t="shared" si="2"/>
        <v> </v>
      </c>
      <c r="O202" s="53" t="str">
        <f t="shared" si="3"/>
        <v/>
      </c>
    </row>
    <row r="203">
      <c r="A203" s="47" t="str">
        <f t="shared" si="1"/>
        <v>1617844568</v>
      </c>
      <c r="B203" s="48">
        <v>16178.0</v>
      </c>
      <c r="C203" s="49">
        <v>0.4479166666666667</v>
      </c>
      <c r="D203" s="48" t="s">
        <v>4491</v>
      </c>
      <c r="E203" s="50">
        <v>16356.0</v>
      </c>
      <c r="F203" s="51">
        <v>44568.0</v>
      </c>
      <c r="G203" s="48" t="s">
        <v>6215</v>
      </c>
      <c r="H203" s="48" t="s">
        <v>6218</v>
      </c>
      <c r="I203" s="48" t="s">
        <v>6219</v>
      </c>
      <c r="J203" s="48" t="s">
        <v>6137</v>
      </c>
      <c r="K203" s="52" t="b">
        <f>IFS($B203=FALSE,"", countif(VLOOKUP($A203,UASCAN!D:D,1,FALSE),$A203)&gt;=1,TRUE,countif(VLOOKUP($B203,UASCAN!D:D,1,FALSE),$B203)=0,FALSE)</f>
        <v>0</v>
      </c>
      <c r="L203" s="52" t="b">
        <f>IFS(B203=FALSE,"", countif(VLOOKUP($B203,'01072022'!B:B,1,FALSE),$B203)&gt;=1,TRUE,countif(VLOOKUP($B203,'01072022'!B:B,1,FALSE),$B203)=0,FALSE)</f>
        <v>1</v>
      </c>
      <c r="M203" s="52" t="str">
        <f>ifs(AND($K203=FALSE,$L203=TRUE),"",AND($K203=FALSE,L203=FALSE),"",AND($K203=TRUE,$L203=TRUE),VLOOKUP($A203,UASCAN!D:F,3,0), AND($K203=TRUE,$L203=FALSE),VLOOKUP($A203,UASCAN!D:F,3,0))</f>
        <v/>
      </c>
      <c r="N203" s="53" t="str">
        <f t="shared" si="2"/>
        <v> </v>
      </c>
      <c r="O203" s="53" t="str">
        <f t="shared" si="3"/>
        <v/>
      </c>
    </row>
    <row r="204">
      <c r="A204" s="47" t="str">
        <f t="shared" si="1"/>
        <v>981344568</v>
      </c>
      <c r="B204" s="48">
        <v>9813.0</v>
      </c>
      <c r="C204" s="49">
        <v>0.5520833333333334</v>
      </c>
      <c r="D204" s="48" t="s">
        <v>304</v>
      </c>
      <c r="E204" s="50">
        <v>19008.0</v>
      </c>
      <c r="F204" s="51">
        <v>44568.0</v>
      </c>
      <c r="G204" s="48" t="s">
        <v>5</v>
      </c>
      <c r="H204" s="48" t="s">
        <v>6218</v>
      </c>
      <c r="I204" s="48" t="s">
        <v>6219</v>
      </c>
      <c r="J204" s="48" t="s">
        <v>6117</v>
      </c>
      <c r="K204" s="52" t="b">
        <f>IFS($B204=FALSE,"", countif(VLOOKUP($A204,UASCAN!D:D,1,FALSE),$A204)&gt;=1,TRUE,countif(VLOOKUP($B204,UASCAN!D:D,1,FALSE),$B204)=0,FALSE)</f>
        <v>0</v>
      </c>
      <c r="L204" s="52" t="b">
        <f>IFS(B204=FALSE,"", countif(VLOOKUP($B204,'01072022'!B:B,1,FALSE),$B204)&gt;=1,TRUE,countif(VLOOKUP($B204,'01072022'!B:B,1,FALSE),$B204)=0,FALSE)</f>
        <v>1</v>
      </c>
      <c r="M204" s="52" t="str">
        <f>ifs(AND($K204=FALSE,$L204=TRUE),"",AND($K204=FALSE,L204=FALSE),"",AND($K204=TRUE,$L204=TRUE),VLOOKUP($A204,UASCAN!D:F,3,0), AND($K204=TRUE,$L204=FALSE),VLOOKUP($A204,UASCAN!D:F,3,0))</f>
        <v/>
      </c>
      <c r="N204" s="53" t="str">
        <f t="shared" si="2"/>
        <v> </v>
      </c>
      <c r="O204" s="53" t="str">
        <f t="shared" si="3"/>
        <v/>
      </c>
    </row>
    <row r="205">
      <c r="A205" s="47" t="str">
        <f t="shared" si="1"/>
        <v>1577944568</v>
      </c>
      <c r="B205" s="48">
        <v>15779.0</v>
      </c>
      <c r="C205" s="49">
        <v>0.5625</v>
      </c>
      <c r="D205" s="48" t="s">
        <v>4141</v>
      </c>
      <c r="E205" s="50">
        <v>21259.0</v>
      </c>
      <c r="F205" s="51">
        <v>44568.0</v>
      </c>
      <c r="G205" s="48" t="s">
        <v>6216</v>
      </c>
      <c r="H205" s="48" t="s">
        <v>6218</v>
      </c>
      <c r="I205" s="48" t="s">
        <v>6219</v>
      </c>
      <c r="J205" s="48" t="s">
        <v>6142</v>
      </c>
      <c r="K205" s="52" t="b">
        <f>IFS($B205=FALSE,"", countif(VLOOKUP($A205,UASCAN!D:D,1,FALSE),$A205)&gt;=1,TRUE,countif(VLOOKUP($B205,UASCAN!D:D,1,FALSE),$B205)=0,FALSE)</f>
        <v>0</v>
      </c>
      <c r="L205" s="52" t="b">
        <f>IFS(B205=FALSE,"", countif(VLOOKUP($B205,'01072022'!B:B,1,FALSE),$B205)&gt;=1,TRUE,countif(VLOOKUP($B205,'01072022'!B:B,1,FALSE),$B205)=0,FALSE)</f>
        <v>1</v>
      </c>
      <c r="M205" s="52" t="str">
        <f>ifs(AND($K205=FALSE,$L205=TRUE),"",AND($K205=FALSE,L205=FALSE),"",AND($K205=TRUE,$L205=TRUE),VLOOKUP($A205,UASCAN!D:F,3,0), AND($K205=TRUE,$L205=FALSE),VLOOKUP($A205,UASCAN!D:F,3,0))</f>
        <v/>
      </c>
      <c r="N205" s="53" t="str">
        <f t="shared" si="2"/>
        <v> </v>
      </c>
      <c r="O205" s="53" t="str">
        <f t="shared" si="3"/>
        <v/>
      </c>
    </row>
    <row r="206">
      <c r="A206" s="47" t="str">
        <f t="shared" si="1"/>
        <v>986344568</v>
      </c>
      <c r="B206" s="48">
        <v>9863.0</v>
      </c>
      <c r="C206" s="49">
        <v>0.5833333333333334</v>
      </c>
      <c r="D206" s="48" t="s">
        <v>327</v>
      </c>
      <c r="E206" s="50">
        <v>17578.0</v>
      </c>
      <c r="F206" s="51">
        <v>44568.0</v>
      </c>
      <c r="G206" s="48" t="s">
        <v>6216</v>
      </c>
      <c r="H206" s="48" t="s">
        <v>6218</v>
      </c>
      <c r="I206" s="48" t="s">
        <v>6219</v>
      </c>
      <c r="J206" s="48" t="s">
        <v>6100</v>
      </c>
      <c r="K206" s="52" t="b">
        <f>IFS($B206=FALSE,"", countif(VLOOKUP($A206,UASCAN!D:D,1,FALSE),$A206)&gt;=1,TRUE,countif(VLOOKUP($B206,UASCAN!D:D,1,FALSE),$B206)=0,FALSE)</f>
        <v>0</v>
      </c>
      <c r="L206" s="52" t="b">
        <f>IFS(B206=FALSE,"", countif(VLOOKUP($B206,'01072022'!B:B,1,FALSE),$B206)&gt;=1,TRUE,countif(VLOOKUP($B206,'01072022'!B:B,1,FALSE),$B206)=0,FALSE)</f>
        <v>1</v>
      </c>
      <c r="M206" s="52" t="str">
        <f>ifs(AND($K206=FALSE,$L206=TRUE),"",AND($K206=FALSE,L206=FALSE),"",AND($K206=TRUE,$L206=TRUE),VLOOKUP($A206,UASCAN!D:F,3,0), AND($K206=TRUE,$L206=FALSE),VLOOKUP($A206,UASCAN!D:F,3,0))</f>
        <v/>
      </c>
      <c r="N206" s="53" t="str">
        <f t="shared" si="2"/>
        <v> </v>
      </c>
      <c r="O206" s="53" t="str">
        <f t="shared" si="3"/>
        <v/>
      </c>
    </row>
    <row r="207">
      <c r="A207" s="47" t="str">
        <f t="shared" si="1"/>
        <v>1585744568</v>
      </c>
      <c r="B207" s="48">
        <v>15857.0</v>
      </c>
      <c r="C207" s="49">
        <v>0.6145833333333334</v>
      </c>
      <c r="D207" s="48" t="s">
        <v>4212</v>
      </c>
      <c r="E207" s="50">
        <v>20924.0</v>
      </c>
      <c r="F207" s="51">
        <v>44568.0</v>
      </c>
      <c r="G207" s="48" t="s">
        <v>6216</v>
      </c>
      <c r="H207" s="48" t="s">
        <v>6218</v>
      </c>
      <c r="I207" s="48" t="s">
        <v>6219</v>
      </c>
      <c r="J207" s="48" t="s">
        <v>6142</v>
      </c>
      <c r="K207" s="52" t="b">
        <f>IFS($B207=FALSE,"", countif(VLOOKUP($A207,UASCAN!D:D,1,FALSE),$A207)&gt;=1,TRUE,countif(VLOOKUP($B207,UASCAN!D:D,1,FALSE),$B207)=0,FALSE)</f>
        <v>0</v>
      </c>
      <c r="L207" s="52" t="b">
        <f>IFS(B207=FALSE,"", countif(VLOOKUP($B207,'01072022'!B:B,1,FALSE),$B207)&gt;=1,TRUE,countif(VLOOKUP($B207,'01072022'!B:B,1,FALSE),$B207)=0,FALSE)</f>
        <v>1</v>
      </c>
      <c r="M207" s="52" t="str">
        <f>ifs(AND($K207=FALSE,$L207=TRUE),"",AND($K207=FALSE,L207=FALSE),"",AND($K207=TRUE,$L207=TRUE),VLOOKUP($A207,UASCAN!D:F,3,0), AND($K207=TRUE,$L207=FALSE),VLOOKUP($A207,UASCAN!D:F,3,0))</f>
        <v/>
      </c>
      <c r="N207" s="53" t="str">
        <f t="shared" si="2"/>
        <v> </v>
      </c>
      <c r="O207" s="53" t="str">
        <f t="shared" si="3"/>
        <v/>
      </c>
    </row>
    <row r="208">
      <c r="A208" s="47" t="str">
        <f t="shared" si="1"/>
        <v>1111344568</v>
      </c>
      <c r="B208" s="48">
        <v>11113.0</v>
      </c>
      <c r="C208" s="49">
        <v>0.6458333333333334</v>
      </c>
      <c r="D208" s="48" t="s">
        <v>815</v>
      </c>
      <c r="E208" s="50">
        <v>19005.0</v>
      </c>
      <c r="F208" s="51">
        <v>44568.0</v>
      </c>
      <c r="G208" s="48" t="s">
        <v>6216</v>
      </c>
      <c r="H208" s="48" t="s">
        <v>6218</v>
      </c>
      <c r="I208" s="48" t="s">
        <v>6219</v>
      </c>
      <c r="J208" s="48" t="s">
        <v>6189</v>
      </c>
      <c r="K208" s="52" t="b">
        <f>IFS($B208=FALSE,"", countif(VLOOKUP($A208,UASCAN!D:D,1,FALSE),$A208)&gt;=1,TRUE,countif(VLOOKUP($B208,UASCAN!D:D,1,FALSE),$B208)=0,FALSE)</f>
        <v>0</v>
      </c>
      <c r="L208" s="52" t="b">
        <f>IFS(B208=FALSE,"", countif(VLOOKUP($B208,'01072022'!B:B,1,FALSE),$B208)&gt;=1,TRUE,countif(VLOOKUP($B208,'01072022'!B:B,1,FALSE),$B208)=0,FALSE)</f>
        <v>1</v>
      </c>
      <c r="M208" s="52" t="str">
        <f>ifs(AND($K208=FALSE,$L208=TRUE),"",AND($K208=FALSE,L208=FALSE),"",AND($K208=TRUE,$L208=TRUE),VLOOKUP($A208,UASCAN!D:F,3,0), AND($K208=TRUE,$L208=FALSE),VLOOKUP($A208,UASCAN!D:F,3,0))</f>
        <v/>
      </c>
      <c r="N208" s="53" t="str">
        <f t="shared" si="2"/>
        <v> </v>
      </c>
      <c r="O208" s="53" t="str">
        <f t="shared" si="3"/>
        <v/>
      </c>
    </row>
    <row r="209">
      <c r="A209" s="47" t="str">
        <f t="shared" si="1"/>
        <v>1585144568</v>
      </c>
      <c r="B209" s="48">
        <v>15851.0</v>
      </c>
      <c r="C209" s="49">
        <v>0.3333333333333333</v>
      </c>
      <c r="D209" s="48" t="s">
        <v>4206</v>
      </c>
      <c r="E209" s="50">
        <v>23918.0</v>
      </c>
      <c r="F209" s="51">
        <v>44568.0</v>
      </c>
      <c r="G209" s="48" t="s">
        <v>5</v>
      </c>
      <c r="H209" s="48" t="s">
        <v>6218</v>
      </c>
      <c r="I209" s="48" t="s">
        <v>6222</v>
      </c>
      <c r="J209" s="48" t="s">
        <v>6082</v>
      </c>
      <c r="K209" s="52" t="b">
        <f>IFS($B209=FALSE,"", countif(VLOOKUP($A209,UASCAN!D:D,1,FALSE),$A209)&gt;=1,TRUE,countif(VLOOKUP($B209,UASCAN!D:D,1,FALSE),$B209)=0,FALSE)</f>
        <v>0</v>
      </c>
      <c r="L209" s="52" t="b">
        <f>IFS(B209=FALSE,"", countif(VLOOKUP($B209,'01072022'!B:B,1,FALSE),$B209)&gt;=1,TRUE,countif(VLOOKUP($B209,'01072022'!B:B,1,FALSE),$B209)=0,FALSE)</f>
        <v>1</v>
      </c>
      <c r="M209" s="52" t="str">
        <f>ifs(AND($K209=FALSE,$L209=TRUE),"",AND($K209=FALSE,L209=FALSE),"",AND($K209=TRUE,$L209=TRUE),VLOOKUP($A209,UASCAN!D:F,3,0), AND($K209=TRUE,$L209=FALSE),VLOOKUP($A209,UASCAN!D:F,3,0))</f>
        <v/>
      </c>
      <c r="N209" s="53" t="str">
        <f t="shared" si="2"/>
        <v> </v>
      </c>
      <c r="O209" s="53" t="str">
        <f t="shared" si="3"/>
        <v/>
      </c>
    </row>
    <row r="210">
      <c r="A210" s="47" t="str">
        <f t="shared" si="1"/>
        <v>1231644568</v>
      </c>
      <c r="B210" s="48">
        <v>12316.0</v>
      </c>
      <c r="C210" s="49">
        <v>0.3541666666666667</v>
      </c>
      <c r="D210" s="48" t="s">
        <v>1385</v>
      </c>
      <c r="E210" s="50">
        <v>21955.0</v>
      </c>
      <c r="F210" s="51">
        <v>44568.0</v>
      </c>
      <c r="G210" s="48" t="s">
        <v>6220</v>
      </c>
      <c r="H210" s="48" t="s">
        <v>6218</v>
      </c>
      <c r="I210" s="48" t="s">
        <v>6222</v>
      </c>
      <c r="J210" s="48" t="s">
        <v>6196</v>
      </c>
      <c r="K210" s="52" t="b">
        <f>IFS($B210=FALSE,"", countif(VLOOKUP($A210,UASCAN!D:D,1,FALSE),$A210)&gt;=1,TRUE,countif(VLOOKUP($B210,UASCAN!D:D,1,FALSE),$B210)=0,FALSE)</f>
        <v>0</v>
      </c>
      <c r="L210" s="52" t="b">
        <f>IFS(B210=FALSE,"", countif(VLOOKUP($B210,'01072022'!B:B,1,FALSE),$B210)&gt;=1,TRUE,countif(VLOOKUP($B210,'01072022'!B:B,1,FALSE),$B210)=0,FALSE)</f>
        <v>1</v>
      </c>
      <c r="M210" s="52" t="str">
        <f>ifs(AND($K210=FALSE,$L210=TRUE),"",AND($K210=FALSE,L210=FALSE),"",AND($K210=TRUE,$L210=TRUE),VLOOKUP($A210,UASCAN!D:F,3,0), AND($K210=TRUE,$L210=FALSE),VLOOKUP($A210,UASCAN!D:F,3,0))</f>
        <v/>
      </c>
      <c r="N210" s="53" t="str">
        <f t="shared" si="2"/>
        <v> </v>
      </c>
      <c r="O210" s="53" t="str">
        <f t="shared" si="3"/>
        <v/>
      </c>
    </row>
    <row r="211">
      <c r="A211" s="47" t="str">
        <f t="shared" si="1"/>
        <v>1535944568</v>
      </c>
      <c r="B211" s="48">
        <v>15359.0</v>
      </c>
      <c r="C211" s="49">
        <v>0.375</v>
      </c>
      <c r="D211" s="48" t="s">
        <v>3771</v>
      </c>
      <c r="E211" s="50">
        <v>29328.0</v>
      </c>
      <c r="F211" s="51">
        <v>44568.0</v>
      </c>
      <c r="G211" s="48" t="s">
        <v>6215</v>
      </c>
      <c r="H211" s="48" t="s">
        <v>6218</v>
      </c>
      <c r="I211" s="48" t="s">
        <v>6222</v>
      </c>
      <c r="J211" s="48" t="s">
        <v>6091</v>
      </c>
      <c r="K211" s="52" t="b">
        <f>IFS($B211=FALSE,"", countif(VLOOKUP($A211,UASCAN!D:D,1,FALSE),$A211)&gt;=1,TRUE,countif(VLOOKUP($B211,UASCAN!D:D,1,FALSE),$B211)=0,FALSE)</f>
        <v>0</v>
      </c>
      <c r="L211" s="52" t="b">
        <f>IFS(B211=FALSE,"", countif(VLOOKUP($B211,'01072022'!B:B,1,FALSE),$B211)&gt;=1,TRUE,countif(VLOOKUP($B211,'01072022'!B:B,1,FALSE),$B211)=0,FALSE)</f>
        <v>1</v>
      </c>
      <c r="M211" s="52" t="str">
        <f>ifs(AND($K211=FALSE,$L211=TRUE),"",AND($K211=FALSE,L211=FALSE),"",AND($K211=TRUE,$L211=TRUE),VLOOKUP($A211,UASCAN!D:F,3,0), AND($K211=TRUE,$L211=FALSE),VLOOKUP($A211,UASCAN!D:F,3,0))</f>
        <v/>
      </c>
      <c r="N211" s="53" t="str">
        <f t="shared" si="2"/>
        <v> </v>
      </c>
      <c r="O211" s="53" t="str">
        <f t="shared" si="3"/>
        <v/>
      </c>
    </row>
    <row r="212">
      <c r="A212" s="47" t="str">
        <f t="shared" si="1"/>
        <v>923944568</v>
      </c>
      <c r="B212" s="48">
        <v>9239.0</v>
      </c>
      <c r="C212" s="49">
        <v>0.3958333333333333</v>
      </c>
      <c r="D212" s="48" t="s">
        <v>100</v>
      </c>
      <c r="E212" s="50">
        <v>17941.0</v>
      </c>
      <c r="F212" s="51">
        <v>44568.0</v>
      </c>
      <c r="G212" s="48" t="s">
        <v>5</v>
      </c>
      <c r="H212" s="48" t="s">
        <v>6218</v>
      </c>
      <c r="I212" s="48" t="s">
        <v>6222</v>
      </c>
      <c r="J212" s="48" t="s">
        <v>6199</v>
      </c>
      <c r="K212" s="52" t="b">
        <f>IFS($B212=FALSE,"", countif(VLOOKUP($A212,UASCAN!D:D,1,FALSE),$A212)&gt;=1,TRUE,countif(VLOOKUP($B212,UASCAN!D:D,1,FALSE),$B212)=0,FALSE)</f>
        <v>0</v>
      </c>
      <c r="L212" s="52" t="b">
        <f>IFS(B212=FALSE,"", countif(VLOOKUP($B212,'01072022'!B:B,1,FALSE),$B212)&gt;=1,TRUE,countif(VLOOKUP($B212,'01072022'!B:B,1,FALSE),$B212)=0,FALSE)</f>
        <v>1</v>
      </c>
      <c r="M212" s="52" t="str">
        <f>ifs(AND($K212=FALSE,$L212=TRUE),"",AND($K212=FALSE,L212=FALSE),"",AND($K212=TRUE,$L212=TRUE),VLOOKUP($A212,UASCAN!D:F,3,0), AND($K212=TRUE,$L212=FALSE),VLOOKUP($A212,UASCAN!D:F,3,0))</f>
        <v/>
      </c>
      <c r="N212" s="53" t="str">
        <f t="shared" si="2"/>
        <v> </v>
      </c>
      <c r="O212" s="53" t="str">
        <f t="shared" si="3"/>
        <v/>
      </c>
    </row>
    <row r="213">
      <c r="A213" s="47" t="str">
        <f t="shared" si="1"/>
        <v>1558944568</v>
      </c>
      <c r="B213" s="48">
        <v>15589.0</v>
      </c>
      <c r="C213" s="49">
        <v>0.40625</v>
      </c>
      <c r="D213" s="48" t="s">
        <v>3967</v>
      </c>
      <c r="E213" s="50">
        <v>24482.0</v>
      </c>
      <c r="F213" s="51">
        <v>44568.0</v>
      </c>
      <c r="G213" s="48" t="s">
        <v>6220</v>
      </c>
      <c r="H213" s="48" t="s">
        <v>6218</v>
      </c>
      <c r="I213" s="48" t="s">
        <v>6222</v>
      </c>
      <c r="J213" s="48" t="s">
        <v>6196</v>
      </c>
      <c r="K213" s="52" t="b">
        <f>IFS($B213=FALSE,"", countif(VLOOKUP($A213,UASCAN!D:D,1,FALSE),$A213)&gt;=1,TRUE,countif(VLOOKUP($B213,UASCAN!D:D,1,FALSE),$B213)=0,FALSE)</f>
        <v>0</v>
      </c>
      <c r="L213" s="52" t="b">
        <f>IFS(B213=FALSE,"", countif(VLOOKUP($B213,'01072022'!B:B,1,FALSE),$B213)&gt;=1,TRUE,countif(VLOOKUP($B213,'01072022'!B:B,1,FALSE),$B213)=0,FALSE)</f>
        <v>1</v>
      </c>
      <c r="M213" s="52" t="str">
        <f>ifs(AND($K213=FALSE,$L213=TRUE),"",AND($K213=FALSE,L213=FALSE),"",AND($K213=TRUE,$L213=TRUE),VLOOKUP($A213,UASCAN!D:F,3,0), AND($K213=TRUE,$L213=FALSE),VLOOKUP($A213,UASCAN!D:F,3,0))</f>
        <v/>
      </c>
      <c r="N213" s="53" t="str">
        <f t="shared" si="2"/>
        <v> </v>
      </c>
      <c r="O213" s="53" t="str">
        <f t="shared" si="3"/>
        <v/>
      </c>
    </row>
    <row r="214">
      <c r="A214" s="47" t="str">
        <f t="shared" si="1"/>
        <v>1190344568</v>
      </c>
      <c r="B214" s="48">
        <v>11903.0</v>
      </c>
      <c r="C214" s="49">
        <v>0.4166666666666667</v>
      </c>
      <c r="D214" s="48" t="s">
        <v>1180</v>
      </c>
      <c r="E214" s="50">
        <v>21184.0</v>
      </c>
      <c r="F214" s="51">
        <v>44568.0</v>
      </c>
      <c r="G214" s="48" t="s">
        <v>6215</v>
      </c>
      <c r="H214" s="48" t="s">
        <v>6218</v>
      </c>
      <c r="I214" s="48" t="s">
        <v>6222</v>
      </c>
      <c r="J214" s="48" t="s">
        <v>6089</v>
      </c>
      <c r="K214" s="52" t="b">
        <f>IFS($B214=FALSE,"", countif(VLOOKUP($A214,UASCAN!D:D,1,FALSE),$A214)&gt;=1,TRUE,countif(VLOOKUP($B214,UASCAN!D:D,1,FALSE),$B214)=0,FALSE)</f>
        <v>0</v>
      </c>
      <c r="L214" s="52" t="b">
        <f>IFS(B214=FALSE,"", countif(VLOOKUP($B214,'01072022'!B:B,1,FALSE),$B214)&gt;=1,TRUE,countif(VLOOKUP($B214,'01072022'!B:B,1,FALSE),$B214)=0,FALSE)</f>
        <v>1</v>
      </c>
      <c r="M214" s="52" t="str">
        <f>ifs(AND($K214=FALSE,$L214=TRUE),"",AND($K214=FALSE,L214=FALSE),"",AND($K214=TRUE,$L214=TRUE),VLOOKUP($A214,UASCAN!D:F,3,0), AND($K214=TRUE,$L214=FALSE),VLOOKUP($A214,UASCAN!D:F,3,0))</f>
        <v/>
      </c>
      <c r="N214" s="53" t="str">
        <f t="shared" si="2"/>
        <v> </v>
      </c>
      <c r="O214" s="53" t="str">
        <f t="shared" si="3"/>
        <v/>
      </c>
    </row>
    <row r="215">
      <c r="A215" s="47" t="str">
        <f t="shared" si="1"/>
        <v>1101244568</v>
      </c>
      <c r="B215" s="48">
        <v>11012.0</v>
      </c>
      <c r="C215" s="49">
        <v>0.4270833333333333</v>
      </c>
      <c r="D215" s="48" t="s">
        <v>767</v>
      </c>
      <c r="E215" s="50">
        <v>23539.0</v>
      </c>
      <c r="F215" s="51">
        <v>44568.0</v>
      </c>
      <c r="G215" s="48" t="s">
        <v>6215</v>
      </c>
      <c r="H215" s="48" t="s">
        <v>6218</v>
      </c>
      <c r="I215" s="48" t="s">
        <v>6222</v>
      </c>
      <c r="J215" s="48" t="s">
        <v>6091</v>
      </c>
      <c r="K215" s="52" t="b">
        <f>IFS($B215=FALSE,"", countif(VLOOKUP($A215,UASCAN!D:D,1,FALSE),$A215)&gt;=1,TRUE,countif(VLOOKUP($B215,UASCAN!D:D,1,FALSE),$B215)=0,FALSE)</f>
        <v>0</v>
      </c>
      <c r="L215" s="52" t="b">
        <f>IFS(B215=FALSE,"", countif(VLOOKUP($B215,'01072022'!B:B,1,FALSE),$B215)&gt;=1,TRUE,countif(VLOOKUP($B215,'01072022'!B:B,1,FALSE),$B215)=0,FALSE)</f>
        <v>1</v>
      </c>
      <c r="M215" s="52" t="str">
        <f>ifs(AND($K215=FALSE,$L215=TRUE),"",AND($K215=FALSE,L215=FALSE),"",AND($K215=TRUE,$L215=TRUE),VLOOKUP($A215,UASCAN!D:F,3,0), AND($K215=TRUE,$L215=FALSE),VLOOKUP($A215,UASCAN!D:F,3,0))</f>
        <v/>
      </c>
      <c r="N215" s="53" t="str">
        <f t="shared" si="2"/>
        <v> </v>
      </c>
      <c r="O215" s="53" t="str">
        <f t="shared" si="3"/>
        <v/>
      </c>
    </row>
    <row r="216">
      <c r="A216" s="47" t="str">
        <f t="shared" si="1"/>
        <v>1410344568</v>
      </c>
      <c r="B216" s="48">
        <v>14103.0</v>
      </c>
      <c r="C216" s="49">
        <v>0.4375</v>
      </c>
      <c r="D216" s="48" t="s">
        <v>2747</v>
      </c>
      <c r="E216" s="50">
        <v>16960.0</v>
      </c>
      <c r="F216" s="51">
        <v>44568.0</v>
      </c>
      <c r="G216" s="48" t="s">
        <v>5</v>
      </c>
      <c r="H216" s="48" t="s">
        <v>6218</v>
      </c>
      <c r="I216" s="48" t="s">
        <v>6222</v>
      </c>
      <c r="J216" s="48" t="s">
        <v>6199</v>
      </c>
      <c r="K216" s="52" t="b">
        <f>IFS($B216=FALSE,"", countif(VLOOKUP($A216,UASCAN!D:D,1,FALSE),$A216)&gt;=1,TRUE,countif(VLOOKUP($B216,UASCAN!D:D,1,FALSE),$B216)=0,FALSE)</f>
        <v>0</v>
      </c>
      <c r="L216" s="52" t="b">
        <f>IFS(B216=FALSE,"", countif(VLOOKUP($B216,'01072022'!B:B,1,FALSE),$B216)&gt;=1,TRUE,countif(VLOOKUP($B216,'01072022'!B:B,1,FALSE),$B216)=0,FALSE)</f>
        <v>1</v>
      </c>
      <c r="M216" s="52" t="str">
        <f>ifs(AND($K216=FALSE,$L216=TRUE),"",AND($K216=FALSE,L216=FALSE),"",AND($K216=TRUE,$L216=TRUE),VLOOKUP($A216,UASCAN!D:F,3,0), AND($K216=TRUE,$L216=FALSE),VLOOKUP($A216,UASCAN!D:F,3,0))</f>
        <v/>
      </c>
      <c r="N216" s="53" t="str">
        <f t="shared" si="2"/>
        <v> </v>
      </c>
      <c r="O216" s="53" t="str">
        <f t="shared" si="3"/>
        <v/>
      </c>
    </row>
    <row r="217">
      <c r="A217" s="47" t="str">
        <f t="shared" si="1"/>
        <v>1111644568</v>
      </c>
      <c r="B217" s="48">
        <v>11116.0</v>
      </c>
      <c r="C217" s="49">
        <v>0.4375</v>
      </c>
      <c r="D217" s="48" t="s">
        <v>818</v>
      </c>
      <c r="E217" s="50">
        <v>17610.0</v>
      </c>
      <c r="F217" s="51">
        <v>44568.0</v>
      </c>
      <c r="G217" s="48" t="s">
        <v>6215</v>
      </c>
      <c r="H217" s="48" t="s">
        <v>6218</v>
      </c>
      <c r="I217" s="48" t="s">
        <v>6222</v>
      </c>
      <c r="J217" s="48" t="s">
        <v>6137</v>
      </c>
      <c r="K217" s="52" t="b">
        <f>IFS($B217=FALSE,"", countif(VLOOKUP($A217,UASCAN!D:D,1,FALSE),$A217)&gt;=1,TRUE,countif(VLOOKUP($B217,UASCAN!D:D,1,FALSE),$B217)=0,FALSE)</f>
        <v>0</v>
      </c>
      <c r="L217" s="52" t="b">
        <f>IFS(B217=FALSE,"", countif(VLOOKUP($B217,'01072022'!B:B,1,FALSE),$B217)&gt;=1,TRUE,countif(VLOOKUP($B217,'01072022'!B:B,1,FALSE),$B217)=0,FALSE)</f>
        <v>1</v>
      </c>
      <c r="M217" s="52" t="str">
        <f>ifs(AND($K217=FALSE,$L217=TRUE),"",AND($K217=FALSE,L217=FALSE),"",AND($K217=TRUE,$L217=TRUE),VLOOKUP($A217,UASCAN!D:F,3,0), AND($K217=TRUE,$L217=FALSE),VLOOKUP($A217,UASCAN!D:F,3,0))</f>
        <v/>
      </c>
      <c r="N217" s="53" t="str">
        <f t="shared" si="2"/>
        <v> </v>
      </c>
      <c r="O217" s="53" t="str">
        <f t="shared" si="3"/>
        <v/>
      </c>
    </row>
    <row r="218">
      <c r="A218" s="47" t="str">
        <f t="shared" si="1"/>
        <v>1599344568</v>
      </c>
      <c r="B218" s="48">
        <v>15993.0</v>
      </c>
      <c r="C218" s="49">
        <v>0.4583333333333333</v>
      </c>
      <c r="D218" s="48" t="s">
        <v>4333</v>
      </c>
      <c r="E218" s="50">
        <v>30933.0</v>
      </c>
      <c r="F218" s="51">
        <v>44568.0</v>
      </c>
      <c r="G218" s="48" t="s">
        <v>6220</v>
      </c>
      <c r="H218" s="48" t="s">
        <v>6218</v>
      </c>
      <c r="I218" s="48" t="s">
        <v>6222</v>
      </c>
      <c r="J218" s="48" t="s">
        <v>6142</v>
      </c>
      <c r="K218" s="52" t="b">
        <f>IFS($B218=FALSE,"", countif(VLOOKUP($A218,UASCAN!D:D,1,FALSE),$A218)&gt;=1,TRUE,countif(VLOOKUP($B218,UASCAN!D:D,1,FALSE),$B218)=0,FALSE)</f>
        <v>0</v>
      </c>
      <c r="L218" s="52" t="b">
        <f>IFS(B218=FALSE,"", countif(VLOOKUP($B218,'01072022'!B:B,1,FALSE),$B218)&gt;=1,TRUE,countif(VLOOKUP($B218,'01072022'!B:B,1,FALSE),$B218)=0,FALSE)</f>
        <v>1</v>
      </c>
      <c r="M218" s="52" t="str">
        <f>ifs(AND($K218=FALSE,$L218=TRUE),"",AND($K218=FALSE,L218=FALSE),"",AND($K218=TRUE,$L218=TRUE),VLOOKUP($A218,UASCAN!D:F,3,0), AND($K218=TRUE,$L218=FALSE),VLOOKUP($A218,UASCAN!D:F,3,0))</f>
        <v/>
      </c>
      <c r="N218" s="53" t="str">
        <f t="shared" si="2"/>
        <v> </v>
      </c>
      <c r="O218" s="53" t="str">
        <f t="shared" si="3"/>
        <v/>
      </c>
    </row>
    <row r="219">
      <c r="A219" s="47" t="str">
        <f t="shared" si="1"/>
        <v>1485844568</v>
      </c>
      <c r="B219" s="48">
        <v>14858.0</v>
      </c>
      <c r="C219" s="49">
        <v>0.5416666666666666</v>
      </c>
      <c r="D219" s="48" t="s">
        <v>3358</v>
      </c>
      <c r="E219" s="50">
        <v>33442.0</v>
      </c>
      <c r="F219" s="51">
        <v>44568.0</v>
      </c>
      <c r="G219" s="48" t="s">
        <v>5</v>
      </c>
      <c r="H219" s="48" t="s">
        <v>6218</v>
      </c>
      <c r="I219" s="48" t="s">
        <v>6222</v>
      </c>
      <c r="J219" s="48" t="s">
        <v>6091</v>
      </c>
      <c r="K219" s="52" t="b">
        <f>IFS($B219=FALSE,"", countif(VLOOKUP($A219,UASCAN!D:D,1,FALSE),$A219)&gt;=1,TRUE,countif(VLOOKUP($B219,UASCAN!D:D,1,FALSE),$B219)=0,FALSE)</f>
        <v>0</v>
      </c>
      <c r="L219" s="52" t="b">
        <f>IFS(B219=FALSE,"", countif(VLOOKUP($B219,'01072022'!B:B,1,FALSE),$B219)&gt;=1,TRUE,countif(VLOOKUP($B219,'01072022'!B:B,1,FALSE),$B219)=0,FALSE)</f>
        <v>1</v>
      </c>
      <c r="M219" s="52" t="str">
        <f>ifs(AND($K219=FALSE,$L219=TRUE),"",AND($K219=FALSE,L219=FALSE),"",AND($K219=TRUE,$L219=TRUE),VLOOKUP($A219,UASCAN!D:F,3,0), AND($K219=TRUE,$L219=FALSE),VLOOKUP($A219,UASCAN!D:F,3,0))</f>
        <v/>
      </c>
      <c r="N219" s="53" t="str">
        <f t="shared" si="2"/>
        <v> </v>
      </c>
      <c r="O219" s="53" t="str">
        <f t="shared" si="3"/>
        <v/>
      </c>
    </row>
    <row r="220">
      <c r="A220" s="47" t="str">
        <f t="shared" si="1"/>
        <v>1438644568</v>
      </c>
      <c r="B220" s="48">
        <v>14386.0</v>
      </c>
      <c r="C220" s="49">
        <v>0.5520833333333334</v>
      </c>
      <c r="D220" s="48" t="s">
        <v>2971</v>
      </c>
      <c r="E220" s="50">
        <v>19365.0</v>
      </c>
      <c r="F220" s="51">
        <v>44568.0</v>
      </c>
      <c r="G220" s="48" t="s">
        <v>6216</v>
      </c>
      <c r="H220" s="48" t="s">
        <v>6218</v>
      </c>
      <c r="I220" s="48" t="s">
        <v>6222</v>
      </c>
      <c r="J220" s="48" t="s">
        <v>6196</v>
      </c>
      <c r="K220" s="52" t="b">
        <f>IFS($B220=FALSE,"", countif(VLOOKUP($A220,UASCAN!D:D,1,FALSE),$A220)&gt;=1,TRUE,countif(VLOOKUP($B220,UASCAN!D:D,1,FALSE),$B220)=0,FALSE)</f>
        <v>0</v>
      </c>
      <c r="L220" s="52" t="b">
        <f>IFS(B220=FALSE,"", countif(VLOOKUP($B220,'01072022'!B:B,1,FALSE),$B220)&gt;=1,TRUE,countif(VLOOKUP($B220,'01072022'!B:B,1,FALSE),$B220)=0,FALSE)</f>
        <v>1</v>
      </c>
      <c r="M220" s="52" t="str">
        <f>ifs(AND($K220=FALSE,$L220=TRUE),"",AND($K220=FALSE,L220=FALSE),"",AND($K220=TRUE,$L220=TRUE),VLOOKUP($A220,UASCAN!D:F,3,0), AND($K220=TRUE,$L220=FALSE),VLOOKUP($A220,UASCAN!D:F,3,0))</f>
        <v/>
      </c>
      <c r="N220" s="53" t="str">
        <f t="shared" si="2"/>
        <v> </v>
      </c>
      <c r="O220" s="53" t="str">
        <f t="shared" si="3"/>
        <v/>
      </c>
    </row>
    <row r="221">
      <c r="A221" s="47" t="str">
        <f t="shared" si="1"/>
        <v>1657144568</v>
      </c>
      <c r="B221" s="48">
        <v>16571.0</v>
      </c>
      <c r="C221" s="49">
        <v>0.5729166666666666</v>
      </c>
      <c r="D221" s="48" t="s">
        <v>4792</v>
      </c>
      <c r="E221" s="50">
        <v>14391.0</v>
      </c>
      <c r="F221" s="51">
        <v>44568.0</v>
      </c>
      <c r="G221" s="48" t="s">
        <v>6216</v>
      </c>
      <c r="H221" s="48" t="s">
        <v>6218</v>
      </c>
      <c r="I221" s="48" t="s">
        <v>6222</v>
      </c>
      <c r="J221" s="48" t="s">
        <v>6196</v>
      </c>
      <c r="K221" s="52" t="b">
        <f>IFS($B221=FALSE,"", countif(VLOOKUP($A221,UASCAN!D:D,1,FALSE),$A221)&gt;=1,TRUE,countif(VLOOKUP($B221,UASCAN!D:D,1,FALSE),$B221)=0,FALSE)</f>
        <v>0</v>
      </c>
      <c r="L221" s="52" t="b">
        <f>IFS(B221=FALSE,"", countif(VLOOKUP($B221,'01072022'!B:B,1,FALSE),$B221)&gt;=1,TRUE,countif(VLOOKUP($B221,'01072022'!B:B,1,FALSE),$B221)=0,FALSE)</f>
        <v>1</v>
      </c>
      <c r="M221" s="52" t="str">
        <f>ifs(AND($K221=FALSE,$L221=TRUE),"",AND($K221=FALSE,L221=FALSE),"",AND($K221=TRUE,$L221=TRUE),VLOOKUP($A221,UASCAN!D:F,3,0), AND($K221=TRUE,$L221=FALSE),VLOOKUP($A221,UASCAN!D:F,3,0))</f>
        <v/>
      </c>
      <c r="N221" s="53" t="str">
        <f t="shared" si="2"/>
        <v> </v>
      </c>
      <c r="O221" s="53" t="str">
        <f t="shared" si="3"/>
        <v/>
      </c>
    </row>
    <row r="222">
      <c r="A222" s="47" t="str">
        <f t="shared" si="1"/>
        <v>1747044568</v>
      </c>
      <c r="B222" s="48">
        <v>17470.0</v>
      </c>
      <c r="C222" s="49">
        <v>0.625</v>
      </c>
      <c r="D222" s="48" t="s">
        <v>5498</v>
      </c>
      <c r="E222" s="50">
        <v>34674.0</v>
      </c>
      <c r="F222" s="51">
        <v>44568.0</v>
      </c>
      <c r="G222" s="48" t="s">
        <v>6215</v>
      </c>
      <c r="H222" s="48" t="s">
        <v>6218</v>
      </c>
      <c r="I222" s="48" t="s">
        <v>6222</v>
      </c>
      <c r="J222" s="48" t="s">
        <v>6126</v>
      </c>
      <c r="K222" s="52" t="b">
        <f>IFS($B222=FALSE,"", countif(VLOOKUP($A222,UASCAN!D:D,1,FALSE),$A222)&gt;=1,TRUE,countif(VLOOKUP($B222,UASCAN!D:D,1,FALSE),$B222)=0,FALSE)</f>
        <v>0</v>
      </c>
      <c r="L222" s="52" t="b">
        <f>IFS(B222=FALSE,"", countif(VLOOKUP($B222,'01072022'!B:B,1,FALSE),$B222)&gt;=1,TRUE,countif(VLOOKUP($B222,'01072022'!B:B,1,FALSE),$B222)=0,FALSE)</f>
        <v>1</v>
      </c>
      <c r="M222" s="52" t="str">
        <f>ifs(AND($K222=FALSE,$L222=TRUE),"",AND($K222=FALSE,L222=FALSE),"",AND($K222=TRUE,$L222=TRUE),VLOOKUP($A222,UASCAN!D:F,3,0), AND($K222=TRUE,$L222=FALSE),VLOOKUP($A222,UASCAN!D:F,3,0))</f>
        <v/>
      </c>
      <c r="N222" s="53" t="str">
        <f t="shared" si="2"/>
        <v> </v>
      </c>
      <c r="O222" s="53" t="str">
        <f t="shared" si="3"/>
        <v/>
      </c>
    </row>
    <row r="223">
      <c r="A223" s="47" t="str">
        <f t="shared" si="1"/>
        <v>1259744568</v>
      </c>
      <c r="B223" s="48">
        <v>12597.0</v>
      </c>
      <c r="C223" s="49">
        <v>0.6354166666666666</v>
      </c>
      <c r="D223" s="48" t="s">
        <v>1564</v>
      </c>
      <c r="E223" s="50">
        <v>30610.0</v>
      </c>
      <c r="F223" s="51">
        <v>44568.0</v>
      </c>
      <c r="G223" s="48" t="s">
        <v>5</v>
      </c>
      <c r="H223" s="48" t="s">
        <v>6218</v>
      </c>
      <c r="I223" s="48" t="s">
        <v>6222</v>
      </c>
      <c r="J223" s="48" t="s">
        <v>6101</v>
      </c>
      <c r="K223" s="52" t="b">
        <f>IFS($B223=FALSE,"", countif(VLOOKUP($A223,UASCAN!D:D,1,FALSE),$A223)&gt;=1,TRUE,countif(VLOOKUP($B223,UASCAN!D:D,1,FALSE),$B223)=0,FALSE)</f>
        <v>0</v>
      </c>
      <c r="L223" s="52" t="b">
        <f>IFS(B223=FALSE,"", countif(VLOOKUP($B223,'01072022'!B:B,1,FALSE),$B223)&gt;=1,TRUE,countif(VLOOKUP($B223,'01072022'!B:B,1,FALSE),$B223)=0,FALSE)</f>
        <v>1</v>
      </c>
      <c r="M223" s="52" t="str">
        <f>ifs(AND($K223=FALSE,$L223=TRUE),"",AND($K223=FALSE,L223=FALSE),"",AND($K223=TRUE,$L223=TRUE),VLOOKUP($A223,UASCAN!D:F,3,0), AND($K223=TRUE,$L223=FALSE),VLOOKUP($A223,UASCAN!D:F,3,0))</f>
        <v/>
      </c>
      <c r="N223" s="53" t="str">
        <f t="shared" si="2"/>
        <v> </v>
      </c>
      <c r="O223" s="53" t="str">
        <f t="shared" si="3"/>
        <v/>
      </c>
    </row>
    <row r="224">
      <c r="A224" s="47" t="str">
        <f t="shared" si="1"/>
        <v>1520944568</v>
      </c>
      <c r="B224" s="48">
        <v>15209.0</v>
      </c>
      <c r="C224" s="49">
        <v>0.6458333333333334</v>
      </c>
      <c r="D224" s="48" t="s">
        <v>3646</v>
      </c>
      <c r="E224" s="50">
        <v>14594.0</v>
      </c>
      <c r="F224" s="51">
        <v>44568.0</v>
      </c>
      <c r="G224" s="48" t="s">
        <v>6220</v>
      </c>
      <c r="H224" s="48" t="s">
        <v>6218</v>
      </c>
      <c r="I224" s="48" t="s">
        <v>6222</v>
      </c>
      <c r="J224" s="48" t="s">
        <v>6196</v>
      </c>
      <c r="K224" s="52" t="b">
        <f>IFS($B224=FALSE,"", countif(VLOOKUP($A224,UASCAN!D:D,1,FALSE),$A224)&gt;=1,TRUE,countif(VLOOKUP($B224,UASCAN!D:D,1,FALSE),$B224)=0,FALSE)</f>
        <v>0</v>
      </c>
      <c r="L224" s="52" t="b">
        <f>IFS(B224=FALSE,"", countif(VLOOKUP($B224,'01072022'!B:B,1,FALSE),$B224)&gt;=1,TRUE,countif(VLOOKUP($B224,'01072022'!B:B,1,FALSE),$B224)=0,FALSE)</f>
        <v>1</v>
      </c>
      <c r="M224" s="52" t="str">
        <f>ifs(AND($K224=FALSE,$L224=TRUE),"",AND($K224=FALSE,L224=FALSE),"",AND($K224=TRUE,$L224=TRUE),VLOOKUP($A224,UASCAN!D:F,3,0), AND($K224=TRUE,$L224=FALSE),VLOOKUP($A224,UASCAN!D:F,3,0))</f>
        <v/>
      </c>
      <c r="N224" s="53" t="str">
        <f t="shared" si="2"/>
        <v> </v>
      </c>
      <c r="O224" s="53" t="str">
        <f t="shared" si="3"/>
        <v/>
      </c>
    </row>
    <row r="225">
      <c r="A225" s="47" t="str">
        <f t="shared" si="1"/>
        <v>1261744568</v>
      </c>
      <c r="B225" s="48">
        <v>12617.0</v>
      </c>
      <c r="C225" s="49">
        <v>0.6458333333333334</v>
      </c>
      <c r="D225" s="48" t="s">
        <v>1578</v>
      </c>
      <c r="E225" s="50">
        <v>25468.0</v>
      </c>
      <c r="F225" s="51">
        <v>44568.0</v>
      </c>
      <c r="G225" s="48" t="s">
        <v>5</v>
      </c>
      <c r="H225" s="48" t="s">
        <v>6218</v>
      </c>
      <c r="I225" s="48" t="s">
        <v>6222</v>
      </c>
      <c r="J225" s="48" t="s">
        <v>6199</v>
      </c>
      <c r="K225" s="52" t="b">
        <f>IFS($B225=FALSE,"", countif(VLOOKUP($A225,UASCAN!D:D,1,FALSE),$A225)&gt;=1,TRUE,countif(VLOOKUP($B225,UASCAN!D:D,1,FALSE),$B225)=0,FALSE)</f>
        <v>0</v>
      </c>
      <c r="L225" s="52" t="b">
        <f>IFS(B225=FALSE,"", countif(VLOOKUP($B225,'01072022'!B:B,1,FALSE),$B225)&gt;=1,TRUE,countif(VLOOKUP($B225,'01072022'!B:B,1,FALSE),$B225)=0,FALSE)</f>
        <v>1</v>
      </c>
      <c r="M225" s="52" t="str">
        <f>ifs(AND($K225=FALSE,$L225=TRUE),"",AND($K225=FALSE,L225=FALSE),"",AND($K225=TRUE,$L225=TRUE),VLOOKUP($A225,UASCAN!D:F,3,0), AND($K225=TRUE,$L225=FALSE),VLOOKUP($A225,UASCAN!D:F,3,0))</f>
        <v/>
      </c>
      <c r="N225" s="53" t="str">
        <f t="shared" si="2"/>
        <v> </v>
      </c>
      <c r="O225" s="53" t="str">
        <f t="shared" si="3"/>
        <v/>
      </c>
    </row>
    <row r="226">
      <c r="A226" s="47" t="str">
        <f t="shared" si="1"/>
        <v>1612544571</v>
      </c>
      <c r="B226" s="48">
        <v>16125.0</v>
      </c>
      <c r="C226" s="49">
        <v>0.3333333333333333</v>
      </c>
      <c r="D226" s="48" t="s">
        <v>4447</v>
      </c>
      <c r="E226" s="50">
        <v>21786.0</v>
      </c>
      <c r="F226" s="51">
        <v>44571.0</v>
      </c>
      <c r="G226" s="48" t="s">
        <v>6220</v>
      </c>
      <c r="H226" s="48" t="s">
        <v>6218</v>
      </c>
      <c r="I226" s="48" t="s">
        <v>6219</v>
      </c>
      <c r="J226" s="48" t="s">
        <v>6142</v>
      </c>
      <c r="K226" s="52" t="b">
        <f>IFS($B226=FALSE,"", countif(VLOOKUP($A226,UASCAN!D:D,1,FALSE),$A226)&gt;=1,TRUE,countif(VLOOKUP($B226,UASCAN!D:D,1,FALSE),$B226)=0,FALSE)</f>
        <v>0</v>
      </c>
      <c r="L226" s="52" t="b">
        <f>IFS(B226=FALSE,"", countif(VLOOKUP($B226,'01102022'!B:B,1,FALSE),$B226)&gt;=1,TRUE,countif(VLOOKUP($B226,'01102022'!B:B,1,FALSE),$B226)=0,FALSE)</f>
        <v>1</v>
      </c>
      <c r="M226" s="52" t="str">
        <f>ifs(AND($K226=FALSE,$L226=TRUE),"",AND($K226=FALSE,L226=FALSE),"",AND($K226=TRUE,$L226=TRUE),VLOOKUP($A226,UASCAN!D:F,3,0), AND($K226=TRUE,$L226=FALSE),VLOOKUP($A226,UASCAN!D:F,3,0))</f>
        <v/>
      </c>
      <c r="N226" s="53" t="str">
        <f t="shared" si="2"/>
        <v> </v>
      </c>
      <c r="O226" s="53" t="str">
        <f t="shared" si="3"/>
        <v/>
      </c>
    </row>
    <row r="227">
      <c r="A227" s="47" t="str">
        <f t="shared" si="1"/>
        <v>1401344571</v>
      </c>
      <c r="B227" s="48">
        <v>14013.0</v>
      </c>
      <c r="C227" s="49">
        <v>0.3541666666666667</v>
      </c>
      <c r="D227" s="48" t="s">
        <v>2675</v>
      </c>
      <c r="E227" s="50">
        <v>20269.0</v>
      </c>
      <c r="F227" s="51">
        <v>44571.0</v>
      </c>
      <c r="G227" s="48" t="s">
        <v>6216</v>
      </c>
      <c r="H227" s="48" t="s">
        <v>6218</v>
      </c>
      <c r="I227" s="48" t="s">
        <v>6219</v>
      </c>
      <c r="J227" s="48" t="s">
        <v>6192</v>
      </c>
      <c r="K227" s="52" t="b">
        <f>IFS($B227=FALSE,"", countif(VLOOKUP($A227,UASCAN!D:D,1,FALSE),$A227)&gt;=1,TRUE,countif(VLOOKUP($B227,UASCAN!D:D,1,FALSE),$B227)=0,FALSE)</f>
        <v>0</v>
      </c>
      <c r="L227" s="52" t="b">
        <f>IFS(B227=FALSE,"", countif(VLOOKUP($B227,'01102022'!B:B,1,FALSE),$B227)&gt;=1,TRUE,countif(VLOOKUP($B227,'01102022'!B:B,1,FALSE),$B227)=0,FALSE)</f>
        <v>1</v>
      </c>
      <c r="M227" s="52" t="str">
        <f>ifs(AND($K227=FALSE,$L227=TRUE),"",AND($K227=FALSE,L227=FALSE),"",AND($K227=TRUE,$L227=TRUE),VLOOKUP($A227,UASCAN!D:F,3,0), AND($K227=TRUE,$L227=FALSE),VLOOKUP($A227,UASCAN!D:F,3,0))</f>
        <v/>
      </c>
      <c r="N227" s="53" t="str">
        <f t="shared" si="2"/>
        <v> </v>
      </c>
      <c r="O227" s="53" t="str">
        <f t="shared" si="3"/>
        <v/>
      </c>
    </row>
    <row r="228">
      <c r="A228" s="47" t="str">
        <f t="shared" si="1"/>
        <v>1421944571</v>
      </c>
      <c r="B228" s="48">
        <v>14219.0</v>
      </c>
      <c r="C228" s="49">
        <v>0.3541666666666667</v>
      </c>
      <c r="D228" s="48" t="s">
        <v>2832</v>
      </c>
      <c r="E228" s="50">
        <v>24977.0</v>
      </c>
      <c r="F228" s="51">
        <v>44571.0</v>
      </c>
      <c r="G228" s="48" t="s">
        <v>5</v>
      </c>
      <c r="H228" s="48" t="s">
        <v>6218</v>
      </c>
      <c r="I228" s="48" t="s">
        <v>6219</v>
      </c>
      <c r="J228" s="48" t="s">
        <v>6091</v>
      </c>
      <c r="K228" s="52" t="b">
        <f>IFS($B228=FALSE,"", countif(VLOOKUP($A228,UASCAN!D:D,1,FALSE),$A228)&gt;=1,TRUE,countif(VLOOKUP($B228,UASCAN!D:D,1,FALSE),$B228)=0,FALSE)</f>
        <v>0</v>
      </c>
      <c r="L228" s="52" t="b">
        <f>IFS(B228=FALSE,"", countif(VLOOKUP($B228,'01102022'!B:B,1,FALSE),$B228)&gt;=1,TRUE,countif(VLOOKUP($B228,'01102022'!B:B,1,FALSE),$B228)=0,FALSE)</f>
        <v>1</v>
      </c>
      <c r="M228" s="52" t="str">
        <f>ifs(AND($K228=FALSE,$L228=TRUE),"",AND($K228=FALSE,L228=FALSE),"",AND($K228=TRUE,$L228=TRUE),VLOOKUP($A228,UASCAN!D:F,3,0), AND($K228=TRUE,$L228=FALSE),VLOOKUP($A228,UASCAN!D:F,3,0))</f>
        <v/>
      </c>
      <c r="N228" s="53" t="str">
        <f t="shared" si="2"/>
        <v> </v>
      </c>
      <c r="O228" s="53" t="str">
        <f t="shared" si="3"/>
        <v/>
      </c>
    </row>
    <row r="229">
      <c r="A229" s="47" t="str">
        <f t="shared" si="1"/>
        <v>1559344571</v>
      </c>
      <c r="B229" s="48">
        <v>15593.0</v>
      </c>
      <c r="C229" s="49">
        <v>0.3645833333333333</v>
      </c>
      <c r="D229" s="48" t="s">
        <v>3971</v>
      </c>
      <c r="E229" s="50">
        <v>26161.0</v>
      </c>
      <c r="F229" s="51">
        <v>44571.0</v>
      </c>
      <c r="G229" s="48" t="s">
        <v>5</v>
      </c>
      <c r="H229" s="48" t="s">
        <v>6218</v>
      </c>
      <c r="I229" s="48" t="s">
        <v>6219</v>
      </c>
      <c r="J229" s="48" t="s">
        <v>6089</v>
      </c>
      <c r="K229" s="52" t="b">
        <f>IFS($B229=FALSE,"", countif(VLOOKUP($A229,UASCAN!D:D,1,FALSE),$A229)&gt;=1,TRUE,countif(VLOOKUP($B229,UASCAN!D:D,1,FALSE),$B229)=0,FALSE)</f>
        <v>0</v>
      </c>
      <c r="L229" s="52" t="b">
        <f>IFS(B229=FALSE,"", countif(VLOOKUP($B229,'01102022'!B:B,1,FALSE),$B229)&gt;=1,TRUE,countif(VLOOKUP($B229,'01102022'!B:B,1,FALSE),$B229)=0,FALSE)</f>
        <v>1</v>
      </c>
      <c r="M229" s="52" t="str">
        <f>ifs(AND($K229=FALSE,$L229=TRUE),"",AND($K229=FALSE,L229=FALSE),"",AND($K229=TRUE,$L229=TRUE),VLOOKUP($A229,UASCAN!D:F,3,0), AND($K229=TRUE,$L229=FALSE),VLOOKUP($A229,UASCAN!D:F,3,0))</f>
        <v/>
      </c>
      <c r="N229" s="53" t="str">
        <f t="shared" si="2"/>
        <v> </v>
      </c>
      <c r="O229" s="53" t="str">
        <f t="shared" si="3"/>
        <v/>
      </c>
    </row>
    <row r="230">
      <c r="A230" s="47" t="str">
        <f t="shared" si="1"/>
        <v>1382944571</v>
      </c>
      <c r="B230" s="48">
        <v>13829.0</v>
      </c>
      <c r="C230" s="49">
        <v>0.375</v>
      </c>
      <c r="D230" s="48" t="s">
        <v>2540</v>
      </c>
      <c r="E230" s="50">
        <v>19504.0</v>
      </c>
      <c r="F230" s="51">
        <v>44571.0</v>
      </c>
      <c r="G230" s="48" t="s">
        <v>6216</v>
      </c>
      <c r="H230" s="48" t="s">
        <v>6218</v>
      </c>
      <c r="I230" s="48" t="s">
        <v>6219</v>
      </c>
      <c r="J230" s="48" t="s">
        <v>6193</v>
      </c>
      <c r="K230" s="52" t="b">
        <f>IFS($B230=FALSE,"", countif(VLOOKUP($A230,UASCAN!D:D,1,FALSE),$A230)&gt;=1,TRUE,countif(VLOOKUP($B230,UASCAN!D:D,1,FALSE),$B230)=0,FALSE)</f>
        <v>0</v>
      </c>
      <c r="L230" s="52" t="b">
        <f>IFS(B230=FALSE,"", countif(VLOOKUP($B230,'01102022'!B:B,1,FALSE),$B230)&gt;=1,TRUE,countif(VLOOKUP($B230,'01102022'!B:B,1,FALSE),$B230)=0,FALSE)</f>
        <v>1</v>
      </c>
      <c r="M230" s="52" t="str">
        <f>ifs(AND($K230=FALSE,$L230=TRUE),"",AND($K230=FALSE,L230=FALSE),"",AND($K230=TRUE,$L230=TRUE),VLOOKUP($A230,UASCAN!D:F,3,0), AND($K230=TRUE,$L230=FALSE),VLOOKUP($A230,UASCAN!D:F,3,0))</f>
        <v/>
      </c>
      <c r="N230" s="53" t="str">
        <f t="shared" si="2"/>
        <v> </v>
      </c>
      <c r="O230" s="53" t="str">
        <f t="shared" si="3"/>
        <v/>
      </c>
    </row>
    <row r="231">
      <c r="A231" s="47" t="str">
        <f t="shared" si="1"/>
        <v>1003644571</v>
      </c>
      <c r="B231" s="48">
        <v>10036.0</v>
      </c>
      <c r="C231" s="49">
        <v>0.375</v>
      </c>
      <c r="D231" s="48" t="s">
        <v>385</v>
      </c>
      <c r="E231" s="50">
        <v>25546.0</v>
      </c>
      <c r="F231" s="51">
        <v>44571.0</v>
      </c>
      <c r="G231" s="48" t="s">
        <v>5</v>
      </c>
      <c r="H231" s="48" t="s">
        <v>6218</v>
      </c>
      <c r="I231" s="48" t="s">
        <v>6219</v>
      </c>
      <c r="J231" s="48" t="s">
        <v>6199</v>
      </c>
      <c r="K231" s="52" t="b">
        <f>IFS($B231=FALSE,"", countif(VLOOKUP($A231,UASCAN!D:D,1,FALSE),$A231)&gt;=1,TRUE,countif(VLOOKUP($B231,UASCAN!D:D,1,FALSE),$B231)=0,FALSE)</f>
        <v>0</v>
      </c>
      <c r="L231" s="52" t="b">
        <f>IFS(B231=FALSE,"", countif(VLOOKUP($B231,'01102022'!B:B,1,FALSE),$B231)&gt;=1,TRUE,countif(VLOOKUP($B231,'01102022'!B:B,1,FALSE),$B231)=0,FALSE)</f>
        <v>1</v>
      </c>
      <c r="M231" s="52" t="str">
        <f>ifs(AND($K231=FALSE,$L231=TRUE),"",AND($K231=FALSE,L231=FALSE),"",AND($K231=TRUE,$L231=TRUE),VLOOKUP($A231,UASCAN!D:F,3,0), AND($K231=TRUE,$L231=FALSE),VLOOKUP($A231,UASCAN!D:F,3,0))</f>
        <v/>
      </c>
      <c r="N231" s="53" t="str">
        <f t="shared" si="2"/>
        <v> </v>
      </c>
      <c r="O231" s="53" t="str">
        <f t="shared" si="3"/>
        <v/>
      </c>
    </row>
    <row r="232">
      <c r="A232" s="47" t="str">
        <f t="shared" si="1"/>
        <v>983444571</v>
      </c>
      <c r="B232" s="48">
        <v>9834.0</v>
      </c>
      <c r="C232" s="49">
        <v>0.3958333333333333</v>
      </c>
      <c r="D232" s="48" t="s">
        <v>311</v>
      </c>
      <c r="E232" s="50">
        <v>23212.0</v>
      </c>
      <c r="F232" s="51">
        <v>44571.0</v>
      </c>
      <c r="G232" s="48" t="s">
        <v>6216</v>
      </c>
      <c r="H232" s="48" t="s">
        <v>6218</v>
      </c>
      <c r="I232" s="48" t="s">
        <v>6219</v>
      </c>
      <c r="J232" s="48" t="s">
        <v>6189</v>
      </c>
      <c r="K232" s="52" t="b">
        <f>IFS($B232=FALSE,"", countif(VLOOKUP($A232,UASCAN!D:D,1,FALSE),$A232)&gt;=1,TRUE,countif(VLOOKUP($B232,UASCAN!D:D,1,FALSE),$B232)=0,FALSE)</f>
        <v>0</v>
      </c>
      <c r="L232" s="52" t="b">
        <f>IFS(B232=FALSE,"", countif(VLOOKUP($B232,'01102022'!B:B,1,FALSE),$B232)&gt;=1,TRUE,countif(VLOOKUP($B232,'01102022'!B:B,1,FALSE),$B232)=0,FALSE)</f>
        <v>1</v>
      </c>
      <c r="M232" s="52" t="str">
        <f>ifs(AND($K232=FALSE,$L232=TRUE),"",AND($K232=FALSE,L232=FALSE),"",AND($K232=TRUE,$L232=TRUE),VLOOKUP($A232,UASCAN!D:F,3,0), AND($K232=TRUE,$L232=FALSE),VLOOKUP($A232,UASCAN!D:F,3,0))</f>
        <v/>
      </c>
      <c r="N232" s="53" t="str">
        <f t="shared" si="2"/>
        <v> </v>
      </c>
      <c r="O232" s="53" t="str">
        <f t="shared" si="3"/>
        <v/>
      </c>
    </row>
    <row r="233">
      <c r="A233" s="47" t="str">
        <f t="shared" si="1"/>
        <v>1694344571</v>
      </c>
      <c r="B233" s="48">
        <v>16943.0</v>
      </c>
      <c r="C233" s="49">
        <v>0.46875</v>
      </c>
      <c r="D233" s="48" t="s">
        <v>5081</v>
      </c>
      <c r="E233" s="50">
        <v>16364.0</v>
      </c>
      <c r="F233" s="51">
        <v>44571.0</v>
      </c>
      <c r="G233" s="48" t="s">
        <v>6216</v>
      </c>
      <c r="H233" s="48" t="s">
        <v>6218</v>
      </c>
      <c r="I233" s="48" t="s">
        <v>6219</v>
      </c>
      <c r="J233" s="48" t="s">
        <v>6189</v>
      </c>
      <c r="K233" s="52" t="b">
        <f>IFS($B233=FALSE,"", countif(VLOOKUP($A233,UASCAN!D:D,1,FALSE),$A233)&gt;=1,TRUE,countif(VLOOKUP($B233,UASCAN!D:D,1,FALSE),$B233)=0,FALSE)</f>
        <v>0</v>
      </c>
      <c r="L233" s="52" t="b">
        <f>IFS(B233=FALSE,"", countif(VLOOKUP($B233,'01102022'!B:B,1,FALSE),$B233)&gt;=1,TRUE,countif(VLOOKUP($B233,'01102022'!B:B,1,FALSE),$B233)=0,FALSE)</f>
        <v>1</v>
      </c>
      <c r="M233" s="52" t="str">
        <f>ifs(AND($K233=FALSE,$L233=TRUE),"",AND($K233=FALSE,L233=FALSE),"",AND($K233=TRUE,$L233=TRUE),VLOOKUP($A233,UASCAN!D:F,3,0), AND($K233=TRUE,$L233=FALSE),VLOOKUP($A233,UASCAN!D:F,3,0))</f>
        <v/>
      </c>
      <c r="N233" s="53" t="str">
        <f t="shared" si="2"/>
        <v> </v>
      </c>
      <c r="O233" s="53" t="str">
        <f t="shared" si="3"/>
        <v/>
      </c>
    </row>
    <row r="234">
      <c r="A234" s="47" t="str">
        <f t="shared" si="1"/>
        <v>1514644571</v>
      </c>
      <c r="B234" s="48">
        <v>15146.0</v>
      </c>
      <c r="C234" s="49">
        <v>0.3229166666666667</v>
      </c>
      <c r="D234" s="48" t="s">
        <v>3596</v>
      </c>
      <c r="E234" s="50">
        <v>23030.0</v>
      </c>
      <c r="F234" s="51">
        <v>44571.0</v>
      </c>
      <c r="G234" s="48" t="s">
        <v>5</v>
      </c>
      <c r="H234" s="48" t="s">
        <v>6211</v>
      </c>
      <c r="I234" s="48" t="s">
        <v>6221</v>
      </c>
      <c r="J234" s="48" t="s">
        <v>6137</v>
      </c>
      <c r="K234" s="52" t="b">
        <f>IFS($B234=FALSE,"", countif(VLOOKUP($A234,UASCAN!D:D,1,FALSE),$A234)&gt;=1,TRUE,countif(VLOOKUP($B234,UASCAN!D:D,1,FALSE),$B234)=0,FALSE)</f>
        <v>0</v>
      </c>
      <c r="L234" s="52" t="b">
        <f>IFS(B234=FALSE,"", countif(VLOOKUP($B234,'01102022'!B:B,1,FALSE),$B234)&gt;=1,TRUE,countif(VLOOKUP($B234,'01102022'!B:B,1,FALSE),$B234)=0,FALSE)</f>
        <v>1</v>
      </c>
      <c r="M234" s="52" t="str">
        <f>ifs(AND($K234=FALSE,$L234=TRUE),"",AND($K234=FALSE,L234=FALSE),"",AND($K234=TRUE,$L234=TRUE),VLOOKUP($A234,UASCAN!D:F,3,0), AND($K234=TRUE,$L234=FALSE),VLOOKUP($A234,UASCAN!D:F,3,0))</f>
        <v/>
      </c>
      <c r="N234" s="53" t="str">
        <f t="shared" si="2"/>
        <v> </v>
      </c>
      <c r="O234" s="53" t="str">
        <f t="shared" si="3"/>
        <v/>
      </c>
    </row>
    <row r="235">
      <c r="A235" s="47" t="str">
        <f t="shared" si="1"/>
        <v>1788044571</v>
      </c>
      <c r="B235" s="48">
        <v>17880.0</v>
      </c>
      <c r="C235" s="49">
        <v>0.34375</v>
      </c>
      <c r="D235" s="48" t="s">
        <v>5991</v>
      </c>
      <c r="E235" s="50">
        <v>19527.0</v>
      </c>
      <c r="F235" s="51">
        <v>44571.0</v>
      </c>
      <c r="G235" s="48" t="s">
        <v>6213</v>
      </c>
      <c r="H235" s="48" t="s">
        <v>6211</v>
      </c>
      <c r="I235" s="48" t="s">
        <v>6221</v>
      </c>
      <c r="J235" s="48" t="s">
        <v>6189</v>
      </c>
      <c r="K235" s="52" t="b">
        <f>IFS($B235=FALSE,"", countif(VLOOKUP($A235,UASCAN!D:D,1,FALSE),$A235)&gt;=1,TRUE,countif(VLOOKUP($B235,UASCAN!D:D,1,FALSE),$B235)=0,FALSE)</f>
        <v>0</v>
      </c>
      <c r="L235" s="52" t="b">
        <f>IFS(B235=FALSE,"", countif(VLOOKUP($B235,'01102022'!B:B,1,FALSE),$B235)&gt;=1,TRUE,countif(VLOOKUP($B235,'01102022'!B:B,1,FALSE),$B235)=0,FALSE)</f>
        <v>1</v>
      </c>
      <c r="M235" s="52" t="str">
        <f>ifs(AND($K235=FALSE,$L235=TRUE),"",AND($K235=FALSE,L235=FALSE),"",AND($K235=TRUE,$L235=TRUE),VLOOKUP($A235,UASCAN!D:F,3,0), AND($K235=TRUE,$L235=FALSE),VLOOKUP($A235,UASCAN!D:F,3,0))</f>
        <v/>
      </c>
      <c r="N235" s="53" t="str">
        <f t="shared" si="2"/>
        <v> </v>
      </c>
      <c r="O235" s="53" t="str">
        <f t="shared" si="3"/>
        <v/>
      </c>
    </row>
    <row r="236">
      <c r="A236" s="47" t="str">
        <f t="shared" si="1"/>
        <v>1543744571</v>
      </c>
      <c r="B236" s="48">
        <v>15437.0</v>
      </c>
      <c r="C236" s="49">
        <v>0.4270833333333333</v>
      </c>
      <c r="D236" s="48" t="s">
        <v>3833</v>
      </c>
      <c r="E236" s="50">
        <v>22134.0</v>
      </c>
      <c r="F236" s="51">
        <v>44571.0</v>
      </c>
      <c r="G236" s="48" t="s">
        <v>6216</v>
      </c>
      <c r="H236" s="48" t="s">
        <v>6211</v>
      </c>
      <c r="I236" s="48" t="s">
        <v>6221</v>
      </c>
      <c r="J236" s="48" t="s">
        <v>6196</v>
      </c>
      <c r="K236" s="52" t="b">
        <f>IFS($B236=FALSE,"", countif(VLOOKUP($A236,UASCAN!D:D,1,FALSE),$A236)&gt;=1,TRUE,countif(VLOOKUP($B236,UASCAN!D:D,1,FALSE),$B236)=0,FALSE)</f>
        <v>0</v>
      </c>
      <c r="L236" s="52" t="b">
        <f>IFS(B236=FALSE,"", countif(VLOOKUP($B236,'01102022'!B:B,1,FALSE),$B236)&gt;=1,TRUE,countif(VLOOKUP($B236,'01102022'!B:B,1,FALSE),$B236)=0,FALSE)</f>
        <v>1</v>
      </c>
      <c r="M236" s="52" t="str">
        <f>ifs(AND($K236=FALSE,$L236=TRUE),"",AND($K236=FALSE,L236=FALSE),"",AND($K236=TRUE,$L236=TRUE),VLOOKUP($A236,UASCAN!D:F,3,0), AND($K236=TRUE,$L236=FALSE),VLOOKUP($A236,UASCAN!D:F,3,0))</f>
        <v/>
      </c>
      <c r="N236" s="53" t="str">
        <f t="shared" si="2"/>
        <v> </v>
      </c>
      <c r="O236" s="53" t="str">
        <f t="shared" si="3"/>
        <v/>
      </c>
    </row>
    <row r="237">
      <c r="A237" s="47" t="str">
        <f t="shared" si="1"/>
        <v>926344571</v>
      </c>
      <c r="B237" s="48">
        <v>9263.0</v>
      </c>
      <c r="C237" s="49">
        <v>0.4583333333333333</v>
      </c>
      <c r="D237" s="48" t="s">
        <v>119</v>
      </c>
      <c r="E237" s="50">
        <v>14169.0</v>
      </c>
      <c r="F237" s="51">
        <v>44571.0</v>
      </c>
      <c r="G237" s="48" t="s">
        <v>5</v>
      </c>
      <c r="H237" s="48" t="s">
        <v>6211</v>
      </c>
      <c r="I237" s="48" t="s">
        <v>6221</v>
      </c>
      <c r="J237" s="48" t="s">
        <v>6137</v>
      </c>
      <c r="K237" s="52" t="b">
        <f>IFS($B237=FALSE,"", countif(VLOOKUP($A237,UASCAN!D:D,1,FALSE),$A237)&gt;=1,TRUE,countif(VLOOKUP($B237,UASCAN!D:D,1,FALSE),$B237)=0,FALSE)</f>
        <v>0</v>
      </c>
      <c r="L237" s="52" t="b">
        <f>IFS(B237=FALSE,"", countif(VLOOKUP($B237,'01102022'!B:B,1,FALSE),$B237)&gt;=1,TRUE,countif(VLOOKUP($B237,'01102022'!B:B,1,FALSE),$B237)=0,FALSE)</f>
        <v>1</v>
      </c>
      <c r="M237" s="52" t="str">
        <f>ifs(AND($K237=FALSE,$L237=TRUE),"",AND($K237=FALSE,L237=FALSE),"",AND($K237=TRUE,$L237=TRUE),VLOOKUP($A237,UASCAN!D:F,3,0), AND($K237=TRUE,$L237=FALSE),VLOOKUP($A237,UASCAN!D:F,3,0))</f>
        <v/>
      </c>
      <c r="N237" s="53" t="str">
        <f t="shared" si="2"/>
        <v> </v>
      </c>
      <c r="O237" s="53" t="str">
        <f t="shared" si="3"/>
        <v/>
      </c>
    </row>
    <row r="238">
      <c r="A238" s="47" t="str">
        <f t="shared" si="1"/>
        <v>1546944571</v>
      </c>
      <c r="B238" s="48">
        <v>15469.0</v>
      </c>
      <c r="C238" s="49">
        <v>0.3333333333333333</v>
      </c>
      <c r="D238" s="48" t="s">
        <v>3862</v>
      </c>
      <c r="E238" s="50">
        <v>18802.0</v>
      </c>
      <c r="F238" s="51">
        <v>44571.0</v>
      </c>
      <c r="G238" s="48" t="s">
        <v>5</v>
      </c>
      <c r="H238" s="48" t="s">
        <v>6218</v>
      </c>
      <c r="I238" s="48" t="s">
        <v>6222</v>
      </c>
      <c r="J238" s="48" t="s">
        <v>6158</v>
      </c>
      <c r="K238" s="52" t="b">
        <f>IFS($B238=FALSE,"", countif(VLOOKUP($A238,UASCAN!D:D,1,FALSE),$A238)&gt;=1,TRUE,countif(VLOOKUP($B238,UASCAN!D:D,1,FALSE),$B238)=0,FALSE)</f>
        <v>0</v>
      </c>
      <c r="L238" s="52" t="b">
        <f>IFS(B238=FALSE,"", countif(VLOOKUP($B238,'01102022'!B:B,1,FALSE),$B238)&gt;=1,TRUE,countif(VLOOKUP($B238,'01102022'!B:B,1,FALSE),$B238)=0,FALSE)</f>
        <v>1</v>
      </c>
      <c r="M238" s="52" t="str">
        <f>ifs(AND($K238=FALSE,$L238=TRUE),"",AND($K238=FALSE,L238=FALSE),"",AND($K238=TRUE,$L238=TRUE),VLOOKUP($A238,UASCAN!D:F,3,0), AND($K238=TRUE,$L238=FALSE),VLOOKUP($A238,UASCAN!D:F,3,0))</f>
        <v/>
      </c>
      <c r="N238" s="53" t="str">
        <f t="shared" si="2"/>
        <v> </v>
      </c>
      <c r="O238" s="53" t="str">
        <f t="shared" si="3"/>
        <v/>
      </c>
    </row>
    <row r="239">
      <c r="A239" s="47" t="str">
        <f t="shared" si="1"/>
        <v>924544571</v>
      </c>
      <c r="B239" s="48">
        <v>9245.0</v>
      </c>
      <c r="C239" s="49">
        <v>0.3541666666666667</v>
      </c>
      <c r="D239" s="48" t="s">
        <v>104</v>
      </c>
      <c r="E239" s="50">
        <v>16580.0</v>
      </c>
      <c r="F239" s="51">
        <v>44571.0</v>
      </c>
      <c r="G239" s="48" t="s">
        <v>5</v>
      </c>
      <c r="H239" s="48" t="s">
        <v>6218</v>
      </c>
      <c r="I239" s="48" t="s">
        <v>6222</v>
      </c>
      <c r="J239" s="48" t="s">
        <v>6094</v>
      </c>
      <c r="K239" s="52" t="b">
        <f>IFS($B239=FALSE,"", countif(VLOOKUP($A239,UASCAN!D:D,1,FALSE),$A239)&gt;=1,TRUE,countif(VLOOKUP($B239,UASCAN!D:D,1,FALSE),$B239)=0,FALSE)</f>
        <v>0</v>
      </c>
      <c r="L239" s="52" t="b">
        <f>IFS(B239=FALSE,"", countif(VLOOKUP($B239,'01102022'!B:B,1,FALSE),$B239)&gt;=1,TRUE,countif(VLOOKUP($B239,'01102022'!B:B,1,FALSE),$B239)=0,FALSE)</f>
        <v>1</v>
      </c>
      <c r="M239" s="52" t="str">
        <f>ifs(AND($K239=FALSE,$L239=TRUE),"",AND($K239=FALSE,L239=FALSE),"",AND($K239=TRUE,$L239=TRUE),VLOOKUP($A239,UASCAN!D:F,3,0), AND($K239=TRUE,$L239=FALSE),VLOOKUP($A239,UASCAN!D:F,3,0))</f>
        <v/>
      </c>
      <c r="N239" s="53" t="str">
        <f t="shared" si="2"/>
        <v> </v>
      </c>
      <c r="O239" s="53" t="str">
        <f t="shared" si="3"/>
        <v/>
      </c>
    </row>
    <row r="240">
      <c r="A240" s="47" t="str">
        <f t="shared" si="1"/>
        <v>1226444571</v>
      </c>
      <c r="B240" s="48">
        <v>12264.0</v>
      </c>
      <c r="C240" s="49">
        <v>0.3541666666666667</v>
      </c>
      <c r="D240" s="48" t="s">
        <v>1349</v>
      </c>
      <c r="E240" s="50">
        <v>13630.0</v>
      </c>
      <c r="F240" s="51">
        <v>44571.0</v>
      </c>
      <c r="G240" s="48" t="s">
        <v>6216</v>
      </c>
      <c r="H240" s="48" t="s">
        <v>6218</v>
      </c>
      <c r="I240" s="48" t="s">
        <v>6222</v>
      </c>
      <c r="J240" s="48" t="s">
        <v>6189</v>
      </c>
      <c r="K240" s="52" t="b">
        <f>IFS($B240=FALSE,"", countif(VLOOKUP($A240,UASCAN!D:D,1,FALSE),$A240)&gt;=1,TRUE,countif(VLOOKUP($B240,UASCAN!D:D,1,FALSE),$B240)=0,FALSE)</f>
        <v>0</v>
      </c>
      <c r="L240" s="52" t="b">
        <f>IFS(B240=FALSE,"", countif(VLOOKUP($B240,'01102022'!B:B,1,FALSE),$B240)&gt;=1,TRUE,countif(VLOOKUP($B240,'01102022'!B:B,1,FALSE),$B240)=0,FALSE)</f>
        <v>1</v>
      </c>
      <c r="M240" s="52" t="str">
        <f>ifs(AND($K240=FALSE,$L240=TRUE),"",AND($K240=FALSE,L240=FALSE),"",AND($K240=TRUE,$L240=TRUE),VLOOKUP($A240,UASCAN!D:F,3,0), AND($K240=TRUE,$L240=FALSE),VLOOKUP($A240,UASCAN!D:F,3,0))</f>
        <v/>
      </c>
      <c r="N240" s="53" t="str">
        <f t="shared" si="2"/>
        <v> </v>
      </c>
      <c r="O240" s="53" t="str">
        <f t="shared" si="3"/>
        <v/>
      </c>
    </row>
    <row r="241">
      <c r="A241" s="47" t="str">
        <f t="shared" si="1"/>
        <v>1575044571</v>
      </c>
      <c r="B241" s="48">
        <v>15750.0</v>
      </c>
      <c r="C241" s="49">
        <v>0.3854166666666667</v>
      </c>
      <c r="D241" s="48" t="s">
        <v>4117</v>
      </c>
      <c r="E241" s="50">
        <v>19538.0</v>
      </c>
      <c r="F241" s="51">
        <v>44571.0</v>
      </c>
      <c r="G241" s="48" t="s">
        <v>5</v>
      </c>
      <c r="H241" s="48" t="s">
        <v>6218</v>
      </c>
      <c r="I241" s="48" t="s">
        <v>6222</v>
      </c>
      <c r="J241" s="48" t="s">
        <v>6199</v>
      </c>
      <c r="K241" s="52" t="b">
        <f>IFS($B241=FALSE,"", countif(VLOOKUP($A241,UASCAN!D:D,1,FALSE),$A241)&gt;=1,TRUE,countif(VLOOKUP($B241,UASCAN!D:D,1,FALSE),$B241)=0,FALSE)</f>
        <v>0</v>
      </c>
      <c r="L241" s="52" t="b">
        <f>IFS(B241=FALSE,"", countif(VLOOKUP($B241,'01102022'!B:B,1,FALSE),$B241)&gt;=1,TRUE,countif(VLOOKUP($B241,'01102022'!B:B,1,FALSE),$B241)=0,FALSE)</f>
        <v>1</v>
      </c>
      <c r="M241" s="52" t="str">
        <f>ifs(AND($K241=FALSE,$L241=TRUE),"",AND($K241=FALSE,L241=FALSE),"",AND($K241=TRUE,$L241=TRUE),VLOOKUP($A241,UASCAN!D:F,3,0), AND($K241=TRUE,$L241=FALSE),VLOOKUP($A241,UASCAN!D:F,3,0))</f>
        <v/>
      </c>
      <c r="N241" s="53" t="str">
        <f t="shared" si="2"/>
        <v> </v>
      </c>
      <c r="O241" s="53" t="str">
        <f t="shared" si="3"/>
        <v/>
      </c>
    </row>
    <row r="242">
      <c r="A242" s="47" t="str">
        <f t="shared" si="1"/>
        <v>1593544571</v>
      </c>
      <c r="B242" s="48">
        <v>15935.0</v>
      </c>
      <c r="C242" s="49">
        <v>0.40625</v>
      </c>
      <c r="D242" s="48" t="s">
        <v>4284</v>
      </c>
      <c r="E242" s="50">
        <v>27015.0</v>
      </c>
      <c r="F242" s="51">
        <v>44571.0</v>
      </c>
      <c r="G242" s="48" t="s">
        <v>6216</v>
      </c>
      <c r="H242" s="48" t="s">
        <v>6218</v>
      </c>
      <c r="I242" s="48" t="s">
        <v>6222</v>
      </c>
      <c r="J242" s="48" t="s">
        <v>6142</v>
      </c>
      <c r="K242" s="52" t="b">
        <f>IFS($B242=FALSE,"", countif(VLOOKUP($A242,UASCAN!D:D,1,FALSE),$A242)&gt;=1,TRUE,countif(VLOOKUP($B242,UASCAN!D:D,1,FALSE),$B242)=0,FALSE)</f>
        <v>0</v>
      </c>
      <c r="L242" s="52" t="b">
        <f>IFS(B242=FALSE,"", countif(VLOOKUP($B242,'01102022'!B:B,1,FALSE),$B242)&gt;=1,TRUE,countif(VLOOKUP($B242,'01102022'!B:B,1,FALSE),$B242)=0,FALSE)</f>
        <v>1</v>
      </c>
      <c r="M242" s="52" t="str">
        <f>ifs(AND($K242=FALSE,$L242=TRUE),"",AND($K242=FALSE,L242=FALSE),"",AND($K242=TRUE,$L242=TRUE),VLOOKUP($A242,UASCAN!D:F,3,0), AND($K242=TRUE,$L242=FALSE),VLOOKUP($A242,UASCAN!D:F,3,0))</f>
        <v/>
      </c>
      <c r="N242" s="53" t="str">
        <f t="shared" si="2"/>
        <v> </v>
      </c>
      <c r="O242" s="53" t="str">
        <f t="shared" si="3"/>
        <v/>
      </c>
    </row>
    <row r="243">
      <c r="A243" s="47" t="str">
        <f t="shared" si="1"/>
        <v>1016044571</v>
      </c>
      <c r="B243" s="48">
        <v>10160.0</v>
      </c>
      <c r="C243" s="49">
        <v>0.40625</v>
      </c>
      <c r="D243" s="48" t="s">
        <v>437</v>
      </c>
      <c r="E243" s="50">
        <v>21263.0</v>
      </c>
      <c r="F243" s="51">
        <v>44571.0</v>
      </c>
      <c r="G243" s="48" t="s">
        <v>6215</v>
      </c>
      <c r="H243" s="48" t="s">
        <v>6218</v>
      </c>
      <c r="I243" s="48" t="s">
        <v>6222</v>
      </c>
      <c r="J243" s="48" t="s">
        <v>6091</v>
      </c>
      <c r="K243" s="52" t="b">
        <f>IFS($B243=FALSE,"", countif(VLOOKUP($A243,UASCAN!D:D,1,FALSE),$A243)&gt;=1,TRUE,countif(VLOOKUP($B243,UASCAN!D:D,1,FALSE),$B243)=0,FALSE)</f>
        <v>0</v>
      </c>
      <c r="L243" s="52" t="b">
        <f>IFS(B243=FALSE,"", countif(VLOOKUP($B243,'01102022'!B:B,1,FALSE),$B243)&gt;=1,TRUE,countif(VLOOKUP($B243,'01102022'!B:B,1,FALSE),$B243)=0,FALSE)</f>
        <v>1</v>
      </c>
      <c r="M243" s="52" t="str">
        <f>ifs(AND($K243=FALSE,$L243=TRUE),"",AND($K243=FALSE,L243=FALSE),"",AND($K243=TRUE,$L243=TRUE),VLOOKUP($A243,UASCAN!D:F,3,0), AND($K243=TRUE,$L243=FALSE),VLOOKUP($A243,UASCAN!D:F,3,0))</f>
        <v/>
      </c>
      <c r="N243" s="53" t="str">
        <f t="shared" si="2"/>
        <v> </v>
      </c>
      <c r="O243" s="53" t="str">
        <f t="shared" si="3"/>
        <v/>
      </c>
    </row>
    <row r="244">
      <c r="A244" s="47" t="str">
        <f t="shared" si="1"/>
        <v>986244571</v>
      </c>
      <c r="B244" s="48">
        <v>9862.0</v>
      </c>
      <c r="C244" s="49">
        <v>0.4166666666666667</v>
      </c>
      <c r="D244" s="48" t="s">
        <v>326</v>
      </c>
      <c r="E244" s="50">
        <v>18805.0</v>
      </c>
      <c r="F244" s="51">
        <v>44571.0</v>
      </c>
      <c r="G244" s="48" t="s">
        <v>6215</v>
      </c>
      <c r="H244" s="48" t="s">
        <v>6218</v>
      </c>
      <c r="I244" s="48" t="s">
        <v>6222</v>
      </c>
      <c r="J244" s="48" t="s">
        <v>6199</v>
      </c>
      <c r="K244" s="52" t="b">
        <f>IFS($B244=FALSE,"", countif(VLOOKUP($A244,UASCAN!D:D,1,FALSE),$A244)&gt;=1,TRUE,countif(VLOOKUP($B244,UASCAN!D:D,1,FALSE),$B244)=0,FALSE)</f>
        <v>0</v>
      </c>
      <c r="L244" s="52" t="b">
        <f>IFS(B244=FALSE,"", countif(VLOOKUP($B244,'01102022'!B:B,1,FALSE),$B244)&gt;=1,TRUE,countif(VLOOKUP($B244,'01102022'!B:B,1,FALSE),$B244)=0,FALSE)</f>
        <v>1</v>
      </c>
      <c r="M244" s="52" t="str">
        <f>ifs(AND($K244=FALSE,$L244=TRUE),"",AND($K244=FALSE,L244=FALSE),"",AND($K244=TRUE,$L244=TRUE),VLOOKUP($A244,UASCAN!D:F,3,0), AND($K244=TRUE,$L244=FALSE),VLOOKUP($A244,UASCAN!D:F,3,0))</f>
        <v/>
      </c>
      <c r="N244" s="53" t="str">
        <f t="shared" si="2"/>
        <v> </v>
      </c>
      <c r="O244" s="53" t="str">
        <f t="shared" si="3"/>
        <v/>
      </c>
    </row>
    <row r="245">
      <c r="A245" s="47" t="str">
        <f t="shared" si="1"/>
        <v>1572444571</v>
      </c>
      <c r="B245" s="48">
        <v>15724.0</v>
      </c>
      <c r="C245" s="49">
        <v>0.4583333333333333</v>
      </c>
      <c r="D245" s="48" t="s">
        <v>4091</v>
      </c>
      <c r="E245" s="50">
        <v>23824.0</v>
      </c>
      <c r="F245" s="51">
        <v>44571.0</v>
      </c>
      <c r="G245" s="48" t="s">
        <v>6220</v>
      </c>
      <c r="H245" s="48" t="s">
        <v>6218</v>
      </c>
      <c r="I245" s="48" t="s">
        <v>6222</v>
      </c>
      <c r="J245" s="48" t="s">
        <v>6142</v>
      </c>
      <c r="K245" s="52" t="b">
        <f>IFS($B245=FALSE,"", countif(VLOOKUP($A245,UASCAN!D:D,1,FALSE),$A245)&gt;=1,TRUE,countif(VLOOKUP($B245,UASCAN!D:D,1,FALSE),$B245)=0,FALSE)</f>
        <v>0</v>
      </c>
      <c r="L245" s="52" t="b">
        <f>IFS(B245=FALSE,"", countif(VLOOKUP($B245,'01102022'!B:B,1,FALSE),$B245)&gt;=1,TRUE,countif(VLOOKUP($B245,'01102022'!B:B,1,FALSE),$B245)=0,FALSE)</f>
        <v>1</v>
      </c>
      <c r="M245" s="52" t="str">
        <f>ifs(AND($K245=FALSE,$L245=TRUE),"",AND($K245=FALSE,L245=FALSE),"",AND($K245=TRUE,$L245=TRUE),VLOOKUP($A245,UASCAN!D:F,3,0), AND($K245=TRUE,$L245=FALSE),VLOOKUP($A245,UASCAN!D:F,3,0))</f>
        <v/>
      </c>
      <c r="N245" s="53" t="str">
        <f t="shared" si="2"/>
        <v> </v>
      </c>
      <c r="O245" s="53" t="str">
        <f t="shared" si="3"/>
        <v/>
      </c>
    </row>
    <row r="246">
      <c r="A246" s="47" t="str">
        <f t="shared" si="1"/>
        <v>1574044571</v>
      </c>
      <c r="B246" s="48">
        <v>15740.0</v>
      </c>
      <c r="C246" s="49">
        <v>0.4583333333333333</v>
      </c>
      <c r="D246" s="48" t="s">
        <v>4107</v>
      </c>
      <c r="E246" s="50">
        <v>17084.0</v>
      </c>
      <c r="F246" s="51">
        <v>44571.0</v>
      </c>
      <c r="G246" s="48" t="s">
        <v>6216</v>
      </c>
      <c r="H246" s="48" t="s">
        <v>6218</v>
      </c>
      <c r="I246" s="48" t="s">
        <v>6222</v>
      </c>
      <c r="J246" s="48" t="s">
        <v>6189</v>
      </c>
      <c r="K246" s="52" t="b">
        <f>IFS($B246=FALSE,"", countif(VLOOKUP($A246,UASCAN!D:D,1,FALSE),$A246)&gt;=1,TRUE,countif(VLOOKUP($B246,UASCAN!D:D,1,FALSE),$B246)=0,FALSE)</f>
        <v>0</v>
      </c>
      <c r="L246" s="52" t="b">
        <f>IFS(B246=FALSE,"", countif(VLOOKUP($B246,'01102022'!B:B,1,FALSE),$B246)&gt;=1,TRUE,countif(VLOOKUP($B246,'01102022'!B:B,1,FALSE),$B246)=0,FALSE)</f>
        <v>1</v>
      </c>
      <c r="M246" s="52" t="str">
        <f>ifs(AND($K246=FALSE,$L246=TRUE),"",AND($K246=FALSE,L246=FALSE),"",AND($K246=TRUE,$L246=TRUE),VLOOKUP($A246,UASCAN!D:F,3,0), AND($K246=TRUE,$L246=FALSE),VLOOKUP($A246,UASCAN!D:F,3,0))</f>
        <v/>
      </c>
      <c r="N246" s="53" t="str">
        <f t="shared" si="2"/>
        <v> </v>
      </c>
      <c r="O246" s="53" t="str">
        <f t="shared" si="3"/>
        <v/>
      </c>
    </row>
    <row r="247">
      <c r="A247" s="47" t="str">
        <f t="shared" si="1"/>
        <v>1228944572</v>
      </c>
      <c r="B247" s="48">
        <v>12289.0</v>
      </c>
      <c r="C247" s="49">
        <v>0.3333333333333333</v>
      </c>
      <c r="D247" s="48" t="s">
        <v>1368</v>
      </c>
      <c r="E247" s="50">
        <v>15105.0</v>
      </c>
      <c r="F247" s="51">
        <v>44572.0</v>
      </c>
      <c r="G247" s="48" t="s">
        <v>5</v>
      </c>
      <c r="H247" s="48" t="s">
        <v>6218</v>
      </c>
      <c r="I247" s="48" t="s">
        <v>6219</v>
      </c>
      <c r="J247" s="48" t="s">
        <v>6137</v>
      </c>
      <c r="K247" s="52" t="b">
        <f>IFS($B247=FALSE,"", countif(VLOOKUP($A247,UASCAN!D:D,1,FALSE),$A247)&gt;=1,TRUE,countif(VLOOKUP($B247,UASCAN!D:D,1,FALSE),$B247)=0,FALSE)</f>
        <v>0</v>
      </c>
      <c r="L247" s="52" t="b">
        <f>IFS(B247=FALSE,"", countif(VLOOKUP($B247,'01112022'!B:B,1,FALSE),$B247)&gt;=1,TRUE,countif(VLOOKUP($B247,'01112022'!B:B,1,FALSE),$B247)=0,FALSE)</f>
        <v>1</v>
      </c>
      <c r="M247" s="52" t="str">
        <f>ifs(AND($K247=FALSE,$L247=TRUE),"",AND($K247=FALSE,L247=FALSE),"",AND($K247=TRUE,$L247=TRUE),VLOOKUP($A247,UASCAN!D:F,3,0), AND($K247=TRUE,$L247=FALSE),VLOOKUP($A247,UASCAN!D:F,3,0))</f>
        <v/>
      </c>
      <c r="N247" s="53" t="str">
        <f t="shared" si="2"/>
        <v> </v>
      </c>
      <c r="O247" s="53" t="str">
        <f t="shared" si="3"/>
        <v/>
      </c>
    </row>
    <row r="248">
      <c r="A248" s="47" t="str">
        <f t="shared" si="1"/>
        <v>946644572</v>
      </c>
      <c r="B248" s="48">
        <v>9466.0</v>
      </c>
      <c r="C248" s="49">
        <v>0.3333333333333333</v>
      </c>
      <c r="D248" s="48" t="s">
        <v>175</v>
      </c>
      <c r="E248" s="50">
        <v>14634.0</v>
      </c>
      <c r="F248" s="51">
        <v>44572.0</v>
      </c>
      <c r="G248" s="48" t="s">
        <v>5</v>
      </c>
      <c r="H248" s="48" t="s">
        <v>6211</v>
      </c>
      <c r="I248" s="48" t="s">
        <v>6221</v>
      </c>
      <c r="J248" s="48" t="s">
        <v>6137</v>
      </c>
      <c r="K248" s="52" t="b">
        <f>IFS($B248=FALSE,"", countif(VLOOKUP($A248,UASCAN!D:D,1,FALSE),$A248)&gt;=1,TRUE,countif(VLOOKUP($B248,UASCAN!D:D,1,FALSE),$B248)=0,FALSE)</f>
        <v>0</v>
      </c>
      <c r="L248" s="52" t="b">
        <f>IFS(B248=FALSE,"", countif(VLOOKUP($B248,'01112022'!B:B,1,FALSE),$B248)&gt;=1,TRUE,countif(VLOOKUP($B248,'01112022'!B:B,1,FALSE),$B248)=0,FALSE)</f>
        <v>1</v>
      </c>
      <c r="M248" s="52" t="str">
        <f>ifs(AND($K248=FALSE,$L248=TRUE),"",AND($K248=FALSE,L248=FALSE),"",AND($K248=TRUE,$L248=TRUE),VLOOKUP($A248,UASCAN!D:F,3,0), AND($K248=TRUE,$L248=FALSE),VLOOKUP($A248,UASCAN!D:F,3,0))</f>
        <v/>
      </c>
      <c r="N248" s="53" t="str">
        <f t="shared" si="2"/>
        <v> </v>
      </c>
      <c r="O248" s="53" t="str">
        <f t="shared" si="3"/>
        <v/>
      </c>
    </row>
    <row r="249">
      <c r="A249" s="47" t="str">
        <f t="shared" si="1"/>
        <v>1208244572</v>
      </c>
      <c r="B249" s="48">
        <v>12082.0</v>
      </c>
      <c r="C249" s="49">
        <v>0.3333333333333333</v>
      </c>
      <c r="D249" s="48" t="s">
        <v>1266</v>
      </c>
      <c r="E249" s="50">
        <v>22122.0</v>
      </c>
      <c r="F249" s="51">
        <v>44572.0</v>
      </c>
      <c r="G249" s="48" t="s">
        <v>6216</v>
      </c>
      <c r="H249" s="48" t="s">
        <v>6218</v>
      </c>
      <c r="I249" s="48" t="s">
        <v>6222</v>
      </c>
      <c r="J249" s="48" t="s">
        <v>6142</v>
      </c>
      <c r="K249" s="52" t="b">
        <f>IFS($B249=FALSE,"", countif(VLOOKUP($A249,UASCAN!D:D,1,FALSE),$A249)&gt;=1,TRUE,countif(VLOOKUP($B249,UASCAN!D:D,1,FALSE),$B249)=0,FALSE)</f>
        <v>0</v>
      </c>
      <c r="L249" s="52" t="b">
        <f>IFS(B249=FALSE,"", countif(VLOOKUP($B249,'01112022'!B:B,1,FALSE),$B249)&gt;=1,TRUE,countif(VLOOKUP($B249,'01112022'!B:B,1,FALSE),$B249)=0,FALSE)</f>
        <v>1</v>
      </c>
      <c r="M249" s="52" t="str">
        <f>ifs(AND($K249=FALSE,$L249=TRUE),"",AND($K249=FALSE,L249=FALSE),"",AND($K249=TRUE,$L249=TRUE),VLOOKUP($A249,UASCAN!D:F,3,0), AND($K249=TRUE,$L249=FALSE),VLOOKUP($A249,UASCAN!D:F,3,0))</f>
        <v/>
      </c>
      <c r="N249" s="53" t="str">
        <f t="shared" si="2"/>
        <v> </v>
      </c>
      <c r="O249" s="53" t="str">
        <f t="shared" si="3"/>
        <v/>
      </c>
    </row>
    <row r="250">
      <c r="A250" s="47" t="str">
        <f t="shared" si="1"/>
        <v>1101644572</v>
      </c>
      <c r="B250" s="48">
        <v>11016.0</v>
      </c>
      <c r="C250" s="49">
        <v>0.34375</v>
      </c>
      <c r="D250" s="48" t="s">
        <v>768</v>
      </c>
      <c r="E250" s="50">
        <v>23703.0</v>
      </c>
      <c r="F250" s="51">
        <v>44572.0</v>
      </c>
      <c r="G250" s="48" t="s">
        <v>6216</v>
      </c>
      <c r="H250" s="48" t="s">
        <v>6218</v>
      </c>
      <c r="I250" s="48" t="s">
        <v>6222</v>
      </c>
      <c r="J250" s="48" t="s">
        <v>6100</v>
      </c>
      <c r="K250" s="52" t="b">
        <f>IFS($B250=FALSE,"", countif(VLOOKUP($A250,UASCAN!D:D,1,FALSE),$A250)&gt;=1,TRUE,countif(VLOOKUP($B250,UASCAN!D:D,1,FALSE),$B250)=0,FALSE)</f>
        <v>0</v>
      </c>
      <c r="L250" s="52" t="b">
        <f>IFS(B250=FALSE,"", countif(VLOOKUP($B250,'01112022'!B:B,1,FALSE),$B250)&gt;=1,TRUE,countif(VLOOKUP($B250,'01112022'!B:B,1,FALSE),$B250)=0,FALSE)</f>
        <v>1</v>
      </c>
      <c r="M250" s="52" t="str">
        <f>ifs(AND($K250=FALSE,$L250=TRUE),"",AND($K250=FALSE,L250=FALSE),"",AND($K250=TRUE,$L250=TRUE),VLOOKUP($A250,UASCAN!D:F,3,0), AND($K250=TRUE,$L250=FALSE),VLOOKUP($A250,UASCAN!D:F,3,0))</f>
        <v/>
      </c>
      <c r="N250" s="53" t="str">
        <f t="shared" si="2"/>
        <v> </v>
      </c>
      <c r="O250" s="53" t="str">
        <f t="shared" si="3"/>
        <v/>
      </c>
    </row>
    <row r="251">
      <c r="A251" s="47" t="str">
        <f t="shared" si="1"/>
        <v>1578344572</v>
      </c>
      <c r="B251" s="48">
        <v>15783.0</v>
      </c>
      <c r="C251" s="49">
        <v>0.3541666666666667</v>
      </c>
      <c r="D251" s="48" t="s">
        <v>4144</v>
      </c>
      <c r="E251" s="50">
        <v>20965.0</v>
      </c>
      <c r="F251" s="51">
        <v>44572.0</v>
      </c>
      <c r="G251" s="48" t="s">
        <v>6216</v>
      </c>
      <c r="H251" s="48" t="s">
        <v>6218</v>
      </c>
      <c r="I251" s="48" t="s">
        <v>6219</v>
      </c>
      <c r="J251" s="48" t="s">
        <v>6142</v>
      </c>
      <c r="K251" s="52" t="b">
        <f>IFS($B251=FALSE,"", countif(VLOOKUP($A251,UASCAN!D:D,1,FALSE),$A251)&gt;=1,TRUE,countif(VLOOKUP($B251,UASCAN!D:D,1,FALSE),$B251)=0,FALSE)</f>
        <v>0</v>
      </c>
      <c r="L251" s="52" t="b">
        <f>IFS(B251=FALSE,"", countif(VLOOKUP($B251,'01112022'!B:B,1,FALSE),$B251)&gt;=1,TRUE,countif(VLOOKUP($B251,'01112022'!B:B,1,FALSE),$B251)=0,FALSE)</f>
        <v>1</v>
      </c>
      <c r="M251" s="52" t="str">
        <f>ifs(AND($K251=FALSE,$L251=TRUE),"",AND($K251=FALSE,L251=FALSE),"",AND($K251=TRUE,$L251=TRUE),VLOOKUP($A251,UASCAN!D:F,3,0), AND($K251=TRUE,$L251=FALSE),VLOOKUP($A251,UASCAN!D:F,3,0))</f>
        <v/>
      </c>
      <c r="N251" s="53" t="str">
        <f t="shared" si="2"/>
        <v> </v>
      </c>
      <c r="O251" s="53" t="str">
        <f t="shared" si="3"/>
        <v/>
      </c>
    </row>
    <row r="252">
      <c r="A252" s="47" t="str">
        <f t="shared" si="1"/>
        <v>1711944572</v>
      </c>
      <c r="B252" s="48">
        <v>17119.0</v>
      </c>
      <c r="C252" s="49">
        <v>0.3645833333333333</v>
      </c>
      <c r="D252" s="48" t="s">
        <v>5967</v>
      </c>
      <c r="E252" s="50">
        <v>22189.0</v>
      </c>
      <c r="F252" s="51">
        <v>44572.0</v>
      </c>
      <c r="G252" s="48" t="s">
        <v>5</v>
      </c>
      <c r="H252" s="48" t="s">
        <v>6218</v>
      </c>
      <c r="I252" s="48" t="s">
        <v>6222</v>
      </c>
      <c r="J252" s="48" t="s">
        <v>6154</v>
      </c>
      <c r="K252" s="52" t="b">
        <f>IFS($B252=FALSE,"", countif(VLOOKUP($A252,UASCAN!D:D,1,FALSE),$A252)&gt;=1,TRUE,countif(VLOOKUP($B252,UASCAN!D:D,1,FALSE),$B252)=0,FALSE)</f>
        <v>0</v>
      </c>
      <c r="L252" s="52" t="b">
        <f>IFS(B252=FALSE,"", countif(VLOOKUP($B252,'01112022'!B:B,1,FALSE),$B252)&gt;=1,TRUE,countif(VLOOKUP($B252,'01112022'!B:B,1,FALSE),$B252)=0,FALSE)</f>
        <v>1</v>
      </c>
      <c r="M252" s="52" t="str">
        <f>ifs(AND($K252=FALSE,$L252=TRUE),"",AND($K252=FALSE,L252=FALSE),"",AND($K252=TRUE,$L252=TRUE),VLOOKUP($A252,UASCAN!D:F,3,0), AND($K252=TRUE,$L252=FALSE),VLOOKUP($A252,UASCAN!D:F,3,0))</f>
        <v/>
      </c>
      <c r="N252" s="53" t="str">
        <f t="shared" si="2"/>
        <v> </v>
      </c>
      <c r="O252" s="53" t="str">
        <f t="shared" si="3"/>
        <v/>
      </c>
    </row>
    <row r="253">
      <c r="A253" s="47" t="str">
        <f t="shared" si="1"/>
        <v>1514544572</v>
      </c>
      <c r="B253" s="48">
        <v>15145.0</v>
      </c>
      <c r="C253" s="49">
        <v>0.375</v>
      </c>
      <c r="D253" s="48" t="s">
        <v>3595</v>
      </c>
      <c r="E253" s="50">
        <v>18524.0</v>
      </c>
      <c r="F253" s="51">
        <v>44572.0</v>
      </c>
      <c r="G253" s="48" t="s">
        <v>6215</v>
      </c>
      <c r="H253" s="48" t="s">
        <v>6218</v>
      </c>
      <c r="I253" s="48" t="s">
        <v>6222</v>
      </c>
      <c r="J253" s="48" t="s">
        <v>6199</v>
      </c>
      <c r="K253" s="52" t="b">
        <f>IFS($B253=FALSE,"", countif(VLOOKUP($A253,UASCAN!D:D,1,FALSE),$A253)&gt;=1,TRUE,countif(VLOOKUP($B253,UASCAN!D:D,1,FALSE),$B253)=0,FALSE)</f>
        <v>0</v>
      </c>
      <c r="L253" s="52" t="b">
        <f>IFS(B253=FALSE,"", countif(VLOOKUP($B253,'01112022'!B:B,1,FALSE),$B253)&gt;=1,TRUE,countif(VLOOKUP($B253,'01112022'!B:B,1,FALSE),$B253)=0,FALSE)</f>
        <v>1</v>
      </c>
      <c r="M253" s="52" t="str">
        <f>ifs(AND($K253=FALSE,$L253=TRUE),"",AND($K253=FALSE,L253=FALSE),"",AND($K253=TRUE,$L253=TRUE),VLOOKUP($A253,UASCAN!D:F,3,0), AND($K253=TRUE,$L253=FALSE),VLOOKUP($A253,UASCAN!D:F,3,0))</f>
        <v/>
      </c>
      <c r="N253" s="53" t="str">
        <f t="shared" si="2"/>
        <v> </v>
      </c>
      <c r="O253" s="53" t="str">
        <f t="shared" si="3"/>
        <v/>
      </c>
    </row>
    <row r="254">
      <c r="A254" s="47" t="str">
        <f t="shared" si="1"/>
        <v>1384344572</v>
      </c>
      <c r="B254" s="48">
        <v>13843.0</v>
      </c>
      <c r="C254" s="49">
        <v>0.375</v>
      </c>
      <c r="D254" s="48" t="s">
        <v>2550</v>
      </c>
      <c r="E254" s="50">
        <v>22681.0</v>
      </c>
      <c r="F254" s="51">
        <v>44572.0</v>
      </c>
      <c r="G254" s="48" t="s">
        <v>6220</v>
      </c>
      <c r="H254" s="48" t="s">
        <v>6218</v>
      </c>
      <c r="I254" s="48" t="s">
        <v>6222</v>
      </c>
      <c r="J254" s="48" t="s">
        <v>6142</v>
      </c>
      <c r="K254" s="52" t="b">
        <f>IFS($B254=FALSE,"", countif(VLOOKUP($A254,UASCAN!D:D,1,FALSE),$A254)&gt;=1,TRUE,countif(VLOOKUP($B254,UASCAN!D:D,1,FALSE),$B254)=0,FALSE)</f>
        <v>0</v>
      </c>
      <c r="L254" s="52" t="b">
        <f>IFS(B254=FALSE,"", countif(VLOOKUP($B254,'01112022'!B:B,1,FALSE),$B254)&gt;=1,TRUE,countif(VLOOKUP($B254,'01112022'!B:B,1,FALSE),$B254)=0,FALSE)</f>
        <v>1</v>
      </c>
      <c r="M254" s="52" t="str">
        <f>ifs(AND($K254=FALSE,$L254=TRUE),"",AND($K254=FALSE,L254=FALSE),"",AND($K254=TRUE,$L254=TRUE),VLOOKUP($A254,UASCAN!D:F,3,0), AND($K254=TRUE,$L254=FALSE),VLOOKUP($A254,UASCAN!D:F,3,0))</f>
        <v/>
      </c>
      <c r="N254" s="53" t="str">
        <f t="shared" si="2"/>
        <v> </v>
      </c>
      <c r="O254" s="53" t="str">
        <f t="shared" si="3"/>
        <v/>
      </c>
    </row>
    <row r="255">
      <c r="A255" s="47" t="str">
        <f t="shared" si="1"/>
        <v>1634144572</v>
      </c>
      <c r="B255" s="48">
        <v>16341.0</v>
      </c>
      <c r="C255" s="49">
        <v>0.3854166666666667</v>
      </c>
      <c r="D255" s="48" t="s">
        <v>4617</v>
      </c>
      <c r="E255" s="50">
        <v>22969.0</v>
      </c>
      <c r="F255" s="51">
        <v>44572.0</v>
      </c>
      <c r="G255" s="48" t="s">
        <v>6220</v>
      </c>
      <c r="H255" s="48" t="s">
        <v>6211</v>
      </c>
      <c r="I255" s="48" t="s">
        <v>6221</v>
      </c>
      <c r="J255" s="48" t="s">
        <v>6194</v>
      </c>
      <c r="K255" s="52" t="b">
        <f>IFS($B255=FALSE,"", countif(VLOOKUP($A255,UASCAN!D:D,1,FALSE),$A255)&gt;=1,TRUE,countif(VLOOKUP($B255,UASCAN!D:D,1,FALSE),$B255)=0,FALSE)</f>
        <v>0</v>
      </c>
      <c r="L255" s="52" t="b">
        <f>IFS(B255=FALSE,"", countif(VLOOKUP($B255,'01112022'!B:B,1,FALSE),$B255)&gt;=1,TRUE,countif(VLOOKUP($B255,'01112022'!B:B,1,FALSE),$B255)=0,FALSE)</f>
        <v>1</v>
      </c>
      <c r="M255" s="52" t="str">
        <f>ifs(AND($K255=FALSE,$L255=TRUE),"",AND($K255=FALSE,L255=FALSE),"",AND($K255=TRUE,$L255=TRUE),VLOOKUP($A255,UASCAN!D:F,3,0), AND($K255=TRUE,$L255=FALSE),VLOOKUP($A255,UASCAN!D:F,3,0))</f>
        <v/>
      </c>
      <c r="N255" s="53" t="str">
        <f t="shared" si="2"/>
        <v> </v>
      </c>
      <c r="O255" s="53" t="str">
        <f t="shared" si="3"/>
        <v/>
      </c>
    </row>
    <row r="256">
      <c r="A256" s="47" t="str">
        <f t="shared" si="1"/>
        <v>1073244572</v>
      </c>
      <c r="B256" s="48">
        <v>10732.0</v>
      </c>
      <c r="C256" s="49">
        <v>0.40625</v>
      </c>
      <c r="D256" s="48" t="s">
        <v>661</v>
      </c>
      <c r="E256" s="50">
        <v>22198.0</v>
      </c>
      <c r="F256" s="51">
        <v>44572.0</v>
      </c>
      <c r="G256" s="48" t="s">
        <v>5</v>
      </c>
      <c r="H256" s="48" t="s">
        <v>6218</v>
      </c>
      <c r="I256" s="48" t="s">
        <v>6219</v>
      </c>
      <c r="J256" s="48" t="s">
        <v>6091</v>
      </c>
      <c r="K256" s="52" t="b">
        <f>IFS($B256=FALSE,"", countif(VLOOKUP($A256,UASCAN!D:D,1,FALSE),$A256)&gt;=1,TRUE,countif(VLOOKUP($B256,UASCAN!D:D,1,FALSE),$B256)=0,FALSE)</f>
        <v>0</v>
      </c>
      <c r="L256" s="52" t="b">
        <f>IFS(B256=FALSE,"", countif(VLOOKUP($B256,'01112022'!B:B,1,FALSE),$B256)&gt;=1,TRUE,countif(VLOOKUP($B256,'01112022'!B:B,1,FALSE),$B256)=0,FALSE)</f>
        <v>1</v>
      </c>
      <c r="M256" s="52" t="str">
        <f>ifs(AND($K256=FALSE,$L256=TRUE),"",AND($K256=FALSE,L256=FALSE),"",AND($K256=TRUE,$L256=TRUE),VLOOKUP($A256,UASCAN!D:F,3,0), AND($K256=TRUE,$L256=FALSE),VLOOKUP($A256,UASCAN!D:F,3,0))</f>
        <v/>
      </c>
      <c r="N256" s="53" t="str">
        <f t="shared" si="2"/>
        <v> </v>
      </c>
      <c r="O256" s="53" t="str">
        <f t="shared" si="3"/>
        <v/>
      </c>
    </row>
    <row r="257">
      <c r="A257" s="47" t="str">
        <f t="shared" si="1"/>
        <v>977944572</v>
      </c>
      <c r="B257" s="48">
        <v>9779.0</v>
      </c>
      <c r="C257" s="49">
        <v>0.40625</v>
      </c>
      <c r="D257" s="48" t="s">
        <v>287</v>
      </c>
      <c r="E257" s="50">
        <v>22449.0</v>
      </c>
      <c r="F257" s="51">
        <v>44572.0</v>
      </c>
      <c r="G257" s="48" t="s">
        <v>6216</v>
      </c>
      <c r="H257" s="48" t="s">
        <v>6218</v>
      </c>
      <c r="I257" s="48" t="s">
        <v>6219</v>
      </c>
      <c r="J257" s="48" t="s">
        <v>6189</v>
      </c>
      <c r="K257" s="52" t="b">
        <f>IFS($B257=FALSE,"", countif(VLOOKUP($A257,UASCAN!D:D,1,FALSE),$A257)&gt;=1,TRUE,countif(VLOOKUP($B257,UASCAN!D:D,1,FALSE),$B257)=0,FALSE)</f>
        <v>0</v>
      </c>
      <c r="L257" s="52" t="b">
        <f>IFS(B257=FALSE,"", countif(VLOOKUP($B257,'01112022'!B:B,1,FALSE),$B257)&gt;=1,TRUE,countif(VLOOKUP($B257,'01112022'!B:B,1,FALSE),$B257)=0,FALSE)</f>
        <v>1</v>
      </c>
      <c r="M257" s="52" t="str">
        <f>ifs(AND($K257=FALSE,$L257=TRUE),"",AND($K257=FALSE,L257=FALSE),"",AND($K257=TRUE,$L257=TRUE),VLOOKUP($A257,UASCAN!D:F,3,0), AND($K257=TRUE,$L257=FALSE),VLOOKUP($A257,UASCAN!D:F,3,0))</f>
        <v/>
      </c>
      <c r="N257" s="53" t="str">
        <f t="shared" si="2"/>
        <v> </v>
      </c>
      <c r="O257" s="53" t="str">
        <f t="shared" si="3"/>
        <v/>
      </c>
    </row>
    <row r="258">
      <c r="A258" s="47" t="str">
        <f t="shared" si="1"/>
        <v>1076844572</v>
      </c>
      <c r="B258" s="48">
        <v>10768.0</v>
      </c>
      <c r="C258" s="49">
        <v>0.4166666666666667</v>
      </c>
      <c r="D258" s="48" t="s">
        <v>680</v>
      </c>
      <c r="E258" s="50">
        <v>19517.0</v>
      </c>
      <c r="F258" s="51">
        <v>44572.0</v>
      </c>
      <c r="G258" s="48" t="s">
        <v>6215</v>
      </c>
      <c r="H258" s="48" t="s">
        <v>6218</v>
      </c>
      <c r="I258" s="48" t="s">
        <v>6219</v>
      </c>
      <c r="J258" s="48" t="s">
        <v>6117</v>
      </c>
      <c r="K258" s="52" t="b">
        <f>IFS($B258=FALSE,"", countif(VLOOKUP($A258,UASCAN!D:D,1,FALSE),$A258)&gt;=1,TRUE,countif(VLOOKUP($B258,UASCAN!D:D,1,FALSE),$B258)=0,FALSE)</f>
        <v>0</v>
      </c>
      <c r="L258" s="52" t="b">
        <f>IFS(B258=FALSE,"", countif(VLOOKUP($B258,'01112022'!B:B,1,FALSE),$B258)&gt;=1,TRUE,countif(VLOOKUP($B258,'01112022'!B:B,1,FALSE),$B258)=0,FALSE)</f>
        <v>1</v>
      </c>
      <c r="M258" s="52" t="str">
        <f>ifs(AND($K258=FALSE,$L258=TRUE),"",AND($K258=FALSE,L258=FALSE),"",AND($K258=TRUE,$L258=TRUE),VLOOKUP($A258,UASCAN!D:F,3,0), AND($K258=TRUE,$L258=FALSE),VLOOKUP($A258,UASCAN!D:F,3,0))</f>
        <v/>
      </c>
      <c r="N258" s="53" t="str">
        <f t="shared" si="2"/>
        <v> </v>
      </c>
      <c r="O258" s="53" t="str">
        <f t="shared" si="3"/>
        <v/>
      </c>
    </row>
    <row r="259">
      <c r="A259" s="47" t="str">
        <f t="shared" si="1"/>
        <v>1368044572</v>
      </c>
      <c r="B259" s="48">
        <v>13680.0</v>
      </c>
      <c r="C259" s="49">
        <v>0.4375</v>
      </c>
      <c r="D259" s="48" t="s">
        <v>2424</v>
      </c>
      <c r="E259" s="50">
        <v>26459.0</v>
      </c>
      <c r="F259" s="51">
        <v>44572.0</v>
      </c>
      <c r="G259" s="48" t="s">
        <v>5</v>
      </c>
      <c r="H259" s="48" t="s">
        <v>6218</v>
      </c>
      <c r="I259" s="48" t="s">
        <v>6219</v>
      </c>
      <c r="J259" s="48" t="s">
        <v>6199</v>
      </c>
      <c r="K259" s="52" t="b">
        <f>IFS($B259=FALSE,"", countif(VLOOKUP($A259,UASCAN!D:D,1,FALSE),$A259)&gt;=1,TRUE,countif(VLOOKUP($B259,UASCAN!D:D,1,FALSE),$B259)=0,FALSE)</f>
        <v>0</v>
      </c>
      <c r="L259" s="52" t="b">
        <f>IFS(B259=FALSE,"", countif(VLOOKUP($B259,'01112022'!B:B,1,FALSE),$B259)&gt;=1,TRUE,countif(VLOOKUP($B259,'01112022'!B:B,1,FALSE),$B259)=0,FALSE)</f>
        <v>1</v>
      </c>
      <c r="M259" s="52" t="str">
        <f>ifs(AND($K259=FALSE,$L259=TRUE),"",AND($K259=FALSE,L259=FALSE),"",AND($K259=TRUE,$L259=TRUE),VLOOKUP($A259,UASCAN!D:F,3,0), AND($K259=TRUE,$L259=FALSE),VLOOKUP($A259,UASCAN!D:F,3,0))</f>
        <v/>
      </c>
      <c r="N259" s="53" t="str">
        <f t="shared" si="2"/>
        <v> </v>
      </c>
      <c r="O259" s="53" t="str">
        <f t="shared" si="3"/>
        <v/>
      </c>
    </row>
    <row r="260">
      <c r="A260" s="47" t="str">
        <f t="shared" si="1"/>
        <v>1610644572</v>
      </c>
      <c r="B260" s="48">
        <v>16106.0</v>
      </c>
      <c r="C260" s="49">
        <v>0.4375</v>
      </c>
      <c r="D260" s="48" t="s">
        <v>4429</v>
      </c>
      <c r="E260" s="50">
        <v>23484.0</v>
      </c>
      <c r="F260" s="51">
        <v>44572.0</v>
      </c>
      <c r="G260" s="48" t="s">
        <v>5</v>
      </c>
      <c r="H260" s="48" t="s">
        <v>6218</v>
      </c>
      <c r="I260" s="48" t="s">
        <v>6222</v>
      </c>
      <c r="J260" s="48" t="s">
        <v>6137</v>
      </c>
      <c r="K260" s="52" t="b">
        <f>IFS($B260=FALSE,"", countif(VLOOKUP($A260,UASCAN!D:D,1,FALSE),$A260)&gt;=1,TRUE,countif(VLOOKUP($B260,UASCAN!D:D,1,FALSE),$B260)=0,FALSE)</f>
        <v>0</v>
      </c>
      <c r="L260" s="52" t="b">
        <f>IFS(B260=FALSE,"", countif(VLOOKUP($B260,'01112022'!B:B,1,FALSE),$B260)&gt;=1,TRUE,countif(VLOOKUP($B260,'01112022'!B:B,1,FALSE),$B260)=0,FALSE)</f>
        <v>1</v>
      </c>
      <c r="M260" s="52" t="str">
        <f>ifs(AND($K260=FALSE,$L260=TRUE),"",AND($K260=FALSE,L260=FALSE),"",AND($K260=TRUE,$L260=TRUE),VLOOKUP($A260,UASCAN!D:F,3,0), AND($K260=TRUE,$L260=FALSE),VLOOKUP($A260,UASCAN!D:F,3,0))</f>
        <v/>
      </c>
      <c r="N260" s="53" t="str">
        <f t="shared" si="2"/>
        <v> </v>
      </c>
      <c r="O260" s="53" t="str">
        <f t="shared" si="3"/>
        <v/>
      </c>
    </row>
    <row r="261">
      <c r="A261" s="47" t="str">
        <f t="shared" si="1"/>
        <v>1553644572</v>
      </c>
      <c r="B261" s="48">
        <v>15536.0</v>
      </c>
      <c r="C261" s="49">
        <v>0.4479166666666667</v>
      </c>
      <c r="D261" s="48" t="s">
        <v>3921</v>
      </c>
      <c r="E261" s="50">
        <v>21822.0</v>
      </c>
      <c r="F261" s="51">
        <v>44572.0</v>
      </c>
      <c r="G261" s="48" t="s">
        <v>6220</v>
      </c>
      <c r="H261" s="48" t="s">
        <v>6218</v>
      </c>
      <c r="I261" s="48" t="s">
        <v>6219</v>
      </c>
      <c r="J261" s="48" t="s">
        <v>6192</v>
      </c>
      <c r="K261" s="52" t="b">
        <f>IFS($B261=FALSE,"", countif(VLOOKUP($A261,UASCAN!D:D,1,FALSE),$A261)&gt;=1,TRUE,countif(VLOOKUP($B261,UASCAN!D:D,1,FALSE),$B261)=0,FALSE)</f>
        <v>0</v>
      </c>
      <c r="L261" s="52" t="b">
        <f>IFS(B261=FALSE,"", countif(VLOOKUP($B261,'01112022'!B:B,1,FALSE),$B261)&gt;=1,TRUE,countif(VLOOKUP($B261,'01112022'!B:B,1,FALSE),$B261)=0,FALSE)</f>
        <v>1</v>
      </c>
      <c r="M261" s="52" t="str">
        <f>ifs(AND($K261=FALSE,$L261=TRUE),"",AND($K261=FALSE,L261=FALSE),"",AND($K261=TRUE,$L261=TRUE),VLOOKUP($A261,UASCAN!D:F,3,0), AND($K261=TRUE,$L261=FALSE),VLOOKUP($A261,UASCAN!D:F,3,0))</f>
        <v/>
      </c>
      <c r="N261" s="53" t="str">
        <f t="shared" si="2"/>
        <v> </v>
      </c>
      <c r="O261" s="53" t="str">
        <f t="shared" si="3"/>
        <v/>
      </c>
    </row>
    <row r="262">
      <c r="A262" s="47" t="str">
        <f t="shared" si="1"/>
        <v>1485044572</v>
      </c>
      <c r="B262" s="48">
        <v>14850.0</v>
      </c>
      <c r="C262" s="49">
        <v>0.46875</v>
      </c>
      <c r="D262" s="48" t="s">
        <v>3352</v>
      </c>
      <c r="E262" s="50">
        <v>19056.0</v>
      </c>
      <c r="F262" s="51">
        <v>44572.0</v>
      </c>
      <c r="G262" s="48" t="s">
        <v>6220</v>
      </c>
      <c r="H262" s="48" t="s">
        <v>6218</v>
      </c>
      <c r="I262" s="48" t="s">
        <v>6222</v>
      </c>
      <c r="J262" s="48" t="s">
        <v>6194</v>
      </c>
      <c r="K262" s="52" t="b">
        <f>IFS($B262=FALSE,"", countif(VLOOKUP($A262,UASCAN!D:D,1,FALSE),$A262)&gt;=1,TRUE,countif(VLOOKUP($B262,UASCAN!D:D,1,FALSE),$B262)=0,FALSE)</f>
        <v>0</v>
      </c>
      <c r="L262" s="52" t="b">
        <f>IFS(B262=FALSE,"", countif(VLOOKUP($B262,'01112022'!B:B,1,FALSE),$B262)&gt;=1,TRUE,countif(VLOOKUP($B262,'01112022'!B:B,1,FALSE),$B262)=0,FALSE)</f>
        <v>1</v>
      </c>
      <c r="M262" s="52" t="str">
        <f>ifs(AND($K262=FALSE,$L262=TRUE),"",AND($K262=FALSE,L262=FALSE),"",AND($K262=TRUE,$L262=TRUE),VLOOKUP($A262,UASCAN!D:F,3,0), AND($K262=TRUE,$L262=FALSE),VLOOKUP($A262,UASCAN!D:F,3,0))</f>
        <v/>
      </c>
      <c r="N262" s="53" t="str">
        <f t="shared" si="2"/>
        <v> </v>
      </c>
      <c r="O262" s="53" t="str">
        <f t="shared" si="3"/>
        <v/>
      </c>
    </row>
    <row r="263">
      <c r="A263" s="47" t="str">
        <f t="shared" si="1"/>
        <v>1571644572</v>
      </c>
      <c r="B263" s="48">
        <v>15716.0</v>
      </c>
      <c r="C263" s="49">
        <v>0.5416666666666666</v>
      </c>
      <c r="D263" s="48" t="s">
        <v>4084</v>
      </c>
      <c r="E263" s="50">
        <v>22638.0</v>
      </c>
      <c r="F263" s="51">
        <v>44572.0</v>
      </c>
      <c r="G263" s="48" t="s">
        <v>5</v>
      </c>
      <c r="H263" s="48" t="s">
        <v>6218</v>
      </c>
      <c r="I263" s="48" t="s">
        <v>6219</v>
      </c>
      <c r="J263" s="48" t="s">
        <v>6199</v>
      </c>
      <c r="K263" s="52" t="b">
        <f>IFS($B263=FALSE,"", countif(VLOOKUP($A263,UASCAN!D:D,1,FALSE),$A263)&gt;=1,TRUE,countif(VLOOKUP($B263,UASCAN!D:D,1,FALSE),$B263)=0,FALSE)</f>
        <v>0</v>
      </c>
      <c r="L263" s="52" t="b">
        <f>IFS(B263=FALSE,"", countif(VLOOKUP($B263,'01112022'!B:B,1,FALSE),$B263)&gt;=1,TRUE,countif(VLOOKUP($B263,'01112022'!B:B,1,FALSE),$B263)=0,FALSE)</f>
        <v>1</v>
      </c>
      <c r="M263" s="52" t="str">
        <f>ifs(AND($K263=FALSE,$L263=TRUE),"",AND($K263=FALSE,L263=FALSE),"",AND($K263=TRUE,$L263=TRUE),VLOOKUP($A263,UASCAN!D:F,3,0), AND($K263=TRUE,$L263=FALSE),VLOOKUP($A263,UASCAN!D:F,3,0))</f>
        <v/>
      </c>
      <c r="N263" s="53" t="str">
        <f t="shared" si="2"/>
        <v> </v>
      </c>
      <c r="O263" s="53" t="str">
        <f t="shared" si="3"/>
        <v/>
      </c>
    </row>
    <row r="264">
      <c r="A264" s="47" t="str">
        <f t="shared" si="1"/>
        <v>1468244572</v>
      </c>
      <c r="B264" s="48">
        <v>14682.0</v>
      </c>
      <c r="C264" s="49">
        <v>0.5416666666666666</v>
      </c>
      <c r="D264" s="48" t="s">
        <v>3209</v>
      </c>
      <c r="E264" s="50">
        <v>33997.0</v>
      </c>
      <c r="F264" s="51">
        <v>44572.0</v>
      </c>
      <c r="G264" s="48" t="s">
        <v>6215</v>
      </c>
      <c r="H264" s="48" t="s">
        <v>6218</v>
      </c>
      <c r="I264" s="48" t="s">
        <v>6222</v>
      </c>
      <c r="J264" s="48" t="s">
        <v>6137</v>
      </c>
      <c r="K264" s="52" t="b">
        <f>IFS($B264=FALSE,"", countif(VLOOKUP($A264,UASCAN!D:D,1,FALSE),$A264)&gt;=1,TRUE,countif(VLOOKUP($B264,UASCAN!D:D,1,FALSE),$B264)=0,FALSE)</f>
        <v>0</v>
      </c>
      <c r="L264" s="52" t="b">
        <f>IFS(B264=FALSE,"", countif(VLOOKUP($B264,'01112022'!B:B,1,FALSE),$B264)&gt;=1,TRUE,countif(VLOOKUP($B264,'01112022'!B:B,1,FALSE),$B264)=0,FALSE)</f>
        <v>1</v>
      </c>
      <c r="M264" s="52" t="str">
        <f>ifs(AND($K264=FALSE,$L264=TRUE),"",AND($K264=FALSE,L264=FALSE),"",AND($K264=TRUE,$L264=TRUE),VLOOKUP($A264,UASCAN!D:F,3,0), AND($K264=TRUE,$L264=FALSE),VLOOKUP($A264,UASCAN!D:F,3,0))</f>
        <v/>
      </c>
      <c r="N264" s="53" t="str">
        <f t="shared" si="2"/>
        <v> </v>
      </c>
      <c r="O264" s="53" t="str">
        <f t="shared" si="3"/>
        <v/>
      </c>
    </row>
    <row r="265">
      <c r="A265" s="47" t="str">
        <f t="shared" si="1"/>
        <v>1042944572</v>
      </c>
      <c r="B265" s="48">
        <v>10429.0</v>
      </c>
      <c r="C265" s="49">
        <v>0.5520833333333334</v>
      </c>
      <c r="D265" s="48" t="s">
        <v>544</v>
      </c>
      <c r="E265" s="50">
        <v>16572.0</v>
      </c>
      <c r="F265" s="51">
        <v>44572.0</v>
      </c>
      <c r="G265" s="48" t="s">
        <v>6216</v>
      </c>
      <c r="H265" s="48" t="s">
        <v>6211</v>
      </c>
      <c r="I265" s="48" t="s">
        <v>6221</v>
      </c>
      <c r="J265" s="48" t="s">
        <v>6196</v>
      </c>
      <c r="K265" s="52" t="b">
        <f>IFS($B265=FALSE,"", countif(VLOOKUP($A265,UASCAN!D:D,1,FALSE),$A265)&gt;=1,TRUE,countif(VLOOKUP($B265,UASCAN!D:D,1,FALSE),$B265)=0,FALSE)</f>
        <v>0</v>
      </c>
      <c r="L265" s="52" t="b">
        <f>IFS(B265=FALSE,"", countif(VLOOKUP($B265,'01112022'!B:B,1,FALSE),$B265)&gt;=1,TRUE,countif(VLOOKUP($B265,'01112022'!B:B,1,FALSE),$B265)=0,FALSE)</f>
        <v>1</v>
      </c>
      <c r="M265" s="52" t="str">
        <f>ifs(AND($K265=FALSE,$L265=TRUE),"",AND($K265=FALSE,L265=FALSE),"",AND($K265=TRUE,$L265=TRUE),VLOOKUP($A265,UASCAN!D:F,3,0), AND($K265=TRUE,$L265=FALSE),VLOOKUP($A265,UASCAN!D:F,3,0))</f>
        <v/>
      </c>
      <c r="N265" s="53" t="str">
        <f t="shared" si="2"/>
        <v> </v>
      </c>
      <c r="O265" s="53" t="str">
        <f t="shared" si="3"/>
        <v/>
      </c>
    </row>
    <row r="266">
      <c r="A266" s="47" t="str">
        <f t="shared" si="1"/>
        <v>1560344572</v>
      </c>
      <c r="B266" s="48">
        <v>15603.0</v>
      </c>
      <c r="C266" s="49">
        <v>0.5520833333333334</v>
      </c>
      <c r="D266" s="48" t="s">
        <v>3980</v>
      </c>
      <c r="E266" s="50">
        <v>21691.0</v>
      </c>
      <c r="F266" s="51">
        <v>44572.0</v>
      </c>
      <c r="G266" s="48" t="s">
        <v>5</v>
      </c>
      <c r="H266" s="48" t="s">
        <v>6218</v>
      </c>
      <c r="I266" s="48" t="s">
        <v>6222</v>
      </c>
      <c r="J266" s="48" t="s">
        <v>6159</v>
      </c>
      <c r="K266" s="52" t="b">
        <f>IFS($B266=FALSE,"", countif(VLOOKUP($A266,UASCAN!D:D,1,FALSE),$A266)&gt;=1,TRUE,countif(VLOOKUP($B266,UASCAN!D:D,1,FALSE),$B266)=0,FALSE)</f>
        <v>0</v>
      </c>
      <c r="L266" s="52" t="b">
        <f>IFS(B266=FALSE,"", countif(VLOOKUP($B266,'01112022'!B:B,1,FALSE),$B266)&gt;=1,TRUE,countif(VLOOKUP($B266,'01112022'!B:B,1,FALSE),$B266)=0,FALSE)</f>
        <v>1</v>
      </c>
      <c r="M266" s="52" t="str">
        <f>ifs(AND($K266=FALSE,$L266=TRUE),"",AND($K266=FALSE,L266=FALSE),"",AND($K266=TRUE,$L266=TRUE),VLOOKUP($A266,UASCAN!D:F,3,0), AND($K266=TRUE,$L266=FALSE),VLOOKUP($A266,UASCAN!D:F,3,0))</f>
        <v/>
      </c>
      <c r="N266" s="53" t="str">
        <f t="shared" si="2"/>
        <v> </v>
      </c>
      <c r="O266" s="53" t="str">
        <f t="shared" si="3"/>
        <v/>
      </c>
    </row>
    <row r="267">
      <c r="A267" s="47" t="str">
        <f t="shared" si="1"/>
        <v>1388544572</v>
      </c>
      <c r="B267" s="48">
        <v>13885.0</v>
      </c>
      <c r="C267" s="49">
        <v>0.5625</v>
      </c>
      <c r="D267" s="48" t="s">
        <v>2582</v>
      </c>
      <c r="E267" s="50">
        <v>22542.0</v>
      </c>
      <c r="F267" s="51">
        <v>44572.0</v>
      </c>
      <c r="G267" s="48" t="s">
        <v>5</v>
      </c>
      <c r="H267" s="48" t="s">
        <v>6218</v>
      </c>
      <c r="I267" s="48" t="s">
        <v>6219</v>
      </c>
      <c r="J267" s="48" t="s">
        <v>6089</v>
      </c>
      <c r="K267" s="52" t="b">
        <f>IFS($B267=FALSE,"", countif(VLOOKUP($A267,UASCAN!D:D,1,FALSE),$A267)&gt;=1,TRUE,countif(VLOOKUP($B267,UASCAN!D:D,1,FALSE),$B267)=0,FALSE)</f>
        <v>0</v>
      </c>
      <c r="L267" s="52" t="b">
        <f>IFS(B267=FALSE,"", countif(VLOOKUP($B267,'01112022'!B:B,1,FALSE),$B267)&gt;=1,TRUE,countif(VLOOKUP($B267,'01112022'!B:B,1,FALSE),$B267)=0,FALSE)</f>
        <v>1</v>
      </c>
      <c r="M267" s="52" t="str">
        <f>ifs(AND($K267=FALSE,$L267=TRUE),"",AND($K267=FALSE,L267=FALSE),"",AND($K267=TRUE,$L267=TRUE),VLOOKUP($A267,UASCAN!D:F,3,0), AND($K267=TRUE,$L267=FALSE),VLOOKUP($A267,UASCAN!D:F,3,0))</f>
        <v/>
      </c>
      <c r="N267" s="53" t="str">
        <f t="shared" si="2"/>
        <v> </v>
      </c>
      <c r="O267" s="53" t="str">
        <f t="shared" si="3"/>
        <v/>
      </c>
    </row>
    <row r="268">
      <c r="A268" s="47" t="str">
        <f t="shared" si="1"/>
        <v>1343244572</v>
      </c>
      <c r="B268" s="48">
        <v>13432.0</v>
      </c>
      <c r="C268" s="49">
        <v>0.5729166666666666</v>
      </c>
      <c r="D268" s="48" t="s">
        <v>2222</v>
      </c>
      <c r="E268" s="50">
        <v>26678.0</v>
      </c>
      <c r="F268" s="51">
        <v>44572.0</v>
      </c>
      <c r="G268" s="48" t="s">
        <v>6215</v>
      </c>
      <c r="H268" s="48" t="s">
        <v>6218</v>
      </c>
      <c r="I268" s="48" t="s">
        <v>6219</v>
      </c>
      <c r="J268" s="48" t="s">
        <v>6146</v>
      </c>
      <c r="K268" s="52" t="b">
        <f>IFS($B268=FALSE,"", countif(VLOOKUP($A268,UASCAN!D:D,1,FALSE),$A268)&gt;=1,TRUE,countif(VLOOKUP($B268,UASCAN!D:D,1,FALSE),$B268)=0,FALSE)</f>
        <v>0</v>
      </c>
      <c r="L268" s="52" t="b">
        <f>IFS(B268=FALSE,"", countif(VLOOKUP($B268,'01112022'!B:B,1,FALSE),$B268)&gt;=1,TRUE,countif(VLOOKUP($B268,'01112022'!B:B,1,FALSE),$B268)=0,FALSE)</f>
        <v>1</v>
      </c>
      <c r="M268" s="52" t="str">
        <f>ifs(AND($K268=FALSE,$L268=TRUE),"",AND($K268=FALSE,L268=FALSE),"",AND($K268=TRUE,$L268=TRUE),VLOOKUP($A268,UASCAN!D:F,3,0), AND($K268=TRUE,$L268=FALSE),VLOOKUP($A268,UASCAN!D:F,3,0))</f>
        <v/>
      </c>
      <c r="N268" s="53" t="str">
        <f t="shared" si="2"/>
        <v> </v>
      </c>
      <c r="O268" s="53" t="str">
        <f t="shared" si="3"/>
        <v/>
      </c>
    </row>
    <row r="269">
      <c r="A269" s="47" t="str">
        <f t="shared" si="1"/>
        <v>1683444572</v>
      </c>
      <c r="B269" s="48">
        <v>16834.0</v>
      </c>
      <c r="C269" s="49">
        <v>0.5833333333333334</v>
      </c>
      <c r="D269" s="48" t="s">
        <v>4998</v>
      </c>
      <c r="E269" s="50">
        <v>19637.0</v>
      </c>
      <c r="F269" s="51">
        <v>44572.0</v>
      </c>
      <c r="G269" s="48" t="s">
        <v>6216</v>
      </c>
      <c r="H269" s="48" t="s">
        <v>6211</v>
      </c>
      <c r="I269" s="48" t="s">
        <v>6221</v>
      </c>
      <c r="J269" s="48" t="s">
        <v>6194</v>
      </c>
      <c r="K269" s="52" t="b">
        <f>IFS($B269=FALSE,"", countif(VLOOKUP($A269,UASCAN!D:D,1,FALSE),$A269)&gt;=1,TRUE,countif(VLOOKUP($B269,UASCAN!D:D,1,FALSE),$B269)=0,FALSE)</f>
        <v>0</v>
      </c>
      <c r="L269" s="52" t="b">
        <f>IFS(B269=FALSE,"", countif(VLOOKUP($B269,'01112022'!B:B,1,FALSE),$B269)&gt;=1,TRUE,countif(VLOOKUP($B269,'01112022'!B:B,1,FALSE),$B269)=0,FALSE)</f>
        <v>1</v>
      </c>
      <c r="M269" s="52" t="str">
        <f>ifs(AND($K269=FALSE,$L269=TRUE),"",AND($K269=FALSE,L269=FALSE),"",AND($K269=TRUE,$L269=TRUE),VLOOKUP($A269,UASCAN!D:F,3,0), AND($K269=TRUE,$L269=FALSE),VLOOKUP($A269,UASCAN!D:F,3,0))</f>
        <v/>
      </c>
      <c r="N269" s="53" t="str">
        <f t="shared" si="2"/>
        <v> </v>
      </c>
      <c r="O269" s="53" t="str">
        <f t="shared" si="3"/>
        <v/>
      </c>
    </row>
    <row r="270">
      <c r="A270" s="47" t="str">
        <f t="shared" si="1"/>
        <v>1124244572</v>
      </c>
      <c r="B270" s="48">
        <v>11242.0</v>
      </c>
      <c r="C270" s="49">
        <v>0.59375</v>
      </c>
      <c r="D270" s="48" t="s">
        <v>876</v>
      </c>
      <c r="E270" s="50">
        <v>24788.0</v>
      </c>
      <c r="F270" s="51">
        <v>44572.0</v>
      </c>
      <c r="G270" s="48" t="s">
        <v>6224</v>
      </c>
      <c r="H270" s="48" t="s">
        <v>6211</v>
      </c>
      <c r="I270" s="48" t="s">
        <v>6221</v>
      </c>
      <c r="J270" s="48" t="s">
        <v>6137</v>
      </c>
      <c r="K270" s="52" t="b">
        <f>IFS($B270=FALSE,"", countif(VLOOKUP($A270,UASCAN!D:D,1,FALSE),$A270)&gt;=1,TRUE,countif(VLOOKUP($B270,UASCAN!D:D,1,FALSE),$B270)=0,FALSE)</f>
        <v>0</v>
      </c>
      <c r="L270" s="52" t="b">
        <f>IFS(B270=FALSE,"", countif(VLOOKUP($B270,'01112022'!B:B,1,FALSE),$B270)&gt;=1,TRUE,countif(VLOOKUP($B270,'01112022'!B:B,1,FALSE),$B270)=0,FALSE)</f>
        <v>1</v>
      </c>
      <c r="M270" s="52" t="str">
        <f>ifs(AND($K270=FALSE,$L270=TRUE),"",AND($K270=FALSE,L270=FALSE),"",AND($K270=TRUE,$L270=TRUE),VLOOKUP($A270,UASCAN!D:F,3,0), AND($K270=TRUE,$L270=FALSE),VLOOKUP($A270,UASCAN!D:F,3,0))</f>
        <v/>
      </c>
      <c r="N270" s="53" t="str">
        <f t="shared" si="2"/>
        <v> </v>
      </c>
      <c r="O270" s="53" t="str">
        <f t="shared" si="3"/>
        <v/>
      </c>
    </row>
    <row r="271">
      <c r="A271" s="47" t="str">
        <f t="shared" si="1"/>
        <v>1617644572</v>
      </c>
      <c r="B271" s="48">
        <v>16176.0</v>
      </c>
      <c r="C271" s="49">
        <v>0.6041666666666666</v>
      </c>
      <c r="D271" s="48" t="s">
        <v>4489</v>
      </c>
      <c r="E271" s="50">
        <v>24766.0</v>
      </c>
      <c r="F271" s="51">
        <v>44572.0</v>
      </c>
      <c r="G271" s="48" t="s">
        <v>6215</v>
      </c>
      <c r="H271" s="48" t="s">
        <v>6218</v>
      </c>
      <c r="I271" s="48" t="s">
        <v>6219</v>
      </c>
      <c r="J271" s="48" t="s">
        <v>6091</v>
      </c>
      <c r="K271" s="52" t="b">
        <f>IFS($B271=FALSE,"", countif(VLOOKUP($A271,UASCAN!D:D,1,FALSE),$A271)&gt;=1,TRUE,countif(VLOOKUP($B271,UASCAN!D:D,1,FALSE),$B271)=0,FALSE)</f>
        <v>0</v>
      </c>
      <c r="L271" s="52" t="b">
        <f>IFS(B271=FALSE,"", countif(VLOOKUP($B271,'01112022'!B:B,1,FALSE),$B271)&gt;=1,TRUE,countif(VLOOKUP($B271,'01112022'!B:B,1,FALSE),$B271)=0,FALSE)</f>
        <v>1</v>
      </c>
      <c r="M271" s="52" t="str">
        <f>ifs(AND($K271=FALSE,$L271=TRUE),"",AND($K271=FALSE,L271=FALSE),"",AND($K271=TRUE,$L271=TRUE),VLOOKUP($A271,UASCAN!D:F,3,0), AND($K271=TRUE,$L271=FALSE),VLOOKUP($A271,UASCAN!D:F,3,0))</f>
        <v/>
      </c>
      <c r="N271" s="53" t="str">
        <f t="shared" si="2"/>
        <v> </v>
      </c>
      <c r="O271" s="53" t="str">
        <f t="shared" si="3"/>
        <v/>
      </c>
    </row>
    <row r="272">
      <c r="A272" s="47" t="str">
        <f t="shared" si="1"/>
        <v>1123444572</v>
      </c>
      <c r="B272" s="48">
        <v>11234.0</v>
      </c>
      <c r="C272" s="49">
        <v>0.625</v>
      </c>
      <c r="D272" s="48" t="s">
        <v>873</v>
      </c>
      <c r="E272" s="50">
        <v>26498.0</v>
      </c>
      <c r="F272" s="51">
        <v>44572.0</v>
      </c>
      <c r="G272" s="48" t="s">
        <v>6224</v>
      </c>
      <c r="H272" s="48" t="s">
        <v>6218</v>
      </c>
      <c r="I272" s="48" t="s">
        <v>6219</v>
      </c>
      <c r="J272" s="48" t="s">
        <v>6137</v>
      </c>
      <c r="K272" s="52" t="b">
        <f>IFS($B272=FALSE,"", countif(VLOOKUP($A272,UASCAN!D:D,1,FALSE),$A272)&gt;=1,TRUE,countif(VLOOKUP($B272,UASCAN!D:D,1,FALSE),$B272)=0,FALSE)</f>
        <v>0</v>
      </c>
      <c r="L272" s="52" t="b">
        <f>IFS(B272=FALSE,"", countif(VLOOKUP($B272,'01112022'!B:B,1,FALSE),$B272)&gt;=1,TRUE,countif(VLOOKUP($B272,'01112022'!B:B,1,FALSE),$B272)=0,FALSE)</f>
        <v>1</v>
      </c>
      <c r="M272" s="52" t="str">
        <f>ifs(AND($K272=FALSE,$L272=TRUE),"",AND($K272=FALSE,L272=FALSE),"",AND($K272=TRUE,$L272=TRUE),VLOOKUP($A272,UASCAN!D:F,3,0), AND($K272=TRUE,$L272=FALSE),VLOOKUP($A272,UASCAN!D:F,3,0))</f>
        <v/>
      </c>
      <c r="N272" s="53" t="str">
        <f t="shared" si="2"/>
        <v> </v>
      </c>
      <c r="O272" s="53" t="str">
        <f t="shared" si="3"/>
        <v/>
      </c>
    </row>
    <row r="273">
      <c r="A273" s="47" t="str">
        <f t="shared" si="1"/>
        <v>1448344572</v>
      </c>
      <c r="B273" s="48">
        <v>14483.0</v>
      </c>
      <c r="C273" s="49">
        <v>0.6354166666666666</v>
      </c>
      <c r="D273" s="48" t="s">
        <v>3039</v>
      </c>
      <c r="E273" s="50">
        <v>22579.0</v>
      </c>
      <c r="F273" s="51">
        <v>44572.0</v>
      </c>
      <c r="G273" s="48" t="s">
        <v>6216</v>
      </c>
      <c r="H273" s="48" t="s">
        <v>6211</v>
      </c>
      <c r="I273" s="48" t="s">
        <v>6219</v>
      </c>
      <c r="J273" s="48" t="s">
        <v>6196</v>
      </c>
      <c r="K273" s="52" t="b">
        <f>IFS($B273=FALSE,"", countif(VLOOKUP($A273,UASCAN!D:D,1,FALSE),$A273)&gt;=1,TRUE,countif(VLOOKUP($B273,UASCAN!D:D,1,FALSE),$B273)=0,FALSE)</f>
        <v>0</v>
      </c>
      <c r="L273" s="52" t="b">
        <f>IFS(B273=FALSE,"", countif(VLOOKUP($B273,'01112022'!B:B,1,FALSE),$B273)&gt;=1,TRUE,countif(VLOOKUP($B273,'01112022'!B:B,1,FALSE),$B273)=0,FALSE)</f>
        <v>1</v>
      </c>
      <c r="M273" s="52" t="str">
        <f>ifs(AND($K273=FALSE,$L273=TRUE),"",AND($K273=FALSE,L273=FALSE),"",AND($K273=TRUE,$L273=TRUE),VLOOKUP($A273,UASCAN!D:F,3,0), AND($K273=TRUE,$L273=FALSE),VLOOKUP($A273,UASCAN!D:F,3,0))</f>
        <v/>
      </c>
      <c r="N273" s="53" t="str">
        <f t="shared" si="2"/>
        <v> </v>
      </c>
      <c r="O273" s="53" t="str">
        <f t="shared" si="3"/>
        <v/>
      </c>
    </row>
    <row r="274">
      <c r="A274" s="47" t="str">
        <f t="shared" si="1"/>
        <v>1378644572</v>
      </c>
      <c r="B274" s="48">
        <v>13786.0</v>
      </c>
      <c r="C274" s="49">
        <v>0.6354166666666666</v>
      </c>
      <c r="D274" s="48" t="s">
        <v>2510</v>
      </c>
      <c r="E274" s="50">
        <v>17563.0</v>
      </c>
      <c r="F274" s="51">
        <v>44572.0</v>
      </c>
      <c r="G274" s="48" t="s">
        <v>6216</v>
      </c>
      <c r="H274" s="48" t="s">
        <v>6218</v>
      </c>
      <c r="I274" s="48" t="s">
        <v>6219</v>
      </c>
      <c r="J274" s="48" t="s">
        <v>6193</v>
      </c>
      <c r="K274" s="52" t="b">
        <f>IFS($B274=FALSE,"", countif(VLOOKUP($A274,UASCAN!D:D,1,FALSE),$A274)&gt;=1,TRUE,countif(VLOOKUP($B274,UASCAN!D:D,1,FALSE),$B274)=0,FALSE)</f>
        <v>0</v>
      </c>
      <c r="L274" s="52" t="b">
        <f>IFS(B274=FALSE,"", countif(VLOOKUP($B274,'01112022'!B:B,1,FALSE),$B274)&gt;=1,TRUE,countif(VLOOKUP($B274,'01112022'!B:B,1,FALSE),$B274)=0,FALSE)</f>
        <v>1</v>
      </c>
      <c r="M274" s="52" t="str">
        <f>ifs(AND($K274=FALSE,$L274=TRUE),"",AND($K274=FALSE,L274=FALSE),"",AND($K274=TRUE,$L274=TRUE),VLOOKUP($A274,UASCAN!D:F,3,0), AND($K274=TRUE,$L274=FALSE),VLOOKUP($A274,UASCAN!D:F,3,0))</f>
        <v/>
      </c>
      <c r="N274" s="53" t="str">
        <f t="shared" si="2"/>
        <v> </v>
      </c>
      <c r="O274" s="53" t="str">
        <f t="shared" si="3"/>
        <v/>
      </c>
    </row>
    <row r="275">
      <c r="A275" s="47" t="str">
        <f t="shared" si="1"/>
        <v>1455444572</v>
      </c>
      <c r="B275" s="48">
        <v>14554.0</v>
      </c>
      <c r="C275" s="49">
        <v>0.6354166666666666</v>
      </c>
      <c r="D275" s="48" t="s">
        <v>3102</v>
      </c>
      <c r="E275" s="50">
        <v>22158.0</v>
      </c>
      <c r="F275" s="51">
        <v>44572.0</v>
      </c>
      <c r="G275" s="48" t="s">
        <v>6216</v>
      </c>
      <c r="H275" s="48" t="s">
        <v>6218</v>
      </c>
      <c r="I275" s="48" t="s">
        <v>6222</v>
      </c>
      <c r="J275" s="48" t="s">
        <v>6195</v>
      </c>
      <c r="K275" s="52" t="b">
        <f>IFS($B275=FALSE,"", countif(VLOOKUP($A275,UASCAN!D:D,1,FALSE),$A275)&gt;=1,TRUE,countif(VLOOKUP($B275,UASCAN!D:D,1,FALSE),$B275)=0,FALSE)</f>
        <v>0</v>
      </c>
      <c r="L275" s="52" t="b">
        <f>IFS(B275=FALSE,"", countif(VLOOKUP($B275,'01112022'!B:B,1,FALSE),$B275)&gt;=1,TRUE,countif(VLOOKUP($B275,'01112022'!B:B,1,FALSE),$B275)=0,FALSE)</f>
        <v>1</v>
      </c>
      <c r="M275" s="52" t="str">
        <f>ifs(AND($K275=FALSE,$L275=TRUE),"",AND($K275=FALSE,L275=FALSE),"",AND($K275=TRUE,$L275=TRUE),VLOOKUP($A275,UASCAN!D:F,3,0), AND($K275=TRUE,$L275=FALSE),VLOOKUP($A275,UASCAN!D:F,3,0))</f>
        <v/>
      </c>
      <c r="N275" s="53" t="str">
        <f t="shared" si="2"/>
        <v> </v>
      </c>
      <c r="O275" s="53" t="str">
        <f t="shared" si="3"/>
        <v/>
      </c>
    </row>
    <row r="276">
      <c r="A276" s="47" t="str">
        <f t="shared" si="1"/>
        <v>1246944572</v>
      </c>
      <c r="B276" s="48">
        <v>12469.0</v>
      </c>
      <c r="C276" s="49">
        <v>0.6458333333333334</v>
      </c>
      <c r="D276" s="48" t="s">
        <v>1481</v>
      </c>
      <c r="E276" s="50">
        <v>16911.0</v>
      </c>
      <c r="F276" s="51">
        <v>44572.0</v>
      </c>
      <c r="G276" s="48" t="s">
        <v>5</v>
      </c>
      <c r="H276" s="48" t="s">
        <v>6218</v>
      </c>
      <c r="I276" s="48" t="s">
        <v>6219</v>
      </c>
      <c r="J276" s="48" t="s">
        <v>6186</v>
      </c>
      <c r="K276" s="52" t="b">
        <f>IFS($B276=FALSE,"", countif(VLOOKUP($A276,UASCAN!D:D,1,FALSE),$A276)&gt;=1,TRUE,countif(VLOOKUP($B276,UASCAN!D:D,1,FALSE),$B276)=0,FALSE)</f>
        <v>0</v>
      </c>
      <c r="L276" s="52" t="b">
        <f>IFS(B276=FALSE,"", countif(VLOOKUP($B276,'01112022'!B:B,1,FALSE),$B276)&gt;=1,TRUE,countif(VLOOKUP($B276,'01112022'!B:B,1,FALSE),$B276)=0,FALSE)</f>
        <v>1</v>
      </c>
      <c r="M276" s="52" t="str">
        <f>ifs(AND($K276=FALSE,$L276=TRUE),"",AND($K276=FALSE,L276=FALSE),"",AND($K276=TRUE,$L276=TRUE),VLOOKUP($A276,UASCAN!D:F,3,0), AND($K276=TRUE,$L276=FALSE),VLOOKUP($A276,UASCAN!D:F,3,0))</f>
        <v/>
      </c>
      <c r="N276" s="53" t="str">
        <f t="shared" si="2"/>
        <v> </v>
      </c>
      <c r="O276" s="53" t="str">
        <f t="shared" si="3"/>
        <v/>
      </c>
    </row>
    <row r="277">
      <c r="A277" s="47" t="str">
        <f t="shared" si="1"/>
        <v>1386944572</v>
      </c>
      <c r="B277" s="48">
        <v>13869.0</v>
      </c>
      <c r="C277" s="49">
        <v>0.6458333333333334</v>
      </c>
      <c r="D277" s="48" t="s">
        <v>2569</v>
      </c>
      <c r="E277" s="50">
        <v>25705.0</v>
      </c>
      <c r="F277" s="51">
        <v>44572.0</v>
      </c>
      <c r="G277" s="48" t="s">
        <v>6216</v>
      </c>
      <c r="H277" s="48" t="s">
        <v>6218</v>
      </c>
      <c r="I277" s="48" t="s">
        <v>6221</v>
      </c>
      <c r="J277" s="48" t="s">
        <v>6195</v>
      </c>
      <c r="K277" s="52" t="b">
        <f>IFS($B277=FALSE,"", countif(VLOOKUP($A277,UASCAN!D:D,1,FALSE),$A277)&gt;=1,TRUE,countif(VLOOKUP($B277,UASCAN!D:D,1,FALSE),$B277)=0,FALSE)</f>
        <v>0</v>
      </c>
      <c r="L277" s="52" t="b">
        <f>IFS(B277=FALSE,"", countif(VLOOKUP($B277,'01112022'!B:B,1,FALSE),$B277)&gt;=1,TRUE,countif(VLOOKUP($B277,'01112022'!B:B,1,FALSE),$B277)=0,FALSE)</f>
        <v>1</v>
      </c>
      <c r="M277" s="52" t="str">
        <f>ifs(AND($K277=FALSE,$L277=TRUE),"",AND($K277=FALSE,L277=FALSE),"",AND($K277=TRUE,$L277=TRUE),VLOOKUP($A277,UASCAN!D:F,3,0), AND($K277=TRUE,$L277=FALSE),VLOOKUP($A277,UASCAN!D:F,3,0))</f>
        <v/>
      </c>
      <c r="N277" s="53" t="str">
        <f t="shared" si="2"/>
        <v> </v>
      </c>
      <c r="O277" s="53" t="str">
        <f t="shared" si="3"/>
        <v/>
      </c>
    </row>
    <row r="278">
      <c r="A278" s="47" t="str">
        <f t="shared" si="1"/>
        <v>1577144572</v>
      </c>
      <c r="B278" s="48">
        <v>15771.0</v>
      </c>
      <c r="C278" s="49">
        <v>0.6458333333333334</v>
      </c>
      <c r="D278" s="48" t="s">
        <v>4135</v>
      </c>
      <c r="E278" s="50">
        <v>19858.0</v>
      </c>
      <c r="F278" s="51">
        <v>44572.0</v>
      </c>
      <c r="G278" s="48" t="s">
        <v>6215</v>
      </c>
      <c r="H278" s="48" t="s">
        <v>6218</v>
      </c>
      <c r="I278" s="48" t="s">
        <v>6222</v>
      </c>
      <c r="J278" s="48" t="s">
        <v>6084</v>
      </c>
      <c r="K278" s="52" t="b">
        <f>IFS($B278=FALSE,"", countif(VLOOKUP($A278,UASCAN!D:D,1,FALSE),$A278)&gt;=1,TRUE,countif(VLOOKUP($B278,UASCAN!D:D,1,FALSE),$B278)=0,FALSE)</f>
        <v>0</v>
      </c>
      <c r="L278" s="52" t="b">
        <f>IFS(B278=FALSE,"", countif(VLOOKUP($B278,'01112022'!B:B,1,FALSE),$B278)&gt;=1,TRUE,countif(VLOOKUP($B278,'01112022'!B:B,1,FALSE),$B278)=0,FALSE)</f>
        <v>1</v>
      </c>
      <c r="M278" s="52" t="str">
        <f>ifs(AND($K278=FALSE,$L278=TRUE),"",AND($K278=FALSE,L278=FALSE),"",AND($K278=TRUE,$L278=TRUE),VLOOKUP($A278,UASCAN!D:F,3,0), AND($K278=TRUE,$L278=FALSE),VLOOKUP($A278,UASCAN!D:F,3,0))</f>
        <v/>
      </c>
      <c r="N278" s="53" t="str">
        <f t="shared" si="2"/>
        <v> </v>
      </c>
      <c r="O278" s="53" t="str">
        <f t="shared" si="3"/>
        <v/>
      </c>
    </row>
    <row r="279">
      <c r="A279" s="47" t="str">
        <f t="shared" si="1"/>
        <v>1555544573</v>
      </c>
      <c r="B279" s="48">
        <v>15555.0</v>
      </c>
      <c r="C279" s="49">
        <v>0.3125</v>
      </c>
      <c r="D279" s="48" t="s">
        <v>3940</v>
      </c>
      <c r="E279" s="50">
        <v>20542.0</v>
      </c>
      <c r="F279" s="51">
        <v>44573.0</v>
      </c>
      <c r="G279" s="48" t="s">
        <v>5</v>
      </c>
      <c r="H279" s="48" t="s">
        <v>6211</v>
      </c>
      <c r="I279" s="48" t="s">
        <v>6221</v>
      </c>
      <c r="J279" s="48" t="s">
        <v>6137</v>
      </c>
      <c r="K279" s="52" t="b">
        <f>IFS($B279=FALSE,"", countif(VLOOKUP($A279,UASCAN!D:D,1,FALSE),$A279)&gt;=1,TRUE,countif(VLOOKUP($B279,UASCAN!D:D,1,FALSE),$B279)=0,FALSE)</f>
        <v>0</v>
      </c>
      <c r="L279" s="52" t="b">
        <f>IFS(B279=FALSE,"", countif(VLOOKUP($B279,'01122022'!B:B,1,FALSE),$B279)&gt;=1,TRUE,countif(VLOOKUP($B279,'01122022'!B:B,1,FALSE),$B279)=0,FALSE)</f>
        <v>1</v>
      </c>
      <c r="M279" s="52" t="str">
        <f>ifs(AND($K279=FALSE,$L279=TRUE),"",AND($K279=FALSE,L279=FALSE),"",AND($K279=TRUE,$L279=TRUE),VLOOKUP($A279,UASCAN!D:F,3,0), AND($K279=TRUE,$L279=FALSE),VLOOKUP($A279,UASCAN!D:F,3,0))</f>
        <v/>
      </c>
      <c r="N279" s="53" t="str">
        <f t="shared" si="2"/>
        <v> </v>
      </c>
      <c r="O279" s="53" t="str">
        <f t="shared" si="3"/>
        <v/>
      </c>
    </row>
    <row r="280">
      <c r="A280" s="47" t="str">
        <f t="shared" si="1"/>
        <v>1420044573</v>
      </c>
      <c r="B280" s="48">
        <v>14200.0</v>
      </c>
      <c r="C280" s="49">
        <v>0.34375</v>
      </c>
      <c r="D280" s="48" t="s">
        <v>2820</v>
      </c>
      <c r="E280" s="50">
        <v>25722.0</v>
      </c>
      <c r="F280" s="51">
        <v>44573.0</v>
      </c>
      <c r="G280" s="48" t="s">
        <v>5</v>
      </c>
      <c r="H280" s="48" t="s">
        <v>6218</v>
      </c>
      <c r="I280" s="48" t="s">
        <v>6219</v>
      </c>
      <c r="J280" s="48" t="s">
        <v>6117</v>
      </c>
      <c r="K280" s="52" t="b">
        <f>IFS($B280=FALSE,"", countif(VLOOKUP($A280,UASCAN!D:D,1,FALSE),$A280)&gt;=1,TRUE,countif(VLOOKUP($B280,UASCAN!D:D,1,FALSE),$B280)=0,FALSE)</f>
        <v>0</v>
      </c>
      <c r="L280" s="52" t="b">
        <f>IFS(B280=FALSE,"", countif(VLOOKUP($B280,'01122022'!B:B,1,FALSE),$B280)&gt;=1,TRUE,countif(VLOOKUP($B280,'01122022'!B:B,1,FALSE),$B280)=0,FALSE)</f>
        <v>1</v>
      </c>
      <c r="M280" s="52" t="str">
        <f>ifs(AND($K280=FALSE,$L280=TRUE),"",AND($K280=FALSE,L280=FALSE),"",AND($K280=TRUE,$L280=TRUE),VLOOKUP($A280,UASCAN!D:F,3,0), AND($K280=TRUE,$L280=FALSE),VLOOKUP($A280,UASCAN!D:F,3,0))</f>
        <v/>
      </c>
      <c r="N280" s="53" t="str">
        <f t="shared" si="2"/>
        <v> </v>
      </c>
      <c r="O280" s="53" t="str">
        <f t="shared" si="3"/>
        <v/>
      </c>
    </row>
    <row r="281">
      <c r="A281" s="47" t="str">
        <f t="shared" si="1"/>
        <v>1179244573</v>
      </c>
      <c r="B281" s="48">
        <v>11792.0</v>
      </c>
      <c r="C281" s="49">
        <v>0.34375</v>
      </c>
      <c r="D281" s="48" t="s">
        <v>1116</v>
      </c>
      <c r="E281" s="50">
        <v>20872.0</v>
      </c>
      <c r="F281" s="51">
        <v>44573.0</v>
      </c>
      <c r="G281" s="48" t="s">
        <v>5</v>
      </c>
      <c r="H281" s="48" t="s">
        <v>6211</v>
      </c>
      <c r="I281" s="48" t="s">
        <v>6221</v>
      </c>
      <c r="J281" s="48" t="s">
        <v>6137</v>
      </c>
      <c r="K281" s="52" t="b">
        <f>IFS($B281=FALSE,"", countif(VLOOKUP($A281,UASCAN!D:D,1,FALSE),$A281)&gt;=1,TRUE,countif(VLOOKUP($B281,UASCAN!D:D,1,FALSE),$B281)=0,FALSE)</f>
        <v>0</v>
      </c>
      <c r="L281" s="52" t="b">
        <f>IFS(B281=FALSE,"", countif(VLOOKUP($B281,'01122022'!B:B,1,FALSE),$B281)&gt;=1,TRUE,countif(VLOOKUP($B281,'01122022'!B:B,1,FALSE),$B281)=0,FALSE)</f>
        <v>1</v>
      </c>
      <c r="M281" s="52" t="str">
        <f>ifs(AND($K281=FALSE,$L281=TRUE),"",AND($K281=FALSE,L281=FALSE),"",AND($K281=TRUE,$L281=TRUE),VLOOKUP($A281,UASCAN!D:F,3,0), AND($K281=TRUE,$L281=FALSE),VLOOKUP($A281,UASCAN!D:F,3,0))</f>
        <v/>
      </c>
      <c r="N281" s="53" t="str">
        <f t="shared" si="2"/>
        <v> </v>
      </c>
      <c r="O281" s="53" t="str">
        <f t="shared" si="3"/>
        <v/>
      </c>
    </row>
    <row r="282">
      <c r="A282" s="47" t="str">
        <f t="shared" si="1"/>
        <v>1490144573</v>
      </c>
      <c r="B282" s="48">
        <v>14901.0</v>
      </c>
      <c r="C282" s="49">
        <v>0.3541666666666667</v>
      </c>
      <c r="D282" s="48" t="s">
        <v>3395</v>
      </c>
      <c r="E282" s="50">
        <v>21206.0</v>
      </c>
      <c r="F282" s="51">
        <v>44573.0</v>
      </c>
      <c r="G282" s="48" t="s">
        <v>5</v>
      </c>
      <c r="H282" s="48" t="s">
        <v>6218</v>
      </c>
      <c r="I282" s="48" t="s">
        <v>6219</v>
      </c>
      <c r="J282" s="48" t="s">
        <v>6124</v>
      </c>
      <c r="K282" s="52" t="b">
        <f>IFS($B282=FALSE,"", countif(VLOOKUP($A282,UASCAN!D:D,1,FALSE),$A282)&gt;=1,TRUE,countif(VLOOKUP($B282,UASCAN!D:D,1,FALSE),$B282)=0,FALSE)</f>
        <v>0</v>
      </c>
      <c r="L282" s="52" t="b">
        <f>IFS(B282=FALSE,"", countif(VLOOKUP($B282,'01122022'!B:B,1,FALSE),$B282)&gt;=1,TRUE,countif(VLOOKUP($B282,'01122022'!B:B,1,FALSE),$B282)=0,FALSE)</f>
        <v>1</v>
      </c>
      <c r="M282" s="52" t="str">
        <f>ifs(AND($K282=FALSE,$L282=TRUE),"",AND($K282=FALSE,L282=FALSE),"",AND($K282=TRUE,$L282=TRUE),VLOOKUP($A282,UASCAN!D:F,3,0), AND($K282=TRUE,$L282=FALSE),VLOOKUP($A282,UASCAN!D:F,3,0))</f>
        <v/>
      </c>
      <c r="N282" s="53" t="str">
        <f t="shared" si="2"/>
        <v> </v>
      </c>
      <c r="O282" s="53" t="str">
        <f t="shared" si="3"/>
        <v/>
      </c>
    </row>
    <row r="283">
      <c r="A283" s="47" t="str">
        <f t="shared" si="1"/>
        <v>1754244573</v>
      </c>
      <c r="B283" s="48">
        <v>17542.0</v>
      </c>
      <c r="C283" s="49">
        <v>0.3541666666666667</v>
      </c>
      <c r="D283" s="48" t="s">
        <v>5547</v>
      </c>
      <c r="E283" s="50">
        <v>20417.0</v>
      </c>
      <c r="F283" s="51">
        <v>44573.0</v>
      </c>
      <c r="G283" s="48" t="s">
        <v>6215</v>
      </c>
      <c r="H283" s="48" t="s">
        <v>6218</v>
      </c>
      <c r="I283" s="48" t="s">
        <v>6219</v>
      </c>
      <c r="J283" s="48" t="s">
        <v>6117</v>
      </c>
      <c r="K283" s="52" t="b">
        <f>IFS($B283=FALSE,"", countif(VLOOKUP($A283,UASCAN!D:D,1,FALSE),$A283)&gt;=1,TRUE,countif(VLOOKUP($B283,UASCAN!D:D,1,FALSE),$B283)=0,FALSE)</f>
        <v>0</v>
      </c>
      <c r="L283" s="52" t="b">
        <f>IFS(B283=FALSE,"", countif(VLOOKUP($B283,'01122022'!B:B,1,FALSE),$B283)&gt;=1,TRUE,countif(VLOOKUP($B283,'01122022'!B:B,1,FALSE),$B283)=0,FALSE)</f>
        <v>1</v>
      </c>
      <c r="M283" s="52" t="str">
        <f>ifs(AND($K283=FALSE,$L283=TRUE),"",AND($K283=FALSE,L283=FALSE),"",AND($K283=TRUE,$L283=TRUE),VLOOKUP($A283,UASCAN!D:F,3,0), AND($K283=TRUE,$L283=FALSE),VLOOKUP($A283,UASCAN!D:F,3,0))</f>
        <v/>
      </c>
      <c r="N283" s="53" t="str">
        <f t="shared" si="2"/>
        <v> </v>
      </c>
      <c r="O283" s="53" t="str">
        <f t="shared" si="3"/>
        <v/>
      </c>
    </row>
    <row r="284">
      <c r="A284" s="47" t="str">
        <f t="shared" si="1"/>
        <v>1151144573</v>
      </c>
      <c r="B284" s="48">
        <v>11511.0</v>
      </c>
      <c r="C284" s="49">
        <v>0.3541666666666667</v>
      </c>
      <c r="D284" s="48" t="s">
        <v>987</v>
      </c>
      <c r="E284" s="50">
        <v>29821.0</v>
      </c>
      <c r="F284" s="51">
        <v>44573.0</v>
      </c>
      <c r="G284" s="48" t="s">
        <v>5</v>
      </c>
      <c r="H284" s="48" t="s">
        <v>6218</v>
      </c>
      <c r="I284" s="48" t="s">
        <v>6222</v>
      </c>
      <c r="J284" s="48" t="s">
        <v>6082</v>
      </c>
      <c r="K284" s="52" t="b">
        <f>IFS($B284=FALSE,"", countif(VLOOKUP($A284,UASCAN!D:D,1,FALSE),$A284)&gt;=1,TRUE,countif(VLOOKUP($B284,UASCAN!D:D,1,FALSE),$B284)=0,FALSE)</f>
        <v>0</v>
      </c>
      <c r="L284" s="52" t="b">
        <f>IFS(B284=FALSE,"", countif(VLOOKUP($B284,'01122022'!B:B,1,FALSE),$B284)&gt;=1,TRUE,countif(VLOOKUP($B284,'01122022'!B:B,1,FALSE),$B284)=0,FALSE)</f>
        <v>1</v>
      </c>
      <c r="M284" s="52" t="str">
        <f>ifs(AND($K284=FALSE,$L284=TRUE),"",AND($K284=FALSE,L284=FALSE),"",AND($K284=TRUE,$L284=TRUE),VLOOKUP($A284,UASCAN!D:F,3,0), AND($K284=TRUE,$L284=FALSE),VLOOKUP($A284,UASCAN!D:F,3,0))</f>
        <v/>
      </c>
      <c r="N284" s="53" t="str">
        <f t="shared" si="2"/>
        <v> </v>
      </c>
      <c r="O284" s="53" t="str">
        <f t="shared" si="3"/>
        <v/>
      </c>
    </row>
    <row r="285">
      <c r="A285" s="47" t="str">
        <f t="shared" si="1"/>
        <v>1721144573</v>
      </c>
      <c r="B285" s="48">
        <v>17211.0</v>
      </c>
      <c r="C285" s="49">
        <v>0.3541666666666667</v>
      </c>
      <c r="D285" s="48" t="s">
        <v>5295</v>
      </c>
      <c r="E285" s="50">
        <v>16418.0</v>
      </c>
      <c r="F285" s="51">
        <v>44573.0</v>
      </c>
      <c r="G285" s="48" t="s">
        <v>6216</v>
      </c>
      <c r="H285" s="48" t="s">
        <v>6218</v>
      </c>
      <c r="I285" s="48" t="s">
        <v>6222</v>
      </c>
      <c r="J285" s="48" t="s">
        <v>6192</v>
      </c>
      <c r="K285" s="52" t="b">
        <f>IFS($B285=FALSE,"", countif(VLOOKUP($A285,UASCAN!D:D,1,FALSE),$A285)&gt;=1,TRUE,countif(VLOOKUP($B285,UASCAN!D:D,1,FALSE),$B285)=0,FALSE)</f>
        <v>0</v>
      </c>
      <c r="L285" s="52" t="b">
        <f>IFS(B285=FALSE,"", countif(VLOOKUP($B285,'01122022'!B:B,1,FALSE),$B285)&gt;=1,TRUE,countif(VLOOKUP($B285,'01122022'!B:B,1,FALSE),$B285)=0,FALSE)</f>
        <v>1</v>
      </c>
      <c r="M285" s="52" t="str">
        <f>ifs(AND($K285=FALSE,$L285=TRUE),"",AND($K285=FALSE,L285=FALSE),"",AND($K285=TRUE,$L285=TRUE),VLOOKUP($A285,UASCAN!D:F,3,0), AND($K285=TRUE,$L285=FALSE),VLOOKUP($A285,UASCAN!D:F,3,0))</f>
        <v/>
      </c>
      <c r="N285" s="53" t="str">
        <f t="shared" si="2"/>
        <v> </v>
      </c>
      <c r="O285" s="53" t="str">
        <f t="shared" si="3"/>
        <v/>
      </c>
    </row>
    <row r="286">
      <c r="A286" s="47" t="str">
        <f t="shared" si="1"/>
        <v>1783244573</v>
      </c>
      <c r="B286" s="48">
        <v>17832.0</v>
      </c>
      <c r="C286" s="49">
        <v>0.3645833333333333</v>
      </c>
      <c r="D286" s="48" t="s">
        <v>5979</v>
      </c>
      <c r="E286" s="50">
        <v>16496.0</v>
      </c>
      <c r="F286" s="51">
        <v>44573.0</v>
      </c>
      <c r="G286" s="48" t="s">
        <v>6214</v>
      </c>
      <c r="H286" s="48" t="s">
        <v>6211</v>
      </c>
      <c r="I286" s="48" t="s">
        <v>6221</v>
      </c>
      <c r="J286" s="48" t="s">
        <v>6196</v>
      </c>
      <c r="K286" s="52" t="b">
        <f>IFS($B286=FALSE,"", countif(VLOOKUP($A286,UASCAN!D:D,1,FALSE),$A286)&gt;=1,TRUE,countif(VLOOKUP($B286,UASCAN!D:D,1,FALSE),$B286)=0,FALSE)</f>
        <v>0</v>
      </c>
      <c r="L286" s="52" t="b">
        <f>IFS(B286=FALSE,"", countif(VLOOKUP($B286,'01122022'!B:B,1,FALSE),$B286)&gt;=1,TRUE,countif(VLOOKUP($B286,'01122022'!B:B,1,FALSE),$B286)=0,FALSE)</f>
        <v>1</v>
      </c>
      <c r="M286" s="52" t="str">
        <f>ifs(AND($K286=FALSE,$L286=TRUE),"",AND($K286=FALSE,L286=FALSE),"",AND($K286=TRUE,$L286=TRUE),VLOOKUP($A286,UASCAN!D:F,3,0), AND($K286=TRUE,$L286=FALSE),VLOOKUP($A286,UASCAN!D:F,3,0))</f>
        <v/>
      </c>
      <c r="N286" s="53" t="str">
        <f t="shared" si="2"/>
        <v> </v>
      </c>
      <c r="O286" s="53" t="str">
        <f t="shared" si="3"/>
        <v/>
      </c>
    </row>
    <row r="287">
      <c r="A287" s="47" t="str">
        <f t="shared" si="1"/>
        <v>1406344573</v>
      </c>
      <c r="B287" s="48">
        <v>14063.0</v>
      </c>
      <c r="C287" s="49">
        <v>0.3958333333333333</v>
      </c>
      <c r="D287" s="48" t="s">
        <v>2711</v>
      </c>
      <c r="E287" s="50">
        <v>22822.0</v>
      </c>
      <c r="F287" s="51">
        <v>44573.0</v>
      </c>
      <c r="G287" s="48" t="s">
        <v>5</v>
      </c>
      <c r="H287" s="48" t="s">
        <v>6218</v>
      </c>
      <c r="I287" s="48" t="s">
        <v>6219</v>
      </c>
      <c r="J287" s="48" t="s">
        <v>6199</v>
      </c>
      <c r="K287" s="52" t="b">
        <f>IFS($B287=FALSE,"", countif(VLOOKUP($A287,UASCAN!D:D,1,FALSE),$A287)&gt;=1,TRUE,countif(VLOOKUP($B287,UASCAN!D:D,1,FALSE),$B287)=0,FALSE)</f>
        <v>0</v>
      </c>
      <c r="L287" s="52" t="b">
        <f>IFS(B287=FALSE,"", countif(VLOOKUP($B287,'01122022'!B:B,1,FALSE),$B287)&gt;=1,TRUE,countif(VLOOKUP($B287,'01122022'!B:B,1,FALSE),$B287)=0,FALSE)</f>
        <v>1</v>
      </c>
      <c r="M287" s="52" t="str">
        <f>ifs(AND($K287=FALSE,$L287=TRUE),"",AND($K287=FALSE,L287=FALSE),"",AND($K287=TRUE,$L287=TRUE),VLOOKUP($A287,UASCAN!D:F,3,0), AND($K287=TRUE,$L287=FALSE),VLOOKUP($A287,UASCAN!D:F,3,0))</f>
        <v/>
      </c>
      <c r="N287" s="53" t="str">
        <f t="shared" si="2"/>
        <v> </v>
      </c>
      <c r="O287" s="53" t="str">
        <f t="shared" si="3"/>
        <v/>
      </c>
    </row>
    <row r="288">
      <c r="A288" s="47" t="str">
        <f t="shared" si="1"/>
        <v>1222044573</v>
      </c>
      <c r="B288" s="48">
        <v>12220.0</v>
      </c>
      <c r="C288" s="49">
        <v>0.3958333333333333</v>
      </c>
      <c r="D288" s="48" t="s">
        <v>1329</v>
      </c>
      <c r="E288" s="50">
        <v>14923.0</v>
      </c>
      <c r="F288" s="51">
        <v>44573.0</v>
      </c>
      <c r="G288" s="48" t="s">
        <v>5</v>
      </c>
      <c r="H288" s="48" t="s">
        <v>6218</v>
      </c>
      <c r="I288" s="48" t="s">
        <v>6219</v>
      </c>
      <c r="J288" s="48" t="s">
        <v>6095</v>
      </c>
      <c r="K288" s="52" t="b">
        <f>IFS($B288=FALSE,"", countif(VLOOKUP($A288,UASCAN!D:D,1,FALSE),$A288)&gt;=1,TRUE,countif(VLOOKUP($B288,UASCAN!D:D,1,FALSE),$B288)=0,FALSE)</f>
        <v>0</v>
      </c>
      <c r="L288" s="52" t="b">
        <f>IFS(B288=FALSE,"", countif(VLOOKUP($B288,'01122022'!B:B,1,FALSE),$B288)&gt;=1,TRUE,countif(VLOOKUP($B288,'01122022'!B:B,1,FALSE),$B288)=0,FALSE)</f>
        <v>1</v>
      </c>
      <c r="M288" s="52" t="str">
        <f>ifs(AND($K288=FALSE,$L288=TRUE),"",AND($K288=FALSE,L288=FALSE),"",AND($K288=TRUE,$L288=TRUE),VLOOKUP($A288,UASCAN!D:F,3,0), AND($K288=TRUE,$L288=FALSE),VLOOKUP($A288,UASCAN!D:F,3,0))</f>
        <v/>
      </c>
      <c r="N288" s="53" t="str">
        <f t="shared" si="2"/>
        <v> </v>
      </c>
      <c r="O288" s="53" t="str">
        <f t="shared" si="3"/>
        <v/>
      </c>
    </row>
    <row r="289">
      <c r="A289" s="47" t="str">
        <f t="shared" si="1"/>
        <v>1783444573</v>
      </c>
      <c r="B289" s="48">
        <v>17834.0</v>
      </c>
      <c r="C289" s="49">
        <v>0.3958333333333333</v>
      </c>
      <c r="D289" s="48" t="s">
        <v>5973</v>
      </c>
      <c r="E289" s="50">
        <v>46791.0</v>
      </c>
      <c r="F289" s="51">
        <v>44573.0</v>
      </c>
      <c r="G289" s="48" t="s">
        <v>6213</v>
      </c>
      <c r="H289" s="48" t="s">
        <v>6211</v>
      </c>
      <c r="I289" s="48" t="s">
        <v>6221</v>
      </c>
      <c r="J289" s="48" t="s">
        <v>6137</v>
      </c>
      <c r="K289" s="52" t="b">
        <f>IFS($B289=FALSE,"", countif(VLOOKUP($A289,UASCAN!D:D,1,FALSE),$A289)&gt;=1,TRUE,countif(VLOOKUP($B289,UASCAN!D:D,1,FALSE),$B289)=0,FALSE)</f>
        <v>0</v>
      </c>
      <c r="L289" s="52" t="b">
        <f>IFS(B289=FALSE,"", countif(VLOOKUP($B289,'01122022'!B:B,1,FALSE),$B289)&gt;=1,TRUE,countif(VLOOKUP($B289,'01122022'!B:B,1,FALSE),$B289)=0,FALSE)</f>
        <v>1</v>
      </c>
      <c r="M289" s="52" t="str">
        <f>ifs(AND($K289=FALSE,$L289=TRUE),"",AND($K289=FALSE,L289=FALSE),"",AND($K289=TRUE,$L289=TRUE),VLOOKUP($A289,UASCAN!D:F,3,0), AND($K289=TRUE,$L289=FALSE),VLOOKUP($A289,UASCAN!D:F,3,0))</f>
        <v/>
      </c>
      <c r="N289" s="53" t="str">
        <f t="shared" si="2"/>
        <v> </v>
      </c>
      <c r="O289" s="53" t="str">
        <f t="shared" si="3"/>
        <v/>
      </c>
    </row>
    <row r="290">
      <c r="A290" s="47" t="str">
        <f t="shared" si="1"/>
        <v>1784644573</v>
      </c>
      <c r="B290" s="48">
        <v>17846.0</v>
      </c>
      <c r="C290" s="49">
        <v>0.3958333333333333</v>
      </c>
      <c r="D290" s="48" t="s">
        <v>5974</v>
      </c>
      <c r="E290" s="50">
        <v>19720.0</v>
      </c>
      <c r="F290" s="51">
        <v>44573.0</v>
      </c>
      <c r="G290" s="48" t="s">
        <v>6214</v>
      </c>
      <c r="H290" s="48" t="s">
        <v>6211</v>
      </c>
      <c r="I290" s="48" t="s">
        <v>6221</v>
      </c>
      <c r="J290" s="48" t="s">
        <v>6189</v>
      </c>
      <c r="K290" s="52" t="b">
        <f>IFS($B290=FALSE,"", countif(VLOOKUP($A290,UASCAN!D:D,1,FALSE),$A290)&gt;=1,TRUE,countif(VLOOKUP($B290,UASCAN!D:D,1,FALSE),$B290)=0,FALSE)</f>
        <v>0</v>
      </c>
      <c r="L290" s="52" t="b">
        <f>IFS(B290=FALSE,"", countif(VLOOKUP($B290,'01122022'!B:B,1,FALSE),$B290)&gt;=1,TRUE,countif(VLOOKUP($B290,'01122022'!B:B,1,FALSE),$B290)=0,FALSE)</f>
        <v>1</v>
      </c>
      <c r="M290" s="52" t="str">
        <f>ifs(AND($K290=FALSE,$L290=TRUE),"",AND($K290=FALSE,L290=FALSE),"",AND($K290=TRUE,$L290=TRUE),VLOOKUP($A290,UASCAN!D:F,3,0), AND($K290=TRUE,$L290=FALSE),VLOOKUP($A290,UASCAN!D:F,3,0))</f>
        <v/>
      </c>
      <c r="N290" s="53" t="str">
        <f t="shared" si="2"/>
        <v> </v>
      </c>
      <c r="O290" s="53" t="str">
        <f t="shared" si="3"/>
        <v/>
      </c>
    </row>
    <row r="291">
      <c r="A291" s="47" t="str">
        <f t="shared" si="1"/>
        <v>1526544573</v>
      </c>
      <c r="B291" s="48">
        <v>15265.0</v>
      </c>
      <c r="C291" s="49">
        <v>0.3958333333333333</v>
      </c>
      <c r="D291" s="48" t="s">
        <v>3695</v>
      </c>
      <c r="E291" s="50">
        <v>26902.0</v>
      </c>
      <c r="F291" s="51">
        <v>44573.0</v>
      </c>
      <c r="G291" s="48" t="s">
        <v>6220</v>
      </c>
      <c r="H291" s="48" t="s">
        <v>6211</v>
      </c>
      <c r="I291" s="48" t="s">
        <v>6221</v>
      </c>
      <c r="J291" s="48" t="s">
        <v>6196</v>
      </c>
      <c r="K291" s="52" t="b">
        <f>IFS($B291=FALSE,"", countif(VLOOKUP($A291,UASCAN!D:D,1,FALSE),$A291)&gt;=1,TRUE,countif(VLOOKUP($B291,UASCAN!D:D,1,FALSE),$B291)=0,FALSE)</f>
        <v>0</v>
      </c>
      <c r="L291" s="52" t="b">
        <f>IFS(B291=FALSE,"", countif(VLOOKUP($B291,'01122022'!B:B,1,FALSE),$B291)&gt;=1,TRUE,countif(VLOOKUP($B291,'01122022'!B:B,1,FALSE),$B291)=0,FALSE)</f>
        <v>1</v>
      </c>
      <c r="M291" s="52" t="str">
        <f>ifs(AND($K291=FALSE,$L291=TRUE),"",AND($K291=FALSE,L291=FALSE),"",AND($K291=TRUE,$L291=TRUE),VLOOKUP($A291,UASCAN!D:F,3,0), AND($K291=TRUE,$L291=FALSE),VLOOKUP($A291,UASCAN!D:F,3,0))</f>
        <v/>
      </c>
      <c r="N291" s="53" t="str">
        <f t="shared" si="2"/>
        <v> </v>
      </c>
      <c r="O291" s="53" t="str">
        <f t="shared" si="3"/>
        <v/>
      </c>
    </row>
    <row r="292">
      <c r="A292" s="47" t="str">
        <f t="shared" si="1"/>
        <v>1579144573</v>
      </c>
      <c r="B292" s="48">
        <v>15791.0</v>
      </c>
      <c r="C292" s="49">
        <v>0.3958333333333333</v>
      </c>
      <c r="D292" s="48" t="s">
        <v>4151</v>
      </c>
      <c r="E292" s="50">
        <v>21098.0</v>
      </c>
      <c r="F292" s="51">
        <v>44573.0</v>
      </c>
      <c r="G292" s="48" t="s">
        <v>5</v>
      </c>
      <c r="H292" s="48" t="s">
        <v>6218</v>
      </c>
      <c r="I292" s="48" t="s">
        <v>6222</v>
      </c>
      <c r="J292" s="48" t="s">
        <v>6091</v>
      </c>
      <c r="K292" s="52" t="b">
        <f>IFS($B292=FALSE,"", countif(VLOOKUP($A292,UASCAN!D:D,1,FALSE),$A292)&gt;=1,TRUE,countif(VLOOKUP($B292,UASCAN!D:D,1,FALSE),$B292)=0,FALSE)</f>
        <v>0</v>
      </c>
      <c r="L292" s="52" t="b">
        <f>IFS(B292=FALSE,"", countif(VLOOKUP($B292,'01122022'!B:B,1,FALSE),$B292)&gt;=1,TRUE,countif(VLOOKUP($B292,'01122022'!B:B,1,FALSE),$B292)=0,FALSE)</f>
        <v>1</v>
      </c>
      <c r="M292" s="52" t="str">
        <f>ifs(AND($K292=FALSE,$L292=TRUE),"",AND($K292=FALSE,L292=FALSE),"",AND($K292=TRUE,$L292=TRUE),VLOOKUP($A292,UASCAN!D:F,3,0), AND($K292=TRUE,$L292=FALSE),VLOOKUP($A292,UASCAN!D:F,3,0))</f>
        <v/>
      </c>
      <c r="N292" s="53" t="str">
        <f t="shared" si="2"/>
        <v> </v>
      </c>
      <c r="O292" s="53" t="str">
        <f t="shared" si="3"/>
        <v/>
      </c>
    </row>
    <row r="293">
      <c r="A293" s="47" t="str">
        <f t="shared" si="1"/>
        <v>975244573</v>
      </c>
      <c r="B293" s="48">
        <v>9752.0</v>
      </c>
      <c r="C293" s="49">
        <v>0.40625</v>
      </c>
      <c r="D293" s="48" t="s">
        <v>279</v>
      </c>
      <c r="E293" s="50">
        <v>17975.0</v>
      </c>
      <c r="F293" s="51">
        <v>44573.0</v>
      </c>
      <c r="G293" s="48" t="s">
        <v>6220</v>
      </c>
      <c r="H293" s="48" t="s">
        <v>6218</v>
      </c>
      <c r="I293" s="48" t="s">
        <v>6222</v>
      </c>
      <c r="J293" s="48" t="s">
        <v>6189</v>
      </c>
      <c r="K293" s="52" t="b">
        <f>IFS($B293=FALSE,"", countif(VLOOKUP($A293,UASCAN!D:D,1,FALSE),$A293)&gt;=1,TRUE,countif(VLOOKUP($B293,UASCAN!D:D,1,FALSE),$B293)=0,FALSE)</f>
        <v>0</v>
      </c>
      <c r="L293" s="52" t="b">
        <f>IFS(B293=FALSE,"", countif(VLOOKUP($B293,'01122022'!B:B,1,FALSE),$B293)&gt;=1,TRUE,countif(VLOOKUP($B293,'01122022'!B:B,1,FALSE),$B293)=0,FALSE)</f>
        <v>1</v>
      </c>
      <c r="M293" s="52" t="str">
        <f>ifs(AND($K293=FALSE,$L293=TRUE),"",AND($K293=FALSE,L293=FALSE),"",AND($K293=TRUE,$L293=TRUE),VLOOKUP($A293,UASCAN!D:F,3,0), AND($K293=TRUE,$L293=FALSE),VLOOKUP($A293,UASCAN!D:F,3,0))</f>
        <v/>
      </c>
      <c r="N293" s="53" t="str">
        <f t="shared" si="2"/>
        <v> </v>
      </c>
      <c r="O293" s="53" t="str">
        <f t="shared" si="3"/>
        <v/>
      </c>
    </row>
    <row r="294">
      <c r="A294" s="47" t="str">
        <f t="shared" si="1"/>
        <v>1103644573</v>
      </c>
      <c r="B294" s="48">
        <v>11036.0</v>
      </c>
      <c r="C294" s="49">
        <v>0.4166666666666667</v>
      </c>
      <c r="D294" s="48" t="s">
        <v>778</v>
      </c>
      <c r="E294" s="50">
        <v>18515.0</v>
      </c>
      <c r="F294" s="51">
        <v>44573.0</v>
      </c>
      <c r="G294" s="48" t="s">
        <v>5</v>
      </c>
      <c r="H294" s="48" t="s">
        <v>6218</v>
      </c>
      <c r="I294" s="48" t="s">
        <v>6222</v>
      </c>
      <c r="J294" s="48" t="s">
        <v>6084</v>
      </c>
      <c r="K294" s="52" t="b">
        <f>IFS($B294=FALSE,"", countif(VLOOKUP($A294,UASCAN!D:D,1,FALSE),$A294)&gt;=1,TRUE,countif(VLOOKUP($B294,UASCAN!D:D,1,FALSE),$B294)=0,FALSE)</f>
        <v>0</v>
      </c>
      <c r="L294" s="52" t="b">
        <f>IFS(B294=FALSE,"", countif(VLOOKUP($B294,'01122022'!B:B,1,FALSE),$B294)&gt;=1,TRUE,countif(VLOOKUP($B294,'01122022'!B:B,1,FALSE),$B294)=0,FALSE)</f>
        <v>1</v>
      </c>
      <c r="M294" s="52" t="str">
        <f>ifs(AND($K294=FALSE,$L294=TRUE),"",AND($K294=FALSE,L294=FALSE),"",AND($K294=TRUE,$L294=TRUE),VLOOKUP($A294,UASCAN!D:F,3,0), AND($K294=TRUE,$L294=FALSE),VLOOKUP($A294,UASCAN!D:F,3,0))</f>
        <v/>
      </c>
      <c r="N294" s="53" t="str">
        <f t="shared" si="2"/>
        <v> </v>
      </c>
      <c r="O294" s="53" t="str">
        <f t="shared" si="3"/>
        <v/>
      </c>
    </row>
    <row r="295">
      <c r="A295" s="47" t="str">
        <f t="shared" si="1"/>
        <v>1130344573</v>
      </c>
      <c r="B295" s="48">
        <v>11303.0</v>
      </c>
      <c r="C295" s="49">
        <v>0.4166666666666667</v>
      </c>
      <c r="D295" s="48" t="s">
        <v>900</v>
      </c>
      <c r="E295" s="50">
        <v>17223.0</v>
      </c>
      <c r="F295" s="51">
        <v>44573.0</v>
      </c>
      <c r="G295" s="48" t="s">
        <v>6215</v>
      </c>
      <c r="H295" s="48" t="s">
        <v>6218</v>
      </c>
      <c r="I295" s="48" t="s">
        <v>6222</v>
      </c>
      <c r="J295" s="48" t="s">
        <v>6199</v>
      </c>
      <c r="K295" s="52" t="b">
        <f>IFS($B295=FALSE,"", countif(VLOOKUP($A295,UASCAN!D:D,1,FALSE),$A295)&gt;=1,TRUE,countif(VLOOKUP($B295,UASCAN!D:D,1,FALSE),$B295)=0,FALSE)</f>
        <v>0</v>
      </c>
      <c r="L295" s="52" t="b">
        <f>IFS(B295=FALSE,"", countif(VLOOKUP($B295,'01122022'!B:B,1,FALSE),$B295)&gt;=1,TRUE,countif(VLOOKUP($B295,'01122022'!B:B,1,FALSE),$B295)=0,FALSE)</f>
        <v>1</v>
      </c>
      <c r="M295" s="52" t="str">
        <f>ifs(AND($K295=FALSE,$L295=TRUE),"",AND($K295=FALSE,L295=FALSE),"",AND($K295=TRUE,$L295=TRUE),VLOOKUP($A295,UASCAN!D:F,3,0), AND($K295=TRUE,$L295=FALSE),VLOOKUP($A295,UASCAN!D:F,3,0))</f>
        <v/>
      </c>
      <c r="N295" s="53" t="str">
        <f t="shared" si="2"/>
        <v> </v>
      </c>
      <c r="O295" s="53" t="str">
        <f t="shared" si="3"/>
        <v/>
      </c>
    </row>
    <row r="296">
      <c r="A296" s="47" t="str">
        <f t="shared" si="1"/>
        <v>1161944573</v>
      </c>
      <c r="B296" s="48">
        <v>11619.0</v>
      </c>
      <c r="C296" s="49">
        <v>0.4270833333333333</v>
      </c>
      <c r="D296" s="48" t="s">
        <v>1028</v>
      </c>
      <c r="E296" s="50">
        <v>29756.0</v>
      </c>
      <c r="F296" s="51">
        <v>44573.0</v>
      </c>
      <c r="G296" s="48" t="s">
        <v>5</v>
      </c>
      <c r="H296" s="48" t="s">
        <v>6218</v>
      </c>
      <c r="I296" s="48" t="s">
        <v>6219</v>
      </c>
      <c r="J296" s="48" t="s">
        <v>6084</v>
      </c>
      <c r="K296" s="52" t="b">
        <f>IFS($B296=FALSE,"", countif(VLOOKUP($A296,UASCAN!D:D,1,FALSE),$A296)&gt;=1,TRUE,countif(VLOOKUP($B296,UASCAN!D:D,1,FALSE),$B296)=0,FALSE)</f>
        <v>0</v>
      </c>
      <c r="L296" s="52" t="b">
        <f>IFS(B296=FALSE,"", countif(VLOOKUP($B296,'01122022'!B:B,1,FALSE),$B296)&gt;=1,TRUE,countif(VLOOKUP($B296,'01122022'!B:B,1,FALSE),$B296)=0,FALSE)</f>
        <v>1</v>
      </c>
      <c r="M296" s="52" t="str">
        <f>ifs(AND($K296=FALSE,$L296=TRUE),"",AND($K296=FALSE,L296=FALSE),"",AND($K296=TRUE,$L296=TRUE),VLOOKUP($A296,UASCAN!D:F,3,0), AND($K296=TRUE,$L296=FALSE),VLOOKUP($A296,UASCAN!D:F,3,0))</f>
        <v/>
      </c>
      <c r="N296" s="53" t="str">
        <f t="shared" si="2"/>
        <v> </v>
      </c>
      <c r="O296" s="53" t="str">
        <f t="shared" si="3"/>
        <v/>
      </c>
    </row>
    <row r="297">
      <c r="A297" s="47" t="str">
        <f t="shared" si="1"/>
        <v>1326044573</v>
      </c>
      <c r="B297" s="48">
        <v>13260.0</v>
      </c>
      <c r="C297" s="49">
        <v>0.4375</v>
      </c>
      <c r="D297" s="48" t="s">
        <v>2097</v>
      </c>
      <c r="E297" s="50">
        <v>22127.0</v>
      </c>
      <c r="F297" s="51">
        <v>44573.0</v>
      </c>
      <c r="G297" s="48" t="s">
        <v>5</v>
      </c>
      <c r="H297" s="48" t="s">
        <v>6218</v>
      </c>
      <c r="I297" s="48" t="s">
        <v>6219</v>
      </c>
      <c r="J297" s="48" t="s">
        <v>6186</v>
      </c>
      <c r="K297" s="52" t="b">
        <f>IFS($B297=FALSE,"", countif(VLOOKUP($A297,UASCAN!D:D,1,FALSE),$A297)&gt;=1,TRUE,countif(VLOOKUP($B297,UASCAN!D:D,1,FALSE),$B297)=0,FALSE)</f>
        <v>0</v>
      </c>
      <c r="L297" s="52" t="b">
        <f>IFS(B297=FALSE,"", countif(VLOOKUP($B297,'01122022'!B:B,1,FALSE),$B297)&gt;=1,TRUE,countif(VLOOKUP($B297,'01122022'!B:B,1,FALSE),$B297)=0,FALSE)</f>
        <v>1</v>
      </c>
      <c r="M297" s="52" t="str">
        <f>ifs(AND($K297=FALSE,$L297=TRUE),"",AND($K297=FALSE,L297=FALSE),"",AND($K297=TRUE,$L297=TRUE),VLOOKUP($A297,UASCAN!D:F,3,0), AND($K297=TRUE,$L297=FALSE),VLOOKUP($A297,UASCAN!D:F,3,0))</f>
        <v/>
      </c>
      <c r="N297" s="53" t="str">
        <f t="shared" si="2"/>
        <v> </v>
      </c>
      <c r="O297" s="53" t="str">
        <f t="shared" si="3"/>
        <v/>
      </c>
    </row>
    <row r="298">
      <c r="A298" s="47" t="str">
        <f t="shared" si="1"/>
        <v>1066244573</v>
      </c>
      <c r="B298" s="48">
        <v>10662.0</v>
      </c>
      <c r="C298" s="49">
        <v>0.4375</v>
      </c>
      <c r="D298" s="48" t="s">
        <v>631</v>
      </c>
      <c r="E298" s="50">
        <v>18416.0</v>
      </c>
      <c r="F298" s="51">
        <v>44573.0</v>
      </c>
      <c r="G298" s="48" t="s">
        <v>5</v>
      </c>
      <c r="H298" s="48" t="s">
        <v>6218</v>
      </c>
      <c r="I298" s="48" t="s">
        <v>6222</v>
      </c>
      <c r="J298" s="48" t="s">
        <v>6199</v>
      </c>
      <c r="K298" s="52" t="b">
        <f>IFS($B298=FALSE,"", countif(VLOOKUP($A298,UASCAN!D:D,1,FALSE),$A298)&gt;=1,TRUE,countif(VLOOKUP($B298,UASCAN!D:D,1,FALSE),$B298)=0,FALSE)</f>
        <v>0</v>
      </c>
      <c r="L298" s="52" t="b">
        <f>IFS(B298=FALSE,"", countif(VLOOKUP($B298,'01122022'!B:B,1,FALSE),$B298)&gt;=1,TRUE,countif(VLOOKUP($B298,'01122022'!B:B,1,FALSE),$B298)=0,FALSE)</f>
        <v>1</v>
      </c>
      <c r="M298" s="52" t="str">
        <f>ifs(AND($K298=FALSE,$L298=TRUE),"",AND($K298=FALSE,L298=FALSE),"",AND($K298=TRUE,$L298=TRUE),VLOOKUP($A298,UASCAN!D:F,3,0), AND($K298=TRUE,$L298=FALSE),VLOOKUP($A298,UASCAN!D:F,3,0))</f>
        <v/>
      </c>
      <c r="N298" s="53" t="str">
        <f t="shared" si="2"/>
        <v> </v>
      </c>
      <c r="O298" s="53" t="str">
        <f t="shared" si="3"/>
        <v/>
      </c>
    </row>
    <row r="299">
      <c r="A299" s="47" t="str">
        <f t="shared" si="1"/>
        <v>1673344573</v>
      </c>
      <c r="B299" s="48">
        <v>16733.0</v>
      </c>
      <c r="C299" s="49">
        <v>0.4583333333333333</v>
      </c>
      <c r="D299" s="48" t="s">
        <v>4912</v>
      </c>
      <c r="E299" s="50">
        <v>18127.0</v>
      </c>
      <c r="F299" s="51">
        <v>44573.0</v>
      </c>
      <c r="G299" s="48" t="s">
        <v>6216</v>
      </c>
      <c r="H299" s="48" t="s">
        <v>6218</v>
      </c>
      <c r="I299" s="48" t="s">
        <v>6219</v>
      </c>
      <c r="J299" s="48" t="s">
        <v>6196</v>
      </c>
      <c r="K299" s="52" t="b">
        <f>IFS($B299=FALSE,"", countif(VLOOKUP($A299,UASCAN!D:D,1,FALSE),$A299)&gt;=1,TRUE,countif(VLOOKUP($B299,UASCAN!D:D,1,FALSE),$B299)=0,FALSE)</f>
        <v>0</v>
      </c>
      <c r="L299" s="52" t="b">
        <f>IFS(B299=FALSE,"", countif(VLOOKUP($B299,'01122022'!B:B,1,FALSE),$B299)&gt;=1,TRUE,countif(VLOOKUP($B299,'01122022'!B:B,1,FALSE),$B299)=0,FALSE)</f>
        <v>1</v>
      </c>
      <c r="M299" s="52" t="str">
        <f>ifs(AND($K299=FALSE,$L299=TRUE),"",AND($K299=FALSE,L299=FALSE),"",AND($K299=TRUE,$L299=TRUE),VLOOKUP($A299,UASCAN!D:F,3,0), AND($K299=TRUE,$L299=FALSE),VLOOKUP($A299,UASCAN!D:F,3,0))</f>
        <v/>
      </c>
      <c r="N299" s="53" t="str">
        <f t="shared" si="2"/>
        <v> </v>
      </c>
      <c r="O299" s="53" t="str">
        <f t="shared" si="3"/>
        <v/>
      </c>
    </row>
    <row r="300">
      <c r="A300" s="47" t="str">
        <f t="shared" si="1"/>
        <v>1205144573</v>
      </c>
      <c r="B300" s="48">
        <v>12051.0</v>
      </c>
      <c r="C300" s="49">
        <v>0.4583333333333333</v>
      </c>
      <c r="D300" s="48" t="s">
        <v>5975</v>
      </c>
      <c r="E300" s="50">
        <v>19608.0</v>
      </c>
      <c r="F300" s="51">
        <v>44573.0</v>
      </c>
      <c r="G300" s="48" t="s">
        <v>6216</v>
      </c>
      <c r="H300" s="48" t="s">
        <v>6211</v>
      </c>
      <c r="I300" s="48" t="s">
        <v>6221</v>
      </c>
      <c r="J300" s="48" t="s">
        <v>6189</v>
      </c>
      <c r="K300" s="52" t="b">
        <f>IFS($B300=FALSE,"", countif(VLOOKUP($A300,UASCAN!D:D,1,FALSE),$A300)&gt;=1,TRUE,countif(VLOOKUP($B300,UASCAN!D:D,1,FALSE),$B300)=0,FALSE)</f>
        <v>0</v>
      </c>
      <c r="L300" s="52" t="b">
        <f>IFS(B300=FALSE,"", countif(VLOOKUP($B300,'01122022'!B:B,1,FALSE),$B300)&gt;=1,TRUE,countif(VLOOKUP($B300,'01122022'!B:B,1,FALSE),$B300)=0,FALSE)</f>
        <v>1</v>
      </c>
      <c r="M300" s="52" t="str">
        <f>ifs(AND($K300=FALSE,$L300=TRUE),"",AND($K300=FALSE,L300=FALSE),"",AND($K300=TRUE,$L300=TRUE),VLOOKUP($A300,UASCAN!D:F,3,0), AND($K300=TRUE,$L300=FALSE),VLOOKUP($A300,UASCAN!D:F,3,0))</f>
        <v/>
      </c>
      <c r="N300" s="53" t="str">
        <f t="shared" si="2"/>
        <v> </v>
      </c>
      <c r="O300" s="53" t="str">
        <f t="shared" si="3"/>
        <v/>
      </c>
    </row>
    <row r="301">
      <c r="A301" s="47" t="str">
        <f t="shared" si="1"/>
        <v>1755244573</v>
      </c>
      <c r="B301" s="48">
        <v>17552.0</v>
      </c>
      <c r="C301" s="49">
        <v>0.46875</v>
      </c>
      <c r="D301" s="48" t="s">
        <v>5554</v>
      </c>
      <c r="E301" s="50">
        <v>29202.0</v>
      </c>
      <c r="F301" s="51">
        <v>44573.0</v>
      </c>
      <c r="G301" s="48" t="s">
        <v>6216</v>
      </c>
      <c r="H301" s="48" t="s">
        <v>6218</v>
      </c>
      <c r="I301" s="48" t="s">
        <v>6222</v>
      </c>
      <c r="J301" s="48" t="s">
        <v>6142</v>
      </c>
      <c r="K301" s="52" t="b">
        <f>IFS($B301=FALSE,"", countif(VLOOKUP($A301,UASCAN!D:D,1,FALSE),$A301)&gt;=1,TRUE,countif(VLOOKUP($B301,UASCAN!D:D,1,FALSE),$B301)=0,FALSE)</f>
        <v>0</v>
      </c>
      <c r="L301" s="52" t="b">
        <f>IFS(B301=FALSE,"", countif(VLOOKUP($B301,'01122022'!B:B,1,FALSE),$B301)&gt;=1,TRUE,countif(VLOOKUP($B301,'01122022'!B:B,1,FALSE),$B301)=0,FALSE)</f>
        <v>1</v>
      </c>
      <c r="M301" s="52" t="str">
        <f>ifs(AND($K301=FALSE,$L301=TRUE),"",AND($K301=FALSE,L301=FALSE),"",AND($K301=TRUE,$L301=TRUE),VLOOKUP($A301,UASCAN!D:F,3,0), AND($K301=TRUE,$L301=FALSE),VLOOKUP($A301,UASCAN!D:F,3,0))</f>
        <v/>
      </c>
      <c r="N301" s="53" t="str">
        <f t="shared" si="2"/>
        <v> </v>
      </c>
      <c r="O301" s="53" t="str">
        <f t="shared" si="3"/>
        <v/>
      </c>
    </row>
    <row r="302">
      <c r="A302" s="47" t="str">
        <f t="shared" si="1"/>
        <v>1318744573</v>
      </c>
      <c r="B302" s="48">
        <v>13187.0</v>
      </c>
      <c r="C302" s="49">
        <v>0.5416666666666666</v>
      </c>
      <c r="D302" s="48" t="s">
        <v>5972</v>
      </c>
      <c r="E302" s="50">
        <v>20156.0</v>
      </c>
      <c r="F302" s="51">
        <v>44573.0</v>
      </c>
      <c r="G302" s="48" t="s">
        <v>6215</v>
      </c>
      <c r="H302" s="48" t="s">
        <v>6218</v>
      </c>
      <c r="I302" s="48" t="s">
        <v>6219</v>
      </c>
      <c r="J302" s="48" t="s">
        <v>6105</v>
      </c>
      <c r="K302" s="52" t="b">
        <f>IFS($B302=FALSE,"", countif(VLOOKUP($A302,UASCAN!D:D,1,FALSE),$A302)&gt;=1,TRUE,countif(VLOOKUP($B302,UASCAN!D:D,1,FALSE),$B302)=0,FALSE)</f>
        <v>0</v>
      </c>
      <c r="L302" s="52" t="b">
        <f>IFS(B302=FALSE,"", countif(VLOOKUP($B302,'01122022'!B:B,1,FALSE),$B302)&gt;=1,TRUE,countif(VLOOKUP($B302,'01122022'!B:B,1,FALSE),$B302)=0,FALSE)</f>
        <v>1</v>
      </c>
      <c r="M302" s="52" t="str">
        <f>ifs(AND($K302=FALSE,$L302=TRUE),"",AND($K302=FALSE,L302=FALSE),"",AND($K302=TRUE,$L302=TRUE),VLOOKUP($A302,UASCAN!D:F,3,0), AND($K302=TRUE,$L302=FALSE),VLOOKUP($A302,UASCAN!D:F,3,0))</f>
        <v/>
      </c>
      <c r="N302" s="53" t="str">
        <f t="shared" si="2"/>
        <v> </v>
      </c>
      <c r="O302" s="53" t="str">
        <f t="shared" si="3"/>
        <v/>
      </c>
    </row>
    <row r="303">
      <c r="A303" s="47" t="str">
        <f t="shared" si="1"/>
        <v>1782144573</v>
      </c>
      <c r="B303" s="48">
        <v>17821.0</v>
      </c>
      <c r="C303" s="49">
        <v>0.5416666666666666</v>
      </c>
      <c r="D303" s="48" t="s">
        <v>5976</v>
      </c>
      <c r="E303" s="50">
        <v>20126.0</v>
      </c>
      <c r="F303" s="51">
        <v>44573.0</v>
      </c>
      <c r="G303" s="48" t="s">
        <v>6214</v>
      </c>
      <c r="H303" s="48" t="s">
        <v>6211</v>
      </c>
      <c r="I303" s="48" t="s">
        <v>6221</v>
      </c>
      <c r="J303" s="48" t="s">
        <v>6193</v>
      </c>
      <c r="K303" s="52" t="b">
        <f>IFS($B303=FALSE,"", countif(VLOOKUP($A303,UASCAN!D:D,1,FALSE),$A303)&gt;=1,TRUE,countif(VLOOKUP($B303,UASCAN!D:D,1,FALSE),$B303)=0,FALSE)</f>
        <v>0</v>
      </c>
      <c r="L303" s="52" t="b">
        <f>IFS(B303=FALSE,"", countif(VLOOKUP($B303,'01122022'!B:B,1,FALSE),$B303)&gt;=1,TRUE,countif(VLOOKUP($B303,'01122022'!B:B,1,FALSE),$B303)=0,FALSE)</f>
        <v>1</v>
      </c>
      <c r="M303" s="52" t="str">
        <f>ifs(AND($K303=FALSE,$L303=TRUE),"",AND($K303=FALSE,L303=FALSE),"",AND($K303=TRUE,$L303=TRUE),VLOOKUP($A303,UASCAN!D:F,3,0), AND($K303=TRUE,$L303=FALSE),VLOOKUP($A303,UASCAN!D:F,3,0))</f>
        <v/>
      </c>
      <c r="N303" s="53" t="str">
        <f t="shared" si="2"/>
        <v> </v>
      </c>
      <c r="O303" s="53" t="str">
        <f t="shared" si="3"/>
        <v/>
      </c>
    </row>
    <row r="304">
      <c r="A304" s="47" t="str">
        <f t="shared" si="1"/>
        <v>1763344573</v>
      </c>
      <c r="B304" s="48">
        <v>17633.0</v>
      </c>
      <c r="C304" s="49">
        <v>0.5416666666666666</v>
      </c>
      <c r="D304" s="48" t="s">
        <v>5797</v>
      </c>
      <c r="E304" s="50">
        <v>20719.0</v>
      </c>
      <c r="F304" s="51">
        <v>44573.0</v>
      </c>
      <c r="G304" s="48" t="s">
        <v>6214</v>
      </c>
      <c r="H304" s="48" t="s">
        <v>6211</v>
      </c>
      <c r="I304" s="48" t="s">
        <v>6221</v>
      </c>
      <c r="J304" s="48" t="s">
        <v>6189</v>
      </c>
      <c r="K304" s="52" t="b">
        <f>IFS($B304=FALSE,"", countif(VLOOKUP($A304,UASCAN!D:D,1,FALSE),$A304)&gt;=1,TRUE,countif(VLOOKUP($B304,UASCAN!D:D,1,FALSE),$B304)=0,FALSE)</f>
        <v>0</v>
      </c>
      <c r="L304" s="52" t="b">
        <f>IFS(B304=FALSE,"", countif(VLOOKUP($B304,'01122022'!B:B,1,FALSE),$B304)&gt;=1,TRUE,countif(VLOOKUP($B304,'01122022'!B:B,1,FALSE),$B304)=0,FALSE)</f>
        <v>1</v>
      </c>
      <c r="M304" s="52" t="str">
        <f>ifs(AND($K304=FALSE,$L304=TRUE),"",AND($K304=FALSE,L304=FALSE),"",AND($K304=TRUE,$L304=TRUE),VLOOKUP($A304,UASCAN!D:F,3,0), AND($K304=TRUE,$L304=FALSE),VLOOKUP($A304,UASCAN!D:F,3,0))</f>
        <v/>
      </c>
      <c r="N304" s="53" t="str">
        <f t="shared" si="2"/>
        <v> </v>
      </c>
      <c r="O304" s="53" t="str">
        <f t="shared" si="3"/>
        <v/>
      </c>
    </row>
    <row r="305">
      <c r="A305" s="47" t="str">
        <f t="shared" si="1"/>
        <v>1301944573</v>
      </c>
      <c r="B305" s="48">
        <v>13019.0</v>
      </c>
      <c r="C305" s="49">
        <v>0.5416666666666666</v>
      </c>
      <c r="D305" s="48" t="s">
        <v>1905</v>
      </c>
      <c r="E305" s="50">
        <v>20401.0</v>
      </c>
      <c r="F305" s="51">
        <v>44573.0</v>
      </c>
      <c r="G305" s="48" t="s">
        <v>5</v>
      </c>
      <c r="H305" s="48" t="s">
        <v>6218</v>
      </c>
      <c r="I305" s="48" t="s">
        <v>6222</v>
      </c>
      <c r="J305" s="48" t="s">
        <v>6158</v>
      </c>
      <c r="K305" s="52" t="b">
        <f>IFS($B305=FALSE,"", countif(VLOOKUP($A305,UASCAN!D:D,1,FALSE),$A305)&gt;=1,TRUE,countif(VLOOKUP($B305,UASCAN!D:D,1,FALSE),$B305)=0,FALSE)</f>
        <v>0</v>
      </c>
      <c r="L305" s="52" t="b">
        <f>IFS(B305=FALSE,"", countif(VLOOKUP($B305,'01122022'!B:B,1,FALSE),$B305)&gt;=1,TRUE,countif(VLOOKUP($B305,'01122022'!B:B,1,FALSE),$B305)=0,FALSE)</f>
        <v>1</v>
      </c>
      <c r="M305" s="52" t="str">
        <f>ifs(AND($K305=FALSE,$L305=TRUE),"",AND($K305=FALSE,L305=FALSE),"",AND($K305=TRUE,$L305=TRUE),VLOOKUP($A305,UASCAN!D:F,3,0), AND($K305=TRUE,$L305=FALSE),VLOOKUP($A305,UASCAN!D:F,3,0))</f>
        <v/>
      </c>
      <c r="N305" s="53" t="str">
        <f t="shared" si="2"/>
        <v> </v>
      </c>
      <c r="O305" s="53" t="str">
        <f t="shared" si="3"/>
        <v/>
      </c>
    </row>
    <row r="306">
      <c r="A306" s="47" t="str">
        <f t="shared" si="1"/>
        <v>1587044573</v>
      </c>
      <c r="B306" s="48">
        <v>15870.0</v>
      </c>
      <c r="C306" s="49">
        <v>0.5520833333333334</v>
      </c>
      <c r="D306" s="48" t="s">
        <v>4224</v>
      </c>
      <c r="E306" s="50">
        <v>23931.0</v>
      </c>
      <c r="F306" s="51">
        <v>44573.0</v>
      </c>
      <c r="G306" s="48" t="s">
        <v>6216</v>
      </c>
      <c r="H306" s="48" t="s">
        <v>6218</v>
      </c>
      <c r="I306" s="48" t="s">
        <v>6219</v>
      </c>
      <c r="J306" s="48" t="s">
        <v>6142</v>
      </c>
      <c r="K306" s="52" t="b">
        <f>IFS($B306=FALSE,"", countif(VLOOKUP($A306,UASCAN!D:D,1,FALSE),$A306)&gt;=1,TRUE,countif(VLOOKUP($B306,UASCAN!D:D,1,FALSE),$B306)=0,FALSE)</f>
        <v>0</v>
      </c>
      <c r="L306" s="52" t="b">
        <f>IFS(B306=FALSE,"", countif(VLOOKUP($B306,'01122022'!B:B,1,FALSE),$B306)&gt;=1,TRUE,countif(VLOOKUP($B306,'01122022'!B:B,1,FALSE),$B306)=0,FALSE)</f>
        <v>1</v>
      </c>
      <c r="M306" s="52" t="str">
        <f>ifs(AND($K306=FALSE,$L306=TRUE),"",AND($K306=FALSE,L306=FALSE),"",AND($K306=TRUE,$L306=TRUE),VLOOKUP($A306,UASCAN!D:F,3,0), AND($K306=TRUE,$L306=FALSE),VLOOKUP($A306,UASCAN!D:F,3,0))</f>
        <v/>
      </c>
      <c r="N306" s="53" t="str">
        <f t="shared" si="2"/>
        <v> </v>
      </c>
      <c r="O306" s="53" t="str">
        <f t="shared" si="3"/>
        <v/>
      </c>
    </row>
    <row r="307">
      <c r="A307" s="47" t="str">
        <f t="shared" si="1"/>
        <v>1397244573</v>
      </c>
      <c r="B307" s="48">
        <v>13972.0</v>
      </c>
      <c r="C307" s="49">
        <v>0.5625</v>
      </c>
      <c r="D307" s="48" t="s">
        <v>2650</v>
      </c>
      <c r="E307" s="50">
        <v>17231.0</v>
      </c>
      <c r="F307" s="51">
        <v>44573.0</v>
      </c>
      <c r="G307" s="48" t="s">
        <v>6216</v>
      </c>
      <c r="H307" s="48" t="s">
        <v>6218</v>
      </c>
      <c r="I307" s="48" t="s">
        <v>6222</v>
      </c>
      <c r="J307" s="48" t="s">
        <v>6195</v>
      </c>
      <c r="K307" s="52" t="b">
        <f>IFS($B307=FALSE,"", countif(VLOOKUP($A307,UASCAN!D:D,1,FALSE),$A307)&gt;=1,TRUE,countif(VLOOKUP($B307,UASCAN!D:D,1,FALSE),$B307)=0,FALSE)</f>
        <v>0</v>
      </c>
      <c r="L307" s="52" t="b">
        <f>IFS(B307=FALSE,"", countif(VLOOKUP($B307,'01122022'!B:B,1,FALSE),$B307)&gt;=1,TRUE,countif(VLOOKUP($B307,'01122022'!B:B,1,FALSE),$B307)=0,FALSE)</f>
        <v>1</v>
      </c>
      <c r="M307" s="52" t="str">
        <f>ifs(AND($K307=FALSE,$L307=TRUE),"",AND($K307=FALSE,L307=FALSE),"",AND($K307=TRUE,$L307=TRUE),VLOOKUP($A307,UASCAN!D:F,3,0), AND($K307=TRUE,$L307=FALSE),VLOOKUP($A307,UASCAN!D:F,3,0))</f>
        <v/>
      </c>
      <c r="N307" s="53" t="str">
        <f t="shared" si="2"/>
        <v> </v>
      </c>
      <c r="O307" s="53" t="str">
        <f t="shared" si="3"/>
        <v/>
      </c>
    </row>
    <row r="308">
      <c r="A308" s="47" t="str">
        <f t="shared" si="1"/>
        <v>1108844573</v>
      </c>
      <c r="B308" s="48">
        <v>11088.0</v>
      </c>
      <c r="C308" s="49">
        <v>0.5625</v>
      </c>
      <c r="D308" s="48" t="s">
        <v>806</v>
      </c>
      <c r="E308" s="50">
        <v>14999.0</v>
      </c>
      <c r="F308" s="51">
        <v>44573.0</v>
      </c>
      <c r="G308" s="48" t="s">
        <v>6215</v>
      </c>
      <c r="H308" s="48" t="s">
        <v>6218</v>
      </c>
      <c r="I308" s="48" t="s">
        <v>6222</v>
      </c>
      <c r="J308" s="48" t="s">
        <v>6186</v>
      </c>
      <c r="K308" s="52" t="b">
        <f>IFS($B308=FALSE,"", countif(VLOOKUP($A308,UASCAN!D:D,1,FALSE),$A308)&gt;=1,TRUE,countif(VLOOKUP($B308,UASCAN!D:D,1,FALSE),$B308)=0,FALSE)</f>
        <v>0</v>
      </c>
      <c r="L308" s="52" t="b">
        <f>IFS(B308=FALSE,"", countif(VLOOKUP($B308,'01122022'!B:B,1,FALSE),$B308)&gt;=1,TRUE,countif(VLOOKUP($B308,'01122022'!B:B,1,FALSE),$B308)=0,FALSE)</f>
        <v>1</v>
      </c>
      <c r="M308" s="52" t="str">
        <f>ifs(AND($K308=FALSE,$L308=TRUE),"",AND($K308=FALSE,L308=FALSE),"",AND($K308=TRUE,$L308=TRUE),VLOOKUP($A308,UASCAN!D:F,3,0), AND($K308=TRUE,$L308=FALSE),VLOOKUP($A308,UASCAN!D:F,3,0))</f>
        <v/>
      </c>
      <c r="N308" s="53" t="str">
        <f t="shared" si="2"/>
        <v> </v>
      </c>
      <c r="O308" s="53" t="str">
        <f t="shared" si="3"/>
        <v/>
      </c>
    </row>
    <row r="309">
      <c r="A309" s="47" t="str">
        <f t="shared" si="1"/>
        <v>1272444573</v>
      </c>
      <c r="B309" s="48">
        <v>12724.0</v>
      </c>
      <c r="C309" s="49">
        <v>0.5833333333333334</v>
      </c>
      <c r="D309" s="48" t="s">
        <v>1659</v>
      </c>
      <c r="E309" s="50">
        <v>25314.0</v>
      </c>
      <c r="F309" s="51">
        <v>44573.0</v>
      </c>
      <c r="G309" s="48" t="s">
        <v>6215</v>
      </c>
      <c r="H309" s="48" t="s">
        <v>6218</v>
      </c>
      <c r="I309" s="48" t="s">
        <v>6222</v>
      </c>
      <c r="J309" s="48" t="s">
        <v>6148</v>
      </c>
      <c r="K309" s="52" t="b">
        <f>IFS($B309=FALSE,"", countif(VLOOKUP($A309,UASCAN!D:D,1,FALSE),$A309)&gt;=1,TRUE,countif(VLOOKUP($B309,UASCAN!D:D,1,FALSE),$B309)=0,FALSE)</f>
        <v>0</v>
      </c>
      <c r="L309" s="52" t="b">
        <f>IFS(B309=FALSE,"", countif(VLOOKUP($B309,'01122022'!B:B,1,FALSE),$B309)&gt;=1,TRUE,countif(VLOOKUP($B309,'01122022'!B:B,1,FALSE),$B309)=0,FALSE)</f>
        <v>1</v>
      </c>
      <c r="M309" s="52" t="str">
        <f>ifs(AND($K309=FALSE,$L309=TRUE),"",AND($K309=FALSE,L309=FALSE),"",AND($K309=TRUE,$L309=TRUE),VLOOKUP($A309,UASCAN!D:F,3,0), AND($K309=TRUE,$L309=FALSE),VLOOKUP($A309,UASCAN!D:F,3,0))</f>
        <v/>
      </c>
      <c r="N309" s="53" t="str">
        <f t="shared" si="2"/>
        <v> </v>
      </c>
      <c r="O309" s="53" t="str">
        <f t="shared" si="3"/>
        <v/>
      </c>
    </row>
    <row r="310">
      <c r="A310" s="47" t="str">
        <f t="shared" si="1"/>
        <v>1784844573</v>
      </c>
      <c r="B310" s="48">
        <v>17848.0</v>
      </c>
      <c r="C310" s="49">
        <v>0.6145833333333334</v>
      </c>
      <c r="D310" s="48" t="s">
        <v>5977</v>
      </c>
      <c r="E310" s="50">
        <v>19261.0</v>
      </c>
      <c r="F310" s="51">
        <v>44573.0</v>
      </c>
      <c r="G310" s="48" t="s">
        <v>6214</v>
      </c>
      <c r="H310" s="48" t="s">
        <v>6211</v>
      </c>
      <c r="I310" s="48" t="s">
        <v>6221</v>
      </c>
      <c r="J310" s="48" t="s">
        <v>6189</v>
      </c>
      <c r="K310" s="52" t="b">
        <f>IFS($B310=FALSE,"", countif(VLOOKUP($A310,UASCAN!D:D,1,FALSE),$A310)&gt;=1,TRUE,countif(VLOOKUP($B310,UASCAN!D:D,1,FALSE),$B310)=0,FALSE)</f>
        <v>0</v>
      </c>
      <c r="L310" s="52" t="b">
        <f>IFS(B310=FALSE,"", countif(VLOOKUP($B310,'01122022'!B:B,1,FALSE),$B310)&gt;=1,TRUE,countif(VLOOKUP($B310,'01122022'!B:B,1,FALSE),$B310)=0,FALSE)</f>
        <v>1</v>
      </c>
      <c r="M310" s="52" t="str">
        <f>ifs(AND($K310=FALSE,$L310=TRUE),"",AND($K310=FALSE,L310=FALSE),"",AND($K310=TRUE,$L310=TRUE),VLOOKUP($A310,UASCAN!D:F,3,0), AND($K310=TRUE,$L310=FALSE),VLOOKUP($A310,UASCAN!D:F,3,0))</f>
        <v/>
      </c>
      <c r="N310" s="53" t="str">
        <f t="shared" si="2"/>
        <v> </v>
      </c>
      <c r="O310" s="53" t="str">
        <f t="shared" si="3"/>
        <v/>
      </c>
    </row>
    <row r="311">
      <c r="A311" s="47" t="str">
        <f t="shared" si="1"/>
        <v>1783144573</v>
      </c>
      <c r="B311" s="48">
        <v>17831.0</v>
      </c>
      <c r="C311" s="49">
        <v>0.6145833333333334</v>
      </c>
      <c r="D311" s="48" t="s">
        <v>5978</v>
      </c>
      <c r="E311" s="50">
        <v>18671.0</v>
      </c>
      <c r="F311" s="51">
        <v>44573.0</v>
      </c>
      <c r="G311" s="48" t="s">
        <v>6214</v>
      </c>
      <c r="H311" s="48" t="s">
        <v>6211</v>
      </c>
      <c r="I311" s="48" t="s">
        <v>6221</v>
      </c>
      <c r="J311" s="48" t="s">
        <v>6196</v>
      </c>
      <c r="K311" s="52" t="b">
        <f>IFS($B311=FALSE,"", countif(VLOOKUP($A311,UASCAN!D:D,1,FALSE),$A311)&gt;=1,TRUE,countif(VLOOKUP($B311,UASCAN!D:D,1,FALSE),$B311)=0,FALSE)</f>
        <v>0</v>
      </c>
      <c r="L311" s="52" t="b">
        <f>IFS(B311=FALSE,"", countif(VLOOKUP($B311,'01122022'!B:B,1,FALSE),$B311)&gt;=1,TRUE,countif(VLOOKUP($B311,'01122022'!B:B,1,FALSE),$B311)=0,FALSE)</f>
        <v>1</v>
      </c>
      <c r="M311" s="52" t="str">
        <f>ifs(AND($K311=FALSE,$L311=TRUE),"",AND($K311=FALSE,L311=FALSE),"",AND($K311=TRUE,$L311=TRUE),VLOOKUP($A311,UASCAN!D:F,3,0), AND($K311=TRUE,$L311=FALSE),VLOOKUP($A311,UASCAN!D:F,3,0))</f>
        <v/>
      </c>
      <c r="N311" s="53" t="str">
        <f t="shared" si="2"/>
        <v> </v>
      </c>
      <c r="O311" s="53" t="str">
        <f t="shared" si="3"/>
        <v/>
      </c>
    </row>
    <row r="312">
      <c r="A312" s="47" t="str">
        <f t="shared" si="1"/>
        <v>1023744573</v>
      </c>
      <c r="B312" s="48">
        <v>10237.0</v>
      </c>
      <c r="C312" s="49">
        <v>0.6145833333333334</v>
      </c>
      <c r="D312" s="48" t="s">
        <v>463</v>
      </c>
      <c r="E312" s="50">
        <v>21414.0</v>
      </c>
      <c r="F312" s="51">
        <v>44573.0</v>
      </c>
      <c r="G312" s="48" t="s">
        <v>6216</v>
      </c>
      <c r="H312" s="48" t="s">
        <v>6211</v>
      </c>
      <c r="I312" s="48" t="s">
        <v>6221</v>
      </c>
      <c r="J312" s="48" t="s">
        <v>6192</v>
      </c>
      <c r="K312" s="52" t="b">
        <f>IFS($B312=FALSE,"", countif(VLOOKUP($A312,UASCAN!D:D,1,FALSE),$A312)&gt;=1,TRUE,countif(VLOOKUP($B312,UASCAN!D:D,1,FALSE),$B312)=0,FALSE)</f>
        <v>0</v>
      </c>
      <c r="L312" s="52" t="b">
        <f>IFS(B312=FALSE,"", countif(VLOOKUP($B312,'01122022'!B:B,1,FALSE),$B312)&gt;=1,TRUE,countif(VLOOKUP($B312,'01122022'!B:B,1,FALSE),$B312)=0,FALSE)</f>
        <v>1</v>
      </c>
      <c r="M312" s="52" t="str">
        <f>ifs(AND($K312=FALSE,$L312=TRUE),"",AND($K312=FALSE,L312=FALSE),"",AND($K312=TRUE,$L312=TRUE),VLOOKUP($A312,UASCAN!D:F,3,0), AND($K312=TRUE,$L312=FALSE),VLOOKUP($A312,UASCAN!D:F,3,0))</f>
        <v/>
      </c>
      <c r="N312" s="53" t="str">
        <f t="shared" si="2"/>
        <v> </v>
      </c>
      <c r="O312" s="53" t="str">
        <f t="shared" si="3"/>
        <v/>
      </c>
    </row>
    <row r="313">
      <c r="A313" s="47" t="str">
        <f t="shared" si="1"/>
        <v>1415944573</v>
      </c>
      <c r="B313" s="48">
        <v>14159.0</v>
      </c>
      <c r="C313" s="49">
        <v>0.6145833333333334</v>
      </c>
      <c r="D313" s="48" t="s">
        <v>2789</v>
      </c>
      <c r="E313" s="50">
        <v>31274.0</v>
      </c>
      <c r="F313" s="51">
        <v>44573.0</v>
      </c>
      <c r="G313" s="48" t="s">
        <v>5</v>
      </c>
      <c r="H313" s="48" t="s">
        <v>6218</v>
      </c>
      <c r="I313" s="48" t="s">
        <v>6222</v>
      </c>
      <c r="J313" s="48" t="s">
        <v>6199</v>
      </c>
      <c r="K313" s="52" t="b">
        <f>IFS($B313=FALSE,"", countif(VLOOKUP($A313,UASCAN!D:D,1,FALSE),$A313)&gt;=1,TRUE,countif(VLOOKUP($B313,UASCAN!D:D,1,FALSE),$B313)=0,FALSE)</f>
        <v>0</v>
      </c>
      <c r="L313" s="52" t="b">
        <f>IFS(B313=FALSE,"", countif(VLOOKUP($B313,'01122022'!B:B,1,FALSE),$B313)&gt;=1,TRUE,countif(VLOOKUP($B313,'01122022'!B:B,1,FALSE),$B313)=0,FALSE)</f>
        <v>1</v>
      </c>
      <c r="M313" s="52" t="str">
        <f>ifs(AND($K313=FALSE,$L313=TRUE),"",AND($K313=FALSE,L313=FALSE),"",AND($K313=TRUE,$L313=TRUE),VLOOKUP($A313,UASCAN!D:F,3,0), AND($K313=TRUE,$L313=FALSE),VLOOKUP($A313,UASCAN!D:F,3,0))</f>
        <v/>
      </c>
      <c r="N313" s="53" t="str">
        <f t="shared" si="2"/>
        <v> </v>
      </c>
      <c r="O313" s="53" t="str">
        <f t="shared" si="3"/>
        <v/>
      </c>
    </row>
    <row r="314">
      <c r="A314" s="47" t="str">
        <f t="shared" si="1"/>
        <v>1580244573</v>
      </c>
      <c r="B314" s="48">
        <v>15802.0</v>
      </c>
      <c r="C314" s="49">
        <v>0.625</v>
      </c>
      <c r="D314" s="48" t="s">
        <v>4162</v>
      </c>
      <c r="E314" s="50">
        <v>14014.0</v>
      </c>
      <c r="F314" s="51">
        <v>44573.0</v>
      </c>
      <c r="G314" s="48" t="s">
        <v>6215</v>
      </c>
      <c r="H314" s="48" t="s">
        <v>6218</v>
      </c>
      <c r="I314" s="48" t="s">
        <v>6219</v>
      </c>
      <c r="J314" s="48" t="s">
        <v>6137</v>
      </c>
      <c r="K314" s="52" t="b">
        <f>IFS($B314=FALSE,"", countif(VLOOKUP($A314,UASCAN!D:D,1,FALSE),$A314)&gt;=1,TRUE,countif(VLOOKUP($B314,UASCAN!D:D,1,FALSE),$B314)=0,FALSE)</f>
        <v>0</v>
      </c>
      <c r="L314" s="52" t="b">
        <f>IFS(B314=FALSE,"", countif(VLOOKUP($B314,'01122022'!B:B,1,FALSE),$B314)&gt;=1,TRUE,countif(VLOOKUP($B314,'01122022'!B:B,1,FALSE),$B314)=0,FALSE)</f>
        <v>1</v>
      </c>
      <c r="M314" s="52" t="str">
        <f>ifs(AND($K314=FALSE,$L314=TRUE),"",AND($K314=FALSE,L314=FALSE),"",AND($K314=TRUE,$L314=TRUE),VLOOKUP($A314,UASCAN!D:F,3,0), AND($K314=TRUE,$L314=FALSE),VLOOKUP($A314,UASCAN!D:F,3,0))</f>
        <v/>
      </c>
      <c r="N314" s="53" t="str">
        <f t="shared" si="2"/>
        <v> </v>
      </c>
      <c r="O314" s="53" t="str">
        <f t="shared" si="3"/>
        <v/>
      </c>
    </row>
    <row r="315">
      <c r="A315" s="47" t="str">
        <f t="shared" si="1"/>
        <v>1566744573</v>
      </c>
      <c r="B315" s="48">
        <v>15667.0</v>
      </c>
      <c r="C315" s="49">
        <v>0.625</v>
      </c>
      <c r="D315" s="48" t="s">
        <v>4038</v>
      </c>
      <c r="E315" s="50">
        <v>28612.0</v>
      </c>
      <c r="F315" s="51">
        <v>44573.0</v>
      </c>
      <c r="G315" s="48" t="s">
        <v>6215</v>
      </c>
      <c r="H315" s="48" t="s">
        <v>6218</v>
      </c>
      <c r="I315" s="48" t="s">
        <v>6222</v>
      </c>
      <c r="J315" s="48" t="s">
        <v>6126</v>
      </c>
      <c r="K315" s="52" t="b">
        <f>IFS($B315=FALSE,"", countif(VLOOKUP($A315,UASCAN!D:D,1,FALSE),$A315)&gt;=1,TRUE,countif(VLOOKUP($B315,UASCAN!D:D,1,FALSE),$B315)=0,FALSE)</f>
        <v>0</v>
      </c>
      <c r="L315" s="52" t="b">
        <f>IFS(B315=FALSE,"", countif(VLOOKUP($B315,'01122022'!B:B,1,FALSE),$B315)&gt;=1,TRUE,countif(VLOOKUP($B315,'01122022'!B:B,1,FALSE),$B315)=0,FALSE)</f>
        <v>1</v>
      </c>
      <c r="M315" s="52" t="str">
        <f>ifs(AND($K315=FALSE,$L315=TRUE),"",AND($K315=FALSE,L315=FALSE),"",AND($K315=TRUE,$L315=TRUE),VLOOKUP($A315,UASCAN!D:F,3,0), AND($K315=TRUE,$L315=FALSE),VLOOKUP($A315,UASCAN!D:F,3,0))</f>
        <v/>
      </c>
      <c r="N315" s="53" t="str">
        <f t="shared" si="2"/>
        <v> </v>
      </c>
      <c r="O315" s="53" t="str">
        <f t="shared" si="3"/>
        <v/>
      </c>
    </row>
    <row r="316">
      <c r="A316" s="47" t="str">
        <f t="shared" si="1"/>
        <v>998744573</v>
      </c>
      <c r="B316" s="48">
        <v>9987.0</v>
      </c>
      <c r="C316" s="49">
        <v>0.625</v>
      </c>
      <c r="D316" s="48" t="s">
        <v>363</v>
      </c>
      <c r="E316" s="50">
        <v>25661.0</v>
      </c>
      <c r="F316" s="51">
        <v>44573.0</v>
      </c>
      <c r="G316" s="48" t="s">
        <v>5</v>
      </c>
      <c r="H316" s="48" t="s">
        <v>6218</v>
      </c>
      <c r="I316" s="48" t="s">
        <v>6222</v>
      </c>
      <c r="J316" s="48" t="s">
        <v>6117</v>
      </c>
      <c r="K316" s="52" t="b">
        <f>IFS($B316=FALSE,"", countif(VLOOKUP($A316,UASCAN!D:D,1,FALSE),$A316)&gt;=1,TRUE,countif(VLOOKUP($B316,UASCAN!D:D,1,FALSE),$B316)=0,FALSE)</f>
        <v>0</v>
      </c>
      <c r="L316" s="52" t="b">
        <f>IFS(B316=FALSE,"", countif(VLOOKUP($B316,'01122022'!B:B,1,FALSE),$B316)&gt;=1,TRUE,countif(VLOOKUP($B316,'01122022'!B:B,1,FALSE),$B316)=0,FALSE)</f>
        <v>1</v>
      </c>
      <c r="M316" s="52" t="str">
        <f>ifs(AND($K316=FALSE,$L316=TRUE),"",AND($K316=FALSE,L316=FALSE),"",AND($K316=TRUE,$L316=TRUE),VLOOKUP($A316,UASCAN!D:F,3,0), AND($K316=TRUE,$L316=FALSE),VLOOKUP($A316,UASCAN!D:F,3,0))</f>
        <v/>
      </c>
      <c r="N316" s="53" t="str">
        <f t="shared" si="2"/>
        <v> </v>
      </c>
      <c r="O316" s="53" t="str">
        <f t="shared" si="3"/>
        <v/>
      </c>
    </row>
    <row r="317">
      <c r="A317" s="47" t="str">
        <f t="shared" si="1"/>
        <v>1144644573</v>
      </c>
      <c r="B317" s="48">
        <v>11446.0</v>
      </c>
      <c r="C317" s="49">
        <v>0.6354166666666666</v>
      </c>
      <c r="D317" s="48" t="s">
        <v>960</v>
      </c>
      <c r="E317" s="50">
        <v>26192.0</v>
      </c>
      <c r="F317" s="51">
        <v>44573.0</v>
      </c>
      <c r="G317" s="48" t="s">
        <v>6220</v>
      </c>
      <c r="H317" s="48" t="s">
        <v>6218</v>
      </c>
      <c r="I317" s="48" t="s">
        <v>6219</v>
      </c>
      <c r="J317" s="48" t="s">
        <v>6192</v>
      </c>
      <c r="K317" s="52" t="b">
        <f>IFS($B317=FALSE,"", countif(VLOOKUP($A317,UASCAN!D:D,1,FALSE),$A317)&gt;=1,TRUE,countif(VLOOKUP($B317,UASCAN!D:D,1,FALSE),$B317)=0,FALSE)</f>
        <v>0</v>
      </c>
      <c r="L317" s="52" t="b">
        <f>IFS(B317=FALSE,"", countif(VLOOKUP($B317,'01122022'!B:B,1,FALSE),$B317)&gt;=1,TRUE,countif(VLOOKUP($B317,'01122022'!B:B,1,FALSE),$B317)=0,FALSE)</f>
        <v>1</v>
      </c>
      <c r="M317" s="52" t="str">
        <f>ifs(AND($K317=FALSE,$L317=TRUE),"",AND($K317=FALSE,L317=FALSE),"",AND($K317=TRUE,$L317=TRUE),VLOOKUP($A317,UASCAN!D:F,3,0), AND($K317=TRUE,$L317=FALSE),VLOOKUP($A317,UASCAN!D:F,3,0))</f>
        <v/>
      </c>
      <c r="N317" s="53" t="str">
        <f t="shared" si="2"/>
        <v> </v>
      </c>
      <c r="O317" s="53" t="str">
        <f t="shared" si="3"/>
        <v/>
      </c>
    </row>
    <row r="318">
      <c r="A318" s="47" t="str">
        <f t="shared" si="1"/>
        <v>945744573</v>
      </c>
      <c r="B318" s="48">
        <v>9457.0</v>
      </c>
      <c r="C318" s="49">
        <v>0.6354166666666666</v>
      </c>
      <c r="D318" s="48" t="s">
        <v>172</v>
      </c>
      <c r="E318" s="50">
        <v>18817.0</v>
      </c>
      <c r="F318" s="51">
        <v>44573.0</v>
      </c>
      <c r="G318" s="48" t="s">
        <v>6220</v>
      </c>
      <c r="H318" s="48" t="s">
        <v>6211</v>
      </c>
      <c r="I318" s="48" t="s">
        <v>6221</v>
      </c>
      <c r="J318" s="48" t="s">
        <v>6196</v>
      </c>
      <c r="K318" s="52" t="b">
        <f>IFS($B318=FALSE,"", countif(VLOOKUP($A318,UASCAN!D:D,1,FALSE),$A318)&gt;=1,TRUE,countif(VLOOKUP($B318,UASCAN!D:D,1,FALSE),$B318)=0,FALSE)</f>
        <v>0</v>
      </c>
      <c r="L318" s="52" t="b">
        <f>IFS(B318=FALSE,"", countif(VLOOKUP($B318,'01122022'!B:B,1,FALSE),$B318)&gt;=1,TRUE,countif(VLOOKUP($B318,'01122022'!B:B,1,FALSE),$B318)=0,FALSE)</f>
        <v>1</v>
      </c>
      <c r="M318" s="52" t="str">
        <f>ifs(AND($K318=FALSE,$L318=TRUE),"",AND($K318=FALSE,L318=FALSE),"",AND($K318=TRUE,$L318=TRUE),VLOOKUP($A318,UASCAN!D:F,3,0), AND($K318=TRUE,$L318=FALSE),VLOOKUP($A318,UASCAN!D:F,3,0))</f>
        <v/>
      </c>
      <c r="N318" s="53" t="str">
        <f t="shared" si="2"/>
        <v> </v>
      </c>
      <c r="O318" s="53" t="str">
        <f t="shared" si="3"/>
        <v/>
      </c>
    </row>
    <row r="319">
      <c r="A319" s="47" t="str">
        <f t="shared" si="1"/>
        <v>1217444573</v>
      </c>
      <c r="B319" s="48">
        <v>12174.0</v>
      </c>
      <c r="C319" s="49">
        <v>0.6354166666666666</v>
      </c>
      <c r="D319" s="48" t="s">
        <v>1308</v>
      </c>
      <c r="E319" s="50">
        <v>17259.0</v>
      </c>
      <c r="F319" s="51">
        <v>44573.0</v>
      </c>
      <c r="G319" s="48" t="s">
        <v>6216</v>
      </c>
      <c r="H319" s="48" t="s">
        <v>6211</v>
      </c>
      <c r="I319" s="48" t="s">
        <v>6221</v>
      </c>
      <c r="J319" s="48" t="s">
        <v>6190</v>
      </c>
      <c r="K319" s="52" t="b">
        <f>IFS($B319=FALSE,"", countif(VLOOKUP($A319,UASCAN!D:D,1,FALSE),$A319)&gt;=1,TRUE,countif(VLOOKUP($B319,UASCAN!D:D,1,FALSE),$B319)=0,FALSE)</f>
        <v>0</v>
      </c>
      <c r="L319" s="52" t="b">
        <f>IFS(B319=FALSE,"", countif(VLOOKUP($B319,'01122022'!B:B,1,FALSE),$B319)&gt;=1,TRUE,countif(VLOOKUP($B319,'01122022'!B:B,1,FALSE),$B319)=0,FALSE)</f>
        <v>1</v>
      </c>
      <c r="M319" s="52" t="str">
        <f>ifs(AND($K319=FALSE,$L319=TRUE),"",AND($K319=FALSE,L319=FALSE),"",AND($K319=TRUE,$L319=TRUE),VLOOKUP($A319,UASCAN!D:F,3,0), AND($K319=TRUE,$L319=FALSE),VLOOKUP($A319,UASCAN!D:F,3,0))</f>
        <v/>
      </c>
      <c r="N319" s="53" t="str">
        <f t="shared" si="2"/>
        <v> </v>
      </c>
      <c r="O319" s="53" t="str">
        <f t="shared" si="3"/>
        <v/>
      </c>
    </row>
    <row r="320">
      <c r="A320" s="47" t="str">
        <f t="shared" si="1"/>
        <v>1685644573</v>
      </c>
      <c r="B320" s="48">
        <v>16856.0</v>
      </c>
      <c r="C320" s="49">
        <v>0.6458333333333334</v>
      </c>
      <c r="D320" s="48" t="s">
        <v>5753</v>
      </c>
      <c r="E320" s="50">
        <v>12796.0</v>
      </c>
      <c r="F320" s="51">
        <v>44573.0</v>
      </c>
      <c r="G320" s="48" t="s">
        <v>5</v>
      </c>
      <c r="H320" s="48" t="s">
        <v>6218</v>
      </c>
      <c r="I320" s="48" t="s">
        <v>6219</v>
      </c>
      <c r="J320" s="48" t="s">
        <v>6137</v>
      </c>
      <c r="K320" s="52" t="b">
        <f>IFS($B320=FALSE,"", countif(VLOOKUP($A320,UASCAN!D:D,1,FALSE),$A320)&gt;=1,TRUE,countif(VLOOKUP($B320,UASCAN!D:D,1,FALSE),$B320)=0,FALSE)</f>
        <v>0</v>
      </c>
      <c r="L320" s="52" t="b">
        <f>IFS(B320=FALSE,"", countif(VLOOKUP($B320,'01122022'!B:B,1,FALSE),$B320)&gt;=1,TRUE,countif(VLOOKUP($B320,'01122022'!B:B,1,FALSE),$B320)=0,FALSE)</f>
        <v>1</v>
      </c>
      <c r="M320" s="52" t="str">
        <f>ifs(AND($K320=FALSE,$L320=TRUE),"",AND($K320=FALSE,L320=FALSE),"",AND($K320=TRUE,$L320=TRUE),VLOOKUP($A320,UASCAN!D:F,3,0), AND($K320=TRUE,$L320=FALSE),VLOOKUP($A320,UASCAN!D:F,3,0))</f>
        <v/>
      </c>
      <c r="N320" s="53" t="str">
        <f t="shared" si="2"/>
        <v> </v>
      </c>
      <c r="O320" s="53" t="str">
        <f t="shared" si="3"/>
        <v/>
      </c>
    </row>
    <row r="321">
      <c r="A321" s="47" t="str">
        <f t="shared" si="1"/>
        <v>924844574</v>
      </c>
      <c r="B321" s="48">
        <v>9248.0</v>
      </c>
      <c r="C321" s="49">
        <v>0.3645833333333333</v>
      </c>
      <c r="D321" s="48" t="s">
        <v>107</v>
      </c>
      <c r="E321" s="50">
        <v>21239.0</v>
      </c>
      <c r="F321" s="51">
        <v>44574.0</v>
      </c>
      <c r="G321" s="48" t="s">
        <v>5</v>
      </c>
      <c r="H321" s="48" t="s">
        <v>6211</v>
      </c>
      <c r="I321" s="48" t="s">
        <v>6212</v>
      </c>
      <c r="J321" s="48" t="s">
        <v>6085</v>
      </c>
      <c r="K321" s="52" t="b">
        <f>IFS($B321=FALSE,"", countif(VLOOKUP($A321,UASCAN!D:D,1,FALSE),$A321)&gt;=1,TRUE,countif(VLOOKUP($B321,UASCAN!D:D,1,FALSE),$B321)=0,FALSE)</f>
        <v>0</v>
      </c>
      <c r="L321" s="52" t="b">
        <f>IFS(B321=FALSE,"", countif(VLOOKUP($B321,'01132022'!B:B,1,FALSE),$B321)&gt;=1,TRUE,countif(VLOOKUP($B321,'01132022'!B:B,1,FALSE),$B321)=0,FALSE)</f>
        <v>1</v>
      </c>
      <c r="M321" s="52" t="str">
        <f>ifs(AND($K321=FALSE,$L321=TRUE),"",AND($K321=FALSE,L321=FALSE),"",AND($K321=TRUE,$L321=TRUE),VLOOKUP($A321,UASCAN!D:F,3,0), AND($K321=TRUE,$L321=FALSE),VLOOKUP($A321,UASCAN!D:F,3,0))</f>
        <v/>
      </c>
      <c r="N321" s="53" t="str">
        <f t="shared" si="2"/>
        <v> </v>
      </c>
      <c r="O321" s="53" t="str">
        <f t="shared" si="3"/>
        <v/>
      </c>
    </row>
    <row r="322">
      <c r="A322" s="47" t="str">
        <f t="shared" si="1"/>
        <v>1700544574</v>
      </c>
      <c r="B322" s="48">
        <v>17005.0</v>
      </c>
      <c r="C322" s="49">
        <v>0.375</v>
      </c>
      <c r="D322" s="48" t="s">
        <v>5128</v>
      </c>
      <c r="E322" s="50">
        <v>22398.0</v>
      </c>
      <c r="F322" s="51">
        <v>44574.0</v>
      </c>
      <c r="G322" s="48" t="s">
        <v>6215</v>
      </c>
      <c r="H322" s="48" t="s">
        <v>6211</v>
      </c>
      <c r="I322" s="48" t="s">
        <v>6212</v>
      </c>
      <c r="J322" s="48" t="s">
        <v>6225</v>
      </c>
      <c r="K322" s="52" t="b">
        <f>IFS($B322=FALSE,"", countif(VLOOKUP($A322,UASCAN!D:D,1,FALSE),$A322)&gt;=1,TRUE,countif(VLOOKUP($B322,UASCAN!D:D,1,FALSE),$B322)=0,FALSE)</f>
        <v>0</v>
      </c>
      <c r="L322" s="52" t="b">
        <f>IFS(B322=FALSE,"", countif(VLOOKUP($B322,'01132022'!B:B,1,FALSE),$B322)&gt;=1,TRUE,countif(VLOOKUP($B322,'01132022'!B:B,1,FALSE),$B322)=0,FALSE)</f>
        <v>1</v>
      </c>
      <c r="M322" s="52" t="str">
        <f>ifs(AND($K322=FALSE,$L322=TRUE),"",AND($K322=FALSE,L322=FALSE),"",AND($K322=TRUE,$L322=TRUE),VLOOKUP($A322,UASCAN!D:F,3,0), AND($K322=TRUE,$L322=FALSE),VLOOKUP($A322,UASCAN!D:F,3,0))</f>
        <v/>
      </c>
      <c r="N322" s="53" t="str">
        <f t="shared" si="2"/>
        <v> </v>
      </c>
      <c r="O322" s="53" t="str">
        <f t="shared" si="3"/>
        <v/>
      </c>
    </row>
    <row r="323">
      <c r="A323" s="47" t="str">
        <f t="shared" si="1"/>
        <v>1642744574</v>
      </c>
      <c r="B323" s="48">
        <v>16427.0</v>
      </c>
      <c r="C323" s="49">
        <v>0.3958333333333333</v>
      </c>
      <c r="D323" s="48" t="s">
        <v>4679</v>
      </c>
      <c r="E323" s="50">
        <v>24828.0</v>
      </c>
      <c r="F323" s="51">
        <v>44574.0</v>
      </c>
      <c r="G323" s="48" t="s">
        <v>6216</v>
      </c>
      <c r="H323" s="48" t="s">
        <v>6211</v>
      </c>
      <c r="I323" s="48" t="s">
        <v>6212</v>
      </c>
      <c r="J323" s="48" t="s">
        <v>6091</v>
      </c>
      <c r="K323" s="52" t="b">
        <f>IFS($B323=FALSE,"", countif(VLOOKUP($A323,UASCAN!D:D,1,FALSE),$A323)&gt;=1,TRUE,countif(VLOOKUP($B323,UASCAN!D:D,1,FALSE),$B323)=0,FALSE)</f>
        <v>0</v>
      </c>
      <c r="L323" s="52" t="b">
        <f>IFS(B323=FALSE,"", countif(VLOOKUP($B323,'01132022'!B:B,1,FALSE),$B323)&gt;=1,TRUE,countif(VLOOKUP($B323,'01132022'!B:B,1,FALSE),$B323)=0,FALSE)</f>
        <v>1</v>
      </c>
      <c r="M323" s="52" t="str">
        <f>ifs(AND($K323=FALSE,$L323=TRUE),"",AND($K323=FALSE,L323=FALSE),"",AND($K323=TRUE,$L323=TRUE),VLOOKUP($A323,UASCAN!D:F,3,0), AND($K323=TRUE,$L323=FALSE),VLOOKUP($A323,UASCAN!D:F,3,0))</f>
        <v/>
      </c>
      <c r="N323" s="53" t="str">
        <f t="shared" si="2"/>
        <v> </v>
      </c>
      <c r="O323" s="53" t="str">
        <f t="shared" si="3"/>
        <v/>
      </c>
    </row>
    <row r="324">
      <c r="A324" s="47" t="str">
        <f t="shared" si="1"/>
        <v>1411344574</v>
      </c>
      <c r="B324" s="48">
        <v>14113.0</v>
      </c>
      <c r="C324" s="49">
        <v>0.40625</v>
      </c>
      <c r="D324" s="48" t="s">
        <v>2755</v>
      </c>
      <c r="E324" s="50">
        <v>21851.0</v>
      </c>
      <c r="F324" s="51">
        <v>44574.0</v>
      </c>
      <c r="G324" s="48" t="s">
        <v>5</v>
      </c>
      <c r="H324" s="48" t="s">
        <v>6211</v>
      </c>
      <c r="I324" s="48" t="s">
        <v>6212</v>
      </c>
      <c r="J324" s="48" t="s">
        <v>6182</v>
      </c>
      <c r="K324" s="52" t="b">
        <f>IFS($B324=FALSE,"", countif(VLOOKUP($A324,UASCAN!D:D,1,FALSE),$A324)&gt;=1,TRUE,countif(VLOOKUP($B324,UASCAN!D:D,1,FALSE),$B324)=0,FALSE)</f>
        <v>0</v>
      </c>
      <c r="L324" s="52" t="b">
        <f>IFS(B324=FALSE,"", countif(VLOOKUP($B324,'01132022'!B:B,1,FALSE),$B324)&gt;=1,TRUE,countif(VLOOKUP($B324,'01132022'!B:B,1,FALSE),$B324)=0,FALSE)</f>
        <v>1</v>
      </c>
      <c r="M324" s="52" t="str">
        <f>ifs(AND($K324=FALSE,$L324=TRUE),"",AND($K324=FALSE,L324=FALSE),"",AND($K324=TRUE,$L324=TRUE),VLOOKUP($A324,UASCAN!D:F,3,0), AND($K324=TRUE,$L324=FALSE),VLOOKUP($A324,UASCAN!D:F,3,0))</f>
        <v/>
      </c>
      <c r="N324" s="53" t="str">
        <f t="shared" si="2"/>
        <v> </v>
      </c>
      <c r="O324" s="53" t="str">
        <f t="shared" si="3"/>
        <v/>
      </c>
    </row>
    <row r="325">
      <c r="A325" s="47" t="str">
        <f t="shared" si="1"/>
        <v>1280444574</v>
      </c>
      <c r="B325" s="48">
        <v>12804.0</v>
      </c>
      <c r="C325" s="49">
        <v>0.4270833333333333</v>
      </c>
      <c r="D325" s="48" t="s">
        <v>1724</v>
      </c>
      <c r="E325" s="50">
        <v>20763.0</v>
      </c>
      <c r="F325" s="51">
        <v>44574.0</v>
      </c>
      <c r="G325" s="48" t="s">
        <v>5</v>
      </c>
      <c r="H325" s="48" t="s">
        <v>6211</v>
      </c>
      <c r="I325" s="48" t="s">
        <v>6212</v>
      </c>
      <c r="J325" s="48" t="s">
        <v>6202</v>
      </c>
      <c r="K325" s="52" t="b">
        <f>IFS($B325=FALSE,"", countif(VLOOKUP($A325,UASCAN!D:D,1,FALSE),$A325)&gt;=1,TRUE,countif(VLOOKUP($B325,UASCAN!D:D,1,FALSE),$B325)=0,FALSE)</f>
        <v>0</v>
      </c>
      <c r="L325" s="52" t="b">
        <f>IFS(B325=FALSE,"", countif(VLOOKUP($B325,'01132022'!B:B,1,FALSE),$B325)&gt;=1,TRUE,countif(VLOOKUP($B325,'01132022'!B:B,1,FALSE),$B325)=0,FALSE)</f>
        <v>1</v>
      </c>
      <c r="M325" s="52" t="str">
        <f>ifs(AND($K325=FALSE,$L325=TRUE),"",AND($K325=FALSE,L325=FALSE),"",AND($K325=TRUE,$L325=TRUE),VLOOKUP($A325,UASCAN!D:F,3,0), AND($K325=TRUE,$L325=FALSE),VLOOKUP($A325,UASCAN!D:F,3,0))</f>
        <v/>
      </c>
      <c r="N325" s="53" t="str">
        <f t="shared" si="2"/>
        <v> </v>
      </c>
      <c r="O325" s="53" t="str">
        <f t="shared" si="3"/>
        <v/>
      </c>
    </row>
    <row r="326">
      <c r="A326" s="47" t="str">
        <f t="shared" si="1"/>
        <v>1366844574</v>
      </c>
      <c r="B326" s="48">
        <v>13668.0</v>
      </c>
      <c r="C326" s="49">
        <v>0.4375</v>
      </c>
      <c r="D326" s="48" t="s">
        <v>2413</v>
      </c>
      <c r="E326" s="50">
        <v>23634.0</v>
      </c>
      <c r="F326" s="51">
        <v>44574.0</v>
      </c>
      <c r="G326" s="48" t="s">
        <v>5</v>
      </c>
      <c r="H326" s="48" t="s">
        <v>6211</v>
      </c>
      <c r="I326" s="48" t="s">
        <v>6212</v>
      </c>
      <c r="J326" s="48" t="s">
        <v>6136</v>
      </c>
      <c r="K326" s="52" t="b">
        <f>IFS($B326=FALSE,"", countif(VLOOKUP($A326,UASCAN!D:D,1,FALSE),$A326)&gt;=1,TRUE,countif(VLOOKUP($B326,UASCAN!D:D,1,FALSE),$B326)=0,FALSE)</f>
        <v>0</v>
      </c>
      <c r="L326" s="52" t="b">
        <f>IFS(B326=FALSE,"", countif(VLOOKUP($B326,'01132022'!B:B,1,FALSE),$B326)&gt;=1,TRUE,countif(VLOOKUP($B326,'01132022'!B:B,1,FALSE),$B326)=0,FALSE)</f>
        <v>1</v>
      </c>
      <c r="M326" s="52" t="str">
        <f>ifs(AND($K326=FALSE,$L326=TRUE),"",AND($K326=FALSE,L326=FALSE),"",AND($K326=TRUE,$L326=TRUE),VLOOKUP($A326,UASCAN!D:F,3,0), AND($K326=TRUE,$L326=FALSE),VLOOKUP($A326,UASCAN!D:F,3,0))</f>
        <v/>
      </c>
      <c r="N326" s="53" t="str">
        <f t="shared" si="2"/>
        <v> </v>
      </c>
      <c r="O326" s="53" t="str">
        <f t="shared" si="3"/>
        <v/>
      </c>
    </row>
    <row r="327">
      <c r="A327" s="47" t="str">
        <f t="shared" si="1"/>
        <v>1638844574</v>
      </c>
      <c r="B327" s="48">
        <v>16388.0</v>
      </c>
      <c r="C327" s="49">
        <v>0.4479166666666667</v>
      </c>
      <c r="D327" s="48" t="s">
        <v>4658</v>
      </c>
      <c r="E327" s="50">
        <v>15830.0</v>
      </c>
      <c r="F327" s="51">
        <v>44574.0</v>
      </c>
      <c r="G327" s="48" t="s">
        <v>5</v>
      </c>
      <c r="H327" s="48" t="s">
        <v>6211</v>
      </c>
      <c r="I327" s="48" t="s">
        <v>6212</v>
      </c>
      <c r="J327" s="48" t="s">
        <v>6161</v>
      </c>
      <c r="K327" s="52" t="b">
        <f>IFS($B327=FALSE,"", countif(VLOOKUP($A327,UASCAN!D:D,1,FALSE),$A327)&gt;=1,TRUE,countif(VLOOKUP($B327,UASCAN!D:D,1,FALSE),$B327)=0,FALSE)</f>
        <v>0</v>
      </c>
      <c r="L327" s="52" t="b">
        <f>IFS(B327=FALSE,"", countif(VLOOKUP($B327,'01132022'!B:B,1,FALSE),$B327)&gt;=1,TRUE,countif(VLOOKUP($B327,'01132022'!B:B,1,FALSE),$B327)=0,FALSE)</f>
        <v>1</v>
      </c>
      <c r="M327" s="52" t="str">
        <f>ifs(AND($K327=FALSE,$L327=TRUE),"",AND($K327=FALSE,L327=FALSE),"",AND($K327=TRUE,$L327=TRUE),VLOOKUP($A327,UASCAN!D:F,3,0), AND($K327=TRUE,$L327=FALSE),VLOOKUP($A327,UASCAN!D:F,3,0))</f>
        <v/>
      </c>
      <c r="N327" s="53" t="str">
        <f t="shared" si="2"/>
        <v> </v>
      </c>
      <c r="O327" s="53" t="str">
        <f t="shared" si="3"/>
        <v/>
      </c>
    </row>
    <row r="328">
      <c r="A328" s="47" t="str">
        <f t="shared" si="1"/>
        <v>1789044574</v>
      </c>
      <c r="B328" s="48">
        <v>17890.0</v>
      </c>
      <c r="C328" s="49">
        <v>0.46875</v>
      </c>
      <c r="D328" s="48" t="s">
        <v>5981</v>
      </c>
      <c r="E328" s="50">
        <v>20526.0</v>
      </c>
      <c r="F328" s="51">
        <v>44574.0</v>
      </c>
      <c r="G328" s="48" t="s">
        <v>6214</v>
      </c>
      <c r="H328" s="48" t="s">
        <v>6211</v>
      </c>
      <c r="I328" s="48" t="s">
        <v>6221</v>
      </c>
      <c r="J328" s="48" t="s">
        <v>6196</v>
      </c>
      <c r="K328" s="52" t="b">
        <f>IFS($B328=FALSE,"", countif(VLOOKUP($A328,UASCAN!D:D,1,FALSE),$A328)&gt;=1,TRUE,countif(VLOOKUP($B328,UASCAN!D:D,1,FALSE),$B328)=0,FALSE)</f>
        <v>0</v>
      </c>
      <c r="L328" s="52" t="b">
        <f>IFS(B328=FALSE,"", countif(VLOOKUP($B328,'01132022'!B:B,1,FALSE),$B328)&gt;=1,TRUE,countif(VLOOKUP($B328,'01132022'!B:B,1,FALSE),$B328)=0,FALSE)</f>
        <v>1</v>
      </c>
      <c r="M328" s="52" t="str">
        <f>ifs(AND($K328=FALSE,$L328=TRUE),"",AND($K328=FALSE,L328=FALSE),"",AND($K328=TRUE,$L328=TRUE),VLOOKUP($A328,UASCAN!D:F,3,0), AND($K328=TRUE,$L328=FALSE),VLOOKUP($A328,UASCAN!D:F,3,0))</f>
        <v/>
      </c>
      <c r="N328" s="53" t="str">
        <f t="shared" si="2"/>
        <v> </v>
      </c>
      <c r="O328" s="53" t="str">
        <f t="shared" si="3"/>
        <v/>
      </c>
    </row>
    <row r="329">
      <c r="A329" s="47" t="str">
        <f t="shared" si="1"/>
        <v>1134244574</v>
      </c>
      <c r="B329" s="48">
        <v>11342.0</v>
      </c>
      <c r="C329" s="49">
        <v>0.34375</v>
      </c>
      <c r="D329" s="48" t="s">
        <v>912</v>
      </c>
      <c r="E329" s="50">
        <v>23571.0</v>
      </c>
      <c r="F329" s="51">
        <v>44574.0</v>
      </c>
      <c r="G329" s="48" t="s">
        <v>6216</v>
      </c>
      <c r="H329" s="48" t="s">
        <v>6211</v>
      </c>
      <c r="I329" s="48" t="s">
        <v>6221</v>
      </c>
      <c r="J329" s="48" t="s">
        <v>6192</v>
      </c>
      <c r="K329" s="52" t="b">
        <f>IFS($B329=FALSE,"", countif(VLOOKUP($A329,UASCAN!D:D,1,FALSE),$A329)&gt;=1,TRUE,countif(VLOOKUP($B329,UASCAN!D:D,1,FALSE),$B329)=0,FALSE)</f>
        <v>0</v>
      </c>
      <c r="L329" s="52" t="b">
        <f>IFS(B329=FALSE,"", countif(VLOOKUP($B329,'01132022'!B:B,1,FALSE),$B329)&gt;=1,TRUE,countif(VLOOKUP($B329,'01132022'!B:B,1,FALSE),$B329)=0,FALSE)</f>
        <v>1</v>
      </c>
      <c r="M329" s="52" t="str">
        <f>ifs(AND($K329=FALSE,$L329=TRUE),"",AND($K329=FALSE,L329=FALSE),"",AND($K329=TRUE,$L329=TRUE),VLOOKUP($A329,UASCAN!D:F,3,0), AND($K329=TRUE,$L329=FALSE),VLOOKUP($A329,UASCAN!D:F,3,0))</f>
        <v/>
      </c>
      <c r="N329" s="53" t="str">
        <f t="shared" si="2"/>
        <v> </v>
      </c>
      <c r="O329" s="53" t="str">
        <f t="shared" si="3"/>
        <v/>
      </c>
    </row>
    <row r="330">
      <c r="A330" s="47" t="str">
        <f t="shared" si="1"/>
        <v>1527744574</v>
      </c>
      <c r="B330" s="48">
        <v>15277.0</v>
      </c>
      <c r="C330" s="49">
        <v>0.4270833333333333</v>
      </c>
      <c r="D330" s="48" t="s">
        <v>3704</v>
      </c>
      <c r="E330" s="50">
        <v>12693.0</v>
      </c>
      <c r="F330" s="51">
        <v>44574.0</v>
      </c>
      <c r="G330" s="48" t="s">
        <v>6216</v>
      </c>
      <c r="H330" s="48" t="s">
        <v>6211</v>
      </c>
      <c r="I330" s="48" t="s">
        <v>6221</v>
      </c>
      <c r="J330" s="48" t="s">
        <v>6196</v>
      </c>
      <c r="K330" s="52" t="b">
        <f>IFS($B330=FALSE,"", countif(VLOOKUP($A330,UASCAN!D:D,1,FALSE),$A330)&gt;=1,TRUE,countif(VLOOKUP($B330,UASCAN!D:D,1,FALSE),$B330)=0,FALSE)</f>
        <v>0</v>
      </c>
      <c r="L330" s="52" t="b">
        <f>IFS(B330=FALSE,"", countif(VLOOKUP($B330,'01132022'!B:B,1,FALSE),$B330)&gt;=1,TRUE,countif(VLOOKUP($B330,'01132022'!B:B,1,FALSE),$B330)=0,FALSE)</f>
        <v>1</v>
      </c>
      <c r="M330" s="52" t="str">
        <f>ifs(AND($K330=FALSE,$L330=TRUE),"",AND($K330=FALSE,L330=FALSE),"",AND($K330=TRUE,$L330=TRUE),VLOOKUP($A330,UASCAN!D:F,3,0), AND($K330=TRUE,$L330=FALSE),VLOOKUP($A330,UASCAN!D:F,3,0))</f>
        <v/>
      </c>
      <c r="N330" s="53" t="str">
        <f t="shared" si="2"/>
        <v> </v>
      </c>
      <c r="O330" s="53" t="str">
        <f t="shared" si="3"/>
        <v/>
      </c>
    </row>
    <row r="331">
      <c r="A331" s="47" t="str">
        <f t="shared" si="1"/>
        <v>1747844574</v>
      </c>
      <c r="B331" s="48">
        <v>17478.0</v>
      </c>
      <c r="C331" s="49">
        <v>0.4270833333333333</v>
      </c>
      <c r="D331" s="48" t="s">
        <v>5506</v>
      </c>
      <c r="E331" s="50">
        <v>17962.0</v>
      </c>
      <c r="F331" s="51">
        <v>44574.0</v>
      </c>
      <c r="G331" s="48" t="s">
        <v>6220</v>
      </c>
      <c r="H331" s="48" t="s">
        <v>6211</v>
      </c>
      <c r="I331" s="48" t="s">
        <v>6221</v>
      </c>
      <c r="J331" s="48" t="s">
        <v>6196</v>
      </c>
      <c r="K331" s="52" t="b">
        <f>IFS($B331=FALSE,"", countif(VLOOKUP($A331,UASCAN!D:D,1,FALSE),$A331)&gt;=1,TRUE,countif(VLOOKUP($B331,UASCAN!D:D,1,FALSE),$B331)=0,FALSE)</f>
        <v>0</v>
      </c>
      <c r="L331" s="52" t="b">
        <f>IFS(B331=FALSE,"", countif(VLOOKUP($B331,'01132022'!B:B,1,FALSE),$B331)&gt;=1,TRUE,countif(VLOOKUP($B331,'01132022'!B:B,1,FALSE),$B331)=0,FALSE)</f>
        <v>1</v>
      </c>
      <c r="M331" s="52" t="str">
        <f>ifs(AND($K331=FALSE,$L331=TRUE),"",AND($K331=FALSE,L331=FALSE),"",AND($K331=TRUE,$L331=TRUE),VLOOKUP($A331,UASCAN!D:F,3,0), AND($K331=TRUE,$L331=FALSE),VLOOKUP($A331,UASCAN!D:F,3,0))</f>
        <v/>
      </c>
      <c r="N331" s="53" t="str">
        <f t="shared" si="2"/>
        <v> </v>
      </c>
      <c r="O331" s="53" t="str">
        <f t="shared" si="3"/>
        <v/>
      </c>
    </row>
    <row r="332">
      <c r="A332" s="47" t="str">
        <f t="shared" si="1"/>
        <v>921044574</v>
      </c>
      <c r="B332" s="48">
        <v>9210.0</v>
      </c>
      <c r="C332" s="49">
        <v>0.5625</v>
      </c>
      <c r="D332" s="48" t="s">
        <v>79</v>
      </c>
      <c r="E332" s="50">
        <v>46508.0</v>
      </c>
      <c r="F332" s="51">
        <v>44574.0</v>
      </c>
      <c r="G332" s="48" t="s">
        <v>6215</v>
      </c>
      <c r="H332" s="48" t="s">
        <v>6211</v>
      </c>
      <c r="I332" s="48" t="s">
        <v>6221</v>
      </c>
      <c r="J332" s="48" t="s">
        <v>6137</v>
      </c>
      <c r="K332" s="52" t="b">
        <f>IFS($B332=FALSE,"", countif(VLOOKUP($A332,UASCAN!D:D,1,FALSE),$A332)&gt;=1,TRUE,countif(VLOOKUP($B332,UASCAN!D:D,1,FALSE),$B332)=0,FALSE)</f>
        <v>0</v>
      </c>
      <c r="L332" s="52" t="b">
        <f>IFS(B332=FALSE,"", countif(VLOOKUP($B332,'01132022'!B:B,1,FALSE),$B332)&gt;=1,TRUE,countif(VLOOKUP($B332,'01132022'!B:B,1,FALSE),$B332)=0,FALSE)</f>
        <v>1</v>
      </c>
      <c r="M332" s="52" t="str">
        <f>ifs(AND($K332=FALSE,$L332=TRUE),"",AND($K332=FALSE,L332=FALSE),"",AND($K332=TRUE,$L332=TRUE),VLOOKUP($A332,UASCAN!D:F,3,0), AND($K332=TRUE,$L332=FALSE),VLOOKUP($A332,UASCAN!D:F,3,0))</f>
        <v/>
      </c>
      <c r="N332" s="53" t="str">
        <f t="shared" si="2"/>
        <v> </v>
      </c>
      <c r="O332" s="53" t="str">
        <f t="shared" si="3"/>
        <v/>
      </c>
    </row>
    <row r="333">
      <c r="A333" s="47" t="str">
        <f t="shared" si="1"/>
        <v>1469144574</v>
      </c>
      <c r="B333" s="48">
        <v>14691.0</v>
      </c>
      <c r="C333" s="49">
        <v>0.5729166666666666</v>
      </c>
      <c r="D333" s="48" t="s">
        <v>3217</v>
      </c>
      <c r="E333" s="50">
        <v>18045.0</v>
      </c>
      <c r="F333" s="51">
        <v>44574.0</v>
      </c>
      <c r="G333" s="48" t="s">
        <v>5</v>
      </c>
      <c r="H333" s="48" t="s">
        <v>6211</v>
      </c>
      <c r="I333" s="48" t="s">
        <v>6221</v>
      </c>
      <c r="J333" s="48" t="s">
        <v>6137</v>
      </c>
      <c r="K333" s="52" t="b">
        <f>IFS($B333=FALSE,"", countif(VLOOKUP($A333,UASCAN!D:D,1,FALSE),$A333)&gt;=1,TRUE,countif(VLOOKUP($B333,UASCAN!D:D,1,FALSE),$B333)=0,FALSE)</f>
        <v>0</v>
      </c>
      <c r="L333" s="52" t="b">
        <f>IFS(B333=FALSE,"", countif(VLOOKUP($B333,'01132022'!B:B,1,FALSE),$B333)&gt;=1,TRUE,countif(VLOOKUP($B333,'01132022'!B:B,1,FALSE),$B333)=0,FALSE)</f>
        <v>1</v>
      </c>
      <c r="M333" s="52" t="str">
        <f>ifs(AND($K333=FALSE,$L333=TRUE),"",AND($K333=FALSE,L333=FALSE),"",AND($K333=TRUE,$L333=TRUE),VLOOKUP($A333,UASCAN!D:F,3,0), AND($K333=TRUE,$L333=FALSE),VLOOKUP($A333,UASCAN!D:F,3,0))</f>
        <v/>
      </c>
      <c r="N333" s="53" t="str">
        <f t="shared" si="2"/>
        <v> </v>
      </c>
      <c r="O333" s="53" t="str">
        <f t="shared" si="3"/>
        <v/>
      </c>
    </row>
    <row r="334">
      <c r="A334" s="47" t="str">
        <f t="shared" si="1"/>
        <v>1785044574</v>
      </c>
      <c r="B334" s="48">
        <v>17850.0</v>
      </c>
      <c r="C334" s="49">
        <v>0.59375</v>
      </c>
      <c r="D334" s="48" t="s">
        <v>5993</v>
      </c>
      <c r="E334" s="50">
        <v>21645.0</v>
      </c>
      <c r="F334" s="51">
        <v>44574.0</v>
      </c>
      <c r="G334" s="48" t="s">
        <v>6214</v>
      </c>
      <c r="H334" s="48" t="s">
        <v>6211</v>
      </c>
      <c r="I334" s="48" t="s">
        <v>6221</v>
      </c>
      <c r="J334" s="48" t="s">
        <v>6196</v>
      </c>
      <c r="K334" s="52" t="b">
        <f>IFS($B334=FALSE,"", countif(VLOOKUP($A334,UASCAN!D:D,1,FALSE),$A334)&gt;=1,TRUE,countif(VLOOKUP($B334,UASCAN!D:D,1,FALSE),$B334)=0,FALSE)</f>
        <v>0</v>
      </c>
      <c r="L334" s="52" t="b">
        <f>IFS(B334=FALSE,"", countif(VLOOKUP($B334,'01132022'!B:B,1,FALSE),$B334)&gt;=1,TRUE,countif(VLOOKUP($B334,'01132022'!B:B,1,FALSE),$B334)=0,FALSE)</f>
        <v>1</v>
      </c>
      <c r="M334" s="52" t="str">
        <f>ifs(AND($K334=FALSE,$L334=TRUE),"",AND($K334=FALSE,L334=FALSE),"",AND($K334=TRUE,$L334=TRUE),VLOOKUP($A334,UASCAN!D:F,3,0), AND($K334=TRUE,$L334=FALSE),VLOOKUP($A334,UASCAN!D:F,3,0))</f>
        <v/>
      </c>
      <c r="N334" s="53" t="str">
        <f t="shared" si="2"/>
        <v> </v>
      </c>
      <c r="O334" s="53" t="str">
        <f t="shared" si="3"/>
        <v/>
      </c>
    </row>
    <row r="335">
      <c r="A335" s="47" t="str">
        <f t="shared" si="1"/>
        <v>1455044574</v>
      </c>
      <c r="B335" s="48">
        <v>14550.0</v>
      </c>
      <c r="C335" s="49">
        <v>0.59375</v>
      </c>
      <c r="D335" s="48" t="s">
        <v>3099</v>
      </c>
      <c r="E335" s="50">
        <v>23451.0</v>
      </c>
      <c r="F335" s="51">
        <v>44574.0</v>
      </c>
      <c r="G335" s="48" t="s">
        <v>6216</v>
      </c>
      <c r="H335" s="48" t="s">
        <v>6211</v>
      </c>
      <c r="I335" s="48" t="s">
        <v>6221</v>
      </c>
      <c r="J335" s="48" t="s">
        <v>6193</v>
      </c>
      <c r="K335" s="52" t="b">
        <f>IFS($B335=FALSE,"", countif(VLOOKUP($A335,UASCAN!D:D,1,FALSE),$A335)&gt;=1,TRUE,countif(VLOOKUP($B335,UASCAN!D:D,1,FALSE),$B335)=0,FALSE)</f>
        <v>0</v>
      </c>
      <c r="L335" s="52" t="b">
        <f>IFS(B335=FALSE,"", countif(VLOOKUP($B335,'01132022'!B:B,1,FALSE),$B335)&gt;=1,TRUE,countif(VLOOKUP($B335,'01132022'!B:B,1,FALSE),$B335)=0,FALSE)</f>
        <v>1</v>
      </c>
      <c r="M335" s="52" t="str">
        <f>ifs(AND($K335=FALSE,$L335=TRUE),"",AND($K335=FALSE,L335=FALSE),"",AND($K335=TRUE,$L335=TRUE),VLOOKUP($A335,UASCAN!D:F,3,0), AND($K335=TRUE,$L335=FALSE),VLOOKUP($A335,UASCAN!D:F,3,0))</f>
        <v/>
      </c>
      <c r="N335" s="53" t="str">
        <f t="shared" si="2"/>
        <v> </v>
      </c>
      <c r="O335" s="53" t="str">
        <f t="shared" si="3"/>
        <v/>
      </c>
    </row>
    <row r="336">
      <c r="A336" s="47" t="str">
        <f t="shared" si="1"/>
        <v>1471344574</v>
      </c>
      <c r="B336" s="48">
        <v>14713.0</v>
      </c>
      <c r="C336" s="49">
        <v>0.6041666666666666</v>
      </c>
      <c r="D336" s="48" t="s">
        <v>3236</v>
      </c>
      <c r="E336" s="50">
        <v>17115.0</v>
      </c>
      <c r="F336" s="51">
        <v>44574.0</v>
      </c>
      <c r="G336" s="48" t="s">
        <v>6216</v>
      </c>
      <c r="H336" s="48" t="s">
        <v>6211</v>
      </c>
      <c r="I336" s="48" t="s">
        <v>6221</v>
      </c>
      <c r="J336" s="48" t="s">
        <v>6196</v>
      </c>
      <c r="K336" s="52" t="b">
        <f>IFS($B336=FALSE,"", countif(VLOOKUP($A336,UASCAN!D:D,1,FALSE),$A336)&gt;=1,TRUE,countif(VLOOKUP($B336,UASCAN!D:D,1,FALSE),$B336)=0,FALSE)</f>
        <v>0</v>
      </c>
      <c r="L336" s="52" t="b">
        <f>IFS(B336=FALSE,"", countif(VLOOKUP($B336,'01132022'!B:B,1,FALSE),$B336)&gt;=1,TRUE,countif(VLOOKUP($B336,'01132022'!B:B,1,FALSE),$B336)=0,FALSE)</f>
        <v>1</v>
      </c>
      <c r="M336" s="52" t="str">
        <f>ifs(AND($K336=FALSE,$L336=TRUE),"",AND($K336=FALSE,L336=FALSE),"",AND($K336=TRUE,$L336=TRUE),VLOOKUP($A336,UASCAN!D:F,3,0), AND($K336=TRUE,$L336=FALSE),VLOOKUP($A336,UASCAN!D:F,3,0))</f>
        <v/>
      </c>
      <c r="N336" s="53" t="str">
        <f t="shared" si="2"/>
        <v> </v>
      </c>
      <c r="O336" s="53" t="str">
        <f t="shared" si="3"/>
        <v/>
      </c>
    </row>
    <row r="337">
      <c r="A337" s="47" t="str">
        <f t="shared" si="1"/>
        <v>1737644574</v>
      </c>
      <c r="B337" s="48">
        <v>17376.0</v>
      </c>
      <c r="C337" s="49">
        <v>0.6145833333333334</v>
      </c>
      <c r="D337" s="48" t="s">
        <v>5425</v>
      </c>
      <c r="E337" s="50">
        <v>16276.0</v>
      </c>
      <c r="F337" s="51">
        <v>44574.0</v>
      </c>
      <c r="G337" s="48" t="s">
        <v>6214</v>
      </c>
      <c r="H337" s="48" t="s">
        <v>6211</v>
      </c>
      <c r="I337" s="48" t="s">
        <v>6221</v>
      </c>
      <c r="J337" s="48" t="s">
        <v>6190</v>
      </c>
      <c r="K337" s="52" t="b">
        <f>IFS($B337=FALSE,"", countif(VLOOKUP($A337,UASCAN!D:D,1,FALSE),$A337)&gt;=1,TRUE,countif(VLOOKUP($B337,UASCAN!D:D,1,FALSE),$B337)=0,FALSE)</f>
        <v>0</v>
      </c>
      <c r="L337" s="52" t="b">
        <f>IFS(B337=FALSE,"", countif(VLOOKUP($B337,'01132022'!B:B,1,FALSE),$B337)&gt;=1,TRUE,countif(VLOOKUP($B337,'01132022'!B:B,1,FALSE),$B337)=0,FALSE)</f>
        <v>1</v>
      </c>
      <c r="M337" s="52" t="str">
        <f>ifs(AND($K337=FALSE,$L337=TRUE),"",AND($K337=FALSE,L337=FALSE),"",AND($K337=TRUE,$L337=TRUE),VLOOKUP($A337,UASCAN!D:F,3,0), AND($K337=TRUE,$L337=FALSE),VLOOKUP($A337,UASCAN!D:F,3,0))</f>
        <v/>
      </c>
      <c r="N337" s="53" t="str">
        <f t="shared" si="2"/>
        <v> </v>
      </c>
      <c r="O337" s="53" t="str">
        <f t="shared" si="3"/>
        <v/>
      </c>
    </row>
    <row r="338">
      <c r="A338" s="47" t="str">
        <f t="shared" si="1"/>
        <v>1567344574</v>
      </c>
      <c r="B338" s="48">
        <v>15673.0</v>
      </c>
      <c r="C338" s="49">
        <v>0.625</v>
      </c>
      <c r="D338" s="48" t="s">
        <v>4044</v>
      </c>
      <c r="E338" s="50">
        <v>21105.0</v>
      </c>
      <c r="F338" s="51">
        <v>44574.0</v>
      </c>
      <c r="G338" s="48" t="s">
        <v>6220</v>
      </c>
      <c r="H338" s="48" t="s">
        <v>6211</v>
      </c>
      <c r="I338" s="48" t="s">
        <v>6221</v>
      </c>
      <c r="J338" s="48" t="s">
        <v>6193</v>
      </c>
      <c r="K338" s="52" t="b">
        <f>IFS($B338=FALSE,"", countif(VLOOKUP($A338,UASCAN!D:D,1,FALSE),$A338)&gt;=1,TRUE,countif(VLOOKUP($B338,UASCAN!D:D,1,FALSE),$B338)=0,FALSE)</f>
        <v>0</v>
      </c>
      <c r="L338" s="52" t="b">
        <f>IFS(B338=FALSE,"", countif(VLOOKUP($B338,'01132022'!B:B,1,FALSE),$B338)&gt;=1,TRUE,countif(VLOOKUP($B338,'01132022'!B:B,1,FALSE),$B338)=0,FALSE)</f>
        <v>1</v>
      </c>
      <c r="M338" s="52" t="str">
        <f>ifs(AND($K338=FALSE,$L338=TRUE),"",AND($K338=FALSE,L338=FALSE),"",AND($K338=TRUE,$L338=TRUE),VLOOKUP($A338,UASCAN!D:F,3,0), AND($K338=TRUE,$L338=FALSE),VLOOKUP($A338,UASCAN!D:F,3,0))</f>
        <v/>
      </c>
      <c r="N338" s="53" t="str">
        <f t="shared" si="2"/>
        <v> </v>
      </c>
      <c r="O338" s="53" t="str">
        <f t="shared" si="3"/>
        <v/>
      </c>
    </row>
    <row r="339">
      <c r="A339" s="47" t="str">
        <f t="shared" si="1"/>
        <v>1712544574</v>
      </c>
      <c r="B339" s="48">
        <v>17125.0</v>
      </c>
      <c r="C339" s="49">
        <v>0.5520833333333334</v>
      </c>
      <c r="D339" s="48" t="s">
        <v>5226</v>
      </c>
      <c r="E339" s="50">
        <v>17554.0</v>
      </c>
      <c r="F339" s="51">
        <v>44574.0</v>
      </c>
      <c r="G339" s="48" t="s">
        <v>6215</v>
      </c>
      <c r="H339" s="48" t="s">
        <v>6211</v>
      </c>
      <c r="I339" s="48" t="s">
        <v>6212</v>
      </c>
      <c r="J339" s="48" t="s">
        <v>6186</v>
      </c>
      <c r="K339" s="52" t="b">
        <f>IFS($B339=FALSE,"", countif(VLOOKUP($A339,UASCAN!D:D,1,FALSE),$A339)&gt;=1,TRUE,countif(VLOOKUP($B339,UASCAN!D:D,1,FALSE),$B339)=0,FALSE)</f>
        <v>0</v>
      </c>
      <c r="L339" s="52" t="b">
        <f>IFS(B339=FALSE,"", countif(VLOOKUP($B339,'01132022'!B:B,1,FALSE),$B339)&gt;=1,TRUE,countif(VLOOKUP($B339,'01132022'!B:B,1,FALSE),$B339)=0,FALSE)</f>
        <v>1</v>
      </c>
      <c r="M339" s="52" t="str">
        <f>ifs(AND($K339=FALSE,$L339=TRUE),"",AND($K339=FALSE,L339=FALSE),"",AND($K339=TRUE,$L339=TRUE),VLOOKUP($A339,UASCAN!D:F,3,0), AND($K339=TRUE,$L339=FALSE),VLOOKUP($A339,UASCAN!D:F,3,0))</f>
        <v/>
      </c>
      <c r="N339" s="53" t="str">
        <f t="shared" si="2"/>
        <v> </v>
      </c>
      <c r="O339" s="53" t="str">
        <f t="shared" si="3"/>
        <v/>
      </c>
    </row>
    <row r="340">
      <c r="A340" s="47" t="str">
        <f t="shared" si="1"/>
        <v>928644574</v>
      </c>
      <c r="B340" s="48">
        <v>9286.0</v>
      </c>
      <c r="C340" s="49">
        <v>0.5729166666666666</v>
      </c>
      <c r="D340" s="48" t="s">
        <v>133</v>
      </c>
      <c r="E340" s="50">
        <v>14829.0</v>
      </c>
      <c r="F340" s="51">
        <v>44574.0</v>
      </c>
      <c r="G340" s="48" t="s">
        <v>5</v>
      </c>
      <c r="H340" s="48" t="s">
        <v>6211</v>
      </c>
      <c r="I340" s="48" t="s">
        <v>6212</v>
      </c>
      <c r="J340" s="48" t="s">
        <v>6137</v>
      </c>
      <c r="K340" s="52" t="b">
        <f>IFS($B340=FALSE,"", countif(VLOOKUP($A340,UASCAN!D:D,1,FALSE),$A340)&gt;=1,TRUE,countif(VLOOKUP($B340,UASCAN!D:D,1,FALSE),$B340)=0,FALSE)</f>
        <v>0</v>
      </c>
      <c r="L340" s="52" t="b">
        <f>IFS(B340=FALSE,"", countif(VLOOKUP($B340,'01132022'!B:B,1,FALSE),$B340)&gt;=1,TRUE,countif(VLOOKUP($B340,'01132022'!B:B,1,FALSE),$B340)=0,FALSE)</f>
        <v>1</v>
      </c>
      <c r="M340" s="52" t="str">
        <f>ifs(AND($K340=FALSE,$L340=TRUE),"",AND($K340=FALSE,L340=FALSE),"",AND($K340=TRUE,$L340=TRUE),VLOOKUP($A340,UASCAN!D:F,3,0), AND($K340=TRUE,$L340=FALSE),VLOOKUP($A340,UASCAN!D:F,3,0))</f>
        <v/>
      </c>
      <c r="N340" s="53" t="str">
        <f t="shared" si="2"/>
        <v> </v>
      </c>
      <c r="O340" s="53" t="str">
        <f t="shared" si="3"/>
        <v/>
      </c>
    </row>
    <row r="341">
      <c r="A341" s="47" t="str">
        <f t="shared" si="1"/>
        <v>1407644574</v>
      </c>
      <c r="B341" s="48">
        <v>14076.0</v>
      </c>
      <c r="C341" s="49">
        <v>0.59375</v>
      </c>
      <c r="D341" s="48" t="s">
        <v>2723</v>
      </c>
      <c r="E341" s="50">
        <v>29289.0</v>
      </c>
      <c r="F341" s="51">
        <v>44574.0</v>
      </c>
      <c r="G341" s="48" t="s">
        <v>5</v>
      </c>
      <c r="H341" s="48" t="s">
        <v>6211</v>
      </c>
      <c r="I341" s="48" t="s">
        <v>6212</v>
      </c>
      <c r="J341" s="48" t="s">
        <v>6199</v>
      </c>
      <c r="K341" s="52" t="b">
        <f>IFS($B341=FALSE,"", countif(VLOOKUP($A341,UASCAN!D:D,1,FALSE),$A341)&gt;=1,TRUE,countif(VLOOKUP($B341,UASCAN!D:D,1,FALSE),$B341)=0,FALSE)</f>
        <v>0</v>
      </c>
      <c r="L341" s="52" t="b">
        <f>IFS(B341=FALSE,"", countif(VLOOKUP($B341,'01132022'!B:B,1,FALSE),$B341)&gt;=1,TRUE,countif(VLOOKUP($B341,'01132022'!B:B,1,FALSE),$B341)=0,FALSE)</f>
        <v>1</v>
      </c>
      <c r="M341" s="52" t="str">
        <f>ifs(AND($K341=FALSE,$L341=TRUE),"",AND($K341=FALSE,L341=FALSE),"",AND($K341=TRUE,$L341=TRUE),VLOOKUP($A341,UASCAN!D:F,3,0), AND($K341=TRUE,$L341=FALSE),VLOOKUP($A341,UASCAN!D:F,3,0))</f>
        <v/>
      </c>
      <c r="N341" s="53" t="str">
        <f t="shared" si="2"/>
        <v> </v>
      </c>
      <c r="O341" s="53" t="str">
        <f t="shared" si="3"/>
        <v/>
      </c>
    </row>
    <row r="342">
      <c r="A342" s="47" t="str">
        <f t="shared" si="1"/>
        <v>1393844574</v>
      </c>
      <c r="B342" s="48">
        <v>13938.0</v>
      </c>
      <c r="C342" s="49">
        <v>0.6041666666666666</v>
      </c>
      <c r="D342" s="48" t="s">
        <v>2623</v>
      </c>
      <c r="E342" s="50">
        <v>17231.0</v>
      </c>
      <c r="F342" s="51">
        <v>44574.0</v>
      </c>
      <c r="G342" s="48" t="s">
        <v>5</v>
      </c>
      <c r="H342" s="48" t="s">
        <v>6211</v>
      </c>
      <c r="I342" s="48" t="s">
        <v>6212</v>
      </c>
      <c r="J342" s="48" t="s">
        <v>6199</v>
      </c>
      <c r="K342" s="52" t="b">
        <f>IFS($B342=FALSE,"", countif(VLOOKUP($A342,UASCAN!D:D,1,FALSE),$A342)&gt;=1,TRUE,countif(VLOOKUP($B342,UASCAN!D:D,1,FALSE),$B342)=0,FALSE)</f>
        <v>0</v>
      </c>
      <c r="L342" s="52" t="b">
        <f>IFS(B342=FALSE,"", countif(VLOOKUP($B342,'01132022'!B:B,1,FALSE),$B342)&gt;=1,TRUE,countif(VLOOKUP($B342,'01132022'!B:B,1,FALSE),$B342)=0,FALSE)</f>
        <v>1</v>
      </c>
      <c r="M342" s="52" t="str">
        <f>ifs(AND($K342=FALSE,$L342=TRUE),"",AND($K342=FALSE,L342=FALSE),"",AND($K342=TRUE,$L342=TRUE),VLOOKUP($A342,UASCAN!D:F,3,0), AND($K342=TRUE,$L342=FALSE),VLOOKUP($A342,UASCAN!D:F,3,0))</f>
        <v/>
      </c>
      <c r="N342" s="53" t="str">
        <f t="shared" si="2"/>
        <v> </v>
      </c>
      <c r="O342" s="53" t="str">
        <f t="shared" si="3"/>
        <v/>
      </c>
    </row>
    <row r="343">
      <c r="A343" s="47" t="str">
        <f t="shared" si="1"/>
        <v>1562844574</v>
      </c>
      <c r="B343" s="48">
        <v>15628.0</v>
      </c>
      <c r="C343" s="49">
        <v>0.6145833333333334</v>
      </c>
      <c r="D343" s="48" t="s">
        <v>4003</v>
      </c>
      <c r="E343" s="50">
        <v>25832.0</v>
      </c>
      <c r="F343" s="51">
        <v>44574.0</v>
      </c>
      <c r="G343" s="48" t="s">
        <v>6216</v>
      </c>
      <c r="H343" s="48" t="s">
        <v>6211</v>
      </c>
      <c r="I343" s="48" t="s">
        <v>6212</v>
      </c>
      <c r="J343" s="48" t="s">
        <v>6142</v>
      </c>
      <c r="K343" s="52" t="b">
        <f>IFS($B343=FALSE,"", countif(VLOOKUP($A343,UASCAN!D:D,1,FALSE),$A343)&gt;=1,TRUE,countif(VLOOKUP($B343,UASCAN!D:D,1,FALSE),$B343)=0,FALSE)</f>
        <v>0</v>
      </c>
      <c r="L343" s="52" t="b">
        <f>IFS(B343=FALSE,"", countif(VLOOKUP($B343,'01132022'!B:B,1,FALSE),$B343)&gt;=1,TRUE,countif(VLOOKUP($B343,'01132022'!B:B,1,FALSE),$B343)=0,FALSE)</f>
        <v>1</v>
      </c>
      <c r="M343" s="52" t="str">
        <f>ifs(AND($K343=FALSE,$L343=TRUE),"",AND($K343=FALSE,L343=FALSE),"",AND($K343=TRUE,$L343=TRUE),VLOOKUP($A343,UASCAN!D:F,3,0), AND($K343=TRUE,$L343=FALSE),VLOOKUP($A343,UASCAN!D:F,3,0))</f>
        <v/>
      </c>
      <c r="N343" s="53" t="str">
        <f t="shared" si="2"/>
        <v> </v>
      </c>
      <c r="O343" s="53" t="str">
        <f t="shared" si="3"/>
        <v/>
      </c>
    </row>
    <row r="344">
      <c r="A344" s="47" t="str">
        <f t="shared" si="1"/>
        <v>918244574</v>
      </c>
      <c r="B344" s="48">
        <v>9182.0</v>
      </c>
      <c r="C344" s="49">
        <v>0.40625</v>
      </c>
      <c r="D344" s="48" t="s">
        <v>63</v>
      </c>
      <c r="E344" s="50">
        <v>25713.0</v>
      </c>
      <c r="F344" s="51">
        <v>44574.0</v>
      </c>
      <c r="G344" s="48" t="s">
        <v>5</v>
      </c>
      <c r="H344" s="48" t="s">
        <v>6218</v>
      </c>
      <c r="I344" s="48" t="s">
        <v>6222</v>
      </c>
      <c r="J344" s="48" t="s">
        <v>6199</v>
      </c>
      <c r="K344" s="52" t="b">
        <f>IFS($B344=FALSE,"", countif(VLOOKUP($A344,UASCAN!D:D,1,FALSE),$A344)&gt;=1,TRUE,countif(VLOOKUP($B344,UASCAN!D:D,1,FALSE),$B344)=0,FALSE)</f>
        <v>0</v>
      </c>
      <c r="L344" s="52" t="b">
        <f>IFS(B344=FALSE,"", countif(VLOOKUP($B344,'01132022'!B:B,1,FALSE),$B344)&gt;=1,TRUE,countif(VLOOKUP($B344,'01132022'!B:B,1,FALSE),$B344)=0,FALSE)</f>
        <v>1</v>
      </c>
      <c r="M344" s="52" t="str">
        <f>ifs(AND($K344=FALSE,$L344=TRUE),"",AND($K344=FALSE,L344=FALSE),"",AND($K344=TRUE,$L344=TRUE),VLOOKUP($A344,UASCAN!D:F,3,0), AND($K344=TRUE,$L344=FALSE),VLOOKUP($A344,UASCAN!D:F,3,0))</f>
        <v/>
      </c>
      <c r="N344" s="53" t="str">
        <f t="shared" si="2"/>
        <v> </v>
      </c>
      <c r="O344" s="53" t="str">
        <f t="shared" si="3"/>
        <v/>
      </c>
    </row>
    <row r="345">
      <c r="A345" s="47" t="str">
        <f t="shared" si="1"/>
        <v>1409544574</v>
      </c>
      <c r="B345" s="48">
        <v>14095.0</v>
      </c>
      <c r="C345" s="49">
        <v>0.3958333333333333</v>
      </c>
      <c r="D345" s="48" t="s">
        <v>2740</v>
      </c>
      <c r="E345" s="50">
        <v>22965.0</v>
      </c>
      <c r="F345" s="51">
        <v>44574.0</v>
      </c>
      <c r="G345" s="48" t="s">
        <v>6215</v>
      </c>
      <c r="H345" s="48" t="s">
        <v>6218</v>
      </c>
      <c r="I345" s="48" t="s">
        <v>6219</v>
      </c>
      <c r="J345" s="48" t="s">
        <v>6117</v>
      </c>
      <c r="K345" s="52" t="b">
        <f>IFS($B345=FALSE,"", countif(VLOOKUP($A345,UASCAN!D:D,1,FALSE),$A345)&gt;=1,TRUE,countif(VLOOKUP($B345,UASCAN!D:D,1,FALSE),$B345)=0,FALSE)</f>
        <v>0</v>
      </c>
      <c r="L345" s="52" t="b">
        <f>IFS(B345=FALSE,"", countif(VLOOKUP($B345,'01132022'!B:B,1,FALSE),$B345)&gt;=1,TRUE,countif(VLOOKUP($B345,'01132022'!B:B,1,FALSE),$B345)=0,FALSE)</f>
        <v>1</v>
      </c>
      <c r="M345" s="52" t="str">
        <f>ifs(AND($K345=FALSE,$L345=TRUE),"",AND($K345=FALSE,L345=FALSE),"",AND($K345=TRUE,$L345=TRUE),VLOOKUP($A345,UASCAN!D:F,3,0), AND($K345=TRUE,$L345=FALSE),VLOOKUP($A345,UASCAN!D:F,3,0))</f>
        <v/>
      </c>
      <c r="N345" s="53" t="str">
        <f t="shared" si="2"/>
        <v> </v>
      </c>
      <c r="O345" s="53" t="str">
        <f t="shared" si="3"/>
        <v/>
      </c>
    </row>
    <row r="346">
      <c r="A346" s="47" t="str">
        <f t="shared" si="1"/>
        <v>1256744574</v>
      </c>
      <c r="B346" s="48">
        <v>12567.0</v>
      </c>
      <c r="C346" s="49">
        <v>0.3958333333333333</v>
      </c>
      <c r="D346" s="48" t="s">
        <v>1547</v>
      </c>
      <c r="E346" s="50">
        <v>21873.0</v>
      </c>
      <c r="F346" s="51">
        <v>44574.0</v>
      </c>
      <c r="G346" s="48" t="s">
        <v>5</v>
      </c>
      <c r="H346" s="48" t="s">
        <v>6218</v>
      </c>
      <c r="I346" s="48" t="s">
        <v>6219</v>
      </c>
      <c r="J346" s="48" t="s">
        <v>6154</v>
      </c>
      <c r="K346" s="52" t="b">
        <f>IFS($B346=FALSE,"", countif(VLOOKUP($A346,UASCAN!D:D,1,FALSE),$A346)&gt;=1,TRUE,countif(VLOOKUP($B346,UASCAN!D:D,1,FALSE),$B346)=0,FALSE)</f>
        <v>0</v>
      </c>
      <c r="L346" s="52" t="b">
        <f>IFS(B346=FALSE,"", countif(VLOOKUP($B346,'01132022'!B:B,1,FALSE),$B346)&gt;=1,TRUE,countif(VLOOKUP($B346,'01132022'!B:B,1,FALSE),$B346)=0,FALSE)</f>
        <v>1</v>
      </c>
      <c r="M346" s="52" t="str">
        <f>ifs(AND($K346=FALSE,$L346=TRUE),"",AND($K346=FALSE,L346=FALSE),"",AND($K346=TRUE,$L346=TRUE),VLOOKUP($A346,UASCAN!D:F,3,0), AND($K346=TRUE,$L346=FALSE),VLOOKUP($A346,UASCAN!D:F,3,0))</f>
        <v/>
      </c>
      <c r="N346" s="53" t="str">
        <f t="shared" si="2"/>
        <v> </v>
      </c>
      <c r="O346" s="53" t="str">
        <f t="shared" si="3"/>
        <v/>
      </c>
    </row>
    <row r="347">
      <c r="A347" s="47" t="str">
        <f t="shared" si="1"/>
        <v>1128244574</v>
      </c>
      <c r="B347" s="48">
        <v>11282.0</v>
      </c>
      <c r="C347" s="49">
        <v>0.4166666666666667</v>
      </c>
      <c r="D347" s="48" t="s">
        <v>895</v>
      </c>
      <c r="E347" s="50">
        <v>20131.0</v>
      </c>
      <c r="F347" s="51">
        <v>44574.0</v>
      </c>
      <c r="G347" s="48" t="s">
        <v>5</v>
      </c>
      <c r="H347" s="48" t="s">
        <v>6218</v>
      </c>
      <c r="I347" s="48" t="s">
        <v>6219</v>
      </c>
      <c r="J347" s="48" t="s">
        <v>6199</v>
      </c>
      <c r="K347" s="52" t="b">
        <f>IFS($B347=FALSE,"", countif(VLOOKUP($A347,UASCAN!D:D,1,FALSE),$A347)&gt;=1,TRUE,countif(VLOOKUP($B347,UASCAN!D:D,1,FALSE),$B347)=0,FALSE)</f>
        <v>0</v>
      </c>
      <c r="L347" s="52" t="b">
        <f>IFS(B347=FALSE,"", countif(VLOOKUP($B347,'01132022'!B:B,1,FALSE),$B347)&gt;=1,TRUE,countif(VLOOKUP($B347,'01132022'!B:B,1,FALSE),$B347)=0,FALSE)</f>
        <v>1</v>
      </c>
      <c r="M347" s="52" t="str">
        <f>ifs(AND($K347=FALSE,$L347=TRUE),"",AND($K347=FALSE,L347=FALSE),"",AND($K347=TRUE,$L347=TRUE),VLOOKUP($A347,UASCAN!D:F,3,0), AND($K347=TRUE,$L347=FALSE),VLOOKUP($A347,UASCAN!D:F,3,0))</f>
        <v/>
      </c>
      <c r="N347" s="53" t="str">
        <f t="shared" si="2"/>
        <v> </v>
      </c>
      <c r="O347" s="53" t="str">
        <f t="shared" si="3"/>
        <v/>
      </c>
    </row>
    <row r="348">
      <c r="A348" s="47" t="str">
        <f t="shared" si="1"/>
        <v>1191044574</v>
      </c>
      <c r="B348" s="48">
        <v>11910.0</v>
      </c>
      <c r="C348" s="49">
        <v>0.4375</v>
      </c>
      <c r="D348" s="48" t="s">
        <v>1184</v>
      </c>
      <c r="E348" s="50">
        <v>25986.0</v>
      </c>
      <c r="F348" s="51">
        <v>44574.0</v>
      </c>
      <c r="G348" s="48" t="s">
        <v>5</v>
      </c>
      <c r="H348" s="48" t="s">
        <v>6218</v>
      </c>
      <c r="I348" s="48" t="s">
        <v>6219</v>
      </c>
      <c r="J348" s="48" t="s">
        <v>6101</v>
      </c>
      <c r="K348" s="52" t="b">
        <f>IFS($B348=FALSE,"", countif(VLOOKUP($A348,UASCAN!D:D,1,FALSE),$A348)&gt;=1,TRUE,countif(VLOOKUP($B348,UASCAN!D:D,1,FALSE),$B348)=0,FALSE)</f>
        <v>0</v>
      </c>
      <c r="L348" s="52" t="b">
        <f>IFS(B348=FALSE,"", countif(VLOOKUP($B348,'01132022'!B:B,1,FALSE),$B348)&gt;=1,TRUE,countif(VLOOKUP($B348,'01132022'!B:B,1,FALSE),$B348)=0,FALSE)</f>
        <v>1</v>
      </c>
      <c r="M348" s="52" t="str">
        <f>ifs(AND($K348=FALSE,$L348=TRUE),"",AND($K348=FALSE,L348=FALSE),"",AND($K348=TRUE,$L348=TRUE),VLOOKUP($A348,UASCAN!D:F,3,0), AND($K348=TRUE,$L348=FALSE),VLOOKUP($A348,UASCAN!D:F,3,0))</f>
        <v/>
      </c>
      <c r="N348" s="53" t="str">
        <f t="shared" si="2"/>
        <v> </v>
      </c>
      <c r="O348" s="53" t="str">
        <f t="shared" si="3"/>
        <v/>
      </c>
    </row>
    <row r="349">
      <c r="A349" s="47" t="str">
        <f t="shared" si="1"/>
        <v>1246744574</v>
      </c>
      <c r="B349" s="48">
        <v>12467.0</v>
      </c>
      <c r="C349" s="49">
        <v>0.4583333333333333</v>
      </c>
      <c r="D349" s="48" t="s">
        <v>1480</v>
      </c>
      <c r="E349" s="50">
        <v>20416.0</v>
      </c>
      <c r="F349" s="51">
        <v>44574.0</v>
      </c>
      <c r="G349" s="48" t="s">
        <v>5</v>
      </c>
      <c r="H349" s="48" t="s">
        <v>6218</v>
      </c>
      <c r="I349" s="48" t="s">
        <v>6219</v>
      </c>
      <c r="J349" s="48" t="s">
        <v>6095</v>
      </c>
      <c r="K349" s="52" t="b">
        <f>IFS($B349=FALSE,"", countif(VLOOKUP($A349,UASCAN!D:D,1,FALSE),$A349)&gt;=1,TRUE,countif(VLOOKUP($B349,UASCAN!D:D,1,FALSE),$B349)=0,FALSE)</f>
        <v>0</v>
      </c>
      <c r="L349" s="52" t="b">
        <f>IFS(B349=FALSE,"", countif(VLOOKUP($B349,'01132022'!B:B,1,FALSE),$B349)&gt;=1,TRUE,countif(VLOOKUP($B349,'01132022'!B:B,1,FALSE),$B349)=0,FALSE)</f>
        <v>1</v>
      </c>
      <c r="M349" s="52" t="str">
        <f>ifs(AND($K349=FALSE,$L349=TRUE),"",AND($K349=FALSE,L349=FALSE),"",AND($K349=TRUE,$L349=TRUE),VLOOKUP($A349,UASCAN!D:F,3,0), AND($K349=TRUE,$L349=FALSE),VLOOKUP($A349,UASCAN!D:F,3,0))</f>
        <v/>
      </c>
      <c r="N349" s="53" t="str">
        <f t="shared" si="2"/>
        <v> </v>
      </c>
      <c r="O349" s="53" t="str">
        <f t="shared" si="3"/>
        <v/>
      </c>
    </row>
    <row r="350">
      <c r="A350" s="47" t="str">
        <f t="shared" si="1"/>
        <v>1763044574</v>
      </c>
      <c r="B350" s="48">
        <v>17630.0</v>
      </c>
      <c r="C350" s="49">
        <v>0.46875</v>
      </c>
      <c r="D350" s="48" t="s">
        <v>5594</v>
      </c>
      <c r="E350" s="50">
        <v>16735.0</v>
      </c>
      <c r="F350" s="51">
        <v>44574.0</v>
      </c>
      <c r="G350" s="48" t="s">
        <v>6216</v>
      </c>
      <c r="H350" s="48" t="s">
        <v>6218</v>
      </c>
      <c r="I350" s="48" t="s">
        <v>6219</v>
      </c>
      <c r="J350" s="48" t="s">
        <v>6192</v>
      </c>
      <c r="K350" s="52" t="b">
        <f>IFS($B350=FALSE,"", countif(VLOOKUP($A350,UASCAN!D:D,1,FALSE),$A350)&gt;=1,TRUE,countif(VLOOKUP($B350,UASCAN!D:D,1,FALSE),$B350)=0,FALSE)</f>
        <v>0</v>
      </c>
      <c r="L350" s="52" t="b">
        <f>IFS(B350=FALSE,"", countif(VLOOKUP($B350,'01132022'!B:B,1,FALSE),$B350)&gt;=1,TRUE,countif(VLOOKUP($B350,'01132022'!B:B,1,FALSE),$B350)=0,FALSE)</f>
        <v>1</v>
      </c>
      <c r="M350" s="52" t="str">
        <f>ifs(AND($K350=FALSE,$L350=TRUE),"",AND($K350=FALSE,L350=FALSE),"",AND($K350=TRUE,$L350=TRUE),VLOOKUP($A350,UASCAN!D:F,3,0), AND($K350=TRUE,$L350=FALSE),VLOOKUP($A350,UASCAN!D:F,3,0))</f>
        <v/>
      </c>
      <c r="N350" s="53" t="str">
        <f t="shared" si="2"/>
        <v> </v>
      </c>
      <c r="O350" s="53" t="str">
        <f t="shared" si="3"/>
        <v/>
      </c>
    </row>
    <row r="351">
      <c r="A351" s="47" t="str">
        <f t="shared" si="1"/>
        <v>1185244574</v>
      </c>
      <c r="B351" s="48">
        <v>11852.0</v>
      </c>
      <c r="C351" s="49">
        <v>0.3333333333333333</v>
      </c>
      <c r="D351" s="48" t="s">
        <v>1146</v>
      </c>
      <c r="E351" s="50">
        <v>12931.0</v>
      </c>
      <c r="F351" s="51">
        <v>44574.0</v>
      </c>
      <c r="G351" s="48" t="s">
        <v>5</v>
      </c>
      <c r="H351" s="48" t="s">
        <v>6218</v>
      </c>
      <c r="I351" s="48" t="s">
        <v>6222</v>
      </c>
      <c r="J351" s="48" t="s">
        <v>6094</v>
      </c>
      <c r="K351" s="52" t="b">
        <f>IFS($B351=FALSE,"", countif(VLOOKUP($A351,UASCAN!D:D,1,FALSE),$A351)&gt;=1,TRUE,countif(VLOOKUP($B351,UASCAN!D:D,1,FALSE),$B351)=0,FALSE)</f>
        <v>0</v>
      </c>
      <c r="L351" s="52" t="b">
        <f>IFS(B351=FALSE,"", countif(VLOOKUP($B351,'01132022'!B:B,1,FALSE),$B351)&gt;=1,TRUE,countif(VLOOKUP($B351,'01132022'!B:B,1,FALSE),$B351)=0,FALSE)</f>
        <v>1</v>
      </c>
      <c r="M351" s="52" t="str">
        <f>ifs(AND($K351=FALSE,$L351=TRUE),"",AND($K351=FALSE,L351=FALSE),"",AND($K351=TRUE,$L351=TRUE),VLOOKUP($A351,UASCAN!D:F,3,0), AND($K351=TRUE,$L351=FALSE),VLOOKUP($A351,UASCAN!D:F,3,0))</f>
        <v/>
      </c>
      <c r="N351" s="53" t="str">
        <f t="shared" si="2"/>
        <v> </v>
      </c>
      <c r="O351" s="53" t="str">
        <f t="shared" si="3"/>
        <v/>
      </c>
    </row>
    <row r="352">
      <c r="A352" s="47" t="str">
        <f t="shared" si="1"/>
        <v>993844574</v>
      </c>
      <c r="B352" s="48">
        <v>9938.0</v>
      </c>
      <c r="C352" s="49">
        <v>0.34375</v>
      </c>
      <c r="D352" s="48" t="s">
        <v>346</v>
      </c>
      <c r="E352" s="50">
        <v>25985.0</v>
      </c>
      <c r="F352" s="51">
        <v>44574.0</v>
      </c>
      <c r="G352" s="48" t="s">
        <v>5</v>
      </c>
      <c r="H352" s="48" t="s">
        <v>6218</v>
      </c>
      <c r="I352" s="48" t="s">
        <v>6222</v>
      </c>
      <c r="J352" s="48" t="s">
        <v>6082</v>
      </c>
      <c r="K352" s="52" t="b">
        <f>IFS($B352=FALSE,"", countif(VLOOKUP($A352,UASCAN!D:D,1,FALSE),$A352)&gt;=1,TRUE,countif(VLOOKUP($B352,UASCAN!D:D,1,FALSE),$B352)=0,FALSE)</f>
        <v>0</v>
      </c>
      <c r="L352" s="52" t="b">
        <f>IFS(B352=FALSE,"", countif(VLOOKUP($B352,'01132022'!B:B,1,FALSE),$B352)&gt;=1,TRUE,countif(VLOOKUP($B352,'01132022'!B:B,1,FALSE),$B352)=0,FALSE)</f>
        <v>1</v>
      </c>
      <c r="M352" s="52" t="str">
        <f>ifs(AND($K352=FALSE,$L352=TRUE),"",AND($K352=FALSE,L352=FALSE),"",AND($K352=TRUE,$L352=TRUE),VLOOKUP($A352,UASCAN!D:F,3,0), AND($K352=TRUE,$L352=FALSE),VLOOKUP($A352,UASCAN!D:F,3,0))</f>
        <v/>
      </c>
      <c r="N352" s="53" t="str">
        <f t="shared" si="2"/>
        <v> </v>
      </c>
      <c r="O352" s="53" t="str">
        <f t="shared" si="3"/>
        <v/>
      </c>
    </row>
    <row r="353">
      <c r="A353" s="47" t="str">
        <f t="shared" si="1"/>
        <v>1247744574</v>
      </c>
      <c r="B353" s="48">
        <v>12477.0</v>
      </c>
      <c r="C353" s="49">
        <v>0.3645833333333333</v>
      </c>
      <c r="D353" s="48" t="s">
        <v>1488</v>
      </c>
      <c r="E353" s="50">
        <v>24073.0</v>
      </c>
      <c r="F353" s="51">
        <v>44574.0</v>
      </c>
      <c r="G353" s="48" t="s">
        <v>6220</v>
      </c>
      <c r="H353" s="48" t="s">
        <v>6218</v>
      </c>
      <c r="I353" s="48" t="s">
        <v>6222</v>
      </c>
      <c r="J353" s="48" t="s">
        <v>6139</v>
      </c>
      <c r="K353" s="52" t="b">
        <f>IFS($B353=FALSE,"", countif(VLOOKUP($A353,UASCAN!D:D,1,FALSE),$A353)&gt;=1,TRUE,countif(VLOOKUP($B353,UASCAN!D:D,1,FALSE),$B353)=0,FALSE)</f>
        <v>0</v>
      </c>
      <c r="L353" s="52" t="b">
        <f>IFS(B353=FALSE,"", countif(VLOOKUP($B353,'01132022'!B:B,1,FALSE),$B353)&gt;=1,TRUE,countif(VLOOKUP($B353,'01132022'!B:B,1,FALSE),$B353)=0,FALSE)</f>
        <v>1</v>
      </c>
      <c r="M353" s="52" t="str">
        <f>ifs(AND($K353=FALSE,$L353=TRUE),"",AND($K353=FALSE,L353=FALSE),"",AND($K353=TRUE,$L353=TRUE),VLOOKUP($A353,UASCAN!D:F,3,0), AND($K353=TRUE,$L353=FALSE),VLOOKUP($A353,UASCAN!D:F,3,0))</f>
        <v/>
      </c>
      <c r="N353" s="53" t="str">
        <f t="shared" si="2"/>
        <v> </v>
      </c>
      <c r="O353" s="53" t="str">
        <f t="shared" si="3"/>
        <v/>
      </c>
    </row>
    <row r="354">
      <c r="A354" s="47" t="str">
        <f t="shared" si="1"/>
        <v>949344574</v>
      </c>
      <c r="B354" s="48">
        <v>9493.0</v>
      </c>
      <c r="C354" s="49">
        <v>0.375</v>
      </c>
      <c r="D354" s="48" t="s">
        <v>187</v>
      </c>
      <c r="E354" s="50">
        <v>20636.0</v>
      </c>
      <c r="F354" s="51">
        <v>44574.0</v>
      </c>
      <c r="G354" s="48" t="s">
        <v>6215</v>
      </c>
      <c r="H354" s="48" t="s">
        <v>6218</v>
      </c>
      <c r="I354" s="48" t="s">
        <v>6222</v>
      </c>
      <c r="J354" s="48" t="s">
        <v>6199</v>
      </c>
      <c r="K354" s="52" t="b">
        <f>IFS($B354=FALSE,"", countif(VLOOKUP($A354,UASCAN!D:D,1,FALSE),$A354)&gt;=1,TRUE,countif(VLOOKUP($B354,UASCAN!D:D,1,FALSE),$B354)=0,FALSE)</f>
        <v>0</v>
      </c>
      <c r="L354" s="52" t="b">
        <f>IFS(B354=FALSE,"", countif(VLOOKUP($B354,'01132022'!B:B,1,FALSE),$B354)&gt;=1,TRUE,countif(VLOOKUP($B354,'01132022'!B:B,1,FALSE),$B354)=0,FALSE)</f>
        <v>1</v>
      </c>
      <c r="M354" s="52" t="str">
        <f>ifs(AND($K354=FALSE,$L354=TRUE),"",AND($K354=FALSE,L354=FALSE),"",AND($K354=TRUE,$L354=TRUE),VLOOKUP($A354,UASCAN!D:F,3,0), AND($K354=TRUE,$L354=FALSE),VLOOKUP($A354,UASCAN!D:F,3,0))</f>
        <v/>
      </c>
      <c r="N354" s="53" t="str">
        <f t="shared" si="2"/>
        <v> </v>
      </c>
      <c r="O354" s="53" t="str">
        <f t="shared" si="3"/>
        <v/>
      </c>
    </row>
    <row r="355">
      <c r="A355" s="47" t="str">
        <f t="shared" si="1"/>
        <v>953144574</v>
      </c>
      <c r="B355" s="48">
        <v>9531.0</v>
      </c>
      <c r="C355" s="49">
        <v>0.3958333333333333</v>
      </c>
      <c r="D355" s="48" t="s">
        <v>201</v>
      </c>
      <c r="E355" s="50">
        <v>17451.0</v>
      </c>
      <c r="F355" s="51">
        <v>44574.0</v>
      </c>
      <c r="G355" s="48" t="s">
        <v>6220</v>
      </c>
      <c r="H355" s="48" t="s">
        <v>6218</v>
      </c>
      <c r="I355" s="48" t="s">
        <v>6222</v>
      </c>
      <c r="J355" s="48" t="s">
        <v>6194</v>
      </c>
      <c r="K355" s="52" t="b">
        <f>IFS($B355=FALSE,"", countif(VLOOKUP($A355,UASCAN!D:D,1,FALSE),$A355)&gt;=1,TRUE,countif(VLOOKUP($B355,UASCAN!D:D,1,FALSE),$B355)=0,FALSE)</f>
        <v>0</v>
      </c>
      <c r="L355" s="52" t="b">
        <f>IFS(B355=FALSE,"", countif(VLOOKUP($B355,'01132022'!B:B,1,FALSE),$B355)&gt;=1,TRUE,countif(VLOOKUP($B355,'01132022'!B:B,1,FALSE),$B355)=0,FALSE)</f>
        <v>1</v>
      </c>
      <c r="M355" s="52" t="str">
        <f>ifs(AND($K355=FALSE,$L355=TRUE),"",AND($K355=FALSE,L355=FALSE),"",AND($K355=TRUE,$L355=TRUE),VLOOKUP($A355,UASCAN!D:F,3,0), AND($K355=TRUE,$L355=FALSE),VLOOKUP($A355,UASCAN!D:F,3,0))</f>
        <v/>
      </c>
      <c r="N355" s="53" t="str">
        <f t="shared" si="2"/>
        <v> </v>
      </c>
      <c r="O355" s="53" t="str">
        <f t="shared" si="3"/>
        <v/>
      </c>
    </row>
    <row r="356">
      <c r="A356" s="47" t="str">
        <f t="shared" si="1"/>
        <v>1369544574</v>
      </c>
      <c r="B356" s="48">
        <v>13695.0</v>
      </c>
      <c r="C356" s="49">
        <v>0.40625</v>
      </c>
      <c r="D356" s="48" t="s">
        <v>2435</v>
      </c>
      <c r="E356" s="50">
        <v>20076.0</v>
      </c>
      <c r="F356" s="51">
        <v>44574.0</v>
      </c>
      <c r="G356" s="48" t="s">
        <v>5</v>
      </c>
      <c r="H356" s="48" t="s">
        <v>6218</v>
      </c>
      <c r="I356" s="48" t="s">
        <v>6222</v>
      </c>
      <c r="J356" s="48" t="s">
        <v>6158</v>
      </c>
      <c r="K356" s="52" t="b">
        <f>IFS($B356=FALSE,"", countif(VLOOKUP($A356,UASCAN!D:D,1,FALSE),$A356)&gt;=1,TRUE,countif(VLOOKUP($B356,UASCAN!D:D,1,FALSE),$B356)=0,FALSE)</f>
        <v>0</v>
      </c>
      <c r="L356" s="52" t="b">
        <f>IFS(B356=FALSE,"", countif(VLOOKUP($B356,'01132022'!B:B,1,FALSE),$B356)&gt;=1,TRUE,countif(VLOOKUP($B356,'01132022'!B:B,1,FALSE),$B356)=0,FALSE)</f>
        <v>1</v>
      </c>
      <c r="M356" s="52" t="str">
        <f>ifs(AND($K356=FALSE,$L356=TRUE),"",AND($K356=FALSE,L356=FALSE),"",AND($K356=TRUE,$L356=TRUE),VLOOKUP($A356,UASCAN!D:F,3,0), AND($K356=TRUE,$L356=FALSE),VLOOKUP($A356,UASCAN!D:F,3,0))</f>
        <v/>
      </c>
      <c r="N356" s="53" t="str">
        <f t="shared" si="2"/>
        <v> </v>
      </c>
      <c r="O356" s="53" t="str">
        <f t="shared" si="3"/>
        <v/>
      </c>
    </row>
    <row r="357">
      <c r="A357" s="47" t="str">
        <f t="shared" si="1"/>
        <v>1052144574</v>
      </c>
      <c r="B357" s="48">
        <v>10521.0</v>
      </c>
      <c r="C357" s="49">
        <v>0.4270833333333333</v>
      </c>
      <c r="D357" s="48" t="s">
        <v>583</v>
      </c>
      <c r="E357" s="50">
        <v>22660.0</v>
      </c>
      <c r="F357" s="51">
        <v>44574.0</v>
      </c>
      <c r="G357" s="48" t="s">
        <v>5</v>
      </c>
      <c r="H357" s="48" t="s">
        <v>6218</v>
      </c>
      <c r="I357" s="48" t="s">
        <v>6222</v>
      </c>
      <c r="J357" s="48" t="s">
        <v>6083</v>
      </c>
      <c r="K357" s="52" t="b">
        <f>IFS($B357=FALSE,"", countif(VLOOKUP($A357,UASCAN!D:D,1,FALSE),$A357)&gt;=1,TRUE,countif(VLOOKUP($B357,UASCAN!D:D,1,FALSE),$B357)=0,FALSE)</f>
        <v>0</v>
      </c>
      <c r="L357" s="52" t="b">
        <f>IFS(B357=FALSE,"", countif(VLOOKUP($B357,'01132022'!B:B,1,FALSE),$B357)&gt;=1,TRUE,countif(VLOOKUP($B357,'01132022'!B:B,1,FALSE),$B357)=0,FALSE)</f>
        <v>1</v>
      </c>
      <c r="M357" s="52" t="str">
        <f>ifs(AND($K357=FALSE,$L357=TRUE),"",AND($K357=FALSE,L357=FALSE),"",AND($K357=TRUE,$L357=TRUE),VLOOKUP($A357,UASCAN!D:F,3,0), AND($K357=TRUE,$L357=FALSE),VLOOKUP($A357,UASCAN!D:F,3,0))</f>
        <v/>
      </c>
      <c r="N357" s="53" t="str">
        <f t="shared" si="2"/>
        <v> </v>
      </c>
      <c r="O357" s="53" t="str">
        <f t="shared" si="3"/>
        <v/>
      </c>
    </row>
    <row r="358">
      <c r="A358" s="47" t="str">
        <f t="shared" si="1"/>
        <v>1231844574</v>
      </c>
      <c r="B358" s="48">
        <v>12318.0</v>
      </c>
      <c r="C358" s="49">
        <v>0.4375</v>
      </c>
      <c r="D358" s="48" t="s">
        <v>1387</v>
      </c>
      <c r="E358" s="50">
        <v>20463.0</v>
      </c>
      <c r="F358" s="51">
        <v>44574.0</v>
      </c>
      <c r="G358" s="48" t="s">
        <v>6220</v>
      </c>
      <c r="H358" s="48" t="s">
        <v>6218</v>
      </c>
      <c r="I358" s="48" t="s">
        <v>6222</v>
      </c>
      <c r="J358" s="48" t="s">
        <v>6196</v>
      </c>
      <c r="K358" s="52" t="b">
        <f>IFS($B358=FALSE,"", countif(VLOOKUP($A358,UASCAN!D:D,1,FALSE),$A358)&gt;=1,TRUE,countif(VLOOKUP($B358,UASCAN!D:D,1,FALSE),$B358)=0,FALSE)</f>
        <v>0</v>
      </c>
      <c r="L358" s="52" t="b">
        <f>IFS(B358=FALSE,"", countif(VLOOKUP($B358,'01132022'!B:B,1,FALSE),$B358)&gt;=1,TRUE,countif(VLOOKUP($B358,'01132022'!B:B,1,FALSE),$B358)=0,FALSE)</f>
        <v>1</v>
      </c>
      <c r="M358" s="52" t="str">
        <f>ifs(AND($K358=FALSE,$L358=TRUE),"",AND($K358=FALSE,L358=FALSE),"",AND($K358=TRUE,$L358=TRUE),VLOOKUP($A358,UASCAN!D:F,3,0), AND($K358=TRUE,$L358=FALSE),VLOOKUP($A358,UASCAN!D:F,3,0))</f>
        <v/>
      </c>
      <c r="N358" s="53" t="str">
        <f t="shared" si="2"/>
        <v> </v>
      </c>
      <c r="O358" s="53" t="str">
        <f t="shared" si="3"/>
        <v/>
      </c>
    </row>
    <row r="359">
      <c r="A359" s="47" t="str">
        <f t="shared" si="1"/>
        <v>1521444574</v>
      </c>
      <c r="B359" s="48">
        <v>15214.0</v>
      </c>
      <c r="C359" s="49">
        <v>0.4583333333333333</v>
      </c>
      <c r="D359" s="48" t="s">
        <v>3650</v>
      </c>
      <c r="E359" s="50">
        <v>17411.0</v>
      </c>
      <c r="F359" s="51">
        <v>44574.0</v>
      </c>
      <c r="G359" s="48" t="s">
        <v>6220</v>
      </c>
      <c r="H359" s="48" t="s">
        <v>6218</v>
      </c>
      <c r="I359" s="48" t="s">
        <v>6222</v>
      </c>
      <c r="J359" s="48" t="s">
        <v>6193</v>
      </c>
      <c r="K359" s="52" t="b">
        <f>IFS($B359=FALSE,"", countif(VLOOKUP($A359,UASCAN!D:D,1,FALSE),$A359)&gt;=1,TRUE,countif(VLOOKUP($B359,UASCAN!D:D,1,FALSE),$B359)=0,FALSE)</f>
        <v>0</v>
      </c>
      <c r="L359" s="52" t="b">
        <f>IFS(B359=FALSE,"", countif(VLOOKUP($B359,'01132022'!B:B,1,FALSE),$B359)&gt;=1,TRUE,countif(VLOOKUP($B359,'01132022'!B:B,1,FALSE),$B359)=0,FALSE)</f>
        <v>1</v>
      </c>
      <c r="M359" s="52" t="str">
        <f>ifs(AND($K359=FALSE,$L359=TRUE),"",AND($K359=FALSE,L359=FALSE),"",AND($K359=TRUE,$L359=TRUE),VLOOKUP($A359,UASCAN!D:F,3,0), AND($K359=TRUE,$L359=FALSE),VLOOKUP($A359,UASCAN!D:F,3,0))</f>
        <v/>
      </c>
      <c r="N359" s="53" t="str">
        <f t="shared" si="2"/>
        <v> </v>
      </c>
      <c r="O359" s="53" t="str">
        <f t="shared" si="3"/>
        <v/>
      </c>
    </row>
    <row r="360">
      <c r="A360" s="47" t="str">
        <f t="shared" si="1"/>
        <v>1386044574</v>
      </c>
      <c r="B360" s="48">
        <v>13860.0</v>
      </c>
      <c r="C360" s="49">
        <v>0.4583333333333333</v>
      </c>
      <c r="D360" s="48" t="s">
        <v>2562</v>
      </c>
      <c r="E360" s="50">
        <v>23450.0</v>
      </c>
      <c r="F360" s="51">
        <v>44574.0</v>
      </c>
      <c r="G360" s="48" t="s">
        <v>5</v>
      </c>
      <c r="H360" s="48" t="s">
        <v>6218</v>
      </c>
      <c r="I360" s="48" t="s">
        <v>6222</v>
      </c>
      <c r="J360" s="48" t="s">
        <v>6091</v>
      </c>
      <c r="K360" s="52" t="b">
        <f>IFS($B360=FALSE,"", countif(VLOOKUP($A360,UASCAN!D:D,1,FALSE),$A360)&gt;=1,TRUE,countif(VLOOKUP($B360,UASCAN!D:D,1,FALSE),$B360)=0,FALSE)</f>
        <v>0</v>
      </c>
      <c r="L360" s="52" t="b">
        <f>IFS(B360=FALSE,"", countif(VLOOKUP($B360,'01132022'!B:B,1,FALSE),$B360)&gt;=1,TRUE,countif(VLOOKUP($B360,'01132022'!B:B,1,FALSE),$B360)=0,FALSE)</f>
        <v>1</v>
      </c>
      <c r="M360" s="52" t="str">
        <f>ifs(AND($K360=FALSE,$L360=TRUE),"",AND($K360=FALSE,L360=FALSE),"",AND($K360=TRUE,$L360=TRUE),VLOOKUP($A360,UASCAN!D:F,3,0), AND($K360=TRUE,$L360=FALSE),VLOOKUP($A360,UASCAN!D:F,3,0))</f>
        <v/>
      </c>
      <c r="N360" s="53" t="str">
        <f t="shared" si="2"/>
        <v> </v>
      </c>
      <c r="O360" s="53" t="str">
        <f t="shared" si="3"/>
        <v/>
      </c>
    </row>
    <row r="361">
      <c r="A361" s="47" t="str">
        <f t="shared" si="1"/>
        <v>1016444574</v>
      </c>
      <c r="B361" s="48">
        <v>10164.0</v>
      </c>
      <c r="C361" s="49">
        <v>0.5625</v>
      </c>
      <c r="D361" s="48" t="s">
        <v>439</v>
      </c>
      <c r="E361" s="50">
        <v>21050.0</v>
      </c>
      <c r="F361" s="51">
        <v>44574.0</v>
      </c>
      <c r="G361" s="48" t="s">
        <v>6220</v>
      </c>
      <c r="H361" s="48" t="s">
        <v>6218</v>
      </c>
      <c r="I361" s="48" t="s">
        <v>6222</v>
      </c>
      <c r="J361" s="48" t="s">
        <v>6142</v>
      </c>
      <c r="K361" s="52" t="b">
        <f>IFS($B361=FALSE,"", countif(VLOOKUP($A361,UASCAN!D:D,1,FALSE),$A361)&gt;=1,TRUE,countif(VLOOKUP($B361,UASCAN!D:D,1,FALSE),$B361)=0,FALSE)</f>
        <v>0</v>
      </c>
      <c r="L361" s="52" t="b">
        <f>IFS(B361=FALSE,"", countif(VLOOKUP($B361,'01132022'!B:B,1,FALSE),$B361)&gt;=1,TRUE,countif(VLOOKUP($B361,'01132022'!B:B,1,FALSE),$B361)=0,FALSE)</f>
        <v>1</v>
      </c>
      <c r="M361" s="52" t="str">
        <f>ifs(AND($K361=FALSE,$L361=TRUE),"",AND($K361=FALSE,L361=FALSE),"",AND($K361=TRUE,$L361=TRUE),VLOOKUP($A361,UASCAN!D:F,3,0), AND($K361=TRUE,$L361=FALSE),VLOOKUP($A361,UASCAN!D:F,3,0))</f>
        <v/>
      </c>
      <c r="N361" s="53" t="str">
        <f t="shared" si="2"/>
        <v> </v>
      </c>
      <c r="O361" s="53" t="str">
        <f t="shared" si="3"/>
        <v/>
      </c>
    </row>
    <row r="362">
      <c r="A362" s="47" t="str">
        <f t="shared" si="1"/>
        <v>1164044574</v>
      </c>
      <c r="B362" s="48">
        <v>11640.0</v>
      </c>
      <c r="C362" s="49">
        <v>0.5729166666666666</v>
      </c>
      <c r="D362" s="48" t="s">
        <v>1037</v>
      </c>
      <c r="E362" s="50">
        <v>23524.0</v>
      </c>
      <c r="F362" s="51">
        <v>44574.0</v>
      </c>
      <c r="G362" s="48" t="s">
        <v>6216</v>
      </c>
      <c r="H362" s="48" t="s">
        <v>6218</v>
      </c>
      <c r="I362" s="48" t="s">
        <v>6222</v>
      </c>
      <c r="J362" s="48" t="s">
        <v>6139</v>
      </c>
      <c r="K362" s="52" t="b">
        <f>IFS($B362=FALSE,"", countif(VLOOKUP($A362,UASCAN!D:D,1,FALSE),$A362)&gt;=1,TRUE,countif(VLOOKUP($B362,UASCAN!D:D,1,FALSE),$B362)=0,FALSE)</f>
        <v>0</v>
      </c>
      <c r="L362" s="52" t="b">
        <f>IFS(B362=FALSE,"", countif(VLOOKUP($B362,'01132022'!B:B,1,FALSE),$B362)&gt;=1,TRUE,countif(VLOOKUP($B362,'01132022'!B:B,1,FALSE),$B362)=0,FALSE)</f>
        <v>1</v>
      </c>
      <c r="M362" s="52" t="str">
        <f>ifs(AND($K362=FALSE,$L362=TRUE),"",AND($K362=FALSE,L362=FALSE),"",AND($K362=TRUE,$L362=TRUE),VLOOKUP($A362,UASCAN!D:F,3,0), AND($K362=TRUE,$L362=FALSE),VLOOKUP($A362,UASCAN!D:F,3,0))</f>
        <v/>
      </c>
      <c r="N362" s="53" t="str">
        <f t="shared" si="2"/>
        <v> </v>
      </c>
      <c r="O362" s="53" t="str">
        <f t="shared" si="3"/>
        <v/>
      </c>
    </row>
    <row r="363">
      <c r="A363" s="47" t="str">
        <f t="shared" si="1"/>
        <v>1274044574</v>
      </c>
      <c r="B363" s="48">
        <v>12740.0</v>
      </c>
      <c r="C363" s="49">
        <v>0.5833333333333334</v>
      </c>
      <c r="D363" s="48" t="s">
        <v>1669</v>
      </c>
      <c r="E363" s="50">
        <v>24173.0</v>
      </c>
      <c r="F363" s="51">
        <v>44574.0</v>
      </c>
      <c r="G363" s="48" t="s">
        <v>5</v>
      </c>
      <c r="H363" s="48" t="s">
        <v>6218</v>
      </c>
      <c r="I363" s="48" t="s">
        <v>6222</v>
      </c>
      <c r="J363" s="48" t="s">
        <v>6199</v>
      </c>
      <c r="K363" s="52" t="b">
        <f>IFS($B363=FALSE,"", countif(VLOOKUP($A363,UASCAN!D:D,1,FALSE),$A363)&gt;=1,TRUE,countif(VLOOKUP($B363,UASCAN!D:D,1,FALSE),$B363)=0,FALSE)</f>
        <v>0</v>
      </c>
      <c r="L363" s="52" t="b">
        <f>IFS(B363=FALSE,"", countif(VLOOKUP($B363,'01132022'!B:B,1,FALSE),$B363)&gt;=1,TRUE,countif(VLOOKUP($B363,'01132022'!B:B,1,FALSE),$B363)=0,FALSE)</f>
        <v>1</v>
      </c>
      <c r="M363" s="52" t="str">
        <f>ifs(AND($K363=FALSE,$L363=TRUE),"",AND($K363=FALSE,L363=FALSE),"",AND($K363=TRUE,$L363=TRUE),VLOOKUP($A363,UASCAN!D:F,3,0), AND($K363=TRUE,$L363=FALSE),VLOOKUP($A363,UASCAN!D:F,3,0))</f>
        <v/>
      </c>
      <c r="N363" s="53" t="str">
        <f t="shared" si="2"/>
        <v> </v>
      </c>
      <c r="O363" s="53" t="str">
        <f t="shared" si="3"/>
        <v/>
      </c>
    </row>
    <row r="364">
      <c r="A364" s="47" t="str">
        <f t="shared" si="1"/>
        <v>1757744574</v>
      </c>
      <c r="B364" s="48">
        <v>17577.0</v>
      </c>
      <c r="C364" s="49">
        <v>0.6041666666666666</v>
      </c>
      <c r="D364" s="48" t="s">
        <v>5572</v>
      </c>
      <c r="E364" s="50">
        <v>23885.0</v>
      </c>
      <c r="F364" s="51">
        <v>44574.0</v>
      </c>
      <c r="G364" s="48" t="s">
        <v>6220</v>
      </c>
      <c r="H364" s="48" t="s">
        <v>6218</v>
      </c>
      <c r="I364" s="48" t="s">
        <v>6222</v>
      </c>
      <c r="J364" s="48" t="s">
        <v>6196</v>
      </c>
      <c r="K364" s="52" t="b">
        <f>IFS($B364=FALSE,"", countif(VLOOKUP($A364,UASCAN!D:D,1,FALSE),$A364)&gt;=1,TRUE,countif(VLOOKUP($B364,UASCAN!D:D,1,FALSE),$B364)=0,FALSE)</f>
        <v>0</v>
      </c>
      <c r="L364" s="52" t="b">
        <f>IFS(B364=FALSE,"", countif(VLOOKUP($B364,'01132022'!B:B,1,FALSE),$B364)&gt;=1,TRUE,countif(VLOOKUP($B364,'01132022'!B:B,1,FALSE),$B364)=0,FALSE)</f>
        <v>1</v>
      </c>
      <c r="M364" s="52" t="str">
        <f>ifs(AND($K364=FALSE,$L364=TRUE),"",AND($K364=FALSE,L364=FALSE),"",AND($K364=TRUE,$L364=TRUE),VLOOKUP($A364,UASCAN!D:F,3,0), AND($K364=TRUE,$L364=FALSE),VLOOKUP($A364,UASCAN!D:F,3,0))</f>
        <v/>
      </c>
      <c r="N364" s="53" t="str">
        <f t="shared" si="2"/>
        <v> </v>
      </c>
      <c r="O364" s="53" t="str">
        <f t="shared" si="3"/>
        <v/>
      </c>
    </row>
    <row r="365">
      <c r="A365" s="47" t="str">
        <f t="shared" si="1"/>
        <v>1327844574</v>
      </c>
      <c r="B365" s="48">
        <v>13278.0</v>
      </c>
      <c r="C365" s="49">
        <v>0.6145833333333334</v>
      </c>
      <c r="D365" s="48" t="s">
        <v>2111</v>
      </c>
      <c r="E365" s="50">
        <v>20536.0</v>
      </c>
      <c r="F365" s="51">
        <v>44574.0</v>
      </c>
      <c r="G365" s="48" t="s">
        <v>5</v>
      </c>
      <c r="H365" s="48" t="s">
        <v>6218</v>
      </c>
      <c r="I365" s="48" t="s">
        <v>6222</v>
      </c>
      <c r="J365" s="48" t="s">
        <v>6117</v>
      </c>
      <c r="K365" s="52" t="b">
        <f>IFS($B365=FALSE,"", countif(VLOOKUP($A365,UASCAN!D:D,1,FALSE),$A365)&gt;=1,TRUE,countif(VLOOKUP($B365,UASCAN!D:D,1,FALSE),$B365)=0,FALSE)</f>
        <v>0</v>
      </c>
      <c r="L365" s="52" t="b">
        <f>IFS(B365=FALSE,"", countif(VLOOKUP($B365,'01132022'!B:B,1,FALSE),$B365)&gt;=1,TRUE,countif(VLOOKUP($B365,'01132022'!B:B,1,FALSE),$B365)=0,FALSE)</f>
        <v>1</v>
      </c>
      <c r="M365" s="52" t="str">
        <f>ifs(AND($K365=FALSE,$L365=TRUE),"",AND($K365=FALSE,L365=FALSE),"",AND($K365=TRUE,$L365=TRUE),VLOOKUP($A365,UASCAN!D:F,3,0), AND($K365=TRUE,$L365=FALSE),VLOOKUP($A365,UASCAN!D:F,3,0))</f>
        <v/>
      </c>
      <c r="N365" s="53" t="str">
        <f t="shared" si="2"/>
        <v> </v>
      </c>
      <c r="O365" s="53" t="str">
        <f t="shared" si="3"/>
        <v/>
      </c>
    </row>
    <row r="366">
      <c r="A366" s="47" t="str">
        <f t="shared" si="1"/>
        <v>1305044574</v>
      </c>
      <c r="B366" s="48">
        <v>13050.0</v>
      </c>
      <c r="C366" s="49">
        <v>0.625</v>
      </c>
      <c r="D366" s="48" t="s">
        <v>1932</v>
      </c>
      <c r="E366" s="50">
        <v>23718.0</v>
      </c>
      <c r="F366" s="51">
        <v>44574.0</v>
      </c>
      <c r="G366" s="48" t="s">
        <v>6220</v>
      </c>
      <c r="H366" s="48" t="s">
        <v>6218</v>
      </c>
      <c r="I366" s="48" t="s">
        <v>6222</v>
      </c>
      <c r="J366" s="48" t="s">
        <v>6196</v>
      </c>
      <c r="K366" s="52" t="b">
        <f>IFS($B366=FALSE,"", countif(VLOOKUP($A366,UASCAN!D:D,1,FALSE),$A366)&gt;=1,TRUE,countif(VLOOKUP($B366,UASCAN!D:D,1,FALSE),$B366)=0,FALSE)</f>
        <v>0</v>
      </c>
      <c r="L366" s="52" t="b">
        <f>IFS(B366=FALSE,"", countif(VLOOKUP($B366,'01132022'!B:B,1,FALSE),$B366)&gt;=1,TRUE,countif(VLOOKUP($B366,'01132022'!B:B,1,FALSE),$B366)=0,FALSE)</f>
        <v>1</v>
      </c>
      <c r="M366" s="52" t="str">
        <f>ifs(AND($K366=FALSE,$L366=TRUE),"",AND($K366=FALSE,L366=FALSE),"",AND($K366=TRUE,$L366=TRUE),VLOOKUP($A366,UASCAN!D:F,3,0), AND($K366=TRUE,$L366=FALSE),VLOOKUP($A366,UASCAN!D:F,3,0))</f>
        <v/>
      </c>
      <c r="N366" s="53" t="str">
        <f t="shared" si="2"/>
        <v> </v>
      </c>
      <c r="O366" s="53" t="str">
        <f t="shared" si="3"/>
        <v/>
      </c>
    </row>
    <row r="367">
      <c r="A367" s="47" t="str">
        <f t="shared" si="1"/>
        <v>1407344574</v>
      </c>
      <c r="B367" s="48">
        <v>14073.0</v>
      </c>
      <c r="C367" s="49">
        <v>0.5416666666666666</v>
      </c>
      <c r="D367" s="48" t="s">
        <v>2720</v>
      </c>
      <c r="E367" s="50">
        <v>19245.0</v>
      </c>
      <c r="F367" s="51">
        <v>44574.0</v>
      </c>
      <c r="G367" s="48" t="s">
        <v>5</v>
      </c>
      <c r="H367" s="48" t="s">
        <v>6218</v>
      </c>
      <c r="I367" s="48" t="s">
        <v>6219</v>
      </c>
      <c r="J367" s="48" t="s">
        <v>6199</v>
      </c>
      <c r="K367" s="52" t="b">
        <f>IFS($B367=FALSE,"", countif(VLOOKUP($A367,UASCAN!D:D,1,FALSE),$A367)&gt;=1,TRUE,countif(VLOOKUP($B367,UASCAN!D:D,1,FALSE),$B367)=0,FALSE)</f>
        <v>0</v>
      </c>
      <c r="L367" s="52" t="b">
        <f>IFS(B367=FALSE,"", countif(VLOOKUP($B367,'01132022'!B:B,1,FALSE),$B367)&gt;=1,TRUE,countif(VLOOKUP($B367,'01132022'!B:B,1,FALSE),$B367)=0,FALSE)</f>
        <v>1</v>
      </c>
      <c r="M367" s="52" t="str">
        <f>ifs(AND($K367=FALSE,$L367=TRUE),"",AND($K367=FALSE,L367=FALSE),"",AND($K367=TRUE,$L367=TRUE),VLOOKUP($A367,UASCAN!D:F,3,0), AND($K367=TRUE,$L367=FALSE),VLOOKUP($A367,UASCAN!D:F,3,0))</f>
        <v/>
      </c>
      <c r="N367" s="53" t="str">
        <f t="shared" si="2"/>
        <v> </v>
      </c>
      <c r="O367" s="53" t="str">
        <f t="shared" si="3"/>
        <v/>
      </c>
    </row>
    <row r="368">
      <c r="A368" s="47" t="str">
        <f t="shared" si="1"/>
        <v>1719544574</v>
      </c>
      <c r="B368" s="48">
        <v>17195.0</v>
      </c>
      <c r="C368" s="49">
        <v>0.5625</v>
      </c>
      <c r="D368" s="48" t="s">
        <v>5282</v>
      </c>
      <c r="E368" s="50">
        <v>23337.0</v>
      </c>
      <c r="F368" s="51">
        <v>44574.0</v>
      </c>
      <c r="G368" s="48" t="s">
        <v>6216</v>
      </c>
      <c r="H368" s="48" t="s">
        <v>6218</v>
      </c>
      <c r="I368" s="48" t="s">
        <v>6219</v>
      </c>
      <c r="J368" s="48" t="s">
        <v>6142</v>
      </c>
      <c r="K368" s="52" t="b">
        <f>IFS($B368=FALSE,"", countif(VLOOKUP($A368,UASCAN!D:D,1,FALSE),$A368)&gt;=1,TRUE,countif(VLOOKUP($B368,UASCAN!D:D,1,FALSE),$B368)=0,FALSE)</f>
        <v>0</v>
      </c>
      <c r="L368" s="52" t="b">
        <f>IFS(B368=FALSE,"", countif(VLOOKUP($B368,'01132022'!B:B,1,FALSE),$B368)&gt;=1,TRUE,countif(VLOOKUP($B368,'01132022'!B:B,1,FALSE),$B368)=0,FALSE)</f>
        <v>1</v>
      </c>
      <c r="M368" s="52" t="str">
        <f>ifs(AND($K368=FALSE,$L368=TRUE),"",AND($K368=FALSE,L368=FALSE),"",AND($K368=TRUE,$L368=TRUE),VLOOKUP($A368,UASCAN!D:F,3,0), AND($K368=TRUE,$L368=FALSE),VLOOKUP($A368,UASCAN!D:F,3,0))</f>
        <v/>
      </c>
      <c r="N368" s="53" t="str">
        <f t="shared" si="2"/>
        <v> </v>
      </c>
      <c r="O368" s="53" t="str">
        <f t="shared" si="3"/>
        <v/>
      </c>
    </row>
    <row r="369">
      <c r="A369" s="47" t="str">
        <f t="shared" si="1"/>
        <v>1293344574</v>
      </c>
      <c r="B369" s="48">
        <v>12933.0</v>
      </c>
      <c r="C369" s="49">
        <v>0.5625</v>
      </c>
      <c r="D369" s="48" t="s">
        <v>1832</v>
      </c>
      <c r="E369" s="50">
        <v>22390.0</v>
      </c>
      <c r="F369" s="51">
        <v>44574.0</v>
      </c>
      <c r="G369" s="48" t="s">
        <v>5</v>
      </c>
      <c r="H369" s="48" t="s">
        <v>6218</v>
      </c>
      <c r="I369" s="48" t="s">
        <v>6219</v>
      </c>
      <c r="J369" s="48" t="s">
        <v>6095</v>
      </c>
      <c r="K369" s="52" t="b">
        <f>IFS($B369=FALSE,"", countif(VLOOKUP($A369,UASCAN!D:D,1,FALSE),$A369)&gt;=1,TRUE,countif(VLOOKUP($B369,UASCAN!D:D,1,FALSE),$B369)=0,FALSE)</f>
        <v>0</v>
      </c>
      <c r="L369" s="52" t="b">
        <f>IFS(B369=FALSE,"", countif(VLOOKUP($B369,'01132022'!B:B,1,FALSE),$B369)&gt;=1,TRUE,countif(VLOOKUP($B369,'01132022'!B:B,1,FALSE),$B369)=0,FALSE)</f>
        <v>1</v>
      </c>
      <c r="M369" s="52" t="str">
        <f>ifs(AND($K369=FALSE,$L369=TRUE),"",AND($K369=FALSE,L369=FALSE),"",AND($K369=TRUE,$L369=TRUE),VLOOKUP($A369,UASCAN!D:F,3,0), AND($K369=TRUE,$L369=FALSE),VLOOKUP($A369,UASCAN!D:F,3,0))</f>
        <v/>
      </c>
      <c r="N369" s="53" t="str">
        <f t="shared" si="2"/>
        <v> </v>
      </c>
      <c r="O369" s="53" t="str">
        <f t="shared" si="3"/>
        <v/>
      </c>
    </row>
    <row r="370">
      <c r="A370" s="47" t="str">
        <f t="shared" si="1"/>
        <v>921444574</v>
      </c>
      <c r="B370" s="48">
        <v>9214.0</v>
      </c>
      <c r="C370" s="49">
        <v>0.5833333333333334</v>
      </c>
      <c r="D370" s="48" t="s">
        <v>83</v>
      </c>
      <c r="E370" s="50">
        <v>20158.0</v>
      </c>
      <c r="F370" s="51">
        <v>44574.0</v>
      </c>
      <c r="G370" s="48" t="s">
        <v>6215</v>
      </c>
      <c r="H370" s="48" t="s">
        <v>6218</v>
      </c>
      <c r="I370" s="48" t="s">
        <v>6219</v>
      </c>
      <c r="J370" s="48" t="s">
        <v>6094</v>
      </c>
      <c r="K370" s="52" t="b">
        <f>IFS($B370=FALSE,"", countif(VLOOKUP($A370,UASCAN!D:D,1,FALSE),$A370)&gt;=1,TRUE,countif(VLOOKUP($B370,UASCAN!D:D,1,FALSE),$B370)=0,FALSE)</f>
        <v>0</v>
      </c>
      <c r="L370" s="52" t="b">
        <f>IFS(B370=FALSE,"", countif(VLOOKUP($B370,'01132022'!B:B,1,FALSE),$B370)&gt;=1,TRUE,countif(VLOOKUP($B370,'01132022'!B:B,1,FALSE),$B370)=0,FALSE)</f>
        <v>1</v>
      </c>
      <c r="M370" s="52" t="str">
        <f>ifs(AND($K370=FALSE,$L370=TRUE),"",AND($K370=FALSE,L370=FALSE),"",AND($K370=TRUE,$L370=TRUE),VLOOKUP($A370,UASCAN!D:F,3,0), AND($K370=TRUE,$L370=FALSE),VLOOKUP($A370,UASCAN!D:F,3,0))</f>
        <v/>
      </c>
      <c r="N370" s="53" t="str">
        <f t="shared" si="2"/>
        <v> </v>
      </c>
      <c r="O370" s="53" t="str">
        <f t="shared" si="3"/>
        <v/>
      </c>
    </row>
    <row r="371">
      <c r="A371" s="47" t="str">
        <f t="shared" si="1"/>
        <v>1569944574</v>
      </c>
      <c r="B371" s="48">
        <v>15699.0</v>
      </c>
      <c r="C371" s="49">
        <v>0.625</v>
      </c>
      <c r="D371" s="48" t="s">
        <v>4067</v>
      </c>
      <c r="E371" s="50">
        <v>19665.0</v>
      </c>
      <c r="F371" s="51">
        <v>44574.0</v>
      </c>
      <c r="G371" s="48" t="s">
        <v>6220</v>
      </c>
      <c r="H371" s="48" t="s">
        <v>6218</v>
      </c>
      <c r="I371" s="48" t="s">
        <v>6219</v>
      </c>
      <c r="J371" s="48" t="s">
        <v>6196</v>
      </c>
      <c r="K371" s="52" t="b">
        <f>IFS($B371=FALSE,"", countif(VLOOKUP($A371,UASCAN!D:D,1,FALSE),$A371)&gt;=1,TRUE,countif(VLOOKUP($B371,UASCAN!D:D,1,FALSE),$B371)=0,FALSE)</f>
        <v>0</v>
      </c>
      <c r="L371" s="52" t="b">
        <f>IFS(B371=FALSE,"", countif(VLOOKUP($B371,'01132022'!B:B,1,FALSE),$B371)&gt;=1,TRUE,countif(VLOOKUP($B371,'01132022'!B:B,1,FALSE),$B371)=0,FALSE)</f>
        <v>1</v>
      </c>
      <c r="M371" s="52" t="str">
        <f>ifs(AND($K371=FALSE,$L371=TRUE),"",AND($K371=FALSE,L371=FALSE),"",AND($K371=TRUE,$L371=TRUE),VLOOKUP($A371,UASCAN!D:F,3,0), AND($K371=TRUE,$L371=FALSE),VLOOKUP($A371,UASCAN!D:F,3,0))</f>
        <v/>
      </c>
      <c r="N371" s="53" t="str">
        <f t="shared" si="2"/>
        <v> </v>
      </c>
      <c r="O371" s="53" t="str">
        <f t="shared" si="3"/>
        <v/>
      </c>
    </row>
    <row r="372">
      <c r="A372" s="47" t="str">
        <f t="shared" si="1"/>
        <v>1594244575</v>
      </c>
      <c r="B372" s="48">
        <v>15942.0</v>
      </c>
      <c r="C372" s="49">
        <v>0.3333333333333333</v>
      </c>
      <c r="D372" s="48" t="s">
        <v>4291</v>
      </c>
      <c r="E372" s="50">
        <v>20598.0</v>
      </c>
      <c r="F372" s="51">
        <v>44575.0</v>
      </c>
      <c r="G372" s="48" t="s">
        <v>6215</v>
      </c>
      <c r="H372" s="48" t="s">
        <v>6218</v>
      </c>
      <c r="I372" s="48" t="s">
        <v>6222</v>
      </c>
      <c r="J372" s="48" t="s">
        <v>6187</v>
      </c>
      <c r="K372" s="52" t="b">
        <f>IFS($B372=FALSE,"", countif(VLOOKUP($A372,UASCAN!D:D,1,FALSE),$A372)&gt;=1,TRUE,countif(VLOOKUP($B372,UASCAN!D:D,1,FALSE),$B372)=0,FALSE)</f>
        <v>0</v>
      </c>
      <c r="L372" s="52" t="b">
        <f>IFS(B372=FALSE,"", countif(VLOOKUP($B372,'01142022'!B:B,1,FALSE),$B372)&gt;=1,TRUE,countif(VLOOKUP($B372,'01142022'!B:B,1,FALSE),$B372)=0,FALSE)</f>
        <v>1</v>
      </c>
      <c r="M372" s="52" t="str">
        <f>ifs(AND($K372=FALSE,$L372=TRUE),"",AND($K372=FALSE,L372=FALSE),"",AND($K372=TRUE,$L372=TRUE),VLOOKUP($A372,UASCAN!D:F,3,0), AND($K372=TRUE,$L372=FALSE),VLOOKUP($A372,UASCAN!D:F,3,0))</f>
        <v/>
      </c>
      <c r="N372" s="53" t="str">
        <f t="shared" si="2"/>
        <v> </v>
      </c>
      <c r="O372" s="53" t="str">
        <f t="shared" si="3"/>
        <v/>
      </c>
    </row>
    <row r="373">
      <c r="A373" s="47" t="str">
        <f t="shared" si="1"/>
        <v>1488944575</v>
      </c>
      <c r="B373" s="48">
        <v>14889.0</v>
      </c>
      <c r="C373" s="49">
        <v>0.34375</v>
      </c>
      <c r="D373" s="48" t="s">
        <v>3386</v>
      </c>
      <c r="E373" s="50">
        <v>20777.0</v>
      </c>
      <c r="F373" s="51">
        <v>44575.0</v>
      </c>
      <c r="G373" s="48" t="s">
        <v>6216</v>
      </c>
      <c r="H373" s="48" t="s">
        <v>6218</v>
      </c>
      <c r="I373" s="48" t="s">
        <v>6222</v>
      </c>
      <c r="J373" s="48" t="s">
        <v>6194</v>
      </c>
      <c r="K373" s="52" t="b">
        <f>IFS($B373=FALSE,"", countif(VLOOKUP($A373,UASCAN!D:D,1,FALSE),$A373)&gt;=1,TRUE,countif(VLOOKUP($B373,UASCAN!D:D,1,FALSE),$B373)=0,FALSE)</f>
        <v>0</v>
      </c>
      <c r="L373" s="52" t="b">
        <f>IFS(B373=FALSE,"", countif(VLOOKUP($B373,'01142022'!B:B,1,FALSE),$B373)&gt;=1,TRUE,countif(VLOOKUP($B373,'01142022'!B:B,1,FALSE),$B373)=0,FALSE)</f>
        <v>1</v>
      </c>
      <c r="M373" s="52" t="str">
        <f>ifs(AND($K373=FALSE,$L373=TRUE),"",AND($K373=FALSE,L373=FALSE),"",AND($K373=TRUE,$L373=TRUE),VLOOKUP($A373,UASCAN!D:F,3,0), AND($K373=TRUE,$L373=FALSE),VLOOKUP($A373,UASCAN!D:F,3,0))</f>
        <v/>
      </c>
      <c r="N373" s="53" t="str">
        <f t="shared" si="2"/>
        <v> </v>
      </c>
      <c r="O373" s="53" t="str">
        <f t="shared" si="3"/>
        <v/>
      </c>
    </row>
    <row r="374">
      <c r="A374" s="47" t="str">
        <f t="shared" si="1"/>
        <v>1580344575</v>
      </c>
      <c r="B374" s="48">
        <v>15803.0</v>
      </c>
      <c r="C374" s="49">
        <v>0.3645833333333333</v>
      </c>
      <c r="D374" s="48" t="s">
        <v>4163</v>
      </c>
      <c r="E374" s="50">
        <v>23681.0</v>
      </c>
      <c r="F374" s="51">
        <v>44575.0</v>
      </c>
      <c r="G374" s="48" t="s">
        <v>5</v>
      </c>
      <c r="H374" s="48" t="s">
        <v>6218</v>
      </c>
      <c r="I374" s="48" t="s">
        <v>6219</v>
      </c>
      <c r="J374" s="48" t="s">
        <v>6120</v>
      </c>
      <c r="K374" s="52" t="b">
        <f>IFS($B374=FALSE,"", countif(VLOOKUP($A374,UASCAN!D:D,1,FALSE),$A374)&gt;=1,TRUE,countif(VLOOKUP($B374,UASCAN!D:D,1,FALSE),$B374)=0,FALSE)</f>
        <v>0</v>
      </c>
      <c r="L374" s="52" t="b">
        <f>IFS(B374=FALSE,"", countif(VLOOKUP($B374,'01142022'!B:B,1,FALSE),$B374)&gt;=1,TRUE,countif(VLOOKUP($B374,'01142022'!B:B,1,FALSE),$B374)=0,FALSE)</f>
        <v>1</v>
      </c>
      <c r="M374" s="52" t="str">
        <f>ifs(AND($K374=FALSE,$L374=TRUE),"",AND($K374=FALSE,L374=FALSE),"",AND($K374=TRUE,$L374=TRUE),VLOOKUP($A374,UASCAN!D:F,3,0), AND($K374=TRUE,$L374=FALSE),VLOOKUP($A374,UASCAN!D:F,3,0))</f>
        <v/>
      </c>
      <c r="N374" s="53" t="str">
        <f t="shared" si="2"/>
        <v> </v>
      </c>
      <c r="O374" s="53" t="str">
        <f t="shared" si="3"/>
        <v/>
      </c>
    </row>
    <row r="375">
      <c r="A375" s="47" t="str">
        <f t="shared" si="1"/>
        <v>1561444575</v>
      </c>
      <c r="B375" s="48">
        <v>15614.0</v>
      </c>
      <c r="C375" s="49">
        <v>0.3645833333333333</v>
      </c>
      <c r="D375" s="48" t="s">
        <v>3991</v>
      </c>
      <c r="E375" s="50">
        <v>22255.0</v>
      </c>
      <c r="F375" s="51">
        <v>44575.0</v>
      </c>
      <c r="G375" s="48" t="s">
        <v>5</v>
      </c>
      <c r="H375" s="48" t="s">
        <v>6211</v>
      </c>
      <c r="I375" s="48" t="s">
        <v>6212</v>
      </c>
      <c r="J375" s="48" t="s">
        <v>6181</v>
      </c>
      <c r="K375" s="52" t="b">
        <f>IFS($B375=FALSE,"", countif(VLOOKUP($A375,UASCAN!D:D,1,FALSE),$A375)&gt;=1,TRUE,countif(VLOOKUP($B375,UASCAN!D:D,1,FALSE),$B375)=0,FALSE)</f>
        <v>0</v>
      </c>
      <c r="L375" s="52" t="b">
        <f>IFS(B375=FALSE,"", countif(VLOOKUP($B375,'01142022'!B:B,1,FALSE),$B375)&gt;=1,TRUE,countif(VLOOKUP($B375,'01142022'!B:B,1,FALSE),$B375)=0,FALSE)</f>
        <v>1</v>
      </c>
      <c r="M375" s="52" t="str">
        <f>ifs(AND($K375=FALSE,$L375=TRUE),"",AND($K375=FALSE,L375=FALSE),"",AND($K375=TRUE,$L375=TRUE),VLOOKUP($A375,UASCAN!D:F,3,0), AND($K375=TRUE,$L375=FALSE),VLOOKUP($A375,UASCAN!D:F,3,0))</f>
        <v/>
      </c>
      <c r="N375" s="53" t="str">
        <f t="shared" si="2"/>
        <v> </v>
      </c>
      <c r="O375" s="53" t="str">
        <f t="shared" si="3"/>
        <v/>
      </c>
    </row>
    <row r="376">
      <c r="A376" s="47" t="str">
        <f t="shared" si="1"/>
        <v>1070244575</v>
      </c>
      <c r="B376" s="48">
        <v>10702.0</v>
      </c>
      <c r="C376" s="49">
        <v>0.3645833333333333</v>
      </c>
      <c r="D376" s="48" t="s">
        <v>646</v>
      </c>
      <c r="E376" s="50">
        <v>18579.0</v>
      </c>
      <c r="F376" s="51">
        <v>44575.0</v>
      </c>
      <c r="G376" s="48" t="s">
        <v>6215</v>
      </c>
      <c r="H376" s="48" t="s">
        <v>6218</v>
      </c>
      <c r="I376" s="48" t="s">
        <v>6222</v>
      </c>
      <c r="J376" s="48" t="s">
        <v>6199</v>
      </c>
      <c r="K376" s="52" t="b">
        <f>IFS($B376=FALSE,"", countif(VLOOKUP($A376,UASCAN!D:D,1,FALSE),$A376)&gt;=1,TRUE,countif(VLOOKUP($B376,UASCAN!D:D,1,FALSE),$B376)=0,FALSE)</f>
        <v>0</v>
      </c>
      <c r="L376" s="52" t="b">
        <f>IFS(B376=FALSE,"", countif(VLOOKUP($B376,'01142022'!B:B,1,FALSE),$B376)&gt;=1,TRUE,countif(VLOOKUP($B376,'01142022'!B:B,1,FALSE),$B376)=0,FALSE)</f>
        <v>1</v>
      </c>
      <c r="M376" s="52" t="str">
        <f>ifs(AND($K376=FALSE,$L376=TRUE),"",AND($K376=FALSE,L376=FALSE),"",AND($K376=TRUE,$L376=TRUE),VLOOKUP($A376,UASCAN!D:F,3,0), AND($K376=TRUE,$L376=FALSE),VLOOKUP($A376,UASCAN!D:F,3,0))</f>
        <v/>
      </c>
      <c r="N376" s="53" t="str">
        <f t="shared" si="2"/>
        <v> </v>
      </c>
      <c r="O376" s="53" t="str">
        <f t="shared" si="3"/>
        <v/>
      </c>
    </row>
    <row r="377">
      <c r="A377" s="47" t="str">
        <f t="shared" si="1"/>
        <v>1730344575</v>
      </c>
      <c r="B377" s="48">
        <v>17303.0</v>
      </c>
      <c r="C377" s="49">
        <v>0.375</v>
      </c>
      <c r="D377" s="48" t="s">
        <v>5970</v>
      </c>
      <c r="E377" s="50">
        <v>13916.0</v>
      </c>
      <c r="F377" s="51">
        <v>44575.0</v>
      </c>
      <c r="G377" s="48" t="s">
        <v>6216</v>
      </c>
      <c r="H377" s="48" t="s">
        <v>6211</v>
      </c>
      <c r="I377" s="48" t="s">
        <v>6212</v>
      </c>
      <c r="J377" s="48" t="s">
        <v>6196</v>
      </c>
      <c r="K377" s="52" t="b">
        <f>IFS($B377=FALSE,"", countif(VLOOKUP($A377,UASCAN!D:D,1,FALSE),$A377)&gt;=1,TRUE,countif(VLOOKUP($B377,UASCAN!D:D,1,FALSE),$B377)=0,FALSE)</f>
        <v>0</v>
      </c>
      <c r="L377" s="52" t="b">
        <f>IFS(B377=FALSE,"", countif(VLOOKUP($B377,'01142022'!B:B,1,FALSE),$B377)&gt;=1,TRUE,countif(VLOOKUP($B377,'01142022'!B:B,1,FALSE),$B377)=0,FALSE)</f>
        <v>1</v>
      </c>
      <c r="M377" s="52" t="str">
        <f>ifs(AND($K377=FALSE,$L377=TRUE),"",AND($K377=FALSE,L377=FALSE),"",AND($K377=TRUE,$L377=TRUE),VLOOKUP($A377,UASCAN!D:F,3,0), AND($K377=TRUE,$L377=FALSE),VLOOKUP($A377,UASCAN!D:F,3,0))</f>
        <v/>
      </c>
      <c r="N377" s="53" t="str">
        <f t="shared" si="2"/>
        <v> </v>
      </c>
      <c r="O377" s="53" t="str">
        <f t="shared" si="3"/>
        <v/>
      </c>
    </row>
    <row r="378">
      <c r="A378" s="47" t="str">
        <f t="shared" si="1"/>
        <v>1587944575</v>
      </c>
      <c r="B378" s="48">
        <v>15879.0</v>
      </c>
      <c r="C378" s="49">
        <v>0.375</v>
      </c>
      <c r="D378" s="48" t="s">
        <v>4233</v>
      </c>
      <c r="E378" s="50">
        <v>28372.0</v>
      </c>
      <c r="F378" s="51">
        <v>44575.0</v>
      </c>
      <c r="G378" s="48" t="s">
        <v>6215</v>
      </c>
      <c r="H378" s="48" t="s">
        <v>6218</v>
      </c>
      <c r="I378" s="48" t="s">
        <v>6222</v>
      </c>
      <c r="J378" s="48" t="s">
        <v>6199</v>
      </c>
      <c r="K378" s="52" t="b">
        <f>IFS($B378=FALSE,"", countif(VLOOKUP($A378,UASCAN!D:D,1,FALSE),$A378)&gt;=1,TRUE,countif(VLOOKUP($B378,UASCAN!D:D,1,FALSE),$B378)=0,FALSE)</f>
        <v>0</v>
      </c>
      <c r="L378" s="52" t="b">
        <f>IFS(B378=FALSE,"", countif(VLOOKUP($B378,'01142022'!B:B,1,FALSE),$B378)&gt;=1,TRUE,countif(VLOOKUP($B378,'01142022'!B:B,1,FALSE),$B378)=0,FALSE)</f>
        <v>1</v>
      </c>
      <c r="M378" s="52" t="str">
        <f>ifs(AND($K378=FALSE,$L378=TRUE),"",AND($K378=FALSE,L378=FALSE),"",AND($K378=TRUE,$L378=TRUE),VLOOKUP($A378,UASCAN!D:F,3,0), AND($K378=TRUE,$L378=FALSE),VLOOKUP($A378,UASCAN!D:F,3,0))</f>
        <v/>
      </c>
      <c r="N378" s="53" t="str">
        <f t="shared" si="2"/>
        <v> </v>
      </c>
      <c r="O378" s="53" t="str">
        <f t="shared" si="3"/>
        <v/>
      </c>
    </row>
    <row r="379">
      <c r="A379" s="47" t="str">
        <f t="shared" si="1"/>
        <v>1672244575</v>
      </c>
      <c r="B379" s="48">
        <v>16722.0</v>
      </c>
      <c r="C379" s="49">
        <v>0.3854166666666667</v>
      </c>
      <c r="D379" s="48" t="s">
        <v>4903</v>
      </c>
      <c r="E379" s="50">
        <v>17812.0</v>
      </c>
      <c r="F379" s="51">
        <v>44575.0</v>
      </c>
      <c r="G379" s="48" t="s">
        <v>6216</v>
      </c>
      <c r="H379" s="48" t="s">
        <v>6211</v>
      </c>
      <c r="I379" s="48" t="s">
        <v>6212</v>
      </c>
      <c r="J379" s="48" t="s">
        <v>6195</v>
      </c>
      <c r="K379" s="52" t="b">
        <f>IFS($B379=FALSE,"", countif(VLOOKUP($A379,UASCAN!D:D,1,FALSE),$A379)&gt;=1,TRUE,countif(VLOOKUP($B379,UASCAN!D:D,1,FALSE),$B379)=0,FALSE)</f>
        <v>0</v>
      </c>
      <c r="L379" s="52" t="b">
        <f>IFS(B379=FALSE,"", countif(VLOOKUP($B379,'01142022'!B:B,1,FALSE),$B379)&gt;=1,TRUE,countif(VLOOKUP($B379,'01142022'!B:B,1,FALSE),$B379)=0,FALSE)</f>
        <v>1</v>
      </c>
      <c r="M379" s="52" t="str">
        <f>ifs(AND($K379=FALSE,$L379=TRUE),"",AND($K379=FALSE,L379=FALSE),"",AND($K379=TRUE,$L379=TRUE),VLOOKUP($A379,UASCAN!D:F,3,0), AND($K379=TRUE,$L379=FALSE),VLOOKUP($A379,UASCAN!D:F,3,0))</f>
        <v/>
      </c>
      <c r="N379" s="53" t="str">
        <f t="shared" si="2"/>
        <v> </v>
      </c>
      <c r="O379" s="53" t="str">
        <f t="shared" si="3"/>
        <v/>
      </c>
    </row>
    <row r="380">
      <c r="A380" s="47" t="str">
        <f t="shared" si="1"/>
        <v>1426244575</v>
      </c>
      <c r="B380" s="48">
        <v>14262.0</v>
      </c>
      <c r="C380" s="49">
        <v>0.3854166666666667</v>
      </c>
      <c r="D380" s="48" t="s">
        <v>2864</v>
      </c>
      <c r="E380" s="50">
        <v>31118.0</v>
      </c>
      <c r="F380" s="51">
        <v>44575.0</v>
      </c>
      <c r="G380" s="48" t="s">
        <v>6215</v>
      </c>
      <c r="H380" s="48" t="s">
        <v>6218</v>
      </c>
      <c r="I380" s="48" t="s">
        <v>6219</v>
      </c>
      <c r="J380" s="48" t="s">
        <v>6137</v>
      </c>
      <c r="K380" s="52" t="b">
        <f>IFS($B380=FALSE,"", countif(VLOOKUP($A380,UASCAN!D:D,1,FALSE),$A380)&gt;=1,TRUE,countif(VLOOKUP($B380,UASCAN!D:D,1,FALSE),$B380)=0,FALSE)</f>
        <v>0</v>
      </c>
      <c r="L380" s="52" t="b">
        <f>IFS(B380=FALSE,"", countif(VLOOKUP($B380,'01142022'!B:B,1,FALSE),$B380)&gt;=1,TRUE,countif(VLOOKUP($B380,'01142022'!B:B,1,FALSE),$B380)=0,FALSE)</f>
        <v>1</v>
      </c>
      <c r="M380" s="52" t="str">
        <f>ifs(AND($K380=FALSE,$L380=TRUE),"",AND($K380=FALSE,L380=FALSE),"",AND($K380=TRUE,$L380=TRUE),VLOOKUP($A380,UASCAN!D:F,3,0), AND($K380=TRUE,$L380=FALSE),VLOOKUP($A380,UASCAN!D:F,3,0))</f>
        <v/>
      </c>
      <c r="N380" s="53" t="str">
        <f t="shared" si="2"/>
        <v> </v>
      </c>
      <c r="O380" s="53" t="str">
        <f t="shared" si="3"/>
        <v/>
      </c>
    </row>
    <row r="381">
      <c r="A381" s="47" t="str">
        <f t="shared" si="1"/>
        <v>965644575</v>
      </c>
      <c r="B381" s="48">
        <v>9656.0</v>
      </c>
      <c r="C381" s="49">
        <v>0.3854166666666667</v>
      </c>
      <c r="D381" s="48" t="s">
        <v>249</v>
      </c>
      <c r="E381" s="50">
        <v>18564.0</v>
      </c>
      <c r="F381" s="51">
        <v>44575.0</v>
      </c>
      <c r="G381" s="48" t="s">
        <v>6216</v>
      </c>
      <c r="H381" s="48" t="s">
        <v>6211</v>
      </c>
      <c r="I381" s="48" t="s">
        <v>6221</v>
      </c>
      <c r="J381" s="48" t="s">
        <v>6192</v>
      </c>
      <c r="K381" s="52" t="b">
        <f>IFS($B381=FALSE,"", countif(VLOOKUP($A381,UASCAN!D:D,1,FALSE),$A381)&gt;=1,TRUE,countif(VLOOKUP($B381,UASCAN!D:D,1,FALSE),$B381)=0,FALSE)</f>
        <v>0</v>
      </c>
      <c r="L381" s="52" t="b">
        <f>IFS(B381=FALSE,"", countif(VLOOKUP($B381,'01142022'!B:B,1,FALSE),$B381)&gt;=1,TRUE,countif(VLOOKUP($B381,'01142022'!B:B,1,FALSE),$B381)=0,FALSE)</f>
        <v>1</v>
      </c>
      <c r="M381" s="52" t="str">
        <f>ifs(AND($K381=FALSE,$L381=TRUE),"",AND($K381=FALSE,L381=FALSE),"",AND($K381=TRUE,$L381=TRUE),VLOOKUP($A381,UASCAN!D:F,3,0), AND($K381=TRUE,$L381=FALSE),VLOOKUP($A381,UASCAN!D:F,3,0))</f>
        <v/>
      </c>
      <c r="N381" s="53" t="str">
        <f t="shared" si="2"/>
        <v> </v>
      </c>
      <c r="O381" s="53" t="str">
        <f t="shared" si="3"/>
        <v/>
      </c>
    </row>
    <row r="382">
      <c r="A382" s="47" t="str">
        <f t="shared" si="1"/>
        <v>1625944575</v>
      </c>
      <c r="B382" s="48">
        <v>16259.0</v>
      </c>
      <c r="C382" s="49">
        <v>0.3854166666666667</v>
      </c>
      <c r="D382" s="48" t="s">
        <v>4558</v>
      </c>
      <c r="E382" s="50">
        <v>17763.0</v>
      </c>
      <c r="F382" s="51">
        <v>44575.0</v>
      </c>
      <c r="G382" s="48" t="s">
        <v>5</v>
      </c>
      <c r="H382" s="48" t="s">
        <v>6218</v>
      </c>
      <c r="I382" s="48" t="s">
        <v>6222</v>
      </c>
      <c r="J382" s="48" t="s">
        <v>6137</v>
      </c>
      <c r="K382" s="52" t="b">
        <f>IFS($B382=FALSE,"", countif(VLOOKUP($A382,UASCAN!D:D,1,FALSE),$A382)&gt;=1,TRUE,countif(VLOOKUP($B382,UASCAN!D:D,1,FALSE),$B382)=0,FALSE)</f>
        <v>0</v>
      </c>
      <c r="L382" s="52" t="b">
        <f>IFS(B382=FALSE,"", countif(VLOOKUP($B382,'01142022'!B:B,1,FALSE),$B382)&gt;=1,TRUE,countif(VLOOKUP($B382,'01142022'!B:B,1,FALSE),$B382)=0,FALSE)</f>
        <v>1</v>
      </c>
      <c r="M382" s="52" t="str">
        <f>ifs(AND($K382=FALSE,$L382=TRUE),"",AND($K382=FALSE,L382=FALSE),"",AND($K382=TRUE,$L382=TRUE),VLOOKUP($A382,UASCAN!D:F,3,0), AND($K382=TRUE,$L382=FALSE),VLOOKUP($A382,UASCAN!D:F,3,0))</f>
        <v/>
      </c>
      <c r="N382" s="53" t="str">
        <f t="shared" si="2"/>
        <v> </v>
      </c>
      <c r="O382" s="53" t="str">
        <f t="shared" si="3"/>
        <v/>
      </c>
    </row>
    <row r="383">
      <c r="A383" s="47" t="str">
        <f t="shared" si="1"/>
        <v>1393744575</v>
      </c>
      <c r="B383" s="48">
        <v>13937.0</v>
      </c>
      <c r="C383" s="49">
        <v>0.3958333333333333</v>
      </c>
      <c r="D383" s="48" t="s">
        <v>2622</v>
      </c>
      <c r="E383" s="50">
        <v>33308.0</v>
      </c>
      <c r="F383" s="51">
        <v>44575.0</v>
      </c>
      <c r="G383" s="48" t="s">
        <v>5</v>
      </c>
      <c r="H383" s="48" t="s">
        <v>6218</v>
      </c>
      <c r="I383" s="48" t="s">
        <v>6219</v>
      </c>
      <c r="J383" s="48" t="s">
        <v>6148</v>
      </c>
      <c r="K383" s="52" t="b">
        <f>IFS($B383=FALSE,"", countif(VLOOKUP($A383,UASCAN!D:D,1,FALSE),$A383)&gt;=1,TRUE,countif(VLOOKUP($B383,UASCAN!D:D,1,FALSE),$B383)=0,FALSE)</f>
        <v>0</v>
      </c>
      <c r="L383" s="52" t="b">
        <f>IFS(B383=FALSE,"", countif(VLOOKUP($B383,'01142022'!B:B,1,FALSE),$B383)&gt;=1,TRUE,countif(VLOOKUP($B383,'01142022'!B:B,1,FALSE),$B383)=0,FALSE)</f>
        <v>1</v>
      </c>
      <c r="M383" s="52" t="str">
        <f>ifs(AND($K383=FALSE,$L383=TRUE),"",AND($K383=FALSE,L383=FALSE),"",AND($K383=TRUE,$L383=TRUE),VLOOKUP($A383,UASCAN!D:F,3,0), AND($K383=TRUE,$L383=FALSE),VLOOKUP($A383,UASCAN!D:F,3,0))</f>
        <v/>
      </c>
      <c r="N383" s="53" t="str">
        <f t="shared" si="2"/>
        <v> </v>
      </c>
      <c r="O383" s="53" t="str">
        <f t="shared" si="3"/>
        <v/>
      </c>
    </row>
    <row r="384">
      <c r="A384" s="47" t="str">
        <f t="shared" si="1"/>
        <v>1247344575</v>
      </c>
      <c r="B384" s="48">
        <v>12473.0</v>
      </c>
      <c r="C384" s="49">
        <v>0.3958333333333333</v>
      </c>
      <c r="D384" s="48" t="s">
        <v>1484</v>
      </c>
      <c r="E384" s="50">
        <v>23807.0</v>
      </c>
      <c r="F384" s="51">
        <v>44575.0</v>
      </c>
      <c r="G384" s="48" t="s">
        <v>6215</v>
      </c>
      <c r="H384" s="48" t="s">
        <v>6218</v>
      </c>
      <c r="I384" s="48" t="s">
        <v>6222</v>
      </c>
      <c r="J384" s="48" t="s">
        <v>6158</v>
      </c>
      <c r="K384" s="52" t="b">
        <f>IFS($B384=FALSE,"", countif(VLOOKUP($A384,UASCAN!D:D,1,FALSE),$A384)&gt;=1,TRUE,countif(VLOOKUP($B384,UASCAN!D:D,1,FALSE),$B384)=0,FALSE)</f>
        <v>0</v>
      </c>
      <c r="L384" s="52" t="b">
        <f>IFS(B384=FALSE,"", countif(VLOOKUP($B384,'01142022'!B:B,1,FALSE),$B384)&gt;=1,TRUE,countif(VLOOKUP($B384,'01142022'!B:B,1,FALSE),$B384)=0,FALSE)</f>
        <v>1</v>
      </c>
      <c r="M384" s="52" t="str">
        <f>ifs(AND($K384=FALSE,$L384=TRUE),"",AND($K384=FALSE,L384=FALSE),"",AND($K384=TRUE,$L384=TRUE),VLOOKUP($A384,UASCAN!D:F,3,0), AND($K384=TRUE,$L384=FALSE),VLOOKUP($A384,UASCAN!D:F,3,0))</f>
        <v/>
      </c>
      <c r="N384" s="53" t="str">
        <f t="shared" si="2"/>
        <v> </v>
      </c>
      <c r="O384" s="53" t="str">
        <f t="shared" si="3"/>
        <v/>
      </c>
    </row>
    <row r="385">
      <c r="A385" s="47" t="str">
        <f t="shared" si="1"/>
        <v>1530944575</v>
      </c>
      <c r="B385" s="48">
        <v>15309.0</v>
      </c>
      <c r="C385" s="49">
        <v>0.40625</v>
      </c>
      <c r="D385" s="48" t="s">
        <v>3729</v>
      </c>
      <c r="E385" s="50">
        <v>22714.0</v>
      </c>
      <c r="F385" s="51">
        <v>44575.0</v>
      </c>
      <c r="G385" s="48" t="s">
        <v>6220</v>
      </c>
      <c r="H385" s="48" t="s">
        <v>6218</v>
      </c>
      <c r="I385" s="48" t="s">
        <v>6219</v>
      </c>
      <c r="J385" s="48" t="s">
        <v>6192</v>
      </c>
      <c r="K385" s="52" t="b">
        <f>IFS($B385=FALSE,"", countif(VLOOKUP($A385,UASCAN!D:D,1,FALSE),$A385)&gt;=1,TRUE,countif(VLOOKUP($B385,UASCAN!D:D,1,FALSE),$B385)=0,FALSE)</f>
        <v>0</v>
      </c>
      <c r="L385" s="52" t="b">
        <f>IFS(B385=FALSE,"", countif(VLOOKUP($B385,'01142022'!B:B,1,FALSE),$B385)&gt;=1,TRUE,countif(VLOOKUP($B385,'01142022'!B:B,1,FALSE),$B385)=0,FALSE)</f>
        <v>1</v>
      </c>
      <c r="M385" s="52" t="str">
        <f>ifs(AND($K385=FALSE,$L385=TRUE),"",AND($K385=FALSE,L385=FALSE),"",AND($K385=TRUE,$L385=TRUE),VLOOKUP($A385,UASCAN!D:F,3,0), AND($K385=TRUE,$L385=FALSE),VLOOKUP($A385,UASCAN!D:F,3,0))</f>
        <v/>
      </c>
      <c r="N385" s="53" t="str">
        <f t="shared" si="2"/>
        <v> </v>
      </c>
      <c r="O385" s="53" t="str">
        <f t="shared" si="3"/>
        <v/>
      </c>
    </row>
    <row r="386">
      <c r="A386" s="47" t="str">
        <f t="shared" si="1"/>
        <v>937344575</v>
      </c>
      <c r="B386" s="48">
        <v>9373.0</v>
      </c>
      <c r="C386" s="49">
        <v>0.40625</v>
      </c>
      <c r="D386" s="48" t="s">
        <v>147</v>
      </c>
      <c r="E386" s="50">
        <v>27133.0</v>
      </c>
      <c r="F386" s="51">
        <v>44575.0</v>
      </c>
      <c r="G386" s="48" t="s">
        <v>5</v>
      </c>
      <c r="H386" s="48" t="s">
        <v>6218</v>
      </c>
      <c r="I386" s="48" t="s">
        <v>6219</v>
      </c>
      <c r="J386" s="48" t="s">
        <v>6199</v>
      </c>
      <c r="K386" s="52" t="b">
        <f>IFS($B386=FALSE,"", countif(VLOOKUP($A386,UASCAN!D:D,1,FALSE),$A386)&gt;=1,TRUE,countif(VLOOKUP($B386,UASCAN!D:D,1,FALSE),$B386)=0,FALSE)</f>
        <v>0</v>
      </c>
      <c r="L386" s="52" t="b">
        <f>IFS(B386=FALSE,"", countif(VLOOKUP($B386,'01142022'!B:B,1,FALSE),$B386)&gt;=1,TRUE,countif(VLOOKUP($B386,'01142022'!B:B,1,FALSE),$B386)=0,FALSE)</f>
        <v>1</v>
      </c>
      <c r="M386" s="52" t="str">
        <f>ifs(AND($K386=FALSE,$L386=TRUE),"",AND($K386=FALSE,L386=FALSE),"",AND($K386=TRUE,$L386=TRUE),VLOOKUP($A386,UASCAN!D:F,3,0), AND($K386=TRUE,$L386=FALSE),VLOOKUP($A386,UASCAN!D:F,3,0))</f>
        <v/>
      </c>
      <c r="N386" s="53" t="str">
        <f t="shared" si="2"/>
        <v> </v>
      </c>
      <c r="O386" s="53" t="str">
        <f t="shared" si="3"/>
        <v/>
      </c>
    </row>
    <row r="387">
      <c r="A387" s="47" t="str">
        <f t="shared" si="1"/>
        <v>1699544575</v>
      </c>
      <c r="B387" s="48">
        <v>16995.0</v>
      </c>
      <c r="C387" s="49">
        <v>0.40625</v>
      </c>
      <c r="D387" s="48" t="s">
        <v>5120</v>
      </c>
      <c r="E387" s="50">
        <v>24264.0</v>
      </c>
      <c r="F387" s="51">
        <v>44575.0</v>
      </c>
      <c r="G387" s="48" t="s">
        <v>5</v>
      </c>
      <c r="H387" s="48" t="s">
        <v>6218</v>
      </c>
      <c r="I387" s="48" t="s">
        <v>6222</v>
      </c>
      <c r="J387" s="48" t="s">
        <v>6084</v>
      </c>
      <c r="K387" s="52" t="b">
        <f>IFS($B387=FALSE,"", countif(VLOOKUP($A387,UASCAN!D:D,1,FALSE),$A387)&gt;=1,TRUE,countif(VLOOKUP($B387,UASCAN!D:D,1,FALSE),$B387)=0,FALSE)</f>
        <v>0</v>
      </c>
      <c r="L387" s="52" t="b">
        <f>IFS(B387=FALSE,"", countif(VLOOKUP($B387,'01142022'!B:B,1,FALSE),$B387)&gt;=1,TRUE,countif(VLOOKUP($B387,'01142022'!B:B,1,FALSE),$B387)=0,FALSE)</f>
        <v>1</v>
      </c>
      <c r="M387" s="52" t="str">
        <f>ifs(AND($K387=FALSE,$L387=TRUE),"",AND($K387=FALSE,L387=FALSE),"",AND($K387=TRUE,$L387=TRUE),VLOOKUP($A387,UASCAN!D:F,3,0), AND($K387=TRUE,$L387=FALSE),VLOOKUP($A387,UASCAN!D:F,3,0))</f>
        <v/>
      </c>
      <c r="N387" s="53" t="str">
        <f t="shared" si="2"/>
        <v> </v>
      </c>
      <c r="O387" s="53" t="str">
        <f t="shared" si="3"/>
        <v/>
      </c>
    </row>
    <row r="388">
      <c r="A388" s="47" t="str">
        <f t="shared" si="1"/>
        <v>1290244575</v>
      </c>
      <c r="B388" s="48">
        <v>12902.0</v>
      </c>
      <c r="C388" s="49">
        <v>0.4166666666666667</v>
      </c>
      <c r="D388" s="48" t="s">
        <v>1808</v>
      </c>
      <c r="E388" s="50">
        <v>22034.0</v>
      </c>
      <c r="F388" s="51">
        <v>44575.0</v>
      </c>
      <c r="G388" s="48" t="s">
        <v>5</v>
      </c>
      <c r="H388" s="48" t="s">
        <v>6211</v>
      </c>
      <c r="I388" s="48" t="s">
        <v>6212</v>
      </c>
      <c r="J388" s="48" t="s">
        <v>6091</v>
      </c>
      <c r="K388" s="52" t="b">
        <f>IFS($B388=FALSE,"", countif(VLOOKUP($A388,UASCAN!D:D,1,FALSE),$A388)&gt;=1,TRUE,countif(VLOOKUP($B388,UASCAN!D:D,1,FALSE),$B388)=0,FALSE)</f>
        <v>0</v>
      </c>
      <c r="L388" s="52" t="b">
        <f>IFS(B388=FALSE,"", countif(VLOOKUP($B388,'01142022'!B:B,1,FALSE),$B388)&gt;=1,TRUE,countif(VLOOKUP($B388,'01142022'!B:B,1,FALSE),$B388)=0,FALSE)</f>
        <v>1</v>
      </c>
      <c r="M388" s="52" t="str">
        <f>ifs(AND($K388=FALSE,$L388=TRUE),"",AND($K388=FALSE,L388=FALSE),"",AND($K388=TRUE,$L388=TRUE),VLOOKUP($A388,UASCAN!D:F,3,0), AND($K388=TRUE,$L388=FALSE),VLOOKUP($A388,UASCAN!D:F,3,0))</f>
        <v/>
      </c>
      <c r="N388" s="53" t="str">
        <f t="shared" si="2"/>
        <v> </v>
      </c>
      <c r="O388" s="53" t="str">
        <f t="shared" si="3"/>
        <v/>
      </c>
    </row>
    <row r="389">
      <c r="A389" s="47" t="str">
        <f t="shared" si="1"/>
        <v>1638344575</v>
      </c>
      <c r="B389" s="48">
        <v>16383.0</v>
      </c>
      <c r="C389" s="49">
        <v>0.4166666666666667</v>
      </c>
      <c r="D389" s="48" t="s">
        <v>4655</v>
      </c>
      <c r="E389" s="50">
        <v>13721.0</v>
      </c>
      <c r="F389" s="51">
        <v>44575.0</v>
      </c>
      <c r="G389" s="48" t="s">
        <v>6216</v>
      </c>
      <c r="H389" s="48" t="s">
        <v>6218</v>
      </c>
      <c r="I389" s="48" t="s">
        <v>6219</v>
      </c>
      <c r="J389" s="48" t="s">
        <v>6196</v>
      </c>
      <c r="K389" s="52" t="b">
        <f>IFS($B389=FALSE,"", countif(VLOOKUP($A389,UASCAN!D:D,1,FALSE),$A389)&gt;=1,TRUE,countif(VLOOKUP($B389,UASCAN!D:D,1,FALSE),$B389)=0,FALSE)</f>
        <v>0</v>
      </c>
      <c r="L389" s="52" t="b">
        <f>IFS(B389=FALSE,"", countif(VLOOKUP($B389,'01142022'!B:B,1,FALSE),$B389)&gt;=1,TRUE,countif(VLOOKUP($B389,'01142022'!B:B,1,FALSE),$B389)=0,FALSE)</f>
        <v>1</v>
      </c>
      <c r="M389" s="52" t="str">
        <f>ifs(AND($K389=FALSE,$L389=TRUE),"",AND($K389=FALSE,L389=FALSE),"",AND($K389=TRUE,$L389=TRUE),VLOOKUP($A389,UASCAN!D:F,3,0), AND($K389=TRUE,$L389=FALSE),VLOOKUP($A389,UASCAN!D:F,3,0))</f>
        <v/>
      </c>
      <c r="N389" s="53" t="str">
        <f t="shared" si="2"/>
        <v> </v>
      </c>
      <c r="O389" s="53" t="str">
        <f t="shared" si="3"/>
        <v/>
      </c>
    </row>
    <row r="390">
      <c r="A390" s="47" t="str">
        <f t="shared" si="1"/>
        <v>1136344575</v>
      </c>
      <c r="B390" s="48">
        <v>11363.0</v>
      </c>
      <c r="C390" s="49">
        <v>0.4166666666666667</v>
      </c>
      <c r="D390" s="48" t="s">
        <v>923</v>
      </c>
      <c r="E390" s="50">
        <v>23246.0</v>
      </c>
      <c r="F390" s="51">
        <v>44575.0</v>
      </c>
      <c r="G390" s="48" t="s">
        <v>6215</v>
      </c>
      <c r="H390" s="48" t="s">
        <v>6218</v>
      </c>
      <c r="I390" s="48" t="s">
        <v>6219</v>
      </c>
      <c r="J390" s="48" t="s">
        <v>6082</v>
      </c>
      <c r="K390" s="52" t="b">
        <f>IFS($B390=FALSE,"", countif(VLOOKUP($A390,UASCAN!D:D,1,FALSE),$A390)&gt;=1,TRUE,countif(VLOOKUP($B390,UASCAN!D:D,1,FALSE),$B390)=0,FALSE)</f>
        <v>0</v>
      </c>
      <c r="L390" s="52" t="b">
        <f>IFS(B390=FALSE,"", countif(VLOOKUP($B390,'01142022'!B:B,1,FALSE),$B390)&gt;=1,TRUE,countif(VLOOKUP($B390,'01142022'!B:B,1,FALSE),$B390)=0,FALSE)</f>
        <v>1</v>
      </c>
      <c r="M390" s="52" t="str">
        <f>ifs(AND($K390=FALSE,$L390=TRUE),"",AND($K390=FALSE,L390=FALSE),"",AND($K390=TRUE,$L390=TRUE),VLOOKUP($A390,UASCAN!D:F,3,0), AND($K390=TRUE,$L390=FALSE),VLOOKUP($A390,UASCAN!D:F,3,0))</f>
        <v/>
      </c>
      <c r="N390" s="53" t="str">
        <f t="shared" si="2"/>
        <v> </v>
      </c>
      <c r="O390" s="53" t="str">
        <f t="shared" si="3"/>
        <v/>
      </c>
    </row>
    <row r="391">
      <c r="A391" s="47" t="str">
        <f t="shared" si="1"/>
        <v>1618444575</v>
      </c>
      <c r="B391" s="48">
        <v>16184.0</v>
      </c>
      <c r="C391" s="49">
        <v>0.4166666666666667</v>
      </c>
      <c r="D391" s="48" t="s">
        <v>4496</v>
      </c>
      <c r="E391" s="50">
        <v>17049.0</v>
      </c>
      <c r="F391" s="51">
        <v>44575.0</v>
      </c>
      <c r="G391" s="48" t="s">
        <v>6220</v>
      </c>
      <c r="H391" s="48" t="s">
        <v>6211</v>
      </c>
      <c r="I391" s="48" t="s">
        <v>6221</v>
      </c>
      <c r="J391" s="48" t="s">
        <v>6195</v>
      </c>
      <c r="K391" s="52" t="b">
        <f>IFS($B391=FALSE,"", countif(VLOOKUP($A391,UASCAN!D:D,1,FALSE),$A391)&gt;=1,TRUE,countif(VLOOKUP($B391,UASCAN!D:D,1,FALSE),$B391)=0,FALSE)</f>
        <v>0</v>
      </c>
      <c r="L391" s="52" t="b">
        <f>IFS(B391=FALSE,"", countif(VLOOKUP($B391,'01142022'!B:B,1,FALSE),$B391)&gt;=1,TRUE,countif(VLOOKUP($B391,'01142022'!B:B,1,FALSE),$B391)=0,FALSE)</f>
        <v>1</v>
      </c>
      <c r="M391" s="52" t="str">
        <f>ifs(AND($K391=FALSE,$L391=TRUE),"",AND($K391=FALSE,L391=FALSE),"",AND($K391=TRUE,$L391=TRUE),VLOOKUP($A391,UASCAN!D:F,3,0), AND($K391=TRUE,$L391=FALSE),VLOOKUP($A391,UASCAN!D:F,3,0))</f>
        <v/>
      </c>
      <c r="N391" s="53" t="str">
        <f t="shared" si="2"/>
        <v> </v>
      </c>
      <c r="O391" s="53" t="str">
        <f t="shared" si="3"/>
        <v/>
      </c>
    </row>
    <row r="392">
      <c r="A392" s="47" t="str">
        <f t="shared" si="1"/>
        <v>1629744575</v>
      </c>
      <c r="B392" s="48">
        <v>16297.0</v>
      </c>
      <c r="C392" s="49">
        <v>0.4166666666666667</v>
      </c>
      <c r="D392" s="48" t="s">
        <v>4581</v>
      </c>
      <c r="E392" s="50">
        <v>15281.0</v>
      </c>
      <c r="F392" s="51">
        <v>44575.0</v>
      </c>
      <c r="G392" s="48" t="s">
        <v>6220</v>
      </c>
      <c r="H392" s="48" t="s">
        <v>6218</v>
      </c>
      <c r="I392" s="48" t="s">
        <v>6222</v>
      </c>
      <c r="J392" s="48" t="s">
        <v>6147</v>
      </c>
      <c r="K392" s="52" t="b">
        <f>IFS($B392=FALSE,"", countif(VLOOKUP($A392,UASCAN!D:D,1,FALSE),$A392)&gt;=1,TRUE,countif(VLOOKUP($B392,UASCAN!D:D,1,FALSE),$B392)=0,FALSE)</f>
        <v>0</v>
      </c>
      <c r="L392" s="52" t="b">
        <f>IFS(B392=FALSE,"", countif(VLOOKUP($B392,'01142022'!B:B,1,FALSE),$B392)&gt;=1,TRUE,countif(VLOOKUP($B392,'01142022'!B:B,1,FALSE),$B392)=0,FALSE)</f>
        <v>1</v>
      </c>
      <c r="M392" s="52" t="str">
        <f>ifs(AND($K392=FALSE,$L392=TRUE),"",AND($K392=FALSE,L392=FALSE),"",AND($K392=TRUE,$L392=TRUE),VLOOKUP($A392,UASCAN!D:F,3,0), AND($K392=TRUE,$L392=FALSE),VLOOKUP($A392,UASCAN!D:F,3,0))</f>
        <v/>
      </c>
      <c r="N392" s="53" t="str">
        <f t="shared" si="2"/>
        <v> </v>
      </c>
      <c r="O392" s="53" t="str">
        <f t="shared" si="3"/>
        <v/>
      </c>
    </row>
    <row r="393">
      <c r="A393" s="47" t="str">
        <f t="shared" si="1"/>
        <v>1568344575</v>
      </c>
      <c r="B393" s="48">
        <v>15683.0</v>
      </c>
      <c r="C393" s="49">
        <v>0.4270833333333333</v>
      </c>
      <c r="D393" s="48" t="s">
        <v>4052</v>
      </c>
      <c r="E393" s="50">
        <v>25687.0</v>
      </c>
      <c r="F393" s="51">
        <v>44575.0</v>
      </c>
      <c r="G393" s="48" t="s">
        <v>6215</v>
      </c>
      <c r="H393" s="48" t="s">
        <v>6218</v>
      </c>
      <c r="I393" s="48" t="s">
        <v>6219</v>
      </c>
      <c r="J393" s="48" t="s">
        <v>6085</v>
      </c>
      <c r="K393" s="52" t="b">
        <f>IFS($B393=FALSE,"", countif(VLOOKUP($A393,UASCAN!D:D,1,FALSE),$A393)&gt;=1,TRUE,countif(VLOOKUP($B393,UASCAN!D:D,1,FALSE),$B393)=0,FALSE)</f>
        <v>0</v>
      </c>
      <c r="L393" s="52" t="b">
        <f>IFS(B393=FALSE,"", countif(VLOOKUP($B393,'01142022'!B:B,1,FALSE),$B393)&gt;=1,TRUE,countif(VLOOKUP($B393,'01142022'!B:B,1,FALSE),$B393)=0,FALSE)</f>
        <v>1</v>
      </c>
      <c r="M393" s="52" t="str">
        <f>ifs(AND($K393=FALSE,$L393=TRUE),"",AND($K393=FALSE,L393=FALSE),"",AND($K393=TRUE,$L393=TRUE),VLOOKUP($A393,UASCAN!D:F,3,0), AND($K393=TRUE,$L393=FALSE),VLOOKUP($A393,UASCAN!D:F,3,0))</f>
        <v/>
      </c>
      <c r="N393" s="53" t="str">
        <f t="shared" si="2"/>
        <v> </v>
      </c>
      <c r="O393" s="53" t="str">
        <f t="shared" si="3"/>
        <v/>
      </c>
    </row>
    <row r="394">
      <c r="A394" s="47" t="str">
        <f t="shared" si="1"/>
        <v>1061444575</v>
      </c>
      <c r="B394" s="48">
        <v>10614.0</v>
      </c>
      <c r="C394" s="49">
        <v>0.4375</v>
      </c>
      <c r="D394" s="48" t="s">
        <v>610</v>
      </c>
      <c r="E394" s="50">
        <v>19605.0</v>
      </c>
      <c r="F394" s="51">
        <v>44575.0</v>
      </c>
      <c r="G394" s="48" t="s">
        <v>5</v>
      </c>
      <c r="H394" s="48" t="s">
        <v>6211</v>
      </c>
      <c r="I394" s="48" t="s">
        <v>6212</v>
      </c>
      <c r="J394" s="48" t="s">
        <v>6082</v>
      </c>
      <c r="K394" s="52" t="b">
        <f>IFS($B394=FALSE,"", countif(VLOOKUP($A394,UASCAN!D:D,1,FALSE),$A394)&gt;=1,TRUE,countif(VLOOKUP($B394,UASCAN!D:D,1,FALSE),$B394)=0,FALSE)</f>
        <v>0</v>
      </c>
      <c r="L394" s="52" t="b">
        <f>IFS(B394=FALSE,"", countif(VLOOKUP($B394,'01142022'!B:B,1,FALSE),$B394)&gt;=1,TRUE,countif(VLOOKUP($B394,'01142022'!B:B,1,FALSE),$B394)=0,FALSE)</f>
        <v>1</v>
      </c>
      <c r="M394" s="52" t="str">
        <f>ifs(AND($K394=FALSE,$L394=TRUE),"",AND($K394=FALSE,L394=FALSE),"",AND($K394=TRUE,$L394=TRUE),VLOOKUP($A394,UASCAN!D:F,3,0), AND($K394=TRUE,$L394=FALSE),VLOOKUP($A394,UASCAN!D:F,3,0))</f>
        <v/>
      </c>
      <c r="N394" s="53" t="str">
        <f t="shared" si="2"/>
        <v> </v>
      </c>
      <c r="O394" s="53" t="str">
        <f t="shared" si="3"/>
        <v/>
      </c>
    </row>
    <row r="395">
      <c r="A395" s="47" t="str">
        <f t="shared" si="1"/>
        <v>922744575</v>
      </c>
      <c r="B395" s="48">
        <v>9227.0</v>
      </c>
      <c r="C395" s="49">
        <v>0.4375</v>
      </c>
      <c r="D395" s="48" t="s">
        <v>92</v>
      </c>
      <c r="E395" s="50">
        <v>21258.0</v>
      </c>
      <c r="F395" s="51">
        <v>44575.0</v>
      </c>
      <c r="G395" s="48" t="s">
        <v>6220</v>
      </c>
      <c r="H395" s="48" t="s">
        <v>6211</v>
      </c>
      <c r="I395" s="48" t="s">
        <v>6221</v>
      </c>
      <c r="J395" s="48" t="s">
        <v>6194</v>
      </c>
      <c r="K395" s="52" t="b">
        <f>IFS($B395=FALSE,"", countif(VLOOKUP($A395,UASCAN!D:D,1,FALSE),$A395)&gt;=1,TRUE,countif(VLOOKUP($B395,UASCAN!D:D,1,FALSE),$B395)=0,FALSE)</f>
        <v>0</v>
      </c>
      <c r="L395" s="52" t="b">
        <f>IFS(B395=FALSE,"", countif(VLOOKUP($B395,'01142022'!B:B,1,FALSE),$B395)&gt;=1,TRUE,countif(VLOOKUP($B395,'01142022'!B:B,1,FALSE),$B395)=0,FALSE)</f>
        <v>1</v>
      </c>
      <c r="M395" s="52" t="str">
        <f>ifs(AND($K395=FALSE,$L395=TRUE),"",AND($K395=FALSE,L395=FALSE),"",AND($K395=TRUE,$L395=TRUE),VLOOKUP($A395,UASCAN!D:F,3,0), AND($K395=TRUE,$L395=FALSE),VLOOKUP($A395,UASCAN!D:F,3,0))</f>
        <v/>
      </c>
      <c r="N395" s="53" t="str">
        <f t="shared" si="2"/>
        <v> </v>
      </c>
      <c r="O395" s="53" t="str">
        <f t="shared" si="3"/>
        <v/>
      </c>
    </row>
    <row r="396">
      <c r="A396" s="47" t="str">
        <f t="shared" si="1"/>
        <v>1721744575</v>
      </c>
      <c r="B396" s="48">
        <v>17217.0</v>
      </c>
      <c r="C396" s="49">
        <v>0.4375</v>
      </c>
      <c r="D396" s="48" t="s">
        <v>5829</v>
      </c>
      <c r="E396" s="50">
        <v>14145.0</v>
      </c>
      <c r="F396" s="51">
        <v>44575.0</v>
      </c>
      <c r="G396" s="48" t="s">
        <v>5</v>
      </c>
      <c r="H396" s="48" t="s">
        <v>6218</v>
      </c>
      <c r="I396" s="48" t="s">
        <v>6222</v>
      </c>
      <c r="J396" s="48" t="s">
        <v>6225</v>
      </c>
      <c r="K396" s="52" t="b">
        <f>IFS($B396=FALSE,"", countif(VLOOKUP($A396,UASCAN!D:D,1,FALSE),$A396)&gt;=1,TRUE,countif(VLOOKUP($B396,UASCAN!D:D,1,FALSE),$B396)=0,FALSE)</f>
        <v>0</v>
      </c>
      <c r="L396" s="52" t="b">
        <f>IFS(B396=FALSE,"", countif(VLOOKUP($B396,'01142022'!B:B,1,FALSE),$B396)&gt;=1,TRUE,countif(VLOOKUP($B396,'01142022'!B:B,1,FALSE),$B396)=0,FALSE)</f>
        <v>1</v>
      </c>
      <c r="M396" s="52" t="str">
        <f>ifs(AND($K396=FALSE,$L396=TRUE),"",AND($K396=FALSE,L396=FALSE),"",AND($K396=TRUE,$L396=TRUE),VLOOKUP($A396,UASCAN!D:F,3,0), AND($K396=TRUE,$L396=FALSE),VLOOKUP($A396,UASCAN!D:F,3,0))</f>
        <v/>
      </c>
      <c r="N396" s="53" t="str">
        <f t="shared" si="2"/>
        <v> </v>
      </c>
      <c r="O396" s="53" t="str">
        <f t="shared" si="3"/>
        <v/>
      </c>
    </row>
    <row r="397">
      <c r="A397" s="47" t="str">
        <f t="shared" si="1"/>
        <v>1033844575</v>
      </c>
      <c r="B397" s="48">
        <v>10338.0</v>
      </c>
      <c r="C397" s="49">
        <v>0.4479166666666667</v>
      </c>
      <c r="D397" s="48" t="s">
        <v>505</v>
      </c>
      <c r="E397" s="50">
        <v>34388.0</v>
      </c>
      <c r="F397" s="51">
        <v>44575.0</v>
      </c>
      <c r="G397" s="48" t="s">
        <v>6215</v>
      </c>
      <c r="H397" s="48" t="s">
        <v>6218</v>
      </c>
      <c r="I397" s="48" t="s">
        <v>6222</v>
      </c>
      <c r="J397" s="48" t="s">
        <v>6126</v>
      </c>
      <c r="K397" s="52" t="b">
        <f>IFS($B397=FALSE,"", countif(VLOOKUP($A397,UASCAN!D:D,1,FALSE),$A397)&gt;=1,TRUE,countif(VLOOKUP($B397,UASCAN!D:D,1,FALSE),$B397)=0,FALSE)</f>
        <v>0</v>
      </c>
      <c r="L397" s="52" t="b">
        <f>IFS(B397=FALSE,"", countif(VLOOKUP($B397,'01142022'!B:B,1,FALSE),$B397)&gt;=1,TRUE,countif(VLOOKUP($B397,'01142022'!B:B,1,FALSE),$B397)=0,FALSE)</f>
        <v>1</v>
      </c>
      <c r="M397" s="52" t="str">
        <f>ifs(AND($K397=FALSE,$L397=TRUE),"",AND($K397=FALSE,L397=FALSE),"",AND($K397=TRUE,$L397=TRUE),VLOOKUP($A397,UASCAN!D:F,3,0), AND($K397=TRUE,$L397=FALSE),VLOOKUP($A397,UASCAN!D:F,3,0))</f>
        <v/>
      </c>
      <c r="N397" s="53" t="str">
        <f t="shared" si="2"/>
        <v> </v>
      </c>
      <c r="O397" s="53" t="str">
        <f t="shared" si="3"/>
        <v/>
      </c>
    </row>
    <row r="398">
      <c r="A398" s="47" t="str">
        <f t="shared" si="1"/>
        <v>953444575</v>
      </c>
      <c r="B398" s="48">
        <v>9534.0</v>
      </c>
      <c r="C398" s="49">
        <v>0.4583333333333333</v>
      </c>
      <c r="D398" s="48" t="s">
        <v>202</v>
      </c>
      <c r="E398" s="50">
        <v>29839.0</v>
      </c>
      <c r="F398" s="51">
        <v>44575.0</v>
      </c>
      <c r="G398" s="48" t="s">
        <v>6215</v>
      </c>
      <c r="H398" s="48" t="s">
        <v>6218</v>
      </c>
      <c r="I398" s="48" t="s">
        <v>6219</v>
      </c>
      <c r="J398" s="48" t="s">
        <v>6199</v>
      </c>
      <c r="K398" s="52" t="b">
        <f>IFS($B398=FALSE,"", countif(VLOOKUP($A398,UASCAN!D:D,1,FALSE),$A398)&gt;=1,TRUE,countif(VLOOKUP($B398,UASCAN!D:D,1,FALSE),$B398)=0,FALSE)</f>
        <v>0</v>
      </c>
      <c r="L398" s="52" t="b">
        <f>IFS(B398=FALSE,"", countif(VLOOKUP($B398,'01142022'!B:B,1,FALSE),$B398)&gt;=1,TRUE,countif(VLOOKUP($B398,'01142022'!B:B,1,FALSE),$B398)=0,FALSE)</f>
        <v>1</v>
      </c>
      <c r="M398" s="52" t="str">
        <f>ifs(AND($K398=FALSE,$L398=TRUE),"",AND($K398=FALSE,L398=FALSE),"",AND($K398=TRUE,$L398=TRUE),VLOOKUP($A398,UASCAN!D:F,3,0), AND($K398=TRUE,$L398=FALSE),VLOOKUP($A398,UASCAN!D:F,3,0))</f>
        <v/>
      </c>
      <c r="N398" s="53" t="str">
        <f t="shared" si="2"/>
        <v> </v>
      </c>
      <c r="O398" s="53" t="str">
        <f t="shared" si="3"/>
        <v/>
      </c>
    </row>
    <row r="399">
      <c r="A399" s="47" t="str">
        <f t="shared" si="1"/>
        <v>1219744575</v>
      </c>
      <c r="B399" s="48">
        <v>12197.0</v>
      </c>
      <c r="C399" s="49">
        <v>0.4583333333333333</v>
      </c>
      <c r="D399" s="48" t="s">
        <v>1318</v>
      </c>
      <c r="E399" s="50">
        <v>20786.0</v>
      </c>
      <c r="F399" s="51">
        <v>44575.0</v>
      </c>
      <c r="G399" s="48" t="s">
        <v>6215</v>
      </c>
      <c r="H399" s="48" t="s">
        <v>6218</v>
      </c>
      <c r="I399" s="48" t="s">
        <v>6222</v>
      </c>
      <c r="J399" s="48" t="s">
        <v>6187</v>
      </c>
      <c r="K399" s="52" t="b">
        <f>IFS($B399=FALSE,"", countif(VLOOKUP($A399,UASCAN!D:D,1,FALSE),$A399)&gt;=1,TRUE,countif(VLOOKUP($B399,UASCAN!D:D,1,FALSE),$B399)=0,FALSE)</f>
        <v>0</v>
      </c>
      <c r="L399" s="52" t="b">
        <f>IFS(B399=FALSE,"", countif(VLOOKUP($B399,'01142022'!B:B,1,FALSE),$B399)&gt;=1,TRUE,countif(VLOOKUP($B399,'01142022'!B:B,1,FALSE),$B399)=0,FALSE)</f>
        <v>1</v>
      </c>
      <c r="M399" s="52" t="str">
        <f>ifs(AND($K399=FALSE,$L399=TRUE),"",AND($K399=FALSE,L399=FALSE),"",AND($K399=TRUE,$L399=TRUE),VLOOKUP($A399,UASCAN!D:F,3,0), AND($K399=TRUE,$L399=FALSE),VLOOKUP($A399,UASCAN!D:F,3,0))</f>
        <v/>
      </c>
      <c r="N399" s="53" t="str">
        <f t="shared" si="2"/>
        <v> </v>
      </c>
      <c r="O399" s="53" t="str">
        <f t="shared" si="3"/>
        <v/>
      </c>
    </row>
    <row r="400">
      <c r="A400" s="47" t="str">
        <f t="shared" si="1"/>
        <v>1563844575</v>
      </c>
      <c r="B400" s="48">
        <v>15638.0</v>
      </c>
      <c r="C400" s="49">
        <v>0.46875</v>
      </c>
      <c r="D400" s="48" t="s">
        <v>4011</v>
      </c>
      <c r="E400" s="50">
        <v>18174.0</v>
      </c>
      <c r="F400" s="51">
        <v>44575.0</v>
      </c>
      <c r="G400" s="48" t="s">
        <v>6216</v>
      </c>
      <c r="H400" s="48" t="s">
        <v>6211</v>
      </c>
      <c r="I400" s="48" t="s">
        <v>6221</v>
      </c>
      <c r="J400" s="48" t="s">
        <v>6190</v>
      </c>
      <c r="K400" s="52" t="b">
        <f>IFS($B400=FALSE,"", countif(VLOOKUP($A400,UASCAN!D:D,1,FALSE),$A400)&gt;=1,TRUE,countif(VLOOKUP($B400,UASCAN!D:D,1,FALSE),$B400)=0,FALSE)</f>
        <v>0</v>
      </c>
      <c r="L400" s="52" t="b">
        <f>IFS(B400=FALSE,"", countif(VLOOKUP($B400,'01142022'!B:B,1,FALSE),$B400)&gt;=1,TRUE,countif(VLOOKUP($B400,'01142022'!B:B,1,FALSE),$B400)=0,FALSE)</f>
        <v>1</v>
      </c>
      <c r="M400" s="52" t="str">
        <f>ifs(AND($K400=FALSE,$L400=TRUE),"",AND($K400=FALSE,L400=FALSE),"",AND($K400=TRUE,$L400=TRUE),VLOOKUP($A400,UASCAN!D:F,3,0), AND($K400=TRUE,$L400=FALSE),VLOOKUP($A400,UASCAN!D:F,3,0))</f>
        <v/>
      </c>
      <c r="N400" s="53" t="str">
        <f t="shared" si="2"/>
        <v> </v>
      </c>
      <c r="O400" s="53" t="str">
        <f t="shared" si="3"/>
        <v/>
      </c>
    </row>
    <row r="401">
      <c r="A401" s="47" t="str">
        <f t="shared" si="1"/>
        <v>1692844575</v>
      </c>
      <c r="B401" s="48">
        <v>16928.0</v>
      </c>
      <c r="C401" s="49">
        <v>0.46875</v>
      </c>
      <c r="D401" s="48" t="s">
        <v>5068</v>
      </c>
      <c r="E401" s="50">
        <v>20393.0</v>
      </c>
      <c r="F401" s="51">
        <v>44575.0</v>
      </c>
      <c r="G401" s="48" t="s">
        <v>5</v>
      </c>
      <c r="H401" s="48" t="s">
        <v>6218</v>
      </c>
      <c r="I401" s="48" t="s">
        <v>6222</v>
      </c>
      <c r="J401" s="48" t="s">
        <v>6199</v>
      </c>
      <c r="K401" s="52" t="b">
        <f>IFS($B401=FALSE,"", countif(VLOOKUP($A401,UASCAN!D:D,1,FALSE),$A401)&gt;=1,TRUE,countif(VLOOKUP($B401,UASCAN!D:D,1,FALSE),$B401)=0,FALSE)</f>
        <v>0</v>
      </c>
      <c r="L401" s="52" t="b">
        <f>IFS(B401=FALSE,"", countif(VLOOKUP($B401,'01142022'!B:B,1,FALSE),$B401)&gt;=1,TRUE,countif(VLOOKUP($B401,'01142022'!B:B,1,FALSE),$B401)=0,FALSE)</f>
        <v>1</v>
      </c>
      <c r="M401" s="52" t="str">
        <f>ifs(AND($K401=FALSE,$L401=TRUE),"",AND($K401=FALSE,L401=FALSE),"",AND($K401=TRUE,$L401=TRUE),VLOOKUP($A401,UASCAN!D:F,3,0), AND($K401=TRUE,$L401=FALSE),VLOOKUP($A401,UASCAN!D:F,3,0))</f>
        <v/>
      </c>
      <c r="N401" s="53" t="str">
        <f t="shared" si="2"/>
        <v> </v>
      </c>
      <c r="O401" s="53" t="str">
        <f t="shared" si="3"/>
        <v/>
      </c>
    </row>
    <row r="402">
      <c r="A402" s="47" t="str">
        <f t="shared" si="1"/>
        <v>1578444576</v>
      </c>
      <c r="B402" s="48">
        <v>15784.0</v>
      </c>
      <c r="C402" s="49">
        <v>0.34375</v>
      </c>
      <c r="D402" s="48" t="s">
        <v>4145</v>
      </c>
      <c r="E402" s="50">
        <v>27911.0</v>
      </c>
      <c r="F402" s="51">
        <v>44576.0</v>
      </c>
      <c r="G402" s="48" t="s">
        <v>6216</v>
      </c>
      <c r="H402" s="48" t="s">
        <v>6211</v>
      </c>
      <c r="I402" s="48" t="s">
        <v>6219</v>
      </c>
      <c r="J402" s="48" t="s">
        <v>6196</v>
      </c>
      <c r="K402" s="52" t="b">
        <f>IFS($B402=FALSE,"", countif(VLOOKUP($A402,UASCAN!D:D,1,FALSE),$A402)&gt;=1,TRUE,countif(VLOOKUP($B402,UASCAN!D:D,1,FALSE),$B402)=0,FALSE)</f>
        <v>0</v>
      </c>
      <c r="L402" s="52" t="b">
        <f>IFS(B402=FALSE,"", countif(VLOOKUP($B402,'01152022'!B:B,1,FALSE),$B402)&gt;=1,TRUE,countif(VLOOKUP($B402,'01152022'!B:B,1,FALSE),$B402)=0,FALSE)</f>
        <v>1</v>
      </c>
      <c r="M402" s="52" t="str">
        <f>ifs(AND($K402=FALSE,$L402=TRUE),"",AND($K402=FALSE,L402=FALSE),"",AND($K402=TRUE,$L402=TRUE),VLOOKUP($A402,UASCAN!D:F,3,0), AND($K402=TRUE,$L402=FALSE),VLOOKUP($A402,UASCAN!D:F,3,0))</f>
        <v/>
      </c>
      <c r="N402" s="53" t="str">
        <f t="shared" si="2"/>
        <v> </v>
      </c>
      <c r="O402" s="53" t="str">
        <f t="shared" si="3"/>
        <v/>
      </c>
    </row>
    <row r="403">
      <c r="A403" s="47" t="str">
        <f t="shared" si="1"/>
        <v>1583844576</v>
      </c>
      <c r="B403" s="48">
        <v>15838.0</v>
      </c>
      <c r="C403" s="49">
        <v>0.375</v>
      </c>
      <c r="D403" s="48" t="s">
        <v>4193</v>
      </c>
      <c r="E403" s="50">
        <v>21409.0</v>
      </c>
      <c r="F403" s="51">
        <v>44576.0</v>
      </c>
      <c r="G403" s="48" t="s">
        <v>6216</v>
      </c>
      <c r="H403" s="48" t="s">
        <v>6211</v>
      </c>
      <c r="I403" s="48" t="s">
        <v>6219</v>
      </c>
      <c r="J403" s="48" t="s">
        <v>6192</v>
      </c>
      <c r="K403" s="52" t="b">
        <f>IFS($B403=FALSE,"", countif(VLOOKUP($A403,UASCAN!D:D,1,FALSE),$A403)&gt;=1,TRUE,countif(VLOOKUP($B403,UASCAN!D:D,1,FALSE),$B403)=0,FALSE)</f>
        <v>0</v>
      </c>
      <c r="L403" s="52" t="b">
        <f>IFS(B403=FALSE,"", countif(VLOOKUP($B403,'01152022'!B:B,1,FALSE),$B403)&gt;=1,TRUE,countif(VLOOKUP($B403,'01152022'!B:B,1,FALSE),$B403)=0,FALSE)</f>
        <v>1</v>
      </c>
      <c r="M403" s="52" t="str">
        <f>ifs(AND($K403=FALSE,$L403=TRUE),"",AND($K403=FALSE,L403=FALSE),"",AND($K403=TRUE,$L403=TRUE),VLOOKUP($A403,UASCAN!D:F,3,0), AND($K403=TRUE,$L403=FALSE),VLOOKUP($A403,UASCAN!D:F,3,0))</f>
        <v/>
      </c>
      <c r="N403" s="53" t="str">
        <f t="shared" si="2"/>
        <v> </v>
      </c>
      <c r="O403" s="53" t="str">
        <f t="shared" si="3"/>
        <v/>
      </c>
    </row>
    <row r="404">
      <c r="A404" s="47" t="str">
        <f t="shared" si="1"/>
        <v>1635544576</v>
      </c>
      <c r="B404" s="48">
        <v>16355.0</v>
      </c>
      <c r="C404" s="49">
        <v>0.46875</v>
      </c>
      <c r="D404" s="48" t="s">
        <v>4629</v>
      </c>
      <c r="E404" s="50">
        <v>13948.0</v>
      </c>
      <c r="F404" s="51">
        <v>44576.0</v>
      </c>
      <c r="G404" s="48" t="s">
        <v>6215</v>
      </c>
      <c r="H404" s="48" t="s">
        <v>6211</v>
      </c>
      <c r="I404" s="48" t="s">
        <v>6219</v>
      </c>
      <c r="J404" s="48" t="s">
        <v>6082</v>
      </c>
      <c r="K404" s="52" t="b">
        <f>IFS($B404=FALSE,"", countif(VLOOKUP($A404,UASCAN!D:D,1,FALSE),$A404)&gt;=1,TRUE,countif(VLOOKUP($B404,UASCAN!D:D,1,FALSE),$B404)=0,FALSE)</f>
        <v>0</v>
      </c>
      <c r="L404" s="52" t="b">
        <f>IFS(B404=FALSE,"", countif(VLOOKUP($B404,'01152022'!B:B,1,FALSE),$B404)&gt;=1,TRUE,countif(VLOOKUP($B404,'01152022'!B:B,1,FALSE),$B404)=0,FALSE)</f>
        <v>1</v>
      </c>
      <c r="M404" s="52" t="str">
        <f>ifs(AND($K404=FALSE,$L404=TRUE),"",AND($K404=FALSE,L404=FALSE),"",AND($K404=TRUE,$L404=TRUE),VLOOKUP($A404,UASCAN!D:F,3,0), AND($K404=TRUE,$L404=FALSE),VLOOKUP($A404,UASCAN!D:F,3,0))</f>
        <v/>
      </c>
      <c r="N404" s="53" t="str">
        <f t="shared" si="2"/>
        <v> </v>
      </c>
      <c r="O404" s="53" t="str">
        <f t="shared" si="3"/>
        <v/>
      </c>
    </row>
    <row r="405">
      <c r="A405" s="47" t="str">
        <f t="shared" si="1"/>
        <v>1408344576</v>
      </c>
      <c r="B405" s="48">
        <v>14083.0</v>
      </c>
      <c r="C405" s="49">
        <v>0.4895833333333333</v>
      </c>
      <c r="D405" s="48" t="s">
        <v>2728</v>
      </c>
      <c r="E405" s="50">
        <v>22869.0</v>
      </c>
      <c r="F405" s="51">
        <v>44576.0</v>
      </c>
      <c r="G405" s="48" t="s">
        <v>6215</v>
      </c>
      <c r="H405" s="48" t="s">
        <v>6211</v>
      </c>
      <c r="I405" s="48" t="s">
        <v>6219</v>
      </c>
      <c r="J405" s="48" t="s">
        <v>6091</v>
      </c>
      <c r="K405" s="52" t="b">
        <f>IFS($B405=FALSE,"", countif(VLOOKUP($A405,UASCAN!D:D,1,FALSE),$A405)&gt;=1,TRUE,countif(VLOOKUP($B405,UASCAN!D:D,1,FALSE),$B405)=0,FALSE)</f>
        <v>0</v>
      </c>
      <c r="L405" s="52" t="b">
        <f>IFS(B405=FALSE,"", countif(VLOOKUP($B405,'01152022'!B:B,1,FALSE),$B405)&gt;=1,TRUE,countif(VLOOKUP($B405,'01152022'!B:B,1,FALSE),$B405)=0,FALSE)</f>
        <v>1</v>
      </c>
      <c r="M405" s="52" t="str">
        <f>ifs(AND($K405=FALSE,$L405=TRUE),"",AND($K405=FALSE,L405=FALSE),"",AND($K405=TRUE,$L405=TRUE),VLOOKUP($A405,UASCAN!D:F,3,0), AND($K405=TRUE,$L405=FALSE),VLOOKUP($A405,UASCAN!D:F,3,0))</f>
        <v/>
      </c>
      <c r="N405" s="53" t="str">
        <f t="shared" si="2"/>
        <v> </v>
      </c>
      <c r="O405" s="53" t="str">
        <f t="shared" si="3"/>
        <v/>
      </c>
    </row>
    <row r="406">
      <c r="A406" s="47" t="str">
        <f t="shared" si="1"/>
        <v>1725944576</v>
      </c>
      <c r="B406" s="48">
        <v>17259.0</v>
      </c>
      <c r="C406" s="49">
        <v>0.5</v>
      </c>
      <c r="D406" s="48" t="s">
        <v>5336</v>
      </c>
      <c r="E406" s="50">
        <v>30466.0</v>
      </c>
      <c r="F406" s="51">
        <v>44576.0</v>
      </c>
      <c r="G406" s="48" t="s">
        <v>5</v>
      </c>
      <c r="H406" s="48" t="s">
        <v>6211</v>
      </c>
      <c r="I406" s="48" t="s">
        <v>6219</v>
      </c>
      <c r="J406" s="48" t="s">
        <v>6199</v>
      </c>
      <c r="K406" s="52" t="b">
        <f>IFS($B406=FALSE,"", countif(VLOOKUP($A406,UASCAN!D:D,1,FALSE),$A406)&gt;=1,TRUE,countif(VLOOKUP($B406,UASCAN!D:D,1,FALSE),$B406)=0,FALSE)</f>
        <v>0</v>
      </c>
      <c r="L406" s="52" t="b">
        <f>IFS(B406=FALSE,"", countif(VLOOKUP($B406,'01152022'!B:B,1,FALSE),$B406)&gt;=1,TRUE,countif(VLOOKUP($B406,'01152022'!B:B,1,FALSE),$B406)=0,FALSE)</f>
        <v>1</v>
      </c>
      <c r="M406" s="52" t="str">
        <f>ifs(AND($K406=FALSE,$L406=TRUE),"",AND($K406=FALSE,L406=FALSE),"",AND($K406=TRUE,$L406=TRUE),VLOOKUP($A406,UASCAN!D:F,3,0), AND($K406=TRUE,$L406=FALSE),VLOOKUP($A406,UASCAN!D:F,3,0))</f>
        <v/>
      </c>
      <c r="N406" s="53" t="str">
        <f t="shared" si="2"/>
        <v> </v>
      </c>
      <c r="O406" s="53" t="str">
        <f t="shared" si="3"/>
        <v/>
      </c>
    </row>
    <row r="407">
      <c r="A407" s="47" t="str">
        <f t="shared" si="1"/>
        <v>1285444578</v>
      </c>
      <c r="B407" s="48">
        <v>12854.0</v>
      </c>
      <c r="C407" s="49">
        <v>0.3125</v>
      </c>
      <c r="D407" s="48" t="s">
        <v>1765</v>
      </c>
      <c r="E407" s="50">
        <v>15390.0</v>
      </c>
      <c r="F407" s="51">
        <v>44578.0</v>
      </c>
      <c r="G407" s="48" t="s">
        <v>6216</v>
      </c>
      <c r="H407" s="48" t="s">
        <v>6211</v>
      </c>
      <c r="I407" s="48" t="s">
        <v>6212</v>
      </c>
      <c r="J407" s="48" t="s">
        <v>6189</v>
      </c>
      <c r="K407" s="52" t="b">
        <f>IFS($B407=FALSE,"", countif(VLOOKUP($A407,UASCAN!D:D,1,FALSE),$A407)&gt;=1,TRUE,countif(VLOOKUP($B407,UASCAN!D:D,1,FALSE),$B407)=0,FALSE)</f>
        <v>0</v>
      </c>
      <c r="L407" s="52" t="b">
        <f>IFS(B407=FALSE,"", countif(VLOOKUP($B407,'01172022'!B:B,1,FALSE),$B407)&gt;=1,TRUE,countif(VLOOKUP($B407,'01172022'!B:B,1,FALSE),$B407)=0,FALSE)</f>
        <v>1</v>
      </c>
      <c r="M407" s="52" t="str">
        <f>ifs(AND($K407=FALSE,$L407=TRUE),"",AND($K407=FALSE,L407=FALSE),"",AND($K407=TRUE,$L407=TRUE),VLOOKUP($A407,UASCAN!D:F,3,0), AND($K407=TRUE,$L407=FALSE),VLOOKUP($A407,UASCAN!D:F,3,0))</f>
        <v/>
      </c>
      <c r="N407" s="53" t="str">
        <f t="shared" si="2"/>
        <v> </v>
      </c>
      <c r="O407" s="53" t="str">
        <f t="shared" si="3"/>
        <v/>
      </c>
    </row>
    <row r="408">
      <c r="A408" s="47" t="str">
        <f t="shared" si="1"/>
        <v>1575544578</v>
      </c>
      <c r="B408" s="48">
        <v>15755.0</v>
      </c>
      <c r="C408" s="49">
        <v>0.3125</v>
      </c>
      <c r="D408" s="48" t="s">
        <v>4120</v>
      </c>
      <c r="E408" s="50">
        <v>18681.0</v>
      </c>
      <c r="F408" s="51">
        <v>44578.0</v>
      </c>
      <c r="G408" s="48" t="s">
        <v>5</v>
      </c>
      <c r="H408" s="48" t="s">
        <v>6211</v>
      </c>
      <c r="I408" s="48" t="s">
        <v>6212</v>
      </c>
      <c r="J408" s="48" t="s">
        <v>6089</v>
      </c>
      <c r="K408" s="52" t="b">
        <f>IFS($B408=FALSE,"", countif(VLOOKUP($A408,UASCAN!D:D,1,FALSE),$A408)&gt;=1,TRUE,countif(VLOOKUP($B408,UASCAN!D:D,1,FALSE),$B408)=0,FALSE)</f>
        <v>0</v>
      </c>
      <c r="L408" s="52" t="b">
        <f>IFS(B408=FALSE,"", countif(VLOOKUP($B408,'01172022'!B:B,1,FALSE),$B408)&gt;=1,TRUE,countif(VLOOKUP($B408,'01172022'!B:B,1,FALSE),$B408)=0,FALSE)</f>
        <v>1</v>
      </c>
      <c r="M408" s="52" t="str">
        <f>ifs(AND($K408=FALSE,$L408=TRUE),"",AND($K408=FALSE,L408=FALSE),"",AND($K408=TRUE,$L408=TRUE),VLOOKUP($A408,UASCAN!D:F,3,0), AND($K408=TRUE,$L408=FALSE),VLOOKUP($A408,UASCAN!D:F,3,0))</f>
        <v/>
      </c>
      <c r="N408" s="53" t="str">
        <f t="shared" si="2"/>
        <v> </v>
      </c>
      <c r="O408" s="53" t="str">
        <f t="shared" si="3"/>
        <v/>
      </c>
    </row>
    <row r="409">
      <c r="A409" s="47" t="str">
        <f t="shared" si="1"/>
        <v>1224344578</v>
      </c>
      <c r="B409" s="48">
        <v>12243.0</v>
      </c>
      <c r="C409" s="49">
        <v>0.3229166666666667</v>
      </c>
      <c r="D409" s="48" t="s">
        <v>1339</v>
      </c>
      <c r="E409" s="50">
        <v>19139.0</v>
      </c>
      <c r="F409" s="51">
        <v>44578.0</v>
      </c>
      <c r="G409" s="48" t="s">
        <v>6216</v>
      </c>
      <c r="H409" s="48" t="s">
        <v>6211</v>
      </c>
      <c r="I409" s="48" t="s">
        <v>6212</v>
      </c>
      <c r="J409" s="48" t="s">
        <v>6196</v>
      </c>
      <c r="K409" s="52" t="b">
        <f>IFS($B409=FALSE,"", countif(VLOOKUP($A409,UASCAN!D:D,1,FALSE),$A409)&gt;=1,TRUE,countif(VLOOKUP($B409,UASCAN!D:D,1,FALSE),$B409)=0,FALSE)</f>
        <v>0</v>
      </c>
      <c r="L409" s="52" t="b">
        <f>IFS(B409=FALSE,"", countif(VLOOKUP($B409,'01172022'!B:B,1,FALSE),$B409)&gt;=1,TRUE,countif(VLOOKUP($B409,'01172022'!B:B,1,FALSE),$B409)=0,FALSE)</f>
        <v>1</v>
      </c>
      <c r="M409" s="52" t="str">
        <f>ifs(AND($K409=FALSE,$L409=TRUE),"",AND($K409=FALSE,L409=FALSE),"",AND($K409=TRUE,$L409=TRUE),VLOOKUP($A409,UASCAN!D:F,3,0), AND($K409=TRUE,$L409=FALSE),VLOOKUP($A409,UASCAN!D:F,3,0))</f>
        <v/>
      </c>
      <c r="N409" s="53" t="str">
        <f t="shared" si="2"/>
        <v> </v>
      </c>
      <c r="O409" s="53" t="str">
        <f t="shared" si="3"/>
        <v/>
      </c>
    </row>
    <row r="410">
      <c r="A410" s="47" t="str">
        <f t="shared" si="1"/>
        <v>1148944578</v>
      </c>
      <c r="B410" s="48">
        <v>11489.0</v>
      </c>
      <c r="C410" s="49">
        <v>0.3333333333333333</v>
      </c>
      <c r="D410" s="48" t="s">
        <v>978</v>
      </c>
      <c r="E410" s="50">
        <v>17103.0</v>
      </c>
      <c r="F410" s="51">
        <v>44578.0</v>
      </c>
      <c r="G410" s="48" t="s">
        <v>5</v>
      </c>
      <c r="H410" s="48" t="s">
        <v>6218</v>
      </c>
      <c r="I410" s="48" t="s">
        <v>6222</v>
      </c>
      <c r="J410" s="48" t="s">
        <v>6085</v>
      </c>
      <c r="K410" s="52" t="b">
        <f>IFS($B410=FALSE,"", countif(VLOOKUP($A410,UASCAN!D:D,1,FALSE),$A410)&gt;=1,TRUE,countif(VLOOKUP($B410,UASCAN!D:D,1,FALSE),$B410)=0,FALSE)</f>
        <v>0</v>
      </c>
      <c r="L410" s="52" t="b">
        <f>IFS(B410=FALSE,"", countif(VLOOKUP($B410,'01172022'!B:B,1,FALSE),$B410)&gt;=1,TRUE,countif(VLOOKUP($B410,'01172022'!B:B,1,FALSE),$B410)=0,FALSE)</f>
        <v>1</v>
      </c>
      <c r="M410" s="52" t="str">
        <f>ifs(AND($K410=FALSE,$L410=TRUE),"",AND($K410=FALSE,L410=FALSE),"",AND($K410=TRUE,$L410=TRUE),VLOOKUP($A410,UASCAN!D:F,3,0), AND($K410=TRUE,$L410=FALSE),VLOOKUP($A410,UASCAN!D:F,3,0))</f>
        <v/>
      </c>
      <c r="N410" s="53" t="str">
        <f t="shared" si="2"/>
        <v> </v>
      </c>
      <c r="O410" s="53" t="str">
        <f t="shared" si="3"/>
        <v/>
      </c>
    </row>
    <row r="411">
      <c r="A411" s="47" t="str">
        <f t="shared" si="1"/>
        <v>1743144578</v>
      </c>
      <c r="B411" s="48">
        <v>17431.0</v>
      </c>
      <c r="C411" s="49">
        <v>0.34375</v>
      </c>
      <c r="D411" s="48" t="s">
        <v>5466</v>
      </c>
      <c r="E411" s="50">
        <v>30474.0</v>
      </c>
      <c r="F411" s="51">
        <v>44578.0</v>
      </c>
      <c r="G411" s="48" t="s">
        <v>6214</v>
      </c>
      <c r="H411" s="48" t="s">
        <v>6211</v>
      </c>
      <c r="I411" s="48" t="s">
        <v>6212</v>
      </c>
      <c r="J411" s="48" t="s">
        <v>6139</v>
      </c>
      <c r="K411" s="52" t="b">
        <f>IFS($B411=FALSE,"", countif(VLOOKUP($A411,UASCAN!D:D,1,FALSE),$A411)&gt;=1,TRUE,countif(VLOOKUP($B411,UASCAN!D:D,1,FALSE),$B411)=0,FALSE)</f>
        <v>0</v>
      </c>
      <c r="L411" s="52" t="b">
        <f>IFS(B411=FALSE,"", countif(VLOOKUP($B411,'01172022'!B:B,1,FALSE),$B411)&gt;=1,TRUE,countif(VLOOKUP($B411,'01172022'!B:B,1,FALSE),$B411)=0,FALSE)</f>
        <v>1</v>
      </c>
      <c r="M411" s="52" t="str">
        <f>ifs(AND($K411=FALSE,$L411=TRUE),"",AND($K411=FALSE,L411=FALSE),"",AND($K411=TRUE,$L411=TRUE),VLOOKUP($A411,UASCAN!D:F,3,0), AND($K411=TRUE,$L411=FALSE),VLOOKUP($A411,UASCAN!D:F,3,0))</f>
        <v/>
      </c>
      <c r="N411" s="53" t="str">
        <f t="shared" si="2"/>
        <v> </v>
      </c>
      <c r="O411" s="53" t="str">
        <f t="shared" si="3"/>
        <v/>
      </c>
    </row>
    <row r="412">
      <c r="A412" s="47" t="str">
        <f t="shared" si="1"/>
        <v>1783044578</v>
      </c>
      <c r="B412" s="48">
        <v>17830.0</v>
      </c>
      <c r="C412" s="49">
        <v>0.34375</v>
      </c>
      <c r="D412" s="48" t="e">
        <v>#N/A</v>
      </c>
      <c r="E412" s="50">
        <v>25200.0</v>
      </c>
      <c r="F412" s="51">
        <v>44578.0</v>
      </c>
      <c r="G412" s="48" t="s">
        <v>6214</v>
      </c>
      <c r="H412" s="48" t="s">
        <v>6211</v>
      </c>
      <c r="I412" s="48" t="s">
        <v>6212</v>
      </c>
      <c r="J412" s="48" t="s">
        <v>6139</v>
      </c>
      <c r="K412" s="52" t="b">
        <f>IFS($B412=FALSE,"", countif(VLOOKUP($A412,UASCAN!D:D,1,FALSE),$A412)&gt;=1,TRUE,countif(VLOOKUP($B412,UASCAN!D:D,1,FALSE),$B412)=0,FALSE)</f>
        <v>0</v>
      </c>
      <c r="L412" s="52" t="b">
        <f>IFS(B412=FALSE,"", countif(VLOOKUP($B412,'01172022'!B:B,1,FALSE),$B412)&gt;=1,TRUE,countif(VLOOKUP($B412,'01172022'!B:B,1,FALSE),$B412)=0,FALSE)</f>
        <v>1</v>
      </c>
      <c r="M412" s="52" t="str">
        <f>ifs(AND($K412=FALSE,$L412=TRUE),"",AND($K412=FALSE,L412=FALSE),"",AND($K412=TRUE,$L412=TRUE),VLOOKUP($A412,UASCAN!D:F,3,0), AND($K412=TRUE,$L412=FALSE),VLOOKUP($A412,UASCAN!D:F,3,0))</f>
        <v/>
      </c>
      <c r="N412" s="53" t="str">
        <f t="shared" si="2"/>
        <v> </v>
      </c>
      <c r="O412" s="53" t="str">
        <f t="shared" si="3"/>
        <v/>
      </c>
    </row>
    <row r="413">
      <c r="A413" s="47" t="str">
        <f t="shared" si="1"/>
        <v>1784044578</v>
      </c>
      <c r="B413" s="48">
        <v>17840.0</v>
      </c>
      <c r="C413" s="49">
        <v>0.34375</v>
      </c>
      <c r="D413" s="48" t="e">
        <v>#N/A</v>
      </c>
      <c r="E413" s="50">
        <v>47115.0</v>
      </c>
      <c r="F413" s="51">
        <v>44578.0</v>
      </c>
      <c r="G413" s="48" t="s">
        <v>6214</v>
      </c>
      <c r="H413" s="48" t="s">
        <v>6211</v>
      </c>
      <c r="I413" s="48" t="s">
        <v>6212</v>
      </c>
      <c r="J413" s="48" t="s">
        <v>6106</v>
      </c>
      <c r="K413" s="52" t="b">
        <f>IFS($B413=FALSE,"", countif(VLOOKUP($A413,UASCAN!D:D,1,FALSE),$A413)&gt;=1,TRUE,countif(VLOOKUP($B413,UASCAN!D:D,1,FALSE),$B413)=0,FALSE)</f>
        <v>0</v>
      </c>
      <c r="L413" s="52" t="b">
        <f>IFS(B413=FALSE,"", countif(VLOOKUP($B413,'01172022'!B:B,1,FALSE),$B413)&gt;=1,TRUE,countif(VLOOKUP($B413,'01172022'!B:B,1,FALSE),$B413)=0,FALSE)</f>
        <v>1</v>
      </c>
      <c r="M413" s="52" t="str">
        <f>ifs(AND($K413=FALSE,$L413=TRUE),"",AND($K413=FALSE,L413=FALSE),"",AND($K413=TRUE,$L413=TRUE),VLOOKUP($A413,UASCAN!D:F,3,0), AND($K413=TRUE,$L413=FALSE),VLOOKUP($A413,UASCAN!D:F,3,0))</f>
        <v/>
      </c>
      <c r="N413" s="53" t="str">
        <f t="shared" si="2"/>
        <v> </v>
      </c>
      <c r="O413" s="53" t="str">
        <f t="shared" si="3"/>
        <v/>
      </c>
    </row>
    <row r="414">
      <c r="A414" s="47" t="str">
        <f t="shared" si="1"/>
        <v>1035744578</v>
      </c>
      <c r="B414" s="48">
        <v>10357.0</v>
      </c>
      <c r="C414" s="49">
        <v>0.3541666666666667</v>
      </c>
      <c r="D414" s="48" t="s">
        <v>513</v>
      </c>
      <c r="E414" s="50">
        <v>27914.0</v>
      </c>
      <c r="F414" s="51">
        <v>44578.0</v>
      </c>
      <c r="G414" s="48" t="s">
        <v>5</v>
      </c>
      <c r="H414" s="48" t="s">
        <v>6218</v>
      </c>
      <c r="I414" s="48" t="s">
        <v>6219</v>
      </c>
      <c r="J414" s="48" t="s">
        <v>6199</v>
      </c>
      <c r="K414" s="52" t="b">
        <f>IFS($B414=FALSE,"", countif(VLOOKUP($A414,UASCAN!D:D,1,FALSE),$A414)&gt;=1,TRUE,countif(VLOOKUP($B414,UASCAN!D:D,1,FALSE),$B414)=0,FALSE)</f>
        <v>0</v>
      </c>
      <c r="L414" s="52" t="b">
        <f>IFS(B414=FALSE,"", countif(VLOOKUP($B414,'01172022'!B:B,1,FALSE),$B414)&gt;=1,TRUE,countif(VLOOKUP($B414,'01172022'!B:B,1,FALSE),$B414)=0,FALSE)</f>
        <v>1</v>
      </c>
      <c r="M414" s="52" t="str">
        <f>ifs(AND($K414=FALSE,$L414=TRUE),"",AND($K414=FALSE,L414=FALSE),"",AND($K414=TRUE,$L414=TRUE),VLOOKUP($A414,UASCAN!D:F,3,0), AND($K414=TRUE,$L414=FALSE),VLOOKUP($A414,UASCAN!D:F,3,0))</f>
        <v/>
      </c>
      <c r="N414" s="53" t="str">
        <f t="shared" si="2"/>
        <v> </v>
      </c>
      <c r="O414" s="53" t="str">
        <f t="shared" si="3"/>
        <v/>
      </c>
    </row>
    <row r="415">
      <c r="A415" s="47" t="str">
        <f t="shared" si="1"/>
        <v>1414044578</v>
      </c>
      <c r="B415" s="48">
        <v>14140.0</v>
      </c>
      <c r="C415" s="49">
        <v>0.3541666666666667</v>
      </c>
      <c r="D415" s="48" t="s">
        <v>2778</v>
      </c>
      <c r="E415" s="50">
        <v>19016.0</v>
      </c>
      <c r="F415" s="51">
        <v>44578.0</v>
      </c>
      <c r="G415" s="48" t="s">
        <v>5</v>
      </c>
      <c r="H415" s="48" t="s">
        <v>6218</v>
      </c>
      <c r="I415" s="48" t="s">
        <v>6219</v>
      </c>
      <c r="J415" s="48" t="s">
        <v>6199</v>
      </c>
      <c r="K415" s="52" t="b">
        <f>IFS($B415=FALSE,"", countif(VLOOKUP($A415,UASCAN!D:D,1,FALSE),$A415)&gt;=1,TRUE,countif(VLOOKUP($B415,UASCAN!D:D,1,FALSE),$B415)=0,FALSE)</f>
        <v>0</v>
      </c>
      <c r="L415" s="52" t="b">
        <f>IFS(B415=FALSE,"", countif(VLOOKUP($B415,'01172022'!B:B,1,FALSE),$B415)&gt;=1,TRUE,countif(VLOOKUP($B415,'01172022'!B:B,1,FALSE),$B415)=0,FALSE)</f>
        <v>1</v>
      </c>
      <c r="M415" s="52" t="str">
        <f>ifs(AND($K415=FALSE,$L415=TRUE),"",AND($K415=FALSE,L415=FALSE),"",AND($K415=TRUE,$L415=TRUE),VLOOKUP($A415,UASCAN!D:F,3,0), AND($K415=TRUE,$L415=FALSE),VLOOKUP($A415,UASCAN!D:F,3,0))</f>
        <v/>
      </c>
      <c r="N415" s="53" t="str">
        <f t="shared" si="2"/>
        <v> </v>
      </c>
      <c r="O415" s="53" t="str">
        <f t="shared" si="3"/>
        <v/>
      </c>
    </row>
    <row r="416">
      <c r="A416" s="47" t="str">
        <f t="shared" si="1"/>
        <v>1573844578</v>
      </c>
      <c r="B416" s="48">
        <v>15738.0</v>
      </c>
      <c r="C416" s="49">
        <v>0.3541666666666667</v>
      </c>
      <c r="D416" s="48" t="s">
        <v>4105</v>
      </c>
      <c r="E416" s="50">
        <v>23184.0</v>
      </c>
      <c r="F416" s="51">
        <v>44578.0</v>
      </c>
      <c r="G416" s="48" t="s">
        <v>6220</v>
      </c>
      <c r="H416" s="48" t="s">
        <v>6218</v>
      </c>
      <c r="I416" s="48" t="s">
        <v>6222</v>
      </c>
      <c r="J416" s="48" t="s">
        <v>6193</v>
      </c>
      <c r="K416" s="52" t="b">
        <f>IFS($B416=FALSE,"", countif(VLOOKUP($A416,UASCAN!D:D,1,FALSE),$A416)&gt;=1,TRUE,countif(VLOOKUP($B416,UASCAN!D:D,1,FALSE),$B416)=0,FALSE)</f>
        <v>0</v>
      </c>
      <c r="L416" s="52" t="b">
        <f>IFS(B416=FALSE,"", countif(VLOOKUP($B416,'01172022'!B:B,1,FALSE),$B416)&gt;=1,TRUE,countif(VLOOKUP($B416,'01172022'!B:B,1,FALSE),$B416)=0,FALSE)</f>
        <v>1</v>
      </c>
      <c r="M416" s="52" t="str">
        <f>ifs(AND($K416=FALSE,$L416=TRUE),"",AND($K416=FALSE,L416=FALSE),"",AND($K416=TRUE,$L416=TRUE),VLOOKUP($A416,UASCAN!D:F,3,0), AND($K416=TRUE,$L416=FALSE),VLOOKUP($A416,UASCAN!D:F,3,0))</f>
        <v/>
      </c>
      <c r="N416" s="53" t="str">
        <f t="shared" si="2"/>
        <v> </v>
      </c>
      <c r="O416" s="53" t="str">
        <f t="shared" si="3"/>
        <v/>
      </c>
    </row>
    <row r="417">
      <c r="A417" s="47" t="str">
        <f t="shared" si="1"/>
        <v>919844578</v>
      </c>
      <c r="B417" s="48">
        <v>9198.0</v>
      </c>
      <c r="C417" s="49">
        <v>0.3541666666666667</v>
      </c>
      <c r="D417" s="48" t="s">
        <v>72</v>
      </c>
      <c r="E417" s="50">
        <v>19646.0</v>
      </c>
      <c r="F417" s="51">
        <v>44578.0</v>
      </c>
      <c r="G417" s="48" t="s">
        <v>6216</v>
      </c>
      <c r="H417" s="48" t="s">
        <v>6218</v>
      </c>
      <c r="I417" s="48" t="s">
        <v>6222</v>
      </c>
      <c r="J417" s="48" t="s">
        <v>6196</v>
      </c>
      <c r="K417" s="52" t="b">
        <f>IFS($B417=FALSE,"", countif(VLOOKUP($A417,UASCAN!D:D,1,FALSE),$A417)&gt;=1,TRUE,countif(VLOOKUP($B417,UASCAN!D:D,1,FALSE),$B417)=0,FALSE)</f>
        <v>0</v>
      </c>
      <c r="L417" s="52" t="b">
        <f>IFS(B417=FALSE,"", countif(VLOOKUP($B417,'01172022'!B:B,1,FALSE),$B417)&gt;=1,TRUE,countif(VLOOKUP($B417,'01172022'!B:B,1,FALSE),$B417)=0,FALSE)</f>
        <v>1</v>
      </c>
      <c r="M417" s="52" t="str">
        <f>ifs(AND($K417=FALSE,$L417=TRUE),"",AND($K417=FALSE,L417=FALSE),"",AND($K417=TRUE,$L417=TRUE),VLOOKUP($A417,UASCAN!D:F,3,0), AND($K417=TRUE,$L417=FALSE),VLOOKUP($A417,UASCAN!D:F,3,0))</f>
        <v/>
      </c>
      <c r="N417" s="53" t="str">
        <f t="shared" si="2"/>
        <v> </v>
      </c>
      <c r="O417" s="53" t="str">
        <f t="shared" si="3"/>
        <v/>
      </c>
    </row>
    <row r="418">
      <c r="A418" s="47" t="str">
        <f t="shared" si="1"/>
        <v>1784444578</v>
      </c>
      <c r="B418" s="48">
        <v>17844.0</v>
      </c>
      <c r="C418" s="49">
        <v>0.3645833333333333</v>
      </c>
      <c r="D418" s="48" t="e">
        <v>#N/A</v>
      </c>
      <c r="E418" s="50">
        <v>30422.0</v>
      </c>
      <c r="F418" s="51">
        <v>44578.0</v>
      </c>
      <c r="G418" s="48" t="s">
        <v>6213</v>
      </c>
      <c r="H418" s="48" t="s">
        <v>6211</v>
      </c>
      <c r="I418" s="48" t="s">
        <v>6212</v>
      </c>
      <c r="J418" s="48" t="s">
        <v>6091</v>
      </c>
      <c r="K418" s="52" t="b">
        <f>IFS($B418=FALSE,"", countif(VLOOKUP($A418,UASCAN!D:D,1,FALSE),$A418)&gt;=1,TRUE,countif(VLOOKUP($B418,UASCAN!D:D,1,FALSE),$B418)=0,FALSE)</f>
        <v>0</v>
      </c>
      <c r="L418" s="52" t="b">
        <f>IFS(B418=FALSE,"", countif(VLOOKUP($B418,'01172022'!B:B,1,FALSE),$B418)&gt;=1,TRUE,countif(VLOOKUP($B418,'01172022'!B:B,1,FALSE),$B418)=0,FALSE)</f>
        <v>1</v>
      </c>
      <c r="M418" s="52" t="str">
        <f>ifs(AND($K418=FALSE,$L418=TRUE),"",AND($K418=FALSE,L418=FALSE),"",AND($K418=TRUE,$L418=TRUE),VLOOKUP($A418,UASCAN!D:F,3,0), AND($K418=TRUE,$L418=FALSE),VLOOKUP($A418,UASCAN!D:F,3,0))</f>
        <v/>
      </c>
      <c r="N418" s="53" t="str">
        <f t="shared" si="2"/>
        <v> </v>
      </c>
      <c r="O418" s="53" t="str">
        <f t="shared" si="3"/>
        <v/>
      </c>
    </row>
    <row r="419">
      <c r="A419" s="47" t="str">
        <f t="shared" si="1"/>
        <v>956944578</v>
      </c>
      <c r="B419" s="48">
        <v>9569.0</v>
      </c>
      <c r="C419" s="49">
        <v>0.3645833333333333</v>
      </c>
      <c r="D419" s="48" t="s">
        <v>218</v>
      </c>
      <c r="E419" s="50">
        <v>16181.0</v>
      </c>
      <c r="F419" s="51">
        <v>44578.0</v>
      </c>
      <c r="G419" s="48" t="s">
        <v>6216</v>
      </c>
      <c r="H419" s="48" t="s">
        <v>6211</v>
      </c>
      <c r="I419" s="48" t="s">
        <v>6212</v>
      </c>
      <c r="J419" s="48" t="s">
        <v>6196</v>
      </c>
      <c r="K419" s="52" t="b">
        <f>IFS($B419=FALSE,"", countif(VLOOKUP($A419,UASCAN!D:D,1,FALSE),$A419)&gt;=1,TRUE,countif(VLOOKUP($B419,UASCAN!D:D,1,FALSE),$B419)=0,FALSE)</f>
        <v>0</v>
      </c>
      <c r="L419" s="52" t="b">
        <f>IFS(B419=FALSE,"", countif(VLOOKUP($B419,'01172022'!B:B,1,FALSE),$B419)&gt;=1,TRUE,countif(VLOOKUP($B419,'01172022'!B:B,1,FALSE),$B419)=0,FALSE)</f>
        <v>1</v>
      </c>
      <c r="M419" s="52" t="str">
        <f>ifs(AND($K419=FALSE,$L419=TRUE),"",AND($K419=FALSE,L419=FALSE),"",AND($K419=TRUE,$L419=TRUE),VLOOKUP($A419,UASCAN!D:F,3,0), AND($K419=TRUE,$L419=FALSE),VLOOKUP($A419,UASCAN!D:F,3,0))</f>
        <v/>
      </c>
      <c r="N419" s="53" t="str">
        <f t="shared" si="2"/>
        <v> </v>
      </c>
      <c r="O419" s="53" t="str">
        <f t="shared" si="3"/>
        <v/>
      </c>
    </row>
    <row r="420">
      <c r="A420" s="47" t="str">
        <f t="shared" si="1"/>
        <v>1162344578</v>
      </c>
      <c r="B420" s="48">
        <v>11623.0</v>
      </c>
      <c r="C420" s="49">
        <v>0.3645833333333333</v>
      </c>
      <c r="D420" s="48" t="s">
        <v>1029</v>
      </c>
      <c r="E420" s="50">
        <v>20033.0</v>
      </c>
      <c r="F420" s="51">
        <v>44578.0</v>
      </c>
      <c r="G420" s="48" t="s">
        <v>6216</v>
      </c>
      <c r="H420" s="48" t="s">
        <v>6218</v>
      </c>
      <c r="I420" s="48" t="s">
        <v>6219</v>
      </c>
      <c r="J420" s="48" t="s">
        <v>6196</v>
      </c>
      <c r="K420" s="52" t="b">
        <f>IFS($B420=FALSE,"", countif(VLOOKUP($A420,UASCAN!D:D,1,FALSE),$A420)&gt;=1,TRUE,countif(VLOOKUP($B420,UASCAN!D:D,1,FALSE),$B420)=0,FALSE)</f>
        <v>0</v>
      </c>
      <c r="L420" s="52" t="b">
        <f>IFS(B420=FALSE,"", countif(VLOOKUP($B420,'01172022'!B:B,1,FALSE),$B420)&gt;=1,TRUE,countif(VLOOKUP($B420,'01172022'!B:B,1,FALSE),$B420)=0,FALSE)</f>
        <v>1</v>
      </c>
      <c r="M420" s="52" t="str">
        <f>ifs(AND($K420=FALSE,$L420=TRUE),"",AND($K420=FALSE,L420=FALSE),"",AND($K420=TRUE,$L420=TRUE),VLOOKUP($A420,UASCAN!D:F,3,0), AND($K420=TRUE,$L420=FALSE),VLOOKUP($A420,UASCAN!D:F,3,0))</f>
        <v/>
      </c>
      <c r="N420" s="53" t="str">
        <f t="shared" si="2"/>
        <v> </v>
      </c>
      <c r="O420" s="53" t="str">
        <f t="shared" si="3"/>
        <v/>
      </c>
    </row>
    <row r="421">
      <c r="A421" s="47" t="str">
        <f t="shared" si="1"/>
        <v>1401944578</v>
      </c>
      <c r="B421" s="48">
        <v>14019.0</v>
      </c>
      <c r="C421" s="49">
        <v>0.375</v>
      </c>
      <c r="D421" s="48" t="s">
        <v>2680</v>
      </c>
      <c r="E421" s="50">
        <v>23292.0</v>
      </c>
      <c r="F421" s="51">
        <v>44578.0</v>
      </c>
      <c r="G421" s="48" t="s">
        <v>5</v>
      </c>
      <c r="H421" s="48" t="s">
        <v>6218</v>
      </c>
      <c r="I421" s="48" t="s">
        <v>6219</v>
      </c>
      <c r="J421" s="48" t="s">
        <v>6199</v>
      </c>
      <c r="K421" s="52" t="b">
        <f>IFS($B421=FALSE,"", countif(VLOOKUP($A421,UASCAN!D:D,1,FALSE),$A421)&gt;=1,TRUE,countif(VLOOKUP($B421,UASCAN!D:D,1,FALSE),$B421)=0,FALSE)</f>
        <v>0</v>
      </c>
      <c r="L421" s="52" t="b">
        <f>IFS(B421=FALSE,"", countif(VLOOKUP($B421,'01172022'!B:B,1,FALSE),$B421)&gt;=1,TRUE,countif(VLOOKUP($B421,'01172022'!B:B,1,FALSE),$B421)=0,FALSE)</f>
        <v>1</v>
      </c>
      <c r="M421" s="52" t="str">
        <f>ifs(AND($K421=FALSE,$L421=TRUE),"",AND($K421=FALSE,L421=FALSE),"",AND($K421=TRUE,$L421=TRUE),VLOOKUP($A421,UASCAN!D:F,3,0), AND($K421=TRUE,$L421=FALSE),VLOOKUP($A421,UASCAN!D:F,3,0))</f>
        <v/>
      </c>
      <c r="N421" s="53" t="str">
        <f t="shared" si="2"/>
        <v> </v>
      </c>
      <c r="O421" s="53" t="str">
        <f t="shared" si="3"/>
        <v/>
      </c>
    </row>
    <row r="422">
      <c r="A422" s="47" t="str">
        <f t="shared" si="1"/>
        <v>924944578</v>
      </c>
      <c r="B422" s="48">
        <v>9249.0</v>
      </c>
      <c r="C422" s="49">
        <v>0.375</v>
      </c>
      <c r="D422" s="48" t="s">
        <v>108</v>
      </c>
      <c r="E422" s="50">
        <v>17102.0</v>
      </c>
      <c r="F422" s="51">
        <v>44578.0</v>
      </c>
      <c r="G422" s="48" t="s">
        <v>6220</v>
      </c>
      <c r="H422" s="48" t="s">
        <v>6218</v>
      </c>
      <c r="I422" s="48" t="s">
        <v>6219</v>
      </c>
      <c r="J422" s="48" t="s">
        <v>6196</v>
      </c>
      <c r="K422" s="52" t="b">
        <f>IFS($B422=FALSE,"", countif(VLOOKUP($A422,UASCAN!D:D,1,FALSE),$A422)&gt;=1,TRUE,countif(VLOOKUP($B422,UASCAN!D:D,1,FALSE),$B422)=0,FALSE)</f>
        <v>0</v>
      </c>
      <c r="L422" s="52" t="b">
        <f>IFS(B422=FALSE,"", countif(VLOOKUP($B422,'01172022'!B:B,1,FALSE),$B422)&gt;=1,TRUE,countif(VLOOKUP($B422,'01172022'!B:B,1,FALSE),$B422)=0,FALSE)</f>
        <v>1</v>
      </c>
      <c r="M422" s="52" t="str">
        <f>ifs(AND($K422=FALSE,$L422=TRUE),"",AND($K422=FALSE,L422=FALSE),"",AND($K422=TRUE,$L422=TRUE),VLOOKUP($A422,UASCAN!D:F,3,0), AND($K422=TRUE,$L422=FALSE),VLOOKUP($A422,UASCAN!D:F,3,0))</f>
        <v/>
      </c>
      <c r="N422" s="53" t="str">
        <f t="shared" si="2"/>
        <v> </v>
      </c>
      <c r="O422" s="53" t="str">
        <f t="shared" si="3"/>
        <v/>
      </c>
    </row>
    <row r="423">
      <c r="A423" s="47" t="str">
        <f t="shared" si="1"/>
        <v>1402144578</v>
      </c>
      <c r="B423" s="48">
        <v>14021.0</v>
      </c>
      <c r="C423" s="49">
        <v>0.375</v>
      </c>
      <c r="D423" s="48" t="s">
        <v>2682</v>
      </c>
      <c r="E423" s="50">
        <v>21451.0</v>
      </c>
      <c r="F423" s="51">
        <v>44578.0</v>
      </c>
      <c r="G423" s="48" t="s">
        <v>5</v>
      </c>
      <c r="H423" s="48" t="s">
        <v>6218</v>
      </c>
      <c r="I423" s="48" t="s">
        <v>6222</v>
      </c>
      <c r="J423" s="48" t="s">
        <v>6113</v>
      </c>
      <c r="K423" s="52" t="b">
        <f>IFS($B423=FALSE,"", countif(VLOOKUP($A423,UASCAN!D:D,1,FALSE),$A423)&gt;=1,TRUE,countif(VLOOKUP($B423,UASCAN!D:D,1,FALSE),$B423)=0,FALSE)</f>
        <v>0</v>
      </c>
      <c r="L423" s="52" t="b">
        <f>IFS(B423=FALSE,"", countif(VLOOKUP($B423,'01172022'!B:B,1,FALSE),$B423)&gt;=1,TRUE,countif(VLOOKUP($B423,'01172022'!B:B,1,FALSE),$B423)=0,FALSE)</f>
        <v>1</v>
      </c>
      <c r="M423" s="52" t="str">
        <f>ifs(AND($K423=FALSE,$L423=TRUE),"",AND($K423=FALSE,L423=FALSE),"",AND($K423=TRUE,$L423=TRUE),VLOOKUP($A423,UASCAN!D:F,3,0), AND($K423=TRUE,$L423=FALSE),VLOOKUP($A423,UASCAN!D:F,3,0))</f>
        <v/>
      </c>
      <c r="N423" s="53" t="str">
        <f t="shared" si="2"/>
        <v> </v>
      </c>
      <c r="O423" s="53" t="str">
        <f t="shared" si="3"/>
        <v/>
      </c>
    </row>
    <row r="424">
      <c r="A424" s="47" t="str">
        <f t="shared" si="1"/>
        <v>1062644578</v>
      </c>
      <c r="B424" s="48">
        <v>10626.0</v>
      </c>
      <c r="C424" s="49">
        <v>0.375</v>
      </c>
      <c r="D424" s="48" t="s">
        <v>615</v>
      </c>
      <c r="E424" s="50">
        <v>18426.0</v>
      </c>
      <c r="F424" s="51">
        <v>44578.0</v>
      </c>
      <c r="G424" s="48" t="s">
        <v>6215</v>
      </c>
      <c r="H424" s="48" t="s">
        <v>6218</v>
      </c>
      <c r="I424" s="48" t="s">
        <v>6222</v>
      </c>
      <c r="J424" s="48" t="s">
        <v>6199</v>
      </c>
      <c r="K424" s="52" t="b">
        <f>IFS($B424=FALSE,"", countif(VLOOKUP($A424,UASCAN!D:D,1,FALSE),$A424)&gt;=1,TRUE,countif(VLOOKUP($B424,UASCAN!D:D,1,FALSE),$B424)=0,FALSE)</f>
        <v>0</v>
      </c>
      <c r="L424" s="52" t="b">
        <f>IFS(B424=FALSE,"", countif(VLOOKUP($B424,'01172022'!B:B,1,FALSE),$B424)&gt;=1,TRUE,countif(VLOOKUP($B424,'01172022'!B:B,1,FALSE),$B424)=0,FALSE)</f>
        <v>1</v>
      </c>
      <c r="M424" s="52" t="str">
        <f>ifs(AND($K424=FALSE,$L424=TRUE),"",AND($K424=FALSE,L424=FALSE),"",AND($K424=TRUE,$L424=TRUE),VLOOKUP($A424,UASCAN!D:F,3,0), AND($K424=TRUE,$L424=FALSE),VLOOKUP($A424,UASCAN!D:F,3,0))</f>
        <v/>
      </c>
      <c r="N424" s="53" t="str">
        <f t="shared" si="2"/>
        <v> </v>
      </c>
      <c r="O424" s="53" t="str">
        <f t="shared" si="3"/>
        <v/>
      </c>
    </row>
    <row r="425">
      <c r="A425" s="47" t="str">
        <f t="shared" si="1"/>
        <v>1786744578</v>
      </c>
      <c r="B425" s="48">
        <v>17867.0</v>
      </c>
      <c r="C425" s="49">
        <v>0.3958333333333333</v>
      </c>
      <c r="D425" s="48" t="e">
        <v>#N/A</v>
      </c>
      <c r="E425" s="50">
        <v>20298.0</v>
      </c>
      <c r="F425" s="51">
        <v>44578.0</v>
      </c>
      <c r="G425" s="48" t="s">
        <v>6213</v>
      </c>
      <c r="H425" s="48" t="s">
        <v>6211</v>
      </c>
      <c r="I425" s="48" t="s">
        <v>6212</v>
      </c>
      <c r="J425" s="48" t="s">
        <v>6101</v>
      </c>
      <c r="K425" s="52" t="b">
        <f>IFS($B425=FALSE,"", countif(VLOOKUP($A425,UASCAN!D:D,1,FALSE),$A425)&gt;=1,TRUE,countif(VLOOKUP($B425,UASCAN!D:D,1,FALSE),$B425)=0,FALSE)</f>
        <v>0</v>
      </c>
      <c r="L425" s="52" t="b">
        <f>IFS(B425=FALSE,"", countif(VLOOKUP($B425,'01172022'!B:B,1,FALSE),$B425)&gt;=1,TRUE,countif(VLOOKUP($B425,'01172022'!B:B,1,FALSE),$B425)=0,FALSE)</f>
        <v>1</v>
      </c>
      <c r="M425" s="52" t="str">
        <f>ifs(AND($K425=FALSE,$L425=TRUE),"",AND($K425=FALSE,L425=FALSE),"",AND($K425=TRUE,$L425=TRUE),VLOOKUP($A425,UASCAN!D:F,3,0), AND($K425=TRUE,$L425=FALSE),VLOOKUP($A425,UASCAN!D:F,3,0))</f>
        <v/>
      </c>
      <c r="N425" s="53" t="str">
        <f t="shared" si="2"/>
        <v> </v>
      </c>
      <c r="O425" s="53" t="str">
        <f t="shared" si="3"/>
        <v/>
      </c>
    </row>
    <row r="426">
      <c r="A426" s="47" t="str">
        <f t="shared" si="1"/>
        <v>1783644578</v>
      </c>
      <c r="B426" s="48">
        <v>17836.0</v>
      </c>
      <c r="C426" s="49">
        <v>0.3958333333333333</v>
      </c>
      <c r="D426" s="48" t="e">
        <v>#N/A</v>
      </c>
      <c r="E426" s="50">
        <v>36797.0</v>
      </c>
      <c r="F426" s="51">
        <v>44578.0</v>
      </c>
      <c r="G426" s="48" t="s">
        <v>6213</v>
      </c>
      <c r="H426" s="48" t="s">
        <v>6211</v>
      </c>
      <c r="I426" s="48" t="s">
        <v>6212</v>
      </c>
      <c r="J426" s="48" t="s">
        <v>6082</v>
      </c>
      <c r="K426" s="52" t="b">
        <f>IFS($B426=FALSE,"", countif(VLOOKUP($A426,UASCAN!D:D,1,FALSE),$A426)&gt;=1,TRUE,countif(VLOOKUP($B426,UASCAN!D:D,1,FALSE),$B426)=0,FALSE)</f>
        <v>0</v>
      </c>
      <c r="L426" s="52" t="b">
        <f>IFS(B426=FALSE,"", countif(VLOOKUP($B426,'01172022'!B:B,1,FALSE),$B426)&gt;=1,TRUE,countif(VLOOKUP($B426,'01172022'!B:B,1,FALSE),$B426)=0,FALSE)</f>
        <v>1</v>
      </c>
      <c r="M426" s="52" t="str">
        <f>ifs(AND($K426=FALSE,$L426=TRUE),"",AND($K426=FALSE,L426=FALSE),"",AND($K426=TRUE,$L426=TRUE),VLOOKUP($A426,UASCAN!D:F,3,0), AND($K426=TRUE,$L426=FALSE),VLOOKUP($A426,UASCAN!D:F,3,0))</f>
        <v/>
      </c>
      <c r="N426" s="53" t="str">
        <f t="shared" si="2"/>
        <v> </v>
      </c>
      <c r="O426" s="53" t="str">
        <f t="shared" si="3"/>
        <v/>
      </c>
    </row>
    <row r="427">
      <c r="A427" s="47" t="str">
        <f t="shared" si="1"/>
        <v>1294644578</v>
      </c>
      <c r="B427" s="48">
        <v>12946.0</v>
      </c>
      <c r="C427" s="49">
        <v>0.40625</v>
      </c>
      <c r="D427" s="48" t="s">
        <v>1841</v>
      </c>
      <c r="E427" s="50">
        <v>22894.0</v>
      </c>
      <c r="F427" s="51">
        <v>44578.0</v>
      </c>
      <c r="G427" s="48" t="s">
        <v>6216</v>
      </c>
      <c r="H427" s="48" t="s">
        <v>6218</v>
      </c>
      <c r="I427" s="48" t="s">
        <v>6219</v>
      </c>
      <c r="J427" s="48" t="s">
        <v>6142</v>
      </c>
      <c r="K427" s="52" t="b">
        <f>IFS($B427=FALSE,"", countif(VLOOKUP($A427,UASCAN!D:D,1,FALSE),$A427)&gt;=1,TRUE,countif(VLOOKUP($B427,UASCAN!D:D,1,FALSE),$B427)=0,FALSE)</f>
        <v>0</v>
      </c>
      <c r="L427" s="52" t="b">
        <f>IFS(B427=FALSE,"", countif(VLOOKUP($B427,'01172022'!B:B,1,FALSE),$B427)&gt;=1,TRUE,countif(VLOOKUP($B427,'01172022'!B:B,1,FALSE),$B427)=0,FALSE)</f>
        <v>1</v>
      </c>
      <c r="M427" s="52" t="str">
        <f>ifs(AND($K427=FALSE,$L427=TRUE),"",AND($K427=FALSE,L427=FALSE),"",AND($K427=TRUE,$L427=TRUE),VLOOKUP($A427,UASCAN!D:F,3,0), AND($K427=TRUE,$L427=FALSE),VLOOKUP($A427,UASCAN!D:F,3,0))</f>
        <v/>
      </c>
      <c r="N427" s="53" t="str">
        <f t="shared" si="2"/>
        <v> </v>
      </c>
      <c r="O427" s="53" t="str">
        <f t="shared" si="3"/>
        <v/>
      </c>
    </row>
    <row r="428">
      <c r="A428" s="47" t="str">
        <f t="shared" si="1"/>
        <v>1060444578</v>
      </c>
      <c r="B428" s="48">
        <v>10604.0</v>
      </c>
      <c r="C428" s="49">
        <v>0.40625</v>
      </c>
      <c r="D428" s="48" t="s">
        <v>604</v>
      </c>
      <c r="E428" s="50">
        <v>30878.0</v>
      </c>
      <c r="F428" s="51">
        <v>44578.0</v>
      </c>
      <c r="G428" s="48" t="s">
        <v>6215</v>
      </c>
      <c r="H428" s="48" t="s">
        <v>6218</v>
      </c>
      <c r="I428" s="48" t="s">
        <v>6219</v>
      </c>
      <c r="J428" s="48" t="s">
        <v>6199</v>
      </c>
      <c r="K428" s="52" t="b">
        <f>IFS($B428=FALSE,"", countif(VLOOKUP($A428,UASCAN!D:D,1,FALSE),$A428)&gt;=1,TRUE,countif(VLOOKUP($B428,UASCAN!D:D,1,FALSE),$B428)=0,FALSE)</f>
        <v>0</v>
      </c>
      <c r="L428" s="52" t="b">
        <f>IFS(B428=FALSE,"", countif(VLOOKUP($B428,'01172022'!B:B,1,FALSE),$B428)&gt;=1,TRUE,countif(VLOOKUP($B428,'01172022'!B:B,1,FALSE),$B428)=0,FALSE)</f>
        <v>1</v>
      </c>
      <c r="M428" s="52" t="str">
        <f>ifs(AND($K428=FALSE,$L428=TRUE),"",AND($K428=FALSE,L428=FALSE),"",AND($K428=TRUE,$L428=TRUE),VLOOKUP($A428,UASCAN!D:F,3,0), AND($K428=TRUE,$L428=FALSE),VLOOKUP($A428,UASCAN!D:F,3,0))</f>
        <v/>
      </c>
      <c r="N428" s="53" t="str">
        <f t="shared" si="2"/>
        <v> </v>
      </c>
      <c r="O428" s="53" t="str">
        <f t="shared" si="3"/>
        <v/>
      </c>
    </row>
    <row r="429">
      <c r="A429" s="47" t="str">
        <f t="shared" si="1"/>
        <v>1741544578</v>
      </c>
      <c r="B429" s="48">
        <v>17415.0</v>
      </c>
      <c r="C429" s="49">
        <v>0.4166666666666667</v>
      </c>
      <c r="D429" s="48" t="s">
        <v>5453</v>
      </c>
      <c r="E429" s="50">
        <v>27400.0</v>
      </c>
      <c r="F429" s="51">
        <v>44578.0</v>
      </c>
      <c r="G429" s="48" t="s">
        <v>6213</v>
      </c>
      <c r="H429" s="48" t="s">
        <v>6211</v>
      </c>
      <c r="I429" s="48" t="s">
        <v>6212</v>
      </c>
      <c r="J429" s="48" t="s">
        <v>6199</v>
      </c>
      <c r="K429" s="52" t="b">
        <f>IFS($B429=FALSE,"", countif(VLOOKUP($A429,UASCAN!D:D,1,FALSE),$A429)&gt;=1,TRUE,countif(VLOOKUP($B429,UASCAN!D:D,1,FALSE),$B429)=0,FALSE)</f>
        <v>0</v>
      </c>
      <c r="L429" s="52" t="b">
        <f>IFS(B429=FALSE,"", countif(VLOOKUP($B429,'01172022'!B:B,1,FALSE),$B429)&gt;=1,TRUE,countif(VLOOKUP($B429,'01172022'!B:B,1,FALSE),$B429)=0,FALSE)</f>
        <v>1</v>
      </c>
      <c r="M429" s="52" t="str">
        <f>ifs(AND($K429=FALSE,$L429=TRUE),"",AND($K429=FALSE,L429=FALSE),"",AND($K429=TRUE,$L429=TRUE),VLOOKUP($A429,UASCAN!D:F,3,0), AND($K429=TRUE,$L429=FALSE),VLOOKUP($A429,UASCAN!D:F,3,0))</f>
        <v/>
      </c>
      <c r="N429" s="53" t="str">
        <f t="shared" si="2"/>
        <v> </v>
      </c>
      <c r="O429" s="53" t="str">
        <f t="shared" si="3"/>
        <v/>
      </c>
    </row>
    <row r="430">
      <c r="A430" s="47" t="str">
        <f t="shared" si="1"/>
        <v>1530144578</v>
      </c>
      <c r="B430" s="48">
        <v>15301.0</v>
      </c>
      <c r="C430" s="49">
        <v>0.4166666666666667</v>
      </c>
      <c r="D430" s="48" t="s">
        <v>3722</v>
      </c>
      <c r="E430" s="50">
        <v>46569.0</v>
      </c>
      <c r="F430" s="51">
        <v>44578.0</v>
      </c>
      <c r="G430" s="48" t="s">
        <v>6216</v>
      </c>
      <c r="H430" s="48" t="s">
        <v>6218</v>
      </c>
      <c r="I430" s="48" t="s">
        <v>6219</v>
      </c>
      <c r="J430" s="48" t="s">
        <v>6196</v>
      </c>
      <c r="K430" s="52" t="b">
        <f>IFS($B430=FALSE,"", countif(VLOOKUP($A430,UASCAN!D:D,1,FALSE),$A430)&gt;=1,TRUE,countif(VLOOKUP($B430,UASCAN!D:D,1,FALSE),$B430)=0,FALSE)</f>
        <v>0</v>
      </c>
      <c r="L430" s="52" t="b">
        <f>IFS(B430=FALSE,"", countif(VLOOKUP($B430,'01172022'!B:B,1,FALSE),$B430)&gt;=1,TRUE,countif(VLOOKUP($B430,'01172022'!B:B,1,FALSE),$B430)=0,FALSE)</f>
        <v>1</v>
      </c>
      <c r="M430" s="52" t="str">
        <f>ifs(AND($K430=FALSE,$L430=TRUE),"",AND($K430=FALSE,L430=FALSE),"",AND($K430=TRUE,$L430=TRUE),VLOOKUP($A430,UASCAN!D:F,3,0), AND($K430=TRUE,$L430=FALSE),VLOOKUP($A430,UASCAN!D:F,3,0))</f>
        <v/>
      </c>
      <c r="N430" s="53" t="str">
        <f t="shared" si="2"/>
        <v> </v>
      </c>
      <c r="O430" s="53" t="str">
        <f t="shared" si="3"/>
        <v/>
      </c>
    </row>
    <row r="431">
      <c r="A431" s="47" t="str">
        <f t="shared" si="1"/>
        <v>1689344578</v>
      </c>
      <c r="B431" s="48">
        <v>16893.0</v>
      </c>
      <c r="C431" s="49">
        <v>0.4166666666666667</v>
      </c>
      <c r="D431" s="48" t="s">
        <v>5041</v>
      </c>
      <c r="E431" s="50">
        <v>21530.0</v>
      </c>
      <c r="F431" s="51">
        <v>44578.0</v>
      </c>
      <c r="G431" s="48" t="s">
        <v>6216</v>
      </c>
      <c r="H431" s="48" t="s">
        <v>6211</v>
      </c>
      <c r="I431" s="48" t="s">
        <v>6221</v>
      </c>
      <c r="J431" s="48" t="s">
        <v>6196</v>
      </c>
      <c r="K431" s="52" t="b">
        <f>IFS($B431=FALSE,"", countif(VLOOKUP($A431,UASCAN!D:D,1,FALSE),$A431)&gt;=1,TRUE,countif(VLOOKUP($B431,UASCAN!D:D,1,FALSE),$B431)=0,FALSE)</f>
        <v>0</v>
      </c>
      <c r="L431" s="52" t="b">
        <f>IFS(B431=FALSE,"", countif(VLOOKUP($B431,'01172022'!B:B,1,FALSE),$B431)&gt;=1,TRUE,countif(VLOOKUP($B431,'01172022'!B:B,1,FALSE),$B431)=0,FALSE)</f>
        <v>1</v>
      </c>
      <c r="M431" s="52" t="str">
        <f>ifs(AND($K431=FALSE,$L431=TRUE),"",AND($K431=FALSE,L431=FALSE),"",AND($K431=TRUE,$L431=TRUE),VLOOKUP($A431,UASCAN!D:F,3,0), AND($K431=TRUE,$L431=FALSE),VLOOKUP($A431,UASCAN!D:F,3,0))</f>
        <v/>
      </c>
      <c r="N431" s="53" t="str">
        <f t="shared" si="2"/>
        <v> </v>
      </c>
      <c r="O431" s="53" t="str">
        <f t="shared" si="3"/>
        <v/>
      </c>
    </row>
    <row r="432">
      <c r="A432" s="47" t="str">
        <f t="shared" si="1"/>
        <v>1006144578</v>
      </c>
      <c r="B432" s="48">
        <v>10061.0</v>
      </c>
      <c r="C432" s="49">
        <v>0.4270833333333333</v>
      </c>
      <c r="D432" s="48" t="s">
        <v>397</v>
      </c>
      <c r="E432" s="50">
        <v>21559.0</v>
      </c>
      <c r="F432" s="51">
        <v>44578.0</v>
      </c>
      <c r="G432" s="48" t="s">
        <v>5</v>
      </c>
      <c r="H432" s="48" t="s">
        <v>6218</v>
      </c>
      <c r="I432" s="48" t="s">
        <v>6219</v>
      </c>
      <c r="J432" s="48" t="s">
        <v>6091</v>
      </c>
      <c r="K432" s="52" t="b">
        <f>IFS($B432=FALSE,"", countif(VLOOKUP($A432,UASCAN!D:D,1,FALSE),$A432)&gt;=1,TRUE,countif(VLOOKUP($B432,UASCAN!D:D,1,FALSE),$B432)=0,FALSE)</f>
        <v>0</v>
      </c>
      <c r="L432" s="52" t="b">
        <f>IFS(B432=FALSE,"", countif(VLOOKUP($B432,'01172022'!B:B,1,FALSE),$B432)&gt;=1,TRUE,countif(VLOOKUP($B432,'01172022'!B:B,1,FALSE),$B432)=0,FALSE)</f>
        <v>1</v>
      </c>
      <c r="M432" s="52" t="str">
        <f>ifs(AND($K432=FALSE,$L432=TRUE),"",AND($K432=FALSE,L432=FALSE),"",AND($K432=TRUE,$L432=TRUE),VLOOKUP($A432,UASCAN!D:F,3,0), AND($K432=TRUE,$L432=FALSE),VLOOKUP($A432,UASCAN!D:F,3,0))</f>
        <v/>
      </c>
      <c r="N432" s="53" t="str">
        <f t="shared" si="2"/>
        <v> </v>
      </c>
      <c r="O432" s="53" t="str">
        <f t="shared" si="3"/>
        <v/>
      </c>
    </row>
    <row r="433">
      <c r="A433" s="47" t="str">
        <f t="shared" si="1"/>
        <v>920944578</v>
      </c>
      <c r="B433" s="48">
        <v>9209.0</v>
      </c>
      <c r="C433" s="49">
        <v>0.4375</v>
      </c>
      <c r="D433" s="48" t="s">
        <v>78</v>
      </c>
      <c r="E433" s="50">
        <v>20421.0</v>
      </c>
      <c r="F433" s="51">
        <v>44578.0</v>
      </c>
      <c r="G433" s="48" t="s">
        <v>6216</v>
      </c>
      <c r="H433" s="48" t="s">
        <v>6218</v>
      </c>
      <c r="I433" s="48" t="s">
        <v>6219</v>
      </c>
      <c r="J433" s="48" t="s">
        <v>6196</v>
      </c>
      <c r="K433" s="52" t="b">
        <f>IFS($B433=FALSE,"", countif(VLOOKUP($A433,UASCAN!D:D,1,FALSE),$A433)&gt;=1,TRUE,countif(VLOOKUP($B433,UASCAN!D:D,1,FALSE),$B433)=0,FALSE)</f>
        <v>0</v>
      </c>
      <c r="L433" s="52" t="b">
        <f>IFS(B433=FALSE,"", countif(VLOOKUP($B433,'01172022'!B:B,1,FALSE),$B433)&gt;=1,TRUE,countif(VLOOKUP($B433,'01172022'!B:B,1,FALSE),$B433)=0,FALSE)</f>
        <v>1</v>
      </c>
      <c r="M433" s="52" t="str">
        <f>ifs(AND($K433=FALSE,$L433=TRUE),"",AND($K433=FALSE,L433=FALSE),"",AND($K433=TRUE,$L433=TRUE),VLOOKUP($A433,UASCAN!D:F,3,0), AND($K433=TRUE,$L433=FALSE),VLOOKUP($A433,UASCAN!D:F,3,0))</f>
        <v/>
      </c>
      <c r="N433" s="53" t="str">
        <f t="shared" si="2"/>
        <v> </v>
      </c>
      <c r="O433" s="53" t="str">
        <f t="shared" si="3"/>
        <v/>
      </c>
    </row>
    <row r="434">
      <c r="A434" s="47" t="str">
        <f t="shared" si="1"/>
        <v>1764744578</v>
      </c>
      <c r="B434" s="48">
        <v>17647.0</v>
      </c>
      <c r="C434" s="49">
        <v>0.4375</v>
      </c>
      <c r="D434" s="48" t="s">
        <v>5770</v>
      </c>
      <c r="E434" s="50">
        <v>27610.0</v>
      </c>
      <c r="F434" s="51">
        <v>44578.0</v>
      </c>
      <c r="G434" s="48" t="s">
        <v>6220</v>
      </c>
      <c r="H434" s="48" t="s">
        <v>6211</v>
      </c>
      <c r="I434" s="48" t="s">
        <v>6221</v>
      </c>
      <c r="J434" s="48" t="s">
        <v>6193</v>
      </c>
      <c r="K434" s="52" t="b">
        <f>IFS($B434=FALSE,"", countif(VLOOKUP($A434,UASCAN!D:D,1,FALSE),$A434)&gt;=1,TRUE,countif(VLOOKUP($B434,UASCAN!D:D,1,FALSE),$B434)=0,FALSE)</f>
        <v>0</v>
      </c>
      <c r="L434" s="52" t="b">
        <f>IFS(B434=FALSE,"", countif(VLOOKUP($B434,'01172022'!B:B,1,FALSE),$B434)&gt;=1,TRUE,countif(VLOOKUP($B434,'01172022'!B:B,1,FALSE),$B434)=0,FALSE)</f>
        <v>1</v>
      </c>
      <c r="M434" s="52" t="str">
        <f>ifs(AND($K434=FALSE,$L434=TRUE),"",AND($K434=FALSE,L434=FALSE),"",AND($K434=TRUE,$L434=TRUE),VLOOKUP($A434,UASCAN!D:F,3,0), AND($K434=TRUE,$L434=FALSE),VLOOKUP($A434,UASCAN!D:F,3,0))</f>
        <v/>
      </c>
      <c r="N434" s="53" t="str">
        <f t="shared" si="2"/>
        <v> </v>
      </c>
      <c r="O434" s="53" t="str">
        <f t="shared" si="3"/>
        <v/>
      </c>
    </row>
    <row r="435">
      <c r="A435" s="47" t="str">
        <f t="shared" si="1"/>
        <v>1785444578</v>
      </c>
      <c r="B435" s="48">
        <v>17854.0</v>
      </c>
      <c r="C435" s="49">
        <v>0.4479166666666667</v>
      </c>
      <c r="D435" s="48" t="s">
        <v>6004</v>
      </c>
      <c r="E435" s="50">
        <v>22029.0</v>
      </c>
      <c r="F435" s="51">
        <v>44578.0</v>
      </c>
      <c r="G435" s="48" t="s">
        <v>6213</v>
      </c>
      <c r="H435" s="48" t="s">
        <v>6211</v>
      </c>
      <c r="I435" s="48" t="s">
        <v>6212</v>
      </c>
      <c r="J435" s="48" t="s">
        <v>6091</v>
      </c>
      <c r="K435" s="52" t="b">
        <f>IFS($B435=FALSE,"", countif(VLOOKUP($A435,UASCAN!D:D,1,FALSE),$A435)&gt;=1,TRUE,countif(VLOOKUP($B435,UASCAN!D:D,1,FALSE),$B435)=0,FALSE)</f>
        <v>0</v>
      </c>
      <c r="L435" s="52" t="b">
        <f>IFS(B435=FALSE,"", countif(VLOOKUP($B435,'01172022'!B:B,1,FALSE),$B435)&gt;=1,TRUE,countif(VLOOKUP($B435,'01172022'!B:B,1,FALSE),$B435)=0,FALSE)</f>
        <v>1</v>
      </c>
      <c r="M435" s="52" t="str">
        <f>ifs(AND($K435=FALSE,$L435=TRUE),"",AND($K435=FALSE,L435=FALSE),"",AND($K435=TRUE,$L435=TRUE),VLOOKUP($A435,UASCAN!D:F,3,0), AND($K435=TRUE,$L435=FALSE),VLOOKUP($A435,UASCAN!D:F,3,0))</f>
        <v/>
      </c>
      <c r="N435" s="53" t="str">
        <f t="shared" si="2"/>
        <v> </v>
      </c>
      <c r="O435" s="53" t="str">
        <f t="shared" si="3"/>
        <v/>
      </c>
    </row>
    <row r="436">
      <c r="A436" s="47" t="str">
        <f t="shared" si="1"/>
        <v>1789344578</v>
      </c>
      <c r="B436" s="48">
        <v>17893.0</v>
      </c>
      <c r="C436" s="49">
        <v>0.4479166666666667</v>
      </c>
      <c r="D436" s="48" t="e">
        <v>#N/A</v>
      </c>
      <c r="E436" s="50">
        <v>17174.0</v>
      </c>
      <c r="F436" s="51">
        <v>44578.0</v>
      </c>
      <c r="G436" s="48" t="s">
        <v>6213</v>
      </c>
      <c r="H436" s="48" t="s">
        <v>6211</v>
      </c>
      <c r="I436" s="48" t="s">
        <v>6212</v>
      </c>
      <c r="J436" s="48" t="s">
        <v>6127</v>
      </c>
      <c r="K436" s="52" t="b">
        <f>IFS($B436=FALSE,"", countif(VLOOKUP($A436,UASCAN!D:D,1,FALSE),$A436)&gt;=1,TRUE,countif(VLOOKUP($B436,UASCAN!D:D,1,FALSE),$B436)=0,FALSE)</f>
        <v>0</v>
      </c>
      <c r="L436" s="52" t="b">
        <f>IFS(B436=FALSE,"", countif(VLOOKUP($B436,'01172022'!B:B,1,FALSE),$B436)&gt;=1,TRUE,countif(VLOOKUP($B436,'01172022'!B:B,1,FALSE),$B436)=0,FALSE)</f>
        <v>1</v>
      </c>
      <c r="M436" s="52" t="str">
        <f>ifs(AND($K436=FALSE,$L436=TRUE),"",AND($K436=FALSE,L436=FALSE),"",AND($K436=TRUE,$L436=TRUE),VLOOKUP($A436,UASCAN!D:F,3,0), AND($K436=TRUE,$L436=FALSE),VLOOKUP($A436,UASCAN!D:F,3,0))</f>
        <v/>
      </c>
      <c r="N436" s="53" t="str">
        <f t="shared" si="2"/>
        <v> </v>
      </c>
      <c r="O436" s="53" t="str">
        <f t="shared" si="3"/>
        <v/>
      </c>
    </row>
    <row r="437">
      <c r="A437" s="47" t="str">
        <f t="shared" si="1"/>
        <v>1120944578</v>
      </c>
      <c r="B437" s="48">
        <v>11209.0</v>
      </c>
      <c r="C437" s="49">
        <v>0.4479166666666667</v>
      </c>
      <c r="D437" s="48" t="s">
        <v>863</v>
      </c>
      <c r="E437" s="50">
        <v>27406.0</v>
      </c>
      <c r="F437" s="51">
        <v>44578.0</v>
      </c>
      <c r="G437" s="48" t="s">
        <v>6215</v>
      </c>
      <c r="H437" s="48" t="s">
        <v>6218</v>
      </c>
      <c r="I437" s="48" t="s">
        <v>6219</v>
      </c>
      <c r="J437" s="48" t="s">
        <v>6155</v>
      </c>
      <c r="K437" s="52" t="b">
        <f>IFS($B437=FALSE,"", countif(VLOOKUP($A437,UASCAN!D:D,1,FALSE),$A437)&gt;=1,TRUE,countif(VLOOKUP($B437,UASCAN!D:D,1,FALSE),$B437)=0,FALSE)</f>
        <v>0</v>
      </c>
      <c r="L437" s="52" t="b">
        <f>IFS(B437=FALSE,"", countif(VLOOKUP($B437,'01172022'!B:B,1,FALSE),$B437)&gt;=1,TRUE,countif(VLOOKUP($B437,'01172022'!B:B,1,FALSE),$B437)=0,FALSE)</f>
        <v>1</v>
      </c>
      <c r="M437" s="52" t="str">
        <f>ifs(AND($K437=FALSE,$L437=TRUE),"",AND($K437=FALSE,L437=FALSE),"",AND($K437=TRUE,$L437=TRUE),VLOOKUP($A437,UASCAN!D:F,3,0), AND($K437=TRUE,$L437=FALSE),VLOOKUP($A437,UASCAN!D:F,3,0))</f>
        <v/>
      </c>
      <c r="N437" s="53" t="str">
        <f t="shared" si="2"/>
        <v> </v>
      </c>
      <c r="O437" s="53" t="str">
        <f t="shared" si="3"/>
        <v/>
      </c>
    </row>
    <row r="438">
      <c r="A438" s="47" t="str">
        <f t="shared" si="1"/>
        <v>1421644578</v>
      </c>
      <c r="B438" s="48">
        <v>14216.0</v>
      </c>
      <c r="C438" s="49">
        <v>0.4479166666666667</v>
      </c>
      <c r="D438" s="48" t="s">
        <v>2830</v>
      </c>
      <c r="E438" s="50">
        <v>22769.0</v>
      </c>
      <c r="F438" s="51">
        <v>44578.0</v>
      </c>
      <c r="G438" s="48" t="s">
        <v>6220</v>
      </c>
      <c r="H438" s="48" t="s">
        <v>6211</v>
      </c>
      <c r="I438" s="48" t="s">
        <v>6221</v>
      </c>
      <c r="J438" s="48" t="s">
        <v>6196</v>
      </c>
      <c r="K438" s="52" t="b">
        <f>IFS($B438=FALSE,"", countif(VLOOKUP($A438,UASCAN!D:D,1,FALSE),$A438)&gt;=1,TRUE,countif(VLOOKUP($B438,UASCAN!D:D,1,FALSE),$B438)=0,FALSE)</f>
        <v>0</v>
      </c>
      <c r="L438" s="52" t="b">
        <f>IFS(B438=FALSE,"", countif(VLOOKUP($B438,'01172022'!B:B,1,FALSE),$B438)&gt;=1,TRUE,countif(VLOOKUP($B438,'01172022'!B:B,1,FALSE),$B438)=0,FALSE)</f>
        <v>1</v>
      </c>
      <c r="M438" s="52" t="str">
        <f>ifs(AND($K438=FALSE,$L438=TRUE),"",AND($K438=FALSE,L438=FALSE),"",AND($K438=TRUE,$L438=TRUE),VLOOKUP($A438,UASCAN!D:F,3,0), AND($K438=TRUE,$L438=FALSE),VLOOKUP($A438,UASCAN!D:F,3,0))</f>
        <v/>
      </c>
      <c r="N438" s="53" t="str">
        <f t="shared" si="2"/>
        <v> </v>
      </c>
      <c r="O438" s="53" t="str">
        <f t="shared" si="3"/>
        <v/>
      </c>
    </row>
    <row r="439">
      <c r="A439" s="47" t="str">
        <f t="shared" si="1"/>
        <v>1616544578</v>
      </c>
      <c r="B439" s="48">
        <v>16165.0</v>
      </c>
      <c r="C439" s="49">
        <v>0.4583333333333333</v>
      </c>
      <c r="D439" s="48" t="s">
        <v>4480</v>
      </c>
      <c r="E439" s="50">
        <v>20739.0</v>
      </c>
      <c r="F439" s="51">
        <v>44578.0</v>
      </c>
      <c r="G439" s="48" t="s">
        <v>5</v>
      </c>
      <c r="H439" s="48" t="s">
        <v>6211</v>
      </c>
      <c r="I439" s="48" t="s">
        <v>6221</v>
      </c>
      <c r="J439" s="48" t="s">
        <v>6132</v>
      </c>
      <c r="K439" s="52" t="b">
        <f>IFS($B439=FALSE,"", countif(VLOOKUP($A439,UASCAN!D:D,1,FALSE),$A439)&gt;=1,TRUE,countif(VLOOKUP($B439,UASCAN!D:D,1,FALSE),$B439)=0,FALSE)</f>
        <v>0</v>
      </c>
      <c r="L439" s="52" t="b">
        <f>IFS(B439=FALSE,"", countif(VLOOKUP($B439,'01172022'!B:B,1,FALSE),$B439)&gt;=1,TRUE,countif(VLOOKUP($B439,'01172022'!B:B,1,FALSE),$B439)=0,FALSE)</f>
        <v>1</v>
      </c>
      <c r="M439" s="52" t="str">
        <f>ifs(AND($K439=FALSE,$L439=TRUE),"",AND($K439=FALSE,L439=FALSE),"",AND($K439=TRUE,$L439=TRUE),VLOOKUP($A439,UASCAN!D:F,3,0), AND($K439=TRUE,$L439=FALSE),VLOOKUP($A439,UASCAN!D:F,3,0))</f>
        <v/>
      </c>
      <c r="N439" s="53" t="str">
        <f t="shared" si="2"/>
        <v> </v>
      </c>
      <c r="O439" s="53" t="str">
        <f t="shared" si="3"/>
        <v/>
      </c>
    </row>
    <row r="440">
      <c r="A440" s="47" t="str">
        <f t="shared" si="1"/>
        <v>1131944578</v>
      </c>
      <c r="B440" s="48">
        <v>11319.0</v>
      </c>
      <c r="C440" s="49">
        <v>0.46875</v>
      </c>
      <c r="D440" s="48" t="s">
        <v>904</v>
      </c>
      <c r="E440" s="50">
        <v>22198.0</v>
      </c>
      <c r="F440" s="51">
        <v>44578.0</v>
      </c>
      <c r="G440" s="48" t="s">
        <v>6220</v>
      </c>
      <c r="H440" s="48" t="s">
        <v>6218</v>
      </c>
      <c r="I440" s="48" t="s">
        <v>6222</v>
      </c>
      <c r="J440" s="48" t="s">
        <v>6196</v>
      </c>
      <c r="K440" s="52" t="b">
        <f>IFS($B440=FALSE,"", countif(VLOOKUP($A440,UASCAN!D:D,1,FALSE),$A440)&gt;=1,TRUE,countif(VLOOKUP($B440,UASCAN!D:D,1,FALSE),$B440)=0,FALSE)</f>
        <v>0</v>
      </c>
      <c r="L440" s="52" t="b">
        <f>IFS(B440=FALSE,"", countif(VLOOKUP($B440,'01172022'!B:B,1,FALSE),$B440)&gt;=1,TRUE,countif(VLOOKUP($B440,'01172022'!B:B,1,FALSE),$B440)=0,FALSE)</f>
        <v>1</v>
      </c>
      <c r="M440" s="52" t="str">
        <f>ifs(AND($K440=FALSE,$L440=TRUE),"",AND($K440=FALSE,L440=FALSE),"",AND($K440=TRUE,$L440=TRUE),VLOOKUP($A440,UASCAN!D:F,3,0), AND($K440=TRUE,$L440=FALSE),VLOOKUP($A440,UASCAN!D:F,3,0))</f>
        <v/>
      </c>
      <c r="N440" s="53" t="str">
        <f t="shared" si="2"/>
        <v> </v>
      </c>
      <c r="O440" s="53" t="str">
        <f t="shared" si="3"/>
        <v/>
      </c>
    </row>
    <row r="441">
      <c r="A441" s="47" t="str">
        <f t="shared" si="1"/>
        <v>923244578</v>
      </c>
      <c r="B441" s="48">
        <v>9232.0</v>
      </c>
      <c r="C441" s="49">
        <v>0.4791666666666667</v>
      </c>
      <c r="D441" s="48" t="s">
        <v>96</v>
      </c>
      <c r="E441" s="50">
        <v>25104.0</v>
      </c>
      <c r="F441" s="51">
        <v>44578.0</v>
      </c>
      <c r="G441" s="48" t="s">
        <v>5</v>
      </c>
      <c r="H441" s="48" t="s">
        <v>6211</v>
      </c>
      <c r="I441" s="48" t="s">
        <v>6212</v>
      </c>
      <c r="J441" s="48" t="s">
        <v>6091</v>
      </c>
      <c r="K441" s="52" t="b">
        <f>IFS($B441=FALSE,"", countif(VLOOKUP($A441,UASCAN!D:D,1,FALSE),$A441)&gt;=1,TRUE,countif(VLOOKUP($B441,UASCAN!D:D,1,FALSE),$B441)=0,FALSE)</f>
        <v>0</v>
      </c>
      <c r="L441" s="52" t="b">
        <f>IFS(B441=FALSE,"", countif(VLOOKUP($B441,'01172022'!B:B,1,FALSE),$B441)&gt;=1,TRUE,countif(VLOOKUP($B441,'01172022'!B:B,1,FALSE),$B441)=0,FALSE)</f>
        <v>1</v>
      </c>
      <c r="M441" s="52" t="str">
        <f>ifs(AND($K441=FALSE,$L441=TRUE),"",AND($K441=FALSE,L441=FALSE),"",AND($K441=TRUE,$L441=TRUE),VLOOKUP($A441,UASCAN!D:F,3,0), AND($K441=TRUE,$L441=FALSE),VLOOKUP($A441,UASCAN!D:F,3,0))</f>
        <v/>
      </c>
      <c r="N441" s="53" t="str">
        <f t="shared" si="2"/>
        <v> </v>
      </c>
      <c r="O441" s="53" t="str">
        <f t="shared" si="3"/>
        <v/>
      </c>
    </row>
    <row r="442">
      <c r="A442" s="47" t="str">
        <f t="shared" si="1"/>
        <v>1784944578</v>
      </c>
      <c r="B442" s="48">
        <v>17849.0</v>
      </c>
      <c r="C442" s="49">
        <v>0.5416666666666666</v>
      </c>
      <c r="D442" s="48" t="e">
        <v>#N/A</v>
      </c>
      <c r="E442" s="50">
        <v>26237.0</v>
      </c>
      <c r="F442" s="51">
        <v>44578.0</v>
      </c>
      <c r="G442" s="48" t="s">
        <v>6213</v>
      </c>
      <c r="H442" s="48" t="s">
        <v>6211</v>
      </c>
      <c r="I442" s="48" t="s">
        <v>6212</v>
      </c>
      <c r="J442" s="48" t="s">
        <v>6116</v>
      </c>
      <c r="K442" s="52" t="b">
        <f>IFS($B442=FALSE,"", countif(VLOOKUP($A442,UASCAN!D:D,1,FALSE),$A442)&gt;=1,TRUE,countif(VLOOKUP($B442,UASCAN!D:D,1,FALSE),$B442)=0,FALSE)</f>
        <v>0</v>
      </c>
      <c r="L442" s="52" t="b">
        <f>IFS(B442=FALSE,"", countif(VLOOKUP($B442,'01172022'!B:B,1,FALSE),$B442)&gt;=1,TRUE,countif(VLOOKUP($B442,'01172022'!B:B,1,FALSE),$B442)=0,FALSE)</f>
        <v>1</v>
      </c>
      <c r="M442" s="52" t="str">
        <f>ifs(AND($K442=FALSE,$L442=TRUE),"",AND($K442=FALSE,L442=FALSE),"",AND($K442=TRUE,$L442=TRUE),VLOOKUP($A442,UASCAN!D:F,3,0), AND($K442=TRUE,$L442=FALSE),VLOOKUP($A442,UASCAN!D:F,3,0))</f>
        <v/>
      </c>
      <c r="N442" s="53" t="str">
        <f t="shared" si="2"/>
        <v> </v>
      </c>
      <c r="O442" s="53" t="str">
        <f t="shared" si="3"/>
        <v/>
      </c>
    </row>
    <row r="443">
      <c r="A443" s="47" t="str">
        <f t="shared" si="1"/>
        <v>1422944578</v>
      </c>
      <c r="B443" s="48">
        <v>14229.0</v>
      </c>
      <c r="C443" s="49">
        <v>0.5416666666666666</v>
      </c>
      <c r="D443" s="48" t="s">
        <v>2839</v>
      </c>
      <c r="E443" s="50">
        <v>24199.0</v>
      </c>
      <c r="F443" s="51">
        <v>44578.0</v>
      </c>
      <c r="G443" s="48" t="s">
        <v>5</v>
      </c>
      <c r="H443" s="48" t="s">
        <v>6211</v>
      </c>
      <c r="I443" s="48" t="s">
        <v>6212</v>
      </c>
      <c r="J443" s="48" t="s">
        <v>6117</v>
      </c>
      <c r="K443" s="52" t="b">
        <f>IFS($B443=FALSE,"", countif(VLOOKUP($A443,UASCAN!D:D,1,FALSE),$A443)&gt;=1,TRUE,countif(VLOOKUP($B443,UASCAN!D:D,1,FALSE),$B443)=0,FALSE)</f>
        <v>0</v>
      </c>
      <c r="L443" s="52" t="b">
        <f>IFS(B443=FALSE,"", countif(VLOOKUP($B443,'01172022'!B:B,1,FALSE),$B443)&gt;=1,TRUE,countif(VLOOKUP($B443,'01172022'!B:B,1,FALSE),$B443)=0,FALSE)</f>
        <v>1</v>
      </c>
      <c r="M443" s="52" t="str">
        <f>ifs(AND($K443=FALSE,$L443=TRUE),"",AND($K443=FALSE,L443=FALSE),"",AND($K443=TRUE,$L443=TRUE),VLOOKUP($A443,UASCAN!D:F,3,0), AND($K443=TRUE,$L443=FALSE),VLOOKUP($A443,UASCAN!D:F,3,0))</f>
        <v/>
      </c>
      <c r="N443" s="53" t="str">
        <f t="shared" si="2"/>
        <v> </v>
      </c>
      <c r="O443" s="53" t="str">
        <f t="shared" si="3"/>
        <v/>
      </c>
    </row>
    <row r="444">
      <c r="A444" s="47" t="str">
        <f t="shared" si="1"/>
        <v>1290744578</v>
      </c>
      <c r="B444" s="48">
        <v>12907.0</v>
      </c>
      <c r="C444" s="49">
        <v>0.5520833333333334</v>
      </c>
      <c r="D444" s="48" t="s">
        <v>1812</v>
      </c>
      <c r="E444" s="50">
        <v>26943.0</v>
      </c>
      <c r="F444" s="51">
        <v>44578.0</v>
      </c>
      <c r="G444" s="48" t="s">
        <v>5</v>
      </c>
      <c r="H444" s="48" t="s">
        <v>6211</v>
      </c>
      <c r="I444" s="48" t="s">
        <v>6212</v>
      </c>
      <c r="J444" s="48" t="s">
        <v>6082</v>
      </c>
      <c r="K444" s="52" t="b">
        <f>IFS($B444=FALSE,"", countif(VLOOKUP($A444,UASCAN!D:D,1,FALSE),$A444)&gt;=1,TRUE,countif(VLOOKUP($B444,UASCAN!D:D,1,FALSE),$B444)=0,FALSE)</f>
        <v>0</v>
      </c>
      <c r="L444" s="52" t="b">
        <f>IFS(B444=FALSE,"", countif(VLOOKUP($B444,'01172022'!B:B,1,FALSE),$B444)&gt;=1,TRUE,countif(VLOOKUP($B444,'01172022'!B:B,1,FALSE),$B444)=0,FALSE)</f>
        <v>1</v>
      </c>
      <c r="M444" s="52" t="str">
        <f>ifs(AND($K444=FALSE,$L444=TRUE),"",AND($K444=FALSE,L444=FALSE),"",AND($K444=TRUE,$L444=TRUE),VLOOKUP($A444,UASCAN!D:F,3,0), AND($K444=TRUE,$L444=FALSE),VLOOKUP($A444,UASCAN!D:F,3,0))</f>
        <v/>
      </c>
      <c r="N444" s="53" t="str">
        <f t="shared" si="2"/>
        <v> </v>
      </c>
      <c r="O444" s="53" t="str">
        <f t="shared" si="3"/>
        <v/>
      </c>
    </row>
    <row r="445">
      <c r="A445" s="47" t="str">
        <f t="shared" si="1"/>
        <v>1660744578</v>
      </c>
      <c r="B445" s="48">
        <v>16607.0</v>
      </c>
      <c r="C445" s="49">
        <v>0.5520833333333334</v>
      </c>
      <c r="D445" s="48" t="s">
        <v>4815</v>
      </c>
      <c r="E445" s="50">
        <v>29673.0</v>
      </c>
      <c r="F445" s="51">
        <v>44578.0</v>
      </c>
      <c r="G445" s="48" t="s">
        <v>6216</v>
      </c>
      <c r="H445" s="48" t="s">
        <v>6218</v>
      </c>
      <c r="I445" s="48" t="s">
        <v>6222</v>
      </c>
      <c r="J445" s="48" t="s">
        <v>6142</v>
      </c>
      <c r="K445" s="52" t="b">
        <f>IFS($B445=FALSE,"", countif(VLOOKUP($A445,UASCAN!D:D,1,FALSE),$A445)&gt;=1,TRUE,countif(VLOOKUP($B445,UASCAN!D:D,1,FALSE),$B445)=0,FALSE)</f>
        <v>0</v>
      </c>
      <c r="L445" s="52" t="b">
        <f>IFS(B445=FALSE,"", countif(VLOOKUP($B445,'01172022'!B:B,1,FALSE),$B445)&gt;=1,TRUE,countif(VLOOKUP($B445,'01172022'!B:B,1,FALSE),$B445)=0,FALSE)</f>
        <v>1</v>
      </c>
      <c r="M445" s="52" t="str">
        <f>ifs(AND($K445=FALSE,$L445=TRUE),"",AND($K445=FALSE,L445=FALSE),"",AND($K445=TRUE,$L445=TRUE),VLOOKUP($A445,UASCAN!D:F,3,0), AND($K445=TRUE,$L445=FALSE),VLOOKUP($A445,UASCAN!D:F,3,0))</f>
        <v/>
      </c>
      <c r="N445" s="53" t="str">
        <f t="shared" si="2"/>
        <v> </v>
      </c>
      <c r="O445" s="53" t="str">
        <f t="shared" si="3"/>
        <v/>
      </c>
    </row>
    <row r="446">
      <c r="A446" s="47" t="str">
        <f t="shared" si="1"/>
        <v>1776044578</v>
      </c>
      <c r="B446" s="48">
        <v>17760.0</v>
      </c>
      <c r="C446" s="49">
        <v>0.5625</v>
      </c>
      <c r="D446" s="48" t="s">
        <v>5959</v>
      </c>
      <c r="E446" s="50">
        <v>23841.0</v>
      </c>
      <c r="F446" s="51">
        <v>44578.0</v>
      </c>
      <c r="G446" s="48" t="s">
        <v>6213</v>
      </c>
      <c r="H446" s="48" t="s">
        <v>6211</v>
      </c>
      <c r="I446" s="48" t="s">
        <v>6212</v>
      </c>
      <c r="J446" s="48" t="s">
        <v>6117</v>
      </c>
      <c r="K446" s="52" t="b">
        <f>IFS($B446=FALSE,"", countif(VLOOKUP($A446,UASCAN!D:D,1,FALSE),$A446)&gt;=1,TRUE,countif(VLOOKUP($B446,UASCAN!D:D,1,FALSE),$B446)=0,FALSE)</f>
        <v>0</v>
      </c>
      <c r="L446" s="52" t="b">
        <f>IFS(B446=FALSE,"", countif(VLOOKUP($B446,'01172022'!B:B,1,FALSE),$B446)&gt;=1,TRUE,countif(VLOOKUP($B446,'01172022'!B:B,1,FALSE),$B446)=0,FALSE)</f>
        <v>1</v>
      </c>
      <c r="M446" s="52" t="str">
        <f>ifs(AND($K446=FALSE,$L446=TRUE),"",AND($K446=FALSE,L446=FALSE),"",AND($K446=TRUE,$L446=TRUE),VLOOKUP($A446,UASCAN!D:F,3,0), AND($K446=TRUE,$L446=FALSE),VLOOKUP($A446,UASCAN!D:F,3,0))</f>
        <v/>
      </c>
      <c r="N446" s="53" t="str">
        <f t="shared" si="2"/>
        <v> </v>
      </c>
      <c r="O446" s="53" t="str">
        <f t="shared" si="3"/>
        <v/>
      </c>
    </row>
    <row r="447">
      <c r="A447" s="47" t="str">
        <f t="shared" si="1"/>
        <v>1574744578</v>
      </c>
      <c r="B447" s="48">
        <v>15747.0</v>
      </c>
      <c r="C447" s="49">
        <v>0.5625</v>
      </c>
      <c r="D447" s="48" t="s">
        <v>4114</v>
      </c>
      <c r="E447" s="50">
        <v>20053.0</v>
      </c>
      <c r="F447" s="51">
        <v>44578.0</v>
      </c>
      <c r="G447" s="48" t="s">
        <v>6216</v>
      </c>
      <c r="H447" s="48" t="s">
        <v>6211</v>
      </c>
      <c r="I447" s="48" t="s">
        <v>6221</v>
      </c>
      <c r="J447" s="48" t="s">
        <v>6193</v>
      </c>
      <c r="K447" s="52" t="b">
        <f>IFS($B447=FALSE,"", countif(VLOOKUP($A447,UASCAN!D:D,1,FALSE),$A447)&gt;=1,TRUE,countif(VLOOKUP($B447,UASCAN!D:D,1,FALSE),$B447)=0,FALSE)</f>
        <v>0</v>
      </c>
      <c r="L447" s="52" t="b">
        <f>IFS(B447=FALSE,"", countif(VLOOKUP($B447,'01172022'!B:B,1,FALSE),$B447)&gt;=1,TRUE,countif(VLOOKUP($B447,'01172022'!B:B,1,FALSE),$B447)=0,FALSE)</f>
        <v>1</v>
      </c>
      <c r="M447" s="52" t="str">
        <f>ifs(AND($K447=FALSE,$L447=TRUE),"",AND($K447=FALSE,L447=FALSE),"",AND($K447=TRUE,$L447=TRUE),VLOOKUP($A447,UASCAN!D:F,3,0), AND($K447=TRUE,$L447=FALSE),VLOOKUP($A447,UASCAN!D:F,3,0))</f>
        <v/>
      </c>
      <c r="N447" s="53" t="str">
        <f t="shared" si="2"/>
        <v> </v>
      </c>
      <c r="O447" s="53" t="str">
        <f t="shared" si="3"/>
        <v/>
      </c>
    </row>
    <row r="448">
      <c r="A448" s="47" t="str">
        <f t="shared" si="1"/>
        <v>1217944578</v>
      </c>
      <c r="B448" s="48">
        <v>12179.0</v>
      </c>
      <c r="C448" s="49">
        <v>0.5625</v>
      </c>
      <c r="D448" s="48" t="s">
        <v>1310</v>
      </c>
      <c r="E448" s="50">
        <v>22392.0</v>
      </c>
      <c r="F448" s="51">
        <v>44578.0</v>
      </c>
      <c r="G448" s="48" t="s">
        <v>5</v>
      </c>
      <c r="H448" s="48" t="s">
        <v>6218</v>
      </c>
      <c r="I448" s="48" t="s">
        <v>6222</v>
      </c>
      <c r="J448" s="48" t="s">
        <v>6091</v>
      </c>
      <c r="K448" s="52" t="b">
        <f>IFS($B448=FALSE,"", countif(VLOOKUP($A448,UASCAN!D:D,1,FALSE),$A448)&gt;=1,TRUE,countif(VLOOKUP($B448,UASCAN!D:D,1,FALSE),$B448)=0,FALSE)</f>
        <v>0</v>
      </c>
      <c r="L448" s="52" t="b">
        <f>IFS(B448=FALSE,"", countif(VLOOKUP($B448,'01172022'!B:B,1,FALSE),$B448)&gt;=1,TRUE,countif(VLOOKUP($B448,'01172022'!B:B,1,FALSE),$B448)=0,FALSE)</f>
        <v>1</v>
      </c>
      <c r="M448" s="52" t="str">
        <f>ifs(AND($K448=FALSE,$L448=TRUE),"",AND($K448=FALSE,L448=FALSE),"",AND($K448=TRUE,$L448=TRUE),VLOOKUP($A448,UASCAN!D:F,3,0), AND($K448=TRUE,$L448=FALSE),VLOOKUP($A448,UASCAN!D:F,3,0))</f>
        <v/>
      </c>
      <c r="N448" s="53" t="str">
        <f t="shared" si="2"/>
        <v> </v>
      </c>
      <c r="O448" s="53" t="str">
        <f t="shared" si="3"/>
        <v/>
      </c>
    </row>
    <row r="449">
      <c r="A449" s="47" t="str">
        <f t="shared" si="1"/>
        <v>1268244578</v>
      </c>
      <c r="B449" s="48">
        <v>12682.0</v>
      </c>
      <c r="C449" s="49">
        <v>0.5625</v>
      </c>
      <c r="D449" s="48" t="s">
        <v>1626</v>
      </c>
      <c r="E449" s="50">
        <v>17351.0</v>
      </c>
      <c r="F449" s="51">
        <v>44578.0</v>
      </c>
      <c r="G449" s="48" t="s">
        <v>5</v>
      </c>
      <c r="H449" s="48" t="s">
        <v>6218</v>
      </c>
      <c r="I449" s="48" t="s">
        <v>6222</v>
      </c>
      <c r="J449" s="48" t="s">
        <v>6199</v>
      </c>
      <c r="K449" s="52" t="b">
        <f>IFS($B449=FALSE,"", countif(VLOOKUP($A449,UASCAN!D:D,1,FALSE),$A449)&gt;=1,TRUE,countif(VLOOKUP($B449,UASCAN!D:D,1,FALSE),$B449)=0,FALSE)</f>
        <v>0</v>
      </c>
      <c r="L449" s="52" t="b">
        <f>IFS(B449=FALSE,"", countif(VLOOKUP($B449,'01172022'!B:B,1,FALSE),$B449)&gt;=1,TRUE,countif(VLOOKUP($B449,'01172022'!B:B,1,FALSE),$B449)=0,FALSE)</f>
        <v>1</v>
      </c>
      <c r="M449" s="52" t="str">
        <f>ifs(AND($K449=FALSE,$L449=TRUE),"",AND($K449=FALSE,L449=FALSE),"",AND($K449=TRUE,$L449=TRUE),VLOOKUP($A449,UASCAN!D:F,3,0), AND($K449=TRUE,$L449=FALSE),VLOOKUP($A449,UASCAN!D:F,3,0))</f>
        <v/>
      </c>
      <c r="N449" s="53" t="str">
        <f t="shared" si="2"/>
        <v> </v>
      </c>
      <c r="O449" s="53" t="str">
        <f t="shared" si="3"/>
        <v/>
      </c>
    </row>
    <row r="450">
      <c r="A450" s="47" t="str">
        <f t="shared" si="1"/>
        <v>1510844578</v>
      </c>
      <c r="B450" s="48">
        <v>15108.0</v>
      </c>
      <c r="C450" s="49">
        <v>0.5833333333333334</v>
      </c>
      <c r="D450" s="48" t="s">
        <v>3566</v>
      </c>
      <c r="E450" s="50">
        <v>18112.0</v>
      </c>
      <c r="F450" s="51">
        <v>44578.0</v>
      </c>
      <c r="G450" s="48" t="s">
        <v>6216</v>
      </c>
      <c r="H450" s="48" t="s">
        <v>6218</v>
      </c>
      <c r="I450" s="48" t="s">
        <v>6222</v>
      </c>
      <c r="J450" s="48" t="s">
        <v>6189</v>
      </c>
      <c r="K450" s="52" t="b">
        <f>IFS($B450=FALSE,"", countif(VLOOKUP($A450,UASCAN!D:D,1,FALSE),$A450)&gt;=1,TRUE,countif(VLOOKUP($B450,UASCAN!D:D,1,FALSE),$B450)=0,FALSE)</f>
        <v>0</v>
      </c>
      <c r="L450" s="52" t="b">
        <f>IFS(B450=FALSE,"", countif(VLOOKUP($B450,'01172022'!B:B,1,FALSE),$B450)&gt;=1,TRUE,countif(VLOOKUP($B450,'01172022'!B:B,1,FALSE),$B450)=0,FALSE)</f>
        <v>1</v>
      </c>
      <c r="M450" s="52" t="str">
        <f>ifs(AND($K450=FALSE,$L450=TRUE),"",AND($K450=FALSE,L450=FALSE),"",AND($K450=TRUE,$L450=TRUE),VLOOKUP($A450,UASCAN!D:F,3,0), AND($K450=TRUE,$L450=FALSE),VLOOKUP($A450,UASCAN!D:F,3,0))</f>
        <v/>
      </c>
      <c r="N450" s="53" t="str">
        <f t="shared" si="2"/>
        <v> </v>
      </c>
      <c r="O450" s="53" t="str">
        <f t="shared" si="3"/>
        <v/>
      </c>
    </row>
    <row r="451">
      <c r="A451" s="47" t="str">
        <f t="shared" si="1"/>
        <v>1091144578</v>
      </c>
      <c r="B451" s="48">
        <v>10911.0</v>
      </c>
      <c r="C451" s="49">
        <v>0.5833333333333334</v>
      </c>
      <c r="D451" s="48" t="s">
        <v>724</v>
      </c>
      <c r="E451" s="50">
        <v>12187.0</v>
      </c>
      <c r="F451" s="51">
        <v>44578.0</v>
      </c>
      <c r="G451" s="48" t="s">
        <v>6216</v>
      </c>
      <c r="H451" s="48" t="s">
        <v>6218</v>
      </c>
      <c r="I451" s="48" t="s">
        <v>6222</v>
      </c>
      <c r="J451" s="48" t="s">
        <v>6189</v>
      </c>
      <c r="K451" s="52" t="b">
        <f>IFS($B451=FALSE,"", countif(VLOOKUP($A451,UASCAN!D:D,1,FALSE),$A451)&gt;=1,TRUE,countif(VLOOKUP($B451,UASCAN!D:D,1,FALSE),$B451)=0,FALSE)</f>
        <v>0</v>
      </c>
      <c r="L451" s="52" t="b">
        <f>IFS(B451=FALSE,"", countif(VLOOKUP($B451,'01172022'!B:B,1,FALSE),$B451)&gt;=1,TRUE,countif(VLOOKUP($B451,'01172022'!B:B,1,FALSE),$B451)=0,FALSE)</f>
        <v>1</v>
      </c>
      <c r="M451" s="52" t="str">
        <f>ifs(AND($K451=FALSE,$L451=TRUE),"",AND($K451=FALSE,L451=FALSE),"",AND($K451=TRUE,$L451=TRUE),VLOOKUP($A451,UASCAN!D:F,3,0), AND($K451=TRUE,$L451=FALSE),VLOOKUP($A451,UASCAN!D:F,3,0))</f>
        <v/>
      </c>
      <c r="N451" s="53" t="str">
        <f t="shared" si="2"/>
        <v> </v>
      </c>
      <c r="O451" s="53" t="str">
        <f t="shared" si="3"/>
        <v/>
      </c>
    </row>
    <row r="452">
      <c r="A452" s="47" t="str">
        <f t="shared" si="1"/>
        <v>1756644578</v>
      </c>
      <c r="B452" s="48">
        <v>17566.0</v>
      </c>
      <c r="C452" s="49">
        <v>0.59375</v>
      </c>
      <c r="D452" s="48" t="s">
        <v>5565</v>
      </c>
      <c r="E452" s="50">
        <v>22520.0</v>
      </c>
      <c r="F452" s="51">
        <v>44578.0</v>
      </c>
      <c r="G452" s="48" t="s">
        <v>6214</v>
      </c>
      <c r="H452" s="48" t="s">
        <v>6211</v>
      </c>
      <c r="I452" s="48" t="s">
        <v>6212</v>
      </c>
      <c r="J452" s="48" t="s">
        <v>6139</v>
      </c>
      <c r="K452" s="52" t="b">
        <f>IFS($B452=FALSE,"", countif(VLOOKUP($A452,UASCAN!D:D,1,FALSE),$A452)&gt;=1,TRUE,countif(VLOOKUP($B452,UASCAN!D:D,1,FALSE),$B452)=0,FALSE)</f>
        <v>0</v>
      </c>
      <c r="L452" s="52" t="b">
        <f>IFS(B452=FALSE,"", countif(VLOOKUP($B452,'01172022'!B:B,1,FALSE),$B452)&gt;=1,TRUE,countif(VLOOKUP($B452,'01172022'!B:B,1,FALSE),$B452)=0,FALSE)</f>
        <v>1</v>
      </c>
      <c r="M452" s="52" t="str">
        <f>ifs(AND($K452=FALSE,$L452=TRUE),"",AND($K452=FALSE,L452=FALSE),"",AND($K452=TRUE,$L452=TRUE),VLOOKUP($A452,UASCAN!D:F,3,0), AND($K452=TRUE,$L452=FALSE),VLOOKUP($A452,UASCAN!D:F,3,0))</f>
        <v/>
      </c>
      <c r="N452" s="53" t="str">
        <f t="shared" si="2"/>
        <v> </v>
      </c>
      <c r="O452" s="53" t="str">
        <f t="shared" si="3"/>
        <v/>
      </c>
    </row>
    <row r="453">
      <c r="A453" s="47" t="str">
        <f t="shared" si="1"/>
        <v>1228344578</v>
      </c>
      <c r="B453" s="48">
        <v>12283.0</v>
      </c>
      <c r="C453" s="49">
        <v>0.59375</v>
      </c>
      <c r="D453" s="48" t="s">
        <v>1362</v>
      </c>
      <c r="E453" s="50">
        <v>29642.0</v>
      </c>
      <c r="F453" s="51">
        <v>44578.0</v>
      </c>
      <c r="G453" s="48" t="s">
        <v>5</v>
      </c>
      <c r="H453" s="48" t="s">
        <v>6211</v>
      </c>
      <c r="I453" s="48" t="s">
        <v>6212</v>
      </c>
      <c r="J453" s="48" t="s">
        <v>6174</v>
      </c>
      <c r="K453" s="52" t="b">
        <f>IFS($B453=FALSE,"", countif(VLOOKUP($A453,UASCAN!D:D,1,FALSE),$A453)&gt;=1,TRUE,countif(VLOOKUP($B453,UASCAN!D:D,1,FALSE),$B453)=0,FALSE)</f>
        <v>0</v>
      </c>
      <c r="L453" s="52" t="b">
        <f>IFS(B453=FALSE,"", countif(VLOOKUP($B453,'01172022'!B:B,1,FALSE),$B453)&gt;=1,TRUE,countif(VLOOKUP($B453,'01172022'!B:B,1,FALSE),$B453)=0,FALSE)</f>
        <v>1</v>
      </c>
      <c r="M453" s="52" t="str">
        <f>ifs(AND($K453=FALSE,$L453=TRUE),"",AND($K453=FALSE,L453=FALSE),"",AND($K453=TRUE,$L453=TRUE),VLOOKUP($A453,UASCAN!D:F,3,0), AND($K453=TRUE,$L453=FALSE),VLOOKUP($A453,UASCAN!D:F,3,0))</f>
        <v/>
      </c>
      <c r="N453" s="53" t="str">
        <f t="shared" si="2"/>
        <v> </v>
      </c>
      <c r="O453" s="53" t="str">
        <f t="shared" si="3"/>
        <v/>
      </c>
    </row>
    <row r="454">
      <c r="A454" s="47" t="str">
        <f t="shared" si="1"/>
        <v>1058944578</v>
      </c>
      <c r="B454" s="48">
        <v>10589.0</v>
      </c>
      <c r="C454" s="49">
        <v>0.59375</v>
      </c>
      <c r="D454" s="48" t="s">
        <v>594</v>
      </c>
      <c r="E454" s="50">
        <v>16098.0</v>
      </c>
      <c r="F454" s="51">
        <v>44578.0</v>
      </c>
      <c r="G454" s="48" t="s">
        <v>6220</v>
      </c>
      <c r="H454" s="48" t="s">
        <v>6218</v>
      </c>
      <c r="I454" s="48" t="s">
        <v>6222</v>
      </c>
      <c r="J454" s="48" t="s">
        <v>6194</v>
      </c>
      <c r="K454" s="52" t="b">
        <f>IFS($B454=FALSE,"", countif(VLOOKUP($A454,UASCAN!D:D,1,FALSE),$A454)&gt;=1,TRUE,countif(VLOOKUP($B454,UASCAN!D:D,1,FALSE),$B454)=0,FALSE)</f>
        <v>0</v>
      </c>
      <c r="L454" s="52" t="b">
        <f>IFS(B454=FALSE,"", countif(VLOOKUP($B454,'01172022'!B:B,1,FALSE),$B454)&gt;=1,TRUE,countif(VLOOKUP($B454,'01172022'!B:B,1,FALSE),$B454)=0,FALSE)</f>
        <v>1</v>
      </c>
      <c r="M454" s="52" t="str">
        <f>ifs(AND($K454=FALSE,$L454=TRUE),"",AND($K454=FALSE,L454=FALSE),"",AND($K454=TRUE,$L454=TRUE),VLOOKUP($A454,UASCAN!D:F,3,0), AND($K454=TRUE,$L454=FALSE),VLOOKUP($A454,UASCAN!D:F,3,0))</f>
        <v/>
      </c>
      <c r="N454" s="53" t="str">
        <f t="shared" si="2"/>
        <v> </v>
      </c>
      <c r="O454" s="53" t="str">
        <f t="shared" si="3"/>
        <v/>
      </c>
    </row>
    <row r="455">
      <c r="A455" s="47" t="str">
        <f t="shared" si="1"/>
        <v>1118344578</v>
      </c>
      <c r="B455" s="48">
        <v>11183.0</v>
      </c>
      <c r="C455" s="49">
        <v>0.6145833333333334</v>
      </c>
      <c r="D455" s="48" t="s">
        <v>852</v>
      </c>
      <c r="E455" s="50">
        <v>19173.0</v>
      </c>
      <c r="F455" s="51">
        <v>44578.0</v>
      </c>
      <c r="G455" s="48" t="s">
        <v>6216</v>
      </c>
      <c r="H455" s="48" t="s">
        <v>6211</v>
      </c>
      <c r="I455" s="48" t="s">
        <v>6221</v>
      </c>
      <c r="J455" s="48" t="s">
        <v>6189</v>
      </c>
      <c r="K455" s="52" t="b">
        <f>IFS($B455=FALSE,"", countif(VLOOKUP($A455,UASCAN!D:D,1,FALSE),$A455)&gt;=1,TRUE,countif(VLOOKUP($B455,UASCAN!D:D,1,FALSE),$B455)=0,FALSE)</f>
        <v>0</v>
      </c>
      <c r="L455" s="52" t="b">
        <f>IFS(B455=FALSE,"", countif(VLOOKUP($B455,'01172022'!B:B,1,FALSE),$B455)&gt;=1,TRUE,countif(VLOOKUP($B455,'01172022'!B:B,1,FALSE),$B455)=0,FALSE)</f>
        <v>1</v>
      </c>
      <c r="M455" s="52" t="str">
        <f>ifs(AND($K455=FALSE,$L455=TRUE),"",AND($K455=FALSE,L455=FALSE),"",AND($K455=TRUE,$L455=TRUE),VLOOKUP($A455,UASCAN!D:F,3,0), AND($K455=TRUE,$L455=FALSE),VLOOKUP($A455,UASCAN!D:F,3,0))</f>
        <v/>
      </c>
      <c r="N455" s="53" t="str">
        <f t="shared" si="2"/>
        <v> </v>
      </c>
      <c r="O455" s="53" t="str">
        <f t="shared" si="3"/>
        <v/>
      </c>
    </row>
    <row r="456">
      <c r="A456" s="47" t="str">
        <f t="shared" si="1"/>
        <v>1251244578</v>
      </c>
      <c r="B456" s="48">
        <v>12512.0</v>
      </c>
      <c r="C456" s="49">
        <v>0.625</v>
      </c>
      <c r="D456" s="48" t="s">
        <v>1509</v>
      </c>
      <c r="E456" s="50">
        <v>28787.0</v>
      </c>
      <c r="F456" s="51">
        <v>44578.0</v>
      </c>
      <c r="G456" s="48" t="s">
        <v>6215</v>
      </c>
      <c r="H456" s="48" t="s">
        <v>6218</v>
      </c>
      <c r="I456" s="48" t="s">
        <v>6222</v>
      </c>
      <c r="J456" s="48" t="s">
        <v>6091</v>
      </c>
      <c r="K456" s="52" t="b">
        <f>IFS($B456=FALSE,"", countif(VLOOKUP($A456,UASCAN!D:D,1,FALSE),$A456)&gt;=1,TRUE,countif(VLOOKUP($B456,UASCAN!D:D,1,FALSE),$B456)=0,FALSE)</f>
        <v>0</v>
      </c>
      <c r="L456" s="52" t="b">
        <f>IFS(B456=FALSE,"", countif(VLOOKUP($B456,'01172022'!B:B,1,FALSE),$B456)&gt;=1,TRUE,countif(VLOOKUP($B456,'01172022'!B:B,1,FALSE),$B456)=0,FALSE)</f>
        <v>1</v>
      </c>
      <c r="M456" s="52" t="str">
        <f>ifs(AND($K456=FALSE,$L456=TRUE),"",AND($K456=FALSE,L456=FALSE),"",AND($K456=TRUE,$L456=TRUE),VLOOKUP($A456,UASCAN!D:F,3,0), AND($K456=TRUE,$L456=FALSE),VLOOKUP($A456,UASCAN!D:F,3,0))</f>
        <v/>
      </c>
      <c r="N456" s="53" t="str">
        <f t="shared" si="2"/>
        <v> </v>
      </c>
      <c r="O456" s="53" t="str">
        <f t="shared" si="3"/>
        <v/>
      </c>
    </row>
    <row r="457">
      <c r="A457" s="47" t="str">
        <f t="shared" si="1"/>
        <v>1147644578</v>
      </c>
      <c r="B457" s="48">
        <v>11476.0</v>
      </c>
      <c r="C457" s="49">
        <v>0.6354166666666666</v>
      </c>
      <c r="D457" s="48" t="s">
        <v>970</v>
      </c>
      <c r="E457" s="50">
        <v>29766.0</v>
      </c>
      <c r="F457" s="51">
        <v>44578.0</v>
      </c>
      <c r="G457" s="48" t="s">
        <v>5</v>
      </c>
      <c r="H457" s="48" t="s">
        <v>6218</v>
      </c>
      <c r="I457" s="48" t="s">
        <v>6222</v>
      </c>
      <c r="J457" s="48" t="s">
        <v>6146</v>
      </c>
      <c r="K457" s="52" t="b">
        <f>IFS($B457=FALSE,"", countif(VLOOKUP($A457,UASCAN!D:D,1,FALSE),$A457)&gt;=1,TRUE,countif(VLOOKUP($B457,UASCAN!D:D,1,FALSE),$B457)=0,FALSE)</f>
        <v>0</v>
      </c>
      <c r="L457" s="52" t="b">
        <f>IFS(B457=FALSE,"", countif(VLOOKUP($B457,'01172022'!B:B,1,FALSE),$B457)&gt;=1,TRUE,countif(VLOOKUP($B457,'01172022'!B:B,1,FALSE),$B457)=0,FALSE)</f>
        <v>1</v>
      </c>
      <c r="M457" s="52" t="str">
        <f>ifs(AND($K457=FALSE,$L457=TRUE),"",AND($K457=FALSE,L457=FALSE),"",AND($K457=TRUE,$L457=TRUE),VLOOKUP($A457,UASCAN!D:F,3,0), AND($K457=TRUE,$L457=FALSE),VLOOKUP($A457,UASCAN!D:F,3,0))</f>
        <v/>
      </c>
      <c r="N457" s="53" t="str">
        <f t="shared" si="2"/>
        <v> </v>
      </c>
      <c r="O457" s="53" t="str">
        <f t="shared" si="3"/>
        <v/>
      </c>
    </row>
    <row r="458">
      <c r="A458" s="47" t="str">
        <f t="shared" si="1"/>
        <v>1698344578</v>
      </c>
      <c r="B458" s="48">
        <v>16983.0</v>
      </c>
      <c r="C458" s="49">
        <v>0.6458333333333334</v>
      </c>
      <c r="D458" s="48" t="s">
        <v>5112</v>
      </c>
      <c r="E458" s="50">
        <v>33550.0</v>
      </c>
      <c r="F458" s="51">
        <v>44578.0</v>
      </c>
      <c r="G458" s="48" t="s">
        <v>5</v>
      </c>
      <c r="H458" s="48" t="s">
        <v>6211</v>
      </c>
      <c r="I458" s="48" t="s">
        <v>6212</v>
      </c>
      <c r="J458" s="48" t="s">
        <v>6154</v>
      </c>
      <c r="K458" s="52" t="b">
        <f>IFS($B458=FALSE,"", countif(VLOOKUP($A458,UASCAN!D:D,1,FALSE),$A458)&gt;=1,TRUE,countif(VLOOKUP($B458,UASCAN!D:D,1,FALSE),$B458)=0,FALSE)</f>
        <v>0</v>
      </c>
      <c r="L458" s="52" t="b">
        <f>IFS(B458=FALSE,"", countif(VLOOKUP($B458,'01172022'!B:B,1,FALSE),$B458)&gt;=1,TRUE,countif(VLOOKUP($B458,'01172022'!B:B,1,FALSE),$B458)=0,FALSE)</f>
        <v>1</v>
      </c>
      <c r="M458" s="52" t="str">
        <f>ifs(AND($K458=FALSE,$L458=TRUE),"",AND($K458=FALSE,L458=FALSE),"",AND($K458=TRUE,$L458=TRUE),VLOOKUP($A458,UASCAN!D:F,3,0), AND($K458=TRUE,$L458=FALSE),VLOOKUP($A458,UASCAN!D:F,3,0))</f>
        <v/>
      </c>
      <c r="N458" s="53" t="str">
        <f t="shared" si="2"/>
        <v> </v>
      </c>
      <c r="O458" s="53" t="str">
        <f t="shared" si="3"/>
        <v/>
      </c>
    </row>
    <row r="459">
      <c r="A459" s="47" t="str">
        <f t="shared" si="1"/>
        <v>1032744578</v>
      </c>
      <c r="B459" s="48">
        <v>10327.0</v>
      </c>
      <c r="C459" s="49">
        <v>0.6458333333333334</v>
      </c>
      <c r="D459" s="48" t="s">
        <v>497</v>
      </c>
      <c r="E459" s="50">
        <v>18737.0</v>
      </c>
      <c r="F459" s="51">
        <v>44578.0</v>
      </c>
      <c r="G459" s="48" t="s">
        <v>6216</v>
      </c>
      <c r="H459" s="48" t="s">
        <v>6211</v>
      </c>
      <c r="I459" s="48" t="s">
        <v>6221</v>
      </c>
      <c r="J459" s="48" t="s">
        <v>6189</v>
      </c>
      <c r="K459" s="52" t="b">
        <f>IFS($B459=FALSE,"", countif(VLOOKUP($A459,UASCAN!D:D,1,FALSE),$A459)&gt;=1,TRUE,countif(VLOOKUP($B459,UASCAN!D:D,1,FALSE),$B459)=0,FALSE)</f>
        <v>0</v>
      </c>
      <c r="L459" s="52" t="b">
        <f>IFS(B459=FALSE,"", countif(VLOOKUP($B459,'01172022'!B:B,1,FALSE),$B459)&gt;=1,TRUE,countif(VLOOKUP($B459,'01172022'!B:B,1,FALSE),$B459)=0,FALSE)</f>
        <v>1</v>
      </c>
      <c r="M459" s="52" t="str">
        <f>ifs(AND($K459=FALSE,$L459=TRUE),"",AND($K459=FALSE,L459=FALSE),"",AND($K459=TRUE,$L459=TRUE),VLOOKUP($A459,UASCAN!D:F,3,0), AND($K459=TRUE,$L459=FALSE),VLOOKUP($A459,UASCAN!D:F,3,0))</f>
        <v/>
      </c>
      <c r="N459" s="53" t="str">
        <f t="shared" si="2"/>
        <v> </v>
      </c>
      <c r="O459" s="53" t="str">
        <f t="shared" si="3"/>
        <v/>
      </c>
    </row>
    <row r="460">
      <c r="A460" s="47" t="str">
        <f t="shared" si="1"/>
        <v>1591444578</v>
      </c>
      <c r="B460" s="48">
        <v>15914.0</v>
      </c>
      <c r="C460" s="49">
        <v>0.6458333333333334</v>
      </c>
      <c r="D460" s="48" t="s">
        <v>4265</v>
      </c>
      <c r="E460" s="50">
        <v>21149.0</v>
      </c>
      <c r="F460" s="51">
        <v>44578.0</v>
      </c>
      <c r="G460" s="48" t="s">
        <v>5</v>
      </c>
      <c r="H460" s="48" t="s">
        <v>6218</v>
      </c>
      <c r="I460" s="48" t="s">
        <v>6222</v>
      </c>
      <c r="J460" s="48" t="s">
        <v>6091</v>
      </c>
      <c r="K460" s="52" t="b">
        <f>IFS($B460=FALSE,"", countif(VLOOKUP($A460,UASCAN!D:D,1,FALSE),$A460)&gt;=1,TRUE,countif(VLOOKUP($B460,UASCAN!D:D,1,FALSE),$B460)=0,FALSE)</f>
        <v>0</v>
      </c>
      <c r="L460" s="52" t="b">
        <f>IFS(B460=FALSE,"", countif(VLOOKUP($B460,'01172022'!B:B,1,FALSE),$B460)&gt;=1,TRUE,countif(VLOOKUP($B460,'01172022'!B:B,1,FALSE),$B460)=0,FALSE)</f>
        <v>1</v>
      </c>
      <c r="M460" s="52" t="str">
        <f>ifs(AND($K460=FALSE,$L460=TRUE),"",AND($K460=FALSE,L460=FALSE),"",AND($K460=TRUE,$L460=TRUE),VLOOKUP($A460,UASCAN!D:F,3,0), AND($K460=TRUE,$L460=FALSE),VLOOKUP($A460,UASCAN!D:F,3,0))</f>
        <v/>
      </c>
      <c r="N460" s="53" t="str">
        <f t="shared" si="2"/>
        <v> </v>
      </c>
      <c r="O460" s="53" t="str">
        <f t="shared" si="3"/>
        <v/>
      </c>
    </row>
    <row r="461">
      <c r="A461" s="47" t="str">
        <f t="shared" si="1"/>
        <v>1619644579</v>
      </c>
      <c r="B461" s="48">
        <v>16196.0</v>
      </c>
      <c r="C461" s="49">
        <v>0.3125</v>
      </c>
      <c r="D461" s="48" t="s">
        <v>4506</v>
      </c>
      <c r="E461" s="50">
        <v>17763.0</v>
      </c>
      <c r="F461" s="51">
        <v>44579.0</v>
      </c>
      <c r="G461" s="48" t="s">
        <v>6216</v>
      </c>
      <c r="H461" s="48" t="s">
        <v>6211</v>
      </c>
      <c r="I461" s="48" t="s">
        <v>6212</v>
      </c>
      <c r="J461" s="48" t="s">
        <v>6190</v>
      </c>
      <c r="K461" s="52" t="b">
        <f>IFS($B461=FALSE,"", countif(VLOOKUP($A461,UASCAN!D:D,1,FALSE),$A461)&gt;=1,TRUE,countif(VLOOKUP($B461,UASCAN!D:D,1,FALSE),$B461)=0,FALSE)</f>
        <v>0</v>
      </c>
      <c r="L461" s="52" t="b">
        <f>IFS(B461=FALSE,"", countif(VLOOKUP($B461,'01182022'!B:B,1,FALSE),$B461)&gt;=1,TRUE,countif(VLOOKUP($B461,'01182022'!B:B,1,FALSE),$B461)=0,FALSE)</f>
        <v>1</v>
      </c>
      <c r="M461" s="52" t="str">
        <f>ifs(AND($K461=FALSE,$L461=TRUE),"",AND($K461=FALSE,L461=FALSE),"",AND($K461=TRUE,$L461=TRUE),VLOOKUP($A461,UASCAN!D:F,3,0), AND($K461=TRUE,$L461=FALSE),VLOOKUP($A461,UASCAN!D:F,3,0))</f>
        <v/>
      </c>
      <c r="N461" s="53" t="str">
        <f t="shared" si="2"/>
        <v> </v>
      </c>
      <c r="O461" s="53" t="str">
        <f t="shared" si="3"/>
        <v/>
      </c>
    </row>
    <row r="462">
      <c r="A462" s="47" t="str">
        <f t="shared" si="1"/>
        <v>1393644579</v>
      </c>
      <c r="B462" s="48">
        <v>13936.0</v>
      </c>
      <c r="C462" s="49">
        <v>0.34375</v>
      </c>
      <c r="D462" s="48" t="s">
        <v>2621</v>
      </c>
      <c r="E462" s="50">
        <v>32726.0</v>
      </c>
      <c r="F462" s="51">
        <v>44579.0</v>
      </c>
      <c r="G462" s="48" t="s">
        <v>5</v>
      </c>
      <c r="H462" s="48" t="s">
        <v>6218</v>
      </c>
      <c r="I462" s="48" t="s">
        <v>6222</v>
      </c>
      <c r="J462" s="48" t="s">
        <v>6199</v>
      </c>
      <c r="K462" s="52" t="b">
        <f>IFS($B462=FALSE,"", countif(VLOOKUP($A462,UASCAN!D:D,1,FALSE),$A462)&gt;=1,TRUE,countif(VLOOKUP($B462,UASCAN!D:D,1,FALSE),$B462)=0,FALSE)</f>
        <v>0</v>
      </c>
      <c r="L462" s="52" t="b">
        <f>IFS(B462=FALSE,"", countif(VLOOKUP($B462,'01182022'!B:B,1,FALSE),$B462)&gt;=1,TRUE,countif(VLOOKUP($B462,'01182022'!B:B,1,FALSE),$B462)=0,FALSE)</f>
        <v>1</v>
      </c>
      <c r="M462" s="52" t="str">
        <f>ifs(AND($K462=FALSE,$L462=TRUE),"",AND($K462=FALSE,L462=FALSE),"",AND($K462=TRUE,$L462=TRUE),VLOOKUP($A462,UASCAN!D:F,3,0), AND($K462=TRUE,$L462=FALSE),VLOOKUP($A462,UASCAN!D:F,3,0))</f>
        <v/>
      </c>
      <c r="N462" s="53" t="str">
        <f t="shared" si="2"/>
        <v> </v>
      </c>
      <c r="O462" s="53" t="str">
        <f t="shared" si="3"/>
        <v/>
      </c>
    </row>
    <row r="463">
      <c r="A463" s="47" t="str">
        <f t="shared" si="1"/>
        <v>1793044579</v>
      </c>
      <c r="B463" s="48">
        <v>17930.0</v>
      </c>
      <c r="C463" s="49">
        <v>0.34375</v>
      </c>
      <c r="D463" s="48" t="s">
        <v>6045</v>
      </c>
      <c r="E463" s="50">
        <v>21107.0</v>
      </c>
      <c r="F463" s="51">
        <v>44579.0</v>
      </c>
      <c r="G463" s="48" t="s">
        <v>6213</v>
      </c>
      <c r="H463" s="48" t="s">
        <v>6211</v>
      </c>
      <c r="I463" s="48" t="s">
        <v>6212</v>
      </c>
      <c r="J463" s="48" t="s">
        <v>6082</v>
      </c>
      <c r="K463" s="52" t="b">
        <f>IFS($B463=FALSE,"", countif(VLOOKUP($A463,UASCAN!D:D,1,FALSE),$A463)&gt;=1,TRUE,countif(VLOOKUP($B463,UASCAN!D:D,1,FALSE),$B463)=0,FALSE)</f>
        <v>0</v>
      </c>
      <c r="L463" s="52" t="b">
        <f>IFS(B463=FALSE,"", countif(VLOOKUP($B463,'01182022'!B:B,1,FALSE),$B463)&gt;=1,TRUE,countif(VLOOKUP($B463,'01182022'!B:B,1,FALSE),$B463)=0,FALSE)</f>
        <v>1</v>
      </c>
      <c r="M463" s="52" t="str">
        <f>ifs(AND($K463=FALSE,$L463=TRUE),"",AND($K463=FALSE,L463=FALSE),"",AND($K463=TRUE,$L463=TRUE),VLOOKUP($A463,UASCAN!D:F,3,0), AND($K463=TRUE,$L463=FALSE),VLOOKUP($A463,UASCAN!D:F,3,0))</f>
        <v/>
      </c>
      <c r="N463" s="53" t="str">
        <f t="shared" si="2"/>
        <v> </v>
      </c>
      <c r="O463" s="53" t="str">
        <f t="shared" si="3"/>
        <v/>
      </c>
    </row>
    <row r="464">
      <c r="A464" s="47" t="str">
        <f t="shared" si="1"/>
        <v>1785744579</v>
      </c>
      <c r="B464" s="48">
        <v>17857.0</v>
      </c>
      <c r="C464" s="49">
        <v>0.34375</v>
      </c>
      <c r="D464" s="48" t="s">
        <v>6028</v>
      </c>
      <c r="E464" s="50">
        <v>23488.0</v>
      </c>
      <c r="F464" s="51">
        <v>44579.0</v>
      </c>
      <c r="G464" s="48" t="s">
        <v>6213</v>
      </c>
      <c r="H464" s="48" t="s">
        <v>6211</v>
      </c>
      <c r="I464" s="48" t="s">
        <v>6212</v>
      </c>
      <c r="J464" s="48" t="s">
        <v>6091</v>
      </c>
      <c r="K464" s="52" t="b">
        <f>IFS($B464=FALSE,"", countif(VLOOKUP($A464,UASCAN!D:D,1,FALSE),$A464)&gt;=1,TRUE,countif(VLOOKUP($B464,UASCAN!D:D,1,FALSE),$B464)=0,FALSE)</f>
        <v>0</v>
      </c>
      <c r="L464" s="52" t="b">
        <f>IFS(B464=FALSE,"", countif(VLOOKUP($B464,'01182022'!B:B,1,FALSE),$B464)&gt;=1,TRUE,countif(VLOOKUP($B464,'01182022'!B:B,1,FALSE),$B464)=0,FALSE)</f>
        <v>1</v>
      </c>
      <c r="M464" s="52" t="str">
        <f>ifs(AND($K464=FALSE,$L464=TRUE),"",AND($K464=FALSE,L464=FALSE),"",AND($K464=TRUE,$L464=TRUE),VLOOKUP($A464,UASCAN!D:F,3,0), AND($K464=TRUE,$L464=FALSE),VLOOKUP($A464,UASCAN!D:F,3,0))</f>
        <v/>
      </c>
      <c r="N464" s="53" t="str">
        <f t="shared" si="2"/>
        <v> </v>
      </c>
      <c r="O464" s="53" t="str">
        <f t="shared" si="3"/>
        <v/>
      </c>
    </row>
    <row r="465">
      <c r="A465" s="47" t="str">
        <f t="shared" si="1"/>
        <v>1030044579</v>
      </c>
      <c r="B465" s="48">
        <v>10300.0</v>
      </c>
      <c r="C465" s="49">
        <v>0.3541666666666667</v>
      </c>
      <c r="D465" s="48" t="s">
        <v>486</v>
      </c>
      <c r="E465" s="50">
        <v>30761.0</v>
      </c>
      <c r="F465" s="51">
        <v>44579.0</v>
      </c>
      <c r="G465" s="48" t="s">
        <v>6216</v>
      </c>
      <c r="H465" s="48" t="s">
        <v>6218</v>
      </c>
      <c r="I465" s="48" t="s">
        <v>6222</v>
      </c>
      <c r="J465" s="48" t="s">
        <v>6139</v>
      </c>
      <c r="K465" s="52" t="b">
        <f>IFS($B465=FALSE,"", countif(VLOOKUP($A465,UASCAN!D:D,1,FALSE),$A465)&gt;=1,TRUE,countif(VLOOKUP($B465,UASCAN!D:D,1,FALSE),$B465)=0,FALSE)</f>
        <v>0</v>
      </c>
      <c r="L465" s="52" t="b">
        <f>IFS(B465=FALSE,"", countif(VLOOKUP($B465,'01182022'!B:B,1,FALSE),$B465)&gt;=1,TRUE,countif(VLOOKUP($B465,'01182022'!B:B,1,FALSE),$B465)=0,FALSE)</f>
        <v>1</v>
      </c>
      <c r="M465" s="52" t="str">
        <f>ifs(AND($K465=FALSE,$L465=TRUE),"",AND($K465=FALSE,L465=FALSE),"",AND($K465=TRUE,$L465=TRUE),VLOOKUP($A465,UASCAN!D:F,3,0), AND($K465=TRUE,$L465=FALSE),VLOOKUP($A465,UASCAN!D:F,3,0))</f>
        <v/>
      </c>
      <c r="N465" s="53" t="str">
        <f t="shared" si="2"/>
        <v> </v>
      </c>
      <c r="O465" s="53" t="str">
        <f t="shared" si="3"/>
        <v/>
      </c>
    </row>
    <row r="466">
      <c r="A466" s="47" t="str">
        <f t="shared" si="1"/>
        <v>1708944579</v>
      </c>
      <c r="B466" s="48">
        <v>17089.0</v>
      </c>
      <c r="C466" s="49">
        <v>0.3645833333333333</v>
      </c>
      <c r="D466" s="48" t="s">
        <v>5195</v>
      </c>
      <c r="E466" s="50">
        <v>18082.0</v>
      </c>
      <c r="F466" s="51">
        <v>44579.0</v>
      </c>
      <c r="G466" s="48" t="s">
        <v>6216</v>
      </c>
      <c r="H466" s="48" t="s">
        <v>6218</v>
      </c>
      <c r="I466" s="48" t="s">
        <v>6222</v>
      </c>
      <c r="J466" s="48" t="s">
        <v>6193</v>
      </c>
      <c r="K466" s="52" t="b">
        <f>IFS($B466=FALSE,"", countif(VLOOKUP($A466,UASCAN!D:D,1,FALSE),$A466)&gt;=1,TRUE,countif(VLOOKUP($B466,UASCAN!D:D,1,FALSE),$B466)=0,FALSE)</f>
        <v>0</v>
      </c>
      <c r="L466" s="52" t="b">
        <f>IFS(B466=FALSE,"", countif(VLOOKUP($B466,'01182022'!B:B,1,FALSE),$B466)&gt;=1,TRUE,countif(VLOOKUP($B466,'01182022'!B:B,1,FALSE),$B466)=0,FALSE)</f>
        <v>1</v>
      </c>
      <c r="M466" s="52" t="str">
        <f>ifs(AND($K466=FALSE,$L466=TRUE),"",AND($K466=FALSE,L466=FALSE),"",AND($K466=TRUE,$L466=TRUE),VLOOKUP($A466,UASCAN!D:F,3,0), AND($K466=TRUE,$L466=FALSE),VLOOKUP($A466,UASCAN!D:F,3,0))</f>
        <v/>
      </c>
      <c r="N466" s="53" t="str">
        <f t="shared" si="2"/>
        <v> </v>
      </c>
      <c r="O466" s="53" t="str">
        <f t="shared" si="3"/>
        <v/>
      </c>
    </row>
    <row r="467">
      <c r="A467" s="47" t="str">
        <f t="shared" si="1"/>
        <v>1790344579</v>
      </c>
      <c r="B467" s="48">
        <v>17903.0</v>
      </c>
      <c r="C467" s="49">
        <v>0.3645833333333333</v>
      </c>
      <c r="D467" s="48" t="s">
        <v>6042</v>
      </c>
      <c r="E467" s="50">
        <v>12274.0</v>
      </c>
      <c r="F467" s="51">
        <v>44579.0</v>
      </c>
      <c r="G467" s="48" t="s">
        <v>6213</v>
      </c>
      <c r="H467" s="48" t="s">
        <v>6211</v>
      </c>
      <c r="I467" s="48" t="s">
        <v>6212</v>
      </c>
      <c r="J467" s="48" t="s">
        <v>6127</v>
      </c>
      <c r="K467" s="52" t="b">
        <f>IFS($B467=FALSE,"", countif(VLOOKUP($A467,UASCAN!D:D,1,FALSE),$A467)&gt;=1,TRUE,countif(VLOOKUP($B467,UASCAN!D:D,1,FALSE),$B467)=0,FALSE)</f>
        <v>0</v>
      </c>
      <c r="L467" s="52" t="b">
        <f>IFS(B467=FALSE,"", countif(VLOOKUP($B467,'01182022'!B:B,1,FALSE),$B467)&gt;=1,TRUE,countif(VLOOKUP($B467,'01182022'!B:B,1,FALSE),$B467)=0,FALSE)</f>
        <v>1</v>
      </c>
      <c r="M467" s="52" t="str">
        <f>ifs(AND($K467=FALSE,$L467=TRUE),"",AND($K467=FALSE,L467=FALSE),"",AND($K467=TRUE,$L467=TRUE),VLOOKUP($A467,UASCAN!D:F,3,0), AND($K467=TRUE,$L467=FALSE),VLOOKUP($A467,UASCAN!D:F,3,0))</f>
        <v/>
      </c>
      <c r="N467" s="53" t="str">
        <f t="shared" si="2"/>
        <v> </v>
      </c>
      <c r="O467" s="53" t="str">
        <f t="shared" si="3"/>
        <v/>
      </c>
    </row>
    <row r="468">
      <c r="A468" s="47" t="str">
        <f t="shared" si="1"/>
        <v>1788844579</v>
      </c>
      <c r="B468" s="48">
        <v>17888.0</v>
      </c>
      <c r="C468" s="49">
        <v>0.3645833333333333</v>
      </c>
      <c r="D468" s="48" t="s">
        <v>6038</v>
      </c>
      <c r="E468" s="50">
        <v>14755.0</v>
      </c>
      <c r="F468" s="51">
        <v>44579.0</v>
      </c>
      <c r="G468" s="48" t="s">
        <v>6213</v>
      </c>
      <c r="H468" s="48" t="s">
        <v>6211</v>
      </c>
      <c r="I468" s="48" t="s">
        <v>6212</v>
      </c>
      <c r="J468" s="48" t="s">
        <v>6082</v>
      </c>
      <c r="K468" s="52" t="b">
        <f>IFS($B468=FALSE,"", countif(VLOOKUP($A468,UASCAN!D:D,1,FALSE),$A468)&gt;=1,TRUE,countif(VLOOKUP($B468,UASCAN!D:D,1,FALSE),$B468)=0,FALSE)</f>
        <v>0</v>
      </c>
      <c r="L468" s="52" t="b">
        <f>IFS(B468=FALSE,"", countif(VLOOKUP($B468,'01182022'!B:B,1,FALSE),$B468)&gt;=1,TRUE,countif(VLOOKUP($B468,'01182022'!B:B,1,FALSE),$B468)=0,FALSE)</f>
        <v>1</v>
      </c>
      <c r="M468" s="52" t="str">
        <f>ifs(AND($K468=FALSE,$L468=TRUE),"",AND($K468=FALSE,L468=FALSE),"",AND($K468=TRUE,$L468=TRUE),VLOOKUP($A468,UASCAN!D:F,3,0), AND($K468=TRUE,$L468=FALSE),VLOOKUP($A468,UASCAN!D:F,3,0))</f>
        <v/>
      </c>
      <c r="N468" s="53" t="str">
        <f t="shared" si="2"/>
        <v> </v>
      </c>
      <c r="O468" s="53" t="str">
        <f t="shared" si="3"/>
        <v/>
      </c>
    </row>
    <row r="469">
      <c r="A469" s="47" t="str">
        <f t="shared" si="1"/>
        <v>920044579</v>
      </c>
      <c r="B469" s="48">
        <v>9200.0</v>
      </c>
      <c r="C469" s="49">
        <v>0.3645833333333333</v>
      </c>
      <c r="D469" s="48" t="s">
        <v>5809</v>
      </c>
      <c r="E469" s="50">
        <v>22540.0</v>
      </c>
      <c r="F469" s="51">
        <v>44579.0</v>
      </c>
      <c r="G469" s="48" t="s">
        <v>6215</v>
      </c>
      <c r="H469" s="48" t="s">
        <v>6211</v>
      </c>
      <c r="I469" s="48" t="s">
        <v>6212</v>
      </c>
      <c r="J469" s="48" t="s">
        <v>6117</v>
      </c>
      <c r="K469" s="52" t="b">
        <f>IFS($B469=FALSE,"", countif(VLOOKUP($A469,UASCAN!D:D,1,FALSE),$A469)&gt;=1,TRUE,countif(VLOOKUP($B469,UASCAN!D:D,1,FALSE),$B469)=0,FALSE)</f>
        <v>0</v>
      </c>
      <c r="L469" s="52" t="b">
        <f>IFS(B469=FALSE,"", countif(VLOOKUP($B469,'01182022'!B:B,1,FALSE),$B469)&gt;=1,TRUE,countif(VLOOKUP($B469,'01182022'!B:B,1,FALSE),$B469)=0,FALSE)</f>
        <v>1</v>
      </c>
      <c r="M469" s="52" t="str">
        <f>ifs(AND($K469=FALSE,$L469=TRUE),"",AND($K469=FALSE,L469=FALSE),"",AND($K469=TRUE,$L469=TRUE),VLOOKUP($A469,UASCAN!D:F,3,0), AND($K469=TRUE,$L469=FALSE),VLOOKUP($A469,UASCAN!D:F,3,0))</f>
        <v/>
      </c>
      <c r="N469" s="53" t="str">
        <f t="shared" si="2"/>
        <v> </v>
      </c>
      <c r="O469" s="53" t="str">
        <f t="shared" si="3"/>
        <v/>
      </c>
    </row>
    <row r="470">
      <c r="A470" s="47" t="str">
        <f t="shared" si="1"/>
        <v>1581344579</v>
      </c>
      <c r="B470" s="48">
        <v>15813.0</v>
      </c>
      <c r="C470" s="49">
        <v>0.375</v>
      </c>
      <c r="D470" s="48" t="s">
        <v>4171</v>
      </c>
      <c r="E470" s="50">
        <v>21691.0</v>
      </c>
      <c r="F470" s="51">
        <v>44579.0</v>
      </c>
      <c r="G470" s="48" t="s">
        <v>6216</v>
      </c>
      <c r="H470" s="48" t="s">
        <v>6211</v>
      </c>
      <c r="I470" s="48" t="s">
        <v>6221</v>
      </c>
      <c r="J470" s="48" t="s">
        <v>6192</v>
      </c>
      <c r="K470" s="52" t="b">
        <f>IFS($B470=FALSE,"", countif(VLOOKUP($A470,UASCAN!D:D,1,FALSE),$A470)&gt;=1,TRUE,countif(VLOOKUP($B470,UASCAN!D:D,1,FALSE),$B470)=0,FALSE)</f>
        <v>0</v>
      </c>
      <c r="L470" s="52" t="b">
        <f>IFS(B470=FALSE,"", countif(VLOOKUP($B470,'01182022'!B:B,1,FALSE),$B470)&gt;=1,TRUE,countif(VLOOKUP($B470,'01182022'!B:B,1,FALSE),$B470)=0,FALSE)</f>
        <v>1</v>
      </c>
      <c r="M470" s="52" t="str">
        <f>ifs(AND($K470=FALSE,$L470=TRUE),"",AND($K470=FALSE,L470=FALSE),"",AND($K470=TRUE,$L470=TRUE),VLOOKUP($A470,UASCAN!D:F,3,0), AND($K470=TRUE,$L470=FALSE),VLOOKUP($A470,UASCAN!D:F,3,0))</f>
        <v/>
      </c>
      <c r="N470" s="53" t="str">
        <f t="shared" si="2"/>
        <v> </v>
      </c>
      <c r="O470" s="53" t="str">
        <f t="shared" si="3"/>
        <v/>
      </c>
    </row>
    <row r="471">
      <c r="A471" s="47" t="str">
        <f t="shared" si="1"/>
        <v>1577444579</v>
      </c>
      <c r="B471" s="48">
        <v>15774.0</v>
      </c>
      <c r="C471" s="49">
        <v>0.375</v>
      </c>
      <c r="D471" s="48" t="s">
        <v>3931</v>
      </c>
      <c r="E471" s="50">
        <v>22495.0</v>
      </c>
      <c r="F471" s="51">
        <v>44579.0</v>
      </c>
      <c r="G471" s="48" t="s">
        <v>6216</v>
      </c>
      <c r="H471" s="48" t="s">
        <v>6218</v>
      </c>
      <c r="I471" s="48" t="s">
        <v>6222</v>
      </c>
      <c r="J471" s="48" t="s">
        <v>6142</v>
      </c>
      <c r="K471" s="52" t="b">
        <f>IFS($B471=FALSE,"", countif(VLOOKUP($A471,UASCAN!D:D,1,FALSE),$A471)&gt;=1,TRUE,countif(VLOOKUP($B471,UASCAN!D:D,1,FALSE),$B471)=0,FALSE)</f>
        <v>0</v>
      </c>
      <c r="L471" s="52" t="b">
        <f>IFS(B471=FALSE,"", countif(VLOOKUP($B471,'01182022'!B:B,1,FALSE),$B471)&gt;=1,TRUE,countif(VLOOKUP($B471,'01182022'!B:B,1,FALSE),$B471)=0,FALSE)</f>
        <v>1</v>
      </c>
      <c r="M471" s="52" t="str">
        <f>ifs(AND($K471=FALSE,$L471=TRUE),"",AND($K471=FALSE,L471=FALSE),"",AND($K471=TRUE,$L471=TRUE),VLOOKUP($A471,UASCAN!D:F,3,0), AND($K471=TRUE,$L471=FALSE),VLOOKUP($A471,UASCAN!D:F,3,0))</f>
        <v/>
      </c>
      <c r="N471" s="53" t="str">
        <f t="shared" si="2"/>
        <v> </v>
      </c>
      <c r="O471" s="53" t="str">
        <f t="shared" si="3"/>
        <v/>
      </c>
    </row>
    <row r="472">
      <c r="A472" s="47" t="str">
        <f t="shared" si="1"/>
        <v>1047844579</v>
      </c>
      <c r="B472" s="48">
        <v>10478.0</v>
      </c>
      <c r="C472" s="49">
        <v>0.40625</v>
      </c>
      <c r="D472" s="48" t="s">
        <v>563</v>
      </c>
      <c r="E472" s="50">
        <v>21138.0</v>
      </c>
      <c r="F472" s="51">
        <v>44579.0</v>
      </c>
      <c r="G472" s="48" t="s">
        <v>6216</v>
      </c>
      <c r="H472" s="48" t="s">
        <v>6218</v>
      </c>
      <c r="I472" s="48" t="s">
        <v>6222</v>
      </c>
      <c r="J472" s="48" t="s">
        <v>6194</v>
      </c>
      <c r="K472" s="52" t="b">
        <f>IFS($B472=FALSE,"", countif(VLOOKUP($A472,UASCAN!D:D,1,FALSE),$A472)&gt;=1,TRUE,countif(VLOOKUP($B472,UASCAN!D:D,1,FALSE),$B472)=0,FALSE)</f>
        <v>0</v>
      </c>
      <c r="L472" s="52" t="b">
        <f>IFS(B472=FALSE,"", countif(VLOOKUP($B472,'01182022'!B:B,1,FALSE),$B472)&gt;=1,TRUE,countif(VLOOKUP($B472,'01182022'!B:B,1,FALSE),$B472)=0,FALSE)</f>
        <v>1</v>
      </c>
      <c r="M472" s="52" t="str">
        <f>ifs(AND($K472=FALSE,$L472=TRUE),"",AND($K472=FALSE,L472=FALSE),"",AND($K472=TRUE,$L472=TRUE),VLOOKUP($A472,UASCAN!D:F,3,0), AND($K472=TRUE,$L472=FALSE),VLOOKUP($A472,UASCAN!D:F,3,0))</f>
        <v/>
      </c>
      <c r="N472" s="53" t="str">
        <f t="shared" si="2"/>
        <v> </v>
      </c>
      <c r="O472" s="53" t="str">
        <f t="shared" si="3"/>
        <v/>
      </c>
    </row>
    <row r="473">
      <c r="A473" s="47" t="str">
        <f t="shared" si="1"/>
        <v>961144579</v>
      </c>
      <c r="B473" s="48">
        <v>9611.0</v>
      </c>
      <c r="C473" s="49">
        <v>0.4166666666666667</v>
      </c>
      <c r="D473" s="48" t="s">
        <v>233</v>
      </c>
      <c r="E473" s="50">
        <v>19130.0</v>
      </c>
      <c r="F473" s="51">
        <v>44579.0</v>
      </c>
      <c r="G473" s="48" t="s">
        <v>6216</v>
      </c>
      <c r="H473" s="48" t="s">
        <v>6211</v>
      </c>
      <c r="I473" s="48" t="s">
        <v>6212</v>
      </c>
      <c r="J473" s="48" t="s">
        <v>6189</v>
      </c>
      <c r="K473" s="52" t="b">
        <f>IFS($B473=FALSE,"", countif(VLOOKUP($A473,UASCAN!D:D,1,FALSE),$A473)&gt;=1,TRUE,countif(VLOOKUP($B473,UASCAN!D:D,1,FALSE),$B473)=0,FALSE)</f>
        <v>0</v>
      </c>
      <c r="L473" s="52" t="b">
        <f>IFS(B473=FALSE,"", countif(VLOOKUP($B473,'01182022'!B:B,1,FALSE),$B473)&gt;=1,TRUE,countif(VLOOKUP($B473,'01182022'!B:B,1,FALSE),$B473)=0,FALSE)</f>
        <v>1</v>
      </c>
      <c r="M473" s="52" t="str">
        <f>ifs(AND($K473=FALSE,$L473=TRUE),"",AND($K473=FALSE,L473=FALSE),"",AND($K473=TRUE,$L473=TRUE),VLOOKUP($A473,UASCAN!D:F,3,0), AND($K473=TRUE,$L473=FALSE),VLOOKUP($A473,UASCAN!D:F,3,0))</f>
        <v/>
      </c>
      <c r="N473" s="53" t="str">
        <f t="shared" si="2"/>
        <v> </v>
      </c>
      <c r="O473" s="53" t="str">
        <f t="shared" si="3"/>
        <v/>
      </c>
    </row>
    <row r="474">
      <c r="A474" s="47" t="str">
        <f t="shared" si="1"/>
        <v>1574844579</v>
      </c>
      <c r="B474" s="48">
        <v>15748.0</v>
      </c>
      <c r="C474" s="49">
        <v>0.4166666666666667</v>
      </c>
      <c r="D474" s="48" t="s">
        <v>4115</v>
      </c>
      <c r="E474" s="50">
        <v>22492.0</v>
      </c>
      <c r="F474" s="51">
        <v>44579.0</v>
      </c>
      <c r="G474" s="48" t="s">
        <v>6216</v>
      </c>
      <c r="H474" s="48" t="s">
        <v>6211</v>
      </c>
      <c r="I474" s="48" t="s">
        <v>6212</v>
      </c>
      <c r="J474" s="48" t="s">
        <v>6142</v>
      </c>
      <c r="K474" s="52" t="b">
        <f>IFS($B474=FALSE,"", countif(VLOOKUP($A474,UASCAN!D:D,1,FALSE),$A474)&gt;=1,TRUE,countif(VLOOKUP($B474,UASCAN!D:D,1,FALSE),$B474)=0,FALSE)</f>
        <v>0</v>
      </c>
      <c r="L474" s="52" t="b">
        <f>IFS(B474=FALSE,"", countif(VLOOKUP($B474,'01182022'!B:B,1,FALSE),$B474)&gt;=1,TRUE,countif(VLOOKUP($B474,'01182022'!B:B,1,FALSE),$B474)=0,FALSE)</f>
        <v>1</v>
      </c>
      <c r="M474" s="52" t="str">
        <f>ifs(AND($K474=FALSE,$L474=TRUE),"",AND($K474=FALSE,L474=FALSE),"",AND($K474=TRUE,$L474=TRUE),VLOOKUP($A474,UASCAN!D:F,3,0), AND($K474=TRUE,$L474=FALSE),VLOOKUP($A474,UASCAN!D:F,3,0))</f>
        <v/>
      </c>
      <c r="N474" s="53" t="str">
        <f t="shared" si="2"/>
        <v> </v>
      </c>
      <c r="O474" s="53" t="str">
        <f t="shared" si="3"/>
        <v/>
      </c>
    </row>
    <row r="475">
      <c r="A475" s="47" t="str">
        <f t="shared" si="1"/>
        <v>1782244579</v>
      </c>
      <c r="B475" s="48">
        <v>17822.0</v>
      </c>
      <c r="C475" s="49">
        <v>0.4166666666666667</v>
      </c>
      <c r="D475" s="48" t="s">
        <v>6027</v>
      </c>
      <c r="E475" s="50">
        <v>28711.0</v>
      </c>
      <c r="F475" s="51">
        <v>44579.0</v>
      </c>
      <c r="G475" s="48" t="s">
        <v>6213</v>
      </c>
      <c r="H475" s="48" t="s">
        <v>6211</v>
      </c>
      <c r="I475" s="48" t="s">
        <v>6212</v>
      </c>
      <c r="J475" s="48" t="s">
        <v>6117</v>
      </c>
      <c r="K475" s="52" t="b">
        <f>IFS($B475=FALSE,"", countif(VLOOKUP($A475,UASCAN!D:D,1,FALSE),$A475)&gt;=1,TRUE,countif(VLOOKUP($B475,UASCAN!D:D,1,FALSE),$B475)=0,FALSE)</f>
        <v>0</v>
      </c>
      <c r="L475" s="52" t="b">
        <f>IFS(B475=FALSE,"", countif(VLOOKUP($B475,'01182022'!B:B,1,FALSE),$B475)&gt;=1,TRUE,countif(VLOOKUP($B475,'01182022'!B:B,1,FALSE),$B475)=0,FALSE)</f>
        <v>1</v>
      </c>
      <c r="M475" s="52" t="str">
        <f>ifs(AND($K475=FALSE,$L475=TRUE),"",AND($K475=FALSE,L475=FALSE),"",AND($K475=TRUE,$L475=TRUE),VLOOKUP($A475,UASCAN!D:F,3,0), AND($K475=TRUE,$L475=FALSE),VLOOKUP($A475,UASCAN!D:F,3,0))</f>
        <v/>
      </c>
      <c r="N475" s="53" t="str">
        <f t="shared" si="2"/>
        <v> </v>
      </c>
      <c r="O475" s="53" t="str">
        <f t="shared" si="3"/>
        <v/>
      </c>
    </row>
    <row r="476">
      <c r="A476" s="47" t="str">
        <f t="shared" si="1"/>
        <v>1010044579</v>
      </c>
      <c r="B476" s="48">
        <v>10100.0</v>
      </c>
      <c r="C476" s="49">
        <v>0.4166666666666667</v>
      </c>
      <c r="D476" s="48" t="s">
        <v>413</v>
      </c>
      <c r="E476" s="50">
        <v>21315.0</v>
      </c>
      <c r="F476" s="51">
        <v>44579.0</v>
      </c>
      <c r="G476" s="48" t="s">
        <v>6215</v>
      </c>
      <c r="H476" s="48" t="s">
        <v>6218</v>
      </c>
      <c r="I476" s="48" t="s">
        <v>6222</v>
      </c>
      <c r="J476" s="48" t="s">
        <v>6158</v>
      </c>
      <c r="K476" s="52" t="b">
        <f>IFS($B476=FALSE,"", countif(VLOOKUP($A476,UASCAN!D:D,1,FALSE),$A476)&gt;=1,TRUE,countif(VLOOKUP($B476,UASCAN!D:D,1,FALSE),$B476)=0,FALSE)</f>
        <v>0</v>
      </c>
      <c r="L476" s="52" t="b">
        <f>IFS(B476=FALSE,"", countif(VLOOKUP($B476,'01182022'!B:B,1,FALSE),$B476)&gt;=1,TRUE,countif(VLOOKUP($B476,'01182022'!B:B,1,FALSE),$B476)=0,FALSE)</f>
        <v>1</v>
      </c>
      <c r="M476" s="52" t="str">
        <f>ifs(AND($K476=FALSE,$L476=TRUE),"",AND($K476=FALSE,L476=FALSE),"",AND($K476=TRUE,$L476=TRUE),VLOOKUP($A476,UASCAN!D:F,3,0), AND($K476=TRUE,$L476=FALSE),VLOOKUP($A476,UASCAN!D:F,3,0))</f>
        <v/>
      </c>
      <c r="N476" s="53" t="str">
        <f t="shared" si="2"/>
        <v> </v>
      </c>
      <c r="O476" s="53" t="str">
        <f t="shared" si="3"/>
        <v/>
      </c>
    </row>
    <row r="477">
      <c r="A477" s="47" t="str">
        <f t="shared" si="1"/>
        <v>1552444579</v>
      </c>
      <c r="B477" s="48">
        <v>15524.0</v>
      </c>
      <c r="C477" s="49">
        <v>0.4270833333333333</v>
      </c>
      <c r="D477" s="48" t="s">
        <v>3909</v>
      </c>
      <c r="E477" s="50">
        <v>19310.0</v>
      </c>
      <c r="F477" s="51">
        <v>44579.0</v>
      </c>
      <c r="G477" s="48" t="s">
        <v>6220</v>
      </c>
      <c r="H477" s="48" t="s">
        <v>6218</v>
      </c>
      <c r="I477" s="48" t="s">
        <v>6222</v>
      </c>
      <c r="J477" s="48" t="s">
        <v>6196</v>
      </c>
      <c r="K477" s="52" t="b">
        <f>IFS($B477=FALSE,"", countif(VLOOKUP($A477,UASCAN!D:D,1,FALSE),$A477)&gt;=1,TRUE,countif(VLOOKUP($B477,UASCAN!D:D,1,FALSE),$B477)=0,FALSE)</f>
        <v>0</v>
      </c>
      <c r="L477" s="52" t="b">
        <f>IFS(B477=FALSE,"", countif(VLOOKUP($B477,'01182022'!B:B,1,FALSE),$B477)&gt;=1,TRUE,countif(VLOOKUP($B477,'01182022'!B:B,1,FALSE),$B477)=0,FALSE)</f>
        <v>1</v>
      </c>
      <c r="M477" s="52" t="str">
        <f>ifs(AND($K477=FALSE,$L477=TRUE),"",AND($K477=FALSE,L477=FALSE),"",AND($K477=TRUE,$L477=TRUE),VLOOKUP($A477,UASCAN!D:F,3,0), AND($K477=TRUE,$L477=FALSE),VLOOKUP($A477,UASCAN!D:F,3,0))</f>
        <v/>
      </c>
      <c r="N477" s="53" t="str">
        <f t="shared" si="2"/>
        <v> </v>
      </c>
      <c r="O477" s="53" t="str">
        <f t="shared" si="3"/>
        <v/>
      </c>
    </row>
    <row r="478">
      <c r="A478" s="47" t="str">
        <f t="shared" si="1"/>
        <v>1135744579</v>
      </c>
      <c r="B478" s="48">
        <v>11357.0</v>
      </c>
      <c r="C478" s="49">
        <v>0.4375</v>
      </c>
      <c r="D478" s="48" t="s">
        <v>919</v>
      </c>
      <c r="E478" s="50">
        <v>14592.0</v>
      </c>
      <c r="F478" s="51">
        <v>44579.0</v>
      </c>
      <c r="G478" s="48" t="s">
        <v>5</v>
      </c>
      <c r="H478" s="48" t="s">
        <v>6218</v>
      </c>
      <c r="I478" s="48" t="s">
        <v>6222</v>
      </c>
      <c r="J478" s="48" t="s">
        <v>6137</v>
      </c>
      <c r="K478" s="52" t="b">
        <f>IFS($B478=FALSE,"", countif(VLOOKUP($A478,UASCAN!D:D,1,FALSE),$A478)&gt;=1,TRUE,countif(VLOOKUP($B478,UASCAN!D:D,1,FALSE),$B478)=0,FALSE)</f>
        <v>0</v>
      </c>
      <c r="L478" s="52" t="b">
        <f>IFS(B478=FALSE,"", countif(VLOOKUP($B478,'01182022'!B:B,1,FALSE),$B478)&gt;=1,TRUE,countif(VLOOKUP($B478,'01182022'!B:B,1,FALSE),$B478)=0,FALSE)</f>
        <v>1</v>
      </c>
      <c r="M478" s="52" t="str">
        <f>ifs(AND($K478=FALSE,$L478=TRUE),"",AND($K478=FALSE,L478=FALSE),"",AND($K478=TRUE,$L478=TRUE),VLOOKUP($A478,UASCAN!D:F,3,0), AND($K478=TRUE,$L478=FALSE),VLOOKUP($A478,UASCAN!D:F,3,0))</f>
        <v/>
      </c>
      <c r="N478" s="53" t="str">
        <f t="shared" si="2"/>
        <v> </v>
      </c>
      <c r="O478" s="53" t="str">
        <f t="shared" si="3"/>
        <v/>
      </c>
    </row>
    <row r="479">
      <c r="A479" s="47" t="str">
        <f t="shared" si="1"/>
        <v>1664144579</v>
      </c>
      <c r="B479" s="48">
        <v>16641.0</v>
      </c>
      <c r="C479" s="49">
        <v>0.4479166666666667</v>
      </c>
      <c r="D479" s="48" t="s">
        <v>4842</v>
      </c>
      <c r="E479" s="50">
        <v>23406.0</v>
      </c>
      <c r="F479" s="51">
        <v>44579.0</v>
      </c>
      <c r="G479" s="48" t="s">
        <v>6216</v>
      </c>
      <c r="H479" s="48" t="s">
        <v>6211</v>
      </c>
      <c r="I479" s="48" t="s">
        <v>6212</v>
      </c>
      <c r="J479" s="48" t="s">
        <v>6139</v>
      </c>
      <c r="K479" s="52" t="b">
        <f>IFS($B479=FALSE,"", countif(VLOOKUP($A479,UASCAN!D:D,1,FALSE),$A479)&gt;=1,TRUE,countif(VLOOKUP($B479,UASCAN!D:D,1,FALSE),$B479)=0,FALSE)</f>
        <v>0</v>
      </c>
      <c r="L479" s="52" t="b">
        <f>IFS(B479=FALSE,"", countif(VLOOKUP($B479,'01182022'!B:B,1,FALSE),$B479)&gt;=1,TRUE,countif(VLOOKUP($B479,'01182022'!B:B,1,FALSE),$B479)=0,FALSE)</f>
        <v>1</v>
      </c>
      <c r="M479" s="52" t="str">
        <f>ifs(AND($K479=FALSE,$L479=TRUE),"",AND($K479=FALSE,L479=FALSE),"",AND($K479=TRUE,$L479=TRUE),VLOOKUP($A479,UASCAN!D:F,3,0), AND($K479=TRUE,$L479=FALSE),VLOOKUP($A479,UASCAN!D:F,3,0))</f>
        <v/>
      </c>
      <c r="N479" s="53" t="str">
        <f t="shared" si="2"/>
        <v> </v>
      </c>
      <c r="O479" s="53" t="str">
        <f t="shared" si="3"/>
        <v/>
      </c>
    </row>
    <row r="480">
      <c r="A480" s="47" t="str">
        <f t="shared" si="1"/>
        <v>1152244579</v>
      </c>
      <c r="B480" s="48">
        <v>11522.0</v>
      </c>
      <c r="C480" s="49">
        <v>0.4479166666666667</v>
      </c>
      <c r="D480" s="48" t="s">
        <v>994</v>
      </c>
      <c r="E480" s="50">
        <v>29351.0</v>
      </c>
      <c r="F480" s="51">
        <v>44579.0</v>
      </c>
      <c r="G480" s="48" t="s">
        <v>5</v>
      </c>
      <c r="H480" s="48" t="s">
        <v>6218</v>
      </c>
      <c r="I480" s="48" t="s">
        <v>6222</v>
      </c>
      <c r="J480" s="48" t="s">
        <v>6154</v>
      </c>
      <c r="K480" s="52" t="b">
        <f>IFS($B480=FALSE,"", countif(VLOOKUP($A480,UASCAN!D:D,1,FALSE),$A480)&gt;=1,TRUE,countif(VLOOKUP($B480,UASCAN!D:D,1,FALSE),$B480)=0,FALSE)</f>
        <v>0</v>
      </c>
      <c r="L480" s="52" t="b">
        <f>IFS(B480=FALSE,"", countif(VLOOKUP($B480,'01182022'!B:B,1,FALSE),$B480)&gt;=1,TRUE,countif(VLOOKUP($B480,'01182022'!B:B,1,FALSE),$B480)=0,FALSE)</f>
        <v>1</v>
      </c>
      <c r="M480" s="52" t="str">
        <f>ifs(AND($K480=FALSE,$L480=TRUE),"",AND($K480=FALSE,L480=FALSE),"",AND($K480=TRUE,$L480=TRUE),VLOOKUP($A480,UASCAN!D:F,3,0), AND($K480=TRUE,$L480=FALSE),VLOOKUP($A480,UASCAN!D:F,3,0))</f>
        <v/>
      </c>
      <c r="N480" s="53" t="str">
        <f t="shared" si="2"/>
        <v> </v>
      </c>
      <c r="O480" s="53" t="str">
        <f t="shared" si="3"/>
        <v/>
      </c>
    </row>
    <row r="481">
      <c r="A481" s="47" t="str">
        <f t="shared" si="1"/>
        <v>1721444579</v>
      </c>
      <c r="B481" s="48">
        <v>17214.0</v>
      </c>
      <c r="C481" s="49">
        <v>0.4479166666666667</v>
      </c>
      <c r="D481" s="48" t="s">
        <v>5298</v>
      </c>
      <c r="E481" s="50">
        <v>27931.0</v>
      </c>
      <c r="F481" s="51">
        <v>44579.0</v>
      </c>
      <c r="G481" s="48" t="s">
        <v>6213</v>
      </c>
      <c r="H481" s="48" t="s">
        <v>6211</v>
      </c>
      <c r="I481" s="48" t="s">
        <v>6212</v>
      </c>
      <c r="J481" s="48" t="s">
        <v>6099</v>
      </c>
      <c r="K481" s="52" t="b">
        <f>IFS($B481=FALSE,"", countif(VLOOKUP($A481,UASCAN!D:D,1,FALSE),$A481)&gt;=1,TRUE,countif(VLOOKUP($B481,UASCAN!D:D,1,FALSE),$B481)=0,FALSE)</f>
        <v>0</v>
      </c>
      <c r="L481" s="52" t="b">
        <f>IFS(B481=FALSE,"", countif(VLOOKUP($B481,'01182022'!B:B,1,FALSE),$B481)&gt;=1,TRUE,countif(VLOOKUP($B481,'01182022'!B:B,1,FALSE),$B481)=0,FALSE)</f>
        <v>1</v>
      </c>
      <c r="M481" s="52" t="str">
        <f>ifs(AND($K481=FALSE,$L481=TRUE),"",AND($K481=FALSE,L481=FALSE),"",AND($K481=TRUE,$L481=TRUE),VLOOKUP($A481,UASCAN!D:F,3,0), AND($K481=TRUE,$L481=FALSE),VLOOKUP($A481,UASCAN!D:F,3,0))</f>
        <v/>
      </c>
      <c r="N481" s="53" t="str">
        <f t="shared" si="2"/>
        <v> </v>
      </c>
      <c r="O481" s="53" t="str">
        <f t="shared" si="3"/>
        <v/>
      </c>
    </row>
    <row r="482">
      <c r="A482" s="47" t="str">
        <f t="shared" si="1"/>
        <v>1788444579</v>
      </c>
      <c r="B482" s="48">
        <v>17884.0</v>
      </c>
      <c r="C482" s="49">
        <v>0.4479166666666667</v>
      </c>
      <c r="D482" s="48" t="s">
        <v>6036</v>
      </c>
      <c r="E482" s="50">
        <v>22699.0</v>
      </c>
      <c r="F482" s="51">
        <v>44579.0</v>
      </c>
      <c r="G482" s="48" t="s">
        <v>6213</v>
      </c>
      <c r="H482" s="48" t="s">
        <v>6211</v>
      </c>
      <c r="I482" s="48" t="s">
        <v>6212</v>
      </c>
      <c r="J482" s="48" t="s">
        <v>6116</v>
      </c>
      <c r="K482" s="52" t="b">
        <f>IFS($B482=FALSE,"", countif(VLOOKUP($A482,UASCAN!D:D,1,FALSE),$A482)&gt;=1,TRUE,countif(VLOOKUP($B482,UASCAN!D:D,1,FALSE),$B482)=0,FALSE)</f>
        <v>0</v>
      </c>
      <c r="L482" s="52" t="b">
        <f>IFS(B482=FALSE,"", countif(VLOOKUP($B482,'01182022'!B:B,1,FALSE),$B482)&gt;=1,TRUE,countif(VLOOKUP($B482,'01182022'!B:B,1,FALSE),$B482)=0,FALSE)</f>
        <v>1</v>
      </c>
      <c r="M482" s="52" t="str">
        <f>ifs(AND($K482=FALSE,$L482=TRUE),"",AND($K482=FALSE,L482=FALSE),"",AND($K482=TRUE,$L482=TRUE),VLOOKUP($A482,UASCAN!D:F,3,0), AND($K482=TRUE,$L482=FALSE),VLOOKUP($A482,UASCAN!D:F,3,0))</f>
        <v/>
      </c>
      <c r="N482" s="53" t="str">
        <f t="shared" si="2"/>
        <v> </v>
      </c>
      <c r="O482" s="53" t="str">
        <f t="shared" si="3"/>
        <v/>
      </c>
    </row>
    <row r="483">
      <c r="A483" s="47" t="str">
        <f t="shared" si="1"/>
        <v>994544579</v>
      </c>
      <c r="B483" s="48">
        <v>9945.0</v>
      </c>
      <c r="C483" s="49">
        <v>0.4583333333333333</v>
      </c>
      <c r="D483" s="48" t="s">
        <v>6019</v>
      </c>
      <c r="E483" s="50">
        <v>21443.0</v>
      </c>
      <c r="F483" s="51">
        <v>44579.0</v>
      </c>
      <c r="G483" s="48" t="s">
        <v>6215</v>
      </c>
      <c r="H483" s="48" t="s">
        <v>6218</v>
      </c>
      <c r="I483" s="48" t="s">
        <v>6222</v>
      </c>
      <c r="J483" s="48" t="s">
        <v>6199</v>
      </c>
      <c r="K483" s="52" t="b">
        <f>IFS($B483=FALSE,"", countif(VLOOKUP($A483,UASCAN!D:D,1,FALSE),$A483)&gt;=1,TRUE,countif(VLOOKUP($B483,UASCAN!D:D,1,FALSE),$B483)=0,FALSE)</f>
        <v>0</v>
      </c>
      <c r="L483" s="52" t="b">
        <f>IFS(B483=FALSE,"", countif(VLOOKUP($B483,'01182022'!B:B,1,FALSE),$B483)&gt;=1,TRUE,countif(VLOOKUP($B483,'01182022'!B:B,1,FALSE),$B483)=0,FALSE)</f>
        <v>1</v>
      </c>
      <c r="M483" s="52" t="str">
        <f>ifs(AND($K483=FALSE,$L483=TRUE),"",AND($K483=FALSE,L483=FALSE),"",AND($K483=TRUE,$L483=TRUE),VLOOKUP($A483,UASCAN!D:F,3,0), AND($K483=TRUE,$L483=FALSE),VLOOKUP($A483,UASCAN!D:F,3,0))</f>
        <v/>
      </c>
      <c r="N483" s="53" t="str">
        <f t="shared" si="2"/>
        <v> </v>
      </c>
      <c r="O483" s="53" t="str">
        <f t="shared" si="3"/>
        <v/>
      </c>
    </row>
    <row r="484">
      <c r="A484" s="47" t="str">
        <f t="shared" si="1"/>
        <v>1785144579</v>
      </c>
      <c r="B484" s="48">
        <v>17851.0</v>
      </c>
      <c r="C484" s="49">
        <v>0.46875</v>
      </c>
      <c r="D484" s="48" t="s">
        <v>6024</v>
      </c>
      <c r="E484" s="50">
        <v>23405.0</v>
      </c>
      <c r="F484" s="51">
        <v>44579.0</v>
      </c>
      <c r="G484" s="48" t="s">
        <v>6213</v>
      </c>
      <c r="H484" s="48" t="s">
        <v>6211</v>
      </c>
      <c r="I484" s="48" t="s">
        <v>6212</v>
      </c>
      <c r="J484" s="48" t="s">
        <v>6084</v>
      </c>
      <c r="K484" s="52" t="b">
        <f>IFS($B484=FALSE,"", countif(VLOOKUP($A484,UASCAN!D:D,1,FALSE),$A484)&gt;=1,TRUE,countif(VLOOKUP($B484,UASCAN!D:D,1,FALSE),$B484)=0,FALSE)</f>
        <v>0</v>
      </c>
      <c r="L484" s="52" t="b">
        <f>IFS(B484=FALSE,"", countif(VLOOKUP($B484,'01182022'!B:B,1,FALSE),$B484)&gt;=1,TRUE,countif(VLOOKUP($B484,'01182022'!B:B,1,FALSE),$B484)=0,FALSE)</f>
        <v>1</v>
      </c>
      <c r="M484" s="52" t="str">
        <f>ifs(AND($K484=FALSE,$L484=TRUE),"",AND($K484=FALSE,L484=FALSE),"",AND($K484=TRUE,$L484=TRUE),VLOOKUP($A484,UASCAN!D:F,3,0), AND($K484=TRUE,$L484=FALSE),VLOOKUP($A484,UASCAN!D:F,3,0))</f>
        <v/>
      </c>
      <c r="N484" s="53" t="str">
        <f t="shared" si="2"/>
        <v> </v>
      </c>
      <c r="O484" s="53" t="str">
        <f t="shared" si="3"/>
        <v/>
      </c>
    </row>
    <row r="485">
      <c r="A485" s="47" t="str">
        <f t="shared" si="1"/>
        <v>1789644579</v>
      </c>
      <c r="B485" s="48">
        <v>17896.0</v>
      </c>
      <c r="C485" s="49">
        <v>0.46875</v>
      </c>
      <c r="D485" s="48" t="s">
        <v>6039</v>
      </c>
      <c r="E485" s="50">
        <v>19176.0</v>
      </c>
      <c r="F485" s="51">
        <v>44579.0</v>
      </c>
      <c r="G485" s="48" t="s">
        <v>6213</v>
      </c>
      <c r="H485" s="48" t="s">
        <v>6211</v>
      </c>
      <c r="I485" s="48" t="s">
        <v>6212</v>
      </c>
      <c r="J485" s="48" t="s">
        <v>6101</v>
      </c>
      <c r="K485" s="52" t="b">
        <f>IFS($B485=FALSE,"", countif(VLOOKUP($A485,UASCAN!D:D,1,FALSE),$A485)&gt;=1,TRUE,countif(VLOOKUP($B485,UASCAN!D:D,1,FALSE),$B485)=0,FALSE)</f>
        <v>0</v>
      </c>
      <c r="L485" s="52" t="b">
        <f>IFS(B485=FALSE,"", countif(VLOOKUP($B485,'01182022'!B:B,1,FALSE),$B485)&gt;=1,TRUE,countif(VLOOKUP($B485,'01182022'!B:B,1,FALSE),$B485)=0,FALSE)</f>
        <v>1</v>
      </c>
      <c r="M485" s="52" t="str">
        <f>ifs(AND($K485=FALSE,$L485=TRUE),"",AND($K485=FALSE,L485=FALSE),"",AND($K485=TRUE,$L485=TRUE),VLOOKUP($A485,UASCAN!D:F,3,0), AND($K485=TRUE,$L485=FALSE),VLOOKUP($A485,UASCAN!D:F,3,0))</f>
        <v/>
      </c>
      <c r="N485" s="53" t="str">
        <f t="shared" si="2"/>
        <v> </v>
      </c>
      <c r="O485" s="53" t="str">
        <f t="shared" si="3"/>
        <v/>
      </c>
    </row>
    <row r="486">
      <c r="A486" s="47" t="str">
        <f t="shared" si="1"/>
        <v>913644579</v>
      </c>
      <c r="B486" s="48">
        <v>9136.0</v>
      </c>
      <c r="C486" s="49">
        <v>0.5416666666666666</v>
      </c>
      <c r="D486" s="48" t="s">
        <v>26</v>
      </c>
      <c r="E486" s="50">
        <v>20601.0</v>
      </c>
      <c r="F486" s="51">
        <v>44579.0</v>
      </c>
      <c r="G486" s="48" t="s">
        <v>6216</v>
      </c>
      <c r="H486" s="48" t="s">
        <v>6218</v>
      </c>
      <c r="I486" s="48" t="s">
        <v>6222</v>
      </c>
      <c r="J486" s="48" t="s">
        <v>6189</v>
      </c>
      <c r="K486" s="52" t="b">
        <f>IFS($B486=FALSE,"", countif(VLOOKUP($A486,UASCAN!D:D,1,FALSE),$A486)&gt;=1,TRUE,countif(VLOOKUP($B486,UASCAN!D:D,1,FALSE),$B486)=0,FALSE)</f>
        <v>0</v>
      </c>
      <c r="L486" s="52" t="b">
        <f>IFS(B486=FALSE,"", countif(VLOOKUP($B486,'01182022'!B:B,1,FALSE),$B486)&gt;=1,TRUE,countif(VLOOKUP($B486,'01182022'!B:B,1,FALSE),$B486)=0,FALSE)</f>
        <v>1</v>
      </c>
      <c r="M486" s="52" t="str">
        <f>ifs(AND($K486=FALSE,$L486=TRUE),"",AND($K486=FALSE,L486=FALSE),"",AND($K486=TRUE,$L486=TRUE),VLOOKUP($A486,UASCAN!D:F,3,0), AND($K486=TRUE,$L486=FALSE),VLOOKUP($A486,UASCAN!D:F,3,0))</f>
        <v/>
      </c>
      <c r="N486" s="53" t="str">
        <f t="shared" si="2"/>
        <v> </v>
      </c>
      <c r="O486" s="53" t="str">
        <f t="shared" si="3"/>
        <v/>
      </c>
    </row>
    <row r="487">
      <c r="A487" s="47" t="str">
        <f t="shared" si="1"/>
        <v>1790044579</v>
      </c>
      <c r="B487" s="48">
        <v>17900.0</v>
      </c>
      <c r="C487" s="49">
        <v>0.5416666666666666</v>
      </c>
      <c r="D487" s="48" t="s">
        <v>6040</v>
      </c>
      <c r="E487" s="50">
        <v>25539.0</v>
      </c>
      <c r="F487" s="51">
        <v>44579.0</v>
      </c>
      <c r="G487" s="48" t="s">
        <v>6214</v>
      </c>
      <c r="H487" s="48" t="s">
        <v>6211</v>
      </c>
      <c r="I487" s="48" t="s">
        <v>6212</v>
      </c>
      <c r="J487" s="48" t="s">
        <v>6142</v>
      </c>
      <c r="K487" s="52" t="b">
        <f>IFS($B487=FALSE,"", countif(VLOOKUP($A487,UASCAN!D:D,1,FALSE),$A487)&gt;=1,TRUE,countif(VLOOKUP($B487,UASCAN!D:D,1,FALSE),$B487)=0,FALSE)</f>
        <v>0</v>
      </c>
      <c r="L487" s="52" t="b">
        <f>IFS(B487=FALSE,"", countif(VLOOKUP($B487,'01182022'!B:B,1,FALSE),$B487)&gt;=1,TRUE,countif(VLOOKUP($B487,'01182022'!B:B,1,FALSE),$B487)=0,FALSE)</f>
        <v>1</v>
      </c>
      <c r="M487" s="52" t="str">
        <f>ifs(AND($K487=FALSE,$L487=TRUE),"",AND($K487=FALSE,L487=FALSE),"",AND($K487=TRUE,$L487=TRUE),VLOOKUP($A487,UASCAN!D:F,3,0), AND($K487=TRUE,$L487=FALSE),VLOOKUP($A487,UASCAN!D:F,3,0))</f>
        <v/>
      </c>
      <c r="N487" s="53" t="str">
        <f t="shared" si="2"/>
        <v> </v>
      </c>
      <c r="O487" s="53" t="str">
        <f t="shared" si="3"/>
        <v/>
      </c>
    </row>
    <row r="488">
      <c r="A488" s="47" t="str">
        <f t="shared" si="1"/>
        <v>1788644579</v>
      </c>
      <c r="B488" s="48">
        <v>17886.0</v>
      </c>
      <c r="C488" s="49">
        <v>0.5416666666666666</v>
      </c>
      <c r="D488" s="48" t="s">
        <v>6037</v>
      </c>
      <c r="E488" s="50">
        <v>20387.0</v>
      </c>
      <c r="F488" s="51">
        <v>44579.0</v>
      </c>
      <c r="G488" s="48" t="s">
        <v>6214</v>
      </c>
      <c r="H488" s="48" t="s">
        <v>6211</v>
      </c>
      <c r="I488" s="48" t="s">
        <v>6212</v>
      </c>
      <c r="J488" s="48" t="s">
        <v>6196</v>
      </c>
      <c r="K488" s="52" t="b">
        <f>IFS($B488=FALSE,"", countif(VLOOKUP($A488,UASCAN!D:D,1,FALSE),$A488)&gt;=1,TRUE,countif(VLOOKUP($B488,UASCAN!D:D,1,FALSE),$B488)=0,FALSE)</f>
        <v>0</v>
      </c>
      <c r="L488" s="52" t="b">
        <f>IFS(B488=FALSE,"", countif(VLOOKUP($B488,'01182022'!B:B,1,FALSE),$B488)&gt;=1,TRUE,countif(VLOOKUP($B488,'01182022'!B:B,1,FALSE),$B488)=0,FALSE)</f>
        <v>1</v>
      </c>
      <c r="M488" s="52" t="str">
        <f>ifs(AND($K488=FALSE,$L488=TRUE),"",AND($K488=FALSE,L488=FALSE),"",AND($K488=TRUE,$L488=TRUE),VLOOKUP($A488,UASCAN!D:F,3,0), AND($K488=TRUE,$L488=FALSE),VLOOKUP($A488,UASCAN!D:F,3,0))</f>
        <v/>
      </c>
      <c r="N488" s="53" t="str">
        <f t="shared" si="2"/>
        <v> </v>
      </c>
      <c r="O488" s="53" t="str">
        <f t="shared" si="3"/>
        <v/>
      </c>
    </row>
    <row r="489">
      <c r="A489" s="47" t="str">
        <f t="shared" si="1"/>
        <v>1766644579</v>
      </c>
      <c r="B489" s="48">
        <v>17666.0</v>
      </c>
      <c r="C489" s="49">
        <v>0.5625</v>
      </c>
      <c r="D489" s="48" t="s">
        <v>5611</v>
      </c>
      <c r="E489" s="50">
        <v>15904.0</v>
      </c>
      <c r="F489" s="51">
        <v>44579.0</v>
      </c>
      <c r="G489" s="48" t="s">
        <v>6216</v>
      </c>
      <c r="H489" s="48" t="s">
        <v>6211</v>
      </c>
      <c r="I489" s="48" t="s">
        <v>6221</v>
      </c>
      <c r="J489" s="48" t="s">
        <v>6196</v>
      </c>
      <c r="K489" s="52" t="b">
        <f>IFS($B489=FALSE,"", countif(VLOOKUP($A489,UASCAN!D:D,1,FALSE),$A489)&gt;=1,TRUE,countif(VLOOKUP($B489,UASCAN!D:D,1,FALSE),$B489)=0,FALSE)</f>
        <v>0</v>
      </c>
      <c r="L489" s="52" t="b">
        <f>IFS(B489=FALSE,"", countif(VLOOKUP($B489,'01182022'!B:B,1,FALSE),$B489)&gt;=1,TRUE,countif(VLOOKUP($B489,'01182022'!B:B,1,FALSE),$B489)=0,FALSE)</f>
        <v>1</v>
      </c>
      <c r="M489" s="52" t="str">
        <f>ifs(AND($K489=FALSE,$L489=TRUE),"",AND($K489=FALSE,L489=FALSE),"",AND($K489=TRUE,$L489=TRUE),VLOOKUP($A489,UASCAN!D:F,3,0), AND($K489=TRUE,$L489=FALSE),VLOOKUP($A489,UASCAN!D:F,3,0))</f>
        <v/>
      </c>
      <c r="N489" s="53" t="str">
        <f t="shared" si="2"/>
        <v> </v>
      </c>
      <c r="O489" s="53" t="str">
        <f t="shared" si="3"/>
        <v/>
      </c>
    </row>
    <row r="490">
      <c r="A490" s="47" t="str">
        <f t="shared" si="1"/>
        <v>1757244579</v>
      </c>
      <c r="B490" s="48">
        <v>17572.0</v>
      </c>
      <c r="C490" s="49">
        <v>0.5625</v>
      </c>
      <c r="D490" s="48" t="s">
        <v>5902</v>
      </c>
      <c r="E490" s="50">
        <v>16338.0</v>
      </c>
      <c r="F490" s="51">
        <v>44579.0</v>
      </c>
      <c r="G490" s="48" t="s">
        <v>6213</v>
      </c>
      <c r="H490" s="48" t="s">
        <v>6211</v>
      </c>
      <c r="I490" s="48" t="s">
        <v>6212</v>
      </c>
      <c r="J490" s="48" t="s">
        <v>6085</v>
      </c>
      <c r="K490" s="52" t="b">
        <f>IFS($B490=FALSE,"", countif(VLOOKUP($A490,UASCAN!D:D,1,FALSE),$A490)&gt;=1,TRUE,countif(VLOOKUP($B490,UASCAN!D:D,1,FALSE),$B490)=0,FALSE)</f>
        <v>0</v>
      </c>
      <c r="L490" s="52" t="b">
        <f>IFS(B490=FALSE,"", countif(VLOOKUP($B490,'01182022'!B:B,1,FALSE),$B490)&gt;=1,TRUE,countif(VLOOKUP($B490,'01182022'!B:B,1,FALSE),$B490)=0,FALSE)</f>
        <v>1</v>
      </c>
      <c r="M490" s="52" t="str">
        <f>ifs(AND($K490=FALSE,$L490=TRUE),"",AND($K490=FALSE,L490=FALSE),"",AND($K490=TRUE,$L490=TRUE),VLOOKUP($A490,UASCAN!D:F,3,0), AND($K490=TRUE,$L490=FALSE),VLOOKUP($A490,UASCAN!D:F,3,0))</f>
        <v/>
      </c>
      <c r="N490" s="53" t="str">
        <f t="shared" si="2"/>
        <v> </v>
      </c>
      <c r="O490" s="53" t="str">
        <f t="shared" si="3"/>
        <v/>
      </c>
    </row>
    <row r="491">
      <c r="A491" s="47" t="str">
        <f t="shared" si="1"/>
        <v>1600244579</v>
      </c>
      <c r="B491" s="48">
        <v>16002.0</v>
      </c>
      <c r="C491" s="49">
        <v>0.5625</v>
      </c>
      <c r="D491" s="48" t="s">
        <v>4341</v>
      </c>
      <c r="E491" s="50">
        <v>33968.0</v>
      </c>
      <c r="F491" s="51">
        <v>44579.0</v>
      </c>
      <c r="G491" s="48" t="s">
        <v>6215</v>
      </c>
      <c r="H491" s="48" t="s">
        <v>6218</v>
      </c>
      <c r="I491" s="48" t="s">
        <v>6222</v>
      </c>
      <c r="J491" s="48" t="s">
        <v>6082</v>
      </c>
      <c r="K491" s="52" t="b">
        <f>IFS($B491=FALSE,"", countif(VLOOKUP($A491,UASCAN!D:D,1,FALSE),$A491)&gt;=1,TRUE,countif(VLOOKUP($B491,UASCAN!D:D,1,FALSE),$B491)=0,FALSE)</f>
        <v>0</v>
      </c>
      <c r="L491" s="52" t="b">
        <f>IFS(B491=FALSE,"", countif(VLOOKUP($B491,'01182022'!B:B,1,FALSE),$B491)&gt;=1,TRUE,countif(VLOOKUP($B491,'01182022'!B:B,1,FALSE),$B491)=0,FALSE)</f>
        <v>1</v>
      </c>
      <c r="M491" s="52" t="str">
        <f>ifs(AND($K491=FALSE,$L491=TRUE),"",AND($K491=FALSE,L491=FALSE),"",AND($K491=TRUE,$L491=TRUE),VLOOKUP($A491,UASCAN!D:F,3,0), AND($K491=TRUE,$L491=FALSE),VLOOKUP($A491,UASCAN!D:F,3,0))</f>
        <v/>
      </c>
      <c r="N491" s="53" t="str">
        <f t="shared" si="2"/>
        <v> </v>
      </c>
      <c r="O491" s="53" t="str">
        <f t="shared" si="3"/>
        <v/>
      </c>
    </row>
    <row r="492">
      <c r="A492" s="47" t="str">
        <f t="shared" si="1"/>
        <v>1581744579</v>
      </c>
      <c r="B492" s="48">
        <v>15817.0</v>
      </c>
      <c r="C492" s="49">
        <v>0.5729166666666666</v>
      </c>
      <c r="D492" s="48" t="s">
        <v>4174</v>
      </c>
      <c r="E492" s="50">
        <v>31161.0</v>
      </c>
      <c r="F492" s="51">
        <v>44579.0</v>
      </c>
      <c r="G492" s="48" t="s">
        <v>6216</v>
      </c>
      <c r="H492" s="48" t="s">
        <v>6218</v>
      </c>
      <c r="I492" s="48" t="s">
        <v>6222</v>
      </c>
      <c r="J492" s="48" t="s">
        <v>6142</v>
      </c>
      <c r="K492" s="52" t="b">
        <f>IFS($B492=FALSE,"", countif(VLOOKUP($A492,UASCAN!D:D,1,FALSE),$A492)&gt;=1,TRUE,countif(VLOOKUP($B492,UASCAN!D:D,1,FALSE),$B492)=0,FALSE)</f>
        <v>0</v>
      </c>
      <c r="L492" s="52" t="b">
        <f>IFS(B492=FALSE,"", countif(VLOOKUP($B492,'01182022'!B:B,1,FALSE),$B492)&gt;=1,TRUE,countif(VLOOKUP($B492,'01182022'!B:B,1,FALSE),$B492)=0,FALSE)</f>
        <v>1</v>
      </c>
      <c r="M492" s="52" t="str">
        <f>ifs(AND($K492=FALSE,$L492=TRUE),"",AND($K492=FALSE,L492=FALSE),"",AND($K492=TRUE,$L492=TRUE),VLOOKUP($A492,UASCAN!D:F,3,0), AND($K492=TRUE,$L492=FALSE),VLOOKUP($A492,UASCAN!D:F,3,0))</f>
        <v/>
      </c>
      <c r="N492" s="53" t="str">
        <f t="shared" si="2"/>
        <v> </v>
      </c>
      <c r="O492" s="53" t="str">
        <f t="shared" si="3"/>
        <v/>
      </c>
    </row>
    <row r="493">
      <c r="A493" s="47" t="str">
        <f t="shared" si="1"/>
        <v>1589444579</v>
      </c>
      <c r="B493" s="48">
        <v>15894.0</v>
      </c>
      <c r="C493" s="49">
        <v>0.5729166666666666</v>
      </c>
      <c r="D493" s="48" t="s">
        <v>4248</v>
      </c>
      <c r="E493" s="50">
        <v>18114.0</v>
      </c>
      <c r="F493" s="51">
        <v>44579.0</v>
      </c>
      <c r="G493" s="48" t="s">
        <v>6220</v>
      </c>
      <c r="H493" s="48" t="s">
        <v>6211</v>
      </c>
      <c r="I493" s="48" t="s">
        <v>6221</v>
      </c>
      <c r="J493" s="48" t="s">
        <v>6196</v>
      </c>
      <c r="K493" s="52" t="b">
        <f>IFS($B493=FALSE,"", countif(VLOOKUP($A493,UASCAN!D:D,1,FALSE),$A493)&gt;=1,TRUE,countif(VLOOKUP($B493,UASCAN!D:D,1,FALSE),$B493)=0,FALSE)</f>
        <v>0</v>
      </c>
      <c r="L493" s="52" t="b">
        <f>IFS(B493=FALSE,"", countif(VLOOKUP($B493,'01182022'!B:B,1,FALSE),$B493)&gt;=1,TRUE,countif(VLOOKUP($B493,'01182022'!B:B,1,FALSE),$B493)=0,FALSE)</f>
        <v>1</v>
      </c>
      <c r="M493" s="52" t="str">
        <f>ifs(AND($K493=FALSE,$L493=TRUE),"",AND($K493=FALSE,L493=FALSE),"",AND($K493=TRUE,$L493=TRUE),VLOOKUP($A493,UASCAN!D:F,3,0), AND($K493=TRUE,$L493=FALSE),VLOOKUP($A493,UASCAN!D:F,3,0))</f>
        <v/>
      </c>
      <c r="N493" s="53" t="str">
        <f t="shared" si="2"/>
        <v> </v>
      </c>
      <c r="O493" s="53" t="str">
        <f t="shared" si="3"/>
        <v/>
      </c>
    </row>
    <row r="494">
      <c r="A494" s="47" t="str">
        <f t="shared" si="1"/>
        <v>1109344579</v>
      </c>
      <c r="B494" s="48">
        <v>11093.0</v>
      </c>
      <c r="C494" s="49">
        <v>0.5729166666666666</v>
      </c>
      <c r="D494" s="48" t="s">
        <v>808</v>
      </c>
      <c r="E494" s="50">
        <v>22696.0</v>
      </c>
      <c r="F494" s="51">
        <v>44579.0</v>
      </c>
      <c r="G494" s="48" t="s">
        <v>6220</v>
      </c>
      <c r="H494" s="48" t="s">
        <v>6211</v>
      </c>
      <c r="I494" s="48" t="s">
        <v>6221</v>
      </c>
      <c r="J494" s="48" t="s">
        <v>6195</v>
      </c>
      <c r="K494" s="52" t="b">
        <f>IFS($B494=FALSE,"", countif(VLOOKUP($A494,UASCAN!D:D,1,FALSE),$A494)&gt;=1,TRUE,countif(VLOOKUP($B494,UASCAN!D:D,1,FALSE),$B494)=0,FALSE)</f>
        <v>0</v>
      </c>
      <c r="L494" s="52" t="b">
        <f>IFS(B494=FALSE,"", countif(VLOOKUP($B494,'01182022'!B:B,1,FALSE),$B494)&gt;=1,TRUE,countif(VLOOKUP($B494,'01182022'!B:B,1,FALSE),$B494)=0,FALSE)</f>
        <v>1</v>
      </c>
      <c r="M494" s="52" t="str">
        <f>ifs(AND($K494=FALSE,$L494=TRUE),"",AND($K494=FALSE,L494=FALSE),"",AND($K494=TRUE,$L494=TRUE),VLOOKUP($A494,UASCAN!D:F,3,0), AND($K494=TRUE,$L494=FALSE),VLOOKUP($A494,UASCAN!D:F,3,0))</f>
        <v/>
      </c>
      <c r="N494" s="53" t="str">
        <f t="shared" si="2"/>
        <v> </v>
      </c>
      <c r="O494" s="53" t="str">
        <f t="shared" si="3"/>
        <v/>
      </c>
    </row>
    <row r="495">
      <c r="A495" s="47" t="str">
        <f t="shared" si="1"/>
        <v>916944579</v>
      </c>
      <c r="B495" s="48">
        <v>9169.0</v>
      </c>
      <c r="C495" s="49">
        <v>0.5833333333333334</v>
      </c>
      <c r="D495" s="48" t="s">
        <v>53</v>
      </c>
      <c r="E495" s="50">
        <v>16745.0</v>
      </c>
      <c r="F495" s="51">
        <v>44579.0</v>
      </c>
      <c r="G495" s="48" t="s">
        <v>6224</v>
      </c>
      <c r="H495" s="48" t="s">
        <v>6218</v>
      </c>
      <c r="I495" s="48" t="s">
        <v>6222</v>
      </c>
      <c r="J495" s="48" t="s">
        <v>6137</v>
      </c>
      <c r="K495" s="52" t="b">
        <f>IFS($B495=FALSE,"", countif(VLOOKUP($A495,UASCAN!D:D,1,FALSE),$A495)&gt;=1,TRUE,countif(VLOOKUP($B495,UASCAN!D:D,1,FALSE),$B495)=0,FALSE)</f>
        <v>0</v>
      </c>
      <c r="L495" s="52" t="b">
        <f>IFS(B495=FALSE,"", countif(VLOOKUP($B495,'01182022'!B:B,1,FALSE),$B495)&gt;=1,TRUE,countif(VLOOKUP($B495,'01182022'!B:B,1,FALSE),$B495)=0,FALSE)</f>
        <v>1</v>
      </c>
      <c r="M495" s="52" t="str">
        <f>ifs(AND($K495=FALSE,$L495=TRUE),"",AND($K495=FALSE,L495=FALSE),"",AND($K495=TRUE,$L495=TRUE),VLOOKUP($A495,UASCAN!D:F,3,0), AND($K495=TRUE,$L495=FALSE),VLOOKUP($A495,UASCAN!D:F,3,0))</f>
        <v/>
      </c>
      <c r="N495" s="53" t="str">
        <f t="shared" si="2"/>
        <v> </v>
      </c>
      <c r="O495" s="53" t="str">
        <f t="shared" si="3"/>
        <v/>
      </c>
    </row>
    <row r="496">
      <c r="A496" s="47" t="str">
        <f t="shared" si="1"/>
        <v>916544579</v>
      </c>
      <c r="B496" s="48">
        <v>9165.0</v>
      </c>
      <c r="C496" s="49">
        <v>0.5833333333333334</v>
      </c>
      <c r="D496" s="48" t="s">
        <v>51</v>
      </c>
      <c r="E496" s="50">
        <v>29909.0</v>
      </c>
      <c r="F496" s="51">
        <v>44579.0</v>
      </c>
      <c r="G496" s="48" t="s">
        <v>5</v>
      </c>
      <c r="H496" s="48" t="s">
        <v>6218</v>
      </c>
      <c r="I496" s="48" t="s">
        <v>6222</v>
      </c>
      <c r="J496" s="48" t="s">
        <v>6137</v>
      </c>
      <c r="K496" s="52" t="b">
        <f>IFS($B496=FALSE,"", countif(VLOOKUP($A496,UASCAN!D:D,1,FALSE),$A496)&gt;=1,TRUE,countif(VLOOKUP($B496,UASCAN!D:D,1,FALSE),$B496)=0,FALSE)</f>
        <v>0</v>
      </c>
      <c r="L496" s="52" t="b">
        <f>IFS(B496=FALSE,"", countif(VLOOKUP($B496,'01182022'!B:B,1,FALSE),$B496)&gt;=1,TRUE,countif(VLOOKUP($B496,'01182022'!B:B,1,FALSE),$B496)=0,FALSE)</f>
        <v>1</v>
      </c>
      <c r="M496" s="52" t="str">
        <f>ifs(AND($K496=FALSE,$L496=TRUE),"",AND($K496=FALSE,L496=FALSE),"",AND($K496=TRUE,$L496=TRUE),VLOOKUP($A496,UASCAN!D:F,3,0), AND($K496=TRUE,$L496=FALSE),VLOOKUP($A496,UASCAN!D:F,3,0))</f>
        <v/>
      </c>
      <c r="N496" s="53" t="str">
        <f t="shared" si="2"/>
        <v> </v>
      </c>
      <c r="O496" s="53" t="str">
        <f t="shared" si="3"/>
        <v/>
      </c>
    </row>
    <row r="497">
      <c r="A497" s="47" t="str">
        <f t="shared" si="1"/>
        <v>1089844579</v>
      </c>
      <c r="B497" s="48">
        <v>10898.0</v>
      </c>
      <c r="C497" s="49">
        <v>0.59375</v>
      </c>
      <c r="D497" s="48" t="s">
        <v>717</v>
      </c>
      <c r="E497" s="50">
        <v>21418.0</v>
      </c>
      <c r="F497" s="51">
        <v>44579.0</v>
      </c>
      <c r="G497" s="48" t="s">
        <v>6216</v>
      </c>
      <c r="H497" s="48" t="s">
        <v>6211</v>
      </c>
      <c r="I497" s="48" t="s">
        <v>6212</v>
      </c>
      <c r="J497" s="48" t="s">
        <v>6142</v>
      </c>
      <c r="K497" s="52" t="b">
        <f>IFS($B497=FALSE,"", countif(VLOOKUP($A497,UASCAN!D:D,1,FALSE),$A497)&gt;=1,TRUE,countif(VLOOKUP($B497,UASCAN!D:D,1,FALSE),$B497)=0,FALSE)</f>
        <v>0</v>
      </c>
      <c r="L497" s="52" t="b">
        <f>IFS(B497=FALSE,"", countif(VLOOKUP($B497,'01182022'!B:B,1,FALSE),$B497)&gt;=1,TRUE,countif(VLOOKUP($B497,'01182022'!B:B,1,FALSE),$B497)=0,FALSE)</f>
        <v>1</v>
      </c>
      <c r="M497" s="52" t="str">
        <f>ifs(AND($K497=FALSE,$L497=TRUE),"",AND($K497=FALSE,L497=FALSE),"",AND($K497=TRUE,$L497=TRUE),VLOOKUP($A497,UASCAN!D:F,3,0), AND($K497=TRUE,$L497=FALSE),VLOOKUP($A497,UASCAN!D:F,3,0))</f>
        <v/>
      </c>
      <c r="N497" s="53" t="str">
        <f t="shared" si="2"/>
        <v> </v>
      </c>
      <c r="O497" s="53" t="str">
        <f t="shared" si="3"/>
        <v/>
      </c>
    </row>
    <row r="498">
      <c r="A498" s="47" t="str">
        <f t="shared" si="1"/>
        <v>1773544579</v>
      </c>
      <c r="B498" s="48">
        <v>17735.0</v>
      </c>
      <c r="C498" s="49">
        <v>0.59375</v>
      </c>
      <c r="D498" s="48" t="s">
        <v>5883</v>
      </c>
      <c r="E498" s="50">
        <v>21655.0</v>
      </c>
      <c r="F498" s="51">
        <v>44579.0</v>
      </c>
      <c r="G498" s="48" t="s">
        <v>6214</v>
      </c>
      <c r="H498" s="48" t="s">
        <v>6211</v>
      </c>
      <c r="I498" s="48" t="s">
        <v>6212</v>
      </c>
      <c r="J498" s="48" t="s">
        <v>6196</v>
      </c>
      <c r="K498" s="52" t="b">
        <f>IFS($B498=FALSE,"", countif(VLOOKUP($A498,UASCAN!D:D,1,FALSE),$A498)&gt;=1,TRUE,countif(VLOOKUP($B498,UASCAN!D:D,1,FALSE),$B498)=0,FALSE)</f>
        <v>0</v>
      </c>
      <c r="L498" s="52" t="b">
        <f>IFS(B498=FALSE,"", countif(VLOOKUP($B498,'01182022'!B:B,1,FALSE),$B498)&gt;=1,TRUE,countif(VLOOKUP($B498,'01182022'!B:B,1,FALSE),$B498)=0,FALSE)</f>
        <v>1</v>
      </c>
      <c r="M498" s="52" t="str">
        <f>ifs(AND($K498=FALSE,$L498=TRUE),"",AND($K498=FALSE,L498=FALSE),"",AND($K498=TRUE,$L498=TRUE),VLOOKUP($A498,UASCAN!D:F,3,0), AND($K498=TRUE,$L498=FALSE),VLOOKUP($A498,UASCAN!D:F,3,0))</f>
        <v/>
      </c>
      <c r="N498" s="53" t="str">
        <f t="shared" si="2"/>
        <v> </v>
      </c>
      <c r="O498" s="53" t="str">
        <f t="shared" si="3"/>
        <v/>
      </c>
    </row>
    <row r="499">
      <c r="A499" s="47" t="str">
        <f t="shared" si="1"/>
        <v>1787544579</v>
      </c>
      <c r="B499" s="48">
        <v>17875.0</v>
      </c>
      <c r="C499" s="49">
        <v>0.59375</v>
      </c>
      <c r="D499" s="48" t="s">
        <v>6033</v>
      </c>
      <c r="E499" s="50">
        <v>21630.0</v>
      </c>
      <c r="F499" s="51">
        <v>44579.0</v>
      </c>
      <c r="G499" s="48" t="s">
        <v>6214</v>
      </c>
      <c r="H499" s="48" t="s">
        <v>6211</v>
      </c>
      <c r="I499" s="48" t="s">
        <v>6212</v>
      </c>
      <c r="J499" s="48" t="s">
        <v>6142</v>
      </c>
      <c r="K499" s="52" t="b">
        <f>IFS($B499=FALSE,"", countif(VLOOKUP($A499,UASCAN!D:D,1,FALSE),$A499)&gt;=1,TRUE,countif(VLOOKUP($B499,UASCAN!D:D,1,FALSE),$B499)=0,FALSE)</f>
        <v>0</v>
      </c>
      <c r="L499" s="52" t="b">
        <f>IFS(B499=FALSE,"", countif(VLOOKUP($B499,'01182022'!B:B,1,FALSE),$B499)&gt;=1,TRUE,countif(VLOOKUP($B499,'01182022'!B:B,1,FALSE),$B499)=0,FALSE)</f>
        <v>1</v>
      </c>
      <c r="M499" s="52" t="str">
        <f>ifs(AND($K499=FALSE,$L499=TRUE),"",AND($K499=FALSE,L499=FALSE),"",AND($K499=TRUE,$L499=TRUE),VLOOKUP($A499,UASCAN!D:F,3,0), AND($K499=TRUE,$L499=FALSE),VLOOKUP($A499,UASCAN!D:F,3,0))</f>
        <v/>
      </c>
      <c r="N499" s="53" t="str">
        <f t="shared" si="2"/>
        <v> </v>
      </c>
      <c r="O499" s="53" t="str">
        <f t="shared" si="3"/>
        <v/>
      </c>
    </row>
    <row r="500">
      <c r="A500" s="47" t="str">
        <f t="shared" si="1"/>
        <v>1651344579</v>
      </c>
      <c r="B500" s="48">
        <v>16513.0</v>
      </c>
      <c r="C500" s="49">
        <v>0.59375</v>
      </c>
      <c r="D500" s="48" t="s">
        <v>4748</v>
      </c>
      <c r="E500" s="50">
        <v>17670.0</v>
      </c>
      <c r="F500" s="51">
        <v>44579.0</v>
      </c>
      <c r="G500" s="48" t="s">
        <v>6220</v>
      </c>
      <c r="H500" s="48" t="s">
        <v>6211</v>
      </c>
      <c r="I500" s="48" t="s">
        <v>6221</v>
      </c>
      <c r="J500" s="48" t="s">
        <v>6196</v>
      </c>
      <c r="K500" s="52" t="b">
        <f>IFS($B500=FALSE,"", countif(VLOOKUP($A500,UASCAN!D:D,1,FALSE),$A500)&gt;=1,TRUE,countif(VLOOKUP($B500,UASCAN!D:D,1,FALSE),$B500)=0,FALSE)</f>
        <v>0</v>
      </c>
      <c r="L500" s="52" t="b">
        <f>IFS(B500=FALSE,"", countif(VLOOKUP($B500,'01182022'!B:B,1,FALSE),$B500)&gt;=1,TRUE,countif(VLOOKUP($B500,'01182022'!B:B,1,FALSE),$B500)=0,FALSE)</f>
        <v>1</v>
      </c>
      <c r="M500" s="52" t="str">
        <f>ifs(AND($K500=FALSE,$L500=TRUE),"",AND($K500=FALSE,L500=FALSE),"",AND($K500=TRUE,$L500=TRUE),VLOOKUP($A500,UASCAN!D:F,3,0), AND($K500=TRUE,$L500=FALSE),VLOOKUP($A500,UASCAN!D:F,3,0))</f>
        <v/>
      </c>
      <c r="N500" s="53" t="str">
        <f t="shared" si="2"/>
        <v> </v>
      </c>
      <c r="O500" s="53" t="str">
        <f t="shared" si="3"/>
        <v/>
      </c>
    </row>
    <row r="501">
      <c r="A501" s="47" t="str">
        <f t="shared" si="1"/>
        <v>1712744579</v>
      </c>
      <c r="B501" s="48">
        <v>17127.0</v>
      </c>
      <c r="C501" s="49">
        <v>0.59375</v>
      </c>
      <c r="D501" s="48" t="s">
        <v>5228</v>
      </c>
      <c r="E501" s="50">
        <v>20178.0</v>
      </c>
      <c r="F501" s="51">
        <v>44579.0</v>
      </c>
      <c r="G501" s="48" t="s">
        <v>5</v>
      </c>
      <c r="H501" s="48" t="s">
        <v>6218</v>
      </c>
      <c r="I501" s="48" t="s">
        <v>6222</v>
      </c>
      <c r="J501" s="48" t="s">
        <v>6167</v>
      </c>
      <c r="K501" s="52" t="b">
        <f>IFS($B501=FALSE,"", countif(VLOOKUP($A501,UASCAN!D:D,1,FALSE),$A501)&gt;=1,TRUE,countif(VLOOKUP($B501,UASCAN!D:D,1,FALSE),$B501)=0,FALSE)</f>
        <v>0</v>
      </c>
      <c r="L501" s="52" t="b">
        <f>IFS(B501=FALSE,"", countif(VLOOKUP($B501,'01182022'!B:B,1,FALSE),$B501)&gt;=1,TRUE,countif(VLOOKUP($B501,'01182022'!B:B,1,FALSE),$B501)=0,FALSE)</f>
        <v>1</v>
      </c>
      <c r="M501" s="52" t="str">
        <f>ifs(AND($K501=FALSE,$L501=TRUE),"",AND($K501=FALSE,L501=FALSE),"",AND($K501=TRUE,$L501=TRUE),VLOOKUP($A501,UASCAN!D:F,3,0), AND($K501=TRUE,$L501=FALSE),VLOOKUP($A501,UASCAN!D:F,3,0))</f>
        <v/>
      </c>
      <c r="N501" s="53" t="str">
        <f t="shared" si="2"/>
        <v> </v>
      </c>
      <c r="O501" s="53" t="str">
        <f t="shared" si="3"/>
        <v/>
      </c>
    </row>
    <row r="502">
      <c r="A502" s="47" t="str">
        <f t="shared" si="1"/>
        <v>1775144579</v>
      </c>
      <c r="B502" s="48">
        <v>17751.0</v>
      </c>
      <c r="C502" s="49">
        <v>0.59375</v>
      </c>
      <c r="D502" s="48" t="s">
        <v>6043</v>
      </c>
      <c r="E502" s="50">
        <v>23030.0</v>
      </c>
      <c r="F502" s="51">
        <v>44579.0</v>
      </c>
      <c r="G502" s="48" t="s">
        <v>6213</v>
      </c>
      <c r="H502" s="48" t="s">
        <v>6211</v>
      </c>
      <c r="I502" s="48" t="s">
        <v>6212</v>
      </c>
      <c r="J502" s="48" t="s">
        <v>6127</v>
      </c>
      <c r="K502" s="52" t="b">
        <f>IFS($B502=FALSE,"", countif(VLOOKUP($A502,UASCAN!D:D,1,FALSE),$A502)&gt;=1,TRUE,countif(VLOOKUP($B502,UASCAN!D:D,1,FALSE),$B502)=0,FALSE)</f>
        <v>0</v>
      </c>
      <c r="L502" s="52" t="b">
        <f>IFS(B502=FALSE,"", countif(VLOOKUP($B502,'01182022'!B:B,1,FALSE),$B502)&gt;=1,TRUE,countif(VLOOKUP($B502,'01182022'!B:B,1,FALSE),$B502)=0,FALSE)</f>
        <v>1</v>
      </c>
      <c r="M502" s="52" t="str">
        <f>ifs(AND($K502=FALSE,$L502=TRUE),"",AND($K502=FALSE,L502=FALSE),"",AND($K502=TRUE,$L502=TRUE),VLOOKUP($A502,UASCAN!D:F,3,0), AND($K502=TRUE,$L502=FALSE),VLOOKUP($A502,UASCAN!D:F,3,0))</f>
        <v/>
      </c>
      <c r="N502" s="53" t="str">
        <f t="shared" si="2"/>
        <v> </v>
      </c>
      <c r="O502" s="53" t="str">
        <f t="shared" si="3"/>
        <v/>
      </c>
    </row>
    <row r="503">
      <c r="A503" s="47" t="str">
        <f t="shared" si="1"/>
        <v>1469044579</v>
      </c>
      <c r="B503" s="48">
        <v>14690.0</v>
      </c>
      <c r="C503" s="49">
        <v>0.6041666666666666</v>
      </c>
      <c r="D503" s="48" t="s">
        <v>3216</v>
      </c>
      <c r="E503" s="50">
        <v>23183.0</v>
      </c>
      <c r="F503" s="51">
        <v>44579.0</v>
      </c>
      <c r="G503" s="48" t="s">
        <v>6220</v>
      </c>
      <c r="H503" s="48" t="s">
        <v>6211</v>
      </c>
      <c r="I503" s="48" t="s">
        <v>6212</v>
      </c>
      <c r="J503" s="48" t="s">
        <v>6189</v>
      </c>
      <c r="K503" s="52" t="b">
        <f>IFS($B503=FALSE,"", countif(VLOOKUP($A503,UASCAN!D:D,1,FALSE),$A503)&gt;=1,TRUE,countif(VLOOKUP($B503,UASCAN!D:D,1,FALSE),$B503)=0,FALSE)</f>
        <v>0</v>
      </c>
      <c r="L503" s="52" t="b">
        <f>IFS(B503=FALSE,"", countif(VLOOKUP($B503,'01182022'!B:B,1,FALSE),$B503)&gt;=1,TRUE,countif(VLOOKUP($B503,'01182022'!B:B,1,FALSE),$B503)=0,FALSE)</f>
        <v>1</v>
      </c>
      <c r="M503" s="52" t="str">
        <f>ifs(AND($K503=FALSE,$L503=TRUE),"",AND($K503=FALSE,L503=FALSE),"",AND($K503=TRUE,$L503=TRUE),VLOOKUP($A503,UASCAN!D:F,3,0), AND($K503=TRUE,$L503=FALSE),VLOOKUP($A503,UASCAN!D:F,3,0))</f>
        <v/>
      </c>
      <c r="N503" s="53" t="str">
        <f t="shared" si="2"/>
        <v> </v>
      </c>
      <c r="O503" s="53" t="str">
        <f t="shared" si="3"/>
        <v/>
      </c>
    </row>
    <row r="504">
      <c r="A504" s="47" t="str">
        <f t="shared" si="1"/>
        <v>1575344579</v>
      </c>
      <c r="B504" s="48">
        <v>15753.0</v>
      </c>
      <c r="C504" s="49">
        <v>0.6041666666666666</v>
      </c>
      <c r="D504" s="48" t="s">
        <v>4119</v>
      </c>
      <c r="E504" s="50">
        <v>17733.0</v>
      </c>
      <c r="F504" s="51">
        <v>44579.0</v>
      </c>
      <c r="G504" s="48" t="s">
        <v>5</v>
      </c>
      <c r="H504" s="48" t="s">
        <v>6218</v>
      </c>
      <c r="I504" s="48" t="s">
        <v>6222</v>
      </c>
      <c r="J504" s="48" t="s">
        <v>6199</v>
      </c>
      <c r="K504" s="52" t="b">
        <f>IFS($B504=FALSE,"", countif(VLOOKUP($A504,UASCAN!D:D,1,FALSE),$A504)&gt;=1,TRUE,countif(VLOOKUP($B504,UASCAN!D:D,1,FALSE),$B504)=0,FALSE)</f>
        <v>0</v>
      </c>
      <c r="L504" s="52" t="b">
        <f>IFS(B504=FALSE,"", countif(VLOOKUP($B504,'01182022'!B:B,1,FALSE),$B504)&gt;=1,TRUE,countif(VLOOKUP($B504,'01182022'!B:B,1,FALSE),$B504)=0,FALSE)</f>
        <v>1</v>
      </c>
      <c r="M504" s="52" t="str">
        <f>ifs(AND($K504=FALSE,$L504=TRUE),"",AND($K504=FALSE,L504=FALSE),"",AND($K504=TRUE,$L504=TRUE),VLOOKUP($A504,UASCAN!D:F,3,0), AND($K504=TRUE,$L504=FALSE),VLOOKUP($A504,UASCAN!D:F,3,0))</f>
        <v/>
      </c>
      <c r="N504" s="53" t="str">
        <f t="shared" si="2"/>
        <v> </v>
      </c>
      <c r="O504" s="53" t="str">
        <f t="shared" si="3"/>
        <v/>
      </c>
    </row>
    <row r="505">
      <c r="A505" s="47" t="str">
        <f t="shared" si="1"/>
        <v>1615644579</v>
      </c>
      <c r="B505" s="48">
        <v>16156.0</v>
      </c>
      <c r="C505" s="49">
        <v>0.6145833333333334</v>
      </c>
      <c r="D505" s="48" t="s">
        <v>4472</v>
      </c>
      <c r="E505" s="50">
        <v>29705.0</v>
      </c>
      <c r="F505" s="51">
        <v>44579.0</v>
      </c>
      <c r="G505" s="48" t="s">
        <v>5</v>
      </c>
      <c r="H505" s="48" t="s">
        <v>6218</v>
      </c>
      <c r="I505" s="48" t="s">
        <v>6222</v>
      </c>
      <c r="J505" s="48" t="s">
        <v>6091</v>
      </c>
      <c r="K505" s="52" t="b">
        <f>IFS($B505=FALSE,"", countif(VLOOKUP($A505,UASCAN!D:D,1,FALSE),$A505)&gt;=1,TRUE,countif(VLOOKUP($B505,UASCAN!D:D,1,FALSE),$B505)=0,FALSE)</f>
        <v>0</v>
      </c>
      <c r="L505" s="52" t="b">
        <f>IFS(B505=FALSE,"", countif(VLOOKUP($B505,'01182022'!B:B,1,FALSE),$B505)&gt;=1,TRUE,countif(VLOOKUP($B505,'01182022'!B:B,1,FALSE),$B505)=0,FALSE)</f>
        <v>1</v>
      </c>
      <c r="M505" s="52" t="str">
        <f>ifs(AND($K505=FALSE,$L505=TRUE),"",AND($K505=FALSE,L505=FALSE),"",AND($K505=TRUE,$L505=TRUE),VLOOKUP($A505,UASCAN!D:F,3,0), AND($K505=TRUE,$L505=FALSE),VLOOKUP($A505,UASCAN!D:F,3,0))</f>
        <v/>
      </c>
      <c r="N505" s="53" t="str">
        <f t="shared" si="2"/>
        <v> </v>
      </c>
      <c r="O505" s="53" t="str">
        <f t="shared" si="3"/>
        <v/>
      </c>
    </row>
    <row r="506">
      <c r="A506" s="47" t="str">
        <f t="shared" si="1"/>
        <v>1783744579</v>
      </c>
      <c r="B506" s="48">
        <v>17837.0</v>
      </c>
      <c r="C506" s="49">
        <v>0.6145833333333334</v>
      </c>
      <c r="D506" s="48" t="s">
        <v>6023</v>
      </c>
      <c r="E506" s="50">
        <v>38166.0</v>
      </c>
      <c r="F506" s="51">
        <v>44579.0</v>
      </c>
      <c r="G506" s="48" t="s">
        <v>6213</v>
      </c>
      <c r="H506" s="48" t="s">
        <v>6211</v>
      </c>
      <c r="I506" s="48" t="s">
        <v>6212</v>
      </c>
      <c r="J506" s="48" t="s">
        <v>6120</v>
      </c>
      <c r="K506" s="52" t="b">
        <f>IFS($B506=FALSE,"", countif(VLOOKUP($A506,UASCAN!D:D,1,FALSE),$A506)&gt;=1,TRUE,countif(VLOOKUP($B506,UASCAN!D:D,1,FALSE),$B506)=0,FALSE)</f>
        <v>0</v>
      </c>
      <c r="L506" s="52" t="b">
        <f>IFS(B506=FALSE,"", countif(VLOOKUP($B506,'01182022'!B:B,1,FALSE),$B506)&gt;=1,TRUE,countif(VLOOKUP($B506,'01182022'!B:B,1,FALSE),$B506)=0,FALSE)</f>
        <v>1</v>
      </c>
      <c r="M506" s="52" t="str">
        <f>ifs(AND($K506=FALSE,$L506=TRUE),"",AND($K506=FALSE,L506=FALSE),"",AND($K506=TRUE,$L506=TRUE),VLOOKUP($A506,UASCAN!D:F,3,0), AND($K506=TRUE,$L506=FALSE),VLOOKUP($A506,UASCAN!D:F,3,0))</f>
        <v/>
      </c>
      <c r="N506" s="53" t="str">
        <f t="shared" si="2"/>
        <v> </v>
      </c>
      <c r="O506" s="53" t="str">
        <f t="shared" si="3"/>
        <v/>
      </c>
    </row>
    <row r="507">
      <c r="A507" s="47" t="str">
        <f t="shared" si="1"/>
        <v>1044544579</v>
      </c>
      <c r="B507" s="48">
        <v>10445.0</v>
      </c>
      <c r="C507" s="49">
        <v>0.6354166666666666</v>
      </c>
      <c r="D507" s="48" t="s">
        <v>551</v>
      </c>
      <c r="E507" s="50">
        <v>16254.0</v>
      </c>
      <c r="F507" s="51">
        <v>44579.0</v>
      </c>
      <c r="G507" s="48" t="s">
        <v>5</v>
      </c>
      <c r="H507" s="48" t="s">
        <v>6211</v>
      </c>
      <c r="I507" s="48" t="s">
        <v>6212</v>
      </c>
      <c r="J507" s="48" t="s">
        <v>6137</v>
      </c>
      <c r="K507" s="52" t="b">
        <f>IFS($B507=FALSE,"", countif(VLOOKUP($A507,UASCAN!D:D,1,FALSE),$A507)&gt;=1,TRUE,countif(VLOOKUP($B507,UASCAN!D:D,1,FALSE),$B507)=0,FALSE)</f>
        <v>0</v>
      </c>
      <c r="L507" s="52" t="b">
        <f>IFS(B507=FALSE,"", countif(VLOOKUP($B507,'01182022'!B:B,1,FALSE),$B507)&gt;=1,TRUE,countif(VLOOKUP($B507,'01182022'!B:B,1,FALSE),$B507)=0,FALSE)</f>
        <v>1</v>
      </c>
      <c r="M507" s="52" t="str">
        <f>ifs(AND($K507=FALSE,$L507=TRUE),"",AND($K507=FALSE,L507=FALSE),"",AND($K507=TRUE,$L507=TRUE),VLOOKUP($A507,UASCAN!D:F,3,0), AND($K507=TRUE,$L507=FALSE),VLOOKUP($A507,UASCAN!D:F,3,0))</f>
        <v/>
      </c>
      <c r="N507" s="53" t="str">
        <f t="shared" si="2"/>
        <v> </v>
      </c>
      <c r="O507" s="53" t="str">
        <f t="shared" si="3"/>
        <v/>
      </c>
    </row>
    <row r="508">
      <c r="A508" s="47" t="str">
        <f t="shared" si="1"/>
        <v>1650244579</v>
      </c>
      <c r="B508" s="48">
        <v>16502.0</v>
      </c>
      <c r="C508" s="49">
        <v>0.6354166666666666</v>
      </c>
      <c r="D508" s="48" t="s">
        <v>4738</v>
      </c>
      <c r="E508" s="50">
        <v>28281.0</v>
      </c>
      <c r="F508" s="51">
        <v>44579.0</v>
      </c>
      <c r="G508" s="48" t="s">
        <v>5</v>
      </c>
      <c r="H508" s="48" t="s">
        <v>6218</v>
      </c>
      <c r="I508" s="48" t="s">
        <v>6222</v>
      </c>
      <c r="J508" s="48" t="s">
        <v>6126</v>
      </c>
      <c r="K508" s="52" t="b">
        <f>IFS($B508=FALSE,"", countif(VLOOKUP($A508,UASCAN!D:D,1,FALSE),$A508)&gt;=1,TRUE,countif(VLOOKUP($B508,UASCAN!D:D,1,FALSE),$B508)=0,FALSE)</f>
        <v>0</v>
      </c>
      <c r="L508" s="52" t="b">
        <f>IFS(B508=FALSE,"", countif(VLOOKUP($B508,'01182022'!B:B,1,FALSE),$B508)&gt;=1,TRUE,countif(VLOOKUP($B508,'01182022'!B:B,1,FALSE),$B508)=0,FALSE)</f>
        <v>1</v>
      </c>
      <c r="M508" s="52" t="str">
        <f>ifs(AND($K508=FALSE,$L508=TRUE),"",AND($K508=FALSE,L508=FALSE),"",AND($K508=TRUE,$L508=TRUE),VLOOKUP($A508,UASCAN!D:F,3,0), AND($K508=TRUE,$L508=FALSE),VLOOKUP($A508,UASCAN!D:F,3,0))</f>
        <v/>
      </c>
      <c r="N508" s="53" t="str">
        <f t="shared" si="2"/>
        <v> </v>
      </c>
      <c r="O508" s="53" t="str">
        <f t="shared" si="3"/>
        <v/>
      </c>
    </row>
    <row r="509">
      <c r="A509" s="47" t="str">
        <f t="shared" si="1"/>
        <v>1476844579</v>
      </c>
      <c r="B509" s="48">
        <v>14768.0</v>
      </c>
      <c r="C509" s="49">
        <v>0.6458333333333334</v>
      </c>
      <c r="D509" s="48" t="s">
        <v>3284</v>
      </c>
      <c r="E509" s="50">
        <v>23766.0</v>
      </c>
      <c r="F509" s="51">
        <v>44579.0</v>
      </c>
      <c r="G509" s="48" t="s">
        <v>6216</v>
      </c>
      <c r="H509" s="48" t="s">
        <v>6211</v>
      </c>
      <c r="I509" s="48" t="s">
        <v>6212</v>
      </c>
      <c r="J509" s="48" t="s">
        <v>6142</v>
      </c>
      <c r="K509" s="52" t="b">
        <f>IFS($B509=FALSE,"", countif(VLOOKUP($A509,UASCAN!D:D,1,FALSE),$A509)&gt;=1,TRUE,countif(VLOOKUP($B509,UASCAN!D:D,1,FALSE),$B509)=0,FALSE)</f>
        <v>0</v>
      </c>
      <c r="L509" s="52" t="b">
        <f>IFS(B509=FALSE,"", countif(VLOOKUP($B509,'01182022'!B:B,1,FALSE),$B509)&gt;=1,TRUE,countif(VLOOKUP($B509,'01182022'!B:B,1,FALSE),$B509)=0,FALSE)</f>
        <v>1</v>
      </c>
      <c r="M509" s="52" t="str">
        <f>ifs(AND($K509=FALSE,$L509=TRUE),"",AND($K509=FALSE,L509=FALSE),"",AND($K509=TRUE,$L509=TRUE),VLOOKUP($A509,UASCAN!D:F,3,0), AND($K509=TRUE,$L509=FALSE),VLOOKUP($A509,UASCAN!D:F,3,0))</f>
        <v/>
      </c>
      <c r="N509" s="53" t="str">
        <f t="shared" si="2"/>
        <v> </v>
      </c>
      <c r="O509" s="53" t="str">
        <f t="shared" si="3"/>
        <v/>
      </c>
    </row>
    <row r="510">
      <c r="A510" s="47" t="str">
        <f t="shared" si="1"/>
        <v>1642044579</v>
      </c>
      <c r="B510" s="48">
        <v>16420.0</v>
      </c>
      <c r="C510" s="49">
        <v>0.6458333333333334</v>
      </c>
      <c r="D510" s="48" t="s">
        <v>4676</v>
      </c>
      <c r="E510" s="50">
        <v>24177.0</v>
      </c>
      <c r="F510" s="51">
        <v>44579.0</v>
      </c>
      <c r="G510" s="48" t="s">
        <v>6220</v>
      </c>
      <c r="H510" s="48" t="s">
        <v>6218</v>
      </c>
      <c r="I510" s="48" t="s">
        <v>6222</v>
      </c>
      <c r="J510" s="48" t="s">
        <v>6196</v>
      </c>
      <c r="K510" s="52" t="b">
        <f>IFS($B510=FALSE,"", countif(VLOOKUP($A510,UASCAN!D:D,1,FALSE),$A510)&gt;=1,TRUE,countif(VLOOKUP($B510,UASCAN!D:D,1,FALSE),$B510)=0,FALSE)</f>
        <v>0</v>
      </c>
      <c r="L510" s="52" t="b">
        <f>IFS(B510=FALSE,"", countif(VLOOKUP($B510,'01182022'!B:B,1,FALSE),$B510)&gt;=1,TRUE,countif(VLOOKUP($B510,'01182022'!B:B,1,FALSE),$B510)=0,FALSE)</f>
        <v>1</v>
      </c>
      <c r="M510" s="52" t="str">
        <f>ifs(AND($K510=FALSE,$L510=TRUE),"",AND($K510=FALSE,L510=FALSE),"",AND($K510=TRUE,$L510=TRUE),VLOOKUP($A510,UASCAN!D:F,3,0), AND($K510=TRUE,$L510=FALSE),VLOOKUP($A510,UASCAN!D:F,3,0))</f>
        <v/>
      </c>
      <c r="N510" s="53" t="str">
        <f t="shared" si="2"/>
        <v> </v>
      </c>
      <c r="O510" s="53" t="str">
        <f t="shared" si="3"/>
        <v/>
      </c>
    </row>
    <row r="511">
      <c r="A511" s="47" t="str">
        <f t="shared" si="1"/>
        <v>1092944579</v>
      </c>
      <c r="B511" s="48">
        <v>10929.0</v>
      </c>
      <c r="C511" s="49">
        <v>0.6458333333333334</v>
      </c>
      <c r="D511" s="48" t="s">
        <v>732</v>
      </c>
      <c r="E511" s="50">
        <v>30288.0</v>
      </c>
      <c r="F511" s="51">
        <v>44579.0</v>
      </c>
      <c r="G511" s="48" t="s">
        <v>5</v>
      </c>
      <c r="H511" s="48" t="s">
        <v>6211</v>
      </c>
      <c r="I511" s="48" t="s">
        <v>6212</v>
      </c>
      <c r="J511" s="48" t="s">
        <v>6082</v>
      </c>
      <c r="K511" s="52" t="b">
        <f>IFS($B511=FALSE,"", countif(VLOOKUP($A511,UASCAN!D:D,1,FALSE),$A511)&gt;=1,TRUE,countif(VLOOKUP($B511,UASCAN!D:D,1,FALSE),$B511)=0,FALSE)</f>
        <v>0</v>
      </c>
      <c r="L511" s="52" t="b">
        <f>IFS(B511=FALSE,"", countif(VLOOKUP($B511,'01182022'!B:B,1,FALSE),$B511)&gt;=1,TRUE,countif(VLOOKUP($B511,'01182022'!B:B,1,FALSE),$B511)=0,FALSE)</f>
        <v>1</v>
      </c>
      <c r="M511" s="52" t="str">
        <f>ifs(AND($K511=FALSE,$L511=TRUE),"",AND($K511=FALSE,L511=FALSE),"",AND($K511=TRUE,$L511=TRUE),VLOOKUP($A511,UASCAN!D:F,3,0), AND($K511=TRUE,$L511=FALSE),VLOOKUP($A511,UASCAN!D:F,3,0))</f>
        <v/>
      </c>
      <c r="N511" s="53" t="str">
        <f t="shared" si="2"/>
        <v> </v>
      </c>
      <c r="O511" s="53" t="str">
        <f t="shared" si="3"/>
        <v/>
      </c>
    </row>
    <row r="512">
      <c r="A512" s="47" t="str">
        <f t="shared" si="1"/>
        <v>1724144580</v>
      </c>
      <c r="B512" s="48">
        <v>17241.0</v>
      </c>
      <c r="C512" s="49">
        <v>0.3125</v>
      </c>
      <c r="D512" s="48" t="s">
        <v>5321</v>
      </c>
      <c r="E512" s="50">
        <v>24347.0</v>
      </c>
      <c r="F512" s="51">
        <v>44580.0</v>
      </c>
      <c r="G512" s="48" t="s">
        <v>5</v>
      </c>
      <c r="H512" s="48" t="s">
        <v>6211</v>
      </c>
      <c r="I512" s="48" t="s">
        <v>6221</v>
      </c>
      <c r="J512" s="48" t="s">
        <v>6137</v>
      </c>
      <c r="K512" s="52" t="b">
        <f>IFS($B512=FALSE,"", countif(VLOOKUP($A512,UASCAN!D:D,1,FALSE),$A512)&gt;=1,TRUE,countif(VLOOKUP($B512,UASCAN!D:D,1,FALSE),$B512)=0,FALSE)</f>
        <v>0</v>
      </c>
      <c r="L512" s="52" t="b">
        <f>IFS(B512=FALSE,"", countif(VLOOKUP($B512,'01192022'!B:B,1,FALSE),$B512)&gt;=1,TRUE,countif(VLOOKUP($B512,'01192022'!B:B,1,FALSE),$B512)=0,FALSE)</f>
        <v>1</v>
      </c>
      <c r="M512" s="52" t="str">
        <f>ifs(AND($K512=FALSE,$L512=TRUE),"",AND($K512=FALSE,L512=FALSE),"",AND($K512=TRUE,$L512=TRUE),VLOOKUP($A512,UASCAN!D:F,3,0), AND($K512=TRUE,$L512=FALSE),VLOOKUP($A512,UASCAN!D:F,3,0))</f>
        <v/>
      </c>
      <c r="N512" s="53" t="str">
        <f t="shared" si="2"/>
        <v> </v>
      </c>
      <c r="O512" s="53" t="str">
        <f t="shared" si="3"/>
        <v/>
      </c>
    </row>
    <row r="513">
      <c r="A513" s="47" t="str">
        <f t="shared" si="1"/>
        <v>1213144580</v>
      </c>
      <c r="B513" s="48">
        <v>12131.0</v>
      </c>
      <c r="C513" s="49">
        <v>0.3229166666666667</v>
      </c>
      <c r="D513" s="48" t="s">
        <v>1289</v>
      </c>
      <c r="E513" s="50">
        <v>22551.0</v>
      </c>
      <c r="F513" s="51">
        <v>44580.0</v>
      </c>
      <c r="G513" s="48" t="s">
        <v>5</v>
      </c>
      <c r="H513" s="48" t="s">
        <v>6211</v>
      </c>
      <c r="I513" s="48" t="s">
        <v>6212</v>
      </c>
      <c r="J513" s="48" t="s">
        <v>6091</v>
      </c>
      <c r="K513" s="52" t="b">
        <f>IFS($B513=FALSE,"", countif(VLOOKUP($A513,UASCAN!D:D,1,FALSE),$A513)&gt;=1,TRUE,countif(VLOOKUP($B513,UASCAN!D:D,1,FALSE),$B513)=0,FALSE)</f>
        <v>0</v>
      </c>
      <c r="L513" s="52" t="b">
        <f>IFS(B513=FALSE,"", countif(VLOOKUP($B513,'01192022'!B:B,1,FALSE),$B513)&gt;=1,TRUE,countif(VLOOKUP($B513,'01192022'!B:B,1,FALSE),$B513)=0,FALSE)</f>
        <v>1</v>
      </c>
      <c r="M513" s="52" t="str">
        <f>ifs(AND($K513=FALSE,$L513=TRUE),"",AND($K513=FALSE,L513=FALSE),"",AND($K513=TRUE,$L513=TRUE),VLOOKUP($A513,UASCAN!D:F,3,0), AND($K513=TRUE,$L513=FALSE),VLOOKUP($A513,UASCAN!D:F,3,0))</f>
        <v/>
      </c>
      <c r="N513" s="53" t="str">
        <f t="shared" si="2"/>
        <v> </v>
      </c>
      <c r="O513" s="53" t="str">
        <f t="shared" si="3"/>
        <v/>
      </c>
    </row>
    <row r="514">
      <c r="A514" s="47" t="str">
        <f t="shared" si="1"/>
        <v>1029144580</v>
      </c>
      <c r="B514" s="48">
        <v>10291.0</v>
      </c>
      <c r="C514" s="49">
        <v>0.3229166666666667</v>
      </c>
      <c r="D514" s="48" t="s">
        <v>482</v>
      </c>
      <c r="E514" s="50">
        <v>20391.0</v>
      </c>
      <c r="F514" s="51">
        <v>44580.0</v>
      </c>
      <c r="G514" s="48" t="s">
        <v>6215</v>
      </c>
      <c r="H514" s="48" t="s">
        <v>6211</v>
      </c>
      <c r="I514" s="48" t="s">
        <v>6221</v>
      </c>
      <c r="J514" s="48" t="s">
        <v>6137</v>
      </c>
      <c r="K514" s="52" t="b">
        <f>IFS($B514=FALSE,"", countif(VLOOKUP($A514,UASCAN!D:D,1,FALSE),$A514)&gt;=1,TRUE,countif(VLOOKUP($B514,UASCAN!D:D,1,FALSE),$B514)=0,FALSE)</f>
        <v>0</v>
      </c>
      <c r="L514" s="52" t="b">
        <f>IFS(B514=FALSE,"", countif(VLOOKUP($B514,'01192022'!B:B,1,FALSE),$B514)&gt;=1,TRUE,countif(VLOOKUP($B514,'01192022'!B:B,1,FALSE),$B514)=0,FALSE)</f>
        <v>1</v>
      </c>
      <c r="M514" s="52" t="str">
        <f>ifs(AND($K514=FALSE,$L514=TRUE),"",AND($K514=FALSE,L514=FALSE),"",AND($K514=TRUE,$L514=TRUE),VLOOKUP($A514,UASCAN!D:F,3,0), AND($K514=TRUE,$L514=FALSE),VLOOKUP($A514,UASCAN!D:F,3,0))</f>
        <v/>
      </c>
      <c r="N514" s="53" t="str">
        <f t="shared" si="2"/>
        <v> </v>
      </c>
      <c r="O514" s="53" t="str">
        <f t="shared" si="3"/>
        <v/>
      </c>
    </row>
    <row r="515">
      <c r="A515" s="47" t="str">
        <f t="shared" si="1"/>
        <v>1543244580</v>
      </c>
      <c r="B515" s="48">
        <v>15432.0</v>
      </c>
      <c r="C515" s="49">
        <v>0.3333333333333333</v>
      </c>
      <c r="D515" s="48" t="s">
        <v>3830</v>
      </c>
      <c r="E515" s="50">
        <v>22895.0</v>
      </c>
      <c r="F515" s="51">
        <v>44580.0</v>
      </c>
      <c r="G515" s="48" t="s">
        <v>6216</v>
      </c>
      <c r="H515" s="48" t="s">
        <v>6211</v>
      </c>
      <c r="I515" s="48" t="s">
        <v>6212</v>
      </c>
      <c r="J515" s="48" t="s">
        <v>6189</v>
      </c>
      <c r="K515" s="52" t="b">
        <f>IFS($B515=FALSE,"", countif(VLOOKUP($A515,UASCAN!D:D,1,FALSE),$A515)&gt;=1,TRUE,countif(VLOOKUP($B515,UASCAN!D:D,1,FALSE),$B515)=0,FALSE)</f>
        <v>0</v>
      </c>
      <c r="L515" s="52" t="b">
        <f>IFS(B515=FALSE,"", countif(VLOOKUP($B515,'01192022'!B:B,1,FALSE),$B515)&gt;=1,TRUE,countif(VLOOKUP($B515,'01192022'!B:B,1,FALSE),$B515)=0,FALSE)</f>
        <v>1</v>
      </c>
      <c r="M515" s="52" t="str">
        <f>ifs(AND($K515=FALSE,$L515=TRUE),"",AND($K515=FALSE,L515=FALSE),"",AND($K515=TRUE,$L515=TRUE),VLOOKUP($A515,UASCAN!D:F,3,0), AND($K515=TRUE,$L515=FALSE),VLOOKUP($A515,UASCAN!D:F,3,0))</f>
        <v/>
      </c>
      <c r="N515" s="53" t="str">
        <f t="shared" si="2"/>
        <v> </v>
      </c>
      <c r="O515" s="53" t="str">
        <f t="shared" si="3"/>
        <v/>
      </c>
    </row>
    <row r="516">
      <c r="A516" s="47" t="str">
        <f t="shared" si="1"/>
        <v>1096144580</v>
      </c>
      <c r="B516" s="48">
        <v>10961.0</v>
      </c>
      <c r="C516" s="49">
        <v>0.3333333333333333</v>
      </c>
      <c r="D516" s="48" t="s">
        <v>747</v>
      </c>
      <c r="E516" s="50">
        <v>19237.0</v>
      </c>
      <c r="F516" s="51">
        <v>44580.0</v>
      </c>
      <c r="G516" s="48" t="s">
        <v>5</v>
      </c>
      <c r="H516" s="48" t="s">
        <v>6218</v>
      </c>
      <c r="I516" s="48" t="s">
        <v>6219</v>
      </c>
      <c r="J516" s="48" t="s">
        <v>6117</v>
      </c>
      <c r="K516" s="52" t="b">
        <f>IFS($B516=FALSE,"", countif(VLOOKUP($A516,UASCAN!D:D,1,FALSE),$A516)&gt;=1,TRUE,countif(VLOOKUP($B516,UASCAN!D:D,1,FALSE),$B516)=0,FALSE)</f>
        <v>0</v>
      </c>
      <c r="L516" s="52" t="b">
        <f>IFS(B516=FALSE,"", countif(VLOOKUP($B516,'01192022'!B:B,1,FALSE),$B516)&gt;=1,TRUE,countif(VLOOKUP($B516,'01192022'!B:B,1,FALSE),$B516)=0,FALSE)</f>
        <v>1</v>
      </c>
      <c r="M516" s="52" t="str">
        <f>ifs(AND($K516=FALSE,$L516=TRUE),"",AND($K516=FALSE,L516=FALSE),"",AND($K516=TRUE,$L516=TRUE),VLOOKUP($A516,UASCAN!D:F,3,0), AND($K516=TRUE,$L516=FALSE),VLOOKUP($A516,UASCAN!D:F,3,0))</f>
        <v/>
      </c>
      <c r="N516" s="53" t="str">
        <f t="shared" si="2"/>
        <v> </v>
      </c>
      <c r="O516" s="53" t="str">
        <f t="shared" si="3"/>
        <v/>
      </c>
    </row>
    <row r="517">
      <c r="A517" s="47" t="str">
        <f t="shared" si="1"/>
        <v>1577644580</v>
      </c>
      <c r="B517" s="48">
        <v>15776.0</v>
      </c>
      <c r="C517" s="49">
        <v>0.34375</v>
      </c>
      <c r="D517" s="48" t="s">
        <v>4138</v>
      </c>
      <c r="E517" s="50">
        <v>26111.0</v>
      </c>
      <c r="F517" s="51">
        <v>44580.0</v>
      </c>
      <c r="G517" s="48" t="s">
        <v>5</v>
      </c>
      <c r="H517" s="48" t="s">
        <v>6211</v>
      </c>
      <c r="I517" s="48" t="s">
        <v>6212</v>
      </c>
      <c r="J517" s="48" t="s">
        <v>6199</v>
      </c>
      <c r="K517" s="52" t="b">
        <f>IFS($B517=FALSE,"", countif(VLOOKUP($A517,UASCAN!D:D,1,FALSE),$A517)&gt;=1,TRUE,countif(VLOOKUP($B517,UASCAN!D:D,1,FALSE),$B517)=0,FALSE)</f>
        <v>0</v>
      </c>
      <c r="L517" s="52" t="b">
        <f>IFS(B517=FALSE,"", countif(VLOOKUP($B517,'01192022'!B:B,1,FALSE),$B517)&gt;=1,TRUE,countif(VLOOKUP($B517,'01192022'!B:B,1,FALSE),$B517)=0,FALSE)</f>
        <v>1</v>
      </c>
      <c r="M517" s="52" t="str">
        <f>ifs(AND($K517=FALSE,$L517=TRUE),"",AND($K517=FALSE,L517=FALSE),"",AND($K517=TRUE,$L517=TRUE),VLOOKUP($A517,UASCAN!D:F,3,0), AND($K517=TRUE,$L517=FALSE),VLOOKUP($A517,UASCAN!D:F,3,0))</f>
        <v/>
      </c>
      <c r="N517" s="53" t="str">
        <f t="shared" si="2"/>
        <v> </v>
      </c>
      <c r="O517" s="53" t="str">
        <f t="shared" si="3"/>
        <v/>
      </c>
    </row>
    <row r="518">
      <c r="A518" s="47" t="str">
        <f t="shared" si="1"/>
        <v>1792844580</v>
      </c>
      <c r="B518" s="48">
        <v>17928.0</v>
      </c>
      <c r="C518" s="49">
        <v>0.34375</v>
      </c>
      <c r="D518" s="48" t="s">
        <v>6226</v>
      </c>
      <c r="E518" s="50">
        <v>17455.0</v>
      </c>
      <c r="F518" s="51">
        <v>44580.0</v>
      </c>
      <c r="G518" s="48" t="s">
        <v>6213</v>
      </c>
      <c r="H518" s="48" t="s">
        <v>6211</v>
      </c>
      <c r="I518" s="48" t="s">
        <v>6221</v>
      </c>
      <c r="J518" s="48" t="s">
        <v>6137</v>
      </c>
      <c r="K518" s="52" t="b">
        <f>IFS($B518=FALSE,"", countif(VLOOKUP($A518,UASCAN!D:D,1,FALSE),$A518)&gt;=1,TRUE,countif(VLOOKUP($B518,UASCAN!D:D,1,FALSE),$B518)=0,FALSE)</f>
        <v>0</v>
      </c>
      <c r="L518" s="52" t="b">
        <f>IFS(B518=FALSE,"", countif(VLOOKUP($B518,'01192022'!B:B,1,FALSE),$B518)&gt;=1,TRUE,countif(VLOOKUP($B518,'01192022'!B:B,1,FALSE),$B518)=0,FALSE)</f>
        <v>1</v>
      </c>
      <c r="M518" s="52" t="str">
        <f>ifs(AND($K518=FALSE,$L518=TRUE),"",AND($K518=FALSE,L518=FALSE),"",AND($K518=TRUE,$L518=TRUE),VLOOKUP($A518,UASCAN!D:F,3,0), AND($K518=TRUE,$L518=FALSE),VLOOKUP($A518,UASCAN!D:F,3,0))</f>
        <v/>
      </c>
      <c r="N518" s="53" t="str">
        <f t="shared" si="2"/>
        <v> </v>
      </c>
      <c r="O518" s="53" t="str">
        <f t="shared" si="3"/>
        <v/>
      </c>
    </row>
    <row r="519">
      <c r="A519" s="47" t="str">
        <f t="shared" si="1"/>
        <v>1763244580</v>
      </c>
      <c r="B519" s="48">
        <v>17632.0</v>
      </c>
      <c r="C519" s="49">
        <v>0.34375</v>
      </c>
      <c r="D519" s="48" t="s">
        <v>6227</v>
      </c>
      <c r="E519" s="50">
        <v>31594.0</v>
      </c>
      <c r="F519" s="51">
        <v>44580.0</v>
      </c>
      <c r="G519" s="48" t="s">
        <v>6215</v>
      </c>
      <c r="H519" s="48" t="s">
        <v>6218</v>
      </c>
      <c r="I519" s="48" t="s">
        <v>6222</v>
      </c>
      <c r="J519" s="48" t="s">
        <v>6084</v>
      </c>
      <c r="K519" s="52" t="b">
        <f>IFS($B519=FALSE,"", countif(VLOOKUP($A519,UASCAN!D:D,1,FALSE),$A519)&gt;=1,TRUE,countif(VLOOKUP($B519,UASCAN!D:D,1,FALSE),$B519)=0,FALSE)</f>
        <v>0</v>
      </c>
      <c r="L519" s="52" t="b">
        <f>IFS(B519=FALSE,"", countif(VLOOKUP($B519,'01192022'!B:B,1,FALSE),$B519)&gt;=1,TRUE,countif(VLOOKUP($B519,'01192022'!B:B,1,FALSE),$B519)=0,FALSE)</f>
        <v>1</v>
      </c>
      <c r="M519" s="52" t="str">
        <f>ifs(AND($K519=FALSE,$L519=TRUE),"",AND($K519=FALSE,L519=FALSE),"",AND($K519=TRUE,$L519=TRUE),VLOOKUP($A519,UASCAN!D:F,3,0), AND($K519=TRUE,$L519=FALSE),VLOOKUP($A519,UASCAN!D:F,3,0))</f>
        <v/>
      </c>
      <c r="N519" s="53" t="str">
        <f t="shared" si="2"/>
        <v> </v>
      </c>
      <c r="O519" s="53" t="str">
        <f t="shared" si="3"/>
        <v/>
      </c>
    </row>
    <row r="520">
      <c r="A520" s="47" t="str">
        <f t="shared" si="1"/>
        <v>952944580</v>
      </c>
      <c r="B520" s="48">
        <v>9529.0</v>
      </c>
      <c r="C520" s="49">
        <v>0.3541666666666667</v>
      </c>
      <c r="D520" s="48" t="s">
        <v>199</v>
      </c>
      <c r="E520" s="50">
        <v>28740.0</v>
      </c>
      <c r="F520" s="51">
        <v>44580.0</v>
      </c>
      <c r="G520" s="48" t="s">
        <v>6220</v>
      </c>
      <c r="H520" s="48" t="s">
        <v>6218</v>
      </c>
      <c r="I520" s="48" t="s">
        <v>6222</v>
      </c>
      <c r="J520" s="48" t="s">
        <v>6134</v>
      </c>
      <c r="K520" s="52" t="b">
        <f>IFS($B520=FALSE,"", countif(VLOOKUP($A520,UASCAN!D:D,1,FALSE),$A520)&gt;=1,TRUE,countif(VLOOKUP($B520,UASCAN!D:D,1,FALSE),$B520)=0,FALSE)</f>
        <v>0</v>
      </c>
      <c r="L520" s="52" t="b">
        <f>IFS(B520=FALSE,"", countif(VLOOKUP($B520,'01192022'!B:B,1,FALSE),$B520)&gt;=1,TRUE,countif(VLOOKUP($B520,'01192022'!B:B,1,FALSE),$B520)=0,FALSE)</f>
        <v>1</v>
      </c>
      <c r="M520" s="52" t="str">
        <f>ifs(AND($K520=FALSE,$L520=TRUE),"",AND($K520=FALSE,L520=FALSE),"",AND($K520=TRUE,$L520=TRUE),VLOOKUP($A520,UASCAN!D:F,3,0), AND($K520=TRUE,$L520=FALSE),VLOOKUP($A520,UASCAN!D:F,3,0))</f>
        <v/>
      </c>
      <c r="N520" s="53" t="str">
        <f t="shared" si="2"/>
        <v> </v>
      </c>
      <c r="O520" s="53" t="str">
        <f t="shared" si="3"/>
        <v/>
      </c>
    </row>
    <row r="521">
      <c r="A521" s="47" t="str">
        <f t="shared" si="1"/>
        <v>1140344580</v>
      </c>
      <c r="B521" s="48">
        <v>11403.0</v>
      </c>
      <c r="C521" s="49">
        <v>0.3645833333333333</v>
      </c>
      <c r="D521" s="48" t="s">
        <v>940</v>
      </c>
      <c r="E521" s="50">
        <v>26190.0</v>
      </c>
      <c r="F521" s="51">
        <v>44580.0</v>
      </c>
      <c r="G521" s="48" t="s">
        <v>6216</v>
      </c>
      <c r="H521" s="48" t="s">
        <v>6211</v>
      </c>
      <c r="I521" s="48" t="s">
        <v>6222</v>
      </c>
      <c r="J521" s="48" t="s">
        <v>6189</v>
      </c>
      <c r="K521" s="52" t="b">
        <f>IFS($B521=FALSE,"", countif(VLOOKUP($A521,UASCAN!D:D,1,FALSE),$A521)&gt;=1,TRUE,countif(VLOOKUP($B521,UASCAN!D:D,1,FALSE),$B521)=0,FALSE)</f>
        <v>0</v>
      </c>
      <c r="L521" s="52" t="b">
        <f>IFS(B521=FALSE,"", countif(VLOOKUP($B521,'01192022'!B:B,1,FALSE),$B521)&gt;=1,TRUE,countif(VLOOKUP($B521,'01192022'!B:B,1,FALSE),$B521)=0,FALSE)</f>
        <v>1</v>
      </c>
      <c r="M521" s="52" t="str">
        <f>ifs(AND($K521=FALSE,$L521=TRUE),"",AND($K521=FALSE,L521=FALSE),"",AND($K521=TRUE,$L521=TRUE),VLOOKUP($A521,UASCAN!D:F,3,0), AND($K521=TRUE,$L521=FALSE),VLOOKUP($A521,UASCAN!D:F,3,0))</f>
        <v/>
      </c>
      <c r="N521" s="53" t="str">
        <f t="shared" si="2"/>
        <v> </v>
      </c>
      <c r="O521" s="53" t="str">
        <f t="shared" si="3"/>
        <v/>
      </c>
    </row>
    <row r="522">
      <c r="A522" s="47" t="str">
        <f t="shared" si="1"/>
        <v>1632944580</v>
      </c>
      <c r="B522" s="48">
        <v>16329.0</v>
      </c>
      <c r="C522" s="49">
        <v>0.375</v>
      </c>
      <c r="D522" s="48" t="s">
        <v>4605</v>
      </c>
      <c r="E522" s="50">
        <v>23619.0</v>
      </c>
      <c r="F522" s="51">
        <v>44580.0</v>
      </c>
      <c r="G522" s="48" t="s">
        <v>6220</v>
      </c>
      <c r="H522" s="48" t="s">
        <v>6218</v>
      </c>
      <c r="I522" s="48" t="s">
        <v>6219</v>
      </c>
      <c r="J522" s="48" t="s">
        <v>6195</v>
      </c>
      <c r="K522" s="52" t="b">
        <f>IFS($B522=FALSE,"", countif(VLOOKUP($A522,UASCAN!D:D,1,FALSE),$A522)&gt;=1,TRUE,countif(VLOOKUP($B522,UASCAN!D:D,1,FALSE),$B522)=0,FALSE)</f>
        <v>0</v>
      </c>
      <c r="L522" s="52" t="b">
        <f>IFS(B522=FALSE,"", countif(VLOOKUP($B522,'01192022'!B:B,1,FALSE),$B522)&gt;=1,TRUE,countif(VLOOKUP($B522,'01192022'!B:B,1,FALSE),$B522)=0,FALSE)</f>
        <v>1</v>
      </c>
      <c r="M522" s="52" t="str">
        <f>ifs(AND($K522=FALSE,$L522=TRUE),"",AND($K522=FALSE,L522=FALSE),"",AND($K522=TRUE,$L522=TRUE),VLOOKUP($A522,UASCAN!D:F,3,0), AND($K522=TRUE,$L522=FALSE),VLOOKUP($A522,UASCAN!D:F,3,0))</f>
        <v/>
      </c>
      <c r="N522" s="53" t="str">
        <f t="shared" si="2"/>
        <v> </v>
      </c>
      <c r="O522" s="53" t="str">
        <f t="shared" si="3"/>
        <v/>
      </c>
    </row>
    <row r="523">
      <c r="A523" s="47" t="str">
        <f t="shared" si="1"/>
        <v>1458944580</v>
      </c>
      <c r="B523" s="48">
        <v>14589.0</v>
      </c>
      <c r="C523" s="49">
        <v>0.375</v>
      </c>
      <c r="D523" s="48" t="s">
        <v>3132</v>
      </c>
      <c r="E523" s="50">
        <v>24291.0</v>
      </c>
      <c r="F523" s="51">
        <v>44580.0</v>
      </c>
      <c r="G523" s="48" t="s">
        <v>6216</v>
      </c>
      <c r="H523" s="48" t="s">
        <v>6218</v>
      </c>
      <c r="I523" s="48" t="s">
        <v>6222</v>
      </c>
      <c r="J523" s="48" t="s">
        <v>6196</v>
      </c>
      <c r="K523" s="52" t="b">
        <f>IFS($B523=FALSE,"", countif(VLOOKUP($A523,UASCAN!D:D,1,FALSE),$A523)&gt;=1,TRUE,countif(VLOOKUP($B523,UASCAN!D:D,1,FALSE),$B523)=0,FALSE)</f>
        <v>0</v>
      </c>
      <c r="L523" s="52" t="b">
        <f>IFS(B523=FALSE,"", countif(VLOOKUP($B523,'01192022'!B:B,1,FALSE),$B523)&gt;=1,TRUE,countif(VLOOKUP($B523,'01192022'!B:B,1,FALSE),$B523)=0,FALSE)</f>
        <v>1</v>
      </c>
      <c r="M523" s="52" t="str">
        <f>ifs(AND($K523=FALSE,$L523=TRUE),"",AND($K523=FALSE,L523=FALSE),"",AND($K523=TRUE,$L523=TRUE),VLOOKUP($A523,UASCAN!D:F,3,0), AND($K523=TRUE,$L523=FALSE),VLOOKUP($A523,UASCAN!D:F,3,0))</f>
        <v/>
      </c>
      <c r="N523" s="53" t="str">
        <f t="shared" si="2"/>
        <v> </v>
      </c>
      <c r="O523" s="53" t="str">
        <f t="shared" si="3"/>
        <v/>
      </c>
    </row>
    <row r="524">
      <c r="A524" s="47" t="str">
        <f t="shared" si="1"/>
        <v>1112144580</v>
      </c>
      <c r="B524" s="48">
        <v>11121.0</v>
      </c>
      <c r="C524" s="49">
        <v>0.3854166666666667</v>
      </c>
      <c r="D524" s="48" t="s">
        <v>822</v>
      </c>
      <c r="E524" s="50">
        <v>24534.0</v>
      </c>
      <c r="F524" s="51">
        <v>44580.0</v>
      </c>
      <c r="G524" s="48" t="s">
        <v>6220</v>
      </c>
      <c r="H524" s="48" t="s">
        <v>6218</v>
      </c>
      <c r="I524" s="48" t="s">
        <v>6219</v>
      </c>
      <c r="J524" s="48" t="s">
        <v>6192</v>
      </c>
      <c r="K524" s="52" t="b">
        <f>IFS($B524=FALSE,"", countif(VLOOKUP($A524,UASCAN!D:D,1,FALSE),$A524)&gt;=1,TRUE,countif(VLOOKUP($B524,UASCAN!D:D,1,FALSE),$B524)=0,FALSE)</f>
        <v>0</v>
      </c>
      <c r="L524" s="52" t="b">
        <f>IFS(B524=FALSE,"", countif(VLOOKUP($B524,'01192022'!B:B,1,FALSE),$B524)&gt;=1,TRUE,countif(VLOOKUP($B524,'01192022'!B:B,1,FALSE),$B524)=0,FALSE)</f>
        <v>1</v>
      </c>
      <c r="M524" s="52" t="str">
        <f>ifs(AND($K524=FALSE,$L524=TRUE),"",AND($K524=FALSE,L524=FALSE),"",AND($K524=TRUE,$L524=TRUE),VLOOKUP($A524,UASCAN!D:F,3,0), AND($K524=TRUE,$L524=FALSE),VLOOKUP($A524,UASCAN!D:F,3,0))</f>
        <v/>
      </c>
      <c r="N524" s="53" t="str">
        <f t="shared" si="2"/>
        <v> </v>
      </c>
      <c r="O524" s="53" t="str">
        <f t="shared" si="3"/>
        <v/>
      </c>
    </row>
    <row r="525">
      <c r="A525" s="47" t="str">
        <f t="shared" si="1"/>
        <v>960844580</v>
      </c>
      <c r="B525" s="48">
        <v>9608.0</v>
      </c>
      <c r="C525" s="49">
        <v>0.3958333333333333</v>
      </c>
      <c r="D525" s="48" t="s">
        <v>232</v>
      </c>
      <c r="E525" s="50">
        <v>21736.0</v>
      </c>
      <c r="F525" s="51">
        <v>44580.0</v>
      </c>
      <c r="G525" s="48" t="s">
        <v>5</v>
      </c>
      <c r="H525" s="48" t="s">
        <v>6218</v>
      </c>
      <c r="I525" s="48" t="s">
        <v>6219</v>
      </c>
      <c r="J525" s="48" t="s">
        <v>6084</v>
      </c>
      <c r="K525" s="52" t="b">
        <f>IFS($B525=FALSE,"", countif(VLOOKUP($A525,UASCAN!D:D,1,FALSE),$A525)&gt;=1,TRUE,countif(VLOOKUP($B525,UASCAN!D:D,1,FALSE),$B525)=0,FALSE)</f>
        <v>0</v>
      </c>
      <c r="L525" s="52" t="b">
        <f>IFS(B525=FALSE,"", countif(VLOOKUP($B525,'01192022'!B:B,1,FALSE),$B525)&gt;=1,TRUE,countif(VLOOKUP($B525,'01192022'!B:B,1,FALSE),$B525)=0,FALSE)</f>
        <v>1</v>
      </c>
      <c r="M525" s="52" t="str">
        <f>ifs(AND($K525=FALSE,$L525=TRUE),"",AND($K525=FALSE,L525=FALSE),"",AND($K525=TRUE,$L525=TRUE),VLOOKUP($A525,UASCAN!D:F,3,0), AND($K525=TRUE,$L525=FALSE),VLOOKUP($A525,UASCAN!D:F,3,0))</f>
        <v/>
      </c>
      <c r="N525" s="53" t="str">
        <f t="shared" si="2"/>
        <v> </v>
      </c>
      <c r="O525" s="53" t="str">
        <f t="shared" si="3"/>
        <v/>
      </c>
    </row>
    <row r="526">
      <c r="A526" s="47" t="str">
        <f t="shared" si="1"/>
        <v>1637644580</v>
      </c>
      <c r="B526" s="48">
        <v>16376.0</v>
      </c>
      <c r="C526" s="49">
        <v>0.3958333333333333</v>
      </c>
      <c r="D526" s="48" t="s">
        <v>4648</v>
      </c>
      <c r="E526" s="50">
        <v>30915.0</v>
      </c>
      <c r="F526" s="51">
        <v>44580.0</v>
      </c>
      <c r="G526" s="48" t="s">
        <v>5</v>
      </c>
      <c r="H526" s="48" t="s">
        <v>6218</v>
      </c>
      <c r="I526" s="48" t="s">
        <v>6219</v>
      </c>
      <c r="J526" s="48" t="s">
        <v>6154</v>
      </c>
      <c r="K526" s="52" t="b">
        <f>IFS($B526=FALSE,"", countif(VLOOKUP($A526,UASCAN!D:D,1,FALSE),$A526)&gt;=1,TRUE,countif(VLOOKUP($B526,UASCAN!D:D,1,FALSE),$B526)=0,FALSE)</f>
        <v>0</v>
      </c>
      <c r="L526" s="52" t="b">
        <f>IFS(B526=FALSE,"", countif(VLOOKUP($B526,'01192022'!B:B,1,FALSE),$B526)&gt;=1,TRUE,countif(VLOOKUP($B526,'01192022'!B:B,1,FALSE),$B526)=0,FALSE)</f>
        <v>1</v>
      </c>
      <c r="M526" s="52" t="str">
        <f>ifs(AND($K526=FALSE,$L526=TRUE),"",AND($K526=FALSE,L526=FALSE),"",AND($K526=TRUE,$L526=TRUE),VLOOKUP($A526,UASCAN!D:F,3,0), AND($K526=TRUE,$L526=FALSE),VLOOKUP($A526,UASCAN!D:F,3,0))</f>
        <v/>
      </c>
      <c r="N526" s="53" t="str">
        <f t="shared" si="2"/>
        <v> </v>
      </c>
      <c r="O526" s="53" t="str">
        <f t="shared" si="3"/>
        <v/>
      </c>
    </row>
    <row r="527">
      <c r="A527" s="47" t="str">
        <f t="shared" si="1"/>
        <v>1500244580</v>
      </c>
      <c r="B527" s="48">
        <v>15002.0</v>
      </c>
      <c r="C527" s="49">
        <v>0.3958333333333333</v>
      </c>
      <c r="D527" s="48" t="s">
        <v>3476</v>
      </c>
      <c r="E527" s="50">
        <v>21001.0</v>
      </c>
      <c r="F527" s="51">
        <v>44580.0</v>
      </c>
      <c r="G527" s="48" t="s">
        <v>6215</v>
      </c>
      <c r="H527" s="48" t="s">
        <v>6218</v>
      </c>
      <c r="I527" s="48" t="s">
        <v>6222</v>
      </c>
      <c r="J527" s="48" t="s">
        <v>6155</v>
      </c>
      <c r="K527" s="52" t="b">
        <f>IFS($B527=FALSE,"", countif(VLOOKUP($A527,UASCAN!D:D,1,FALSE),$A527)&gt;=1,TRUE,countif(VLOOKUP($B527,UASCAN!D:D,1,FALSE),$B527)=0,FALSE)</f>
        <v>0</v>
      </c>
      <c r="L527" s="52" t="b">
        <f>IFS(B527=FALSE,"", countif(VLOOKUP($B527,'01192022'!B:B,1,FALSE),$B527)&gt;=1,TRUE,countif(VLOOKUP($B527,'01192022'!B:B,1,FALSE),$B527)=0,FALSE)</f>
        <v>1</v>
      </c>
      <c r="M527" s="52" t="str">
        <f>ifs(AND($K527=FALSE,$L527=TRUE),"",AND($K527=FALSE,L527=FALSE),"",AND($K527=TRUE,$L527=TRUE),VLOOKUP($A527,UASCAN!D:F,3,0), AND($K527=TRUE,$L527=FALSE),VLOOKUP($A527,UASCAN!D:F,3,0))</f>
        <v/>
      </c>
      <c r="N527" s="53" t="str">
        <f t="shared" si="2"/>
        <v> </v>
      </c>
      <c r="O527" s="53" t="str">
        <f t="shared" si="3"/>
        <v/>
      </c>
    </row>
    <row r="528">
      <c r="A528" s="47" t="str">
        <f t="shared" si="1"/>
        <v>1036444580</v>
      </c>
      <c r="B528" s="48">
        <v>10364.0</v>
      </c>
      <c r="C528" s="49">
        <v>0.40625</v>
      </c>
      <c r="D528" s="48" t="s">
        <v>516</v>
      </c>
      <c r="E528" s="50">
        <v>20316.0</v>
      </c>
      <c r="F528" s="51">
        <v>44580.0</v>
      </c>
      <c r="G528" s="48" t="s">
        <v>6216</v>
      </c>
      <c r="H528" s="48" t="s">
        <v>6211</v>
      </c>
      <c r="I528" s="48" t="s">
        <v>6221</v>
      </c>
      <c r="J528" s="48" t="s">
        <v>6196</v>
      </c>
      <c r="K528" s="52" t="b">
        <f>IFS($B528=FALSE,"", countif(VLOOKUP($A528,UASCAN!D:D,1,FALSE),$A528)&gt;=1,TRUE,countif(VLOOKUP($B528,UASCAN!D:D,1,FALSE),$B528)=0,FALSE)</f>
        <v>0</v>
      </c>
      <c r="L528" s="52" t="b">
        <f>IFS(B528=FALSE,"", countif(VLOOKUP($B528,'01192022'!B:B,1,FALSE),$B528)&gt;=1,TRUE,countif(VLOOKUP($B528,'01192022'!B:B,1,FALSE),$B528)=0,FALSE)</f>
        <v>1</v>
      </c>
      <c r="M528" s="52" t="str">
        <f>ifs(AND($K528=FALSE,$L528=TRUE),"",AND($K528=FALSE,L528=FALSE),"",AND($K528=TRUE,$L528=TRUE),VLOOKUP($A528,UASCAN!D:F,3,0), AND($K528=TRUE,$L528=FALSE),VLOOKUP($A528,UASCAN!D:F,3,0))</f>
        <v/>
      </c>
      <c r="N528" s="53" t="str">
        <f t="shared" si="2"/>
        <v> </v>
      </c>
      <c r="O528" s="53" t="str">
        <f t="shared" si="3"/>
        <v/>
      </c>
    </row>
    <row r="529">
      <c r="A529" s="47" t="str">
        <f t="shared" si="1"/>
        <v>1335544580</v>
      </c>
      <c r="B529" s="48">
        <v>13355.0</v>
      </c>
      <c r="C529" s="49">
        <v>0.40625</v>
      </c>
      <c r="D529" s="48" t="s">
        <v>2166</v>
      </c>
      <c r="E529" s="50">
        <v>27322.0</v>
      </c>
      <c r="F529" s="51">
        <v>44580.0</v>
      </c>
      <c r="G529" s="48" t="s">
        <v>5</v>
      </c>
      <c r="H529" s="48" t="s">
        <v>6218</v>
      </c>
      <c r="I529" s="48" t="s">
        <v>6222</v>
      </c>
      <c r="J529" s="48" t="s">
        <v>6202</v>
      </c>
      <c r="K529" s="52" t="b">
        <f>IFS($B529=FALSE,"", countif(VLOOKUP($A529,UASCAN!D:D,1,FALSE),$A529)&gt;=1,TRUE,countif(VLOOKUP($B529,UASCAN!D:D,1,FALSE),$B529)=0,FALSE)</f>
        <v>0</v>
      </c>
      <c r="L529" s="52" t="b">
        <f>IFS(B529=FALSE,"", countif(VLOOKUP($B529,'01192022'!B:B,1,FALSE),$B529)&gt;=1,TRUE,countif(VLOOKUP($B529,'01192022'!B:B,1,FALSE),$B529)=0,FALSE)</f>
        <v>1</v>
      </c>
      <c r="M529" s="52" t="str">
        <f>ifs(AND($K529=FALSE,$L529=TRUE),"",AND($K529=FALSE,L529=FALSE),"",AND($K529=TRUE,$L529=TRUE),VLOOKUP($A529,UASCAN!D:F,3,0), AND($K529=TRUE,$L529=FALSE),VLOOKUP($A529,UASCAN!D:F,3,0))</f>
        <v/>
      </c>
      <c r="N529" s="53" t="str">
        <f t="shared" si="2"/>
        <v> </v>
      </c>
      <c r="O529" s="53" t="str">
        <f t="shared" si="3"/>
        <v/>
      </c>
    </row>
    <row r="530">
      <c r="A530" s="47" t="str">
        <f t="shared" si="1"/>
        <v>1182944580</v>
      </c>
      <c r="B530" s="48">
        <v>11829.0</v>
      </c>
      <c r="C530" s="49">
        <v>0.4166666666666667</v>
      </c>
      <c r="D530" s="48" t="s">
        <v>1133</v>
      </c>
      <c r="E530" s="50">
        <v>23698.0</v>
      </c>
      <c r="F530" s="51">
        <v>44580.0</v>
      </c>
      <c r="G530" s="48" t="s">
        <v>6220</v>
      </c>
      <c r="H530" s="48" t="s">
        <v>6218</v>
      </c>
      <c r="I530" s="48" t="s">
        <v>6219</v>
      </c>
      <c r="J530" s="48" t="s">
        <v>6142</v>
      </c>
      <c r="K530" s="52" t="b">
        <f>IFS($B530=FALSE,"", countif(VLOOKUP($A530,UASCAN!D:D,1,FALSE),$A530)&gt;=1,TRUE,countif(VLOOKUP($B530,UASCAN!D:D,1,FALSE),$B530)=0,FALSE)</f>
        <v>0</v>
      </c>
      <c r="L530" s="52" t="b">
        <f>IFS(B530=FALSE,"", countif(VLOOKUP($B530,'01192022'!B:B,1,FALSE),$B530)&gt;=1,TRUE,countif(VLOOKUP($B530,'01192022'!B:B,1,FALSE),$B530)=0,FALSE)</f>
        <v>1</v>
      </c>
      <c r="M530" s="52" t="str">
        <f>ifs(AND($K530=FALSE,$L530=TRUE),"",AND($K530=FALSE,L530=FALSE),"",AND($K530=TRUE,$L530=TRUE),VLOOKUP($A530,UASCAN!D:F,3,0), AND($K530=TRUE,$L530=FALSE),VLOOKUP($A530,UASCAN!D:F,3,0))</f>
        <v/>
      </c>
      <c r="N530" s="53" t="str">
        <f t="shared" si="2"/>
        <v> </v>
      </c>
      <c r="O530" s="53" t="str">
        <f t="shared" si="3"/>
        <v/>
      </c>
    </row>
    <row r="531">
      <c r="A531" s="47" t="str">
        <f t="shared" si="1"/>
        <v>928344580</v>
      </c>
      <c r="B531" s="48">
        <v>9283.0</v>
      </c>
      <c r="C531" s="49">
        <v>0.4166666666666667</v>
      </c>
      <c r="D531" s="48" t="s">
        <v>131</v>
      </c>
      <c r="E531" s="50">
        <v>20483.0</v>
      </c>
      <c r="F531" s="51">
        <v>44580.0</v>
      </c>
      <c r="G531" s="48" t="s">
        <v>6215</v>
      </c>
      <c r="H531" s="48" t="s">
        <v>6218</v>
      </c>
      <c r="I531" s="48" t="s">
        <v>6222</v>
      </c>
      <c r="J531" s="48" t="s">
        <v>6137</v>
      </c>
      <c r="K531" s="52" t="b">
        <f>IFS($B531=FALSE,"", countif(VLOOKUP($A531,UASCAN!D:D,1,FALSE),$A531)&gt;=1,TRUE,countif(VLOOKUP($B531,UASCAN!D:D,1,FALSE),$B531)=0,FALSE)</f>
        <v>0</v>
      </c>
      <c r="L531" s="52" t="b">
        <f>IFS(B531=FALSE,"", countif(VLOOKUP($B531,'01192022'!B:B,1,FALSE),$B531)&gt;=1,TRUE,countif(VLOOKUP($B531,'01192022'!B:B,1,FALSE),$B531)=0,FALSE)</f>
        <v>1</v>
      </c>
      <c r="M531" s="52" t="str">
        <f>ifs(AND($K531=FALSE,$L531=TRUE),"",AND($K531=FALSE,L531=FALSE),"",AND($K531=TRUE,$L531=TRUE),VLOOKUP($A531,UASCAN!D:F,3,0), AND($K531=TRUE,$L531=FALSE),VLOOKUP($A531,UASCAN!D:F,3,0))</f>
        <v/>
      </c>
      <c r="N531" s="53" t="str">
        <f t="shared" si="2"/>
        <v> </v>
      </c>
      <c r="O531" s="53" t="str">
        <f t="shared" si="3"/>
        <v/>
      </c>
    </row>
    <row r="532">
      <c r="A532" s="47" t="str">
        <f t="shared" si="1"/>
        <v>1046644580</v>
      </c>
      <c r="B532" s="48">
        <v>10466.0</v>
      </c>
      <c r="C532" s="49">
        <v>0.4270833333333333</v>
      </c>
      <c r="D532" s="48" t="s">
        <v>559</v>
      </c>
      <c r="E532" s="50">
        <v>20330.0</v>
      </c>
      <c r="F532" s="51">
        <v>44580.0</v>
      </c>
      <c r="G532" s="48" t="s">
        <v>6215</v>
      </c>
      <c r="H532" s="48" t="s">
        <v>6218</v>
      </c>
      <c r="I532" s="48" t="s">
        <v>6222</v>
      </c>
      <c r="J532" s="48" t="s">
        <v>6199</v>
      </c>
      <c r="K532" s="52" t="b">
        <f>IFS($B532=FALSE,"", countif(VLOOKUP($A532,UASCAN!D:D,1,FALSE),$A532)&gt;=1,TRUE,countif(VLOOKUP($B532,UASCAN!D:D,1,FALSE),$B532)=0,FALSE)</f>
        <v>0</v>
      </c>
      <c r="L532" s="52" t="b">
        <f>IFS(B532=FALSE,"", countif(VLOOKUP($B532,'01192022'!B:B,1,FALSE),$B532)&gt;=1,TRUE,countif(VLOOKUP($B532,'01192022'!B:B,1,FALSE),$B532)=0,FALSE)</f>
        <v>1</v>
      </c>
      <c r="M532" s="52" t="str">
        <f>ifs(AND($K532=FALSE,$L532=TRUE),"",AND($K532=FALSE,L532=FALSE),"",AND($K532=TRUE,$L532=TRUE),VLOOKUP($A532,UASCAN!D:F,3,0), AND($K532=TRUE,$L532=FALSE),VLOOKUP($A532,UASCAN!D:F,3,0))</f>
        <v/>
      </c>
      <c r="N532" s="53" t="str">
        <f t="shared" si="2"/>
        <v> </v>
      </c>
      <c r="O532" s="53" t="str">
        <f t="shared" si="3"/>
        <v/>
      </c>
    </row>
    <row r="533">
      <c r="A533" s="47" t="str">
        <f t="shared" si="1"/>
        <v>983044580</v>
      </c>
      <c r="B533" s="48">
        <v>9830.0</v>
      </c>
      <c r="C533" s="49">
        <v>0.4375</v>
      </c>
      <c r="D533" s="48" t="s">
        <v>310</v>
      </c>
      <c r="E533" s="50">
        <v>24008.0</v>
      </c>
      <c r="F533" s="51">
        <v>44580.0</v>
      </c>
      <c r="G533" s="48" t="s">
        <v>5</v>
      </c>
      <c r="H533" s="48" t="s">
        <v>6218</v>
      </c>
      <c r="I533" s="48" t="s">
        <v>6219</v>
      </c>
      <c r="J533" s="48" t="s">
        <v>6154</v>
      </c>
      <c r="K533" s="52" t="b">
        <f>IFS($B533=FALSE,"", countif(VLOOKUP($A533,UASCAN!D:D,1,FALSE),$A533)&gt;=1,TRUE,countif(VLOOKUP($B533,UASCAN!D:D,1,FALSE),$B533)=0,FALSE)</f>
        <v>0</v>
      </c>
      <c r="L533" s="52" t="b">
        <f>IFS(B533=FALSE,"", countif(VLOOKUP($B533,'01192022'!B:B,1,FALSE),$B533)&gt;=1,TRUE,countif(VLOOKUP($B533,'01192022'!B:B,1,FALSE),$B533)=0,FALSE)</f>
        <v>1</v>
      </c>
      <c r="M533" s="52" t="str">
        <f>ifs(AND($K533=FALSE,$L533=TRUE),"",AND($K533=FALSE,L533=FALSE),"",AND($K533=TRUE,$L533=TRUE),VLOOKUP($A533,UASCAN!D:F,3,0), AND($K533=TRUE,$L533=FALSE),VLOOKUP($A533,UASCAN!D:F,3,0))</f>
        <v/>
      </c>
      <c r="N533" s="53" t="str">
        <f t="shared" si="2"/>
        <v> </v>
      </c>
      <c r="O533" s="53" t="str">
        <f t="shared" si="3"/>
        <v/>
      </c>
    </row>
    <row r="534">
      <c r="A534" s="47" t="str">
        <f t="shared" si="1"/>
        <v>1048144580</v>
      </c>
      <c r="B534" s="48">
        <v>10481.0</v>
      </c>
      <c r="C534" s="49">
        <v>0.4479166666666667</v>
      </c>
      <c r="D534" s="48" t="s">
        <v>566</v>
      </c>
      <c r="E534" s="50">
        <v>22006.0</v>
      </c>
      <c r="F534" s="51">
        <v>44580.0</v>
      </c>
      <c r="G534" s="48" t="s">
        <v>6215</v>
      </c>
      <c r="H534" s="48" t="s">
        <v>6211</v>
      </c>
      <c r="I534" s="48" t="s">
        <v>6221</v>
      </c>
      <c r="J534" s="48" t="s">
        <v>6137</v>
      </c>
      <c r="K534" s="52" t="b">
        <f>IFS($B534=FALSE,"", countif(VLOOKUP($A534,UASCAN!D:D,1,FALSE),$A534)&gt;=1,TRUE,countif(VLOOKUP($B534,UASCAN!D:D,1,FALSE),$B534)=0,FALSE)</f>
        <v>0</v>
      </c>
      <c r="L534" s="52" t="b">
        <f>IFS(B534=FALSE,"", countif(VLOOKUP($B534,'01192022'!B:B,1,FALSE),$B534)&gt;=1,TRUE,countif(VLOOKUP($B534,'01192022'!B:B,1,FALSE),$B534)=0,FALSE)</f>
        <v>1</v>
      </c>
      <c r="M534" s="52" t="str">
        <f>ifs(AND($K534=FALSE,$L534=TRUE),"",AND($K534=FALSE,L534=FALSE),"",AND($K534=TRUE,$L534=TRUE),VLOOKUP($A534,UASCAN!D:F,3,0), AND($K534=TRUE,$L534=FALSE),VLOOKUP($A534,UASCAN!D:F,3,0))</f>
        <v/>
      </c>
      <c r="N534" s="53" t="str">
        <f t="shared" si="2"/>
        <v> </v>
      </c>
      <c r="O534" s="53" t="str">
        <f t="shared" si="3"/>
        <v/>
      </c>
    </row>
    <row r="535">
      <c r="A535" s="47" t="str">
        <f t="shared" si="1"/>
        <v>1601944580</v>
      </c>
      <c r="B535" s="48">
        <v>16019.0</v>
      </c>
      <c r="C535" s="49">
        <v>0.4583333333333333</v>
      </c>
      <c r="D535" s="48" t="s">
        <v>4356</v>
      </c>
      <c r="E535" s="50">
        <v>27370.0</v>
      </c>
      <c r="F535" s="51">
        <v>44580.0</v>
      </c>
      <c r="G535" s="48" t="s">
        <v>6216</v>
      </c>
      <c r="H535" s="48" t="s">
        <v>6218</v>
      </c>
      <c r="I535" s="48" t="s">
        <v>6219</v>
      </c>
      <c r="J535" s="48" t="s">
        <v>6142</v>
      </c>
      <c r="K535" s="52" t="b">
        <f>IFS($B535=FALSE,"", countif(VLOOKUP($A535,UASCAN!D:D,1,FALSE),$A535)&gt;=1,TRUE,countif(VLOOKUP($B535,UASCAN!D:D,1,FALSE),$B535)=0,FALSE)</f>
        <v>0</v>
      </c>
      <c r="L535" s="52" t="b">
        <f>IFS(B535=FALSE,"", countif(VLOOKUP($B535,'01192022'!B:B,1,FALSE),$B535)&gt;=1,TRUE,countif(VLOOKUP($B535,'01192022'!B:B,1,FALSE),$B535)=0,FALSE)</f>
        <v>1</v>
      </c>
      <c r="M535" s="52" t="str">
        <f>ifs(AND($K535=FALSE,$L535=TRUE),"",AND($K535=FALSE,L535=FALSE),"",AND($K535=TRUE,$L535=TRUE),VLOOKUP($A535,UASCAN!D:F,3,0), AND($K535=TRUE,$L535=FALSE),VLOOKUP($A535,UASCAN!D:F,3,0))</f>
        <v/>
      </c>
      <c r="N535" s="53" t="str">
        <f t="shared" si="2"/>
        <v> </v>
      </c>
      <c r="O535" s="53" t="str">
        <f t="shared" si="3"/>
        <v/>
      </c>
    </row>
    <row r="536">
      <c r="A536" s="47" t="str">
        <f t="shared" si="1"/>
        <v>1582444580</v>
      </c>
      <c r="B536" s="48">
        <v>15824.0</v>
      </c>
      <c r="C536" s="49">
        <v>0.46875</v>
      </c>
      <c r="D536" s="48" t="s">
        <v>4181</v>
      </c>
      <c r="E536" s="50">
        <v>22206.0</v>
      </c>
      <c r="F536" s="51">
        <v>44580.0</v>
      </c>
      <c r="G536" s="48" t="s">
        <v>6220</v>
      </c>
      <c r="H536" s="48" t="s">
        <v>6211</v>
      </c>
      <c r="I536" s="48" t="s">
        <v>6221</v>
      </c>
      <c r="J536" s="48" t="s">
        <v>6195</v>
      </c>
      <c r="K536" s="52" t="b">
        <f>IFS($B536=FALSE,"", countif(VLOOKUP($A536,UASCAN!D:D,1,FALSE),$A536)&gt;=1,TRUE,countif(VLOOKUP($B536,UASCAN!D:D,1,FALSE),$B536)=0,FALSE)</f>
        <v>0</v>
      </c>
      <c r="L536" s="52" t="b">
        <f>IFS(B536=FALSE,"", countif(VLOOKUP($B536,'01192022'!B:B,1,FALSE),$B536)&gt;=1,TRUE,countif(VLOOKUP($B536,'01192022'!B:B,1,FALSE),$B536)=0,FALSE)</f>
        <v>1</v>
      </c>
      <c r="M536" s="52" t="str">
        <f>ifs(AND($K536=FALSE,$L536=TRUE),"",AND($K536=FALSE,L536=FALSE),"",AND($K536=TRUE,$L536=TRUE),VLOOKUP($A536,UASCAN!D:F,3,0), AND($K536=TRUE,$L536=FALSE),VLOOKUP($A536,UASCAN!D:F,3,0))</f>
        <v/>
      </c>
      <c r="N536" s="53" t="str">
        <f t="shared" si="2"/>
        <v> </v>
      </c>
      <c r="O536" s="53" t="str">
        <f t="shared" si="3"/>
        <v/>
      </c>
    </row>
    <row r="537">
      <c r="A537" s="47" t="str">
        <f t="shared" si="1"/>
        <v>1583544580</v>
      </c>
      <c r="B537" s="48">
        <v>15835.0</v>
      </c>
      <c r="C537" s="49">
        <v>0.4791666666666667</v>
      </c>
      <c r="D537" s="48" t="s">
        <v>4190</v>
      </c>
      <c r="E537" s="50">
        <v>21919.0</v>
      </c>
      <c r="F537" s="51">
        <v>44580.0</v>
      </c>
      <c r="G537" s="48" t="s">
        <v>6216</v>
      </c>
      <c r="H537" s="48" t="s">
        <v>6211</v>
      </c>
      <c r="I537" s="48" t="s">
        <v>6221</v>
      </c>
      <c r="J537" s="48" t="s">
        <v>6189</v>
      </c>
      <c r="K537" s="52" t="b">
        <f>IFS($B537=FALSE,"", countif(VLOOKUP($A537,UASCAN!D:D,1,FALSE),$A537)&gt;=1,TRUE,countif(VLOOKUP($B537,UASCAN!D:D,1,FALSE),$B537)=0,FALSE)</f>
        <v>0</v>
      </c>
      <c r="L537" s="52" t="b">
        <f>IFS(B537=FALSE,"", countif(VLOOKUP($B537,'01192022'!B:B,1,FALSE),$B537)&gt;=1,TRUE,countif(VLOOKUP($B537,'01192022'!B:B,1,FALSE),$B537)=0,FALSE)</f>
        <v>1</v>
      </c>
      <c r="M537" s="52" t="str">
        <f>ifs(AND($K537=FALSE,$L537=TRUE),"",AND($K537=FALSE,L537=FALSE),"",AND($K537=TRUE,$L537=TRUE),VLOOKUP($A537,UASCAN!D:F,3,0), AND($K537=TRUE,$L537=FALSE),VLOOKUP($A537,UASCAN!D:F,3,0))</f>
        <v/>
      </c>
      <c r="N537" s="53" t="str">
        <f t="shared" si="2"/>
        <v> </v>
      </c>
      <c r="O537" s="53" t="str">
        <f t="shared" si="3"/>
        <v/>
      </c>
    </row>
    <row r="538">
      <c r="A538" s="47" t="str">
        <f t="shared" si="1"/>
        <v>1602444580</v>
      </c>
      <c r="B538" s="48">
        <v>16024.0</v>
      </c>
      <c r="C538" s="49">
        <v>0.4895833333333333</v>
      </c>
      <c r="D538" s="48" t="s">
        <v>4360</v>
      </c>
      <c r="E538" s="50">
        <v>20948.0</v>
      </c>
      <c r="F538" s="51">
        <v>44580.0</v>
      </c>
      <c r="G538" s="48" t="s">
        <v>5</v>
      </c>
      <c r="H538" s="48" t="s">
        <v>6211</v>
      </c>
      <c r="I538" s="48" t="s">
        <v>6212</v>
      </c>
      <c r="J538" s="48" t="s">
        <v>6117</v>
      </c>
      <c r="K538" s="52" t="b">
        <f>IFS($B538=FALSE,"", countif(VLOOKUP($A538,UASCAN!D:D,1,FALSE),$A538)&gt;=1,TRUE,countif(VLOOKUP($B538,UASCAN!D:D,1,FALSE),$B538)=0,FALSE)</f>
        <v>0</v>
      </c>
      <c r="L538" s="52" t="b">
        <f>IFS(B538=FALSE,"", countif(VLOOKUP($B538,'01192022'!B:B,1,FALSE),$B538)&gt;=1,TRUE,countif(VLOOKUP($B538,'01192022'!B:B,1,FALSE),$B538)=0,FALSE)</f>
        <v>1</v>
      </c>
      <c r="M538" s="52" t="str">
        <f>ifs(AND($K538=FALSE,$L538=TRUE),"",AND($K538=FALSE,L538=FALSE),"",AND($K538=TRUE,$L538=TRUE),VLOOKUP($A538,UASCAN!D:F,3,0), AND($K538=TRUE,$L538=FALSE),VLOOKUP($A538,UASCAN!D:F,3,0))</f>
        <v/>
      </c>
      <c r="N538" s="53" t="str">
        <f t="shared" si="2"/>
        <v> </v>
      </c>
      <c r="O538" s="53" t="str">
        <f t="shared" si="3"/>
        <v/>
      </c>
    </row>
    <row r="539">
      <c r="A539" s="47" t="str">
        <f t="shared" si="1"/>
        <v>1792944580</v>
      </c>
      <c r="B539" s="48">
        <v>17929.0</v>
      </c>
      <c r="C539" s="49">
        <v>0.5416666666666666</v>
      </c>
      <c r="D539" s="48" t="s">
        <v>6228</v>
      </c>
      <c r="E539" s="50">
        <v>15674.0</v>
      </c>
      <c r="F539" s="51">
        <v>44580.0</v>
      </c>
      <c r="G539" s="48" t="s">
        <v>6214</v>
      </c>
      <c r="H539" s="48" t="s">
        <v>6211</v>
      </c>
      <c r="I539" s="48" t="s">
        <v>6221</v>
      </c>
      <c r="J539" s="48" t="s">
        <v>6189</v>
      </c>
      <c r="K539" s="52" t="b">
        <f>IFS($B539=FALSE,"", countif(VLOOKUP($A539,UASCAN!D:D,1,FALSE),$A539)&gt;=1,TRUE,countif(VLOOKUP($B539,UASCAN!D:D,1,FALSE),$B539)=0,FALSE)</f>
        <v>0</v>
      </c>
      <c r="L539" s="52" t="b">
        <f>IFS(B539=FALSE,"", countif(VLOOKUP($B539,'01192022'!B:B,1,FALSE),$B539)&gt;=1,TRUE,countif(VLOOKUP($B539,'01192022'!B:B,1,FALSE),$B539)=0,FALSE)</f>
        <v>1</v>
      </c>
      <c r="M539" s="52" t="str">
        <f>ifs(AND($K539=FALSE,$L539=TRUE),"",AND($K539=FALSE,L539=FALSE),"",AND($K539=TRUE,$L539=TRUE),VLOOKUP($A539,UASCAN!D:F,3,0), AND($K539=TRUE,$L539=FALSE),VLOOKUP($A539,UASCAN!D:F,3,0))</f>
        <v/>
      </c>
      <c r="N539" s="53" t="str">
        <f t="shared" si="2"/>
        <v> </v>
      </c>
      <c r="O539" s="53" t="str">
        <f t="shared" si="3"/>
        <v/>
      </c>
    </row>
    <row r="540">
      <c r="A540" s="47" t="str">
        <f t="shared" si="1"/>
        <v>1225944580</v>
      </c>
      <c r="B540" s="48">
        <v>12259.0</v>
      </c>
      <c r="C540" s="49">
        <v>0.5416666666666666</v>
      </c>
      <c r="D540" s="48" t="s">
        <v>1348</v>
      </c>
      <c r="E540" s="50">
        <v>19026.0</v>
      </c>
      <c r="F540" s="51">
        <v>44580.0</v>
      </c>
      <c r="G540" s="48" t="s">
        <v>6216</v>
      </c>
      <c r="H540" s="48" t="s">
        <v>6218</v>
      </c>
      <c r="I540" s="48" t="s">
        <v>6219</v>
      </c>
      <c r="J540" s="48" t="s">
        <v>6189</v>
      </c>
      <c r="K540" s="52" t="b">
        <f>IFS($B540=FALSE,"", countif(VLOOKUP($A540,UASCAN!D:D,1,FALSE),$A540)&gt;=1,TRUE,countif(VLOOKUP($B540,UASCAN!D:D,1,FALSE),$B540)=0,FALSE)</f>
        <v>0</v>
      </c>
      <c r="L540" s="52" t="b">
        <f>IFS(B540=FALSE,"", countif(VLOOKUP($B540,'01192022'!B:B,1,FALSE),$B540)&gt;=1,TRUE,countif(VLOOKUP($B540,'01192022'!B:B,1,FALSE),$B540)=0,FALSE)</f>
        <v>1</v>
      </c>
      <c r="M540" s="52" t="str">
        <f>ifs(AND($K540=FALSE,$L540=TRUE),"",AND($K540=FALSE,L540=FALSE),"",AND($K540=TRUE,$L540=TRUE),VLOOKUP($A540,UASCAN!D:F,3,0), AND($K540=TRUE,$L540=FALSE),VLOOKUP($A540,UASCAN!D:F,3,0))</f>
        <v/>
      </c>
      <c r="N540" s="53" t="str">
        <f t="shared" si="2"/>
        <v> </v>
      </c>
      <c r="O540" s="53" t="str">
        <f t="shared" si="3"/>
        <v/>
      </c>
    </row>
    <row r="541">
      <c r="A541" s="47" t="str">
        <f t="shared" si="1"/>
        <v>1740244580</v>
      </c>
      <c r="B541" s="48">
        <v>17402.0</v>
      </c>
      <c r="C541" s="49">
        <v>0.5520833333333334</v>
      </c>
      <c r="D541" s="48" t="s">
        <v>5445</v>
      </c>
      <c r="E541" s="50">
        <v>34747.0</v>
      </c>
      <c r="F541" s="51">
        <v>44580.0</v>
      </c>
      <c r="G541" s="48" t="s">
        <v>6213</v>
      </c>
      <c r="H541" s="48" t="s">
        <v>6211</v>
      </c>
      <c r="I541" s="48" t="s">
        <v>6212</v>
      </c>
      <c r="J541" s="48" t="s">
        <v>6084</v>
      </c>
      <c r="K541" s="52" t="b">
        <f>IFS($B541=FALSE,"", countif(VLOOKUP($A541,UASCAN!D:D,1,FALSE),$A541)&gt;=1,TRUE,countif(VLOOKUP($B541,UASCAN!D:D,1,FALSE),$B541)=0,FALSE)</f>
        <v>0</v>
      </c>
      <c r="L541" s="52" t="b">
        <f>IFS(B541=FALSE,"", countif(VLOOKUP($B541,'01192022'!B:B,1,FALSE),$B541)&gt;=1,TRUE,countif(VLOOKUP($B541,'01192022'!B:B,1,FALSE),$B541)=0,FALSE)</f>
        <v>1</v>
      </c>
      <c r="M541" s="52" t="str">
        <f>ifs(AND($K541=FALSE,$L541=TRUE),"",AND($K541=FALSE,L541=FALSE),"",AND($K541=TRUE,$L541=TRUE),VLOOKUP($A541,UASCAN!D:F,3,0), AND($K541=TRUE,$L541=FALSE),VLOOKUP($A541,UASCAN!D:F,3,0))</f>
        <v/>
      </c>
      <c r="N541" s="53" t="str">
        <f t="shared" si="2"/>
        <v> </v>
      </c>
      <c r="O541" s="53" t="str">
        <f t="shared" si="3"/>
        <v/>
      </c>
    </row>
    <row r="542">
      <c r="A542" s="47" t="str">
        <f t="shared" si="1"/>
        <v>1786944580</v>
      </c>
      <c r="B542" s="48">
        <v>17869.0</v>
      </c>
      <c r="C542" s="49">
        <v>0.5520833333333334</v>
      </c>
      <c r="D542" s="48" t="s">
        <v>6229</v>
      </c>
      <c r="E542" s="50">
        <v>14526.0</v>
      </c>
      <c r="F542" s="51">
        <v>44580.0</v>
      </c>
      <c r="G542" s="48" t="s">
        <v>6213</v>
      </c>
      <c r="H542" s="48" t="s">
        <v>6211</v>
      </c>
      <c r="I542" s="48" t="s">
        <v>6212</v>
      </c>
      <c r="J542" s="48" t="s">
        <v>6137</v>
      </c>
      <c r="K542" s="52" t="b">
        <f>IFS($B542=FALSE,"", countif(VLOOKUP($A542,UASCAN!D:D,1,FALSE),$A542)&gt;=1,TRUE,countif(VLOOKUP($B542,UASCAN!D:D,1,FALSE),$B542)=0,FALSE)</f>
        <v>0</v>
      </c>
      <c r="L542" s="52" t="b">
        <f>IFS(B542=FALSE,"", countif(VLOOKUP($B542,'01192022'!B:B,1,FALSE),$B542)&gt;=1,TRUE,countif(VLOOKUP($B542,'01192022'!B:B,1,FALSE),$B542)=0,FALSE)</f>
        <v>1</v>
      </c>
      <c r="M542" s="52" t="str">
        <f>ifs(AND($K542=FALSE,$L542=TRUE),"",AND($K542=FALSE,L542=FALSE),"",AND($K542=TRUE,$L542=TRUE),VLOOKUP($A542,UASCAN!D:F,3,0), AND($K542=TRUE,$L542=FALSE),VLOOKUP($A542,UASCAN!D:F,3,0))</f>
        <v/>
      </c>
      <c r="N542" s="53" t="str">
        <f t="shared" si="2"/>
        <v> </v>
      </c>
      <c r="O542" s="53" t="str">
        <f t="shared" si="3"/>
        <v/>
      </c>
    </row>
    <row r="543">
      <c r="A543" s="47" t="str">
        <f t="shared" si="1"/>
        <v>1788944580</v>
      </c>
      <c r="B543" s="48">
        <v>17889.0</v>
      </c>
      <c r="C543" s="49">
        <v>0.5520833333333334</v>
      </c>
      <c r="D543" s="48" t="s">
        <v>6230</v>
      </c>
      <c r="E543" s="50">
        <v>29350.0</v>
      </c>
      <c r="F543" s="51">
        <v>44580.0</v>
      </c>
      <c r="G543" s="48" t="s">
        <v>6213</v>
      </c>
      <c r="H543" s="48" t="s">
        <v>6211</v>
      </c>
      <c r="I543" s="48" t="s">
        <v>6212</v>
      </c>
      <c r="J543" s="48" t="s">
        <v>6199</v>
      </c>
      <c r="K543" s="52" t="b">
        <f>IFS($B543=FALSE,"", countif(VLOOKUP($A543,UASCAN!D:D,1,FALSE),$A543)&gt;=1,TRUE,countif(VLOOKUP($B543,UASCAN!D:D,1,FALSE),$B543)=0,FALSE)</f>
        <v>0</v>
      </c>
      <c r="L543" s="52" t="b">
        <f>IFS(B543=FALSE,"", countif(VLOOKUP($B543,'01192022'!B:B,1,FALSE),$B543)&gt;=1,TRUE,countif(VLOOKUP($B543,'01192022'!B:B,1,FALSE),$B543)=0,FALSE)</f>
        <v>1</v>
      </c>
      <c r="M543" s="52" t="str">
        <f>ifs(AND($K543=FALSE,$L543=TRUE),"",AND($K543=FALSE,L543=FALSE),"",AND($K543=TRUE,$L543=TRUE),VLOOKUP($A543,UASCAN!D:F,3,0), AND($K543=TRUE,$L543=FALSE),VLOOKUP($A543,UASCAN!D:F,3,0))</f>
        <v/>
      </c>
      <c r="N543" s="53" t="str">
        <f t="shared" si="2"/>
        <v> </v>
      </c>
      <c r="O543" s="53" t="str">
        <f t="shared" si="3"/>
        <v/>
      </c>
    </row>
    <row r="544">
      <c r="A544" s="47" t="str">
        <f t="shared" si="1"/>
        <v>1585244580</v>
      </c>
      <c r="B544" s="48">
        <v>15852.0</v>
      </c>
      <c r="C544" s="49">
        <v>0.5625</v>
      </c>
      <c r="D544" s="48" t="s">
        <v>4207</v>
      </c>
      <c r="E544" s="50">
        <v>12166.0</v>
      </c>
      <c r="F544" s="51">
        <v>44580.0</v>
      </c>
      <c r="G544" s="48" t="s">
        <v>5</v>
      </c>
      <c r="H544" s="48" t="s">
        <v>6211</v>
      </c>
      <c r="I544" s="48" t="s">
        <v>6221</v>
      </c>
      <c r="J544" s="48" t="s">
        <v>6137</v>
      </c>
      <c r="K544" s="52" t="b">
        <f>IFS($B544=FALSE,"", countif(VLOOKUP($A544,UASCAN!D:D,1,FALSE),$A544)&gt;=1,TRUE,countif(VLOOKUP($B544,UASCAN!D:D,1,FALSE),$B544)=0,FALSE)</f>
        <v>0</v>
      </c>
      <c r="L544" s="52" t="b">
        <f>IFS(B544=FALSE,"", countif(VLOOKUP($B544,'01192022'!B:B,1,FALSE),$B544)&gt;=1,TRUE,countif(VLOOKUP($B544,'01192022'!B:B,1,FALSE),$B544)=0,FALSE)</f>
        <v>1</v>
      </c>
      <c r="M544" s="52" t="str">
        <f>ifs(AND($K544=FALSE,$L544=TRUE),"",AND($K544=FALSE,L544=FALSE),"",AND($K544=TRUE,$L544=TRUE),VLOOKUP($A544,UASCAN!D:F,3,0), AND($K544=TRUE,$L544=FALSE),VLOOKUP($A544,UASCAN!D:F,3,0))</f>
        <v/>
      </c>
      <c r="N544" s="53" t="str">
        <f t="shared" si="2"/>
        <v> </v>
      </c>
      <c r="O544" s="53" t="str">
        <f t="shared" si="3"/>
        <v/>
      </c>
    </row>
    <row r="545">
      <c r="A545" s="47" t="str">
        <f t="shared" si="1"/>
        <v>984644580</v>
      </c>
      <c r="B545" s="48">
        <v>9846.0</v>
      </c>
      <c r="C545" s="49">
        <v>0.5625</v>
      </c>
      <c r="D545" s="48" t="s">
        <v>316</v>
      </c>
      <c r="E545" s="50">
        <v>25384.0</v>
      </c>
      <c r="F545" s="51">
        <v>44580.0</v>
      </c>
      <c r="G545" s="48" t="s">
        <v>6220</v>
      </c>
      <c r="H545" s="48" t="s">
        <v>6218</v>
      </c>
      <c r="I545" s="48" t="s">
        <v>6222</v>
      </c>
      <c r="J545" s="48" t="s">
        <v>6189</v>
      </c>
      <c r="K545" s="52" t="b">
        <f>IFS($B545=FALSE,"", countif(VLOOKUP($A545,UASCAN!D:D,1,FALSE),$A545)&gt;=1,TRUE,countif(VLOOKUP($B545,UASCAN!D:D,1,FALSE),$B545)=0,FALSE)</f>
        <v>0</v>
      </c>
      <c r="L545" s="52" t="b">
        <f>IFS(B545=FALSE,"", countif(VLOOKUP($B545,'01192022'!B:B,1,FALSE),$B545)&gt;=1,TRUE,countif(VLOOKUP($B545,'01192022'!B:B,1,FALSE),$B545)=0,FALSE)</f>
        <v>1</v>
      </c>
      <c r="M545" s="52" t="str">
        <f>ifs(AND($K545=FALSE,$L545=TRUE),"",AND($K545=FALSE,L545=FALSE),"",AND($K545=TRUE,$L545=TRUE),VLOOKUP($A545,UASCAN!D:F,3,0), AND($K545=TRUE,$L545=FALSE),VLOOKUP($A545,UASCAN!D:F,3,0))</f>
        <v/>
      </c>
      <c r="N545" s="53" t="str">
        <f t="shared" si="2"/>
        <v> </v>
      </c>
      <c r="O545" s="53" t="str">
        <f t="shared" si="3"/>
        <v/>
      </c>
    </row>
    <row r="546">
      <c r="A546" s="47" t="str">
        <f t="shared" si="1"/>
        <v>1064644580</v>
      </c>
      <c r="B546" s="48">
        <v>10646.0</v>
      </c>
      <c r="C546" s="49">
        <v>0.5729166666666666</v>
      </c>
      <c r="D546" s="48" t="s">
        <v>622</v>
      </c>
      <c r="E546" s="50">
        <v>12791.0</v>
      </c>
      <c r="F546" s="51">
        <v>44580.0</v>
      </c>
      <c r="G546" s="48" t="s">
        <v>6215</v>
      </c>
      <c r="H546" s="48" t="s">
        <v>6218</v>
      </c>
      <c r="I546" s="48" t="s">
        <v>6219</v>
      </c>
      <c r="J546" s="48" t="s">
        <v>6186</v>
      </c>
      <c r="K546" s="52" t="b">
        <f>IFS($B546=FALSE,"", countif(VLOOKUP($A546,UASCAN!D:D,1,FALSE),$A546)&gt;=1,TRUE,countif(VLOOKUP($B546,UASCAN!D:D,1,FALSE),$B546)=0,FALSE)</f>
        <v>0</v>
      </c>
      <c r="L546" s="52" t="b">
        <f>IFS(B546=FALSE,"", countif(VLOOKUP($B546,'01192022'!B:B,1,FALSE),$B546)&gt;=1,TRUE,countif(VLOOKUP($B546,'01192022'!B:B,1,FALSE),$B546)=0,FALSE)</f>
        <v>1</v>
      </c>
      <c r="M546" s="52" t="str">
        <f>ifs(AND($K546=FALSE,$L546=TRUE),"",AND($K546=FALSE,L546=FALSE),"",AND($K546=TRUE,$L546=TRUE),VLOOKUP($A546,UASCAN!D:F,3,0), AND($K546=TRUE,$L546=FALSE),VLOOKUP($A546,UASCAN!D:F,3,0))</f>
        <v/>
      </c>
      <c r="N546" s="53" t="str">
        <f t="shared" si="2"/>
        <v> </v>
      </c>
      <c r="O546" s="53" t="str">
        <f t="shared" si="3"/>
        <v/>
      </c>
    </row>
    <row r="547">
      <c r="A547" s="47" t="str">
        <f t="shared" si="1"/>
        <v>930944580</v>
      </c>
      <c r="B547" s="48">
        <v>9309.0</v>
      </c>
      <c r="C547" s="49">
        <v>0.5833333333333334</v>
      </c>
      <c r="D547" s="48" t="s">
        <v>139</v>
      </c>
      <c r="E547" s="50">
        <v>16967.0</v>
      </c>
      <c r="F547" s="51">
        <v>44580.0</v>
      </c>
      <c r="G547" s="48" t="s">
        <v>5</v>
      </c>
      <c r="H547" s="48" t="s">
        <v>6211</v>
      </c>
      <c r="I547" s="48" t="s">
        <v>6212</v>
      </c>
      <c r="J547" s="48" t="s">
        <v>6199</v>
      </c>
      <c r="K547" s="52" t="b">
        <f>IFS($B547=FALSE,"", countif(VLOOKUP($A547,UASCAN!D:D,1,FALSE),$A547)&gt;=1,TRUE,countif(VLOOKUP($B547,UASCAN!D:D,1,FALSE),$B547)=0,FALSE)</f>
        <v>0</v>
      </c>
      <c r="L547" s="52" t="b">
        <f>IFS(B547=FALSE,"", countif(VLOOKUP($B547,'01192022'!B:B,1,FALSE),$B547)&gt;=1,TRUE,countif(VLOOKUP($B547,'01192022'!B:B,1,FALSE),$B547)=0,FALSE)</f>
        <v>1</v>
      </c>
      <c r="M547" s="52" t="str">
        <f>ifs(AND($K547=FALSE,$L547=TRUE),"",AND($K547=FALSE,L547=FALSE),"",AND($K547=TRUE,$L547=TRUE),VLOOKUP($A547,UASCAN!D:F,3,0), AND($K547=TRUE,$L547=FALSE),VLOOKUP($A547,UASCAN!D:F,3,0))</f>
        <v/>
      </c>
      <c r="N547" s="53" t="str">
        <f t="shared" si="2"/>
        <v> </v>
      </c>
      <c r="O547" s="53" t="str">
        <f t="shared" si="3"/>
        <v/>
      </c>
    </row>
    <row r="548">
      <c r="A548" s="47" t="str">
        <f t="shared" si="1"/>
        <v>1652444580</v>
      </c>
      <c r="B548" s="48">
        <v>16524.0</v>
      </c>
      <c r="C548" s="49">
        <v>0.5833333333333334</v>
      </c>
      <c r="D548" s="48" t="s">
        <v>4759</v>
      </c>
      <c r="E548" s="50">
        <v>25485.0</v>
      </c>
      <c r="F548" s="51">
        <v>44580.0</v>
      </c>
      <c r="G548" s="48" t="s">
        <v>6215</v>
      </c>
      <c r="H548" s="48" t="s">
        <v>6218</v>
      </c>
      <c r="I548" s="48" t="s">
        <v>6219</v>
      </c>
      <c r="J548" s="48" t="s">
        <v>6089</v>
      </c>
      <c r="K548" s="52" t="b">
        <f>IFS($B548=FALSE,"", countif(VLOOKUP($A548,UASCAN!D:D,1,FALSE),$A548)&gt;=1,TRUE,countif(VLOOKUP($B548,UASCAN!D:D,1,FALSE),$B548)=0,FALSE)</f>
        <v>0</v>
      </c>
      <c r="L548" s="52" t="b">
        <f>IFS(B548=FALSE,"", countif(VLOOKUP($B548,'01192022'!B:B,1,FALSE),$B548)&gt;=1,TRUE,countif(VLOOKUP($B548,'01192022'!B:B,1,FALSE),$B548)=0,FALSE)</f>
        <v>1</v>
      </c>
      <c r="M548" s="52" t="str">
        <f>ifs(AND($K548=FALSE,$L548=TRUE),"",AND($K548=FALSE,L548=FALSE),"",AND($K548=TRUE,$L548=TRUE),VLOOKUP($A548,UASCAN!D:F,3,0), AND($K548=TRUE,$L548=FALSE),VLOOKUP($A548,UASCAN!D:F,3,0))</f>
        <v/>
      </c>
      <c r="N548" s="53" t="str">
        <f t="shared" si="2"/>
        <v> </v>
      </c>
      <c r="O548" s="53" t="str">
        <f t="shared" si="3"/>
        <v/>
      </c>
    </row>
    <row r="549">
      <c r="A549" s="47" t="str">
        <f t="shared" si="1"/>
        <v>1120044580</v>
      </c>
      <c r="B549" s="48">
        <v>11200.0</v>
      </c>
      <c r="C549" s="49">
        <v>0.5833333333333334</v>
      </c>
      <c r="D549" s="48" t="s">
        <v>859</v>
      </c>
      <c r="E549" s="50">
        <v>18775.0</v>
      </c>
      <c r="F549" s="51">
        <v>44580.0</v>
      </c>
      <c r="G549" s="48" t="s">
        <v>5</v>
      </c>
      <c r="H549" s="48" t="s">
        <v>6218</v>
      </c>
      <c r="I549" s="48" t="s">
        <v>6222</v>
      </c>
      <c r="J549" s="48" t="s">
        <v>6137</v>
      </c>
      <c r="K549" s="52" t="b">
        <f>IFS($B549=FALSE,"", countif(VLOOKUP($A549,UASCAN!D:D,1,FALSE),$A549)&gt;=1,TRUE,countif(VLOOKUP($B549,UASCAN!D:D,1,FALSE),$B549)=0,FALSE)</f>
        <v>0</v>
      </c>
      <c r="L549" s="52" t="b">
        <f>IFS(B549=FALSE,"", countif(VLOOKUP($B549,'01192022'!B:B,1,FALSE),$B549)&gt;=1,TRUE,countif(VLOOKUP($B549,'01192022'!B:B,1,FALSE),$B549)=0,FALSE)</f>
        <v>1</v>
      </c>
      <c r="M549" s="52" t="str">
        <f>ifs(AND($K549=FALSE,$L549=TRUE),"",AND($K549=FALSE,L549=FALSE),"",AND($K549=TRUE,$L549=TRUE),VLOOKUP($A549,UASCAN!D:F,3,0), AND($K549=TRUE,$L549=FALSE),VLOOKUP($A549,UASCAN!D:F,3,0))</f>
        <v/>
      </c>
      <c r="N549" s="53" t="str">
        <f t="shared" si="2"/>
        <v> </v>
      </c>
      <c r="O549" s="53" t="str">
        <f t="shared" si="3"/>
        <v/>
      </c>
    </row>
    <row r="550">
      <c r="A550" s="47" t="str">
        <f t="shared" si="1"/>
        <v>1565544580</v>
      </c>
      <c r="B550" s="48">
        <v>15655.0</v>
      </c>
      <c r="C550" s="49">
        <v>0.5833333333333334</v>
      </c>
      <c r="D550" s="48" t="s">
        <v>4027</v>
      </c>
      <c r="E550" s="50">
        <v>18038.0</v>
      </c>
      <c r="F550" s="51">
        <v>44580.0</v>
      </c>
      <c r="G550" s="48" t="s">
        <v>6216</v>
      </c>
      <c r="H550" s="48" t="s">
        <v>6218</v>
      </c>
      <c r="I550" s="48" t="s">
        <v>6222</v>
      </c>
      <c r="J550" s="48" t="s">
        <v>6192</v>
      </c>
      <c r="K550" s="52" t="b">
        <f>IFS($B550=FALSE,"", countif(VLOOKUP($A550,UASCAN!D:D,1,FALSE),$A550)&gt;=1,TRUE,countif(VLOOKUP($B550,UASCAN!D:D,1,FALSE),$B550)=0,FALSE)</f>
        <v>0</v>
      </c>
      <c r="L550" s="52" t="b">
        <f>IFS(B550=FALSE,"", countif(VLOOKUP($B550,'01192022'!B:B,1,FALSE),$B550)&gt;=1,TRUE,countif(VLOOKUP($B550,'01192022'!B:B,1,FALSE),$B550)=0,FALSE)</f>
        <v>1</v>
      </c>
      <c r="M550" s="52" t="str">
        <f>ifs(AND($K550=FALSE,$L550=TRUE),"",AND($K550=FALSE,L550=FALSE),"",AND($K550=TRUE,$L550=TRUE),VLOOKUP($A550,UASCAN!D:F,3,0), AND($K550=TRUE,$L550=FALSE),VLOOKUP($A550,UASCAN!D:F,3,0))</f>
        <v/>
      </c>
      <c r="N550" s="53" t="str">
        <f t="shared" si="2"/>
        <v> </v>
      </c>
      <c r="O550" s="53" t="str">
        <f t="shared" si="3"/>
        <v/>
      </c>
    </row>
    <row r="551">
      <c r="A551" s="47" t="str">
        <f t="shared" si="1"/>
        <v>1240944580</v>
      </c>
      <c r="B551" s="48">
        <v>12409.0</v>
      </c>
      <c r="C551" s="49">
        <v>0.59375</v>
      </c>
      <c r="D551" s="48" t="s">
        <v>1442</v>
      </c>
      <c r="E551" s="50">
        <v>27442.0</v>
      </c>
      <c r="F551" s="51">
        <v>44580.0</v>
      </c>
      <c r="G551" s="48" t="s">
        <v>6220</v>
      </c>
      <c r="H551" s="48" t="s">
        <v>6211</v>
      </c>
      <c r="I551" s="48" t="s">
        <v>6221</v>
      </c>
      <c r="J551" s="48" t="s">
        <v>6196</v>
      </c>
      <c r="K551" s="52" t="b">
        <f>IFS($B551=FALSE,"", countif(VLOOKUP($A551,UASCAN!D:D,1,FALSE),$A551)&gt;=1,TRUE,countif(VLOOKUP($B551,UASCAN!D:D,1,FALSE),$B551)=0,FALSE)</f>
        <v>0</v>
      </c>
      <c r="L551" s="52" t="b">
        <f>IFS(B551=FALSE,"", countif(VLOOKUP($B551,'01192022'!B:B,1,FALSE),$B551)&gt;=1,TRUE,countif(VLOOKUP($B551,'01192022'!B:B,1,FALSE),$B551)=0,FALSE)</f>
        <v>1</v>
      </c>
      <c r="M551" s="52" t="str">
        <f>ifs(AND($K551=FALSE,$L551=TRUE),"",AND($K551=FALSE,L551=FALSE),"",AND($K551=TRUE,$L551=TRUE),VLOOKUP($A551,UASCAN!D:F,3,0), AND($K551=TRUE,$L551=FALSE),VLOOKUP($A551,UASCAN!D:F,3,0))</f>
        <v/>
      </c>
      <c r="N551" s="53" t="str">
        <f t="shared" si="2"/>
        <v> </v>
      </c>
      <c r="O551" s="53" t="str">
        <f t="shared" si="3"/>
        <v/>
      </c>
    </row>
    <row r="552">
      <c r="A552" s="47" t="str">
        <f t="shared" si="1"/>
        <v>1037744580</v>
      </c>
      <c r="B552" s="48">
        <v>10377.0</v>
      </c>
      <c r="C552" s="49">
        <v>0.6041666666666666</v>
      </c>
      <c r="D552" s="48" t="s">
        <v>522</v>
      </c>
      <c r="E552" s="50">
        <v>20263.0</v>
      </c>
      <c r="F552" s="51">
        <v>44580.0</v>
      </c>
      <c r="G552" s="48" t="s">
        <v>6220</v>
      </c>
      <c r="H552" s="48" t="s">
        <v>6211</v>
      </c>
      <c r="I552" s="48" t="s">
        <v>6212</v>
      </c>
      <c r="J552" s="48" t="s">
        <v>6189</v>
      </c>
      <c r="K552" s="52" t="b">
        <f>IFS($B552=FALSE,"", countif(VLOOKUP($A552,UASCAN!D:D,1,FALSE),$A552)&gt;=1,TRUE,countif(VLOOKUP($B552,UASCAN!D:D,1,FALSE),$B552)=0,FALSE)</f>
        <v>0</v>
      </c>
      <c r="L552" s="52" t="b">
        <f>IFS(B552=FALSE,"", countif(VLOOKUP($B552,'01192022'!B:B,1,FALSE),$B552)&gt;=1,TRUE,countif(VLOOKUP($B552,'01192022'!B:B,1,FALSE),$B552)=0,FALSE)</f>
        <v>1</v>
      </c>
      <c r="M552" s="52" t="str">
        <f>ifs(AND($K552=FALSE,$L552=TRUE),"",AND($K552=FALSE,L552=FALSE),"",AND($K552=TRUE,$L552=TRUE),VLOOKUP($A552,UASCAN!D:F,3,0), AND($K552=TRUE,$L552=FALSE),VLOOKUP($A552,UASCAN!D:F,3,0))</f>
        <v/>
      </c>
      <c r="N552" s="53" t="str">
        <f t="shared" si="2"/>
        <v> </v>
      </c>
      <c r="O552" s="53" t="str">
        <f t="shared" si="3"/>
        <v/>
      </c>
    </row>
    <row r="553">
      <c r="A553" s="47" t="str">
        <f t="shared" si="1"/>
        <v>1779444580</v>
      </c>
      <c r="B553" s="48">
        <v>17794.0</v>
      </c>
      <c r="C553" s="49">
        <v>0.6041666666666666</v>
      </c>
      <c r="D553" s="48" t="s">
        <v>5984</v>
      </c>
      <c r="E553" s="50">
        <v>16034.0</v>
      </c>
      <c r="F553" s="51">
        <v>44580.0</v>
      </c>
      <c r="G553" s="48" t="s">
        <v>6213</v>
      </c>
      <c r="H553" s="48" t="s">
        <v>6211</v>
      </c>
      <c r="I553" s="48" t="s">
        <v>6212</v>
      </c>
      <c r="J553" s="48" t="s">
        <v>6167</v>
      </c>
      <c r="K553" s="52" t="b">
        <f>IFS($B553=FALSE,"", countif(VLOOKUP($A553,UASCAN!D:D,1,FALSE),$A553)&gt;=1,TRUE,countif(VLOOKUP($B553,UASCAN!D:D,1,FALSE),$B553)=0,FALSE)</f>
        <v>0</v>
      </c>
      <c r="L553" s="52" t="b">
        <f>IFS(B553=FALSE,"", countif(VLOOKUP($B553,'01192022'!B:B,1,FALSE),$B553)&gt;=1,TRUE,countif(VLOOKUP($B553,'01192022'!B:B,1,FALSE),$B553)=0,FALSE)</f>
        <v>1</v>
      </c>
      <c r="M553" s="52" t="str">
        <f>ifs(AND($K553=FALSE,$L553=TRUE),"",AND($K553=FALSE,L553=FALSE),"",AND($K553=TRUE,$L553=TRUE),VLOOKUP($A553,UASCAN!D:F,3,0), AND($K553=TRUE,$L553=FALSE),VLOOKUP($A553,UASCAN!D:F,3,0))</f>
        <v/>
      </c>
      <c r="N553" s="53" t="str">
        <f t="shared" si="2"/>
        <v> </v>
      </c>
      <c r="O553" s="53" t="str">
        <f t="shared" si="3"/>
        <v/>
      </c>
    </row>
    <row r="554">
      <c r="A554" s="47" t="str">
        <f t="shared" si="1"/>
        <v>1789544580</v>
      </c>
      <c r="B554" s="48">
        <v>17895.0</v>
      </c>
      <c r="C554" s="49">
        <v>0.6041666666666666</v>
      </c>
      <c r="D554" s="48" t="s">
        <v>6231</v>
      </c>
      <c r="E554" s="50">
        <v>25491.0</v>
      </c>
      <c r="F554" s="51">
        <v>44580.0</v>
      </c>
      <c r="G554" s="48" t="s">
        <v>6213</v>
      </c>
      <c r="H554" s="48" t="s">
        <v>6211</v>
      </c>
      <c r="I554" s="48" t="s">
        <v>6212</v>
      </c>
      <c r="J554" s="48" t="s">
        <v>6099</v>
      </c>
      <c r="K554" s="52" t="b">
        <f>IFS($B554=FALSE,"", countif(VLOOKUP($A554,UASCAN!D:D,1,FALSE),$A554)&gt;=1,TRUE,countif(VLOOKUP($B554,UASCAN!D:D,1,FALSE),$B554)=0,FALSE)</f>
        <v>0</v>
      </c>
      <c r="L554" s="52" t="b">
        <f>IFS(B554=FALSE,"", countif(VLOOKUP($B554,'01192022'!B:B,1,FALSE),$B554)&gt;=1,TRUE,countif(VLOOKUP($B554,'01192022'!B:B,1,FALSE),$B554)=0,FALSE)</f>
        <v>1</v>
      </c>
      <c r="M554" s="52" t="str">
        <f>ifs(AND($K554=FALSE,$L554=TRUE),"",AND($K554=FALSE,L554=FALSE),"",AND($K554=TRUE,$L554=TRUE),VLOOKUP($A554,UASCAN!D:F,3,0), AND($K554=TRUE,$L554=FALSE),VLOOKUP($A554,UASCAN!D:F,3,0))</f>
        <v/>
      </c>
      <c r="N554" s="53" t="str">
        <f t="shared" si="2"/>
        <v> </v>
      </c>
      <c r="O554" s="53" t="str">
        <f t="shared" si="3"/>
        <v/>
      </c>
    </row>
    <row r="555">
      <c r="A555" s="47" t="str">
        <f t="shared" si="1"/>
        <v>1558044580</v>
      </c>
      <c r="B555" s="48">
        <v>15580.0</v>
      </c>
      <c r="C555" s="49">
        <v>0.6041666666666666</v>
      </c>
      <c r="D555" s="48" t="s">
        <v>763</v>
      </c>
      <c r="E555" s="50">
        <v>19803.0</v>
      </c>
      <c r="F555" s="51">
        <v>44580.0</v>
      </c>
      <c r="G555" s="48" t="s">
        <v>6216</v>
      </c>
      <c r="H555" s="48" t="s">
        <v>6211</v>
      </c>
      <c r="I555" s="48" t="s">
        <v>6221</v>
      </c>
      <c r="J555" s="48" t="s">
        <v>6196</v>
      </c>
      <c r="K555" s="52" t="b">
        <f>IFS($B555=FALSE,"", countif(VLOOKUP($A555,UASCAN!D:D,1,FALSE),$A555)&gt;=1,TRUE,countif(VLOOKUP($B555,UASCAN!D:D,1,FALSE),$B555)=0,FALSE)</f>
        <v>0</v>
      </c>
      <c r="L555" s="52" t="b">
        <f>IFS(B555=FALSE,"", countif(VLOOKUP($B555,'01192022'!B:B,1,FALSE),$B555)&gt;=1,TRUE,countif(VLOOKUP($B555,'01192022'!B:B,1,FALSE),$B555)=0,FALSE)</f>
        <v>1</v>
      </c>
      <c r="M555" s="52" t="str">
        <f>ifs(AND($K555=FALSE,$L555=TRUE),"",AND($K555=FALSE,L555=FALSE),"",AND($K555=TRUE,$L555=TRUE),VLOOKUP($A555,UASCAN!D:F,3,0), AND($K555=TRUE,$L555=FALSE),VLOOKUP($A555,UASCAN!D:F,3,0))</f>
        <v/>
      </c>
      <c r="N555" s="53" t="str">
        <f t="shared" si="2"/>
        <v> </v>
      </c>
      <c r="O555" s="53" t="str">
        <f t="shared" si="3"/>
        <v/>
      </c>
    </row>
    <row r="556">
      <c r="A556" s="47" t="str">
        <f t="shared" si="1"/>
        <v>915344580</v>
      </c>
      <c r="B556" s="48">
        <v>9153.0</v>
      </c>
      <c r="C556" s="49">
        <v>0.6041666666666666</v>
      </c>
      <c r="D556" s="48" t="s">
        <v>38</v>
      </c>
      <c r="E556" s="50">
        <v>24623.0</v>
      </c>
      <c r="F556" s="51">
        <v>44580.0</v>
      </c>
      <c r="G556" s="48" t="s">
        <v>6215</v>
      </c>
      <c r="H556" s="48" t="s">
        <v>6218</v>
      </c>
      <c r="I556" s="48" t="s">
        <v>6219</v>
      </c>
      <c r="J556" s="48" t="s">
        <v>6187</v>
      </c>
      <c r="K556" s="52" t="b">
        <f>IFS($B556=FALSE,"", countif(VLOOKUP($A556,UASCAN!D:D,1,FALSE),$A556)&gt;=1,TRUE,countif(VLOOKUP($B556,UASCAN!D:D,1,FALSE),$B556)=0,FALSE)</f>
        <v>0</v>
      </c>
      <c r="L556" s="52" t="b">
        <f>IFS(B556=FALSE,"", countif(VLOOKUP($B556,'01192022'!B:B,1,FALSE),$B556)&gt;=1,TRUE,countif(VLOOKUP($B556,'01192022'!B:B,1,FALSE),$B556)=0,FALSE)</f>
        <v>1</v>
      </c>
      <c r="M556" s="52" t="str">
        <f>ifs(AND($K556=FALSE,$L556=TRUE),"",AND($K556=FALSE,L556=FALSE),"",AND($K556=TRUE,$L556=TRUE),VLOOKUP($A556,UASCAN!D:F,3,0), AND($K556=TRUE,$L556=FALSE),VLOOKUP($A556,UASCAN!D:F,3,0))</f>
        <v/>
      </c>
      <c r="N556" s="53" t="str">
        <f t="shared" si="2"/>
        <v> </v>
      </c>
      <c r="O556" s="53" t="str">
        <f t="shared" si="3"/>
        <v/>
      </c>
    </row>
    <row r="557">
      <c r="A557" s="47" t="str">
        <f t="shared" si="1"/>
        <v>961644580</v>
      </c>
      <c r="B557" s="48">
        <v>9616.0</v>
      </c>
      <c r="C557" s="49">
        <v>0.6041666666666666</v>
      </c>
      <c r="D557" s="48" t="s">
        <v>236</v>
      </c>
      <c r="E557" s="50">
        <v>19613.0</v>
      </c>
      <c r="F557" s="51">
        <v>44580.0</v>
      </c>
      <c r="G557" s="48" t="s">
        <v>5</v>
      </c>
      <c r="H557" s="48" t="s">
        <v>6218</v>
      </c>
      <c r="I557" s="48" t="s">
        <v>6219</v>
      </c>
      <c r="J557" s="48" t="s">
        <v>6158</v>
      </c>
      <c r="K557" s="52" t="b">
        <f>IFS($B557=FALSE,"", countif(VLOOKUP($A557,UASCAN!D:D,1,FALSE),$A557)&gt;=1,TRUE,countif(VLOOKUP($B557,UASCAN!D:D,1,FALSE),$B557)=0,FALSE)</f>
        <v>0</v>
      </c>
      <c r="L557" s="52" t="b">
        <f>IFS(B557=FALSE,"", countif(VLOOKUP($B557,'01192022'!B:B,1,FALSE),$B557)&gt;=1,TRUE,countif(VLOOKUP($B557,'01192022'!B:B,1,FALSE),$B557)=0,FALSE)</f>
        <v>1</v>
      </c>
      <c r="M557" s="52" t="str">
        <f>ifs(AND($K557=FALSE,$L557=TRUE),"",AND($K557=FALSE,L557=FALSE),"",AND($K557=TRUE,$L557=TRUE),VLOOKUP($A557,UASCAN!D:F,3,0), AND($K557=TRUE,$L557=FALSE),VLOOKUP($A557,UASCAN!D:F,3,0))</f>
        <v/>
      </c>
      <c r="N557" s="53" t="str">
        <f t="shared" si="2"/>
        <v> </v>
      </c>
      <c r="O557" s="53" t="str">
        <f t="shared" si="3"/>
        <v/>
      </c>
    </row>
    <row r="558">
      <c r="A558" s="47" t="str">
        <f t="shared" si="1"/>
        <v>1302344580</v>
      </c>
      <c r="B558" s="48">
        <v>13023.0</v>
      </c>
      <c r="C558" s="49">
        <v>0.6145833333333334</v>
      </c>
      <c r="D558" s="48" t="s">
        <v>1909</v>
      </c>
      <c r="E558" s="50">
        <v>11936.0</v>
      </c>
      <c r="F558" s="51">
        <v>44580.0</v>
      </c>
      <c r="G558" s="48" t="s">
        <v>5</v>
      </c>
      <c r="H558" s="48" t="s">
        <v>6211</v>
      </c>
      <c r="I558" s="48" t="s">
        <v>6221</v>
      </c>
      <c r="J558" s="48" t="s">
        <v>6137</v>
      </c>
      <c r="K558" s="52" t="b">
        <f>IFS($B558=FALSE,"", countif(VLOOKUP($A558,UASCAN!D:D,1,FALSE),$A558)&gt;=1,TRUE,countif(VLOOKUP($B558,UASCAN!D:D,1,FALSE),$B558)=0,FALSE)</f>
        <v>0</v>
      </c>
      <c r="L558" s="52" t="b">
        <f>IFS(B558=FALSE,"", countif(VLOOKUP($B558,'01192022'!B:B,1,FALSE),$B558)&gt;=1,TRUE,countif(VLOOKUP($B558,'01192022'!B:B,1,FALSE),$B558)=0,FALSE)</f>
        <v>1</v>
      </c>
      <c r="M558" s="52" t="str">
        <f>ifs(AND($K558=FALSE,$L558=TRUE),"",AND($K558=FALSE,L558=FALSE),"",AND($K558=TRUE,$L558=TRUE),VLOOKUP($A558,UASCAN!D:F,3,0), AND($K558=TRUE,$L558=FALSE),VLOOKUP($A558,UASCAN!D:F,3,0))</f>
        <v/>
      </c>
      <c r="N558" s="53" t="str">
        <f t="shared" si="2"/>
        <v> </v>
      </c>
      <c r="O558" s="53" t="str">
        <f t="shared" si="3"/>
        <v/>
      </c>
    </row>
    <row r="559">
      <c r="A559" s="47" t="str">
        <f t="shared" si="1"/>
        <v>1745444580</v>
      </c>
      <c r="B559" s="48">
        <v>17454.0</v>
      </c>
      <c r="C559" s="49">
        <v>0.6145833333333334</v>
      </c>
      <c r="D559" s="48" t="s">
        <v>5483</v>
      </c>
      <c r="E559" s="50">
        <v>14356.0</v>
      </c>
      <c r="F559" s="51">
        <v>44580.0</v>
      </c>
      <c r="G559" s="48" t="s">
        <v>6220</v>
      </c>
      <c r="H559" s="48" t="s">
        <v>6211</v>
      </c>
      <c r="I559" s="48" t="s">
        <v>6221</v>
      </c>
      <c r="J559" s="48" t="s">
        <v>6195</v>
      </c>
      <c r="K559" s="52" t="b">
        <f>IFS($B559=FALSE,"", countif(VLOOKUP($A559,UASCAN!D:D,1,FALSE),$A559)&gt;=1,TRUE,countif(VLOOKUP($B559,UASCAN!D:D,1,FALSE),$B559)=0,FALSE)</f>
        <v>0</v>
      </c>
      <c r="L559" s="52" t="b">
        <f>IFS(B559=FALSE,"", countif(VLOOKUP($B559,'01192022'!B:B,1,FALSE),$B559)&gt;=1,TRUE,countif(VLOOKUP($B559,'01192022'!B:B,1,FALSE),$B559)=0,FALSE)</f>
        <v>1</v>
      </c>
      <c r="M559" s="52" t="str">
        <f>ifs(AND($K559=FALSE,$L559=TRUE),"",AND($K559=FALSE,L559=FALSE),"",AND($K559=TRUE,$L559=TRUE),VLOOKUP($A559,UASCAN!D:F,3,0), AND($K559=TRUE,$L559=FALSE),VLOOKUP($A559,UASCAN!D:F,3,0))</f>
        <v/>
      </c>
      <c r="N559" s="53" t="str">
        <f t="shared" si="2"/>
        <v> </v>
      </c>
      <c r="O559" s="53" t="str">
        <f t="shared" si="3"/>
        <v/>
      </c>
    </row>
    <row r="560">
      <c r="A560" s="47" t="str">
        <f t="shared" si="1"/>
        <v>1692744580</v>
      </c>
      <c r="B560" s="48">
        <v>16927.0</v>
      </c>
      <c r="C560" s="49">
        <v>0.6145833333333334</v>
      </c>
      <c r="D560" s="48" t="s">
        <v>5067</v>
      </c>
      <c r="E560" s="50">
        <v>19924.0</v>
      </c>
      <c r="F560" s="51">
        <v>44580.0</v>
      </c>
      <c r="G560" s="48" t="s">
        <v>6215</v>
      </c>
      <c r="H560" s="48" t="s">
        <v>6218</v>
      </c>
      <c r="I560" s="48" t="s">
        <v>6222</v>
      </c>
      <c r="J560" s="48" t="s">
        <v>6186</v>
      </c>
      <c r="K560" s="52" t="b">
        <f>IFS($B560=FALSE,"", countif(VLOOKUP($A560,UASCAN!D:D,1,FALSE),$A560)&gt;=1,TRUE,countif(VLOOKUP($B560,UASCAN!D:D,1,FALSE),$B560)=0,FALSE)</f>
        <v>0</v>
      </c>
      <c r="L560" s="52" t="b">
        <f>IFS(B560=FALSE,"", countif(VLOOKUP($B560,'01192022'!B:B,1,FALSE),$B560)&gt;=1,TRUE,countif(VLOOKUP($B560,'01192022'!B:B,1,FALSE),$B560)=0,FALSE)</f>
        <v>1</v>
      </c>
      <c r="M560" s="52" t="str">
        <f>ifs(AND($K560=FALSE,$L560=TRUE),"",AND($K560=FALSE,L560=FALSE),"",AND($K560=TRUE,$L560=TRUE),VLOOKUP($A560,UASCAN!D:F,3,0), AND($K560=TRUE,$L560=FALSE),VLOOKUP($A560,UASCAN!D:F,3,0))</f>
        <v/>
      </c>
      <c r="N560" s="53" t="str">
        <f t="shared" si="2"/>
        <v> </v>
      </c>
      <c r="O560" s="53" t="str">
        <f t="shared" si="3"/>
        <v/>
      </c>
    </row>
    <row r="561">
      <c r="A561" s="47" t="str">
        <f t="shared" si="1"/>
        <v>1145244580</v>
      </c>
      <c r="B561" s="48">
        <v>11452.0</v>
      </c>
      <c r="C561" s="49">
        <v>0.625</v>
      </c>
      <c r="D561" s="48" t="s">
        <v>963</v>
      </c>
      <c r="E561" s="50">
        <v>28273.0</v>
      </c>
      <c r="F561" s="51">
        <v>44580.0</v>
      </c>
      <c r="G561" s="48" t="s">
        <v>5</v>
      </c>
      <c r="H561" s="48" t="s">
        <v>6211</v>
      </c>
      <c r="I561" s="48" t="s">
        <v>6212</v>
      </c>
      <c r="J561" s="48" t="s">
        <v>6101</v>
      </c>
      <c r="K561" s="52" t="b">
        <f>IFS($B561=FALSE,"", countif(VLOOKUP($A561,UASCAN!D:D,1,FALSE),$A561)&gt;=1,TRUE,countif(VLOOKUP($B561,UASCAN!D:D,1,FALSE),$B561)=0,FALSE)</f>
        <v>0</v>
      </c>
      <c r="L561" s="52" t="b">
        <f>IFS(B561=FALSE,"", countif(VLOOKUP($B561,'01192022'!B:B,1,FALSE),$B561)&gt;=1,TRUE,countif(VLOOKUP($B561,'01192022'!B:B,1,FALSE),$B561)=0,FALSE)</f>
        <v>1</v>
      </c>
      <c r="M561" s="52" t="str">
        <f>ifs(AND($K561=FALSE,$L561=TRUE),"",AND($K561=FALSE,L561=FALSE),"",AND($K561=TRUE,$L561=TRUE),VLOOKUP($A561,UASCAN!D:F,3,0), AND($K561=TRUE,$L561=FALSE),VLOOKUP($A561,UASCAN!D:F,3,0))</f>
        <v/>
      </c>
      <c r="N561" s="53" t="str">
        <f t="shared" si="2"/>
        <v> </v>
      </c>
      <c r="O561" s="53" t="str">
        <f t="shared" si="3"/>
        <v/>
      </c>
    </row>
    <row r="562">
      <c r="A562" s="47" t="str">
        <f t="shared" si="1"/>
        <v>1265944580</v>
      </c>
      <c r="B562" s="48">
        <v>12659.0</v>
      </c>
      <c r="C562" s="49">
        <v>0.625</v>
      </c>
      <c r="D562" s="48" t="s">
        <v>1610</v>
      </c>
      <c r="E562" s="50">
        <v>32702.0</v>
      </c>
      <c r="F562" s="51">
        <v>44580.0</v>
      </c>
      <c r="G562" s="48" t="s">
        <v>5</v>
      </c>
      <c r="H562" s="48" t="s">
        <v>6218</v>
      </c>
      <c r="I562" s="48" t="s">
        <v>6219</v>
      </c>
      <c r="J562" s="48" t="s">
        <v>6126</v>
      </c>
      <c r="K562" s="52" t="b">
        <f>IFS($B562=FALSE,"", countif(VLOOKUP($A562,UASCAN!D:D,1,FALSE),$A562)&gt;=1,TRUE,countif(VLOOKUP($B562,UASCAN!D:D,1,FALSE),$B562)=0,FALSE)</f>
        <v>0</v>
      </c>
      <c r="L562" s="52" t="b">
        <f>IFS(B562=FALSE,"", countif(VLOOKUP($B562,'01192022'!B:B,1,FALSE),$B562)&gt;=1,TRUE,countif(VLOOKUP($B562,'01192022'!B:B,1,FALSE),$B562)=0,FALSE)</f>
        <v>1</v>
      </c>
      <c r="M562" s="52" t="str">
        <f>ifs(AND($K562=FALSE,$L562=TRUE),"",AND($K562=FALSE,L562=FALSE),"",AND($K562=TRUE,$L562=TRUE),VLOOKUP($A562,UASCAN!D:F,3,0), AND($K562=TRUE,$L562=FALSE),VLOOKUP($A562,UASCAN!D:F,3,0))</f>
        <v/>
      </c>
      <c r="N562" s="53" t="str">
        <f t="shared" si="2"/>
        <v> </v>
      </c>
      <c r="O562" s="53" t="str">
        <f t="shared" si="3"/>
        <v/>
      </c>
    </row>
    <row r="563">
      <c r="A563" s="47" t="str">
        <f t="shared" si="1"/>
        <v>1702244580</v>
      </c>
      <c r="B563" s="48">
        <v>17022.0</v>
      </c>
      <c r="C563" s="49">
        <v>0.625</v>
      </c>
      <c r="D563" s="48" t="s">
        <v>5142</v>
      </c>
      <c r="E563" s="50">
        <v>24614.0</v>
      </c>
      <c r="F563" s="51">
        <v>44580.0</v>
      </c>
      <c r="G563" s="48" t="s">
        <v>5</v>
      </c>
      <c r="H563" s="48" t="s">
        <v>6218</v>
      </c>
      <c r="I563" s="48" t="s">
        <v>6222</v>
      </c>
      <c r="J563" s="48" t="s">
        <v>6089</v>
      </c>
      <c r="K563" s="52" t="b">
        <f>IFS($B563=FALSE,"", countif(VLOOKUP($A563,UASCAN!D:D,1,FALSE),$A563)&gt;=1,TRUE,countif(VLOOKUP($B563,UASCAN!D:D,1,FALSE),$B563)=0,FALSE)</f>
        <v>0</v>
      </c>
      <c r="L563" s="52" t="b">
        <f>IFS(B563=FALSE,"", countif(VLOOKUP($B563,'01192022'!B:B,1,FALSE),$B563)&gt;=1,TRUE,countif(VLOOKUP($B563,'01192022'!B:B,1,FALSE),$B563)=0,FALSE)</f>
        <v>1</v>
      </c>
      <c r="M563" s="52" t="str">
        <f>ifs(AND($K563=FALSE,$L563=TRUE),"",AND($K563=FALSE,L563=FALSE),"",AND($K563=TRUE,$L563=TRUE),VLOOKUP($A563,UASCAN!D:F,3,0), AND($K563=TRUE,$L563=FALSE),VLOOKUP($A563,UASCAN!D:F,3,0))</f>
        <v/>
      </c>
      <c r="N563" s="53" t="str">
        <f t="shared" si="2"/>
        <v> </v>
      </c>
      <c r="O563" s="53" t="str">
        <f t="shared" si="3"/>
        <v/>
      </c>
    </row>
    <row r="564">
      <c r="A564" s="47" t="str">
        <f t="shared" si="1"/>
        <v>1107244580</v>
      </c>
      <c r="B564" s="48">
        <v>11072.0</v>
      </c>
      <c r="C564" s="49">
        <v>0.6354166666666666</v>
      </c>
      <c r="D564" s="48" t="s">
        <v>797</v>
      </c>
      <c r="E564" s="50">
        <v>27956.0</v>
      </c>
      <c r="F564" s="51">
        <v>44580.0</v>
      </c>
      <c r="G564" s="48" t="s">
        <v>5</v>
      </c>
      <c r="H564" s="48" t="s">
        <v>6211</v>
      </c>
      <c r="I564" s="48" t="s">
        <v>6212</v>
      </c>
      <c r="J564" s="48" t="s">
        <v>6101</v>
      </c>
      <c r="K564" s="52" t="b">
        <f>IFS($B564=FALSE,"", countif(VLOOKUP($A564,UASCAN!D:D,1,FALSE),$A564)&gt;=1,TRUE,countif(VLOOKUP($B564,UASCAN!D:D,1,FALSE),$B564)=0,FALSE)</f>
        <v>0</v>
      </c>
      <c r="L564" s="52" t="b">
        <f>IFS(B564=FALSE,"", countif(VLOOKUP($B564,'01192022'!B:B,1,FALSE),$B564)&gt;=1,TRUE,countif(VLOOKUP($B564,'01192022'!B:B,1,FALSE),$B564)=0,FALSE)</f>
        <v>1</v>
      </c>
      <c r="M564" s="52" t="str">
        <f>ifs(AND($K564=FALSE,$L564=TRUE),"",AND($K564=FALSE,L564=FALSE),"",AND($K564=TRUE,$L564=TRUE),VLOOKUP($A564,UASCAN!D:F,3,0), AND($K564=TRUE,$L564=FALSE),VLOOKUP($A564,UASCAN!D:F,3,0))</f>
        <v/>
      </c>
      <c r="N564" s="53" t="str">
        <f t="shared" si="2"/>
        <v> </v>
      </c>
      <c r="O564" s="53" t="str">
        <f t="shared" si="3"/>
        <v/>
      </c>
    </row>
    <row r="565">
      <c r="A565" s="47" t="str">
        <f t="shared" si="1"/>
        <v>1403444580</v>
      </c>
      <c r="B565" s="48">
        <v>14034.0</v>
      </c>
      <c r="C565" s="49">
        <v>0.6354166666666666</v>
      </c>
      <c r="D565" s="48" t="s">
        <v>2692</v>
      </c>
      <c r="E565" s="50">
        <v>19737.0</v>
      </c>
      <c r="F565" s="51">
        <v>44580.0</v>
      </c>
      <c r="G565" s="48" t="s">
        <v>6216</v>
      </c>
      <c r="H565" s="48" t="s">
        <v>6211</v>
      </c>
      <c r="I565" s="48" t="s">
        <v>6221</v>
      </c>
      <c r="J565" s="48" t="s">
        <v>6193</v>
      </c>
      <c r="K565" s="52" t="b">
        <f>IFS($B565=FALSE,"", countif(VLOOKUP($A565,UASCAN!D:D,1,FALSE),$A565)&gt;=1,TRUE,countif(VLOOKUP($B565,UASCAN!D:D,1,FALSE),$B565)=0,FALSE)</f>
        <v>0</v>
      </c>
      <c r="L565" s="52" t="b">
        <f>IFS(B565=FALSE,"", countif(VLOOKUP($B565,'01192022'!B:B,1,FALSE),$B565)&gt;=1,TRUE,countif(VLOOKUP($B565,'01192022'!B:B,1,FALSE),$B565)=0,FALSE)</f>
        <v>1</v>
      </c>
      <c r="M565" s="52" t="str">
        <f>ifs(AND($K565=FALSE,$L565=TRUE),"",AND($K565=FALSE,L565=FALSE),"",AND($K565=TRUE,$L565=TRUE),VLOOKUP($A565,UASCAN!D:F,3,0), AND($K565=TRUE,$L565=FALSE),VLOOKUP($A565,UASCAN!D:F,3,0))</f>
        <v/>
      </c>
      <c r="N565" s="53" t="str">
        <f t="shared" si="2"/>
        <v> </v>
      </c>
      <c r="O565" s="53" t="str">
        <f t="shared" si="3"/>
        <v/>
      </c>
    </row>
    <row r="566">
      <c r="A566" s="47" t="str">
        <f t="shared" si="1"/>
        <v>972244580</v>
      </c>
      <c r="B566" s="48">
        <v>9722.0</v>
      </c>
      <c r="C566" s="49">
        <v>0.6458333333333334</v>
      </c>
      <c r="D566" s="48" t="s">
        <v>271</v>
      </c>
      <c r="E566" s="50">
        <v>14366.0</v>
      </c>
      <c r="F566" s="51">
        <v>44580.0</v>
      </c>
      <c r="G566" s="48" t="s">
        <v>6216</v>
      </c>
      <c r="H566" s="48" t="s">
        <v>6211</v>
      </c>
      <c r="I566" s="48" t="s">
        <v>6212</v>
      </c>
      <c r="J566" s="48" t="s">
        <v>6190</v>
      </c>
      <c r="K566" s="52" t="b">
        <f>IFS($B566=FALSE,"", countif(VLOOKUP($A566,UASCAN!D:D,1,FALSE),$A566)&gt;=1,TRUE,countif(VLOOKUP($B566,UASCAN!D:D,1,FALSE),$B566)=0,FALSE)</f>
        <v>0</v>
      </c>
      <c r="L566" s="52" t="b">
        <f>IFS(B566=FALSE,"", countif(VLOOKUP($B566,'01192022'!B:B,1,FALSE),$B566)&gt;=1,TRUE,countif(VLOOKUP($B566,'01192022'!B:B,1,FALSE),$B566)=0,FALSE)</f>
        <v>1</v>
      </c>
      <c r="M566" s="52" t="str">
        <f>ifs(AND($K566=FALSE,$L566=TRUE),"",AND($K566=FALSE,L566=FALSE),"",AND($K566=TRUE,$L566=TRUE),VLOOKUP($A566,UASCAN!D:F,3,0), AND($K566=TRUE,$L566=FALSE),VLOOKUP($A566,UASCAN!D:F,3,0))</f>
        <v/>
      </c>
      <c r="N566" s="53" t="str">
        <f t="shared" si="2"/>
        <v> </v>
      </c>
      <c r="O566" s="53" t="str">
        <f t="shared" si="3"/>
        <v/>
      </c>
    </row>
    <row r="567">
      <c r="A567" s="47" t="str">
        <f t="shared" si="1"/>
        <v>1418644580</v>
      </c>
      <c r="B567" s="48">
        <v>14186.0</v>
      </c>
      <c r="C567" s="49">
        <v>0.6458333333333334</v>
      </c>
      <c r="D567" s="48" t="s">
        <v>2808</v>
      </c>
      <c r="E567" s="50">
        <v>22075.0</v>
      </c>
      <c r="F567" s="51">
        <v>44580.0</v>
      </c>
      <c r="G567" s="48" t="s">
        <v>6215</v>
      </c>
      <c r="H567" s="48" t="s">
        <v>6211</v>
      </c>
      <c r="I567" s="48" t="s">
        <v>6212</v>
      </c>
      <c r="J567" s="48" t="s">
        <v>6199</v>
      </c>
      <c r="K567" s="52" t="b">
        <f>IFS($B567=FALSE,"", countif(VLOOKUP($A567,UASCAN!D:D,1,FALSE),$A567)&gt;=1,TRUE,countif(VLOOKUP($B567,UASCAN!D:D,1,FALSE),$B567)=0,FALSE)</f>
        <v>0</v>
      </c>
      <c r="L567" s="52" t="b">
        <f>IFS(B567=FALSE,"", countif(VLOOKUP($B567,'01192022'!B:B,1,FALSE),$B567)&gt;=1,TRUE,countif(VLOOKUP($B567,'01192022'!B:B,1,FALSE),$B567)=0,FALSE)</f>
        <v>1</v>
      </c>
      <c r="M567" s="52" t="str">
        <f>ifs(AND($K567=FALSE,$L567=TRUE),"",AND($K567=FALSE,L567=FALSE),"",AND($K567=TRUE,$L567=TRUE),VLOOKUP($A567,UASCAN!D:F,3,0), AND($K567=TRUE,$L567=FALSE),VLOOKUP($A567,UASCAN!D:F,3,0))</f>
        <v/>
      </c>
      <c r="N567" s="53" t="str">
        <f t="shared" si="2"/>
        <v> </v>
      </c>
      <c r="O567" s="53" t="str">
        <f t="shared" si="3"/>
        <v/>
      </c>
    </row>
    <row r="568">
      <c r="A568" s="47" t="str">
        <f t="shared" si="1"/>
        <v>1568044580</v>
      </c>
      <c r="B568" s="48">
        <v>15680.0</v>
      </c>
      <c r="C568" s="49">
        <v>0.6458333333333334</v>
      </c>
      <c r="D568" s="48" t="s">
        <v>4051</v>
      </c>
      <c r="E568" s="50">
        <v>26249.0</v>
      </c>
      <c r="F568" s="51">
        <v>44580.0</v>
      </c>
      <c r="G568" s="48" t="s">
        <v>5</v>
      </c>
      <c r="H568" s="48" t="s">
        <v>6218</v>
      </c>
      <c r="I568" s="48" t="s">
        <v>6219</v>
      </c>
      <c r="J568" s="48" t="s">
        <v>6154</v>
      </c>
      <c r="K568" s="52" t="b">
        <f>IFS($B568=FALSE,"", countif(VLOOKUP($A568,UASCAN!D:D,1,FALSE),$A568)&gt;=1,TRUE,countif(VLOOKUP($B568,UASCAN!D:D,1,FALSE),$B568)=0,FALSE)</f>
        <v>0</v>
      </c>
      <c r="L568" s="52" t="b">
        <f>IFS(B568=FALSE,"", countif(VLOOKUP($B568,'01192022'!B:B,1,FALSE),$B568)&gt;=1,TRUE,countif(VLOOKUP($B568,'01192022'!B:B,1,FALSE),$B568)=0,FALSE)</f>
        <v>1</v>
      </c>
      <c r="M568" s="52" t="str">
        <f>ifs(AND($K568=FALSE,$L568=TRUE),"",AND($K568=FALSE,L568=FALSE),"",AND($K568=TRUE,$L568=TRUE),VLOOKUP($A568,UASCAN!D:F,3,0), AND($K568=TRUE,$L568=FALSE),VLOOKUP($A568,UASCAN!D:F,3,0))</f>
        <v/>
      </c>
      <c r="N568" s="53" t="str">
        <f t="shared" si="2"/>
        <v> </v>
      </c>
      <c r="O568" s="53" t="str">
        <f t="shared" si="3"/>
        <v/>
      </c>
    </row>
    <row r="569">
      <c r="A569" s="47" t="str">
        <f t="shared" si="1"/>
        <v>1571844581</v>
      </c>
      <c r="B569" s="48">
        <v>15718.0</v>
      </c>
      <c r="C569" s="49">
        <v>0.3645833333333333</v>
      </c>
      <c r="D569" s="48" t="s">
        <v>4086</v>
      </c>
      <c r="E569" s="50">
        <v>14315.0</v>
      </c>
      <c r="F569" s="51">
        <v>44581.0</v>
      </c>
      <c r="G569" s="48" t="s">
        <v>5</v>
      </c>
      <c r="H569" s="48" t="s">
        <v>6211</v>
      </c>
      <c r="I569" s="48" t="s">
        <v>6212</v>
      </c>
      <c r="J569" s="48" t="s">
        <v>6137</v>
      </c>
      <c r="K569" s="52" t="b">
        <f>IFS($B569=FALSE,"", countif(VLOOKUP($A569,UASCAN!D:D,1,FALSE),$A569)&gt;=1,TRUE,countif(VLOOKUP($B569,UASCAN!D:D,1,FALSE),$B569)=0,FALSE)</f>
        <v>0</v>
      </c>
      <c r="L569" s="52" t="b">
        <f>IFS(B569=FALSE,"", countif(VLOOKUP($B569,'01202022'!B:B,1,FALSE),$B569)&gt;=1,TRUE,countif(VLOOKUP($B569,'01202022'!B:B,1,FALSE),$B569)=0,FALSE)</f>
        <v>1</v>
      </c>
      <c r="M569" s="52" t="str">
        <f>ifs(AND($K569=FALSE,$L569=TRUE),"",AND($K569=FALSE,L569=FALSE),"",AND($K569=TRUE,$L569=TRUE),VLOOKUP($A569,UASCAN!D:F,3,0), AND($K569=TRUE,$L569=FALSE),VLOOKUP($A569,UASCAN!D:F,3,0))</f>
        <v/>
      </c>
      <c r="N569" s="53" t="str">
        <f t="shared" si="2"/>
        <v> </v>
      </c>
      <c r="O569" s="53" t="str">
        <f t="shared" si="3"/>
        <v/>
      </c>
    </row>
    <row r="570">
      <c r="A570" s="47" t="str">
        <f t="shared" si="1"/>
        <v>1253144581</v>
      </c>
      <c r="B570" s="48">
        <v>12531.0</v>
      </c>
      <c r="C570" s="49">
        <v>0.3854166666666667</v>
      </c>
      <c r="D570" s="48" t="s">
        <v>1518</v>
      </c>
      <c r="E570" s="50">
        <v>18176.0</v>
      </c>
      <c r="F570" s="51">
        <v>44581.0</v>
      </c>
      <c r="G570" s="48" t="s">
        <v>5</v>
      </c>
      <c r="H570" s="48" t="s">
        <v>6211</v>
      </c>
      <c r="I570" s="48" t="s">
        <v>6212</v>
      </c>
      <c r="J570" s="48" t="s">
        <v>6094</v>
      </c>
      <c r="K570" s="52" t="b">
        <f>IFS($B570=FALSE,"", countif(VLOOKUP($A570,UASCAN!D:D,1,FALSE),$A570)&gt;=1,TRUE,countif(VLOOKUP($B570,UASCAN!D:D,1,FALSE),$B570)=0,FALSE)</f>
        <v>0</v>
      </c>
      <c r="L570" s="52" t="b">
        <f>IFS(B570=FALSE,"", countif(VLOOKUP($B570,'01202022'!B:B,1,FALSE),$B570)&gt;=1,TRUE,countif(VLOOKUP($B570,'01202022'!B:B,1,FALSE),$B570)=0,FALSE)</f>
        <v>1</v>
      </c>
      <c r="M570" s="52" t="str">
        <f>ifs(AND($K570=FALSE,$L570=TRUE),"",AND($K570=FALSE,L570=FALSE),"",AND($K570=TRUE,$L570=TRUE),VLOOKUP($A570,UASCAN!D:F,3,0), AND($K570=TRUE,$L570=FALSE),VLOOKUP($A570,UASCAN!D:F,3,0))</f>
        <v/>
      </c>
      <c r="N570" s="53" t="str">
        <f t="shared" si="2"/>
        <v> </v>
      </c>
      <c r="O570" s="53" t="str">
        <f t="shared" si="3"/>
        <v/>
      </c>
    </row>
    <row r="571">
      <c r="A571" s="47" t="str">
        <f t="shared" si="1"/>
        <v>1186544581</v>
      </c>
      <c r="B571" s="48">
        <v>11865.0</v>
      </c>
      <c r="C571" s="49">
        <v>0.4375</v>
      </c>
      <c r="D571" s="48" t="s">
        <v>1158</v>
      </c>
      <c r="E571" s="50">
        <v>25554.0</v>
      </c>
      <c r="F571" s="51">
        <v>44581.0</v>
      </c>
      <c r="G571" s="48" t="s">
        <v>6215</v>
      </c>
      <c r="H571" s="48" t="s">
        <v>6211</v>
      </c>
      <c r="I571" s="48" t="s">
        <v>6212</v>
      </c>
      <c r="J571" s="48" t="s">
        <v>6121</v>
      </c>
      <c r="K571" s="52" t="b">
        <f>IFS($B571=FALSE,"", countif(VLOOKUP($A571,UASCAN!D:D,1,FALSE),$A571)&gt;=1,TRUE,countif(VLOOKUP($B571,UASCAN!D:D,1,FALSE),$B571)=0,FALSE)</f>
        <v>0</v>
      </c>
      <c r="L571" s="52" t="b">
        <f>IFS(B571=FALSE,"", countif(VLOOKUP($B571,'01202022'!B:B,1,FALSE),$B571)&gt;=1,TRUE,countif(VLOOKUP($B571,'01202022'!B:B,1,FALSE),$B571)=0,FALSE)</f>
        <v>1</v>
      </c>
      <c r="M571" s="52" t="str">
        <f>ifs(AND($K571=FALSE,$L571=TRUE),"",AND($K571=FALSE,L571=FALSE),"",AND($K571=TRUE,$L571=TRUE),VLOOKUP($A571,UASCAN!D:F,3,0), AND($K571=TRUE,$L571=FALSE),VLOOKUP($A571,UASCAN!D:F,3,0))</f>
        <v/>
      </c>
      <c r="N571" s="53" t="str">
        <f t="shared" si="2"/>
        <v> </v>
      </c>
      <c r="O571" s="53" t="str">
        <f t="shared" si="3"/>
        <v/>
      </c>
    </row>
    <row r="572">
      <c r="A572" s="47" t="str">
        <f t="shared" si="1"/>
        <v>1261444581</v>
      </c>
      <c r="B572" s="48">
        <v>12614.0</v>
      </c>
      <c r="C572" s="49">
        <v>0.4583333333333333</v>
      </c>
      <c r="D572" s="48" t="s">
        <v>1576</v>
      </c>
      <c r="E572" s="50">
        <v>21378.0</v>
      </c>
      <c r="F572" s="51">
        <v>44581.0</v>
      </c>
      <c r="G572" s="48" t="s">
        <v>6215</v>
      </c>
      <c r="H572" s="48" t="s">
        <v>6211</v>
      </c>
      <c r="I572" s="48" t="s">
        <v>6212</v>
      </c>
      <c r="J572" s="48" t="s">
        <v>6199</v>
      </c>
      <c r="K572" s="52" t="b">
        <f>IFS($B572=FALSE,"", countif(VLOOKUP($A572,UASCAN!D:D,1,FALSE),$A572)&gt;=1,TRUE,countif(VLOOKUP($B572,UASCAN!D:D,1,FALSE),$B572)=0,FALSE)</f>
        <v>0</v>
      </c>
      <c r="L572" s="52" t="b">
        <f>IFS(B572=FALSE,"", countif(VLOOKUP($B572,'01202022'!B:B,1,FALSE),$B572)&gt;=1,TRUE,countif(VLOOKUP($B572,'01202022'!B:B,1,FALSE),$B572)=0,FALSE)</f>
        <v>1</v>
      </c>
      <c r="M572" s="52" t="str">
        <f>ifs(AND($K572=FALSE,$L572=TRUE),"",AND($K572=FALSE,L572=FALSE),"",AND($K572=TRUE,$L572=TRUE),VLOOKUP($A572,UASCAN!D:F,3,0), AND($K572=TRUE,$L572=FALSE),VLOOKUP($A572,UASCAN!D:F,3,0))</f>
        <v/>
      </c>
      <c r="N572" s="53" t="str">
        <f t="shared" si="2"/>
        <v> </v>
      </c>
      <c r="O572" s="53" t="str">
        <f t="shared" si="3"/>
        <v/>
      </c>
    </row>
    <row r="573">
      <c r="A573" s="47" t="str">
        <f t="shared" si="1"/>
        <v>1613944581</v>
      </c>
      <c r="B573" s="48">
        <v>16139.0</v>
      </c>
      <c r="C573" s="49">
        <v>0.46875</v>
      </c>
      <c r="D573" s="48" t="s">
        <v>5858</v>
      </c>
      <c r="E573" s="50">
        <v>31019.0</v>
      </c>
      <c r="F573" s="51">
        <v>44581.0</v>
      </c>
      <c r="G573" s="48" t="s">
        <v>5</v>
      </c>
      <c r="H573" s="48" t="s">
        <v>6211</v>
      </c>
      <c r="I573" s="48" t="s">
        <v>6212</v>
      </c>
      <c r="J573" s="48" t="s">
        <v>6154</v>
      </c>
      <c r="K573" s="52" t="b">
        <f>IFS($B573=FALSE,"", countif(VLOOKUP($A573,UASCAN!D:D,1,FALSE),$A573)&gt;=1,TRUE,countif(VLOOKUP($B573,UASCAN!D:D,1,FALSE),$B573)=0,FALSE)</f>
        <v>0</v>
      </c>
      <c r="L573" s="52" t="b">
        <f>IFS(B573=FALSE,"", countif(VLOOKUP($B573,'01202022'!B:B,1,FALSE),$B573)&gt;=1,TRUE,countif(VLOOKUP($B573,'01202022'!B:B,1,FALSE),$B573)=0,FALSE)</f>
        <v>1</v>
      </c>
      <c r="M573" s="52" t="str">
        <f>ifs(AND($K573=FALSE,$L573=TRUE),"",AND($K573=FALSE,L573=FALSE),"",AND($K573=TRUE,$L573=TRUE),VLOOKUP($A573,UASCAN!D:F,3,0), AND($K573=TRUE,$L573=FALSE),VLOOKUP($A573,UASCAN!D:F,3,0))</f>
        <v/>
      </c>
      <c r="N573" s="53" t="str">
        <f t="shared" si="2"/>
        <v> </v>
      </c>
      <c r="O573" s="53" t="str">
        <f t="shared" si="3"/>
        <v/>
      </c>
    </row>
    <row r="574">
      <c r="A574" s="47" t="str">
        <f t="shared" si="1"/>
        <v>1763744581</v>
      </c>
      <c r="B574" s="48">
        <v>17637.0</v>
      </c>
      <c r="C574" s="49">
        <v>0.5520833333333334</v>
      </c>
      <c r="D574" s="48" t="s">
        <v>5777</v>
      </c>
      <c r="E574" s="50">
        <v>21661.0</v>
      </c>
      <c r="F574" s="51">
        <v>44581.0</v>
      </c>
      <c r="G574" s="48" t="s">
        <v>6213</v>
      </c>
      <c r="H574" s="48" t="s">
        <v>6211</v>
      </c>
      <c r="I574" s="48" t="s">
        <v>6212</v>
      </c>
      <c r="J574" s="48" t="s">
        <v>6118</v>
      </c>
      <c r="K574" s="52" t="b">
        <f>IFS($B574=FALSE,"", countif(VLOOKUP($A574,UASCAN!D:D,1,FALSE),$A574)&gt;=1,TRUE,countif(VLOOKUP($B574,UASCAN!D:D,1,FALSE),$B574)=0,FALSE)</f>
        <v>0</v>
      </c>
      <c r="L574" s="52" t="b">
        <f>IFS(B574=FALSE,"", countif(VLOOKUP($B574,'01202022'!B:B,1,FALSE),$B574)&gt;=1,TRUE,countif(VLOOKUP($B574,'01202022'!B:B,1,FALSE),$B574)=0,FALSE)</f>
        <v>1</v>
      </c>
      <c r="M574" s="52" t="str">
        <f>ifs(AND($K574=FALSE,$L574=TRUE),"",AND($K574=FALSE,L574=FALSE),"",AND($K574=TRUE,$L574=TRUE),VLOOKUP($A574,UASCAN!D:F,3,0), AND($K574=TRUE,$L574=FALSE),VLOOKUP($A574,UASCAN!D:F,3,0))</f>
        <v/>
      </c>
      <c r="N574" s="53" t="str">
        <f t="shared" si="2"/>
        <v> </v>
      </c>
      <c r="O574" s="53" t="str">
        <f t="shared" si="3"/>
        <v/>
      </c>
    </row>
    <row r="575">
      <c r="A575" s="47" t="str">
        <f t="shared" si="1"/>
        <v>1007644581</v>
      </c>
      <c r="B575" s="48">
        <v>10076.0</v>
      </c>
      <c r="C575" s="49">
        <v>0.59375</v>
      </c>
      <c r="D575" s="48" t="s">
        <v>402</v>
      </c>
      <c r="E575" s="50">
        <v>27726.0</v>
      </c>
      <c r="F575" s="51">
        <v>44581.0</v>
      </c>
      <c r="G575" s="48" t="s">
        <v>5</v>
      </c>
      <c r="H575" s="48" t="s">
        <v>6211</v>
      </c>
      <c r="I575" s="48" t="s">
        <v>6212</v>
      </c>
      <c r="J575" s="48" t="s">
        <v>6101</v>
      </c>
      <c r="K575" s="52" t="b">
        <f>IFS($B575=FALSE,"", countif(VLOOKUP($A575,UASCAN!D:D,1,FALSE),$A575)&gt;=1,TRUE,countif(VLOOKUP($B575,UASCAN!D:D,1,FALSE),$B575)=0,FALSE)</f>
        <v>0</v>
      </c>
      <c r="L575" s="52" t="b">
        <f>IFS(B575=FALSE,"", countif(VLOOKUP($B575,'01202022'!B:B,1,FALSE),$B575)&gt;=1,TRUE,countif(VLOOKUP($B575,'01202022'!B:B,1,FALSE),$B575)=0,FALSE)</f>
        <v>1</v>
      </c>
      <c r="M575" s="52" t="str">
        <f>ifs(AND($K575=FALSE,$L575=TRUE),"",AND($K575=FALSE,L575=FALSE),"",AND($K575=TRUE,$L575=TRUE),VLOOKUP($A575,UASCAN!D:F,3,0), AND($K575=TRUE,$L575=FALSE),VLOOKUP($A575,UASCAN!D:F,3,0))</f>
        <v/>
      </c>
      <c r="N575" s="53" t="str">
        <f t="shared" si="2"/>
        <v> </v>
      </c>
      <c r="O575" s="53" t="str">
        <f t="shared" si="3"/>
        <v/>
      </c>
    </row>
    <row r="576">
      <c r="A576" s="47" t="str">
        <f t="shared" si="1"/>
        <v>1415244581</v>
      </c>
      <c r="B576" s="48">
        <v>14152.0</v>
      </c>
      <c r="C576" s="49">
        <v>0.6041666666666666</v>
      </c>
      <c r="D576" s="48" t="s">
        <v>2785</v>
      </c>
      <c r="E576" s="50">
        <v>25368.0</v>
      </c>
      <c r="F576" s="51">
        <v>44581.0</v>
      </c>
      <c r="G576" s="48" t="s">
        <v>6215</v>
      </c>
      <c r="H576" s="48" t="s">
        <v>6211</v>
      </c>
      <c r="I576" s="48" t="s">
        <v>6212</v>
      </c>
      <c r="J576" s="48" t="s">
        <v>6091</v>
      </c>
      <c r="K576" s="52" t="b">
        <f>IFS($B576=FALSE,"", countif(VLOOKUP($A576,UASCAN!D:D,1,FALSE),$A576)&gt;=1,TRUE,countif(VLOOKUP($B576,UASCAN!D:D,1,FALSE),$B576)=0,FALSE)</f>
        <v>0</v>
      </c>
      <c r="L576" s="52" t="b">
        <f>IFS(B576=FALSE,"", countif(VLOOKUP($B576,'01202022'!B:B,1,FALSE),$B576)&gt;=1,TRUE,countif(VLOOKUP($B576,'01202022'!B:B,1,FALSE),$B576)=0,FALSE)</f>
        <v>1</v>
      </c>
      <c r="M576" s="52" t="str">
        <f>ifs(AND($K576=FALSE,$L576=TRUE),"",AND($K576=FALSE,L576=FALSE),"",AND($K576=TRUE,$L576=TRUE),VLOOKUP($A576,UASCAN!D:F,3,0), AND($K576=TRUE,$L576=FALSE),VLOOKUP($A576,UASCAN!D:F,3,0))</f>
        <v/>
      </c>
      <c r="N576" s="53" t="str">
        <f t="shared" si="2"/>
        <v> </v>
      </c>
      <c r="O576" s="53" t="str">
        <f t="shared" si="3"/>
        <v/>
      </c>
    </row>
    <row r="577">
      <c r="A577" s="47" t="str">
        <f t="shared" si="1"/>
        <v>1316044581</v>
      </c>
      <c r="B577" s="48">
        <v>13160.0</v>
      </c>
      <c r="C577" s="49">
        <v>0.625</v>
      </c>
      <c r="D577" s="48" t="s">
        <v>2017</v>
      </c>
      <c r="E577" s="50">
        <v>16977.0</v>
      </c>
      <c r="F577" s="51">
        <v>44581.0</v>
      </c>
      <c r="G577" s="48" t="s">
        <v>6220</v>
      </c>
      <c r="H577" s="48" t="s">
        <v>6211</v>
      </c>
      <c r="I577" s="48" t="s">
        <v>6212</v>
      </c>
      <c r="J577" s="48" t="s">
        <v>6194</v>
      </c>
      <c r="K577" s="52" t="b">
        <f>IFS($B577=FALSE,"", countif(VLOOKUP($A577,UASCAN!D:D,1,FALSE),$A577)&gt;=1,TRUE,countif(VLOOKUP($B577,UASCAN!D:D,1,FALSE),$B577)=0,FALSE)</f>
        <v>0</v>
      </c>
      <c r="L577" s="52" t="b">
        <f>IFS(B577=FALSE,"", countif(VLOOKUP($B577,'01202022'!B:B,1,FALSE),$B577)&gt;=1,TRUE,countif(VLOOKUP($B577,'01202022'!B:B,1,FALSE),$B577)=0,FALSE)</f>
        <v>1</v>
      </c>
      <c r="M577" s="52" t="str">
        <f>ifs(AND($K577=FALSE,$L577=TRUE),"",AND($K577=FALSE,L577=FALSE),"",AND($K577=TRUE,$L577=TRUE),VLOOKUP($A577,UASCAN!D:F,3,0), AND($K577=TRUE,$L577=FALSE),VLOOKUP($A577,UASCAN!D:F,3,0))</f>
        <v/>
      </c>
      <c r="N577" s="53" t="str">
        <f t="shared" si="2"/>
        <v> </v>
      </c>
      <c r="O577" s="53" t="str">
        <f t="shared" si="3"/>
        <v/>
      </c>
    </row>
    <row r="578">
      <c r="A578" s="47" t="str">
        <f t="shared" si="1"/>
        <v>1616244581</v>
      </c>
      <c r="B578" s="48">
        <v>16162.0</v>
      </c>
      <c r="C578" s="49">
        <v>0.3541666666666667</v>
      </c>
      <c r="D578" s="48" t="s">
        <v>6232</v>
      </c>
      <c r="E578" s="50">
        <v>27212.0</v>
      </c>
      <c r="F578" s="51">
        <v>44581.0</v>
      </c>
      <c r="G578" s="48" t="s">
        <v>6215</v>
      </c>
      <c r="H578" s="48" t="s">
        <v>6218</v>
      </c>
      <c r="I578" s="48" t="s">
        <v>6212</v>
      </c>
      <c r="J578" s="48" t="s">
        <v>6126</v>
      </c>
      <c r="K578" s="52" t="b">
        <f>IFS($B578=FALSE,"", countif(VLOOKUP($A578,UASCAN!D:D,1,FALSE),$A578)&gt;=1,TRUE,countif(VLOOKUP($B578,UASCAN!D:D,1,FALSE),$B578)=0,FALSE)</f>
        <v>0</v>
      </c>
      <c r="L578" s="52" t="b">
        <f>IFS(B578=FALSE,"", countif(VLOOKUP($B578,'01202022'!B:B,1,FALSE),$B578)&gt;=1,TRUE,countif(VLOOKUP($B578,'01202022'!B:B,1,FALSE),$B578)=0,FALSE)</f>
        <v>1</v>
      </c>
      <c r="M578" s="52" t="str">
        <f>ifs(AND($K578=FALSE,$L578=TRUE),"",AND($K578=FALSE,L578=FALSE),"",AND($K578=TRUE,$L578=TRUE),VLOOKUP($A578,UASCAN!D:F,3,0), AND($K578=TRUE,$L578=FALSE),VLOOKUP($A578,UASCAN!D:F,3,0))</f>
        <v/>
      </c>
      <c r="N578" s="53" t="str">
        <f t="shared" si="2"/>
        <v> </v>
      </c>
      <c r="O578" s="53" t="str">
        <f t="shared" si="3"/>
        <v/>
      </c>
    </row>
    <row r="579">
      <c r="A579" s="47" t="str">
        <f t="shared" si="1"/>
        <v>957644581</v>
      </c>
      <c r="B579" s="48">
        <v>9576.0</v>
      </c>
      <c r="C579" s="49">
        <v>0.59375</v>
      </c>
      <c r="D579" s="48" t="s">
        <v>220</v>
      </c>
      <c r="E579" s="50">
        <v>18646.0</v>
      </c>
      <c r="F579" s="51">
        <v>44581.0</v>
      </c>
      <c r="G579" s="48" t="s">
        <v>5</v>
      </c>
      <c r="H579" s="48" t="s">
        <v>6218</v>
      </c>
      <c r="I579" s="48" t="s">
        <v>6219</v>
      </c>
      <c r="J579" s="48" t="s">
        <v>6199</v>
      </c>
      <c r="K579" s="52" t="b">
        <f>IFS($B579=FALSE,"", countif(VLOOKUP($A579,UASCAN!D:D,1,FALSE),$A579)&gt;=1,TRUE,countif(VLOOKUP($B579,UASCAN!D:D,1,FALSE),$B579)=0,FALSE)</f>
        <v>0</v>
      </c>
      <c r="L579" s="52" t="b">
        <f>IFS(B579=FALSE,"", countif(VLOOKUP($B579,'01202022'!B:B,1,FALSE),$B579)&gt;=1,TRUE,countif(VLOOKUP($B579,'01202022'!B:B,1,FALSE),$B579)=0,FALSE)</f>
        <v>1</v>
      </c>
      <c r="M579" s="52" t="str">
        <f>ifs(AND($K579=FALSE,$L579=TRUE),"",AND($K579=FALSE,L579=FALSE),"",AND($K579=TRUE,$L579=TRUE),VLOOKUP($A579,UASCAN!D:F,3,0), AND($K579=TRUE,$L579=FALSE),VLOOKUP($A579,UASCAN!D:F,3,0))</f>
        <v/>
      </c>
      <c r="N579" s="53" t="str">
        <f t="shared" si="2"/>
        <v> </v>
      </c>
      <c r="O579" s="53" t="str">
        <f t="shared" si="3"/>
        <v/>
      </c>
    </row>
    <row r="580">
      <c r="A580" s="47" t="str">
        <f t="shared" si="1"/>
        <v>1678644581</v>
      </c>
      <c r="B580" s="48">
        <v>16786.0</v>
      </c>
      <c r="C580" s="49">
        <v>0.40625</v>
      </c>
      <c r="D580" s="48" t="s">
        <v>4958</v>
      </c>
      <c r="E580" s="50">
        <v>19366.0</v>
      </c>
      <c r="F580" s="51">
        <v>44581.0</v>
      </c>
      <c r="G580" s="48" t="s">
        <v>6216</v>
      </c>
      <c r="H580" s="48" t="s">
        <v>6218</v>
      </c>
      <c r="I580" s="48" t="s">
        <v>6219</v>
      </c>
      <c r="J580" s="48" t="s">
        <v>6192</v>
      </c>
      <c r="K580" s="52" t="b">
        <f>IFS($B580=FALSE,"", countif(VLOOKUP($A580,UASCAN!D:D,1,FALSE),$A580)&gt;=1,TRUE,countif(VLOOKUP($B580,UASCAN!D:D,1,FALSE),$B580)=0,FALSE)</f>
        <v>0</v>
      </c>
      <c r="L580" s="52" t="b">
        <f>IFS(B580=FALSE,"", countif(VLOOKUP($B580,'01202022'!B:B,1,FALSE),$B580)&gt;=1,TRUE,countif(VLOOKUP($B580,'01202022'!B:B,1,FALSE),$B580)=0,FALSE)</f>
        <v>1</v>
      </c>
      <c r="M580" s="52" t="str">
        <f>ifs(AND($K580=FALSE,$L580=TRUE),"",AND($K580=FALSE,L580=FALSE),"",AND($K580=TRUE,$L580=TRUE),VLOOKUP($A580,UASCAN!D:F,3,0), AND($K580=TRUE,$L580=FALSE),VLOOKUP($A580,UASCAN!D:F,3,0))</f>
        <v/>
      </c>
      <c r="N580" s="53" t="str">
        <f t="shared" si="2"/>
        <v> </v>
      </c>
      <c r="O580" s="53" t="str">
        <f t="shared" si="3"/>
        <v/>
      </c>
    </row>
    <row r="581">
      <c r="A581" s="47" t="str">
        <f t="shared" si="1"/>
        <v>1636844581</v>
      </c>
      <c r="B581" s="48">
        <v>16368.0</v>
      </c>
      <c r="C581" s="49">
        <v>0.3854166666666667</v>
      </c>
      <c r="D581" s="48" t="s">
        <v>4641</v>
      </c>
      <c r="E581" s="50">
        <v>33256.0</v>
      </c>
      <c r="F581" s="51">
        <v>44581.0</v>
      </c>
      <c r="G581" s="48" t="s">
        <v>5</v>
      </c>
      <c r="H581" s="48" t="s">
        <v>6218</v>
      </c>
      <c r="I581" s="48" t="s">
        <v>6219</v>
      </c>
      <c r="J581" s="48" t="s">
        <v>6082</v>
      </c>
      <c r="K581" s="52" t="b">
        <f>IFS($B581=FALSE,"", countif(VLOOKUP($A581,UASCAN!D:D,1,FALSE),$A581)&gt;=1,TRUE,countif(VLOOKUP($B581,UASCAN!D:D,1,FALSE),$B581)=0,FALSE)</f>
        <v>0</v>
      </c>
      <c r="L581" s="52" t="b">
        <f>IFS(B581=FALSE,"", countif(VLOOKUP($B581,'01202022'!B:B,1,FALSE),$B581)&gt;=1,TRUE,countif(VLOOKUP($B581,'01202022'!B:B,1,FALSE),$B581)=0,FALSE)</f>
        <v>1</v>
      </c>
      <c r="M581" s="52" t="str">
        <f>ifs(AND($K581=FALSE,$L581=TRUE),"",AND($K581=FALSE,L581=FALSE),"",AND($K581=TRUE,$L581=TRUE),VLOOKUP($A581,UASCAN!D:F,3,0), AND($K581=TRUE,$L581=FALSE),VLOOKUP($A581,UASCAN!D:F,3,0))</f>
        <v/>
      </c>
      <c r="N581" s="53" t="str">
        <f t="shared" si="2"/>
        <v> </v>
      </c>
      <c r="O581" s="53" t="str">
        <f t="shared" si="3"/>
        <v/>
      </c>
    </row>
    <row r="582">
      <c r="A582" s="47" t="str">
        <f t="shared" si="1"/>
        <v>1529844581</v>
      </c>
      <c r="B582" s="48">
        <v>15298.0</v>
      </c>
      <c r="C582" s="49">
        <v>0.5520833333333334</v>
      </c>
      <c r="D582" s="48" t="s">
        <v>3720</v>
      </c>
      <c r="E582" s="50">
        <v>28361.0</v>
      </c>
      <c r="F582" s="51">
        <v>44581.0</v>
      </c>
      <c r="G582" s="48" t="s">
        <v>6215</v>
      </c>
      <c r="H582" s="48" t="s">
        <v>6218</v>
      </c>
      <c r="I582" s="48" t="s">
        <v>6219</v>
      </c>
      <c r="J582" s="48" t="s">
        <v>6117</v>
      </c>
      <c r="K582" s="52" t="b">
        <f>IFS($B582=FALSE,"", countif(VLOOKUP($A582,UASCAN!D:D,1,FALSE),$A582)&gt;=1,TRUE,countif(VLOOKUP($B582,UASCAN!D:D,1,FALSE),$B582)=0,FALSE)</f>
        <v>0</v>
      </c>
      <c r="L582" s="52" t="b">
        <f>IFS(B582=FALSE,"", countif(VLOOKUP($B582,'01202022'!B:B,1,FALSE),$B582)&gt;=1,TRUE,countif(VLOOKUP($B582,'01202022'!B:B,1,FALSE),$B582)=0,FALSE)</f>
        <v>1</v>
      </c>
      <c r="M582" s="52" t="str">
        <f>ifs(AND($K582=FALSE,$L582=TRUE),"",AND($K582=FALSE,L582=FALSE),"",AND($K582=TRUE,$L582=TRUE),VLOOKUP($A582,UASCAN!D:F,3,0), AND($K582=TRUE,$L582=FALSE),VLOOKUP($A582,UASCAN!D:F,3,0))</f>
        <v/>
      </c>
      <c r="N582" s="53" t="str">
        <f t="shared" si="2"/>
        <v> </v>
      </c>
      <c r="O582" s="53" t="str">
        <f t="shared" si="3"/>
        <v/>
      </c>
    </row>
    <row r="583">
      <c r="A583" s="47" t="str">
        <f t="shared" si="1"/>
        <v>967044581</v>
      </c>
      <c r="B583" s="48">
        <v>9670.0</v>
      </c>
      <c r="C583" s="49">
        <v>0.4270833333333333</v>
      </c>
      <c r="D583" s="48" t="s">
        <v>252</v>
      </c>
      <c r="E583" s="50">
        <v>29843.0</v>
      </c>
      <c r="F583" s="51">
        <v>44581.0</v>
      </c>
      <c r="G583" s="48" t="s">
        <v>5</v>
      </c>
      <c r="H583" s="48" t="s">
        <v>6218</v>
      </c>
      <c r="I583" s="48" t="s">
        <v>6219</v>
      </c>
      <c r="J583" s="48" t="s">
        <v>6199</v>
      </c>
      <c r="K583" s="52" t="b">
        <f>IFS($B583=FALSE,"", countif(VLOOKUP($A583,UASCAN!D:D,1,FALSE),$A583)&gt;=1,TRUE,countif(VLOOKUP($B583,UASCAN!D:D,1,FALSE),$B583)=0,FALSE)</f>
        <v>0</v>
      </c>
      <c r="L583" s="52" t="b">
        <f>IFS(B583=FALSE,"", countif(VLOOKUP($B583,'01202022'!B:B,1,FALSE),$B583)&gt;=1,TRUE,countif(VLOOKUP($B583,'01202022'!B:B,1,FALSE),$B583)=0,FALSE)</f>
        <v>1</v>
      </c>
      <c r="M583" s="52" t="str">
        <f>ifs(AND($K583=FALSE,$L583=TRUE),"",AND($K583=FALSE,L583=FALSE),"",AND($K583=TRUE,$L583=TRUE),VLOOKUP($A583,UASCAN!D:F,3,0), AND($K583=TRUE,$L583=FALSE),VLOOKUP($A583,UASCAN!D:F,3,0))</f>
        <v/>
      </c>
      <c r="N583" s="53" t="str">
        <f t="shared" si="2"/>
        <v> </v>
      </c>
      <c r="O583" s="53" t="str">
        <f t="shared" si="3"/>
        <v/>
      </c>
    </row>
    <row r="584">
      <c r="A584" s="47" t="str">
        <f t="shared" si="1"/>
        <v>1498544581</v>
      </c>
      <c r="B584" s="48">
        <v>14985.0</v>
      </c>
      <c r="C584" s="49">
        <v>0.5833333333333334</v>
      </c>
      <c r="D584" s="48" t="s">
        <v>3462</v>
      </c>
      <c r="E584" s="50">
        <v>25658.0</v>
      </c>
      <c r="F584" s="51">
        <v>44581.0</v>
      </c>
      <c r="G584" s="48" t="s">
        <v>6215</v>
      </c>
      <c r="H584" s="48" t="s">
        <v>6218</v>
      </c>
      <c r="I584" s="48" t="s">
        <v>6219</v>
      </c>
      <c r="J584" s="48" t="s">
        <v>6089</v>
      </c>
      <c r="K584" s="52" t="b">
        <f>IFS($B584=FALSE,"", countif(VLOOKUP($A584,UASCAN!D:D,1,FALSE),$A584)&gt;=1,TRUE,countif(VLOOKUP($B584,UASCAN!D:D,1,FALSE),$B584)=0,FALSE)</f>
        <v>0</v>
      </c>
      <c r="L584" s="52" t="b">
        <f>IFS(B584=FALSE,"", countif(VLOOKUP($B584,'01202022'!B:B,1,FALSE),$B584)&gt;=1,TRUE,countif(VLOOKUP($B584,'01202022'!B:B,1,FALSE),$B584)=0,FALSE)</f>
        <v>1</v>
      </c>
      <c r="M584" s="52" t="str">
        <f>ifs(AND($K584=FALSE,$L584=TRUE),"",AND($K584=FALSE,L584=FALSE),"",AND($K584=TRUE,$L584=TRUE),VLOOKUP($A584,UASCAN!D:F,3,0), AND($K584=TRUE,$L584=FALSE),VLOOKUP($A584,UASCAN!D:F,3,0))</f>
        <v/>
      </c>
      <c r="N584" s="53" t="str">
        <f t="shared" si="2"/>
        <v> </v>
      </c>
      <c r="O584" s="53" t="str">
        <f t="shared" si="3"/>
        <v/>
      </c>
    </row>
    <row r="585">
      <c r="A585" s="47" t="str">
        <f t="shared" si="1"/>
        <v>1408444581</v>
      </c>
      <c r="B585" s="48">
        <v>14084.0</v>
      </c>
      <c r="C585" s="49">
        <v>0.625</v>
      </c>
      <c r="D585" s="48" t="s">
        <v>2729</v>
      </c>
      <c r="E585" s="50">
        <v>29711.0</v>
      </c>
      <c r="F585" s="51">
        <v>44581.0</v>
      </c>
      <c r="G585" s="48" t="s">
        <v>6215</v>
      </c>
      <c r="H585" s="48" t="s">
        <v>6218</v>
      </c>
      <c r="I585" s="48" t="s">
        <v>6219</v>
      </c>
      <c r="J585" s="48" t="s">
        <v>6199</v>
      </c>
      <c r="K585" s="52" t="b">
        <f>IFS($B585=FALSE,"", countif(VLOOKUP($A585,UASCAN!D:D,1,FALSE),$A585)&gt;=1,TRUE,countif(VLOOKUP($B585,UASCAN!D:D,1,FALSE),$B585)=0,FALSE)</f>
        <v>0</v>
      </c>
      <c r="L585" s="52" t="b">
        <f>IFS(B585=FALSE,"", countif(VLOOKUP($B585,'01202022'!B:B,1,FALSE),$B585)&gt;=1,TRUE,countif(VLOOKUP($B585,'01202022'!B:B,1,FALSE),$B585)=0,FALSE)</f>
        <v>1</v>
      </c>
      <c r="M585" s="52" t="str">
        <f>ifs(AND($K585=FALSE,$L585=TRUE),"",AND($K585=FALSE,L585=FALSE),"",AND($K585=TRUE,$L585=TRUE),VLOOKUP($A585,UASCAN!D:F,3,0), AND($K585=TRUE,$L585=FALSE),VLOOKUP($A585,UASCAN!D:F,3,0))</f>
        <v/>
      </c>
      <c r="N585" s="53" t="str">
        <f t="shared" si="2"/>
        <v> </v>
      </c>
      <c r="O585" s="53" t="str">
        <f t="shared" si="3"/>
        <v/>
      </c>
    </row>
    <row r="586">
      <c r="A586" s="47" t="str">
        <f t="shared" si="1"/>
        <v>1384744581</v>
      </c>
      <c r="B586" s="48">
        <v>13847.0</v>
      </c>
      <c r="C586" s="49">
        <v>0.6041666666666666</v>
      </c>
      <c r="D586" s="48" t="s">
        <v>2553</v>
      </c>
      <c r="E586" s="50">
        <v>24349.0</v>
      </c>
      <c r="F586" s="51">
        <v>44581.0</v>
      </c>
      <c r="G586" s="48" t="s">
        <v>5</v>
      </c>
      <c r="H586" s="48" t="s">
        <v>6218</v>
      </c>
      <c r="I586" s="48" t="s">
        <v>6219</v>
      </c>
      <c r="J586" s="48" t="s">
        <v>6089</v>
      </c>
      <c r="K586" s="52" t="b">
        <f>IFS($B586=FALSE,"", countif(VLOOKUP($A586,UASCAN!D:D,1,FALSE),$A586)&gt;=1,TRUE,countif(VLOOKUP($B586,UASCAN!D:D,1,FALSE),$B586)=0,FALSE)</f>
        <v>0</v>
      </c>
      <c r="L586" s="52" t="b">
        <f>IFS(B586=FALSE,"", countif(VLOOKUP($B586,'01202022'!B:B,1,FALSE),$B586)&gt;=1,TRUE,countif(VLOOKUP($B586,'01202022'!B:B,1,FALSE),$B586)=0,FALSE)</f>
        <v>1</v>
      </c>
      <c r="M586" s="52" t="str">
        <f>ifs(AND($K586=FALSE,$L586=TRUE),"",AND($K586=FALSE,L586=FALSE),"",AND($K586=TRUE,$L586=TRUE),VLOOKUP($A586,UASCAN!D:F,3,0), AND($K586=TRUE,$L586=FALSE),VLOOKUP($A586,UASCAN!D:F,3,0))</f>
        <v/>
      </c>
      <c r="N586" s="53" t="str">
        <f t="shared" si="2"/>
        <v> </v>
      </c>
      <c r="O586" s="53" t="str">
        <f t="shared" si="3"/>
        <v/>
      </c>
    </row>
    <row r="587">
      <c r="A587" s="47" t="str">
        <f t="shared" si="1"/>
        <v>1286944581</v>
      </c>
      <c r="B587" s="48">
        <v>12869.0</v>
      </c>
      <c r="C587" s="49">
        <v>0.375</v>
      </c>
      <c r="D587" s="48" t="s">
        <v>1780</v>
      </c>
      <c r="E587" s="50">
        <v>25511.0</v>
      </c>
      <c r="F587" s="51">
        <v>44581.0</v>
      </c>
      <c r="G587" s="48" t="s">
        <v>6215</v>
      </c>
      <c r="H587" s="48" t="s">
        <v>6218</v>
      </c>
      <c r="I587" s="48" t="s">
        <v>6219</v>
      </c>
      <c r="J587" s="48" t="s">
        <v>6094</v>
      </c>
      <c r="K587" s="52" t="b">
        <f>IFS($B587=FALSE,"", countif(VLOOKUP($A587,UASCAN!D:D,1,FALSE),$A587)&gt;=1,TRUE,countif(VLOOKUP($B587,UASCAN!D:D,1,FALSE),$B587)=0,FALSE)</f>
        <v>0</v>
      </c>
      <c r="L587" s="52" t="b">
        <f>IFS(B587=FALSE,"", countif(VLOOKUP($B587,'01202022'!B:B,1,FALSE),$B587)&gt;=1,TRUE,countif(VLOOKUP($B587,'01202022'!B:B,1,FALSE),$B587)=0,FALSE)</f>
        <v>1</v>
      </c>
      <c r="M587" s="52" t="str">
        <f>ifs(AND($K587=FALSE,$L587=TRUE),"",AND($K587=FALSE,L587=FALSE),"",AND($K587=TRUE,$L587=TRUE),VLOOKUP($A587,UASCAN!D:F,3,0), AND($K587=TRUE,$L587=FALSE),VLOOKUP($A587,UASCAN!D:F,3,0))</f>
        <v/>
      </c>
      <c r="N587" s="53" t="str">
        <f t="shared" si="2"/>
        <v> </v>
      </c>
      <c r="O587" s="53" t="str">
        <f t="shared" si="3"/>
        <v/>
      </c>
    </row>
    <row r="588">
      <c r="A588" s="47" t="str">
        <f t="shared" si="1"/>
        <v>1277644581</v>
      </c>
      <c r="B588" s="48">
        <v>12776.0</v>
      </c>
      <c r="C588" s="49">
        <v>0.6354166666666666</v>
      </c>
      <c r="D588" s="48" t="s">
        <v>1700</v>
      </c>
      <c r="E588" s="50">
        <v>28373.0</v>
      </c>
      <c r="F588" s="51">
        <v>44581.0</v>
      </c>
      <c r="G588" s="48" t="s">
        <v>5</v>
      </c>
      <c r="H588" s="48" t="s">
        <v>6218</v>
      </c>
      <c r="I588" s="48" t="s">
        <v>6219</v>
      </c>
      <c r="J588" s="48" t="s">
        <v>6120</v>
      </c>
      <c r="K588" s="52" t="b">
        <f>IFS($B588=FALSE,"", countif(VLOOKUP($A588,UASCAN!D:D,1,FALSE),$A588)&gt;=1,TRUE,countif(VLOOKUP($B588,UASCAN!D:D,1,FALSE),$B588)=0,FALSE)</f>
        <v>0</v>
      </c>
      <c r="L588" s="52" t="b">
        <f>IFS(B588=FALSE,"", countif(VLOOKUP($B588,'01202022'!B:B,1,FALSE),$B588)&gt;=1,TRUE,countif(VLOOKUP($B588,'01202022'!B:B,1,FALSE),$B588)=0,FALSE)</f>
        <v>1</v>
      </c>
      <c r="M588" s="52" t="str">
        <f>ifs(AND($K588=FALSE,$L588=TRUE),"",AND($K588=FALSE,L588=FALSE),"",AND($K588=TRUE,$L588=TRUE),VLOOKUP($A588,UASCAN!D:F,3,0), AND($K588=TRUE,$L588=FALSE),VLOOKUP($A588,UASCAN!D:F,3,0))</f>
        <v/>
      </c>
      <c r="N588" s="53" t="str">
        <f t="shared" si="2"/>
        <v> </v>
      </c>
      <c r="O588" s="53" t="str">
        <f t="shared" si="3"/>
        <v/>
      </c>
    </row>
    <row r="589">
      <c r="A589" s="47" t="str">
        <f t="shared" si="1"/>
        <v>1259444581</v>
      </c>
      <c r="B589" s="48">
        <v>12594.0</v>
      </c>
      <c r="C589" s="49">
        <v>0.4166666666666667</v>
      </c>
      <c r="D589" s="48" t="s">
        <v>1563</v>
      </c>
      <c r="E589" s="50">
        <v>30485.0</v>
      </c>
      <c r="F589" s="51">
        <v>44581.0</v>
      </c>
      <c r="G589" s="48" t="s">
        <v>5</v>
      </c>
      <c r="H589" s="48" t="s">
        <v>6218</v>
      </c>
      <c r="I589" s="48" t="s">
        <v>6219</v>
      </c>
      <c r="J589" s="48" t="s">
        <v>6199</v>
      </c>
      <c r="K589" s="52" t="b">
        <f>IFS($B589=FALSE,"", countif(VLOOKUP($A589,UASCAN!D:D,1,FALSE),$A589)&gt;=1,TRUE,countif(VLOOKUP($B589,UASCAN!D:D,1,FALSE),$B589)=0,FALSE)</f>
        <v>0</v>
      </c>
      <c r="L589" s="52" t="b">
        <f>IFS(B589=FALSE,"", countif(VLOOKUP($B589,'01202022'!B:B,1,FALSE),$B589)&gt;=1,TRUE,countif(VLOOKUP($B589,'01202022'!B:B,1,FALSE),$B589)=0,FALSE)</f>
        <v>1</v>
      </c>
      <c r="M589" s="52" t="str">
        <f>ifs(AND($K589=FALSE,$L589=TRUE),"",AND($K589=FALSE,L589=FALSE),"",AND($K589=TRUE,$L589=TRUE),VLOOKUP($A589,UASCAN!D:F,3,0), AND($K589=TRUE,$L589=FALSE),VLOOKUP($A589,UASCAN!D:F,3,0))</f>
        <v/>
      </c>
      <c r="N589" s="53" t="str">
        <f t="shared" si="2"/>
        <v> </v>
      </c>
      <c r="O589" s="53" t="str">
        <f t="shared" si="3"/>
        <v/>
      </c>
    </row>
    <row r="590">
      <c r="A590" s="47" t="str">
        <f t="shared" si="1"/>
        <v>1161344581</v>
      </c>
      <c r="B590" s="48">
        <v>11613.0</v>
      </c>
      <c r="C590" s="49">
        <v>0.3958333333333333</v>
      </c>
      <c r="D590" s="48" t="s">
        <v>1027</v>
      </c>
      <c r="E590" s="50">
        <v>22853.0</v>
      </c>
      <c r="F590" s="51">
        <v>44581.0</v>
      </c>
      <c r="G590" s="48" t="s">
        <v>5</v>
      </c>
      <c r="H590" s="48" t="s">
        <v>6218</v>
      </c>
      <c r="I590" s="48" t="s">
        <v>6219</v>
      </c>
      <c r="J590" s="48" t="s">
        <v>6199</v>
      </c>
      <c r="K590" s="52" t="b">
        <f>IFS($B590=FALSE,"", countif(VLOOKUP($A590,UASCAN!D:D,1,FALSE),$A590)&gt;=1,TRUE,countif(VLOOKUP($B590,UASCAN!D:D,1,FALSE),$B590)=0,FALSE)</f>
        <v>0</v>
      </c>
      <c r="L590" s="52" t="b">
        <f>IFS(B590=FALSE,"", countif(VLOOKUP($B590,'01202022'!B:B,1,FALSE),$B590)&gt;=1,TRUE,countif(VLOOKUP($B590,'01202022'!B:B,1,FALSE),$B590)=0,FALSE)</f>
        <v>1</v>
      </c>
      <c r="M590" s="52" t="str">
        <f>ifs(AND($K590=FALSE,$L590=TRUE),"",AND($K590=FALSE,L590=FALSE),"",AND($K590=TRUE,$L590=TRUE),VLOOKUP($A590,UASCAN!D:F,3,0), AND($K590=TRUE,$L590=FALSE),VLOOKUP($A590,UASCAN!D:F,3,0))</f>
        <v/>
      </c>
      <c r="N590" s="53" t="str">
        <f t="shared" si="2"/>
        <v> </v>
      </c>
      <c r="O590" s="53" t="str">
        <f t="shared" si="3"/>
        <v/>
      </c>
    </row>
    <row r="591">
      <c r="A591" s="47" t="str">
        <f t="shared" si="1"/>
        <v>1101744581</v>
      </c>
      <c r="B591" s="48">
        <v>11017.0</v>
      </c>
      <c r="C591" s="49">
        <v>0.3541666666666667</v>
      </c>
      <c r="D591" s="48" t="s">
        <v>769</v>
      </c>
      <c r="E591" s="50">
        <v>22235.0</v>
      </c>
      <c r="F591" s="51">
        <v>44581.0</v>
      </c>
      <c r="G591" s="48" t="s">
        <v>5</v>
      </c>
      <c r="H591" s="48" t="s">
        <v>6218</v>
      </c>
      <c r="I591" s="48" t="s">
        <v>6219</v>
      </c>
      <c r="J591" s="48" t="s">
        <v>6196</v>
      </c>
      <c r="K591" s="52" t="b">
        <f>IFS($B591=FALSE,"", countif(VLOOKUP($A591,UASCAN!D:D,1,FALSE),$A591)&gt;=1,TRUE,countif(VLOOKUP($B591,UASCAN!D:D,1,FALSE),$B591)=0,FALSE)</f>
        <v>0</v>
      </c>
      <c r="L591" s="52" t="b">
        <f>IFS(B591=FALSE,"", countif(VLOOKUP($B591,'01202022'!B:B,1,FALSE),$B591)&gt;=1,TRUE,countif(VLOOKUP($B591,'01202022'!B:B,1,FALSE),$B591)=0,FALSE)</f>
        <v>1</v>
      </c>
      <c r="M591" s="52" t="str">
        <f>ifs(AND($K591=FALSE,$L591=TRUE),"",AND($K591=FALSE,L591=FALSE),"",AND($K591=TRUE,$L591=TRUE),VLOOKUP($A591,UASCAN!D:F,3,0), AND($K591=TRUE,$L591=FALSE),VLOOKUP($A591,UASCAN!D:F,3,0))</f>
        <v/>
      </c>
      <c r="N591" s="53" t="str">
        <f t="shared" si="2"/>
        <v> </v>
      </c>
      <c r="O591" s="53" t="str">
        <f t="shared" si="3"/>
        <v/>
      </c>
    </row>
    <row r="592">
      <c r="A592" s="47" t="str">
        <f t="shared" si="1"/>
        <v>1095944581</v>
      </c>
      <c r="B592" s="48">
        <v>10959.0</v>
      </c>
      <c r="C592" s="49">
        <v>0.3333333333333333</v>
      </c>
      <c r="D592" s="48" t="s">
        <v>746</v>
      </c>
      <c r="E592" s="50">
        <v>20829.0</v>
      </c>
      <c r="F592" s="51">
        <v>44581.0</v>
      </c>
      <c r="G592" s="48" t="s">
        <v>6215</v>
      </c>
      <c r="H592" s="48" t="s">
        <v>6218</v>
      </c>
      <c r="I592" s="48" t="s">
        <v>6219</v>
      </c>
      <c r="J592" s="48" t="s">
        <v>6085</v>
      </c>
      <c r="K592" s="52" t="b">
        <f>IFS($B592=FALSE,"", countif(VLOOKUP($A592,UASCAN!D:D,1,FALSE),$A592)&gt;=1,TRUE,countif(VLOOKUP($B592,UASCAN!D:D,1,FALSE),$B592)=0,FALSE)</f>
        <v>0</v>
      </c>
      <c r="L592" s="52" t="b">
        <f>IFS(B592=FALSE,"", countif(VLOOKUP($B592,'01202022'!B:B,1,FALSE),$B592)&gt;=1,TRUE,countif(VLOOKUP($B592,'01202022'!B:B,1,FALSE),$B592)=0,FALSE)</f>
        <v>1</v>
      </c>
      <c r="M592" s="52" t="str">
        <f>ifs(AND($K592=FALSE,$L592=TRUE),"",AND($K592=FALSE,L592=FALSE),"",AND($K592=TRUE,$L592=TRUE),VLOOKUP($A592,UASCAN!D:F,3,0), AND($K592=TRUE,$L592=FALSE),VLOOKUP($A592,UASCAN!D:F,3,0))</f>
        <v/>
      </c>
      <c r="N592" s="53" t="str">
        <f t="shared" si="2"/>
        <v> </v>
      </c>
      <c r="O592" s="53" t="str">
        <f t="shared" si="3"/>
        <v/>
      </c>
    </row>
    <row r="593">
      <c r="A593" s="47" t="str">
        <f t="shared" si="1"/>
        <v>979444581</v>
      </c>
      <c r="B593" s="48">
        <v>9794.0</v>
      </c>
      <c r="C593" s="49">
        <v>0.6041666666666666</v>
      </c>
      <c r="D593" s="48" t="s">
        <v>292</v>
      </c>
      <c r="E593" s="50">
        <v>24881.0</v>
      </c>
      <c r="F593" s="51">
        <v>44581.0</v>
      </c>
      <c r="G593" s="48" t="s">
        <v>6215</v>
      </c>
      <c r="H593" s="48" t="s">
        <v>6218</v>
      </c>
      <c r="I593" s="48" t="s">
        <v>6219</v>
      </c>
      <c r="J593" s="48" t="s">
        <v>6089</v>
      </c>
      <c r="K593" s="52" t="b">
        <f>IFS($B593=FALSE,"", countif(VLOOKUP($A593,UASCAN!D:D,1,FALSE),$A593)&gt;=1,TRUE,countif(VLOOKUP($B593,UASCAN!D:D,1,FALSE),$B593)=0,FALSE)</f>
        <v>0</v>
      </c>
      <c r="L593" s="52" t="b">
        <f>IFS(B593=FALSE,"", countif(VLOOKUP($B593,'01202022'!B:B,1,FALSE),$B593)&gt;=1,TRUE,countif(VLOOKUP($B593,'01202022'!B:B,1,FALSE),$B593)=0,FALSE)</f>
        <v>1</v>
      </c>
      <c r="M593" s="52" t="str">
        <f>ifs(AND($K593=FALSE,$L593=TRUE),"",AND($K593=FALSE,L593=FALSE),"",AND($K593=TRUE,$L593=TRUE),VLOOKUP($A593,UASCAN!D:F,3,0), AND($K593=TRUE,$L593=FALSE),VLOOKUP($A593,UASCAN!D:F,3,0))</f>
        <v/>
      </c>
      <c r="N593" s="53" t="str">
        <f t="shared" si="2"/>
        <v> </v>
      </c>
      <c r="O593" s="53" t="str">
        <f t="shared" si="3"/>
        <v/>
      </c>
    </row>
    <row r="594">
      <c r="A594" s="47" t="str">
        <f t="shared" si="1"/>
        <v>995744581</v>
      </c>
      <c r="B594" s="48">
        <v>9957.0</v>
      </c>
      <c r="C594" s="49">
        <v>0.6354166666666666</v>
      </c>
      <c r="D594" s="48" t="s">
        <v>349</v>
      </c>
      <c r="E594" s="50">
        <v>18709.0</v>
      </c>
      <c r="F594" s="51">
        <v>44581.0</v>
      </c>
      <c r="G594" s="48" t="s">
        <v>5</v>
      </c>
      <c r="H594" s="48" t="s">
        <v>6218</v>
      </c>
      <c r="I594" s="48" t="s">
        <v>6219</v>
      </c>
      <c r="J594" s="48" t="s">
        <v>6137</v>
      </c>
      <c r="K594" s="52" t="b">
        <f>IFS($B594=FALSE,"", countif(VLOOKUP($A594,UASCAN!D:D,1,FALSE),$A594)&gt;=1,TRUE,countif(VLOOKUP($B594,UASCAN!D:D,1,FALSE),$B594)=0,FALSE)</f>
        <v>0</v>
      </c>
      <c r="L594" s="52" t="b">
        <f>IFS(B594=FALSE,"", countif(VLOOKUP($B594,'01202022'!B:B,1,FALSE),$B594)&gt;=1,TRUE,countif(VLOOKUP($B594,'01202022'!B:B,1,FALSE),$B594)=0,FALSE)</f>
        <v>1</v>
      </c>
      <c r="M594" s="52" t="str">
        <f>ifs(AND($K594=FALSE,$L594=TRUE),"",AND($K594=FALSE,L594=FALSE),"",AND($K594=TRUE,$L594=TRUE),VLOOKUP($A594,UASCAN!D:F,3,0), AND($K594=TRUE,$L594=FALSE),VLOOKUP($A594,UASCAN!D:F,3,0))</f>
        <v/>
      </c>
      <c r="N594" s="53" t="str">
        <f t="shared" si="2"/>
        <v> </v>
      </c>
      <c r="O594" s="53" t="str">
        <f t="shared" si="3"/>
        <v/>
      </c>
    </row>
    <row r="595">
      <c r="A595" s="47" t="str">
        <f t="shared" si="1"/>
        <v>1357944581</v>
      </c>
      <c r="B595" s="48">
        <v>13579.0</v>
      </c>
      <c r="C595" s="49">
        <v>0.3645833333333333</v>
      </c>
      <c r="D595" s="48" t="s">
        <v>2345</v>
      </c>
      <c r="E595" s="50">
        <v>23956.0</v>
      </c>
      <c r="F595" s="51">
        <v>44581.0</v>
      </c>
      <c r="G595" s="48" t="s">
        <v>5</v>
      </c>
      <c r="H595" s="48" t="s">
        <v>6218</v>
      </c>
      <c r="I595" s="48" t="s">
        <v>6219</v>
      </c>
      <c r="J595" s="48" t="s">
        <v>6091</v>
      </c>
      <c r="K595" s="52" t="b">
        <f>IFS($B595=FALSE,"", countif(VLOOKUP($A595,UASCAN!D:D,1,FALSE),$A595)&gt;=1,TRUE,countif(VLOOKUP($B595,UASCAN!D:D,1,FALSE),$B595)=0,FALSE)</f>
        <v>0</v>
      </c>
      <c r="L595" s="52" t="b">
        <f>IFS(B595=FALSE,"", countif(VLOOKUP($B595,'01202022'!B:B,1,FALSE),$B595)&gt;=1,TRUE,countif(VLOOKUP($B595,'01202022'!B:B,1,FALSE),$B595)=0,FALSE)</f>
        <v>1</v>
      </c>
      <c r="M595" s="52" t="str">
        <f>ifs(AND($K595=FALSE,$L595=TRUE),"",AND($K595=FALSE,L595=FALSE),"",AND($K595=TRUE,$L595=TRUE),VLOOKUP($A595,UASCAN!D:F,3,0), AND($K595=TRUE,$L595=FALSE),VLOOKUP($A595,UASCAN!D:F,3,0))</f>
        <v/>
      </c>
      <c r="N595" s="53" t="str">
        <f t="shared" si="2"/>
        <v> </v>
      </c>
      <c r="O595" s="53" t="str">
        <f t="shared" si="3"/>
        <v/>
      </c>
    </row>
    <row r="596">
      <c r="A596" s="47" t="str">
        <f t="shared" si="1"/>
        <v>1299344581</v>
      </c>
      <c r="B596" s="48">
        <v>12993.0</v>
      </c>
      <c r="C596" s="49">
        <v>0.34375</v>
      </c>
      <c r="D596" s="48" t="s">
        <v>1883</v>
      </c>
      <c r="E596" s="50">
        <v>19819.0</v>
      </c>
      <c r="F596" s="51">
        <v>44581.0</v>
      </c>
      <c r="G596" s="48" t="s">
        <v>6216</v>
      </c>
      <c r="H596" s="48" t="s">
        <v>6211</v>
      </c>
      <c r="I596" s="48" t="s">
        <v>6221</v>
      </c>
      <c r="J596" s="48" t="s">
        <v>6196</v>
      </c>
      <c r="K596" s="52" t="b">
        <f>IFS($B596=FALSE,"", countif(VLOOKUP($A596,UASCAN!D:D,1,FALSE),$A596)&gt;=1,TRUE,countif(VLOOKUP($B596,UASCAN!D:D,1,FALSE),$B596)=0,FALSE)</f>
        <v>0</v>
      </c>
      <c r="L596" s="52" t="b">
        <f>IFS(B596=FALSE,"", countif(VLOOKUP($B596,'01202022'!B:B,1,FALSE),$B596)&gt;=1,TRUE,countif(VLOOKUP($B596,'01202022'!B:B,1,FALSE),$B596)=0,FALSE)</f>
        <v>1</v>
      </c>
      <c r="M596" s="52" t="str">
        <f>ifs(AND($K596=FALSE,$L596=TRUE),"",AND($K596=FALSE,L596=FALSE),"",AND($K596=TRUE,$L596=TRUE),VLOOKUP($A596,UASCAN!D:F,3,0), AND($K596=TRUE,$L596=FALSE),VLOOKUP($A596,UASCAN!D:F,3,0))</f>
        <v/>
      </c>
      <c r="N596" s="53" t="str">
        <f t="shared" si="2"/>
        <v> </v>
      </c>
      <c r="O596" s="53" t="str">
        <f t="shared" si="3"/>
        <v/>
      </c>
    </row>
    <row r="597">
      <c r="A597" s="47" t="str">
        <f t="shared" si="1"/>
        <v>1795444581</v>
      </c>
      <c r="B597" s="48">
        <v>17954.0</v>
      </c>
      <c r="C597" s="49">
        <v>0.3645833333333333</v>
      </c>
      <c r="D597" s="48" t="s">
        <v>6047</v>
      </c>
      <c r="E597" s="50">
        <v>13621.0</v>
      </c>
      <c r="F597" s="51">
        <v>44581.0</v>
      </c>
      <c r="G597" s="48" t="s">
        <v>6214</v>
      </c>
      <c r="H597" s="48" t="s">
        <v>6211</v>
      </c>
      <c r="I597" s="48" t="s">
        <v>6221</v>
      </c>
      <c r="J597" s="48" t="s">
        <v>6189</v>
      </c>
      <c r="K597" s="52" t="b">
        <f>IFS($B597=FALSE,"", countif(VLOOKUP($A597,UASCAN!D:D,1,FALSE),$A597)&gt;=1,TRUE,countif(VLOOKUP($B597,UASCAN!D:D,1,FALSE),$B597)=0,FALSE)</f>
        <v>0</v>
      </c>
      <c r="L597" s="52" t="b">
        <f>IFS(B597=FALSE,"", countif(VLOOKUP($B597,'01202022'!B:B,1,FALSE),$B597)&gt;=1,TRUE,countif(VLOOKUP($B597,'01202022'!B:B,1,FALSE),$B597)=0,FALSE)</f>
        <v>1</v>
      </c>
      <c r="M597" s="52" t="str">
        <f>ifs(AND($K597=FALSE,$L597=TRUE),"",AND($K597=FALSE,L597=FALSE),"",AND($K597=TRUE,$L597=TRUE),VLOOKUP($A597,UASCAN!D:F,3,0), AND($K597=TRUE,$L597=FALSE),VLOOKUP($A597,UASCAN!D:F,3,0))</f>
        <v/>
      </c>
      <c r="N597" s="53" t="str">
        <f t="shared" si="2"/>
        <v> </v>
      </c>
      <c r="O597" s="53" t="str">
        <f t="shared" si="3"/>
        <v/>
      </c>
    </row>
    <row r="598">
      <c r="A598" s="47" t="str">
        <f t="shared" si="1"/>
        <v>1631044581</v>
      </c>
      <c r="B598" s="48">
        <v>16310.0</v>
      </c>
      <c r="C598" s="49">
        <v>0.375</v>
      </c>
      <c r="D598" s="48" t="s">
        <v>4589</v>
      </c>
      <c r="E598" s="50">
        <v>20014.0</v>
      </c>
      <c r="F598" s="51">
        <v>44581.0</v>
      </c>
      <c r="G598" s="48" t="s">
        <v>6215</v>
      </c>
      <c r="H598" s="48" t="s">
        <v>6211</v>
      </c>
      <c r="I598" s="48" t="s">
        <v>6221</v>
      </c>
      <c r="J598" s="48" t="s">
        <v>6137</v>
      </c>
      <c r="K598" s="52" t="b">
        <f>IFS($B598=FALSE,"", countif(VLOOKUP($A598,UASCAN!D:D,1,FALSE),$A598)&gt;=1,TRUE,countif(VLOOKUP($B598,UASCAN!D:D,1,FALSE),$B598)=0,FALSE)</f>
        <v>0</v>
      </c>
      <c r="L598" s="52" t="b">
        <f>IFS(B598=FALSE,"", countif(VLOOKUP($B598,'01202022'!B:B,1,FALSE),$B598)&gt;=1,TRUE,countif(VLOOKUP($B598,'01202022'!B:B,1,FALSE),$B598)=0,FALSE)</f>
        <v>1</v>
      </c>
      <c r="M598" s="52" t="str">
        <f>ifs(AND($K598=FALSE,$L598=TRUE),"",AND($K598=FALSE,L598=FALSE),"",AND($K598=TRUE,$L598=TRUE),VLOOKUP($A598,UASCAN!D:F,3,0), AND($K598=TRUE,$L598=FALSE),VLOOKUP($A598,UASCAN!D:F,3,0))</f>
        <v/>
      </c>
      <c r="N598" s="53" t="str">
        <f t="shared" si="2"/>
        <v> </v>
      </c>
      <c r="O598" s="53" t="str">
        <f t="shared" si="3"/>
        <v/>
      </c>
    </row>
    <row r="599">
      <c r="A599" s="47" t="str">
        <f t="shared" si="1"/>
        <v>1081344581</v>
      </c>
      <c r="B599" s="48">
        <v>10813.0</v>
      </c>
      <c r="C599" s="49">
        <v>0.375</v>
      </c>
      <c r="D599" s="48" t="s">
        <v>697</v>
      </c>
      <c r="E599" s="50">
        <v>13035.0</v>
      </c>
      <c r="F599" s="51">
        <v>44581.0</v>
      </c>
      <c r="G599" s="48" t="s">
        <v>6220</v>
      </c>
      <c r="H599" s="48" t="s">
        <v>6211</v>
      </c>
      <c r="I599" s="48" t="s">
        <v>6221</v>
      </c>
      <c r="J599" s="48" t="s">
        <v>6193</v>
      </c>
      <c r="K599" s="52" t="b">
        <f>IFS($B599=FALSE,"", countif(VLOOKUP($A599,UASCAN!D:D,1,FALSE),$A599)&gt;=1,TRUE,countif(VLOOKUP($B599,UASCAN!D:D,1,FALSE),$B599)=0,FALSE)</f>
        <v>0</v>
      </c>
      <c r="L599" s="52" t="b">
        <f>IFS(B599=FALSE,"", countif(VLOOKUP($B599,'01202022'!B:B,1,FALSE),$B599)&gt;=1,TRUE,countif(VLOOKUP($B599,'01202022'!B:B,1,FALSE),$B599)=0,FALSE)</f>
        <v>1</v>
      </c>
      <c r="M599" s="52" t="str">
        <f>ifs(AND($K599=FALSE,$L599=TRUE),"",AND($K599=FALSE,L599=FALSE),"",AND($K599=TRUE,$L599=TRUE),VLOOKUP($A599,UASCAN!D:F,3,0), AND($K599=TRUE,$L599=FALSE),VLOOKUP($A599,UASCAN!D:F,3,0))</f>
        <v/>
      </c>
      <c r="N599" s="53" t="str">
        <f t="shared" si="2"/>
        <v> </v>
      </c>
      <c r="O599" s="53" t="str">
        <f t="shared" si="3"/>
        <v/>
      </c>
    </row>
    <row r="600">
      <c r="A600" s="47" t="str">
        <f t="shared" si="1"/>
        <v>1794044581</v>
      </c>
      <c r="B600" s="48">
        <v>17940.0</v>
      </c>
      <c r="C600" s="49">
        <v>0.3958333333333333</v>
      </c>
      <c r="D600" s="48" t="s">
        <v>6048</v>
      </c>
      <c r="E600" s="50">
        <v>12708.0</v>
      </c>
      <c r="F600" s="51">
        <v>44581.0</v>
      </c>
      <c r="G600" s="48" t="s">
        <v>6214</v>
      </c>
      <c r="H600" s="48" t="s">
        <v>6211</v>
      </c>
      <c r="I600" s="48" t="s">
        <v>6221</v>
      </c>
      <c r="J600" s="48" t="s">
        <v>6196</v>
      </c>
      <c r="K600" s="52" t="b">
        <f>IFS($B600=FALSE,"", countif(VLOOKUP($A600,UASCAN!D:D,1,FALSE),$A600)&gt;=1,TRUE,countif(VLOOKUP($B600,UASCAN!D:D,1,FALSE),$B600)=0,FALSE)</f>
        <v>0</v>
      </c>
      <c r="L600" s="52" t="b">
        <f>IFS(B600=FALSE,"", countif(VLOOKUP($B600,'01202022'!B:B,1,FALSE),$B600)&gt;=1,TRUE,countif(VLOOKUP($B600,'01202022'!B:B,1,FALSE),$B600)=0,FALSE)</f>
        <v>1</v>
      </c>
      <c r="M600" s="52" t="str">
        <f>ifs(AND($K600=FALSE,$L600=TRUE),"",AND($K600=FALSE,L600=FALSE),"",AND($K600=TRUE,$L600=TRUE),VLOOKUP($A600,UASCAN!D:F,3,0), AND($K600=TRUE,$L600=FALSE),VLOOKUP($A600,UASCAN!D:F,3,0))</f>
        <v/>
      </c>
      <c r="N600" s="53" t="str">
        <f t="shared" si="2"/>
        <v> </v>
      </c>
      <c r="O600" s="53" t="str">
        <f t="shared" si="3"/>
        <v/>
      </c>
    </row>
    <row r="601">
      <c r="A601" s="47" t="str">
        <f t="shared" si="1"/>
        <v>1599844581</v>
      </c>
      <c r="B601" s="48">
        <v>15998.0</v>
      </c>
      <c r="C601" s="49">
        <v>0.4166666666666667</v>
      </c>
      <c r="D601" s="48" t="s">
        <v>4337</v>
      </c>
      <c r="E601" s="50">
        <v>19064.0</v>
      </c>
      <c r="F601" s="51">
        <v>44581.0</v>
      </c>
      <c r="G601" s="48" t="s">
        <v>5</v>
      </c>
      <c r="H601" s="48" t="s">
        <v>6211</v>
      </c>
      <c r="I601" s="48" t="s">
        <v>6221</v>
      </c>
      <c r="J601" s="48" t="s">
        <v>6137</v>
      </c>
      <c r="K601" s="52" t="b">
        <f>IFS($B601=FALSE,"", countif(VLOOKUP($A601,UASCAN!D:D,1,FALSE),$A601)&gt;=1,TRUE,countif(VLOOKUP($B601,UASCAN!D:D,1,FALSE),$B601)=0,FALSE)</f>
        <v>0</v>
      </c>
      <c r="L601" s="52" t="b">
        <f>IFS(B601=FALSE,"", countif(VLOOKUP($B601,'01202022'!B:B,1,FALSE),$B601)&gt;=1,TRUE,countif(VLOOKUP($B601,'01202022'!B:B,1,FALSE),$B601)=0,FALSE)</f>
        <v>1</v>
      </c>
      <c r="M601" s="52" t="str">
        <f>ifs(AND($K601=FALSE,$L601=TRUE),"",AND($K601=FALSE,L601=FALSE),"",AND($K601=TRUE,$L601=TRUE),VLOOKUP($A601,UASCAN!D:F,3,0), AND($K601=TRUE,$L601=FALSE),VLOOKUP($A601,UASCAN!D:F,3,0))</f>
        <v/>
      </c>
      <c r="N601" s="53" t="str">
        <f t="shared" si="2"/>
        <v> </v>
      </c>
      <c r="O601" s="53" t="str">
        <f t="shared" si="3"/>
        <v/>
      </c>
    </row>
    <row r="602">
      <c r="A602" s="47" t="str">
        <f t="shared" si="1"/>
        <v>1795744581</v>
      </c>
      <c r="B602" s="48">
        <v>17957.0</v>
      </c>
      <c r="C602" s="49">
        <v>0.4479166666666667</v>
      </c>
      <c r="D602" s="48" t="s">
        <v>6049</v>
      </c>
      <c r="E602" s="50">
        <v>19296.0</v>
      </c>
      <c r="F602" s="51">
        <v>44581.0</v>
      </c>
      <c r="G602" s="48" t="s">
        <v>6213</v>
      </c>
      <c r="H602" s="48" t="s">
        <v>6211</v>
      </c>
      <c r="I602" s="48" t="s">
        <v>6221</v>
      </c>
      <c r="J602" s="48" t="s">
        <v>6137</v>
      </c>
      <c r="K602" s="52" t="b">
        <f>IFS($B602=FALSE,"", countif(VLOOKUP($A602,UASCAN!D:D,1,FALSE),$A602)&gt;=1,TRUE,countif(VLOOKUP($B602,UASCAN!D:D,1,FALSE),$B602)=0,FALSE)</f>
        <v>0</v>
      </c>
      <c r="L602" s="52" t="b">
        <f>IFS(B602=FALSE,"", countif(VLOOKUP($B602,'01202022'!B:B,1,FALSE),$B602)&gt;=1,TRUE,countif(VLOOKUP($B602,'01202022'!B:B,1,FALSE),$B602)=0,FALSE)</f>
        <v>1</v>
      </c>
      <c r="M602" s="52" t="str">
        <f>ifs(AND($K602=FALSE,$L602=TRUE),"",AND($K602=FALSE,L602=FALSE),"",AND($K602=TRUE,$L602=TRUE),VLOOKUP($A602,UASCAN!D:F,3,0), AND($K602=TRUE,$L602=FALSE),VLOOKUP($A602,UASCAN!D:F,3,0))</f>
        <v/>
      </c>
      <c r="N602" s="53" t="str">
        <f t="shared" si="2"/>
        <v> </v>
      </c>
      <c r="O602" s="53" t="str">
        <f t="shared" si="3"/>
        <v/>
      </c>
    </row>
    <row r="603">
      <c r="A603" s="47" t="str">
        <f t="shared" si="1"/>
        <v>1785844581</v>
      </c>
      <c r="B603" s="48">
        <v>17858.0</v>
      </c>
      <c r="C603" s="49">
        <v>0.46875</v>
      </c>
      <c r="D603" s="48" t="s">
        <v>6034</v>
      </c>
      <c r="E603" s="50">
        <v>15062.0</v>
      </c>
      <c r="F603" s="51">
        <v>44581.0</v>
      </c>
      <c r="G603" s="48" t="s">
        <v>6214</v>
      </c>
      <c r="H603" s="48" t="s">
        <v>6211</v>
      </c>
      <c r="I603" s="48" t="s">
        <v>6221</v>
      </c>
      <c r="J603" s="48" t="s">
        <v>6189</v>
      </c>
      <c r="K603" s="52" t="b">
        <f>IFS($B603=FALSE,"", countif(VLOOKUP($A603,UASCAN!D:D,1,FALSE),$A603)&gt;=1,TRUE,countif(VLOOKUP($B603,UASCAN!D:D,1,FALSE),$B603)=0,FALSE)</f>
        <v>0</v>
      </c>
      <c r="L603" s="52" t="b">
        <f>IFS(B603=FALSE,"", countif(VLOOKUP($B603,'01202022'!B:B,1,FALSE),$B603)&gt;=1,TRUE,countif(VLOOKUP($B603,'01202022'!B:B,1,FALSE),$B603)=0,FALSE)</f>
        <v>1</v>
      </c>
      <c r="M603" s="52" t="str">
        <f>ifs(AND($K603=FALSE,$L603=TRUE),"",AND($K603=FALSE,L603=FALSE),"",AND($K603=TRUE,$L603=TRUE),VLOOKUP($A603,UASCAN!D:F,3,0), AND($K603=TRUE,$L603=FALSE),VLOOKUP($A603,UASCAN!D:F,3,0))</f>
        <v/>
      </c>
      <c r="N603" s="53" t="str">
        <f t="shared" si="2"/>
        <v> </v>
      </c>
      <c r="O603" s="53" t="str">
        <f t="shared" si="3"/>
        <v/>
      </c>
    </row>
    <row r="604">
      <c r="A604" s="47" t="str">
        <f t="shared" si="1"/>
        <v>1287344581</v>
      </c>
      <c r="B604" s="48">
        <v>12873.0</v>
      </c>
      <c r="C604" s="49">
        <v>0.4791666666666667</v>
      </c>
      <c r="D604" s="48" t="s">
        <v>1783</v>
      </c>
      <c r="E604" s="50">
        <v>25745.0</v>
      </c>
      <c r="F604" s="51">
        <v>44581.0</v>
      </c>
      <c r="G604" s="48" t="s">
        <v>5</v>
      </c>
      <c r="H604" s="48" t="s">
        <v>6211</v>
      </c>
      <c r="I604" s="48" t="s">
        <v>6221</v>
      </c>
      <c r="J604" s="48" t="s">
        <v>6137</v>
      </c>
      <c r="K604" s="52" t="b">
        <f>IFS($B604=FALSE,"", countif(VLOOKUP($A604,UASCAN!D:D,1,FALSE),$A604)&gt;=1,TRUE,countif(VLOOKUP($B604,UASCAN!D:D,1,FALSE),$B604)=0,FALSE)</f>
        <v>0</v>
      </c>
      <c r="L604" s="52" t="b">
        <f>IFS(B604=FALSE,"", countif(VLOOKUP($B604,'01202022'!B:B,1,FALSE),$B604)&gt;=1,TRUE,countif(VLOOKUP($B604,'01202022'!B:B,1,FALSE),$B604)=0,FALSE)</f>
        <v>1</v>
      </c>
      <c r="M604" s="52" t="str">
        <f>ifs(AND($K604=FALSE,$L604=TRUE),"",AND($K604=FALSE,L604=FALSE),"",AND($K604=TRUE,$L604=TRUE),VLOOKUP($A604,UASCAN!D:F,3,0), AND($K604=TRUE,$L604=FALSE),VLOOKUP($A604,UASCAN!D:F,3,0))</f>
        <v/>
      </c>
      <c r="N604" s="53" t="str">
        <f t="shared" si="2"/>
        <v> </v>
      </c>
      <c r="O604" s="53" t="str">
        <f t="shared" si="3"/>
        <v/>
      </c>
    </row>
    <row r="605">
      <c r="A605" s="47" t="str">
        <f t="shared" si="1"/>
        <v>1790944581</v>
      </c>
      <c r="B605" s="48">
        <v>17909.0</v>
      </c>
      <c r="C605" s="49">
        <v>0.5416666666666666</v>
      </c>
      <c r="D605" s="48" t="s">
        <v>6050</v>
      </c>
      <c r="E605" s="50">
        <v>17693.0</v>
      </c>
      <c r="F605" s="51">
        <v>44581.0</v>
      </c>
      <c r="G605" s="48" t="s">
        <v>6213</v>
      </c>
      <c r="H605" s="48" t="s">
        <v>6211</v>
      </c>
      <c r="I605" s="48" t="s">
        <v>6221</v>
      </c>
      <c r="J605" s="48" t="s">
        <v>6137</v>
      </c>
      <c r="K605" s="52" t="b">
        <f>IFS($B605=FALSE,"", countif(VLOOKUP($A605,UASCAN!D:D,1,FALSE),$A605)&gt;=1,TRUE,countif(VLOOKUP($B605,UASCAN!D:D,1,FALSE),$B605)=0,FALSE)</f>
        <v>0</v>
      </c>
      <c r="L605" s="52" t="b">
        <f>IFS(B605=FALSE,"", countif(VLOOKUP($B605,'01202022'!B:B,1,FALSE),$B605)&gt;=1,TRUE,countif(VLOOKUP($B605,'01202022'!B:B,1,FALSE),$B605)=0,FALSE)</f>
        <v>1</v>
      </c>
      <c r="M605" s="52" t="str">
        <f>ifs(AND($K605=FALSE,$L605=TRUE),"",AND($K605=FALSE,L605=FALSE),"",AND($K605=TRUE,$L605=TRUE),VLOOKUP($A605,UASCAN!D:F,3,0), AND($K605=TRUE,$L605=FALSE),VLOOKUP($A605,UASCAN!D:F,3,0))</f>
        <v/>
      </c>
      <c r="N605" s="53" t="str">
        <f t="shared" si="2"/>
        <v> </v>
      </c>
      <c r="O605" s="53" t="str">
        <f t="shared" si="3"/>
        <v/>
      </c>
    </row>
    <row r="606">
      <c r="A606" s="47" t="str">
        <f t="shared" si="1"/>
        <v>1662244581</v>
      </c>
      <c r="B606" s="48">
        <v>16622.0</v>
      </c>
      <c r="C606" s="49">
        <v>0.5416666666666666</v>
      </c>
      <c r="D606" s="48" t="s">
        <v>4828</v>
      </c>
      <c r="E606" s="50">
        <v>22025.0</v>
      </c>
      <c r="F606" s="51">
        <v>44581.0</v>
      </c>
      <c r="G606" s="48" t="s">
        <v>6213</v>
      </c>
      <c r="H606" s="48" t="s">
        <v>6211</v>
      </c>
      <c r="I606" s="48" t="s">
        <v>6221</v>
      </c>
      <c r="J606" s="48" t="s">
        <v>6189</v>
      </c>
      <c r="K606" s="52" t="b">
        <f>IFS($B606=FALSE,"", countif(VLOOKUP($A606,UASCAN!D:D,1,FALSE),$A606)&gt;=1,TRUE,countif(VLOOKUP($B606,UASCAN!D:D,1,FALSE),$B606)=0,FALSE)</f>
        <v>0</v>
      </c>
      <c r="L606" s="52" t="b">
        <f>IFS(B606=FALSE,"", countif(VLOOKUP($B606,'01202022'!B:B,1,FALSE),$B606)&gt;=1,TRUE,countif(VLOOKUP($B606,'01202022'!B:B,1,FALSE),$B606)=0,FALSE)</f>
        <v>1</v>
      </c>
      <c r="M606" s="52" t="str">
        <f>ifs(AND($K606=FALSE,$L606=TRUE),"",AND($K606=FALSE,L606=FALSE),"",AND($K606=TRUE,$L606=TRUE),VLOOKUP($A606,UASCAN!D:F,3,0), AND($K606=TRUE,$L606=FALSE),VLOOKUP($A606,UASCAN!D:F,3,0))</f>
        <v/>
      </c>
      <c r="N606" s="53" t="str">
        <f t="shared" si="2"/>
        <v> </v>
      </c>
      <c r="O606" s="53" t="str">
        <f t="shared" si="3"/>
        <v/>
      </c>
    </row>
    <row r="607">
      <c r="A607" s="47" t="str">
        <f t="shared" si="1"/>
        <v>1106044581</v>
      </c>
      <c r="B607" s="48">
        <v>11060.0</v>
      </c>
      <c r="C607" s="49">
        <v>0.5729166666666666</v>
      </c>
      <c r="D607" s="48" t="s">
        <v>790</v>
      </c>
      <c r="E607" s="50">
        <v>17390.0</v>
      </c>
      <c r="F607" s="51">
        <v>44581.0</v>
      </c>
      <c r="G607" s="48" t="s">
        <v>6220</v>
      </c>
      <c r="H607" s="48" t="s">
        <v>6211</v>
      </c>
      <c r="I607" s="48" t="s">
        <v>6221</v>
      </c>
      <c r="J607" s="48" t="s">
        <v>6190</v>
      </c>
      <c r="K607" s="52" t="b">
        <f>IFS($B607=FALSE,"", countif(VLOOKUP($A607,UASCAN!D:D,1,FALSE),$A607)&gt;=1,TRUE,countif(VLOOKUP($B607,UASCAN!D:D,1,FALSE),$B607)=0,FALSE)</f>
        <v>0</v>
      </c>
      <c r="L607" s="52" t="b">
        <f>IFS(B607=FALSE,"", countif(VLOOKUP($B607,'01202022'!B:B,1,FALSE),$B607)&gt;=1,TRUE,countif(VLOOKUP($B607,'01202022'!B:B,1,FALSE),$B607)=0,FALSE)</f>
        <v>1</v>
      </c>
      <c r="M607" s="52" t="str">
        <f>ifs(AND($K607=FALSE,$L607=TRUE),"",AND($K607=FALSE,L607=FALSE),"",AND($K607=TRUE,$L607=TRUE),VLOOKUP($A607,UASCAN!D:F,3,0), AND($K607=TRUE,$L607=FALSE),VLOOKUP($A607,UASCAN!D:F,3,0))</f>
        <v/>
      </c>
      <c r="N607" s="53" t="str">
        <f t="shared" si="2"/>
        <v> </v>
      </c>
      <c r="O607" s="53" t="str">
        <f t="shared" si="3"/>
        <v/>
      </c>
    </row>
    <row r="608">
      <c r="A608" s="47" t="str">
        <f t="shared" si="1"/>
        <v>1791344581</v>
      </c>
      <c r="B608" s="48">
        <v>17913.0</v>
      </c>
      <c r="C608" s="49">
        <v>0.59375</v>
      </c>
      <c r="D608" s="48" t="s">
        <v>6051</v>
      </c>
      <c r="E608" s="50">
        <v>15556.0</v>
      </c>
      <c r="F608" s="51">
        <v>44581.0</v>
      </c>
      <c r="G608" s="48" t="s">
        <v>6214</v>
      </c>
      <c r="H608" s="48" t="s">
        <v>6211</v>
      </c>
      <c r="I608" s="48" t="s">
        <v>6221</v>
      </c>
      <c r="J608" s="48" t="s">
        <v>6189</v>
      </c>
      <c r="K608" s="52" t="b">
        <f>IFS($B608=FALSE,"", countif(VLOOKUP($A608,UASCAN!D:D,1,FALSE),$A608)&gt;=1,TRUE,countif(VLOOKUP($B608,UASCAN!D:D,1,FALSE),$B608)=0,FALSE)</f>
        <v>0</v>
      </c>
      <c r="L608" s="52" t="b">
        <f>IFS(B608=FALSE,"", countif(VLOOKUP($B608,'01202022'!B:B,1,FALSE),$B608)&gt;=1,TRUE,countif(VLOOKUP($B608,'01202022'!B:B,1,FALSE),$B608)=0,FALSE)</f>
        <v>1</v>
      </c>
      <c r="M608" s="52" t="str">
        <f>ifs(AND($K608=FALSE,$L608=TRUE),"",AND($K608=FALSE,L608=FALSE),"",AND($K608=TRUE,$L608=TRUE),VLOOKUP($A608,UASCAN!D:F,3,0), AND($K608=TRUE,$L608=FALSE),VLOOKUP($A608,UASCAN!D:F,3,0))</f>
        <v/>
      </c>
      <c r="N608" s="53" t="str">
        <f t="shared" si="2"/>
        <v> </v>
      </c>
      <c r="O608" s="53" t="str">
        <f t="shared" si="3"/>
        <v/>
      </c>
    </row>
    <row r="609">
      <c r="A609" s="47" t="str">
        <f t="shared" si="1"/>
        <v>1795244581</v>
      </c>
      <c r="B609" s="48">
        <v>17952.0</v>
      </c>
      <c r="C609" s="49">
        <v>0.6145833333333334</v>
      </c>
      <c r="D609" s="48" t="s">
        <v>6052</v>
      </c>
      <c r="E609" s="50">
        <v>20021.0</v>
      </c>
      <c r="F609" s="51">
        <v>44581.0</v>
      </c>
      <c r="G609" s="48" t="s">
        <v>6213</v>
      </c>
      <c r="H609" s="48" t="s">
        <v>6211</v>
      </c>
      <c r="I609" s="48" t="s">
        <v>6221</v>
      </c>
      <c r="J609" s="48" t="s">
        <v>6137</v>
      </c>
      <c r="K609" s="52" t="b">
        <f>IFS($B609=FALSE,"", countif(VLOOKUP($A609,UASCAN!D:D,1,FALSE),$A609)&gt;=1,TRUE,countif(VLOOKUP($B609,UASCAN!D:D,1,FALSE),$B609)=0,FALSE)</f>
        <v>0</v>
      </c>
      <c r="L609" s="52" t="b">
        <f>IFS(B609=FALSE,"", countif(VLOOKUP($B609,'01202022'!B:B,1,FALSE),$B609)&gt;=1,TRUE,countif(VLOOKUP($B609,'01202022'!B:B,1,FALSE),$B609)=0,FALSE)</f>
        <v>1</v>
      </c>
      <c r="M609" s="52" t="str">
        <f>ifs(AND($K609=FALSE,$L609=TRUE),"",AND($K609=FALSE,L609=FALSE),"",AND($K609=TRUE,$L609=TRUE),VLOOKUP($A609,UASCAN!D:F,3,0), AND($K609=TRUE,$L609=FALSE),VLOOKUP($A609,UASCAN!D:F,3,0))</f>
        <v/>
      </c>
      <c r="N609" s="53" t="str">
        <f t="shared" si="2"/>
        <v> </v>
      </c>
      <c r="O609" s="53" t="str">
        <f t="shared" si="3"/>
        <v/>
      </c>
    </row>
    <row r="610">
      <c r="A610" s="47" t="str">
        <f t="shared" si="1"/>
        <v>1683344581</v>
      </c>
      <c r="B610" s="48">
        <v>16833.0</v>
      </c>
      <c r="C610" s="49">
        <v>0.6041666666666666</v>
      </c>
      <c r="D610" s="48" t="s">
        <v>4997</v>
      </c>
      <c r="E610" s="50">
        <v>17920.0</v>
      </c>
      <c r="F610" s="51">
        <v>44581.0</v>
      </c>
      <c r="G610" s="48" t="s">
        <v>6216</v>
      </c>
      <c r="H610" s="48" t="s">
        <v>6211</v>
      </c>
      <c r="I610" s="48" t="s">
        <v>6221</v>
      </c>
      <c r="J610" s="48" t="s">
        <v>6195</v>
      </c>
      <c r="K610" s="52" t="b">
        <f>IFS($B610=FALSE,"", countif(VLOOKUP($A610,UASCAN!D:D,1,FALSE),$A610)&gt;=1,TRUE,countif(VLOOKUP($B610,UASCAN!D:D,1,FALSE),$B610)=0,FALSE)</f>
        <v>0</v>
      </c>
      <c r="L610" s="52" t="b">
        <f>IFS(B610=FALSE,"", countif(VLOOKUP($B610,'01202022'!B:B,1,FALSE),$B610)&gt;=1,TRUE,countif(VLOOKUP($B610,'01202022'!B:B,1,FALSE),$B610)=0,FALSE)</f>
        <v>1</v>
      </c>
      <c r="M610" s="52" t="str">
        <f>ifs(AND($K610=FALSE,$L610=TRUE),"",AND($K610=FALSE,L610=FALSE),"",AND($K610=TRUE,$L610=TRUE),VLOOKUP($A610,UASCAN!D:F,3,0), AND($K610=TRUE,$L610=FALSE),VLOOKUP($A610,UASCAN!D:F,3,0))</f>
        <v/>
      </c>
      <c r="N610" s="53" t="str">
        <f t="shared" si="2"/>
        <v> </v>
      </c>
      <c r="O610" s="53" t="str">
        <f t="shared" si="3"/>
        <v/>
      </c>
    </row>
    <row r="611">
      <c r="A611" s="47" t="str">
        <f t="shared" si="1"/>
        <v>1569044581</v>
      </c>
      <c r="B611" s="48">
        <v>15690.0</v>
      </c>
      <c r="C611" s="49">
        <v>0.625</v>
      </c>
      <c r="D611" s="48" t="s">
        <v>4058</v>
      </c>
      <c r="E611" s="50">
        <v>17162.0</v>
      </c>
      <c r="F611" s="51">
        <v>44581.0</v>
      </c>
      <c r="G611" s="48" t="s">
        <v>6215</v>
      </c>
      <c r="H611" s="48" t="s">
        <v>6211</v>
      </c>
      <c r="I611" s="48" t="s">
        <v>6221</v>
      </c>
      <c r="J611" s="48" t="s">
        <v>6137</v>
      </c>
      <c r="K611" s="52" t="b">
        <f>IFS($B611=FALSE,"", countif(VLOOKUP($A611,UASCAN!D:D,1,FALSE),$A611)&gt;=1,TRUE,countif(VLOOKUP($B611,UASCAN!D:D,1,FALSE),$B611)=0,FALSE)</f>
        <v>0</v>
      </c>
      <c r="L611" s="52" t="b">
        <f>IFS(B611=FALSE,"", countif(VLOOKUP($B611,'01202022'!B:B,1,FALSE),$B611)&gt;=1,TRUE,countif(VLOOKUP($B611,'01202022'!B:B,1,FALSE),$B611)=0,FALSE)</f>
        <v>1</v>
      </c>
      <c r="M611" s="52" t="str">
        <f>ifs(AND($K611=FALSE,$L611=TRUE),"",AND($K611=FALSE,L611=FALSE),"",AND($K611=TRUE,$L611=TRUE),VLOOKUP($A611,UASCAN!D:F,3,0), AND($K611=TRUE,$L611=FALSE),VLOOKUP($A611,UASCAN!D:F,3,0))</f>
        <v/>
      </c>
      <c r="N611" s="53" t="str">
        <f t="shared" si="2"/>
        <v> </v>
      </c>
      <c r="O611" s="53" t="str">
        <f t="shared" si="3"/>
        <v/>
      </c>
    </row>
    <row r="612">
      <c r="A612" s="47" t="str">
        <f t="shared" si="1"/>
        <v>1574144581</v>
      </c>
      <c r="B612" s="48">
        <v>15741.0</v>
      </c>
      <c r="C612" s="49">
        <v>0.6458333333333334</v>
      </c>
      <c r="D612" s="48" t="s">
        <v>4108</v>
      </c>
      <c r="E612" s="50">
        <v>17556.0</v>
      </c>
      <c r="F612" s="51">
        <v>44581.0</v>
      </c>
      <c r="G612" s="48" t="s">
        <v>5</v>
      </c>
      <c r="H612" s="48" t="s">
        <v>6211</v>
      </c>
      <c r="I612" s="48" t="s">
        <v>6221</v>
      </c>
      <c r="J612" s="48" t="s">
        <v>6137</v>
      </c>
      <c r="K612" s="52" t="b">
        <f>IFS($B612=FALSE,"", countif(VLOOKUP($A612,UASCAN!D:D,1,FALSE),$A612)&gt;=1,TRUE,countif(VLOOKUP($B612,UASCAN!D:D,1,FALSE),$B612)=0,FALSE)</f>
        <v>0</v>
      </c>
      <c r="L612" s="52" t="b">
        <f>IFS(B612=FALSE,"", countif(VLOOKUP($B612,'01202022'!B:B,1,FALSE),$B612)&gt;=1,TRUE,countif(VLOOKUP($B612,'01202022'!B:B,1,FALSE),$B612)=0,FALSE)</f>
        <v>1</v>
      </c>
      <c r="M612" s="52" t="str">
        <f>ifs(AND($K612=FALSE,$L612=TRUE),"",AND($K612=FALSE,L612=FALSE),"",AND($K612=TRUE,$L612=TRUE),VLOOKUP($A612,UASCAN!D:F,3,0), AND($K612=TRUE,$L612=FALSE),VLOOKUP($A612,UASCAN!D:F,3,0))</f>
        <v/>
      </c>
      <c r="N612" s="53" t="str">
        <f t="shared" si="2"/>
        <v> </v>
      </c>
      <c r="O612" s="53" t="str">
        <f t="shared" si="3"/>
        <v/>
      </c>
    </row>
    <row r="613">
      <c r="A613" s="47" t="str">
        <f t="shared" si="1"/>
        <v>1568444581</v>
      </c>
      <c r="B613" s="48">
        <v>15684.0</v>
      </c>
      <c r="C613" s="49">
        <v>0.3333333333333333</v>
      </c>
      <c r="D613" s="48" t="s">
        <v>4053</v>
      </c>
      <c r="E613" s="50">
        <v>29785.0</v>
      </c>
      <c r="F613" s="51">
        <v>44581.0</v>
      </c>
      <c r="G613" s="48" t="s">
        <v>6220</v>
      </c>
      <c r="H613" s="48" t="s">
        <v>6218</v>
      </c>
      <c r="I613" s="48" t="s">
        <v>6222</v>
      </c>
      <c r="J613" s="48" t="s">
        <v>6142</v>
      </c>
      <c r="K613" s="52" t="b">
        <f>IFS($B613=FALSE,"", countif(VLOOKUP($A613,UASCAN!D:D,1,FALSE),$A613)&gt;=1,TRUE,countif(VLOOKUP($B613,UASCAN!D:D,1,FALSE),$B613)=0,FALSE)</f>
        <v>0</v>
      </c>
      <c r="L613" s="52" t="b">
        <f>IFS(B613=FALSE,"", countif(VLOOKUP($B613,'01202022'!B:B,1,FALSE),$B613)&gt;=1,TRUE,countif(VLOOKUP($B613,'01202022'!B:B,1,FALSE),$B613)=0,FALSE)</f>
        <v>1</v>
      </c>
      <c r="M613" s="52" t="str">
        <f>ifs(AND($K613=FALSE,$L613=TRUE),"",AND($K613=FALSE,L613=FALSE),"",AND($K613=TRUE,$L613=TRUE),VLOOKUP($A613,UASCAN!D:F,3,0), AND($K613=TRUE,$L613=FALSE),VLOOKUP($A613,UASCAN!D:F,3,0))</f>
        <v/>
      </c>
      <c r="N613" s="53" t="str">
        <f t="shared" si="2"/>
        <v> </v>
      </c>
      <c r="O613" s="53" t="str">
        <f t="shared" si="3"/>
        <v/>
      </c>
    </row>
    <row r="614">
      <c r="A614" s="47" t="str">
        <f t="shared" si="1"/>
        <v>1576344581</v>
      </c>
      <c r="B614" s="48">
        <v>15763.0</v>
      </c>
      <c r="C614" s="49">
        <v>0.375</v>
      </c>
      <c r="D614" s="48" t="s">
        <v>4127</v>
      </c>
      <c r="E614" s="50">
        <v>23818.0</v>
      </c>
      <c r="F614" s="51">
        <v>44581.0</v>
      </c>
      <c r="G614" s="48" t="s">
        <v>5</v>
      </c>
      <c r="H614" s="48" t="s">
        <v>6218</v>
      </c>
      <c r="I614" s="48" t="s">
        <v>6222</v>
      </c>
      <c r="J614" s="48" t="s">
        <v>6087</v>
      </c>
      <c r="K614" s="52" t="b">
        <f>IFS($B614=FALSE,"", countif(VLOOKUP($A614,UASCAN!D:D,1,FALSE),$A614)&gt;=1,TRUE,countif(VLOOKUP($B614,UASCAN!D:D,1,FALSE),$B614)=0,FALSE)</f>
        <v>0</v>
      </c>
      <c r="L614" s="52" t="b">
        <f>IFS(B614=FALSE,"", countif(VLOOKUP($B614,'01202022'!B:B,1,FALSE),$B614)&gt;=1,TRUE,countif(VLOOKUP($B614,'01202022'!B:B,1,FALSE),$B614)=0,FALSE)</f>
        <v>1</v>
      </c>
      <c r="M614" s="52" t="str">
        <f>ifs(AND($K614=FALSE,$L614=TRUE),"",AND($K614=FALSE,L614=FALSE),"",AND($K614=TRUE,$L614=TRUE),VLOOKUP($A614,UASCAN!D:F,3,0), AND($K614=TRUE,$L614=FALSE),VLOOKUP($A614,UASCAN!D:F,3,0))</f>
        <v/>
      </c>
      <c r="N614" s="53" t="str">
        <f t="shared" si="2"/>
        <v> </v>
      </c>
      <c r="O614" s="53" t="str">
        <f t="shared" si="3"/>
        <v/>
      </c>
    </row>
    <row r="615">
      <c r="A615" s="47" t="str">
        <f t="shared" si="1"/>
        <v>1550244581</v>
      </c>
      <c r="B615" s="48">
        <v>15502.0</v>
      </c>
      <c r="C615" s="49">
        <v>0.3958333333333333</v>
      </c>
      <c r="D615" s="48" t="s">
        <v>3890</v>
      </c>
      <c r="E615" s="50">
        <v>22188.0</v>
      </c>
      <c r="F615" s="51">
        <v>44581.0</v>
      </c>
      <c r="G615" s="48" t="s">
        <v>5</v>
      </c>
      <c r="H615" s="48" t="s">
        <v>6218</v>
      </c>
      <c r="I615" s="48" t="s">
        <v>6222</v>
      </c>
      <c r="J615" s="48" t="s">
        <v>6091</v>
      </c>
      <c r="K615" s="52" t="b">
        <f>IFS($B615=FALSE,"", countif(VLOOKUP($A615,UASCAN!D:D,1,FALSE),$A615)&gt;=1,TRUE,countif(VLOOKUP($B615,UASCAN!D:D,1,FALSE),$B615)=0,FALSE)</f>
        <v>0</v>
      </c>
      <c r="L615" s="52" t="b">
        <f>IFS(B615=FALSE,"", countif(VLOOKUP($B615,'01202022'!B:B,1,FALSE),$B615)&gt;=1,TRUE,countif(VLOOKUP($B615,'01202022'!B:B,1,FALSE),$B615)=0,FALSE)</f>
        <v>1</v>
      </c>
      <c r="M615" s="52" t="str">
        <f>ifs(AND($K615=FALSE,$L615=TRUE),"",AND($K615=FALSE,L615=FALSE),"",AND($K615=TRUE,$L615=TRUE),VLOOKUP($A615,UASCAN!D:F,3,0), AND($K615=TRUE,$L615=FALSE),VLOOKUP($A615,UASCAN!D:F,3,0))</f>
        <v/>
      </c>
      <c r="N615" s="53" t="str">
        <f t="shared" si="2"/>
        <v> </v>
      </c>
      <c r="O615" s="53" t="str">
        <f t="shared" si="3"/>
        <v/>
      </c>
    </row>
    <row r="616">
      <c r="A616" s="47" t="str">
        <f t="shared" si="1"/>
        <v>1474244581</v>
      </c>
      <c r="B616" s="48">
        <v>14742.0</v>
      </c>
      <c r="C616" s="49">
        <v>0.40625</v>
      </c>
      <c r="D616" s="48" t="s">
        <v>3263</v>
      </c>
      <c r="E616" s="50">
        <v>19050.0</v>
      </c>
      <c r="F616" s="51">
        <v>44581.0</v>
      </c>
      <c r="G616" s="48" t="s">
        <v>6224</v>
      </c>
      <c r="H616" s="48" t="s">
        <v>6218</v>
      </c>
      <c r="I616" s="48" t="s">
        <v>6222</v>
      </c>
      <c r="J616" s="48" t="s">
        <v>6223</v>
      </c>
      <c r="K616" s="52" t="b">
        <f>IFS($B616=FALSE,"", countif(VLOOKUP($A616,UASCAN!D:D,1,FALSE),$A616)&gt;=1,TRUE,countif(VLOOKUP($B616,UASCAN!D:D,1,FALSE),$B616)=0,FALSE)</f>
        <v>0</v>
      </c>
      <c r="L616" s="52" t="b">
        <f>IFS(B616=FALSE,"", countif(VLOOKUP($B616,'01202022'!B:B,1,FALSE),$B616)&gt;=1,TRUE,countif(VLOOKUP($B616,'01202022'!B:B,1,FALSE),$B616)=0,FALSE)</f>
        <v>1</v>
      </c>
      <c r="M616" s="52" t="str">
        <f>ifs(AND($K616=FALSE,$L616=TRUE),"",AND($K616=FALSE,L616=FALSE),"",AND($K616=TRUE,$L616=TRUE),VLOOKUP($A616,UASCAN!D:F,3,0), AND($K616=TRUE,$L616=FALSE),VLOOKUP($A616,UASCAN!D:F,3,0))</f>
        <v/>
      </c>
      <c r="N616" s="53" t="str">
        <f t="shared" si="2"/>
        <v> </v>
      </c>
      <c r="O616" s="53" t="str">
        <f t="shared" si="3"/>
        <v/>
      </c>
    </row>
    <row r="617">
      <c r="A617" s="47" t="str">
        <f t="shared" si="1"/>
        <v>1226744581</v>
      </c>
      <c r="B617" s="48">
        <v>12267.0</v>
      </c>
      <c r="C617" s="49">
        <v>0.40625</v>
      </c>
      <c r="D617" s="48" t="s">
        <v>1351</v>
      </c>
      <c r="E617" s="50">
        <v>23969.0</v>
      </c>
      <c r="F617" s="51">
        <v>44581.0</v>
      </c>
      <c r="G617" s="48" t="s">
        <v>5</v>
      </c>
      <c r="H617" s="48" t="s">
        <v>6218</v>
      </c>
      <c r="I617" s="48" t="s">
        <v>6222</v>
      </c>
      <c r="J617" s="48" t="s">
        <v>6091</v>
      </c>
      <c r="K617" s="52" t="b">
        <f>IFS($B617=FALSE,"", countif(VLOOKUP($A617,UASCAN!D:D,1,FALSE),$A617)&gt;=1,TRUE,countif(VLOOKUP($B617,UASCAN!D:D,1,FALSE),$B617)=0,FALSE)</f>
        <v>0</v>
      </c>
      <c r="L617" s="52" t="b">
        <f>IFS(B617=FALSE,"", countif(VLOOKUP($B617,'01202022'!B:B,1,FALSE),$B617)&gt;=1,TRUE,countif(VLOOKUP($B617,'01202022'!B:B,1,FALSE),$B617)=0,FALSE)</f>
        <v>1</v>
      </c>
      <c r="M617" s="52" t="str">
        <f>ifs(AND($K617=FALSE,$L617=TRUE),"",AND($K617=FALSE,L617=FALSE),"",AND($K617=TRUE,$L617=TRUE),VLOOKUP($A617,UASCAN!D:F,3,0), AND($K617=TRUE,$L617=FALSE),VLOOKUP($A617,UASCAN!D:F,3,0))</f>
        <v/>
      </c>
      <c r="N617" s="53" t="str">
        <f t="shared" si="2"/>
        <v> </v>
      </c>
      <c r="O617" s="53" t="str">
        <f t="shared" si="3"/>
        <v/>
      </c>
    </row>
    <row r="618">
      <c r="A618" s="47" t="str">
        <f t="shared" si="1"/>
        <v>1700944581</v>
      </c>
      <c r="B618" s="48">
        <v>17009.0</v>
      </c>
      <c r="C618" s="49">
        <v>0.4166666666666667</v>
      </c>
      <c r="D618" s="48" t="s">
        <v>5131</v>
      </c>
      <c r="E618" s="50">
        <v>20910.0</v>
      </c>
      <c r="F618" s="51">
        <v>44581.0</v>
      </c>
      <c r="G618" s="48" t="s">
        <v>5</v>
      </c>
      <c r="H618" s="48" t="s">
        <v>6218</v>
      </c>
      <c r="I618" s="48" t="s">
        <v>6222</v>
      </c>
      <c r="J618" s="48" t="s">
        <v>6161</v>
      </c>
      <c r="K618" s="52" t="b">
        <f>IFS($B618=FALSE,"", countif(VLOOKUP($A618,UASCAN!D:D,1,FALSE),$A618)&gt;=1,TRUE,countif(VLOOKUP($B618,UASCAN!D:D,1,FALSE),$B618)=0,FALSE)</f>
        <v>0</v>
      </c>
      <c r="L618" s="52" t="b">
        <f>IFS(B618=FALSE,"", countif(VLOOKUP($B618,'01202022'!B:B,1,FALSE),$B618)&gt;=1,TRUE,countif(VLOOKUP($B618,'01202022'!B:B,1,FALSE),$B618)=0,FALSE)</f>
        <v>1</v>
      </c>
      <c r="M618" s="52" t="str">
        <f>ifs(AND($K618=FALSE,$L618=TRUE),"",AND($K618=FALSE,L618=FALSE),"",AND($K618=TRUE,$L618=TRUE),VLOOKUP($A618,UASCAN!D:F,3,0), AND($K618=TRUE,$L618=FALSE),VLOOKUP($A618,UASCAN!D:F,3,0))</f>
        <v/>
      </c>
      <c r="N618" s="53" t="str">
        <f t="shared" si="2"/>
        <v> </v>
      </c>
      <c r="O618" s="53" t="str">
        <f t="shared" si="3"/>
        <v/>
      </c>
    </row>
    <row r="619">
      <c r="A619" s="47" t="str">
        <f t="shared" si="1"/>
        <v>1058344581</v>
      </c>
      <c r="B619" s="48">
        <v>10583.0</v>
      </c>
      <c r="C619" s="49">
        <v>0.4270833333333333</v>
      </c>
      <c r="D619" s="48" t="s">
        <v>593</v>
      </c>
      <c r="E619" s="50">
        <v>24764.0</v>
      </c>
      <c r="F619" s="51">
        <v>44581.0</v>
      </c>
      <c r="G619" s="48" t="s">
        <v>5</v>
      </c>
      <c r="H619" s="48" t="s">
        <v>6218</v>
      </c>
      <c r="I619" s="48" t="s">
        <v>6222</v>
      </c>
      <c r="J619" s="48" t="s">
        <v>6083</v>
      </c>
      <c r="K619" s="52" t="b">
        <f>IFS($B619=FALSE,"", countif(VLOOKUP($A619,UASCAN!D:D,1,FALSE),$A619)&gt;=1,TRUE,countif(VLOOKUP($B619,UASCAN!D:D,1,FALSE),$B619)=0,FALSE)</f>
        <v>0</v>
      </c>
      <c r="L619" s="52" t="b">
        <f>IFS(B619=FALSE,"", countif(VLOOKUP($B619,'01202022'!B:B,1,FALSE),$B619)&gt;=1,TRUE,countif(VLOOKUP($B619,'01202022'!B:B,1,FALSE),$B619)=0,FALSE)</f>
        <v>1</v>
      </c>
      <c r="M619" s="52" t="str">
        <f>ifs(AND($K619=FALSE,$L619=TRUE),"",AND($K619=FALSE,L619=FALSE),"",AND($K619=TRUE,$L619=TRUE),VLOOKUP($A619,UASCAN!D:F,3,0), AND($K619=TRUE,$L619=FALSE),VLOOKUP($A619,UASCAN!D:F,3,0))</f>
        <v/>
      </c>
      <c r="N619" s="53" t="str">
        <f t="shared" si="2"/>
        <v> </v>
      </c>
      <c r="O619" s="53" t="str">
        <f t="shared" si="3"/>
        <v/>
      </c>
    </row>
    <row r="620">
      <c r="A620" s="47" t="str">
        <f t="shared" si="1"/>
        <v>1136544581</v>
      </c>
      <c r="B620" s="48">
        <v>11365.0</v>
      </c>
      <c r="C620" s="49">
        <v>0.4375</v>
      </c>
      <c r="D620" s="48" t="s">
        <v>925</v>
      </c>
      <c r="E620" s="50">
        <v>26273.0</v>
      </c>
      <c r="F620" s="51">
        <v>44581.0</v>
      </c>
      <c r="G620" s="48" t="s">
        <v>5</v>
      </c>
      <c r="H620" s="48" t="s">
        <v>6218</v>
      </c>
      <c r="I620" s="48" t="s">
        <v>6222</v>
      </c>
      <c r="J620" s="48" t="s">
        <v>6091</v>
      </c>
      <c r="K620" s="52" t="b">
        <f>IFS($B620=FALSE,"", countif(VLOOKUP($A620,UASCAN!D:D,1,FALSE),$A620)&gt;=1,TRUE,countif(VLOOKUP($B620,UASCAN!D:D,1,FALSE),$B620)=0,FALSE)</f>
        <v>0</v>
      </c>
      <c r="L620" s="52" t="b">
        <f>IFS(B620=FALSE,"", countif(VLOOKUP($B620,'01202022'!B:B,1,FALSE),$B620)&gt;=1,TRUE,countif(VLOOKUP($B620,'01202022'!B:B,1,FALSE),$B620)=0,FALSE)</f>
        <v>1</v>
      </c>
      <c r="M620" s="52" t="str">
        <f>ifs(AND($K620=FALSE,$L620=TRUE),"",AND($K620=FALSE,L620=FALSE),"",AND($K620=TRUE,$L620=TRUE),VLOOKUP($A620,UASCAN!D:F,3,0), AND($K620=TRUE,$L620=FALSE),VLOOKUP($A620,UASCAN!D:F,3,0))</f>
        <v/>
      </c>
      <c r="N620" s="53" t="str">
        <f t="shared" si="2"/>
        <v> </v>
      </c>
      <c r="O620" s="53" t="str">
        <f t="shared" si="3"/>
        <v/>
      </c>
    </row>
    <row r="621">
      <c r="A621" s="47" t="str">
        <f t="shared" si="1"/>
        <v>1122344581</v>
      </c>
      <c r="B621" s="48">
        <v>11223.0</v>
      </c>
      <c r="C621" s="49">
        <v>0.4375</v>
      </c>
      <c r="D621" s="48" t="s">
        <v>871</v>
      </c>
      <c r="E621" s="50">
        <v>27156.0</v>
      </c>
      <c r="F621" s="51">
        <v>44581.0</v>
      </c>
      <c r="G621" s="48" t="s">
        <v>6215</v>
      </c>
      <c r="H621" s="48" t="s">
        <v>6218</v>
      </c>
      <c r="I621" s="48" t="s">
        <v>6222</v>
      </c>
      <c r="J621" s="48" t="s">
        <v>6091</v>
      </c>
      <c r="K621" s="52" t="b">
        <f>IFS($B621=FALSE,"", countif(VLOOKUP($A621,UASCAN!D:D,1,FALSE),$A621)&gt;=1,TRUE,countif(VLOOKUP($B621,UASCAN!D:D,1,FALSE),$B621)=0,FALSE)</f>
        <v>0</v>
      </c>
      <c r="L621" s="52" t="b">
        <f>IFS(B621=FALSE,"", countif(VLOOKUP($B621,'01202022'!B:B,1,FALSE),$B621)&gt;=1,TRUE,countif(VLOOKUP($B621,'01202022'!B:B,1,FALSE),$B621)=0,FALSE)</f>
        <v>1</v>
      </c>
      <c r="M621" s="52" t="str">
        <f>ifs(AND($K621=FALSE,$L621=TRUE),"",AND($K621=FALSE,L621=FALSE),"",AND($K621=TRUE,$L621=TRUE),VLOOKUP($A621,UASCAN!D:F,3,0), AND($K621=TRUE,$L621=FALSE),VLOOKUP($A621,UASCAN!D:F,3,0))</f>
        <v/>
      </c>
      <c r="N621" s="53" t="str">
        <f t="shared" si="2"/>
        <v> </v>
      </c>
      <c r="O621" s="53" t="str">
        <f t="shared" si="3"/>
        <v/>
      </c>
    </row>
    <row r="622">
      <c r="A622" s="47" t="str">
        <f t="shared" si="1"/>
        <v>1468344581</v>
      </c>
      <c r="B622" s="48">
        <v>14683.0</v>
      </c>
      <c r="C622" s="49">
        <v>0.4583333333333333</v>
      </c>
      <c r="D622" s="48" t="s">
        <v>3210</v>
      </c>
      <c r="E622" s="50">
        <v>18722.0</v>
      </c>
      <c r="F622" s="51">
        <v>44581.0</v>
      </c>
      <c r="G622" s="48" t="s">
        <v>5</v>
      </c>
      <c r="H622" s="48" t="s">
        <v>6218</v>
      </c>
      <c r="I622" s="48" t="s">
        <v>6222</v>
      </c>
      <c r="J622" s="48" t="s">
        <v>6199</v>
      </c>
      <c r="K622" s="52" t="b">
        <f>IFS($B622=FALSE,"", countif(VLOOKUP($A622,UASCAN!D:D,1,FALSE),$A622)&gt;=1,TRUE,countif(VLOOKUP($B622,UASCAN!D:D,1,FALSE),$B622)=0,FALSE)</f>
        <v>0</v>
      </c>
      <c r="L622" s="52" t="b">
        <f>IFS(B622=FALSE,"", countif(VLOOKUP($B622,'01202022'!B:B,1,FALSE),$B622)&gt;=1,TRUE,countif(VLOOKUP($B622,'01202022'!B:B,1,FALSE),$B622)=0,FALSE)</f>
        <v>1</v>
      </c>
      <c r="M622" s="52" t="str">
        <f>ifs(AND($K622=FALSE,$L622=TRUE),"",AND($K622=FALSE,L622=FALSE),"",AND($K622=TRUE,$L622=TRUE),VLOOKUP($A622,UASCAN!D:F,3,0), AND($K622=TRUE,$L622=FALSE),VLOOKUP($A622,UASCAN!D:F,3,0))</f>
        <v/>
      </c>
      <c r="N622" s="53" t="str">
        <f t="shared" si="2"/>
        <v> </v>
      </c>
      <c r="O622" s="53" t="str">
        <f t="shared" si="3"/>
        <v/>
      </c>
    </row>
    <row r="623">
      <c r="A623" s="47" t="str">
        <f t="shared" si="1"/>
        <v>1128744581</v>
      </c>
      <c r="B623" s="48">
        <v>11287.0</v>
      </c>
      <c r="C623" s="49">
        <v>0.5416666666666666</v>
      </c>
      <c r="D623" s="48" t="s">
        <v>897</v>
      </c>
      <c r="E623" s="50">
        <v>21059.0</v>
      </c>
      <c r="F623" s="51">
        <v>44581.0</v>
      </c>
      <c r="G623" s="48" t="s">
        <v>6216</v>
      </c>
      <c r="H623" s="48" t="s">
        <v>6218</v>
      </c>
      <c r="I623" s="48" t="s">
        <v>6222</v>
      </c>
      <c r="J623" s="48" t="s">
        <v>6196</v>
      </c>
      <c r="K623" s="52" t="b">
        <f>IFS($B623=FALSE,"", countif(VLOOKUP($A623,UASCAN!D:D,1,FALSE),$A623)&gt;=1,TRUE,countif(VLOOKUP($B623,UASCAN!D:D,1,FALSE),$B623)=0,FALSE)</f>
        <v>0</v>
      </c>
      <c r="L623" s="52" t="b">
        <f>IFS(B623=FALSE,"", countif(VLOOKUP($B623,'01202022'!B:B,1,FALSE),$B623)&gt;=1,TRUE,countif(VLOOKUP($B623,'01202022'!B:B,1,FALSE),$B623)=0,FALSE)</f>
        <v>1</v>
      </c>
      <c r="M623" s="52" t="str">
        <f>ifs(AND($K623=FALSE,$L623=TRUE),"",AND($K623=FALSE,L623=FALSE),"",AND($K623=TRUE,$L623=TRUE),VLOOKUP($A623,UASCAN!D:F,3,0), AND($K623=TRUE,$L623=FALSE),VLOOKUP($A623,UASCAN!D:F,3,0))</f>
        <v/>
      </c>
      <c r="N623" s="53" t="str">
        <f t="shared" si="2"/>
        <v> </v>
      </c>
      <c r="O623" s="53" t="str">
        <f t="shared" si="3"/>
        <v/>
      </c>
    </row>
    <row r="624">
      <c r="A624" s="47" t="str">
        <f t="shared" si="1"/>
        <v>1077244581</v>
      </c>
      <c r="B624" s="48">
        <v>10772.0</v>
      </c>
      <c r="C624" s="49">
        <v>0.5416666666666666</v>
      </c>
      <c r="D624" s="48" t="s">
        <v>681</v>
      </c>
      <c r="E624" s="50">
        <v>20763.0</v>
      </c>
      <c r="F624" s="51">
        <v>44581.0</v>
      </c>
      <c r="G624" s="48" t="s">
        <v>6220</v>
      </c>
      <c r="H624" s="48" t="s">
        <v>6218</v>
      </c>
      <c r="I624" s="48" t="s">
        <v>6222</v>
      </c>
      <c r="J624" s="48" t="s">
        <v>6196</v>
      </c>
      <c r="K624" s="52" t="b">
        <f>IFS($B624=FALSE,"", countif(VLOOKUP($A624,UASCAN!D:D,1,FALSE),$A624)&gt;=1,TRUE,countif(VLOOKUP($B624,UASCAN!D:D,1,FALSE),$B624)=0,FALSE)</f>
        <v>0</v>
      </c>
      <c r="L624" s="52" t="b">
        <f>IFS(B624=FALSE,"", countif(VLOOKUP($B624,'01202022'!B:B,1,FALSE),$B624)&gt;=1,TRUE,countif(VLOOKUP($B624,'01202022'!B:B,1,FALSE),$B624)=0,FALSE)</f>
        <v>1</v>
      </c>
      <c r="M624" s="52" t="str">
        <f>ifs(AND($K624=FALSE,$L624=TRUE),"",AND($K624=FALSE,L624=FALSE),"",AND($K624=TRUE,$L624=TRUE),VLOOKUP($A624,UASCAN!D:F,3,0), AND($K624=TRUE,$L624=FALSE),VLOOKUP($A624,UASCAN!D:F,3,0))</f>
        <v/>
      </c>
      <c r="N624" s="53" t="str">
        <f t="shared" si="2"/>
        <v> </v>
      </c>
      <c r="O624" s="53" t="str">
        <f t="shared" si="3"/>
        <v/>
      </c>
    </row>
    <row r="625">
      <c r="A625" s="47" t="str">
        <f t="shared" si="1"/>
        <v>1512644581</v>
      </c>
      <c r="B625" s="48">
        <v>15126.0</v>
      </c>
      <c r="C625" s="49">
        <v>0.5520833333333334</v>
      </c>
      <c r="D625" s="48" t="s">
        <v>3581</v>
      </c>
      <c r="E625" s="50">
        <v>23561.0</v>
      </c>
      <c r="F625" s="51">
        <v>44581.0</v>
      </c>
      <c r="G625" s="48" t="s">
        <v>6220</v>
      </c>
      <c r="H625" s="48" t="s">
        <v>6218</v>
      </c>
      <c r="I625" s="48" t="s">
        <v>6222</v>
      </c>
      <c r="J625" s="48" t="s">
        <v>6142</v>
      </c>
      <c r="K625" s="52" t="b">
        <f>IFS($B625=FALSE,"", countif(VLOOKUP($A625,UASCAN!D:D,1,FALSE),$A625)&gt;=1,TRUE,countif(VLOOKUP($B625,UASCAN!D:D,1,FALSE),$B625)=0,FALSE)</f>
        <v>0</v>
      </c>
      <c r="L625" s="52" t="b">
        <f>IFS(B625=FALSE,"", countif(VLOOKUP($B625,'01202022'!B:B,1,FALSE),$B625)&gt;=1,TRUE,countif(VLOOKUP($B625,'01202022'!B:B,1,FALSE),$B625)=0,FALSE)</f>
        <v>1</v>
      </c>
      <c r="M625" s="52" t="str">
        <f>ifs(AND($K625=FALSE,$L625=TRUE),"",AND($K625=FALSE,L625=FALSE),"",AND($K625=TRUE,$L625=TRUE),VLOOKUP($A625,UASCAN!D:F,3,0), AND($K625=TRUE,$L625=FALSE),VLOOKUP($A625,UASCAN!D:F,3,0))</f>
        <v/>
      </c>
      <c r="N625" s="53" t="str">
        <f t="shared" si="2"/>
        <v> </v>
      </c>
      <c r="O625" s="53" t="str">
        <f t="shared" si="3"/>
        <v/>
      </c>
    </row>
    <row r="626">
      <c r="A626" s="47" t="str">
        <f t="shared" si="1"/>
        <v>1359744581</v>
      </c>
      <c r="B626" s="48">
        <v>13597.0</v>
      </c>
      <c r="C626" s="49">
        <v>0.5625</v>
      </c>
      <c r="D626" s="48" t="s">
        <v>2359</v>
      </c>
      <c r="E626" s="50">
        <v>11955.0</v>
      </c>
      <c r="F626" s="51">
        <v>44581.0</v>
      </c>
      <c r="G626" s="48" t="s">
        <v>6216</v>
      </c>
      <c r="H626" s="48" t="s">
        <v>6218</v>
      </c>
      <c r="I626" s="48" t="s">
        <v>6222</v>
      </c>
      <c r="J626" s="48" t="s">
        <v>6196</v>
      </c>
      <c r="K626" s="52" t="b">
        <f>IFS($B626=FALSE,"", countif(VLOOKUP($A626,UASCAN!D:D,1,FALSE),$A626)&gt;=1,TRUE,countif(VLOOKUP($B626,UASCAN!D:D,1,FALSE),$B626)=0,FALSE)</f>
        <v>0</v>
      </c>
      <c r="L626" s="52" t="b">
        <f>IFS(B626=FALSE,"", countif(VLOOKUP($B626,'01202022'!B:B,1,FALSE),$B626)&gt;=1,TRUE,countif(VLOOKUP($B626,'01202022'!B:B,1,FALSE),$B626)=0,FALSE)</f>
        <v>1</v>
      </c>
      <c r="M626" s="52" t="str">
        <f>ifs(AND($K626=FALSE,$L626=TRUE),"",AND($K626=FALSE,L626=FALSE),"",AND($K626=TRUE,$L626=TRUE),VLOOKUP($A626,UASCAN!D:F,3,0), AND($K626=TRUE,$L626=FALSE),VLOOKUP($A626,UASCAN!D:F,3,0))</f>
        <v/>
      </c>
      <c r="N626" s="53" t="str">
        <f t="shared" si="2"/>
        <v> </v>
      </c>
      <c r="O626" s="53" t="str">
        <f t="shared" si="3"/>
        <v/>
      </c>
    </row>
    <row r="627">
      <c r="A627" s="47" t="str">
        <f t="shared" si="1"/>
        <v>1672344581</v>
      </c>
      <c r="B627" s="48">
        <v>16723.0</v>
      </c>
      <c r="C627" s="49">
        <v>0.625</v>
      </c>
      <c r="D627" s="48" t="s">
        <v>4904</v>
      </c>
      <c r="E627" s="50">
        <v>25804.0</v>
      </c>
      <c r="F627" s="51">
        <v>44581.0</v>
      </c>
      <c r="G627" s="48" t="s">
        <v>5</v>
      </c>
      <c r="H627" s="48" t="s">
        <v>6218</v>
      </c>
      <c r="I627" s="48" t="s">
        <v>6222</v>
      </c>
      <c r="J627" s="48" t="s">
        <v>6091</v>
      </c>
      <c r="K627" s="52" t="b">
        <f>IFS($B627=FALSE,"", countif(VLOOKUP($A627,UASCAN!D:D,1,FALSE),$A627)&gt;=1,TRUE,countif(VLOOKUP($B627,UASCAN!D:D,1,FALSE),$B627)=0,FALSE)</f>
        <v>0</v>
      </c>
      <c r="L627" s="52" t="b">
        <f>IFS(B627=FALSE,"", countif(VLOOKUP($B627,'01202022'!B:B,1,FALSE),$B627)&gt;=1,TRUE,countif(VLOOKUP($B627,'01202022'!B:B,1,FALSE),$B627)=0,FALSE)</f>
        <v>1</v>
      </c>
      <c r="M627" s="52" t="str">
        <f>ifs(AND($K627=FALSE,$L627=TRUE),"",AND($K627=FALSE,L627=FALSE),"",AND($K627=TRUE,$L627=TRUE),VLOOKUP($A627,UASCAN!D:F,3,0), AND($K627=TRUE,$L627=FALSE),VLOOKUP($A627,UASCAN!D:F,3,0))</f>
        <v/>
      </c>
      <c r="N627" s="53" t="str">
        <f t="shared" si="2"/>
        <v> </v>
      </c>
      <c r="O627" s="53" t="str">
        <f t="shared" si="3"/>
        <v/>
      </c>
    </row>
    <row r="628">
      <c r="A628" s="47" t="str">
        <f t="shared" si="1"/>
        <v>1318344581</v>
      </c>
      <c r="B628" s="48">
        <v>13183.0</v>
      </c>
      <c r="C628" s="49">
        <v>0.6458333333333334</v>
      </c>
      <c r="D628" s="48" t="s">
        <v>2036</v>
      </c>
      <c r="E628" s="50">
        <v>32643.0</v>
      </c>
      <c r="F628" s="51">
        <v>44581.0</v>
      </c>
      <c r="G628" s="48" t="s">
        <v>5</v>
      </c>
      <c r="H628" s="48" t="s">
        <v>6218</v>
      </c>
      <c r="I628" s="48" t="s">
        <v>6222</v>
      </c>
      <c r="J628" s="48" t="s">
        <v>6199</v>
      </c>
      <c r="K628" s="52" t="b">
        <f>IFS($B628=FALSE,"", countif(VLOOKUP($A628,UASCAN!D:D,1,FALSE),$A628)&gt;=1,TRUE,countif(VLOOKUP($B628,UASCAN!D:D,1,FALSE),$B628)=0,FALSE)</f>
        <v>0</v>
      </c>
      <c r="L628" s="52" t="b">
        <f>IFS(B628=FALSE,"", countif(VLOOKUP($B628,'01202022'!B:B,1,FALSE),$B628)&gt;=1,TRUE,countif(VLOOKUP($B628,'01202022'!B:B,1,FALSE),$B628)=0,FALSE)</f>
        <v>1</v>
      </c>
      <c r="M628" s="52" t="str">
        <f>ifs(AND($K628=FALSE,$L628=TRUE),"",AND($K628=FALSE,L628=FALSE),"",AND($K628=TRUE,$L628=TRUE),VLOOKUP($A628,UASCAN!D:F,3,0), AND($K628=TRUE,$L628=FALSE),VLOOKUP($A628,UASCAN!D:F,3,0))</f>
        <v/>
      </c>
      <c r="N628" s="53" t="str">
        <f t="shared" si="2"/>
        <v> </v>
      </c>
      <c r="O628" s="53" t="str">
        <f t="shared" si="3"/>
        <v/>
      </c>
    </row>
    <row r="629">
      <c r="A629" s="47" t="str">
        <f t="shared" si="1"/>
        <v>940744581</v>
      </c>
      <c r="B629" s="48">
        <v>9407.0</v>
      </c>
      <c r="C629" s="49">
        <v>0.6458333333333334</v>
      </c>
      <c r="D629" s="48" t="s">
        <v>156</v>
      </c>
      <c r="E629" s="50">
        <v>20817.0</v>
      </c>
      <c r="F629" s="51">
        <v>44581.0</v>
      </c>
      <c r="G629" s="48" t="s">
        <v>6220</v>
      </c>
      <c r="H629" s="48" t="s">
        <v>6218</v>
      </c>
      <c r="I629" s="48" t="s">
        <v>6222</v>
      </c>
      <c r="J629" s="48" t="s">
        <v>6100</v>
      </c>
      <c r="K629" s="52" t="b">
        <f>IFS($B629=FALSE,"", countif(VLOOKUP($A629,UASCAN!D:D,1,FALSE),$A629)&gt;=1,TRUE,countif(VLOOKUP($B629,UASCAN!D:D,1,FALSE),$B629)=0,FALSE)</f>
        <v>0</v>
      </c>
      <c r="L629" s="52" t="b">
        <f>IFS(B629=FALSE,"", countif(VLOOKUP($B629,'01202022'!B:B,1,FALSE),$B629)&gt;=1,TRUE,countif(VLOOKUP($B629,'01202022'!B:B,1,FALSE),$B629)=0,FALSE)</f>
        <v>1</v>
      </c>
      <c r="M629" s="52" t="str">
        <f>ifs(AND($K629=FALSE,$L629=TRUE),"",AND($K629=FALSE,L629=FALSE),"",AND($K629=TRUE,$L629=TRUE),VLOOKUP($A629,UASCAN!D:F,3,0), AND($K629=TRUE,$L629=FALSE),VLOOKUP($A629,UASCAN!D:F,3,0))</f>
        <v/>
      </c>
      <c r="N629" s="53" t="str">
        <f t="shared" si="2"/>
        <v> </v>
      </c>
      <c r="O629" s="53" t="str">
        <f t="shared" si="3"/>
        <v/>
      </c>
    </row>
    <row r="630">
      <c r="A630" s="47" t="str">
        <f t="shared" si="1"/>
        <v>1639244582</v>
      </c>
      <c r="B630" s="48">
        <v>16392.0</v>
      </c>
      <c r="C630" s="49">
        <v>0.375</v>
      </c>
      <c r="D630" s="48" t="s">
        <v>4661</v>
      </c>
      <c r="E630" s="50">
        <v>29159.0</v>
      </c>
      <c r="F630" s="51">
        <v>44582.0</v>
      </c>
      <c r="G630" s="48" t="s">
        <v>5</v>
      </c>
      <c r="H630" s="48" t="s">
        <v>6211</v>
      </c>
      <c r="I630" s="48" t="s">
        <v>6212</v>
      </c>
      <c r="J630" s="48" t="s">
        <v>6154</v>
      </c>
      <c r="K630" s="52" t="b">
        <f>IFS($B630=FALSE,"", countif(VLOOKUP($A630,UASCAN!D:D,1,FALSE),$A630)&gt;=1,TRUE,countif(VLOOKUP($B630,UASCAN!D:D,1,FALSE),$B630)=0,FALSE)</f>
        <v>0</v>
      </c>
      <c r="L630" s="52" t="b">
        <f>IFS(B630=FALSE,"", countif(VLOOKUP($B630,'01212022'!B:B,1,FALSE),$B630)&gt;=1,TRUE,countif(VLOOKUP($B630,'01212022'!B:B,1,FALSE),$B630)=0,FALSE)</f>
        <v>0</v>
      </c>
      <c r="M630" s="52" t="str">
        <f>ifs(AND($K630=FALSE,$L630=TRUE),"",AND($K630=FALSE,L630=FALSE),"",AND($K630=TRUE,$L630=TRUE),VLOOKUP($A630,UASCAN!D:F,3,0), AND($K630=TRUE,$L630=FALSE),VLOOKUP($A630,UASCAN!D:F,3,0))</f>
        <v/>
      </c>
      <c r="N630" s="53" t="str">
        <f t="shared" si="2"/>
        <v> </v>
      </c>
      <c r="O630" s="53" t="str">
        <f t="shared" si="3"/>
        <v/>
      </c>
    </row>
    <row r="631">
      <c r="A631" s="47" t="str">
        <f t="shared" si="1"/>
        <v>1474644582</v>
      </c>
      <c r="B631" s="48">
        <v>14746.0</v>
      </c>
      <c r="C631" s="49">
        <v>0.3854166666666667</v>
      </c>
      <c r="D631" s="48" t="s">
        <v>3267</v>
      </c>
      <c r="E631" s="50">
        <v>13193.0</v>
      </c>
      <c r="F631" s="51">
        <v>44582.0</v>
      </c>
      <c r="G631" s="48" t="s">
        <v>6224</v>
      </c>
      <c r="H631" s="48" t="s">
        <v>6211</v>
      </c>
      <c r="I631" s="48" t="s">
        <v>6212</v>
      </c>
      <c r="J631" s="48" t="s">
        <v>6084</v>
      </c>
      <c r="K631" s="52" t="b">
        <f>IFS($B631=FALSE,"", countif(VLOOKUP($A631,UASCAN!D:D,1,FALSE),$A631)&gt;=1,TRUE,countif(VLOOKUP($B631,UASCAN!D:D,1,FALSE),$B631)=0,FALSE)</f>
        <v>0</v>
      </c>
      <c r="L631" s="52" t="b">
        <f>IFS(B631=FALSE,"", countif(VLOOKUP($B631,'01212022'!B:B,1,FALSE),$B631)&gt;=1,TRUE,countif(VLOOKUP($B631,'01212022'!B:B,1,FALSE),$B631)=0,FALSE)</f>
        <v>0</v>
      </c>
      <c r="M631" s="52" t="str">
        <f>ifs(AND($K631=FALSE,$L631=TRUE),"",AND($K631=FALSE,L631=FALSE),"",AND($K631=TRUE,$L631=TRUE),VLOOKUP($A631,UASCAN!D:F,3,0), AND($K631=TRUE,$L631=FALSE),VLOOKUP($A631,UASCAN!D:F,3,0))</f>
        <v/>
      </c>
      <c r="N631" s="53" t="str">
        <f t="shared" si="2"/>
        <v> </v>
      </c>
      <c r="O631" s="53" t="str">
        <f t="shared" si="3"/>
        <v/>
      </c>
    </row>
    <row r="632">
      <c r="A632" s="47" t="str">
        <f t="shared" si="1"/>
        <v>1468644582</v>
      </c>
      <c r="B632" s="48">
        <v>14686.0</v>
      </c>
      <c r="C632" s="49">
        <v>0.3958333333333333</v>
      </c>
      <c r="D632" s="48" t="s">
        <v>3212</v>
      </c>
      <c r="E632" s="50">
        <v>18635.0</v>
      </c>
      <c r="F632" s="51">
        <v>44582.0</v>
      </c>
      <c r="G632" s="48" t="s">
        <v>5</v>
      </c>
      <c r="H632" s="48" t="s">
        <v>6211</v>
      </c>
      <c r="I632" s="48" t="s">
        <v>6212</v>
      </c>
      <c r="J632" s="48" t="s">
        <v>6137</v>
      </c>
      <c r="K632" s="52" t="b">
        <f>IFS($B632=FALSE,"", countif(VLOOKUP($A632,UASCAN!D:D,1,FALSE),$A632)&gt;=1,TRUE,countif(VLOOKUP($B632,UASCAN!D:D,1,FALSE),$B632)=0,FALSE)</f>
        <v>0</v>
      </c>
      <c r="L632" s="52" t="b">
        <f>IFS(B632=FALSE,"", countif(VLOOKUP($B632,'01212022'!B:B,1,FALSE),$B632)&gt;=1,TRUE,countif(VLOOKUP($B632,'01212022'!B:B,1,FALSE),$B632)=0,FALSE)</f>
        <v>0</v>
      </c>
      <c r="M632" s="52" t="str">
        <f>ifs(AND($K632=FALSE,$L632=TRUE),"",AND($K632=FALSE,L632=FALSE),"",AND($K632=TRUE,$L632=TRUE),VLOOKUP($A632,UASCAN!D:F,3,0), AND($K632=TRUE,$L632=FALSE),VLOOKUP($A632,UASCAN!D:F,3,0))</f>
        <v/>
      </c>
      <c r="N632" s="53" t="str">
        <f t="shared" si="2"/>
        <v> </v>
      </c>
      <c r="O632" s="53" t="str">
        <f t="shared" si="3"/>
        <v/>
      </c>
    </row>
    <row r="633">
      <c r="A633" s="47" t="str">
        <f t="shared" si="1"/>
        <v>1025644582</v>
      </c>
      <c r="B633" s="48">
        <v>10256.0</v>
      </c>
      <c r="C633" s="49">
        <v>0.4375</v>
      </c>
      <c r="D633" s="48" t="s">
        <v>469</v>
      </c>
      <c r="E633" s="50">
        <v>18566.0</v>
      </c>
      <c r="F633" s="51">
        <v>44582.0</v>
      </c>
      <c r="G633" s="48" t="s">
        <v>6216</v>
      </c>
      <c r="H633" s="48" t="s">
        <v>6211</v>
      </c>
      <c r="I633" s="48" t="s">
        <v>6212</v>
      </c>
      <c r="J633" s="48" t="s">
        <v>6196</v>
      </c>
      <c r="K633" s="52" t="b">
        <f>IFS($B633=FALSE,"", countif(VLOOKUP($A633,UASCAN!D:D,1,FALSE),$A633)&gt;=1,TRUE,countif(VLOOKUP($B633,UASCAN!D:D,1,FALSE),$B633)=0,FALSE)</f>
        <v>0</v>
      </c>
      <c r="L633" s="52" t="b">
        <f>IFS(B633=FALSE,"", countif(VLOOKUP($B633,'01212022'!B:B,1,FALSE),$B633)&gt;=1,TRUE,countif(VLOOKUP($B633,'01212022'!B:B,1,FALSE),$B633)=0,FALSE)</f>
        <v>0</v>
      </c>
      <c r="M633" s="52" t="str">
        <f>ifs(AND($K633=FALSE,$L633=TRUE),"",AND($K633=FALSE,L633=FALSE),"",AND($K633=TRUE,$L633=TRUE),VLOOKUP($A633,UASCAN!D:F,3,0), AND($K633=TRUE,$L633=FALSE),VLOOKUP($A633,UASCAN!D:F,3,0))</f>
        <v/>
      </c>
      <c r="N633" s="53" t="str">
        <f t="shared" si="2"/>
        <v> </v>
      </c>
      <c r="O633" s="53" t="str">
        <f t="shared" si="3"/>
        <v/>
      </c>
    </row>
    <row r="634">
      <c r="A634" s="47" t="str">
        <f t="shared" si="1"/>
        <v>1673744582</v>
      </c>
      <c r="B634" s="48">
        <v>16737.0</v>
      </c>
      <c r="C634" s="49">
        <v>0.4479166666666667</v>
      </c>
      <c r="D634" s="48" t="s">
        <v>6233</v>
      </c>
      <c r="E634" s="50">
        <v>28127.0</v>
      </c>
      <c r="F634" s="51">
        <v>44582.0</v>
      </c>
      <c r="G634" s="48" t="s">
        <v>6216</v>
      </c>
      <c r="H634" s="48" t="s">
        <v>6211</v>
      </c>
      <c r="I634" s="48" t="s">
        <v>6212</v>
      </c>
      <c r="J634" s="48" t="s">
        <v>6100</v>
      </c>
      <c r="K634" s="52" t="b">
        <f>IFS($B634=FALSE,"", countif(VLOOKUP($A634,UASCAN!D:D,1,FALSE),$A634)&gt;=1,TRUE,countif(VLOOKUP($B634,UASCAN!D:D,1,FALSE),$B634)=0,FALSE)</f>
        <v>0</v>
      </c>
      <c r="L634" s="52" t="b">
        <f>IFS(B634=FALSE,"", countif(VLOOKUP($B634,'01212022'!B:B,1,FALSE),$B634)&gt;=1,TRUE,countif(VLOOKUP($B634,'01212022'!B:B,1,FALSE),$B634)=0,FALSE)</f>
        <v>0</v>
      </c>
      <c r="M634" s="52" t="str">
        <f>ifs(AND($K634=FALSE,$L634=TRUE),"",AND($K634=FALSE,L634=FALSE),"",AND($K634=TRUE,$L634=TRUE),VLOOKUP($A634,UASCAN!D:F,3,0), AND($K634=TRUE,$L634=FALSE),VLOOKUP($A634,UASCAN!D:F,3,0))</f>
        <v/>
      </c>
      <c r="N634" s="53" t="str">
        <f t="shared" si="2"/>
        <v> </v>
      </c>
      <c r="O634" s="53" t="str">
        <f t="shared" si="3"/>
        <v/>
      </c>
    </row>
    <row r="635">
      <c r="A635" s="47" t="str">
        <f t="shared" si="1"/>
        <v>1401844582</v>
      </c>
      <c r="B635" s="48">
        <v>14018.0</v>
      </c>
      <c r="C635" s="49">
        <v>0.5520833333333334</v>
      </c>
      <c r="D635" s="48" t="s">
        <v>2679</v>
      </c>
      <c r="E635" s="50">
        <v>27273.0</v>
      </c>
      <c r="F635" s="51">
        <v>44582.0</v>
      </c>
      <c r="G635" s="48" t="s">
        <v>5</v>
      </c>
      <c r="H635" s="48" t="s">
        <v>6211</v>
      </c>
      <c r="I635" s="48" t="s">
        <v>6212</v>
      </c>
      <c r="J635" s="48" t="s">
        <v>6117</v>
      </c>
      <c r="K635" s="52" t="b">
        <f>IFS($B635=FALSE,"", countif(VLOOKUP($A635,UASCAN!D:D,1,FALSE),$A635)&gt;=1,TRUE,countif(VLOOKUP($B635,UASCAN!D:D,1,FALSE),$B635)=0,FALSE)</f>
        <v>0</v>
      </c>
      <c r="L635" s="52" t="b">
        <f>IFS(B635=FALSE,"", countif(VLOOKUP($B635,'01212022'!B:B,1,FALSE),$B635)&gt;=1,TRUE,countif(VLOOKUP($B635,'01212022'!B:B,1,FALSE),$B635)=0,FALSE)</f>
        <v>0</v>
      </c>
      <c r="M635" s="52" t="str">
        <f>ifs(AND($K635=FALSE,$L635=TRUE),"",AND($K635=FALSE,L635=FALSE),"",AND($K635=TRUE,$L635=TRUE),VLOOKUP($A635,UASCAN!D:F,3,0), AND($K635=TRUE,$L635=FALSE),VLOOKUP($A635,UASCAN!D:F,3,0))</f>
        <v/>
      </c>
      <c r="N635" s="53" t="str">
        <f t="shared" si="2"/>
        <v> </v>
      </c>
      <c r="O635" s="53" t="str">
        <f t="shared" si="3"/>
        <v/>
      </c>
    </row>
    <row r="636">
      <c r="A636" s="47" t="str">
        <f t="shared" si="1"/>
        <v>PRN 1663644582</v>
      </c>
      <c r="B636" s="48" t="s">
        <v>6234</v>
      </c>
      <c r="C636" s="49">
        <v>0.5729166666666666</v>
      </c>
      <c r="D636" s="48" t="s">
        <v>4837</v>
      </c>
      <c r="E636" s="50">
        <v>29866.0</v>
      </c>
      <c r="F636" s="51">
        <v>44582.0</v>
      </c>
      <c r="G636" s="48" t="s">
        <v>6224</v>
      </c>
      <c r="H636" s="48" t="s">
        <v>6211</v>
      </c>
      <c r="I636" s="48" t="s">
        <v>6212</v>
      </c>
      <c r="J636" s="48" t="s">
        <v>6137</v>
      </c>
      <c r="K636" s="52" t="b">
        <f>IFS($B636=FALSE,"", countif(VLOOKUP($A636,UASCAN!D:D,1,FALSE),$A636)&gt;=1,TRUE,countif(VLOOKUP($B636,UASCAN!D:D,1,FALSE),$B636)=0,FALSE)</f>
        <v>0</v>
      </c>
      <c r="L636" s="52" t="b">
        <f>IFS(B636=FALSE,"", countif(VLOOKUP($B636,'01212022'!B:B,1,FALSE),$B636)&gt;=1,TRUE,countif(VLOOKUP($B636,'01212022'!B:B,1,FALSE),$B636)=0,FALSE)</f>
        <v>0</v>
      </c>
      <c r="M636" s="52" t="str">
        <f>ifs(AND($K636=FALSE,$L636=TRUE),"",AND($K636=FALSE,L636=FALSE),"",AND($K636=TRUE,$L636=TRUE),VLOOKUP($A636,UASCAN!D:F,3,0), AND($K636=TRUE,$L636=FALSE),VLOOKUP($A636,UASCAN!D:F,3,0))</f>
        <v/>
      </c>
      <c r="N636" s="53" t="str">
        <f t="shared" si="2"/>
        <v> </v>
      </c>
      <c r="O636" s="53" t="str">
        <f t="shared" si="3"/>
        <v/>
      </c>
    </row>
    <row r="637">
      <c r="A637" s="47" t="str">
        <f t="shared" si="1"/>
        <v>1233644582</v>
      </c>
      <c r="B637" s="48">
        <v>12336.0</v>
      </c>
      <c r="C637" s="49">
        <v>0.5833333333333334</v>
      </c>
      <c r="D637" s="48" t="s">
        <v>1402</v>
      </c>
      <c r="E637" s="50">
        <v>20626.0</v>
      </c>
      <c r="F637" s="51">
        <v>44582.0</v>
      </c>
      <c r="G637" s="48" t="s">
        <v>6216</v>
      </c>
      <c r="H637" s="48" t="s">
        <v>6211</v>
      </c>
      <c r="I637" s="48" t="s">
        <v>6212</v>
      </c>
      <c r="J637" s="48" t="s">
        <v>6196</v>
      </c>
      <c r="K637" s="52" t="b">
        <f>IFS($B637=FALSE,"", countif(VLOOKUP($A637,UASCAN!D:D,1,FALSE),$A637)&gt;=1,TRUE,countif(VLOOKUP($B637,UASCAN!D:D,1,FALSE),$B637)=0,FALSE)</f>
        <v>0</v>
      </c>
      <c r="L637" s="52" t="b">
        <f>IFS(B637=FALSE,"", countif(VLOOKUP($B637,'01212022'!B:B,1,FALSE),$B637)&gt;=1,TRUE,countif(VLOOKUP($B637,'01212022'!B:B,1,FALSE),$B637)=0,FALSE)</f>
        <v>0</v>
      </c>
      <c r="M637" s="52" t="str">
        <f>ifs(AND($K637=FALSE,$L637=TRUE),"",AND($K637=FALSE,L637=FALSE),"",AND($K637=TRUE,$L637=TRUE),VLOOKUP($A637,UASCAN!D:F,3,0), AND($K637=TRUE,$L637=FALSE),VLOOKUP($A637,UASCAN!D:F,3,0))</f>
        <v/>
      </c>
      <c r="N637" s="53" t="str">
        <f t="shared" si="2"/>
        <v> </v>
      </c>
      <c r="O637" s="53" t="str">
        <f t="shared" si="3"/>
        <v/>
      </c>
    </row>
    <row r="638">
      <c r="A638" s="47" t="str">
        <f t="shared" si="1"/>
        <v>1706944582</v>
      </c>
      <c r="B638" s="48">
        <v>17069.0</v>
      </c>
      <c r="C638" s="49">
        <v>0.5833333333333334</v>
      </c>
      <c r="D638" s="48" t="s">
        <v>5179</v>
      </c>
      <c r="E638" s="50">
        <v>25720.0</v>
      </c>
      <c r="F638" s="51">
        <v>44582.0</v>
      </c>
      <c r="G638" s="48" t="s">
        <v>6216</v>
      </c>
      <c r="H638" s="48" t="s">
        <v>6211</v>
      </c>
      <c r="I638" s="48" t="s">
        <v>6212</v>
      </c>
      <c r="J638" s="48" t="s">
        <v>6139</v>
      </c>
      <c r="K638" s="52" t="b">
        <f>IFS($B638=FALSE,"", countif(VLOOKUP($A638,UASCAN!D:D,1,FALSE),$A638)&gt;=1,TRUE,countif(VLOOKUP($B638,UASCAN!D:D,1,FALSE),$B638)=0,FALSE)</f>
        <v>0</v>
      </c>
      <c r="L638" s="52" t="b">
        <f>IFS(B638=FALSE,"", countif(VLOOKUP($B638,'01212022'!B:B,1,FALSE),$B638)&gt;=1,TRUE,countif(VLOOKUP($B638,'01212022'!B:B,1,FALSE),$B638)=0,FALSE)</f>
        <v>0</v>
      </c>
      <c r="M638" s="52" t="str">
        <f>ifs(AND($K638=FALSE,$L638=TRUE),"",AND($K638=FALSE,L638=FALSE),"",AND($K638=TRUE,$L638=TRUE),VLOOKUP($A638,UASCAN!D:F,3,0), AND($K638=TRUE,$L638=FALSE),VLOOKUP($A638,UASCAN!D:F,3,0))</f>
        <v/>
      </c>
      <c r="N638" s="53" t="str">
        <f t="shared" si="2"/>
        <v> </v>
      </c>
      <c r="O638" s="53" t="str">
        <f t="shared" si="3"/>
        <v/>
      </c>
    </row>
    <row r="639">
      <c r="A639" s="47" t="str">
        <f t="shared" si="1"/>
        <v>967644582</v>
      </c>
      <c r="B639" s="48">
        <v>9676.0</v>
      </c>
      <c r="C639" s="49">
        <v>0.3541666666666667</v>
      </c>
      <c r="D639" s="48" t="s">
        <v>254</v>
      </c>
      <c r="E639" s="50">
        <v>20831.0</v>
      </c>
      <c r="F639" s="51">
        <v>44582.0</v>
      </c>
      <c r="G639" s="48" t="s">
        <v>5</v>
      </c>
      <c r="H639" s="48" t="s">
        <v>6218</v>
      </c>
      <c r="I639" s="48" t="s">
        <v>6219</v>
      </c>
      <c r="J639" s="48" t="s">
        <v>6199</v>
      </c>
      <c r="K639" s="52" t="b">
        <f>IFS($B639=FALSE,"", countif(VLOOKUP($A639,UASCAN!D:D,1,FALSE),$A639)&gt;=1,TRUE,countif(VLOOKUP($B639,UASCAN!D:D,1,FALSE),$B639)=0,FALSE)</f>
        <v>0</v>
      </c>
      <c r="L639" s="52" t="b">
        <f>IFS(B639=FALSE,"", countif(VLOOKUP($B639,'01212022'!B:B,1,FALSE),$B639)&gt;=1,TRUE,countif(VLOOKUP($B639,'01212022'!B:B,1,FALSE),$B639)=0,FALSE)</f>
        <v>0</v>
      </c>
      <c r="M639" s="52" t="str">
        <f>ifs(AND($K639=FALSE,$L639=TRUE),"",AND($K639=FALSE,L639=FALSE),"",AND($K639=TRUE,$L639=TRUE),VLOOKUP($A639,UASCAN!D:F,3,0), AND($K639=TRUE,$L639=FALSE),VLOOKUP($A639,UASCAN!D:F,3,0))</f>
        <v/>
      </c>
      <c r="N639" s="53" t="str">
        <f t="shared" si="2"/>
        <v> </v>
      </c>
      <c r="O639" s="53" t="str">
        <f t="shared" si="3"/>
        <v/>
      </c>
    </row>
    <row r="640">
      <c r="A640" s="47" t="str">
        <f t="shared" si="1"/>
        <v>1611244582</v>
      </c>
      <c r="B640" s="48">
        <v>16112.0</v>
      </c>
      <c r="C640" s="49">
        <v>0.3541666666666667</v>
      </c>
      <c r="D640" s="48" t="s">
        <v>4434</v>
      </c>
      <c r="E640" s="50">
        <v>19667.0</v>
      </c>
      <c r="F640" s="51">
        <v>44582.0</v>
      </c>
      <c r="G640" s="48" t="s">
        <v>6216</v>
      </c>
      <c r="H640" s="48" t="s">
        <v>6218</v>
      </c>
      <c r="I640" s="48" t="s">
        <v>6219</v>
      </c>
      <c r="J640" s="48" t="s">
        <v>6189</v>
      </c>
      <c r="K640" s="52" t="b">
        <f>IFS($B640=FALSE,"", countif(VLOOKUP($A640,UASCAN!D:D,1,FALSE),$A640)&gt;=1,TRUE,countif(VLOOKUP($B640,UASCAN!D:D,1,FALSE),$B640)=0,FALSE)</f>
        <v>0</v>
      </c>
      <c r="L640" s="52" t="b">
        <f>IFS(B640=FALSE,"", countif(VLOOKUP($B640,'01212022'!B:B,1,FALSE),$B640)&gt;=1,TRUE,countif(VLOOKUP($B640,'01212022'!B:B,1,FALSE),$B640)=0,FALSE)</f>
        <v>0</v>
      </c>
      <c r="M640" s="52" t="str">
        <f>ifs(AND($K640=FALSE,$L640=TRUE),"",AND($K640=FALSE,L640=FALSE),"",AND($K640=TRUE,$L640=TRUE),VLOOKUP($A640,UASCAN!D:F,3,0), AND($K640=TRUE,$L640=FALSE),VLOOKUP($A640,UASCAN!D:F,3,0))</f>
        <v/>
      </c>
      <c r="N640" s="53" t="str">
        <f t="shared" si="2"/>
        <v> </v>
      </c>
      <c r="O640" s="53" t="str">
        <f t="shared" si="3"/>
        <v/>
      </c>
    </row>
    <row r="641">
      <c r="A641" s="47" t="str">
        <f t="shared" si="1"/>
        <v>942844582</v>
      </c>
      <c r="B641" s="48">
        <v>9428.0</v>
      </c>
      <c r="C641" s="49">
        <v>0.3645833333333333</v>
      </c>
      <c r="D641" s="48" t="s">
        <v>166</v>
      </c>
      <c r="E641" s="50">
        <v>19929.0</v>
      </c>
      <c r="F641" s="51">
        <v>44582.0</v>
      </c>
      <c r="G641" s="48" t="s">
        <v>5</v>
      </c>
      <c r="H641" s="48" t="s">
        <v>6218</v>
      </c>
      <c r="I641" s="48" t="s">
        <v>6219</v>
      </c>
      <c r="J641" s="48" t="s">
        <v>6158</v>
      </c>
      <c r="K641" s="52" t="b">
        <f>IFS($B641=FALSE,"", countif(VLOOKUP($A641,UASCAN!D:D,1,FALSE),$A641)&gt;=1,TRUE,countif(VLOOKUP($B641,UASCAN!D:D,1,FALSE),$B641)=0,FALSE)</f>
        <v>0</v>
      </c>
      <c r="L641" s="52" t="b">
        <f>IFS(B641=FALSE,"", countif(VLOOKUP($B641,'01212022'!B:B,1,FALSE),$B641)&gt;=1,TRUE,countif(VLOOKUP($B641,'01212022'!B:B,1,FALSE),$B641)=0,FALSE)</f>
        <v>0</v>
      </c>
      <c r="M641" s="52" t="str">
        <f>ifs(AND($K641=FALSE,$L641=TRUE),"",AND($K641=FALSE,L641=FALSE),"",AND($K641=TRUE,$L641=TRUE),VLOOKUP($A641,UASCAN!D:F,3,0), AND($K641=TRUE,$L641=FALSE),VLOOKUP($A641,UASCAN!D:F,3,0))</f>
        <v/>
      </c>
      <c r="N641" s="53" t="str">
        <f t="shared" si="2"/>
        <v> </v>
      </c>
      <c r="O641" s="53" t="str">
        <f t="shared" si="3"/>
        <v/>
      </c>
    </row>
    <row r="642">
      <c r="A642" s="47" t="str">
        <f t="shared" si="1"/>
        <v>1583144582</v>
      </c>
      <c r="B642" s="48">
        <v>15831.0</v>
      </c>
      <c r="C642" s="49">
        <v>0.375</v>
      </c>
      <c r="D642" s="48" t="s">
        <v>4187</v>
      </c>
      <c r="E642" s="50">
        <v>27556.0</v>
      </c>
      <c r="F642" s="51">
        <v>44582.0</v>
      </c>
      <c r="G642" s="48" t="s">
        <v>5</v>
      </c>
      <c r="H642" s="48" t="s">
        <v>6218</v>
      </c>
      <c r="I642" s="48" t="s">
        <v>6219</v>
      </c>
      <c r="J642" s="48" t="s">
        <v>6117</v>
      </c>
      <c r="K642" s="52" t="b">
        <f>IFS($B642=FALSE,"", countif(VLOOKUP($A642,UASCAN!D:D,1,FALSE),$A642)&gt;=1,TRUE,countif(VLOOKUP($B642,UASCAN!D:D,1,FALSE),$B642)=0,FALSE)</f>
        <v>0</v>
      </c>
      <c r="L642" s="52" t="b">
        <f>IFS(B642=FALSE,"", countif(VLOOKUP($B642,'01212022'!B:B,1,FALSE),$B642)&gt;=1,TRUE,countif(VLOOKUP($B642,'01212022'!B:B,1,FALSE),$B642)=0,FALSE)</f>
        <v>0</v>
      </c>
      <c r="M642" s="52" t="str">
        <f>ifs(AND($K642=FALSE,$L642=TRUE),"",AND($K642=FALSE,L642=FALSE),"",AND($K642=TRUE,$L642=TRUE),VLOOKUP($A642,UASCAN!D:F,3,0), AND($K642=TRUE,$L642=FALSE),VLOOKUP($A642,UASCAN!D:F,3,0))</f>
        <v/>
      </c>
      <c r="N642" s="53" t="str">
        <f t="shared" si="2"/>
        <v> </v>
      </c>
      <c r="O642" s="53" t="str">
        <f t="shared" si="3"/>
        <v/>
      </c>
    </row>
    <row r="643">
      <c r="A643" s="47" t="str">
        <f t="shared" si="1"/>
        <v>1168944582</v>
      </c>
      <c r="B643" s="48">
        <v>11689.0</v>
      </c>
      <c r="C643" s="49">
        <v>0.4166666666666667</v>
      </c>
      <c r="D643" s="48" t="s">
        <v>1062</v>
      </c>
      <c r="E643" s="50">
        <v>18306.0</v>
      </c>
      <c r="F643" s="51">
        <v>44582.0</v>
      </c>
      <c r="G643" s="48" t="s">
        <v>5</v>
      </c>
      <c r="H643" s="48" t="s">
        <v>6218</v>
      </c>
      <c r="I643" s="48" t="s">
        <v>6219</v>
      </c>
      <c r="J643" s="48" t="s">
        <v>6199</v>
      </c>
      <c r="K643" s="52" t="b">
        <f>IFS($B643=FALSE,"", countif(VLOOKUP($A643,UASCAN!D:D,1,FALSE),$A643)&gt;=1,TRUE,countif(VLOOKUP($B643,UASCAN!D:D,1,FALSE),$B643)=0,FALSE)</f>
        <v>0</v>
      </c>
      <c r="L643" s="52" t="b">
        <f>IFS(B643=FALSE,"", countif(VLOOKUP($B643,'01212022'!B:B,1,FALSE),$B643)&gt;=1,TRUE,countif(VLOOKUP($B643,'01212022'!B:B,1,FALSE),$B643)=0,FALSE)</f>
        <v>0</v>
      </c>
      <c r="M643" s="52" t="str">
        <f>ifs(AND($K643=FALSE,$L643=TRUE),"",AND($K643=FALSE,L643=FALSE),"",AND($K643=TRUE,$L643=TRUE),VLOOKUP($A643,UASCAN!D:F,3,0), AND($K643=TRUE,$L643=FALSE),VLOOKUP($A643,UASCAN!D:F,3,0))</f>
        <v/>
      </c>
      <c r="N643" s="53" t="str">
        <f t="shared" si="2"/>
        <v> </v>
      </c>
      <c r="O643" s="53" t="str">
        <f t="shared" si="3"/>
        <v/>
      </c>
    </row>
    <row r="644">
      <c r="A644" s="47" t="str">
        <f t="shared" si="1"/>
        <v>1503944582</v>
      </c>
      <c r="B644" s="48">
        <v>15039.0</v>
      </c>
      <c r="C644" s="49">
        <v>0.4583333333333333</v>
      </c>
      <c r="D644" s="48" t="s">
        <v>3503</v>
      </c>
      <c r="E644" s="50">
        <v>19466.0</v>
      </c>
      <c r="F644" s="51">
        <v>44582.0</v>
      </c>
      <c r="G644" s="48" t="s">
        <v>6220</v>
      </c>
      <c r="H644" s="48" t="s">
        <v>6218</v>
      </c>
      <c r="I644" s="48" t="s">
        <v>6219</v>
      </c>
      <c r="J644" s="48" t="s">
        <v>6196</v>
      </c>
      <c r="K644" s="52" t="b">
        <f>IFS($B644=FALSE,"", countif(VLOOKUP($A644,UASCAN!D:D,1,FALSE),$A644)&gt;=1,TRUE,countif(VLOOKUP($B644,UASCAN!D:D,1,FALSE),$B644)=0,FALSE)</f>
        <v>0</v>
      </c>
      <c r="L644" s="52" t="b">
        <f>IFS(B644=FALSE,"", countif(VLOOKUP($B644,'01212022'!B:B,1,FALSE),$B644)&gt;=1,TRUE,countif(VLOOKUP($B644,'01212022'!B:B,1,FALSE),$B644)=0,FALSE)</f>
        <v>0</v>
      </c>
      <c r="M644" s="52" t="str">
        <f>ifs(AND($K644=FALSE,$L644=TRUE),"",AND($K644=FALSE,L644=FALSE),"",AND($K644=TRUE,$L644=TRUE),VLOOKUP($A644,UASCAN!D:F,3,0), AND($K644=TRUE,$L644=FALSE),VLOOKUP($A644,UASCAN!D:F,3,0))</f>
        <v/>
      </c>
      <c r="N644" s="53" t="str">
        <f t="shared" si="2"/>
        <v> </v>
      </c>
      <c r="O644" s="53" t="str">
        <f t="shared" si="3"/>
        <v/>
      </c>
    </row>
    <row r="645">
      <c r="A645" s="47" t="str">
        <f t="shared" si="1"/>
        <v>1473844582</v>
      </c>
      <c r="B645" s="48">
        <v>14738.0</v>
      </c>
      <c r="C645" s="49">
        <v>0.46875</v>
      </c>
      <c r="D645" s="48" t="s">
        <v>3259</v>
      </c>
      <c r="E645" s="50">
        <v>23696.0</v>
      </c>
      <c r="F645" s="51">
        <v>44582.0</v>
      </c>
      <c r="G645" s="48" t="s">
        <v>5</v>
      </c>
      <c r="H645" s="48" t="s">
        <v>6218</v>
      </c>
      <c r="I645" s="48" t="s">
        <v>6219</v>
      </c>
      <c r="J645" s="48" t="s">
        <v>6084</v>
      </c>
      <c r="K645" s="52" t="b">
        <f>IFS($B645=FALSE,"", countif(VLOOKUP($A645,UASCAN!D:D,1,FALSE),$A645)&gt;=1,TRUE,countif(VLOOKUP($B645,UASCAN!D:D,1,FALSE),$B645)=0,FALSE)</f>
        <v>0</v>
      </c>
      <c r="L645" s="52" t="b">
        <f>IFS(B645=FALSE,"", countif(VLOOKUP($B645,'01212022'!B:B,1,FALSE),$B645)&gt;=1,TRUE,countif(VLOOKUP($B645,'01212022'!B:B,1,FALSE),$B645)=0,FALSE)</f>
        <v>0</v>
      </c>
      <c r="M645" s="52" t="str">
        <f>ifs(AND($K645=FALSE,$L645=TRUE),"",AND($K645=FALSE,L645=FALSE),"",AND($K645=TRUE,$L645=TRUE),VLOOKUP($A645,UASCAN!D:F,3,0), AND($K645=TRUE,$L645=FALSE),VLOOKUP($A645,UASCAN!D:F,3,0))</f>
        <v/>
      </c>
      <c r="N645" s="53" t="str">
        <f t="shared" si="2"/>
        <v> </v>
      </c>
      <c r="O645" s="53" t="str">
        <f t="shared" si="3"/>
        <v/>
      </c>
    </row>
    <row r="646">
      <c r="A646" s="47" t="str">
        <f t="shared" si="1"/>
        <v>1176844582</v>
      </c>
      <c r="B646" s="48">
        <v>11768.0</v>
      </c>
      <c r="C646" s="49">
        <v>0.5416666666666666</v>
      </c>
      <c r="D646" s="48" t="s">
        <v>1104</v>
      </c>
      <c r="E646" s="50">
        <v>15965.0</v>
      </c>
      <c r="F646" s="51">
        <v>44582.0</v>
      </c>
      <c r="G646" s="48" t="s">
        <v>5</v>
      </c>
      <c r="H646" s="48" t="s">
        <v>6218</v>
      </c>
      <c r="I646" s="48" t="s">
        <v>6219</v>
      </c>
      <c r="J646" s="48" t="s">
        <v>6199</v>
      </c>
      <c r="K646" s="52" t="b">
        <f>IFS($B646=FALSE,"", countif(VLOOKUP($A646,UASCAN!D:D,1,FALSE),$A646)&gt;=1,TRUE,countif(VLOOKUP($B646,UASCAN!D:D,1,FALSE),$B646)=0,FALSE)</f>
        <v>0</v>
      </c>
      <c r="L646" s="52" t="b">
        <f>IFS(B646=FALSE,"", countif(VLOOKUP($B646,'01212022'!B:B,1,FALSE),$B646)&gt;=1,TRUE,countif(VLOOKUP($B646,'01212022'!B:B,1,FALSE),$B646)=0,FALSE)</f>
        <v>0</v>
      </c>
      <c r="M646" s="52" t="str">
        <f>ifs(AND($K646=FALSE,$L646=TRUE),"",AND($K646=FALSE,L646=FALSE),"",AND($K646=TRUE,$L646=TRUE),VLOOKUP($A646,UASCAN!D:F,3,0), AND($K646=TRUE,$L646=FALSE),VLOOKUP($A646,UASCAN!D:F,3,0))</f>
        <v/>
      </c>
      <c r="N646" s="53" t="str">
        <f t="shared" si="2"/>
        <v> </v>
      </c>
      <c r="O646" s="53" t="str">
        <f t="shared" si="3"/>
        <v/>
      </c>
    </row>
    <row r="647">
      <c r="A647" s="47" t="str">
        <f t="shared" si="1"/>
        <v>1684244582</v>
      </c>
      <c r="B647" s="48">
        <v>16842.0</v>
      </c>
      <c r="C647" s="49">
        <v>0.5416666666666666</v>
      </c>
      <c r="D647" s="48" t="s">
        <v>6235</v>
      </c>
      <c r="E647" s="50">
        <v>21658.0</v>
      </c>
      <c r="F647" s="51">
        <v>44582.0</v>
      </c>
      <c r="G647" s="48" t="s">
        <v>6216</v>
      </c>
      <c r="H647" s="48" t="s">
        <v>6218</v>
      </c>
      <c r="I647" s="48" t="s">
        <v>6219</v>
      </c>
      <c r="J647" s="48" t="s">
        <v>6142</v>
      </c>
      <c r="K647" s="52" t="b">
        <f>IFS($B647=FALSE,"", countif(VLOOKUP($A647,UASCAN!D:D,1,FALSE),$A647)&gt;=1,TRUE,countif(VLOOKUP($B647,UASCAN!D:D,1,FALSE),$B647)=0,FALSE)</f>
        <v>0</v>
      </c>
      <c r="L647" s="52" t="b">
        <f>IFS(B647=FALSE,"", countif(VLOOKUP($B647,'01212022'!B:B,1,FALSE),$B647)&gt;=1,TRUE,countif(VLOOKUP($B647,'01212022'!B:B,1,FALSE),$B647)=0,FALSE)</f>
        <v>0</v>
      </c>
      <c r="M647" s="52" t="str">
        <f>ifs(AND($K647=FALSE,$L647=TRUE),"",AND($K647=FALSE,L647=FALSE),"",AND($K647=TRUE,$L647=TRUE),VLOOKUP($A647,UASCAN!D:F,3,0), AND($K647=TRUE,$L647=FALSE),VLOOKUP($A647,UASCAN!D:F,3,0))</f>
        <v/>
      </c>
      <c r="N647" s="53" t="str">
        <f t="shared" si="2"/>
        <v> </v>
      </c>
      <c r="O647" s="53" t="str">
        <f t="shared" si="3"/>
        <v/>
      </c>
    </row>
    <row r="648">
      <c r="A648" s="47" t="str">
        <f t="shared" si="1"/>
        <v>1206644582</v>
      </c>
      <c r="B648" s="48">
        <v>12066.0</v>
      </c>
      <c r="C648" s="49">
        <v>0.5520833333333334</v>
      </c>
      <c r="D648" s="48" t="s">
        <v>1256</v>
      </c>
      <c r="E648" s="50">
        <v>21106.0</v>
      </c>
      <c r="F648" s="51">
        <v>44582.0</v>
      </c>
      <c r="G648" s="48" t="s">
        <v>6216</v>
      </c>
      <c r="H648" s="48" t="s">
        <v>6218</v>
      </c>
      <c r="I648" s="48" t="s">
        <v>6219</v>
      </c>
      <c r="J648" s="48" t="s">
        <v>6192</v>
      </c>
      <c r="K648" s="52" t="b">
        <f>IFS($B648=FALSE,"", countif(VLOOKUP($A648,UASCAN!D:D,1,FALSE),$A648)&gt;=1,TRUE,countif(VLOOKUP($B648,UASCAN!D:D,1,FALSE),$B648)=0,FALSE)</f>
        <v>0</v>
      </c>
      <c r="L648" s="52" t="b">
        <f>IFS(B648=FALSE,"", countif(VLOOKUP($B648,'01212022'!B:B,1,FALSE),$B648)&gt;=1,TRUE,countif(VLOOKUP($B648,'01212022'!B:B,1,FALSE),$B648)=0,FALSE)</f>
        <v>0</v>
      </c>
      <c r="M648" s="52" t="str">
        <f>ifs(AND($K648=FALSE,$L648=TRUE),"",AND($K648=FALSE,L648=FALSE),"",AND($K648=TRUE,$L648=TRUE),VLOOKUP($A648,UASCAN!D:F,3,0), AND($K648=TRUE,$L648=FALSE),VLOOKUP($A648,UASCAN!D:F,3,0))</f>
        <v/>
      </c>
      <c r="N648" s="53" t="str">
        <f t="shared" si="2"/>
        <v> </v>
      </c>
      <c r="O648" s="53" t="str">
        <f t="shared" si="3"/>
        <v/>
      </c>
    </row>
    <row r="649">
      <c r="A649" s="47" t="str">
        <f t="shared" si="1"/>
        <v>1437344582</v>
      </c>
      <c r="B649" s="48">
        <v>14373.0</v>
      </c>
      <c r="C649" s="49">
        <v>0.5625</v>
      </c>
      <c r="D649" s="48" t="s">
        <v>2961</v>
      </c>
      <c r="E649" s="50">
        <v>28183.0</v>
      </c>
      <c r="F649" s="51">
        <v>44582.0</v>
      </c>
      <c r="G649" s="48" t="s">
        <v>6215</v>
      </c>
      <c r="H649" s="48" t="s">
        <v>6218</v>
      </c>
      <c r="I649" s="48" t="s">
        <v>6219</v>
      </c>
      <c r="J649" s="48" t="s">
        <v>6117</v>
      </c>
      <c r="K649" s="52" t="b">
        <f>IFS($B649=FALSE,"", countif(VLOOKUP($A649,UASCAN!D:D,1,FALSE),$A649)&gt;=1,TRUE,countif(VLOOKUP($B649,UASCAN!D:D,1,FALSE),$B649)=0,FALSE)</f>
        <v>0</v>
      </c>
      <c r="L649" s="52" t="b">
        <f>IFS(B649=FALSE,"", countif(VLOOKUP($B649,'01212022'!B:B,1,FALSE),$B649)&gt;=1,TRUE,countif(VLOOKUP($B649,'01212022'!B:B,1,FALSE),$B649)=0,FALSE)</f>
        <v>0</v>
      </c>
      <c r="M649" s="52" t="str">
        <f>ifs(AND($K649=FALSE,$L649=TRUE),"",AND($K649=FALSE,L649=FALSE),"",AND($K649=TRUE,$L649=TRUE),VLOOKUP($A649,UASCAN!D:F,3,0), AND($K649=TRUE,$L649=FALSE),VLOOKUP($A649,UASCAN!D:F,3,0))</f>
        <v/>
      </c>
      <c r="N649" s="53" t="str">
        <f t="shared" si="2"/>
        <v> </v>
      </c>
      <c r="O649" s="53" t="str">
        <f t="shared" si="3"/>
        <v/>
      </c>
    </row>
    <row r="650">
      <c r="A650" s="47" t="str">
        <f t="shared" si="1"/>
        <v>1232244582</v>
      </c>
      <c r="B650" s="48">
        <v>12322.0</v>
      </c>
      <c r="C650" s="49">
        <v>0.5729166666666666</v>
      </c>
      <c r="D650" s="48" t="s">
        <v>1391</v>
      </c>
      <c r="E650" s="50">
        <v>24917.0</v>
      </c>
      <c r="F650" s="51">
        <v>44582.0</v>
      </c>
      <c r="G650" s="48" t="s">
        <v>5</v>
      </c>
      <c r="H650" s="48" t="s">
        <v>6218</v>
      </c>
      <c r="I650" s="48" t="s">
        <v>6219</v>
      </c>
      <c r="J650" s="48" t="s">
        <v>6186</v>
      </c>
      <c r="K650" s="52" t="b">
        <f>IFS($B650=FALSE,"", countif(VLOOKUP($A650,UASCAN!D:D,1,FALSE),$A650)&gt;=1,TRUE,countif(VLOOKUP($B650,UASCAN!D:D,1,FALSE),$B650)=0,FALSE)</f>
        <v>0</v>
      </c>
      <c r="L650" s="52" t="b">
        <f>IFS(B650=FALSE,"", countif(VLOOKUP($B650,'01212022'!B:B,1,FALSE),$B650)&gt;=1,TRUE,countif(VLOOKUP($B650,'01212022'!B:B,1,FALSE),$B650)=0,FALSE)</f>
        <v>0</v>
      </c>
      <c r="M650" s="52" t="str">
        <f>ifs(AND($K650=FALSE,$L650=TRUE),"",AND($K650=FALSE,L650=FALSE),"",AND($K650=TRUE,$L650=TRUE),VLOOKUP($A650,UASCAN!D:F,3,0), AND($K650=TRUE,$L650=FALSE),VLOOKUP($A650,UASCAN!D:F,3,0))</f>
        <v/>
      </c>
      <c r="N650" s="53" t="str">
        <f t="shared" si="2"/>
        <v> </v>
      </c>
      <c r="O650" s="53" t="str">
        <f t="shared" si="3"/>
        <v/>
      </c>
    </row>
    <row r="651">
      <c r="A651" s="47" t="str">
        <f t="shared" si="1"/>
        <v>1373344582</v>
      </c>
      <c r="B651" s="48">
        <v>13733.0</v>
      </c>
      <c r="C651" s="49">
        <v>0.6041666666666666</v>
      </c>
      <c r="D651" s="48" t="s">
        <v>5907</v>
      </c>
      <c r="E651" s="50">
        <v>24461.0</v>
      </c>
      <c r="F651" s="51">
        <v>44582.0</v>
      </c>
      <c r="G651" s="48" t="s">
        <v>6215</v>
      </c>
      <c r="H651" s="48" t="s">
        <v>6218</v>
      </c>
      <c r="I651" s="48" t="s">
        <v>6219</v>
      </c>
      <c r="J651" s="48" t="s">
        <v>6091</v>
      </c>
      <c r="K651" s="52" t="b">
        <f>IFS($B651=FALSE,"", countif(VLOOKUP($A651,UASCAN!D:D,1,FALSE),$A651)&gt;=1,TRUE,countif(VLOOKUP($B651,UASCAN!D:D,1,FALSE),$B651)=0,FALSE)</f>
        <v>0</v>
      </c>
      <c r="L651" s="52" t="b">
        <f>IFS(B651=FALSE,"", countif(VLOOKUP($B651,'01212022'!B:B,1,FALSE),$B651)&gt;=1,TRUE,countif(VLOOKUP($B651,'01212022'!B:B,1,FALSE),$B651)=0,FALSE)</f>
        <v>0</v>
      </c>
      <c r="M651" s="52" t="str">
        <f>ifs(AND($K651=FALSE,$L651=TRUE),"",AND($K651=FALSE,L651=FALSE),"",AND($K651=TRUE,$L651=TRUE),VLOOKUP($A651,UASCAN!D:F,3,0), AND($K651=TRUE,$L651=FALSE),VLOOKUP($A651,UASCAN!D:F,3,0))</f>
        <v/>
      </c>
      <c r="N651" s="53" t="str">
        <f t="shared" si="2"/>
        <v> </v>
      </c>
      <c r="O651" s="53" t="str">
        <f t="shared" si="3"/>
        <v/>
      </c>
    </row>
    <row r="652">
      <c r="A652" s="47" t="str">
        <f t="shared" si="1"/>
        <v>1723244582</v>
      </c>
      <c r="B652" s="48">
        <v>17232.0</v>
      </c>
      <c r="C652" s="49">
        <v>0.6041666666666666</v>
      </c>
      <c r="D652" s="48" t="s">
        <v>5314</v>
      </c>
      <c r="E652" s="50">
        <v>24913.0</v>
      </c>
      <c r="F652" s="51">
        <v>44582.0</v>
      </c>
      <c r="G652" s="48" t="s">
        <v>6216</v>
      </c>
      <c r="H652" s="48" t="s">
        <v>6218</v>
      </c>
      <c r="I652" s="48" t="s">
        <v>6219</v>
      </c>
      <c r="J652" s="48" t="s">
        <v>6126</v>
      </c>
      <c r="K652" s="52" t="b">
        <f>IFS($B652=FALSE,"", countif(VLOOKUP($A652,UASCAN!D:D,1,FALSE),$A652)&gt;=1,TRUE,countif(VLOOKUP($B652,UASCAN!D:D,1,FALSE),$B652)=0,FALSE)</f>
        <v>0</v>
      </c>
      <c r="L652" s="52" t="b">
        <f>IFS(B652=FALSE,"", countif(VLOOKUP($B652,'01212022'!B:B,1,FALSE),$B652)&gt;=1,TRUE,countif(VLOOKUP($B652,'01212022'!B:B,1,FALSE),$B652)=0,FALSE)</f>
        <v>0</v>
      </c>
      <c r="M652" s="52" t="str">
        <f>ifs(AND($K652=FALSE,$L652=TRUE),"",AND($K652=FALSE,L652=FALSE),"",AND($K652=TRUE,$L652=TRUE),VLOOKUP($A652,UASCAN!D:F,3,0), AND($K652=TRUE,$L652=FALSE),VLOOKUP($A652,UASCAN!D:F,3,0))</f>
        <v/>
      </c>
      <c r="N652" s="53" t="str">
        <f t="shared" si="2"/>
        <v> </v>
      </c>
      <c r="O652" s="53" t="str">
        <f t="shared" si="3"/>
        <v/>
      </c>
    </row>
    <row r="653">
      <c r="A653" s="47" t="str">
        <f t="shared" si="1"/>
        <v>1608844582</v>
      </c>
      <c r="B653" s="48">
        <v>16088.0</v>
      </c>
      <c r="C653" s="49">
        <v>0.6145833333333334</v>
      </c>
      <c r="D653" s="48" t="s">
        <v>4416</v>
      </c>
      <c r="E653" s="50">
        <v>19588.0</v>
      </c>
      <c r="F653" s="51">
        <v>44582.0</v>
      </c>
      <c r="G653" s="48" t="s">
        <v>5</v>
      </c>
      <c r="H653" s="48" t="s">
        <v>6218</v>
      </c>
      <c r="I653" s="48" t="s">
        <v>6219</v>
      </c>
      <c r="J653" s="48" t="s">
        <v>6117</v>
      </c>
      <c r="K653" s="52" t="b">
        <f>IFS($B653=FALSE,"", countif(VLOOKUP($A653,UASCAN!D:D,1,FALSE),$A653)&gt;=1,TRUE,countif(VLOOKUP($B653,UASCAN!D:D,1,FALSE),$B653)=0,FALSE)</f>
        <v>0</v>
      </c>
      <c r="L653" s="52" t="b">
        <f>IFS(B653=FALSE,"", countif(VLOOKUP($B653,'01212022'!B:B,1,FALSE),$B653)&gt;=1,TRUE,countif(VLOOKUP($B653,'01212022'!B:B,1,FALSE),$B653)=0,FALSE)</f>
        <v>0</v>
      </c>
      <c r="M653" s="52" t="str">
        <f>ifs(AND($K653=FALSE,$L653=TRUE),"",AND($K653=FALSE,L653=FALSE),"",AND($K653=TRUE,$L653=TRUE),VLOOKUP($A653,UASCAN!D:F,3,0), AND($K653=TRUE,$L653=FALSE),VLOOKUP($A653,UASCAN!D:F,3,0))</f>
        <v/>
      </c>
      <c r="N653" s="53" t="str">
        <f t="shared" si="2"/>
        <v> </v>
      </c>
      <c r="O653" s="53" t="str">
        <f t="shared" si="3"/>
        <v/>
      </c>
    </row>
    <row r="654">
      <c r="A654" s="47" t="str">
        <f t="shared" si="1"/>
        <v>1416944582</v>
      </c>
      <c r="B654" s="48">
        <v>14169.0</v>
      </c>
      <c r="C654" s="49">
        <v>0.625</v>
      </c>
      <c r="D654" s="48" t="s">
        <v>2794</v>
      </c>
      <c r="E654" s="50">
        <v>21779.0</v>
      </c>
      <c r="F654" s="51">
        <v>44582.0</v>
      </c>
      <c r="G654" s="48" t="s">
        <v>5</v>
      </c>
      <c r="H654" s="48" t="s">
        <v>6218</v>
      </c>
      <c r="I654" s="48" t="s">
        <v>6219</v>
      </c>
      <c r="J654" s="48" t="s">
        <v>6094</v>
      </c>
      <c r="K654" s="52" t="b">
        <f>IFS($B654=FALSE,"", countif(VLOOKUP($A654,UASCAN!D:D,1,FALSE),$A654)&gt;=1,TRUE,countif(VLOOKUP($B654,UASCAN!D:D,1,FALSE),$B654)=0,FALSE)</f>
        <v>0</v>
      </c>
      <c r="L654" s="52" t="b">
        <f>IFS(B654=FALSE,"", countif(VLOOKUP($B654,'01212022'!B:B,1,FALSE),$B654)&gt;=1,TRUE,countif(VLOOKUP($B654,'01212022'!B:B,1,FALSE),$B654)=0,FALSE)</f>
        <v>0</v>
      </c>
      <c r="M654" s="52" t="str">
        <f>ifs(AND($K654=FALSE,$L654=TRUE),"",AND($K654=FALSE,L654=FALSE),"",AND($K654=TRUE,$L654=TRUE),VLOOKUP($A654,UASCAN!D:F,3,0), AND($K654=TRUE,$L654=FALSE),VLOOKUP($A654,UASCAN!D:F,3,0))</f>
        <v/>
      </c>
      <c r="N654" s="53" t="str">
        <f t="shared" si="2"/>
        <v> </v>
      </c>
      <c r="O654" s="53" t="str">
        <f t="shared" si="3"/>
        <v/>
      </c>
    </row>
    <row r="655">
      <c r="A655" s="47" t="str">
        <f t="shared" si="1"/>
        <v>1257544582</v>
      </c>
      <c r="B655" s="48">
        <v>12575.0</v>
      </c>
      <c r="C655" s="49">
        <v>0.3125</v>
      </c>
      <c r="D655" s="48" t="s">
        <v>1551</v>
      </c>
      <c r="E655" s="50">
        <v>20081.0</v>
      </c>
      <c r="F655" s="51">
        <v>44582.0</v>
      </c>
      <c r="G655" s="48" t="s">
        <v>5</v>
      </c>
      <c r="H655" s="48" t="s">
        <v>6211</v>
      </c>
      <c r="I655" s="48" t="s">
        <v>6221</v>
      </c>
      <c r="J655" s="48" t="s">
        <v>6137</v>
      </c>
      <c r="K655" s="52" t="b">
        <f>IFS($B655=FALSE,"", countif(VLOOKUP($A655,UASCAN!D:D,1,FALSE),$A655)&gt;=1,TRUE,countif(VLOOKUP($B655,UASCAN!D:D,1,FALSE),$B655)=0,FALSE)</f>
        <v>0</v>
      </c>
      <c r="L655" s="52" t="b">
        <f>IFS(B655=FALSE,"", countif(VLOOKUP($B655,'01212022'!B:B,1,FALSE),$B655)&gt;=1,TRUE,countif(VLOOKUP($B655,'01212022'!B:B,1,FALSE),$B655)=0,FALSE)</f>
        <v>0</v>
      </c>
      <c r="M655" s="52" t="str">
        <f>ifs(AND($K655=FALSE,$L655=TRUE),"",AND($K655=FALSE,L655=FALSE),"",AND($K655=TRUE,$L655=TRUE),VLOOKUP($A655,UASCAN!D:F,3,0), AND($K655=TRUE,$L655=FALSE),VLOOKUP($A655,UASCAN!D:F,3,0))</f>
        <v/>
      </c>
      <c r="N655" s="53" t="str">
        <f t="shared" si="2"/>
        <v> </v>
      </c>
      <c r="O655" s="53" t="str">
        <f t="shared" si="3"/>
        <v/>
      </c>
    </row>
    <row r="656">
      <c r="A656" s="47" t="str">
        <f t="shared" si="1"/>
        <v>1567944582</v>
      </c>
      <c r="B656" s="48">
        <v>15679.0</v>
      </c>
      <c r="C656" s="49">
        <v>0.3958333333333333</v>
      </c>
      <c r="D656" s="48" t="s">
        <v>4050</v>
      </c>
      <c r="E656" s="50">
        <v>21027.0</v>
      </c>
      <c r="F656" s="51">
        <v>44582.0</v>
      </c>
      <c r="G656" s="48" t="s">
        <v>6216</v>
      </c>
      <c r="H656" s="48" t="s">
        <v>6211</v>
      </c>
      <c r="I656" s="48" t="s">
        <v>6221</v>
      </c>
      <c r="J656" s="48" t="s">
        <v>6189</v>
      </c>
      <c r="K656" s="52" t="b">
        <f>IFS($B656=FALSE,"", countif(VLOOKUP($A656,UASCAN!D:D,1,FALSE),$A656)&gt;=1,TRUE,countif(VLOOKUP($B656,UASCAN!D:D,1,FALSE),$B656)=0,FALSE)</f>
        <v>0</v>
      </c>
      <c r="L656" s="52" t="b">
        <f>IFS(B656=FALSE,"", countif(VLOOKUP($B656,'01212022'!B:B,1,FALSE),$B656)&gt;=1,TRUE,countif(VLOOKUP($B656,'01212022'!B:B,1,FALSE),$B656)=0,FALSE)</f>
        <v>0</v>
      </c>
      <c r="M656" s="52" t="str">
        <f>ifs(AND($K656=FALSE,$L656=TRUE),"",AND($K656=FALSE,L656=FALSE),"",AND($K656=TRUE,$L656=TRUE),VLOOKUP($A656,UASCAN!D:F,3,0), AND($K656=TRUE,$L656=FALSE),VLOOKUP($A656,UASCAN!D:F,3,0))</f>
        <v/>
      </c>
      <c r="N656" s="53" t="str">
        <f t="shared" si="2"/>
        <v> </v>
      </c>
      <c r="O656" s="53" t="str">
        <f t="shared" si="3"/>
        <v/>
      </c>
    </row>
    <row r="657">
      <c r="A657" s="47" t="str">
        <f t="shared" si="1"/>
        <v>961544582</v>
      </c>
      <c r="B657" s="48">
        <v>9615.0</v>
      </c>
      <c r="C657" s="49">
        <v>0.5729166666666666</v>
      </c>
      <c r="D657" s="48" t="s">
        <v>235</v>
      </c>
      <c r="E657" s="50">
        <v>16478.0</v>
      </c>
      <c r="F657" s="51">
        <v>44582.0</v>
      </c>
      <c r="G657" s="48" t="s">
        <v>5</v>
      </c>
      <c r="H657" s="48" t="s">
        <v>6211</v>
      </c>
      <c r="I657" s="48" t="s">
        <v>6221</v>
      </c>
      <c r="J657" s="48" t="s">
        <v>6190</v>
      </c>
      <c r="K657" s="52" t="b">
        <f>IFS($B657=FALSE,"", countif(VLOOKUP($A657,UASCAN!D:D,1,FALSE),$A657)&gt;=1,TRUE,countif(VLOOKUP($B657,UASCAN!D:D,1,FALSE),$B657)=0,FALSE)</f>
        <v>0</v>
      </c>
      <c r="L657" s="52" t="b">
        <f>IFS(B657=FALSE,"", countif(VLOOKUP($B657,'01212022'!B:B,1,FALSE),$B657)&gt;=1,TRUE,countif(VLOOKUP($B657,'01212022'!B:B,1,FALSE),$B657)=0,FALSE)</f>
        <v>0</v>
      </c>
      <c r="M657" s="52" t="str">
        <f>ifs(AND($K657=FALSE,$L657=TRUE),"",AND($K657=FALSE,L657=FALSE),"",AND($K657=TRUE,$L657=TRUE),VLOOKUP($A657,UASCAN!D:F,3,0), AND($K657=TRUE,$L657=FALSE),VLOOKUP($A657,UASCAN!D:F,3,0))</f>
        <v/>
      </c>
      <c r="N657" s="53" t="str">
        <f t="shared" si="2"/>
        <v> </v>
      </c>
      <c r="O657" s="53" t="str">
        <f t="shared" si="3"/>
        <v/>
      </c>
    </row>
    <row r="658">
      <c r="A658" s="47" t="str">
        <f t="shared" si="1"/>
        <v>1627344582</v>
      </c>
      <c r="B658" s="48">
        <v>16273.0</v>
      </c>
      <c r="C658" s="49">
        <v>0.5833333333333334</v>
      </c>
      <c r="D658" s="48" t="s">
        <v>4567</v>
      </c>
      <c r="E658" s="50">
        <v>22114.0</v>
      </c>
      <c r="F658" s="51">
        <v>44582.0</v>
      </c>
      <c r="G658" s="48" t="s">
        <v>5</v>
      </c>
      <c r="H658" s="48" t="s">
        <v>6211</v>
      </c>
      <c r="I658" s="48" t="s">
        <v>6221</v>
      </c>
      <c r="J658" s="48" t="s">
        <v>6137</v>
      </c>
      <c r="K658" s="52" t="b">
        <f>IFS($B658=FALSE,"", countif(VLOOKUP($A658,UASCAN!D:D,1,FALSE),$A658)&gt;=1,TRUE,countif(VLOOKUP($B658,UASCAN!D:D,1,FALSE),$B658)=0,FALSE)</f>
        <v>0</v>
      </c>
      <c r="L658" s="52" t="b">
        <f>IFS(B658=FALSE,"", countif(VLOOKUP($B658,'01212022'!B:B,1,FALSE),$B658)&gt;=1,TRUE,countif(VLOOKUP($B658,'01212022'!B:B,1,FALSE),$B658)=0,FALSE)</f>
        <v>0</v>
      </c>
      <c r="M658" s="52" t="str">
        <f>ifs(AND($K658=FALSE,$L658=TRUE),"",AND($K658=FALSE,L658=FALSE),"",AND($K658=TRUE,$L658=TRUE),VLOOKUP($A658,UASCAN!D:F,3,0), AND($K658=TRUE,$L658=FALSE),VLOOKUP($A658,UASCAN!D:F,3,0))</f>
        <v/>
      </c>
      <c r="N658" s="53" t="str">
        <f t="shared" si="2"/>
        <v> </v>
      </c>
      <c r="O658" s="53" t="str">
        <f t="shared" si="3"/>
        <v/>
      </c>
    </row>
    <row r="659">
      <c r="A659" s="47" t="str">
        <f t="shared" si="1"/>
        <v>1722444582</v>
      </c>
      <c r="B659" s="48">
        <v>17224.0</v>
      </c>
      <c r="C659" s="49">
        <v>0.59375</v>
      </c>
      <c r="D659" s="48" t="s">
        <v>5307</v>
      </c>
      <c r="E659" s="50">
        <v>19306.0</v>
      </c>
      <c r="F659" s="51">
        <v>44582.0</v>
      </c>
      <c r="G659" s="48" t="s">
        <v>6216</v>
      </c>
      <c r="H659" s="48" t="s">
        <v>6211</v>
      </c>
      <c r="I659" s="48" t="s">
        <v>6221</v>
      </c>
      <c r="J659" s="48" t="s">
        <v>6196</v>
      </c>
      <c r="K659" s="52" t="b">
        <f>IFS($B659=FALSE,"", countif(VLOOKUP($A659,UASCAN!D:D,1,FALSE),$A659)&gt;=1,TRUE,countif(VLOOKUP($B659,UASCAN!D:D,1,FALSE),$B659)=0,FALSE)</f>
        <v>0</v>
      </c>
      <c r="L659" s="52" t="b">
        <f>IFS(B659=FALSE,"", countif(VLOOKUP($B659,'01212022'!B:B,1,FALSE),$B659)&gt;=1,TRUE,countif(VLOOKUP($B659,'01212022'!B:B,1,FALSE),$B659)=0,FALSE)</f>
        <v>0</v>
      </c>
      <c r="M659" s="52" t="str">
        <f>ifs(AND($K659=FALSE,$L659=TRUE),"",AND($K659=FALSE,L659=FALSE),"",AND($K659=TRUE,$L659=TRUE),VLOOKUP($A659,UASCAN!D:F,3,0), AND($K659=TRUE,$L659=FALSE),VLOOKUP($A659,UASCAN!D:F,3,0))</f>
        <v/>
      </c>
      <c r="N659" s="53" t="str">
        <f t="shared" si="2"/>
        <v> </v>
      </c>
      <c r="O659" s="53" t="str">
        <f t="shared" si="3"/>
        <v/>
      </c>
    </row>
    <row r="660">
      <c r="A660" s="47" t="str">
        <f t="shared" si="1"/>
        <v>1119744582</v>
      </c>
      <c r="B660" s="48">
        <v>11197.0</v>
      </c>
      <c r="C660" s="49">
        <v>0.6041666666666666</v>
      </c>
      <c r="D660" s="48" t="s">
        <v>857</v>
      </c>
      <c r="E660" s="50">
        <v>26713.0</v>
      </c>
      <c r="F660" s="51">
        <v>44582.0</v>
      </c>
      <c r="G660" s="48" t="s">
        <v>5</v>
      </c>
      <c r="H660" s="48" t="s">
        <v>6211</v>
      </c>
      <c r="I660" s="48" t="s">
        <v>6221</v>
      </c>
      <c r="J660" s="48" t="s">
        <v>6196</v>
      </c>
      <c r="K660" s="52" t="b">
        <f>IFS($B660=FALSE,"", countif(VLOOKUP($A660,UASCAN!D:D,1,FALSE),$A660)&gt;=1,TRUE,countif(VLOOKUP($B660,UASCAN!D:D,1,FALSE),$B660)=0,FALSE)</f>
        <v>0</v>
      </c>
      <c r="L660" s="52" t="b">
        <f>IFS(B660=FALSE,"", countif(VLOOKUP($B660,'01212022'!B:B,1,FALSE),$B660)&gt;=1,TRUE,countif(VLOOKUP($B660,'01212022'!B:B,1,FALSE),$B660)=0,FALSE)</f>
        <v>0</v>
      </c>
      <c r="M660" s="52" t="str">
        <f>ifs(AND($K660=FALSE,$L660=TRUE),"",AND($K660=FALSE,L660=FALSE),"",AND($K660=TRUE,$L660=TRUE),VLOOKUP($A660,UASCAN!D:F,3,0), AND($K660=TRUE,$L660=FALSE),VLOOKUP($A660,UASCAN!D:F,3,0))</f>
        <v/>
      </c>
      <c r="N660" s="53" t="str">
        <f t="shared" si="2"/>
        <v> </v>
      </c>
      <c r="O660" s="53" t="str">
        <f t="shared" si="3"/>
        <v/>
      </c>
    </row>
    <row r="661">
      <c r="A661" s="47" t="str">
        <f t="shared" si="1"/>
        <v>1546144582</v>
      </c>
      <c r="B661" s="48">
        <v>15461.0</v>
      </c>
      <c r="C661" s="49">
        <v>0.6354166666666666</v>
      </c>
      <c r="D661" s="48" t="s">
        <v>3854</v>
      </c>
      <c r="E661" s="50">
        <v>13322.0</v>
      </c>
      <c r="F661" s="51">
        <v>44582.0</v>
      </c>
      <c r="G661" s="48" t="s">
        <v>6215</v>
      </c>
      <c r="H661" s="48" t="s">
        <v>6211</v>
      </c>
      <c r="I661" s="48" t="s">
        <v>6221</v>
      </c>
      <c r="J661" s="48" t="s">
        <v>6137</v>
      </c>
      <c r="K661" s="52" t="b">
        <f>IFS($B661=FALSE,"", countif(VLOOKUP($A661,UASCAN!D:D,1,FALSE),$A661)&gt;=1,TRUE,countif(VLOOKUP($B661,UASCAN!D:D,1,FALSE),$B661)=0,FALSE)</f>
        <v>0</v>
      </c>
      <c r="L661" s="52" t="b">
        <f>IFS(B661=FALSE,"", countif(VLOOKUP($B661,'01212022'!B:B,1,FALSE),$B661)&gt;=1,TRUE,countif(VLOOKUP($B661,'01212022'!B:B,1,FALSE),$B661)=0,FALSE)</f>
        <v>0</v>
      </c>
      <c r="M661" s="52" t="str">
        <f>ifs(AND($K661=FALSE,$L661=TRUE),"",AND($K661=FALSE,L661=FALSE),"",AND($K661=TRUE,$L661=TRUE),VLOOKUP($A661,UASCAN!D:F,3,0), AND($K661=TRUE,$L661=FALSE),VLOOKUP($A661,UASCAN!D:F,3,0))</f>
        <v/>
      </c>
      <c r="N661" s="53" t="str">
        <f t="shared" si="2"/>
        <v> </v>
      </c>
      <c r="O661" s="53" t="str">
        <f t="shared" si="3"/>
        <v/>
      </c>
    </row>
    <row r="662">
      <c r="A662" s="47" t="str">
        <f t="shared" si="1"/>
        <v>920444582</v>
      </c>
      <c r="B662" s="48">
        <v>9204.0</v>
      </c>
      <c r="C662" s="49">
        <v>0.3333333333333333</v>
      </c>
      <c r="D662" s="48" t="s">
        <v>75</v>
      </c>
      <c r="E662" s="50">
        <v>22400.0</v>
      </c>
      <c r="F662" s="51">
        <v>44582.0</v>
      </c>
      <c r="G662" s="48" t="s">
        <v>5</v>
      </c>
      <c r="H662" s="48" t="s">
        <v>6218</v>
      </c>
      <c r="I662" s="48" t="s">
        <v>6222</v>
      </c>
      <c r="J662" s="48" t="s">
        <v>6158</v>
      </c>
      <c r="K662" s="52" t="b">
        <f>IFS($B662=FALSE,"", countif(VLOOKUP($A662,UASCAN!D:D,1,FALSE),$A662)&gt;=1,TRUE,countif(VLOOKUP($B662,UASCAN!D:D,1,FALSE),$B662)=0,FALSE)</f>
        <v>0</v>
      </c>
      <c r="L662" s="52" t="b">
        <f>IFS(B662=FALSE,"", countif(VLOOKUP($B662,'01212022'!B:B,1,FALSE),$B662)&gt;=1,TRUE,countif(VLOOKUP($B662,'01212022'!B:B,1,FALSE),$B662)=0,FALSE)</f>
        <v>0</v>
      </c>
      <c r="M662" s="52" t="str">
        <f>ifs(AND($K662=FALSE,$L662=TRUE),"",AND($K662=FALSE,L662=FALSE),"",AND($K662=TRUE,$L662=TRUE),VLOOKUP($A662,UASCAN!D:F,3,0), AND($K662=TRUE,$L662=FALSE),VLOOKUP($A662,UASCAN!D:F,3,0))</f>
        <v/>
      </c>
      <c r="N662" s="53" t="str">
        <f t="shared" si="2"/>
        <v> </v>
      </c>
      <c r="O662" s="53" t="str">
        <f t="shared" si="3"/>
        <v/>
      </c>
    </row>
    <row r="663">
      <c r="A663" s="47" t="str">
        <f t="shared" si="1"/>
        <v>1418444582</v>
      </c>
      <c r="B663" s="48">
        <v>14184.0</v>
      </c>
      <c r="C663" s="49">
        <v>0.3333333333333333</v>
      </c>
      <c r="D663" s="48" t="s">
        <v>2806</v>
      </c>
      <c r="E663" s="50">
        <v>21084.0</v>
      </c>
      <c r="F663" s="51">
        <v>44582.0</v>
      </c>
      <c r="G663" s="48" t="s">
        <v>6215</v>
      </c>
      <c r="H663" s="48" t="s">
        <v>6218</v>
      </c>
      <c r="I663" s="48" t="s">
        <v>6222</v>
      </c>
      <c r="J663" s="48" t="s">
        <v>6186</v>
      </c>
      <c r="K663" s="52" t="b">
        <f>IFS($B663=FALSE,"", countif(VLOOKUP($A663,UASCAN!D:D,1,FALSE),$A663)&gt;=1,TRUE,countif(VLOOKUP($B663,UASCAN!D:D,1,FALSE),$B663)=0,FALSE)</f>
        <v>0</v>
      </c>
      <c r="L663" s="52" t="b">
        <f>IFS(B663=FALSE,"", countif(VLOOKUP($B663,'01212022'!B:B,1,FALSE),$B663)&gt;=1,TRUE,countif(VLOOKUP($B663,'01212022'!B:B,1,FALSE),$B663)=0,FALSE)</f>
        <v>0</v>
      </c>
      <c r="M663" s="52" t="str">
        <f>ifs(AND($K663=FALSE,$L663=TRUE),"",AND($K663=FALSE,L663=FALSE),"",AND($K663=TRUE,$L663=TRUE),VLOOKUP($A663,UASCAN!D:F,3,0), AND($K663=TRUE,$L663=FALSE),VLOOKUP($A663,UASCAN!D:F,3,0))</f>
        <v/>
      </c>
      <c r="N663" s="53" t="str">
        <f t="shared" si="2"/>
        <v> </v>
      </c>
      <c r="O663" s="53" t="str">
        <f t="shared" si="3"/>
        <v/>
      </c>
    </row>
    <row r="664">
      <c r="A664" s="47" t="str">
        <f t="shared" si="1"/>
        <v>1124544582</v>
      </c>
      <c r="B664" s="48">
        <v>11245.0</v>
      </c>
      <c r="C664" s="49">
        <v>0.34375</v>
      </c>
      <c r="D664" s="48" t="s">
        <v>878</v>
      </c>
      <c r="E664" s="50">
        <v>23641.0</v>
      </c>
      <c r="F664" s="51">
        <v>44582.0</v>
      </c>
      <c r="G664" s="48" t="s">
        <v>5</v>
      </c>
      <c r="H664" s="48" t="s">
        <v>6218</v>
      </c>
      <c r="I664" s="48" t="s">
        <v>6222</v>
      </c>
      <c r="J664" s="48" t="s">
        <v>6202</v>
      </c>
      <c r="K664" s="52" t="b">
        <f>IFS($B664=FALSE,"", countif(VLOOKUP($A664,UASCAN!D:D,1,FALSE),$A664)&gt;=1,TRUE,countif(VLOOKUP($B664,UASCAN!D:D,1,FALSE),$B664)=0,FALSE)</f>
        <v>0</v>
      </c>
      <c r="L664" s="52" t="b">
        <f>IFS(B664=FALSE,"", countif(VLOOKUP($B664,'01212022'!B:B,1,FALSE),$B664)&gt;=1,TRUE,countif(VLOOKUP($B664,'01212022'!B:B,1,FALSE),$B664)=0,FALSE)</f>
        <v>0</v>
      </c>
      <c r="M664" s="52" t="str">
        <f>ifs(AND($K664=FALSE,$L664=TRUE),"",AND($K664=FALSE,L664=FALSE),"",AND($K664=TRUE,$L664=TRUE),VLOOKUP($A664,UASCAN!D:F,3,0), AND($K664=TRUE,$L664=FALSE),VLOOKUP($A664,UASCAN!D:F,3,0))</f>
        <v/>
      </c>
      <c r="N664" s="53" t="str">
        <f t="shared" si="2"/>
        <v> </v>
      </c>
      <c r="O664" s="53" t="str">
        <f t="shared" si="3"/>
        <v/>
      </c>
    </row>
    <row r="665">
      <c r="A665" s="47" t="str">
        <f t="shared" si="1"/>
        <v>1551144582</v>
      </c>
      <c r="B665" s="48">
        <v>15511.0</v>
      </c>
      <c r="C665" s="49">
        <v>0.3541666666666667</v>
      </c>
      <c r="D665" s="48" t="s">
        <v>3897</v>
      </c>
      <c r="E665" s="50">
        <v>23040.0</v>
      </c>
      <c r="F665" s="51">
        <v>44582.0</v>
      </c>
      <c r="G665" s="48" t="s">
        <v>5</v>
      </c>
      <c r="H665" s="48" t="s">
        <v>6218</v>
      </c>
      <c r="I665" s="48" t="s">
        <v>6222</v>
      </c>
      <c r="J665" s="48" t="s">
        <v>6091</v>
      </c>
      <c r="K665" s="52" t="b">
        <f>IFS($B665=FALSE,"", countif(VLOOKUP($A665,UASCAN!D:D,1,FALSE),$A665)&gt;=1,TRUE,countif(VLOOKUP($B665,UASCAN!D:D,1,FALSE),$B665)=0,FALSE)</f>
        <v>0</v>
      </c>
      <c r="L665" s="52" t="b">
        <f>IFS(B665=FALSE,"", countif(VLOOKUP($B665,'01212022'!B:B,1,FALSE),$B665)&gt;=1,TRUE,countif(VLOOKUP($B665,'01212022'!B:B,1,FALSE),$B665)=0,FALSE)</f>
        <v>0</v>
      </c>
      <c r="M665" s="52" t="str">
        <f>ifs(AND($K665=FALSE,$L665=TRUE),"",AND($K665=FALSE,L665=FALSE),"",AND($K665=TRUE,$L665=TRUE),VLOOKUP($A665,UASCAN!D:F,3,0), AND($K665=TRUE,$L665=FALSE),VLOOKUP($A665,UASCAN!D:F,3,0))</f>
        <v/>
      </c>
      <c r="N665" s="53" t="str">
        <f t="shared" si="2"/>
        <v> </v>
      </c>
      <c r="O665" s="53" t="str">
        <f t="shared" si="3"/>
        <v/>
      </c>
    </row>
    <row r="666">
      <c r="A666" s="47" t="str">
        <f t="shared" si="1"/>
        <v>1561144582</v>
      </c>
      <c r="B666" s="48">
        <v>15611.0</v>
      </c>
      <c r="C666" s="49">
        <v>0.3645833333333333</v>
      </c>
      <c r="D666" s="48" t="s">
        <v>3988</v>
      </c>
      <c r="E666" s="50">
        <v>21765.0</v>
      </c>
      <c r="F666" s="51">
        <v>44582.0</v>
      </c>
      <c r="G666" s="48" t="s">
        <v>5</v>
      </c>
      <c r="H666" s="48" t="s">
        <v>6218</v>
      </c>
      <c r="I666" s="48" t="s">
        <v>6222</v>
      </c>
      <c r="J666" s="48" t="s">
        <v>6187</v>
      </c>
      <c r="K666" s="52" t="b">
        <f>IFS($B666=FALSE,"", countif(VLOOKUP($A666,UASCAN!D:D,1,FALSE),$A666)&gt;=1,TRUE,countif(VLOOKUP($B666,UASCAN!D:D,1,FALSE),$B666)=0,FALSE)</f>
        <v>0</v>
      </c>
      <c r="L666" s="52" t="b">
        <f>IFS(B666=FALSE,"", countif(VLOOKUP($B666,'01212022'!B:B,1,FALSE),$B666)&gt;=1,TRUE,countif(VLOOKUP($B666,'01212022'!B:B,1,FALSE),$B666)=0,FALSE)</f>
        <v>0</v>
      </c>
      <c r="M666" s="52" t="str">
        <f>ifs(AND($K666=FALSE,$L666=TRUE),"",AND($K666=FALSE,L666=FALSE),"",AND($K666=TRUE,$L666=TRUE),VLOOKUP($A666,UASCAN!D:F,3,0), AND($K666=TRUE,$L666=FALSE),VLOOKUP($A666,UASCAN!D:F,3,0))</f>
        <v/>
      </c>
      <c r="N666" s="53" t="str">
        <f t="shared" si="2"/>
        <v> </v>
      </c>
      <c r="O666" s="53" t="str">
        <f t="shared" si="3"/>
        <v/>
      </c>
    </row>
    <row r="667">
      <c r="A667" s="47" t="str">
        <f t="shared" si="1"/>
        <v>1120744582</v>
      </c>
      <c r="B667" s="48">
        <v>11207.0</v>
      </c>
      <c r="C667" s="49">
        <v>0.375</v>
      </c>
      <c r="D667" s="48" t="s">
        <v>5832</v>
      </c>
      <c r="E667" s="50">
        <v>46264.0</v>
      </c>
      <c r="F667" s="51">
        <v>44582.0</v>
      </c>
      <c r="G667" s="48" t="s">
        <v>6215</v>
      </c>
      <c r="H667" s="48" t="s">
        <v>6218</v>
      </c>
      <c r="I667" s="48" t="s">
        <v>6222</v>
      </c>
      <c r="J667" s="48" t="s">
        <v>6137</v>
      </c>
      <c r="K667" s="52" t="b">
        <f>IFS($B667=FALSE,"", countif(VLOOKUP($A667,UASCAN!D:D,1,FALSE),$A667)&gt;=1,TRUE,countif(VLOOKUP($B667,UASCAN!D:D,1,FALSE),$B667)=0,FALSE)</f>
        <v>0</v>
      </c>
      <c r="L667" s="52" t="b">
        <f>IFS(B667=FALSE,"", countif(VLOOKUP($B667,'01212022'!B:B,1,FALSE),$B667)&gt;=1,TRUE,countif(VLOOKUP($B667,'01212022'!B:B,1,FALSE),$B667)=0,FALSE)</f>
        <v>0</v>
      </c>
      <c r="M667" s="52" t="str">
        <f>ifs(AND($K667=FALSE,$L667=TRUE),"",AND($K667=FALSE,L667=FALSE),"",AND($K667=TRUE,$L667=TRUE),VLOOKUP($A667,UASCAN!D:F,3,0), AND($K667=TRUE,$L667=FALSE),VLOOKUP($A667,UASCAN!D:F,3,0))</f>
        <v/>
      </c>
      <c r="N667" s="53" t="str">
        <f t="shared" si="2"/>
        <v> </v>
      </c>
      <c r="O667" s="53" t="str">
        <f t="shared" si="3"/>
        <v/>
      </c>
    </row>
    <row r="668">
      <c r="A668" s="47" t="str">
        <f t="shared" si="1"/>
        <v>1396244582</v>
      </c>
      <c r="B668" s="48">
        <v>13962.0</v>
      </c>
      <c r="C668" s="49">
        <v>0.375</v>
      </c>
      <c r="D668" s="48" t="s">
        <v>2644</v>
      </c>
      <c r="E668" s="50">
        <v>23708.0</v>
      </c>
      <c r="F668" s="51">
        <v>44582.0</v>
      </c>
      <c r="G668" s="48" t="s">
        <v>6216</v>
      </c>
      <c r="H668" s="48" t="s">
        <v>6218</v>
      </c>
      <c r="I668" s="48" t="s">
        <v>6222</v>
      </c>
      <c r="J668" s="48" t="s">
        <v>6190</v>
      </c>
      <c r="K668" s="52" t="b">
        <f>IFS($B668=FALSE,"", countif(VLOOKUP($A668,UASCAN!D:D,1,FALSE),$A668)&gt;=1,TRUE,countif(VLOOKUP($B668,UASCAN!D:D,1,FALSE),$B668)=0,FALSE)</f>
        <v>0</v>
      </c>
      <c r="L668" s="52" t="b">
        <f>IFS(B668=FALSE,"", countif(VLOOKUP($B668,'01212022'!B:B,1,FALSE),$B668)&gt;=1,TRUE,countif(VLOOKUP($B668,'01212022'!B:B,1,FALSE),$B668)=0,FALSE)</f>
        <v>0</v>
      </c>
      <c r="M668" s="52" t="str">
        <f>ifs(AND($K668=FALSE,$L668=TRUE),"",AND($K668=FALSE,L668=FALSE),"",AND($K668=TRUE,$L668=TRUE),VLOOKUP($A668,UASCAN!D:F,3,0), AND($K668=TRUE,$L668=FALSE),VLOOKUP($A668,UASCAN!D:F,3,0))</f>
        <v/>
      </c>
      <c r="N668" s="53" t="str">
        <f t="shared" si="2"/>
        <v> </v>
      </c>
      <c r="O668" s="53" t="str">
        <f t="shared" si="3"/>
        <v/>
      </c>
    </row>
    <row r="669">
      <c r="A669" s="47" t="str">
        <f t="shared" si="1"/>
        <v>935744582</v>
      </c>
      <c r="B669" s="48">
        <v>9357.0</v>
      </c>
      <c r="C669" s="49">
        <v>0.4375</v>
      </c>
      <c r="D669" s="48" t="s">
        <v>143</v>
      </c>
      <c r="E669" s="50">
        <v>25107.0</v>
      </c>
      <c r="F669" s="51">
        <v>44582.0</v>
      </c>
      <c r="G669" s="48" t="s">
        <v>5</v>
      </c>
      <c r="H669" s="48" t="s">
        <v>6218</v>
      </c>
      <c r="I669" s="48" t="s">
        <v>6222</v>
      </c>
      <c r="J669" s="48" t="s">
        <v>6137</v>
      </c>
      <c r="K669" s="52" t="b">
        <f>IFS($B669=FALSE,"", countif(VLOOKUP($A669,UASCAN!D:D,1,FALSE),$A669)&gt;=1,TRUE,countif(VLOOKUP($B669,UASCAN!D:D,1,FALSE),$B669)=0,FALSE)</f>
        <v>0</v>
      </c>
      <c r="L669" s="52" t="b">
        <f>IFS(B669=FALSE,"", countif(VLOOKUP($B669,'01212022'!B:B,1,FALSE),$B669)&gt;=1,TRUE,countif(VLOOKUP($B669,'01212022'!B:B,1,FALSE),$B669)=0,FALSE)</f>
        <v>0</v>
      </c>
      <c r="M669" s="52" t="str">
        <f>ifs(AND($K669=FALSE,$L669=TRUE),"",AND($K669=FALSE,L669=FALSE),"",AND($K669=TRUE,$L669=TRUE),VLOOKUP($A669,UASCAN!D:F,3,0), AND($K669=TRUE,$L669=FALSE),VLOOKUP($A669,UASCAN!D:F,3,0))</f>
        <v/>
      </c>
      <c r="N669" s="53" t="str">
        <f t="shared" si="2"/>
        <v> </v>
      </c>
      <c r="O669" s="53" t="str">
        <f t="shared" si="3"/>
        <v/>
      </c>
    </row>
    <row r="670">
      <c r="A670" s="47" t="str">
        <f t="shared" si="1"/>
        <v>1697344582</v>
      </c>
      <c r="B670" s="48">
        <v>16973.0</v>
      </c>
      <c r="C670" s="49">
        <v>0.4375</v>
      </c>
      <c r="D670" s="48" t="s">
        <v>5104</v>
      </c>
      <c r="E670" s="50">
        <v>24541.0</v>
      </c>
      <c r="F670" s="51">
        <v>44582.0</v>
      </c>
      <c r="G670" s="48" t="s">
        <v>6216</v>
      </c>
      <c r="H670" s="48" t="s">
        <v>6218</v>
      </c>
      <c r="I670" s="48" t="s">
        <v>6222</v>
      </c>
      <c r="J670" s="48" t="s">
        <v>6195</v>
      </c>
      <c r="K670" s="52" t="b">
        <f>IFS($B670=FALSE,"", countif(VLOOKUP($A670,UASCAN!D:D,1,FALSE),$A670)&gt;=1,TRUE,countif(VLOOKUP($B670,UASCAN!D:D,1,FALSE),$B670)=0,FALSE)</f>
        <v>0</v>
      </c>
      <c r="L670" s="52" t="b">
        <f>IFS(B670=FALSE,"", countif(VLOOKUP($B670,'01212022'!B:B,1,FALSE),$B670)&gt;=1,TRUE,countif(VLOOKUP($B670,'01212022'!B:B,1,FALSE),$B670)=0,FALSE)</f>
        <v>0</v>
      </c>
      <c r="M670" s="52" t="str">
        <f>ifs(AND($K670=FALSE,$L670=TRUE),"",AND($K670=FALSE,L670=FALSE),"",AND($K670=TRUE,$L670=TRUE),VLOOKUP($A670,UASCAN!D:F,3,0), AND($K670=TRUE,$L670=FALSE),VLOOKUP($A670,UASCAN!D:F,3,0))</f>
        <v/>
      </c>
      <c r="N670" s="53" t="str">
        <f t="shared" si="2"/>
        <v> </v>
      </c>
      <c r="O670" s="53" t="str">
        <f t="shared" si="3"/>
        <v/>
      </c>
    </row>
    <row r="671">
      <c r="A671" s="47" t="str">
        <f t="shared" si="1"/>
        <v>1323544582</v>
      </c>
      <c r="B671" s="48">
        <v>13235.0</v>
      </c>
      <c r="C671" s="49">
        <v>0.4583333333333333</v>
      </c>
      <c r="D671" s="48" t="s">
        <v>2079</v>
      </c>
      <c r="E671" s="50">
        <v>25452.0</v>
      </c>
      <c r="F671" s="51">
        <v>44582.0</v>
      </c>
      <c r="G671" s="48" t="s">
        <v>5</v>
      </c>
      <c r="H671" s="48" t="s">
        <v>6218</v>
      </c>
      <c r="I671" s="48" t="s">
        <v>6222</v>
      </c>
      <c r="J671" s="48" t="s">
        <v>6082</v>
      </c>
      <c r="K671" s="52" t="b">
        <f>IFS($B671=FALSE,"", countif(VLOOKUP($A671,UASCAN!D:D,1,FALSE),$A671)&gt;=1,TRUE,countif(VLOOKUP($B671,UASCAN!D:D,1,FALSE),$B671)=0,FALSE)</f>
        <v>0</v>
      </c>
      <c r="L671" s="52" t="b">
        <f>IFS(B671=FALSE,"", countif(VLOOKUP($B671,'01212022'!B:B,1,FALSE),$B671)&gt;=1,TRUE,countif(VLOOKUP($B671,'01212022'!B:B,1,FALSE),$B671)=0,FALSE)</f>
        <v>0</v>
      </c>
      <c r="M671" s="52" t="str">
        <f>ifs(AND($K671=FALSE,$L671=TRUE),"",AND($K671=FALSE,L671=FALSE),"",AND($K671=TRUE,$L671=TRUE),VLOOKUP($A671,UASCAN!D:F,3,0), AND($K671=TRUE,$L671=FALSE),VLOOKUP($A671,UASCAN!D:F,3,0))</f>
        <v/>
      </c>
      <c r="N671" s="53" t="str">
        <f t="shared" si="2"/>
        <v> </v>
      </c>
      <c r="O671" s="53" t="str">
        <f t="shared" si="3"/>
        <v/>
      </c>
    </row>
    <row r="672">
      <c r="A672" s="47" t="str">
        <f t="shared" si="1"/>
        <v>1383944582</v>
      </c>
      <c r="B672" s="48">
        <v>13839.0</v>
      </c>
      <c r="C672" s="49">
        <v>0.4583333333333333</v>
      </c>
      <c r="D672" s="48" t="s">
        <v>2547</v>
      </c>
      <c r="E672" s="50">
        <v>21341.0</v>
      </c>
      <c r="F672" s="51">
        <v>44582.0</v>
      </c>
      <c r="G672" s="48" t="s">
        <v>5</v>
      </c>
      <c r="H672" s="48" t="s">
        <v>6218</v>
      </c>
      <c r="I672" s="48" t="s">
        <v>6222</v>
      </c>
      <c r="J672" s="48" t="s">
        <v>6158</v>
      </c>
      <c r="K672" s="52" t="b">
        <f>IFS($B672=FALSE,"", countif(VLOOKUP($A672,UASCAN!D:D,1,FALSE),$A672)&gt;=1,TRUE,countif(VLOOKUP($B672,UASCAN!D:D,1,FALSE),$B672)=0,FALSE)</f>
        <v>0</v>
      </c>
      <c r="L672" s="52" t="b">
        <f>IFS(B672=FALSE,"", countif(VLOOKUP($B672,'01212022'!B:B,1,FALSE),$B672)&gt;=1,TRUE,countif(VLOOKUP($B672,'01212022'!B:B,1,FALSE),$B672)=0,FALSE)</f>
        <v>0</v>
      </c>
      <c r="M672" s="52" t="str">
        <f>ifs(AND($K672=FALSE,$L672=TRUE),"",AND($K672=FALSE,L672=FALSE),"",AND($K672=TRUE,$L672=TRUE),VLOOKUP($A672,UASCAN!D:F,3,0), AND($K672=TRUE,$L672=FALSE),VLOOKUP($A672,UASCAN!D:F,3,0))</f>
        <v/>
      </c>
      <c r="N672" s="53" t="str">
        <f t="shared" si="2"/>
        <v> </v>
      </c>
      <c r="O672" s="53" t="str">
        <f t="shared" si="3"/>
        <v/>
      </c>
    </row>
    <row r="673">
      <c r="A673" s="47" t="str">
        <f t="shared" si="1"/>
        <v>1572944582</v>
      </c>
      <c r="B673" s="48">
        <v>15729.0</v>
      </c>
      <c r="C673" s="49">
        <v>0.46875</v>
      </c>
      <c r="D673" s="48" t="s">
        <v>4096</v>
      </c>
      <c r="E673" s="50">
        <v>27327.0</v>
      </c>
      <c r="F673" s="51">
        <v>44582.0</v>
      </c>
      <c r="G673" s="48" t="s">
        <v>6215</v>
      </c>
      <c r="H673" s="48" t="s">
        <v>6218</v>
      </c>
      <c r="I673" s="48" t="s">
        <v>6222</v>
      </c>
      <c r="J673" s="48" t="s">
        <v>6117</v>
      </c>
      <c r="K673" s="52" t="b">
        <f>IFS($B673=FALSE,"", countif(VLOOKUP($A673,UASCAN!D:D,1,FALSE),$A673)&gt;=1,TRUE,countif(VLOOKUP($B673,UASCAN!D:D,1,FALSE),$B673)=0,FALSE)</f>
        <v>0</v>
      </c>
      <c r="L673" s="52" t="b">
        <f>IFS(B673=FALSE,"", countif(VLOOKUP($B673,'01212022'!B:B,1,FALSE),$B673)&gt;=1,TRUE,countif(VLOOKUP($B673,'01212022'!B:B,1,FALSE),$B673)=0,FALSE)</f>
        <v>0</v>
      </c>
      <c r="M673" s="52" t="str">
        <f>ifs(AND($K673=FALSE,$L673=TRUE),"",AND($K673=FALSE,L673=FALSE),"",AND($K673=TRUE,$L673=TRUE),VLOOKUP($A673,UASCAN!D:F,3,0), AND($K673=TRUE,$L673=FALSE),VLOOKUP($A673,UASCAN!D:F,3,0))</f>
        <v/>
      </c>
      <c r="N673" s="53" t="str">
        <f t="shared" si="2"/>
        <v> </v>
      </c>
      <c r="O673" s="53" t="str">
        <f t="shared" si="3"/>
        <v/>
      </c>
    </row>
    <row r="674">
      <c r="A674" s="47" t="str">
        <f t="shared" si="1"/>
        <v>958244582</v>
      </c>
      <c r="B674" s="48">
        <v>9582.0</v>
      </c>
      <c r="C674" s="49">
        <v>0.5416666666666666</v>
      </c>
      <c r="D674" s="48" t="s">
        <v>222</v>
      </c>
      <c r="E674" s="50">
        <v>21147.0</v>
      </c>
      <c r="F674" s="51">
        <v>44582.0</v>
      </c>
      <c r="G674" s="48" t="s">
        <v>6220</v>
      </c>
      <c r="H674" s="48" t="s">
        <v>6218</v>
      </c>
      <c r="I674" s="48" t="s">
        <v>6222</v>
      </c>
      <c r="J674" s="48" t="s">
        <v>6139</v>
      </c>
      <c r="K674" s="52" t="b">
        <f>IFS($B674=FALSE,"", countif(VLOOKUP($A674,UASCAN!D:D,1,FALSE),$A674)&gt;=1,TRUE,countif(VLOOKUP($B674,UASCAN!D:D,1,FALSE),$B674)=0,FALSE)</f>
        <v>0</v>
      </c>
      <c r="L674" s="52" t="b">
        <f>IFS(B674=FALSE,"", countif(VLOOKUP($B674,'01212022'!B:B,1,FALSE),$B674)&gt;=1,TRUE,countif(VLOOKUP($B674,'01212022'!B:B,1,FALSE),$B674)=0,FALSE)</f>
        <v>0</v>
      </c>
      <c r="M674" s="52" t="str">
        <f>ifs(AND($K674=FALSE,$L674=TRUE),"",AND($K674=FALSE,L674=FALSE),"",AND($K674=TRUE,$L674=TRUE),VLOOKUP($A674,UASCAN!D:F,3,0), AND($K674=TRUE,$L674=FALSE),VLOOKUP($A674,UASCAN!D:F,3,0))</f>
        <v/>
      </c>
      <c r="N674" s="53" t="str">
        <f t="shared" si="2"/>
        <v> </v>
      </c>
      <c r="O674" s="53" t="str">
        <f t="shared" si="3"/>
        <v/>
      </c>
    </row>
    <row r="675">
      <c r="A675" s="47" t="str">
        <f t="shared" si="1"/>
        <v>1116644582</v>
      </c>
      <c r="B675" s="48">
        <v>11166.0</v>
      </c>
      <c r="C675" s="49">
        <v>0.5625</v>
      </c>
      <c r="D675" s="48" t="s">
        <v>844</v>
      </c>
      <c r="E675" s="50">
        <v>23371.0</v>
      </c>
      <c r="F675" s="51">
        <v>44582.0</v>
      </c>
      <c r="G675" s="48" t="s">
        <v>5</v>
      </c>
      <c r="H675" s="48" t="s">
        <v>6218</v>
      </c>
      <c r="I675" s="48" t="s">
        <v>6222</v>
      </c>
      <c r="J675" s="48" t="s">
        <v>6148</v>
      </c>
      <c r="K675" s="52" t="b">
        <f>IFS($B675=FALSE,"", countif(VLOOKUP($A675,UASCAN!D:D,1,FALSE),$A675)&gt;=1,TRUE,countif(VLOOKUP($B675,UASCAN!D:D,1,FALSE),$B675)=0,FALSE)</f>
        <v>0</v>
      </c>
      <c r="L675" s="52" t="b">
        <f>IFS(B675=FALSE,"", countif(VLOOKUP($B675,'01212022'!B:B,1,FALSE),$B675)&gt;=1,TRUE,countif(VLOOKUP($B675,'01212022'!B:B,1,FALSE),$B675)=0,FALSE)</f>
        <v>0</v>
      </c>
      <c r="M675" s="52" t="str">
        <f>ifs(AND($K675=FALSE,$L675=TRUE),"",AND($K675=FALSE,L675=FALSE),"",AND($K675=TRUE,$L675=TRUE),VLOOKUP($A675,UASCAN!D:F,3,0), AND($K675=TRUE,$L675=FALSE),VLOOKUP($A675,UASCAN!D:F,3,0))</f>
        <v/>
      </c>
      <c r="N675" s="53" t="str">
        <f t="shared" si="2"/>
        <v> </v>
      </c>
      <c r="O675" s="53" t="str">
        <f t="shared" si="3"/>
        <v/>
      </c>
    </row>
    <row r="676">
      <c r="A676" s="47" t="str">
        <f t="shared" si="1"/>
        <v>1647544582</v>
      </c>
      <c r="B676" s="48">
        <v>16475.0</v>
      </c>
      <c r="C676" s="49">
        <v>0.5625</v>
      </c>
      <c r="D676" s="48" t="s">
        <v>4718</v>
      </c>
      <c r="E676" s="50">
        <v>27121.0</v>
      </c>
      <c r="F676" s="51">
        <v>44582.0</v>
      </c>
      <c r="G676" s="48" t="s">
        <v>5</v>
      </c>
      <c r="H676" s="48" t="s">
        <v>6218</v>
      </c>
      <c r="I676" s="48" t="s">
        <v>6222</v>
      </c>
      <c r="J676" s="48" t="s">
        <v>6099</v>
      </c>
      <c r="K676" s="52" t="b">
        <f>IFS($B676=FALSE,"", countif(VLOOKUP($A676,UASCAN!D:D,1,FALSE),$A676)&gt;=1,TRUE,countif(VLOOKUP($B676,UASCAN!D:D,1,FALSE),$B676)=0,FALSE)</f>
        <v>0</v>
      </c>
      <c r="L676" s="52" t="b">
        <f>IFS(B676=FALSE,"", countif(VLOOKUP($B676,'01212022'!B:B,1,FALSE),$B676)&gt;=1,TRUE,countif(VLOOKUP($B676,'01212022'!B:B,1,FALSE),$B676)=0,FALSE)</f>
        <v>0</v>
      </c>
      <c r="M676" s="52" t="str">
        <f>ifs(AND($K676=FALSE,$L676=TRUE),"",AND($K676=FALSE,L676=FALSE),"",AND($K676=TRUE,$L676=TRUE),VLOOKUP($A676,UASCAN!D:F,3,0), AND($K676=TRUE,$L676=FALSE),VLOOKUP($A676,UASCAN!D:F,3,0))</f>
        <v/>
      </c>
      <c r="N676" s="53" t="str">
        <f t="shared" si="2"/>
        <v> </v>
      </c>
      <c r="O676" s="53" t="str">
        <f t="shared" si="3"/>
        <v/>
      </c>
    </row>
    <row r="677">
      <c r="A677" s="47" t="str">
        <f t="shared" si="1"/>
        <v>1285844582</v>
      </c>
      <c r="B677" s="48">
        <v>12858.0</v>
      </c>
      <c r="C677" s="49">
        <v>0.5833333333333334</v>
      </c>
      <c r="D677" s="48" t="s">
        <v>1769</v>
      </c>
      <c r="E677" s="50">
        <v>20887.0</v>
      </c>
      <c r="F677" s="51">
        <v>44582.0</v>
      </c>
      <c r="G677" s="48" t="s">
        <v>5</v>
      </c>
      <c r="H677" s="48" t="s">
        <v>6218</v>
      </c>
      <c r="I677" s="48" t="s">
        <v>6222</v>
      </c>
      <c r="J677" s="48" t="s">
        <v>6091</v>
      </c>
      <c r="K677" s="52" t="b">
        <f>IFS($B677=FALSE,"", countif(VLOOKUP($A677,UASCAN!D:D,1,FALSE),$A677)&gt;=1,TRUE,countif(VLOOKUP($B677,UASCAN!D:D,1,FALSE),$B677)=0,FALSE)</f>
        <v>0</v>
      </c>
      <c r="L677" s="52" t="b">
        <f>IFS(B677=FALSE,"", countif(VLOOKUP($B677,'01212022'!B:B,1,FALSE),$B677)&gt;=1,TRUE,countif(VLOOKUP($B677,'01212022'!B:B,1,FALSE),$B677)=0,FALSE)</f>
        <v>0</v>
      </c>
      <c r="M677" s="52" t="str">
        <f>ifs(AND($K677=FALSE,$L677=TRUE),"",AND($K677=FALSE,L677=FALSE),"",AND($K677=TRUE,$L677=TRUE),VLOOKUP($A677,UASCAN!D:F,3,0), AND($K677=TRUE,$L677=FALSE),VLOOKUP($A677,UASCAN!D:F,3,0))</f>
        <v/>
      </c>
      <c r="N677" s="53" t="str">
        <f t="shared" si="2"/>
        <v> </v>
      </c>
      <c r="O677" s="53" t="str">
        <f t="shared" si="3"/>
        <v/>
      </c>
    </row>
    <row r="678">
      <c r="A678" s="47" t="str">
        <f t="shared" si="1"/>
        <v>1532844582</v>
      </c>
      <c r="B678" s="48">
        <v>15328.0</v>
      </c>
      <c r="C678" s="49">
        <v>0.5833333333333334</v>
      </c>
      <c r="D678" s="48" t="s">
        <v>3743</v>
      </c>
      <c r="E678" s="50">
        <v>26212.0</v>
      </c>
      <c r="F678" s="51">
        <v>44582.0</v>
      </c>
      <c r="G678" s="48" t="s">
        <v>5</v>
      </c>
      <c r="H678" s="48" t="s">
        <v>6218</v>
      </c>
      <c r="I678" s="48" t="s">
        <v>6222</v>
      </c>
      <c r="J678" s="48" t="s">
        <v>6091</v>
      </c>
      <c r="K678" s="52" t="b">
        <f>IFS($B678=FALSE,"", countif(VLOOKUP($A678,UASCAN!D:D,1,FALSE),$A678)&gt;=1,TRUE,countif(VLOOKUP($B678,UASCAN!D:D,1,FALSE),$B678)=0,FALSE)</f>
        <v>0</v>
      </c>
      <c r="L678" s="52" t="b">
        <f>IFS(B678=FALSE,"", countif(VLOOKUP($B678,'01212022'!B:B,1,FALSE),$B678)&gt;=1,TRUE,countif(VLOOKUP($B678,'01212022'!B:B,1,FALSE),$B678)=0,FALSE)</f>
        <v>0</v>
      </c>
      <c r="M678" s="52" t="str">
        <f>ifs(AND($K678=FALSE,$L678=TRUE),"",AND($K678=FALSE,L678=FALSE),"",AND($K678=TRUE,$L678=TRUE),VLOOKUP($A678,UASCAN!D:F,3,0), AND($K678=TRUE,$L678=FALSE),VLOOKUP($A678,UASCAN!D:F,3,0))</f>
        <v/>
      </c>
      <c r="N678" s="53" t="str">
        <f t="shared" si="2"/>
        <v> </v>
      </c>
      <c r="O678" s="53" t="str">
        <f t="shared" si="3"/>
        <v/>
      </c>
    </row>
    <row r="679">
      <c r="A679" s="47" t="str">
        <f t="shared" si="1"/>
        <v>1091444582</v>
      </c>
      <c r="B679" s="48">
        <v>10914.0</v>
      </c>
      <c r="C679" s="49">
        <v>0.6041666666666666</v>
      </c>
      <c r="D679" s="48" t="s">
        <v>726</v>
      </c>
      <c r="E679" s="50">
        <v>30874.0</v>
      </c>
      <c r="F679" s="51">
        <v>44582.0</v>
      </c>
      <c r="G679" s="48" t="s">
        <v>5</v>
      </c>
      <c r="H679" s="48" t="s">
        <v>6218</v>
      </c>
      <c r="I679" s="48" t="s">
        <v>6222</v>
      </c>
      <c r="J679" s="48" t="s">
        <v>6126</v>
      </c>
      <c r="K679" s="52" t="b">
        <f>IFS($B679=FALSE,"", countif(VLOOKUP($A679,UASCAN!D:D,1,FALSE),$A679)&gt;=1,TRUE,countif(VLOOKUP($B679,UASCAN!D:D,1,FALSE),$B679)=0,FALSE)</f>
        <v>0</v>
      </c>
      <c r="L679" s="52" t="b">
        <f>IFS(B679=FALSE,"", countif(VLOOKUP($B679,'01212022'!B:B,1,FALSE),$B679)&gt;=1,TRUE,countif(VLOOKUP($B679,'01212022'!B:B,1,FALSE),$B679)=0,FALSE)</f>
        <v>0</v>
      </c>
      <c r="M679" s="52" t="str">
        <f>ifs(AND($K679=FALSE,$L679=TRUE),"",AND($K679=FALSE,L679=FALSE),"",AND($K679=TRUE,$L679=TRUE),VLOOKUP($A679,UASCAN!D:F,3,0), AND($K679=TRUE,$L679=FALSE),VLOOKUP($A679,UASCAN!D:F,3,0))</f>
        <v/>
      </c>
      <c r="N679" s="53" t="str">
        <f t="shared" si="2"/>
        <v> </v>
      </c>
      <c r="O679" s="53" t="str">
        <f t="shared" si="3"/>
        <v/>
      </c>
    </row>
    <row r="680">
      <c r="A680" s="47" t="str">
        <f t="shared" si="1"/>
        <v>1353644582</v>
      </c>
      <c r="B680" s="48">
        <v>13536.0</v>
      </c>
      <c r="C680" s="49">
        <v>0.6041666666666666</v>
      </c>
      <c r="D680" s="48" t="s">
        <v>2308</v>
      </c>
      <c r="E680" s="50">
        <v>24208.0</v>
      </c>
      <c r="F680" s="51">
        <v>44582.0</v>
      </c>
      <c r="G680" s="48" t="s">
        <v>5</v>
      </c>
      <c r="H680" s="48" t="s">
        <v>6218</v>
      </c>
      <c r="I680" s="48" t="s">
        <v>6222</v>
      </c>
      <c r="J680" s="48" t="s">
        <v>6199</v>
      </c>
      <c r="K680" s="52" t="b">
        <f>IFS($B680=FALSE,"", countif(VLOOKUP($A680,UASCAN!D:D,1,FALSE),$A680)&gt;=1,TRUE,countif(VLOOKUP($B680,UASCAN!D:D,1,FALSE),$B680)=0,FALSE)</f>
        <v>0</v>
      </c>
      <c r="L680" s="52" t="b">
        <f>IFS(B680=FALSE,"", countif(VLOOKUP($B680,'01212022'!B:B,1,FALSE),$B680)&gt;=1,TRUE,countif(VLOOKUP($B680,'01212022'!B:B,1,FALSE),$B680)=0,FALSE)</f>
        <v>0</v>
      </c>
      <c r="M680" s="52" t="str">
        <f>ifs(AND($K680=FALSE,$L680=TRUE),"",AND($K680=FALSE,L680=FALSE),"",AND($K680=TRUE,$L680=TRUE),VLOOKUP($A680,UASCAN!D:F,3,0), AND($K680=TRUE,$L680=FALSE),VLOOKUP($A680,UASCAN!D:F,3,0))</f>
        <v/>
      </c>
      <c r="N680" s="53" t="str">
        <f t="shared" si="2"/>
        <v> </v>
      </c>
      <c r="O680" s="53" t="str">
        <f t="shared" si="3"/>
        <v/>
      </c>
    </row>
    <row r="681">
      <c r="A681" s="47" t="str">
        <f t="shared" si="1"/>
        <v>1520244582</v>
      </c>
      <c r="B681" s="48">
        <v>15202.0</v>
      </c>
      <c r="C681" s="49">
        <v>0.625</v>
      </c>
      <c r="D681" s="48" t="s">
        <v>3641</v>
      </c>
      <c r="E681" s="50">
        <v>28284.0</v>
      </c>
      <c r="F681" s="51">
        <v>44582.0</v>
      </c>
      <c r="G681" s="48" t="s">
        <v>5</v>
      </c>
      <c r="H681" s="48" t="s">
        <v>6218</v>
      </c>
      <c r="I681" s="48" t="s">
        <v>6222</v>
      </c>
      <c r="J681" s="48" t="s">
        <v>6082</v>
      </c>
      <c r="K681" s="52" t="b">
        <f>IFS($B681=FALSE,"", countif(VLOOKUP($A681,UASCAN!D:D,1,FALSE),$A681)&gt;=1,TRUE,countif(VLOOKUP($B681,UASCAN!D:D,1,FALSE),$B681)=0,FALSE)</f>
        <v>0</v>
      </c>
      <c r="L681" s="52" t="b">
        <f>IFS(B681=FALSE,"", countif(VLOOKUP($B681,'01212022'!B:B,1,FALSE),$B681)&gt;=1,TRUE,countif(VLOOKUP($B681,'01212022'!B:B,1,FALSE),$B681)=0,FALSE)</f>
        <v>0</v>
      </c>
      <c r="M681" s="52" t="str">
        <f>ifs(AND($K681=FALSE,$L681=TRUE),"",AND($K681=FALSE,L681=FALSE),"",AND($K681=TRUE,$L681=TRUE),VLOOKUP($A681,UASCAN!D:F,3,0), AND($K681=TRUE,$L681=FALSE),VLOOKUP($A681,UASCAN!D:F,3,0))</f>
        <v/>
      </c>
      <c r="N681" s="53" t="str">
        <f t="shared" si="2"/>
        <v> </v>
      </c>
      <c r="O681" s="53" t="str">
        <f t="shared" si="3"/>
        <v/>
      </c>
    </row>
    <row r="682">
      <c r="A682" s="47" t="str">
        <f t="shared" si="1"/>
        <v>1464444582</v>
      </c>
      <c r="B682" s="48">
        <v>14644.0</v>
      </c>
      <c r="C682" s="49">
        <v>0.6354166666666666</v>
      </c>
      <c r="D682" s="48" t="s">
        <v>3179</v>
      </c>
      <c r="E682" s="50">
        <v>25849.0</v>
      </c>
      <c r="F682" s="51">
        <v>44582.0</v>
      </c>
      <c r="G682" s="48" t="s">
        <v>6220</v>
      </c>
      <c r="H682" s="48" t="s">
        <v>6218</v>
      </c>
      <c r="I682" s="48" t="s">
        <v>6222</v>
      </c>
      <c r="J682" s="48" t="s">
        <v>6139</v>
      </c>
      <c r="K682" s="52" t="b">
        <f>IFS($B682=FALSE,"", countif(VLOOKUP($A682,UASCAN!D:D,1,FALSE),$A682)&gt;=1,TRUE,countif(VLOOKUP($B682,UASCAN!D:D,1,FALSE),$B682)=0,FALSE)</f>
        <v>0</v>
      </c>
      <c r="L682" s="52" t="b">
        <f>IFS(B682=FALSE,"", countif(VLOOKUP($B682,'01212022'!B:B,1,FALSE),$B682)&gt;=1,TRUE,countif(VLOOKUP($B682,'01212022'!B:B,1,FALSE),$B682)=0,FALSE)</f>
        <v>0</v>
      </c>
      <c r="M682" s="52" t="str">
        <f>ifs(AND($K682=FALSE,$L682=TRUE),"",AND($K682=FALSE,L682=FALSE),"",AND($K682=TRUE,$L682=TRUE),VLOOKUP($A682,UASCAN!D:F,3,0), AND($K682=TRUE,$L682=FALSE),VLOOKUP($A682,UASCAN!D:F,3,0))</f>
        <v/>
      </c>
      <c r="N682" s="53" t="str">
        <f t="shared" si="2"/>
        <v> </v>
      </c>
      <c r="O682" s="53" t="str">
        <f t="shared" si="3"/>
        <v/>
      </c>
    </row>
    <row r="683">
      <c r="A683" s="47" t="str">
        <f t="shared" si="1"/>
        <v>1037644582</v>
      </c>
      <c r="B683" s="48">
        <v>10376.0</v>
      </c>
      <c r="C683" s="49">
        <v>0.6458333333333334</v>
      </c>
      <c r="D683" s="48" t="s">
        <v>521</v>
      </c>
      <c r="E683" s="50">
        <v>22381.0</v>
      </c>
      <c r="F683" s="51">
        <v>44582.0</v>
      </c>
      <c r="G683" s="48" t="s">
        <v>6215</v>
      </c>
      <c r="H683" s="48" t="s">
        <v>6218</v>
      </c>
      <c r="I683" s="48" t="s">
        <v>6222</v>
      </c>
      <c r="J683" s="48" t="s">
        <v>6103</v>
      </c>
      <c r="K683" s="52" t="b">
        <f>IFS($B683=FALSE,"", countif(VLOOKUP($A683,UASCAN!D:D,1,FALSE),$A683)&gt;=1,TRUE,countif(VLOOKUP($B683,UASCAN!D:D,1,FALSE),$B683)=0,FALSE)</f>
        <v>0</v>
      </c>
      <c r="L683" s="52" t="b">
        <f>IFS(B683=FALSE,"", countif(VLOOKUP($B683,'01212022'!B:B,1,FALSE),$B683)&gt;=1,TRUE,countif(VLOOKUP($B683,'01212022'!B:B,1,FALSE),$B683)=0,FALSE)</f>
        <v>0</v>
      </c>
      <c r="M683" s="52" t="str">
        <f>ifs(AND($K683=FALSE,$L683=TRUE),"",AND($K683=FALSE,L683=FALSE),"",AND($K683=TRUE,$L683=TRUE),VLOOKUP($A683,UASCAN!D:F,3,0), AND($K683=TRUE,$L683=FALSE),VLOOKUP($A683,UASCAN!D:F,3,0))</f>
        <v/>
      </c>
      <c r="N683" s="53" t="str">
        <f t="shared" si="2"/>
        <v> </v>
      </c>
      <c r="O683" s="53" t="str">
        <f t="shared" si="3"/>
        <v/>
      </c>
    </row>
  </sheetData>
  <conditionalFormatting sqref="K2:O683">
    <cfRule type="notContainsText" dxfId="3" priority="1" operator="notContains" text="avocado">
      <formula>ISERROR(SEARCH(("avocado"),(K2)))</formula>
    </cfRule>
  </conditionalFormatting>
  <conditionalFormatting sqref="A2:O683">
    <cfRule type="expression" dxfId="4" priority="2">
      <formula>$N2="Repeat"</formula>
    </cfRule>
  </conditionalFormatting>
  <conditionalFormatting sqref="B2:K683">
    <cfRule type="expression" dxfId="0" priority="3">
      <formula>$K2=true</formula>
    </cfRule>
  </conditionalFormatting>
  <conditionalFormatting sqref="B2:M683">
    <cfRule type="expression" dxfId="5" priority="4">
      <formula>$L2=FALSE</formula>
    </cfRule>
  </conditionalFormatting>
  <conditionalFormatting sqref="B2:O683">
    <cfRule type="expression" dxfId="6" priority="5">
      <formula>$J2="AMBETTER - SUPERIOR"</formula>
    </cfRule>
  </conditionalFormatting>
  <conditionalFormatting sqref="B2:O683">
    <cfRule type="expression" dxfId="6" priority="6">
      <formula>$J2="SUPERIOR HEALTH PLAN"</formula>
    </cfRule>
  </conditionalFormatting>
  <conditionalFormatting sqref="B2:O683">
    <cfRule type="expression" dxfId="7" priority="7">
      <formula>$G2="OUT-UAQPre"</formula>
    </cfRule>
  </conditionalFormatting>
  <conditionalFormatting sqref="B2:O683">
    <cfRule type="expression" dxfId="7" priority="8">
      <formula>$G2="OUT-UAQ"</formula>
    </cfRule>
  </conditionalFormatting>
  <conditionalFormatting sqref="B2:O683">
    <cfRule type="expression" dxfId="8" priority="9">
      <formula>$G2="HUMANA CHOICE CARE"</formula>
    </cfRule>
  </conditionalFormatting>
  <conditionalFormatting sqref="B2:O683">
    <cfRule type="expression" dxfId="8" priority="10">
      <formula>$G2="HUMANA OPEN ACCESS PLAN"</formula>
    </cfRule>
  </conditionalFormatting>
  <conditionalFormatting sqref="B2:O683">
    <cfRule type="expression" dxfId="9" priority="11">
      <formula>$G2="OUTSA-SaQu"</formula>
    </cfRule>
  </conditionalFormatting>
  <conditionalFormatting sqref="B2:O683">
    <cfRule type="expression" dxfId="7" priority="12">
      <formula>$G2="OUTUA-QNEW"</formula>
    </cfRule>
  </conditionalFormatting>
  <conditionalFormatting sqref="B2:O683">
    <cfRule type="expression" dxfId="7" priority="13">
      <formula>$G2="OUTUA-PrRW"</formula>
    </cfRule>
  </conditionalFormatting>
  <conditionalFormatting sqref="B2:O683">
    <cfRule type="expression" dxfId="7" priority="14">
      <formula>$G2="OUTUA-NWRW"</formula>
    </cfRule>
  </conditionalFormatting>
  <conditionalFormatting sqref="B2:O683">
    <cfRule type="expression" dxfId="9" priority="15">
      <formula>$G2="OUTSA-RW"</formula>
    </cfRule>
  </conditionalFormatting>
  <conditionalFormatting sqref="B2:O683">
    <cfRule type="expression" dxfId="7" priority="16">
      <formula>$G2="OUTUA-FURW"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  <pageSetUpPr fitToPage="1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75"/>
  <cols>
    <col customWidth="1" min="1" max="1" width="8.0"/>
    <col customWidth="1" min="2" max="2" width="5.0"/>
    <col customWidth="1" min="3" max="3" width="6.43"/>
    <col customWidth="1" min="4" max="4" width="26.57"/>
    <col customWidth="1" min="5" max="5" width="8.0"/>
    <col customWidth="1" min="6" max="6" width="9.71"/>
    <col customWidth="1" min="7" max="7" width="8.43"/>
    <col customWidth="1" min="8" max="8" width="8.29"/>
    <col customWidth="1" min="9" max="9" width="34.0"/>
    <col customWidth="1" min="10" max="10" width="7.86"/>
    <col customWidth="1" min="11" max="11" width="6.57"/>
    <col customWidth="1" min="12" max="12" width="7.71"/>
    <col customWidth="1" min="13" max="13" width="26.43"/>
    <col customWidth="1" hidden="1" min="14" max="14" width="26.29"/>
  </cols>
  <sheetData>
    <row r="1">
      <c r="A1" s="54" t="s">
        <v>6236</v>
      </c>
      <c r="B1" s="55"/>
      <c r="C1" s="56" t="s">
        <v>6237</v>
      </c>
      <c r="D1" s="57" t="s">
        <v>24</v>
      </c>
      <c r="E1" s="58" t="s">
        <v>25</v>
      </c>
      <c r="F1" s="59" t="s">
        <v>21</v>
      </c>
      <c r="G1" s="60" t="s">
        <v>6077</v>
      </c>
      <c r="H1" s="61" t="s">
        <v>2</v>
      </c>
      <c r="I1" s="62" t="s">
        <v>6135</v>
      </c>
      <c r="J1" s="63" t="s">
        <v>6238</v>
      </c>
      <c r="K1" s="63" t="s">
        <v>6239</v>
      </c>
      <c r="L1" s="64" t="s">
        <v>6240</v>
      </c>
      <c r="M1" s="65" t="s">
        <v>7</v>
      </c>
      <c r="N1" s="66"/>
    </row>
    <row r="2">
      <c r="A2" s="67" t="s">
        <v>15</v>
      </c>
      <c r="B2" s="68">
        <f t="shared" ref="B2:B5" si="1">COUNTIF(H:H,A2)</f>
        <v>5</v>
      </c>
      <c r="C2" s="69">
        <v>16745.0</v>
      </c>
      <c r="D2" s="70" t="str">
        <f>IFS(C2="","",C2,VLOOKUP(C2,'PATIENT DATA (072721)'!A:C,2,0))</f>
        <v>DURAN, SANTIAGO</v>
      </c>
      <c r="E2" s="71">
        <f>IFS(C2="","",C2,VLOOKUP(C2,'PATIENT DATA (072721)'!A:C,3,0))</f>
        <v>34760</v>
      </c>
      <c r="F2" s="72">
        <v>44539.0</v>
      </c>
      <c r="G2" s="73">
        <v>0.3854166666666667</v>
      </c>
      <c r="H2" s="74" t="s">
        <v>13</v>
      </c>
      <c r="I2" s="75" t="s">
        <v>6241</v>
      </c>
      <c r="J2" s="76"/>
      <c r="K2" s="74" t="s">
        <v>6242</v>
      </c>
      <c r="L2" s="76"/>
      <c r="M2" s="77" t="s">
        <v>6243</v>
      </c>
      <c r="N2" s="78"/>
    </row>
    <row r="3">
      <c r="A3" s="79" t="s">
        <v>13</v>
      </c>
      <c r="B3" s="68">
        <f t="shared" si="1"/>
        <v>13</v>
      </c>
      <c r="C3" s="80">
        <v>17691.0</v>
      </c>
      <c r="D3" s="81" t="str">
        <f>IFS(C3="","",C3,VLOOKUP(C3,'PATIENT DATA (072721)'!A:C,2,0))</f>
        <v>BITTICKS, CAROLYN</v>
      </c>
      <c r="E3" s="82">
        <f>IFS(C3="","",C3,VLOOKUP(C3,'PATIENT DATA (072721)'!A:C,3,0))</f>
        <v>15625</v>
      </c>
      <c r="F3" s="83">
        <v>44539.0</v>
      </c>
      <c r="G3" s="84">
        <v>0.5625</v>
      </c>
      <c r="H3" s="85" t="s">
        <v>12</v>
      </c>
      <c r="I3" s="86" t="s">
        <v>6137</v>
      </c>
      <c r="J3" s="87" t="s">
        <v>6242</v>
      </c>
      <c r="K3" s="88"/>
      <c r="L3" s="88"/>
      <c r="M3" s="89" t="s">
        <v>6243</v>
      </c>
      <c r="N3" s="78"/>
    </row>
    <row r="4">
      <c r="A4" s="79" t="s">
        <v>12</v>
      </c>
      <c r="B4" s="68">
        <f t="shared" si="1"/>
        <v>12</v>
      </c>
      <c r="C4" s="69">
        <v>15914.0</v>
      </c>
      <c r="D4" s="70" t="str">
        <f>IFS(C4="","",C4,VLOOKUP(C4,'PATIENT DATA (072721)'!A:C,2,0))</f>
        <v>REVELES, MARY H</v>
      </c>
      <c r="E4" s="71">
        <f>IFS(C4="","",C4,VLOOKUP(C4,'PATIENT DATA (072721)'!A:C,3,0))</f>
        <v>21149</v>
      </c>
      <c r="F4" s="72">
        <v>44539.0</v>
      </c>
      <c r="G4" s="73">
        <v>0.6041666666666666</v>
      </c>
      <c r="H4" s="74" t="s">
        <v>14</v>
      </c>
      <c r="I4" s="75" t="s">
        <v>6091</v>
      </c>
      <c r="J4" s="76"/>
      <c r="K4" s="74" t="s">
        <v>6242</v>
      </c>
      <c r="L4" s="74" t="s">
        <v>6242</v>
      </c>
      <c r="M4" s="90" t="s">
        <v>6243</v>
      </c>
      <c r="N4" s="78"/>
    </row>
    <row r="5">
      <c r="A5" s="79" t="s">
        <v>14</v>
      </c>
      <c r="B5" s="68">
        <f t="shared" si="1"/>
        <v>15</v>
      </c>
      <c r="C5" s="80">
        <v>17697.0</v>
      </c>
      <c r="D5" s="81" t="str">
        <f>IFS(C5="","",C5,VLOOKUP(C5,'PATIENT DATA (072721)'!A:C,2,0))</f>
        <v>VIEL, HOLGER P</v>
      </c>
      <c r="E5" s="82">
        <f>IFS(C5="","",C5,VLOOKUP(C5,'PATIENT DATA (072721)'!A:C,3,0))</f>
        <v>24305</v>
      </c>
      <c r="F5" s="83">
        <v>44543.0</v>
      </c>
      <c r="G5" s="84">
        <v>0.46875</v>
      </c>
      <c r="H5" s="85" t="s">
        <v>13</v>
      </c>
      <c r="I5" s="91" t="s">
        <v>6117</v>
      </c>
      <c r="J5" s="87" t="s">
        <v>6242</v>
      </c>
      <c r="K5" s="88"/>
      <c r="L5" s="88"/>
      <c r="M5" s="89" t="s">
        <v>6244</v>
      </c>
      <c r="N5" s="78"/>
    </row>
    <row r="6">
      <c r="A6" s="92"/>
      <c r="B6" s="93"/>
      <c r="C6" s="69">
        <v>9376.0</v>
      </c>
      <c r="D6" s="70" t="str">
        <f>IFS(C6="","",C6,VLOOKUP(C6,'PATIENT DATA (072721)'!A:C,2,0))</f>
        <v>HERNANDEZ, ALICIA</v>
      </c>
      <c r="E6" s="71">
        <f>IFS(C6="","",C6,VLOOKUP(C6,'PATIENT DATA (072721)'!A:C,3,0))</f>
        <v>18198</v>
      </c>
      <c r="F6" s="72">
        <v>44543.0</v>
      </c>
      <c r="G6" s="73">
        <v>0.625</v>
      </c>
      <c r="H6" s="74" t="s">
        <v>15</v>
      </c>
      <c r="I6" s="94"/>
      <c r="J6" s="76"/>
      <c r="K6" s="76"/>
      <c r="L6" s="76"/>
      <c r="M6" s="90" t="s">
        <v>6245</v>
      </c>
      <c r="N6" s="78"/>
    </row>
    <row r="7">
      <c r="A7" s="95" t="s">
        <v>6246</v>
      </c>
      <c r="B7" s="96">
        <f>AVERAGE(B2:B5)</f>
        <v>11.25</v>
      </c>
      <c r="C7" s="80">
        <v>9376.0</v>
      </c>
      <c r="D7" s="81" t="str">
        <f>IFS(C7="","",C7,VLOOKUP(C7,'PATIENT DATA (072721)'!A:C,2,0))</f>
        <v>HERNANDEZ, ALICIA</v>
      </c>
      <c r="E7" s="82">
        <f>IFS(C7="","",C7,VLOOKUP(C7,'PATIENT DATA (072721)'!A:C,3,0))</f>
        <v>18198</v>
      </c>
      <c r="F7" s="83">
        <v>44543.0</v>
      </c>
      <c r="G7" s="84">
        <v>0.625</v>
      </c>
      <c r="H7" s="85" t="s">
        <v>15</v>
      </c>
      <c r="I7" s="97"/>
      <c r="J7" s="88"/>
      <c r="K7" s="88"/>
      <c r="L7" s="88"/>
      <c r="M7" s="89" t="s">
        <v>6245</v>
      </c>
      <c r="N7" s="78"/>
    </row>
    <row r="8">
      <c r="A8" s="98"/>
      <c r="B8" s="99"/>
      <c r="C8" s="69">
        <v>9950.0</v>
      </c>
      <c r="D8" s="70" t="str">
        <f>IFS(C8="","",C8,VLOOKUP(C8,'PATIENT DATA (072721)'!A:C,2,0))</f>
        <v>GONZALEZ, RENE</v>
      </c>
      <c r="E8" s="71">
        <f>IFS(C8="","",C8,VLOOKUP(C8,'PATIENT DATA (072721)'!A:C,3,0))</f>
        <v>31754</v>
      </c>
      <c r="F8" s="72">
        <v>44544.0</v>
      </c>
      <c r="G8" s="73" t="s">
        <v>6247</v>
      </c>
      <c r="H8" s="74" t="s">
        <v>15</v>
      </c>
      <c r="I8" s="100" t="s">
        <v>6199</v>
      </c>
      <c r="J8" s="76"/>
      <c r="K8" s="76"/>
      <c r="L8" s="76"/>
      <c r="M8" s="90" t="s">
        <v>6243</v>
      </c>
      <c r="N8" s="66"/>
    </row>
    <row r="9">
      <c r="A9" s="101"/>
      <c r="B9" s="102"/>
      <c r="C9" s="80">
        <v>13946.0</v>
      </c>
      <c r="D9" s="81" t="str">
        <f>IFS(C9="","",C9,VLOOKUP(C9,'PATIENT DATA (072721)'!A:C,2,0))</f>
        <v>MORALES, MANUEL H</v>
      </c>
      <c r="E9" s="82">
        <f>IFS(C9="","",C9,VLOOKUP(C9,'PATIENT DATA (072721)'!A:C,3,0))</f>
        <v>26251</v>
      </c>
      <c r="F9" s="83">
        <v>44544.0</v>
      </c>
      <c r="G9" s="84" t="s">
        <v>6247</v>
      </c>
      <c r="H9" s="85" t="s">
        <v>14</v>
      </c>
      <c r="I9" s="86" t="s">
        <v>6199</v>
      </c>
      <c r="J9" s="88"/>
      <c r="K9" s="88"/>
      <c r="L9" s="88"/>
      <c r="M9" s="103" t="s">
        <v>6243</v>
      </c>
      <c r="N9" s="66"/>
    </row>
    <row r="10">
      <c r="A10" s="104"/>
      <c r="B10" s="99"/>
      <c r="C10" s="69">
        <v>17119.0</v>
      </c>
      <c r="D10" s="70" t="str">
        <f>IFS(C10="","",C10,VLOOKUP(C10,'PATIENT DATA (072721)'!A:C,2,0))</f>
        <v>KENNEDY, TAMMY</v>
      </c>
      <c r="E10" s="71">
        <f>IFS(C10="","",C10,VLOOKUP(C10,'PATIENT DATA (072721)'!A:C,3,0))</f>
        <v>22189</v>
      </c>
      <c r="F10" s="72">
        <v>44544.0</v>
      </c>
      <c r="G10" s="73" t="s">
        <v>6247</v>
      </c>
      <c r="H10" s="74" t="s">
        <v>14</v>
      </c>
      <c r="I10" s="75" t="s">
        <v>6154</v>
      </c>
      <c r="J10" s="76"/>
      <c r="K10" s="76"/>
      <c r="L10" s="76"/>
      <c r="M10" s="77" t="s">
        <v>6243</v>
      </c>
      <c r="N10" s="66"/>
    </row>
    <row r="11">
      <c r="A11" s="105" t="s">
        <v>6248</v>
      </c>
      <c r="B11" s="106">
        <f>SUM(B2:B5)</f>
        <v>45</v>
      </c>
      <c r="C11" s="107">
        <v>15993.0</v>
      </c>
      <c r="D11" s="81" t="str">
        <f>IFS(C11="","",C11,VLOOKUP(C11,'PATIENT DATA (072721)'!A:C,2,0))</f>
        <v>MARTINEZ, MELISSA A</v>
      </c>
      <c r="E11" s="82">
        <f>IFS(C11="","",C11,VLOOKUP(C11,'PATIENT DATA (072721)'!A:C,3,0))</f>
        <v>30933</v>
      </c>
      <c r="F11" s="83">
        <v>44562.0</v>
      </c>
      <c r="G11" s="84">
        <v>0.4791666666666667</v>
      </c>
      <c r="H11" s="108" t="s">
        <v>14</v>
      </c>
      <c r="I11" s="86" t="s">
        <v>6142</v>
      </c>
      <c r="J11" s="88"/>
      <c r="K11" s="109" t="s">
        <v>6242</v>
      </c>
      <c r="L11" s="109"/>
      <c r="M11" s="89" t="s">
        <v>6249</v>
      </c>
      <c r="N11" s="78"/>
    </row>
    <row r="12">
      <c r="A12" s="110" t="s">
        <v>6250</v>
      </c>
      <c r="B12" s="111"/>
      <c r="C12" s="112">
        <v>9592.0</v>
      </c>
      <c r="D12" s="70" t="str">
        <f>IFS(C12="","",C12,VLOOKUP(C12,'PATIENT DATA (072721)'!A:C,2,0))</f>
        <v>HUIZAR, ROSA E</v>
      </c>
      <c r="E12" s="71">
        <f>IFS(C12="","",C12,VLOOKUP(C12,'PATIENT DATA (072721)'!A:C,3,0))</f>
        <v>20695</v>
      </c>
      <c r="F12" s="72">
        <v>44564.0</v>
      </c>
      <c r="G12" s="73">
        <v>0.34375</v>
      </c>
      <c r="H12" s="113" t="s">
        <v>13</v>
      </c>
      <c r="I12" s="100" t="s">
        <v>6195</v>
      </c>
      <c r="J12" s="76"/>
      <c r="K12" s="76"/>
      <c r="L12" s="76"/>
      <c r="M12" s="90" t="s">
        <v>6251</v>
      </c>
      <c r="N12" s="78"/>
    </row>
    <row r="13">
      <c r="A13" s="114">
        <f>MAX(F:F)</f>
        <v>44579</v>
      </c>
      <c r="C13" s="107">
        <v>17744.0</v>
      </c>
      <c r="D13" s="81" t="str">
        <f>IFS(C13="","",C13,VLOOKUP(C13,'PATIENT DATA (072721)'!A:C,2,0))</f>
        <v>SIAS, RODOLOFO R</v>
      </c>
      <c r="E13" s="82">
        <f>IFS(C13="","",C13,VLOOKUP(C13,'PATIENT DATA (072721)'!A:C,3,0))</f>
        <v>25802</v>
      </c>
      <c r="F13" s="83">
        <v>44564.0</v>
      </c>
      <c r="G13" s="84">
        <v>0.3958333333333333</v>
      </c>
      <c r="H13" s="85" t="s">
        <v>12</v>
      </c>
      <c r="I13" s="86" t="s">
        <v>6142</v>
      </c>
      <c r="J13" s="115"/>
      <c r="K13" s="115"/>
      <c r="L13" s="115"/>
      <c r="M13" s="89" t="s">
        <v>6252</v>
      </c>
      <c r="N13" s="78"/>
    </row>
    <row r="14">
      <c r="A14" s="110" t="s">
        <v>6253</v>
      </c>
      <c r="B14" s="111"/>
      <c r="C14" s="112">
        <v>17744.0</v>
      </c>
      <c r="D14" s="70" t="str">
        <f>IFS(C14="","",C14,VLOOKUP(C14,'PATIENT DATA (072721)'!A:C,2,0))</f>
        <v>SIAS, RODOLOFO R</v>
      </c>
      <c r="E14" s="71">
        <f>IFS(C14="","",C14,VLOOKUP(C14,'PATIENT DATA (072721)'!A:C,3,0))</f>
        <v>25802</v>
      </c>
      <c r="F14" s="72">
        <v>44564.0</v>
      </c>
      <c r="G14" s="73">
        <v>0.3958333333333333</v>
      </c>
      <c r="H14" s="74" t="s">
        <v>14</v>
      </c>
      <c r="I14" s="100" t="s">
        <v>6142</v>
      </c>
      <c r="J14" s="115"/>
      <c r="K14" s="115"/>
      <c r="L14" s="115"/>
      <c r="M14" s="90" t="s">
        <v>6252</v>
      </c>
      <c r="N14" s="78"/>
    </row>
    <row r="15">
      <c r="A15" s="114">
        <f>MIN(F:F)</f>
        <v>44539</v>
      </c>
      <c r="C15" s="107">
        <v>17744.0</v>
      </c>
      <c r="D15" s="81" t="str">
        <f>IFS(C15="","",C15,VLOOKUP(C15,'PATIENT DATA (072721)'!A:C,2,0))</f>
        <v>SIAS, RODOLOFO R</v>
      </c>
      <c r="E15" s="82">
        <f>IFS(C15="","",C15,VLOOKUP(C15,'PATIENT DATA (072721)'!A:C,3,0))</f>
        <v>25802</v>
      </c>
      <c r="F15" s="83">
        <v>44564.0</v>
      </c>
      <c r="G15" s="84">
        <v>0.3958333333333333</v>
      </c>
      <c r="H15" s="85" t="s">
        <v>13</v>
      </c>
      <c r="I15" s="86" t="s">
        <v>6142</v>
      </c>
      <c r="J15" s="115"/>
      <c r="K15" s="115"/>
      <c r="L15" s="115"/>
      <c r="M15" s="89" t="s">
        <v>6252</v>
      </c>
      <c r="N15" s="78"/>
    </row>
    <row r="16">
      <c r="A16" s="116"/>
      <c r="B16" s="116"/>
      <c r="C16" s="117">
        <v>16449.0</v>
      </c>
      <c r="D16" s="70" t="str">
        <f>IFS(C16="","",C16,VLOOKUP(C16,'PATIENT DATA (072721)'!A:C,2,0))</f>
        <v>CORDERO, RODOLFO M</v>
      </c>
      <c r="E16" s="71">
        <f>IFS(C16="","",C16,VLOOKUP(C16,'PATIENT DATA (072721)'!A:C,3,0))</f>
        <v>23434</v>
      </c>
      <c r="F16" s="72">
        <v>44564.0</v>
      </c>
      <c r="G16" s="73">
        <v>0.5833333333333334</v>
      </c>
      <c r="H16" s="74" t="s">
        <v>12</v>
      </c>
      <c r="I16" s="75" t="s">
        <v>6254</v>
      </c>
      <c r="J16" s="76"/>
      <c r="K16" s="74" t="s">
        <v>6242</v>
      </c>
      <c r="L16" s="76"/>
      <c r="M16" s="90" t="s">
        <v>6255</v>
      </c>
      <c r="N16" s="78"/>
    </row>
    <row r="17">
      <c r="A17" s="118" t="s">
        <v>6256</v>
      </c>
      <c r="C17" s="80">
        <v>16942.0</v>
      </c>
      <c r="D17" s="81" t="str">
        <f>IFS(C17="","",C17,VLOOKUP(C17,'PATIENT DATA (072721)'!A:C,2,0))</f>
        <v>FLORES, MARCELA</v>
      </c>
      <c r="E17" s="82">
        <f>IFS(C17="","",C17,VLOOKUP(C17,'PATIENT DATA (072721)'!A:C,3,0))</f>
        <v>21275</v>
      </c>
      <c r="F17" s="83">
        <v>44565.0</v>
      </c>
      <c r="G17" s="84">
        <v>0.4479166666666667</v>
      </c>
      <c r="H17" s="85" t="s">
        <v>12</v>
      </c>
      <c r="I17" s="91" t="s">
        <v>6257</v>
      </c>
      <c r="J17" s="87" t="s">
        <v>6242</v>
      </c>
      <c r="K17" s="88"/>
      <c r="L17" s="88"/>
      <c r="M17" s="89" t="s">
        <v>6258</v>
      </c>
      <c r="N17" s="78"/>
    </row>
    <row r="18">
      <c r="A18" s="119">
        <v>28.0</v>
      </c>
      <c r="C18" s="69">
        <v>15916.0</v>
      </c>
      <c r="D18" s="70" t="str">
        <f>IFS(C18="","",C18,VLOOKUP(C18,'PATIENT DATA (072721)'!A:C,2,0))</f>
        <v>HENSLEY, LAURA L</v>
      </c>
      <c r="E18" s="71">
        <f>IFS(C18="","",C18,VLOOKUP(C18,'PATIENT DATA (072721)'!A:C,3,0))</f>
        <v>24736</v>
      </c>
      <c r="F18" s="72">
        <v>44566.0</v>
      </c>
      <c r="G18" s="74" t="s">
        <v>6247</v>
      </c>
      <c r="H18" s="70" t="s">
        <v>12</v>
      </c>
      <c r="I18" s="75" t="s">
        <v>6142</v>
      </c>
      <c r="J18" s="76"/>
      <c r="K18" s="74" t="s">
        <v>6242</v>
      </c>
      <c r="L18" s="76"/>
      <c r="M18" s="77" t="s">
        <v>6259</v>
      </c>
      <c r="N18" s="66"/>
    </row>
    <row r="19">
      <c r="A19" s="120"/>
      <c r="B19" s="121"/>
      <c r="C19" s="80">
        <v>15916.0</v>
      </c>
      <c r="D19" s="81" t="str">
        <f>IFS(C19="","",C19,VLOOKUP(C19,'PATIENT DATA (072721)'!A:C,2,0))</f>
        <v>HENSLEY, LAURA L</v>
      </c>
      <c r="E19" s="82">
        <f>IFS(C19="","",C19,VLOOKUP(C19,'PATIENT DATA (072721)'!A:C,3,0))</f>
        <v>24736</v>
      </c>
      <c r="F19" s="83">
        <v>44566.0</v>
      </c>
      <c r="G19" s="85" t="s">
        <v>6247</v>
      </c>
      <c r="H19" s="85" t="s">
        <v>13</v>
      </c>
      <c r="I19" s="91" t="s">
        <v>6142</v>
      </c>
      <c r="J19" s="88"/>
      <c r="K19" s="87" t="s">
        <v>6242</v>
      </c>
      <c r="L19" s="88"/>
      <c r="M19" s="103" t="s">
        <v>6259</v>
      </c>
      <c r="N19" s="66"/>
    </row>
    <row r="20">
      <c r="A20" s="122" t="s">
        <v>6260</v>
      </c>
      <c r="C20" s="112">
        <v>15450.0</v>
      </c>
      <c r="D20" s="70" t="str">
        <f>IFS(C20="","",C20,VLOOKUP(C20,'PATIENT DATA (072721)'!A:C,2,0))</f>
        <v>ARELLANO, ELISA</v>
      </c>
      <c r="E20" s="71">
        <f>IFS(C20="","",C20,VLOOKUP(C20,'PATIENT DATA (072721)'!A:C,3,0))</f>
        <v>15506</v>
      </c>
      <c r="F20" s="72">
        <v>44567.0</v>
      </c>
      <c r="G20" s="73">
        <v>0.6354166666666666</v>
      </c>
      <c r="H20" s="70" t="s">
        <v>14</v>
      </c>
      <c r="I20" s="100" t="s">
        <v>6196</v>
      </c>
      <c r="J20" s="123"/>
      <c r="K20" s="124"/>
      <c r="L20" s="124"/>
      <c r="M20" s="90" t="s">
        <v>6261</v>
      </c>
      <c r="N20" s="66"/>
    </row>
    <row r="21">
      <c r="A21" s="67" t="s">
        <v>15</v>
      </c>
      <c r="B21" s="125">
        <f t="shared" ref="B21:B24" si="2">1/(B2/$A$18)</f>
        <v>5.6</v>
      </c>
      <c r="C21" s="126">
        <v>14386.0</v>
      </c>
      <c r="D21" s="81" t="str">
        <f>IFS(C21="","",C21,VLOOKUP(C21,'PATIENT DATA (072721)'!A:C,2,0))</f>
        <v>CORDOVA, NINFA</v>
      </c>
      <c r="E21" s="82">
        <f>IFS(C21="","",C21,VLOOKUP(C21,'PATIENT DATA (072721)'!A:C,3,0))</f>
        <v>19365</v>
      </c>
      <c r="F21" s="83">
        <v>44568.0</v>
      </c>
      <c r="G21" s="84">
        <v>0.5520833333333334</v>
      </c>
      <c r="H21" s="85" t="s">
        <v>14</v>
      </c>
      <c r="I21" s="91" t="s">
        <v>6189</v>
      </c>
      <c r="J21" s="88"/>
      <c r="K21" s="87" t="s">
        <v>6242</v>
      </c>
      <c r="L21" s="88"/>
      <c r="M21" s="89" t="s">
        <v>6261</v>
      </c>
      <c r="N21" s="66"/>
    </row>
    <row r="22">
      <c r="A22" s="79" t="s">
        <v>13</v>
      </c>
      <c r="B22" s="125">
        <f t="shared" si="2"/>
        <v>2.153846154</v>
      </c>
      <c r="C22" s="117">
        <v>9300.0</v>
      </c>
      <c r="D22" s="70" t="str">
        <f>IFS(C22="","",C22,VLOOKUP(C22,'PATIENT DATA (072721)'!A:C,2,0))</f>
        <v>MENDEZ, NOHEMI</v>
      </c>
      <c r="E22" s="71">
        <f>IFS(C22="","",C22,VLOOKUP(C22,'PATIENT DATA (072721)'!A:C,3,0))</f>
        <v>32377</v>
      </c>
      <c r="F22" s="72">
        <v>44568.0</v>
      </c>
      <c r="G22" s="73">
        <v>0.6145833333333334</v>
      </c>
      <c r="H22" s="74" t="s">
        <v>14</v>
      </c>
      <c r="I22" s="75" t="s">
        <v>6154</v>
      </c>
      <c r="J22" s="127"/>
      <c r="K22" s="127"/>
      <c r="L22" s="127"/>
      <c r="M22" s="90" t="s">
        <v>6261</v>
      </c>
      <c r="N22" s="66"/>
    </row>
    <row r="23">
      <c r="A23" s="79" t="s">
        <v>12</v>
      </c>
      <c r="B23" s="125">
        <f t="shared" si="2"/>
        <v>2.333333333</v>
      </c>
      <c r="C23" s="80">
        <v>17880.0</v>
      </c>
      <c r="D23" s="81" t="str">
        <f>IFS(C23="","",C23,VLOOKUP(C23,'PATIENT DATA (072721)'!A:C,2,0))</f>
        <v>VON MITTENWALD, LEANNE W</v>
      </c>
      <c r="E23" s="82">
        <f>IFS(C23="","",C23,VLOOKUP(C23,'PATIENT DATA (072721)'!A:C,3,0))</f>
        <v>19527</v>
      </c>
      <c r="F23" s="83">
        <v>44571.0</v>
      </c>
      <c r="G23" s="84">
        <v>0.34375</v>
      </c>
      <c r="H23" s="85" t="s">
        <v>13</v>
      </c>
      <c r="I23" s="86" t="s">
        <v>6262</v>
      </c>
      <c r="J23" s="115"/>
      <c r="K23" s="115"/>
      <c r="L23" s="115"/>
      <c r="M23" s="103" t="s">
        <v>6263</v>
      </c>
      <c r="N23" s="66"/>
    </row>
    <row r="24">
      <c r="A24" s="79" t="s">
        <v>14</v>
      </c>
      <c r="B24" s="125">
        <f t="shared" si="2"/>
        <v>1.866666667</v>
      </c>
      <c r="C24" s="69">
        <v>15005.0</v>
      </c>
      <c r="D24" s="70" t="str">
        <f>IFS(C24="","",C24,VLOOKUP(C24,'PATIENT DATA (072721)'!A:C,2,0))</f>
        <v>AMAYA, GONZALO</v>
      </c>
      <c r="E24" s="71">
        <f>IFS(C24="","",C24,VLOOKUP(C24,'PATIENT DATA (072721)'!A:C,3,0))</f>
        <v>18885</v>
      </c>
      <c r="F24" s="72">
        <v>44571.0</v>
      </c>
      <c r="G24" s="74" t="s">
        <v>6247</v>
      </c>
      <c r="H24" s="74" t="s">
        <v>14</v>
      </c>
      <c r="I24" s="75" t="s">
        <v>6189</v>
      </c>
      <c r="J24" s="127"/>
      <c r="K24" s="127"/>
      <c r="L24" s="127"/>
      <c r="M24" s="90" t="s">
        <v>6243</v>
      </c>
      <c r="N24" s="66"/>
    </row>
    <row r="25">
      <c r="A25" s="120"/>
      <c r="B25" s="121"/>
      <c r="C25" s="80">
        <v>9793.0</v>
      </c>
      <c r="D25" s="81" t="str">
        <f>IFS(C25="","",C25,VLOOKUP(C25,'PATIENT DATA (072721)'!A:C,2,0))</f>
        <v>LOPEZ, GUADALUPE R</v>
      </c>
      <c r="E25" s="82">
        <f>IFS(C25="","",C25,VLOOKUP(C25,'PATIENT DATA (072721)'!A:C,3,0))</f>
        <v>9749</v>
      </c>
      <c r="F25" s="83">
        <v>44572.0</v>
      </c>
      <c r="G25" s="84">
        <v>0.125</v>
      </c>
      <c r="H25" s="85" t="s">
        <v>14</v>
      </c>
      <c r="I25" s="91" t="s">
        <v>6137</v>
      </c>
      <c r="J25" s="115"/>
      <c r="K25" s="115"/>
      <c r="L25" s="115"/>
      <c r="M25" s="89" t="s">
        <v>6264</v>
      </c>
      <c r="N25" s="66"/>
    </row>
    <row r="26">
      <c r="A26" s="104"/>
      <c r="B26" s="128"/>
      <c r="C26" s="112">
        <v>15145.0</v>
      </c>
      <c r="D26" s="70" t="str">
        <f>IFS(C26="","",C26,VLOOKUP(C26,'PATIENT DATA (072721)'!A:C,2,0))</f>
        <v>SALAS, EDWARDO</v>
      </c>
      <c r="E26" s="71">
        <f>IFS(C26="","",C26,VLOOKUP(C26,'PATIENT DATA (072721)'!A:C,3,0))</f>
        <v>18524</v>
      </c>
      <c r="F26" s="72">
        <v>44572.0</v>
      </c>
      <c r="G26" s="73">
        <v>0.375</v>
      </c>
      <c r="H26" s="74" t="s">
        <v>14</v>
      </c>
      <c r="I26" s="100" t="s">
        <v>6199</v>
      </c>
      <c r="J26" s="76"/>
      <c r="K26" s="74" t="s">
        <v>6242</v>
      </c>
      <c r="L26" s="76"/>
      <c r="M26" s="90" t="s">
        <v>6265</v>
      </c>
      <c r="N26" s="66"/>
    </row>
    <row r="27">
      <c r="A27" s="129" t="s">
        <v>6266</v>
      </c>
      <c r="B27" s="121"/>
      <c r="C27" s="80">
        <v>16106.0</v>
      </c>
      <c r="D27" s="81" t="str">
        <f>IFS(C27="","",C27,VLOOKUP(C27,'PATIENT DATA (072721)'!A:C,2,0))</f>
        <v>GUTIERREZ, LETICIA</v>
      </c>
      <c r="E27" s="82">
        <f>IFS(C27="","",C27,VLOOKUP(C27,'PATIENT DATA (072721)'!A:C,3,0))</f>
        <v>23484</v>
      </c>
      <c r="F27" s="83">
        <v>44572.0</v>
      </c>
      <c r="G27" s="84">
        <v>0.4375</v>
      </c>
      <c r="H27" s="85" t="s">
        <v>13</v>
      </c>
      <c r="I27" s="91" t="s">
        <v>6137</v>
      </c>
      <c r="J27" s="115"/>
      <c r="K27" s="115"/>
      <c r="L27" s="115"/>
      <c r="M27" s="89" t="s">
        <v>6267</v>
      </c>
      <c r="N27" s="66"/>
    </row>
    <row r="28">
      <c r="A28" s="104"/>
      <c r="B28" s="128"/>
      <c r="C28" s="69">
        <v>16106.0</v>
      </c>
      <c r="D28" s="70" t="str">
        <f>IFS(C28="","",C28,VLOOKUP(C28,'PATIENT DATA (072721)'!A:C,2,0))</f>
        <v>GUTIERREZ, LETICIA</v>
      </c>
      <c r="E28" s="71">
        <f>IFS(C28="","",C28,VLOOKUP(C28,'PATIENT DATA (072721)'!A:C,3,0))</f>
        <v>23484</v>
      </c>
      <c r="F28" s="72">
        <v>44572.0</v>
      </c>
      <c r="G28" s="73">
        <v>0.4375</v>
      </c>
      <c r="H28" s="74" t="s">
        <v>14</v>
      </c>
      <c r="I28" s="75" t="s">
        <v>6137</v>
      </c>
      <c r="J28" s="115"/>
      <c r="K28" s="115"/>
      <c r="L28" s="115"/>
      <c r="M28" s="90" t="s">
        <v>6267</v>
      </c>
      <c r="N28" s="66"/>
    </row>
    <row r="29">
      <c r="A29" s="120"/>
      <c r="B29" s="121"/>
      <c r="C29" s="107">
        <v>10429.0</v>
      </c>
      <c r="D29" s="81" t="str">
        <f>IFS(C29="","",C29,VLOOKUP(C29,'PATIENT DATA (072721)'!A:C,2,0))</f>
        <v>PINA, ISIDRA</v>
      </c>
      <c r="E29" s="82">
        <f>IFS(C29="","",C29,VLOOKUP(C29,'PATIENT DATA (072721)'!A:C,3,0))</f>
        <v>16572</v>
      </c>
      <c r="F29" s="83">
        <v>44572.0</v>
      </c>
      <c r="G29" s="84">
        <v>0.5520833333333334</v>
      </c>
      <c r="H29" s="85" t="s">
        <v>12</v>
      </c>
      <c r="I29" s="86" t="s">
        <v>6196</v>
      </c>
      <c r="J29" s="88"/>
      <c r="K29" s="87" t="s">
        <v>6242</v>
      </c>
      <c r="L29" s="88"/>
      <c r="M29" s="89" t="s">
        <v>6268</v>
      </c>
      <c r="N29" s="66"/>
    </row>
    <row r="30">
      <c r="A30" s="128"/>
      <c r="B30" s="128"/>
      <c r="C30" s="74" t="s">
        <v>6269</v>
      </c>
      <c r="D30" s="74" t="s">
        <v>6269</v>
      </c>
      <c r="E30" s="75" t="s">
        <v>6269</v>
      </c>
      <c r="F30" s="130">
        <v>44573.0</v>
      </c>
      <c r="G30" s="73">
        <v>0.5208333333333334</v>
      </c>
      <c r="H30" s="74" t="s">
        <v>13</v>
      </c>
      <c r="I30" s="75" t="s">
        <v>6269</v>
      </c>
      <c r="J30" s="115"/>
      <c r="K30" s="115"/>
      <c r="L30" s="115"/>
      <c r="M30" s="90" t="s">
        <v>6270</v>
      </c>
      <c r="N30" s="66"/>
    </row>
    <row r="31">
      <c r="A31" s="121"/>
      <c r="B31" s="121"/>
      <c r="C31" s="131">
        <v>9493.0</v>
      </c>
      <c r="D31" s="81" t="str">
        <f>IFS(C31="","",C31,VLOOKUP(C31,'PATIENT DATA (072721)'!A:C,2,0))</f>
        <v>BONNER, HUBERT</v>
      </c>
      <c r="E31" s="82">
        <f>IFS(C31="","",C31,VLOOKUP(C31,'PATIENT DATA (072721)'!A:C,3,0))</f>
        <v>20636</v>
      </c>
      <c r="F31" s="83">
        <v>44574.0</v>
      </c>
      <c r="G31" s="84">
        <v>0.375</v>
      </c>
      <c r="H31" s="85" t="s">
        <v>14</v>
      </c>
      <c r="I31" s="97" t="s">
        <v>6199</v>
      </c>
      <c r="J31" s="88"/>
      <c r="K31" s="87" t="s">
        <v>6242</v>
      </c>
      <c r="L31" s="88"/>
      <c r="M31" s="89" t="s">
        <v>6265</v>
      </c>
      <c r="N31" s="66"/>
    </row>
    <row r="32">
      <c r="A32" s="128"/>
      <c r="B32" s="128"/>
      <c r="C32" s="117">
        <v>16427.0</v>
      </c>
      <c r="D32" s="70" t="str">
        <f>IFS(C32="","",C32,VLOOKUP(C32,'PATIENT DATA (072721)'!A:C,2,0))</f>
        <v>CARLTON, DEANNA C</v>
      </c>
      <c r="E32" s="71">
        <f>IFS(C32="","",C32,VLOOKUP(C32,'PATIENT DATA (072721)'!A:C,3,0))</f>
        <v>24828</v>
      </c>
      <c r="F32" s="72">
        <v>44574.0</v>
      </c>
      <c r="G32" s="73">
        <v>0.3958333333333333</v>
      </c>
      <c r="H32" s="74" t="s">
        <v>12</v>
      </c>
      <c r="I32" s="94" t="s">
        <v>6091</v>
      </c>
      <c r="J32" s="76"/>
      <c r="K32" s="74" t="s">
        <v>6242</v>
      </c>
      <c r="L32" s="76"/>
      <c r="M32" s="90" t="s">
        <v>6271</v>
      </c>
      <c r="N32" s="66"/>
    </row>
    <row r="33">
      <c r="A33" s="121"/>
      <c r="B33" s="121"/>
      <c r="C33" s="107">
        <v>15879.0</v>
      </c>
      <c r="D33" s="81" t="str">
        <f>IFS(C33="","",C33,VLOOKUP(C33,'PATIENT DATA (072721)'!A:C,2,0))</f>
        <v>MACKEY, BRIAN</v>
      </c>
      <c r="E33" s="82">
        <f>IFS(C33="","",C33,VLOOKUP(C33,'PATIENT DATA (072721)'!A:C,3,0))</f>
        <v>28372</v>
      </c>
      <c r="F33" s="83">
        <v>44575.0</v>
      </c>
      <c r="G33" s="84">
        <v>0.375</v>
      </c>
      <c r="H33" s="85" t="s">
        <v>14</v>
      </c>
      <c r="I33" s="86" t="s">
        <v>6199</v>
      </c>
      <c r="J33" s="88"/>
      <c r="K33" s="87" t="s">
        <v>6242</v>
      </c>
      <c r="L33" s="88"/>
      <c r="M33" s="89" t="s">
        <v>6265</v>
      </c>
      <c r="N33" s="66"/>
    </row>
    <row r="34">
      <c r="A34" s="128"/>
      <c r="B34" s="128"/>
      <c r="C34" s="69">
        <v>16165.0</v>
      </c>
      <c r="D34" s="70" t="str">
        <f>IFS(C34="","",C34,VLOOKUP(C34,'PATIENT DATA (072721)'!A:C,2,0))</f>
        <v>CAMP, DAWN E</v>
      </c>
      <c r="E34" s="71">
        <f>IFS(C34="","",C34,VLOOKUP(C34,'PATIENT DATA (072721)'!A:C,3,0))</f>
        <v>20739</v>
      </c>
      <c r="F34" s="72">
        <v>44578.0</v>
      </c>
      <c r="G34" s="74" t="s">
        <v>6247</v>
      </c>
      <c r="H34" s="74" t="s">
        <v>15</v>
      </c>
      <c r="I34" s="75" t="s">
        <v>6132</v>
      </c>
      <c r="J34" s="76"/>
      <c r="K34" s="76"/>
      <c r="L34" s="76"/>
      <c r="M34" s="90" t="s">
        <v>6272</v>
      </c>
      <c r="N34" s="66"/>
    </row>
    <row r="35">
      <c r="A35" s="121"/>
      <c r="B35" s="121"/>
      <c r="C35" s="107">
        <v>16165.0</v>
      </c>
      <c r="D35" s="81" t="str">
        <f>IFS(C35="","",C35,VLOOKUP(C35,'PATIENT DATA (072721)'!A:C,2,0))</f>
        <v>CAMP, DAWN E</v>
      </c>
      <c r="E35" s="82">
        <f>IFS(C35="","",C35,VLOOKUP(C35,'PATIENT DATA (072721)'!A:C,3,0))</f>
        <v>20739</v>
      </c>
      <c r="F35" s="83">
        <v>44578.0</v>
      </c>
      <c r="G35" s="84" t="s">
        <v>6247</v>
      </c>
      <c r="H35" s="108" t="s">
        <v>13</v>
      </c>
      <c r="I35" s="86" t="s">
        <v>6132</v>
      </c>
      <c r="J35" s="88"/>
      <c r="K35" s="88"/>
      <c r="L35" s="88"/>
      <c r="M35" s="89" t="s">
        <v>6273</v>
      </c>
      <c r="N35" s="66"/>
    </row>
    <row r="36">
      <c r="A36" s="128"/>
      <c r="B36" s="128"/>
      <c r="C36" s="69">
        <v>15709.0</v>
      </c>
      <c r="D36" s="70" t="str">
        <f>IFS(C36="","",C36,VLOOKUP(C36,'PATIENT DATA (072721)'!A:C,2,0))</f>
        <v>MARTIN, CHARLES B</v>
      </c>
      <c r="E36" s="71">
        <f>IFS(C36="","",C36,VLOOKUP(C36,'PATIENT DATA (072721)'!A:C,3,0))</f>
        <v>33385</v>
      </c>
      <c r="F36" s="72">
        <v>44579.0</v>
      </c>
      <c r="G36" s="73">
        <v>0.4375</v>
      </c>
      <c r="H36" s="74" t="s">
        <v>15</v>
      </c>
      <c r="I36" s="75" t="s">
        <v>6142</v>
      </c>
      <c r="J36" s="76"/>
      <c r="K36" s="76"/>
      <c r="L36" s="76"/>
      <c r="M36" s="90" t="s">
        <v>6274</v>
      </c>
      <c r="N36" s="66"/>
    </row>
    <row r="37">
      <c r="A37" s="121"/>
      <c r="B37" s="121"/>
      <c r="C37" s="80">
        <v>10445.0</v>
      </c>
      <c r="D37" s="81" t="str">
        <f>IFS(C37="","",C37,VLOOKUP(C37,'PATIENT DATA (072721)'!A:C,2,0))</f>
        <v>HERNANDEZ, CHONG</v>
      </c>
      <c r="E37" s="82">
        <f>IFS(C37="","",C37,VLOOKUP(C37,'PATIENT DATA (072721)'!A:C,3,0))</f>
        <v>16254</v>
      </c>
      <c r="F37" s="83">
        <v>44579.0</v>
      </c>
      <c r="G37" s="84">
        <v>0.6354166666666666</v>
      </c>
      <c r="H37" s="132" t="s">
        <v>13</v>
      </c>
      <c r="I37" s="91" t="s">
        <v>6137</v>
      </c>
      <c r="J37" s="115"/>
      <c r="K37" s="115"/>
      <c r="L37" s="115"/>
      <c r="M37" s="89" t="s">
        <v>6275</v>
      </c>
      <c r="N37" s="66"/>
    </row>
    <row r="38">
      <c r="A38" s="128"/>
      <c r="B38" s="128"/>
      <c r="C38" s="69">
        <v>14144.0</v>
      </c>
      <c r="D38" s="70" t="str">
        <f>IFS(C38="","",C38,VLOOKUP(C38,'PATIENT DATA (072721)'!A:C,2,0))</f>
        <v>RAMIREZ, FELIPE D</v>
      </c>
      <c r="E38" s="71">
        <f>IFS(C38="","",C38,VLOOKUP(C38,'PATIENT DATA (072721)'!A:C,3,0))</f>
        <v>15387</v>
      </c>
      <c r="F38" s="72">
        <v>44571.0</v>
      </c>
      <c r="G38" s="74" t="s">
        <v>6247</v>
      </c>
      <c r="H38" s="74" t="s">
        <v>12</v>
      </c>
      <c r="I38" s="75" t="s">
        <v>6262</v>
      </c>
      <c r="J38" s="115"/>
      <c r="K38" s="133"/>
      <c r="L38" s="133"/>
      <c r="M38" s="90" t="s">
        <v>6263</v>
      </c>
      <c r="N38" s="66"/>
    </row>
    <row r="39">
      <c r="A39" s="121"/>
      <c r="B39" s="121"/>
      <c r="C39" s="80">
        <v>9812.0</v>
      </c>
      <c r="D39" s="81" t="str">
        <f>IFS(C39="","",C39,VLOOKUP(C39,'PATIENT DATA (072721)'!A:C,2,0))</f>
        <v>SUA, LYDIA</v>
      </c>
      <c r="E39" s="82">
        <f>IFS(C39="","",C39,VLOOKUP(C39,'PATIENT DATA (072721)'!A:C,3,0))</f>
        <v>24557</v>
      </c>
      <c r="F39" s="83">
        <v>44571.0</v>
      </c>
      <c r="G39" s="84" t="s">
        <v>6247</v>
      </c>
      <c r="H39" s="108" t="s">
        <v>12</v>
      </c>
      <c r="I39" s="86" t="s">
        <v>6262</v>
      </c>
      <c r="J39" s="115"/>
      <c r="K39" s="115"/>
      <c r="L39" s="115"/>
      <c r="M39" s="103" t="s">
        <v>6263</v>
      </c>
      <c r="N39" s="66"/>
    </row>
    <row r="40">
      <c r="A40" s="128"/>
      <c r="B40" s="128"/>
      <c r="C40" s="69">
        <v>11447.0</v>
      </c>
      <c r="D40" s="70" t="str">
        <f>IFS(C40="","",C40,VLOOKUP(C40,'PATIENT DATA (072721)'!A:C,2,0))</f>
        <v>PONCE, JESUS</v>
      </c>
      <c r="E40" s="71">
        <f>IFS(C40="","",C40,VLOOKUP(C40,'PATIENT DATA (072721)'!A:C,3,0))</f>
        <v>25776</v>
      </c>
      <c r="F40" s="72">
        <v>44571.0</v>
      </c>
      <c r="G40" s="73" t="s">
        <v>6247</v>
      </c>
      <c r="H40" s="70" t="s">
        <v>12</v>
      </c>
      <c r="I40" s="100" t="s">
        <v>6262</v>
      </c>
      <c r="J40" s="115"/>
      <c r="K40" s="115"/>
      <c r="L40" s="115"/>
      <c r="M40" s="77" t="s">
        <v>6263</v>
      </c>
      <c r="N40" s="66"/>
    </row>
    <row r="41">
      <c r="A41" s="121"/>
      <c r="B41" s="121"/>
      <c r="C41" s="80">
        <v>16323.0</v>
      </c>
      <c r="D41" s="81" t="str">
        <f>IFS(C41="","",C41,VLOOKUP(C41,'PATIENT DATA (072721)'!A:C,2,0))</f>
        <v>OLSON, PATRICIA M</v>
      </c>
      <c r="E41" s="82">
        <f>IFS(C41="","",C41,VLOOKUP(C41,'PATIENT DATA (072721)'!A:C,3,0))</f>
        <v>18129</v>
      </c>
      <c r="F41" s="83">
        <v>44579.0</v>
      </c>
      <c r="G41" s="84">
        <v>0.4166666666666667</v>
      </c>
      <c r="H41" s="85" t="s">
        <v>13</v>
      </c>
      <c r="I41" s="86" t="s">
        <v>6137</v>
      </c>
      <c r="J41" s="115"/>
      <c r="K41" s="115"/>
      <c r="L41" s="115"/>
      <c r="M41" s="89" t="s">
        <v>6276</v>
      </c>
      <c r="N41" s="66"/>
    </row>
    <row r="42">
      <c r="A42" s="128"/>
      <c r="B42" s="128"/>
      <c r="C42" s="69">
        <v>16323.0</v>
      </c>
      <c r="D42" s="70" t="str">
        <f>IFS(C42="","",C42,VLOOKUP(C42,'PATIENT DATA (072721)'!A:C,2,0))</f>
        <v>OLSON, PATRICIA M</v>
      </c>
      <c r="E42" s="71">
        <f>IFS(C42="","",C42,VLOOKUP(C42,'PATIENT DATA (072721)'!A:C,3,0))</f>
        <v>18129</v>
      </c>
      <c r="F42" s="72">
        <v>44579.0</v>
      </c>
      <c r="G42" s="73">
        <v>0.4166666666666667</v>
      </c>
      <c r="H42" s="74" t="s">
        <v>12</v>
      </c>
      <c r="I42" s="100" t="s">
        <v>6137</v>
      </c>
      <c r="J42" s="115"/>
      <c r="K42" s="115"/>
      <c r="L42" s="115"/>
      <c r="M42" s="90" t="s">
        <v>6276</v>
      </c>
      <c r="N42" s="66"/>
    </row>
    <row r="43">
      <c r="A43" s="121"/>
      <c r="B43" s="121"/>
      <c r="C43" s="80">
        <v>17089.0</v>
      </c>
      <c r="D43" s="81" t="str">
        <f>IFS(C43="","",C43,VLOOKUP(C43,'PATIENT DATA (072721)'!A:C,2,0))</f>
        <v>REYES, REFUGIO R</v>
      </c>
      <c r="E43" s="82">
        <f>IFS(C43="","",C43,VLOOKUP(C43,'PATIENT DATA (072721)'!A:C,3,0))</f>
        <v>18082</v>
      </c>
      <c r="F43" s="83">
        <v>44578.0</v>
      </c>
      <c r="G43" s="84">
        <v>0.3645833333333333</v>
      </c>
      <c r="H43" s="85" t="s">
        <v>14</v>
      </c>
      <c r="I43" s="91" t="s">
        <v>6193</v>
      </c>
      <c r="J43" s="88"/>
      <c r="K43" s="87" t="s">
        <v>6242</v>
      </c>
      <c r="L43" s="88"/>
      <c r="M43" s="89" t="s">
        <v>6277</v>
      </c>
      <c r="N43" s="66"/>
    </row>
    <row r="44">
      <c r="A44" s="128"/>
      <c r="B44" s="128"/>
      <c r="C44" s="112">
        <v>17900.0</v>
      </c>
      <c r="D44" s="70" t="str">
        <f>IFS(C44="","",C44,VLOOKUP(C44,'PATIENT DATA (072721)'!A:C,2,0))</f>
        <v>GREEN, VALERIE A</v>
      </c>
      <c r="E44" s="71">
        <f>IFS(C44="","",C44,VLOOKUP(C44,'PATIENT DATA (072721)'!A:C,3,0))</f>
        <v>25539</v>
      </c>
      <c r="F44" s="72">
        <v>44579.0</v>
      </c>
      <c r="G44" s="73">
        <v>0.041666666666666664</v>
      </c>
      <c r="H44" s="70" t="s">
        <v>13</v>
      </c>
      <c r="I44" s="75" t="s">
        <v>6142</v>
      </c>
      <c r="J44" s="74" t="s">
        <v>6242</v>
      </c>
      <c r="K44" s="76"/>
      <c r="L44" s="76"/>
      <c r="M44" s="90" t="s">
        <v>6278</v>
      </c>
      <c r="N44" s="66"/>
    </row>
    <row r="45">
      <c r="A45" s="121"/>
      <c r="B45" s="121"/>
      <c r="C45" s="80">
        <v>12102.0</v>
      </c>
      <c r="D45" s="81" t="str">
        <f>IFS(C45="","",C45,VLOOKUP(C45,'PATIENT DATA (072721)'!A:C,2,0))</f>
        <v>FORE, SANDRA</v>
      </c>
      <c r="E45" s="82">
        <f>IFS(C45="","",C45,VLOOKUP(C45,'PATIENT DATA (072721)'!A:C,3,0))</f>
        <v>17055</v>
      </c>
      <c r="F45" s="83">
        <v>44547.0</v>
      </c>
      <c r="G45" s="84">
        <v>0.3645833333333333</v>
      </c>
      <c r="H45" s="108" t="s">
        <v>13</v>
      </c>
      <c r="I45" s="91" t="s">
        <v>6196</v>
      </c>
      <c r="J45" s="87"/>
      <c r="K45" s="87" t="s">
        <v>6242</v>
      </c>
      <c r="L45" s="88"/>
      <c r="M45" s="89" t="s">
        <v>6279</v>
      </c>
      <c r="N45" s="66"/>
    </row>
    <row r="46">
      <c r="A46" s="128"/>
      <c r="B46" s="128"/>
      <c r="C46" s="69">
        <v>12102.0</v>
      </c>
      <c r="D46" s="70" t="str">
        <f>IFS(C46="","",C46,VLOOKUP(C46,'PATIENT DATA (072721)'!A:C,2,0))</f>
        <v>FORE, SANDRA</v>
      </c>
      <c r="E46" s="71">
        <f>IFS(C46="","",C46,VLOOKUP(C46,'PATIENT DATA (072721)'!A:C,3,0))</f>
        <v>17055</v>
      </c>
      <c r="F46" s="72">
        <v>44547.0</v>
      </c>
      <c r="G46" s="73">
        <v>0.3645833333333333</v>
      </c>
      <c r="H46" s="70" t="s">
        <v>12</v>
      </c>
      <c r="I46" s="75" t="s">
        <v>6196</v>
      </c>
      <c r="J46" s="74"/>
      <c r="K46" s="74" t="s">
        <v>6242</v>
      </c>
      <c r="L46" s="76"/>
      <c r="M46" s="90" t="s">
        <v>6279</v>
      </c>
      <c r="N46" s="66"/>
    </row>
    <row r="47">
      <c r="A47" s="121"/>
      <c r="B47" s="121"/>
      <c r="C47" s="80"/>
      <c r="D47" s="81"/>
      <c r="E47" s="82"/>
      <c r="F47" s="83"/>
      <c r="G47" s="84"/>
      <c r="H47" s="134"/>
      <c r="I47" s="91"/>
      <c r="J47" s="88"/>
      <c r="K47" s="88"/>
      <c r="L47" s="88"/>
      <c r="M47" s="89"/>
      <c r="N47" s="66"/>
    </row>
    <row r="48">
      <c r="A48" s="128"/>
      <c r="B48" s="128"/>
      <c r="C48" s="69"/>
      <c r="D48" s="70"/>
      <c r="E48" s="71"/>
      <c r="F48" s="72"/>
      <c r="G48" s="73"/>
      <c r="H48" s="76"/>
      <c r="I48" s="75"/>
      <c r="J48" s="76"/>
      <c r="K48" s="76"/>
      <c r="L48" s="76"/>
      <c r="M48" s="90"/>
      <c r="N48" s="66"/>
    </row>
    <row r="49">
      <c r="A49" s="121"/>
      <c r="B49" s="121"/>
      <c r="C49" s="126"/>
      <c r="D49" s="81" t="str">
        <f>IFS(C49="","",C49,VLOOKUP(C49,'PATIENT DATA (072721)'!A:C,2,0))</f>
        <v/>
      </c>
      <c r="E49" s="82" t="str">
        <f>IFS(C49="","",C49,VLOOKUP(C49,'PATIENT DATA (072721)'!A:C,3,0))</f>
        <v/>
      </c>
      <c r="F49" s="135"/>
      <c r="G49" s="136"/>
      <c r="H49" s="137"/>
      <c r="I49" s="97"/>
      <c r="J49" s="88"/>
      <c r="K49" s="88"/>
      <c r="L49" s="88"/>
      <c r="M49" s="138"/>
      <c r="N49" s="66"/>
    </row>
    <row r="50">
      <c r="A50" s="128"/>
      <c r="B50" s="128"/>
      <c r="C50" s="117"/>
      <c r="D50" s="70" t="str">
        <f>IFS(C50="","",C50,VLOOKUP(C50,'PATIENT DATA (072721)'!A:C,2,0))</f>
        <v/>
      </c>
      <c r="E50" s="71" t="str">
        <f>IFS(C50="","",C50,VLOOKUP(C50,'PATIENT DATA (072721)'!A:C,3,0))</f>
        <v/>
      </c>
      <c r="F50" s="139"/>
      <c r="G50" s="140"/>
      <c r="H50" s="76"/>
      <c r="I50" s="94"/>
      <c r="J50" s="76"/>
      <c r="K50" s="76"/>
      <c r="L50" s="76"/>
      <c r="M50" s="141"/>
      <c r="N50" s="66"/>
    </row>
    <row r="51">
      <c r="A51" s="121"/>
      <c r="B51" s="121"/>
      <c r="C51" s="126"/>
      <c r="D51" s="81" t="str">
        <f>IFS(C51="","",C51,VLOOKUP(C51,'PATIENT DATA (072721)'!A:C,2,0))</f>
        <v/>
      </c>
      <c r="E51" s="82" t="str">
        <f>IFS(C51="","",C51,VLOOKUP(C51,'PATIENT DATA (072721)'!A:C,3,0))</f>
        <v/>
      </c>
      <c r="F51" s="135"/>
      <c r="G51" s="136"/>
      <c r="H51" s="137"/>
      <c r="I51" s="97"/>
      <c r="J51" s="88"/>
      <c r="K51" s="88"/>
      <c r="L51" s="88"/>
      <c r="M51" s="138"/>
      <c r="N51" s="66"/>
    </row>
    <row r="52">
      <c r="A52" s="128"/>
      <c r="B52" s="128"/>
      <c r="C52" s="117"/>
      <c r="D52" s="70" t="str">
        <f>IFS(C52="","",C52,VLOOKUP(C52,'PATIENT DATA (072721)'!A:C,2,0))</f>
        <v/>
      </c>
      <c r="E52" s="71" t="str">
        <f>IFS(C52="","",C52,VLOOKUP(C52,'PATIENT DATA (072721)'!A:C,3,0))</f>
        <v/>
      </c>
      <c r="F52" s="139"/>
      <c r="G52" s="140"/>
      <c r="H52" s="76"/>
      <c r="I52" s="94"/>
      <c r="J52" s="76"/>
      <c r="K52" s="76"/>
      <c r="L52" s="76"/>
      <c r="M52" s="141"/>
      <c r="N52" s="66"/>
    </row>
    <row r="53">
      <c r="A53" s="121"/>
      <c r="B53" s="121"/>
      <c r="C53" s="126"/>
      <c r="D53" s="81" t="str">
        <f>IFS(C53="","",C53,VLOOKUP(C53,'PATIENT DATA (072721)'!A:C,2,0))</f>
        <v/>
      </c>
      <c r="E53" s="82" t="str">
        <f>IFS(C53="","",C53,VLOOKUP(C53,'PATIENT DATA (072721)'!A:C,3,0))</f>
        <v/>
      </c>
      <c r="F53" s="135"/>
      <c r="G53" s="136"/>
      <c r="H53" s="108"/>
      <c r="I53" s="97"/>
      <c r="J53" s="88"/>
      <c r="K53" s="88"/>
      <c r="L53" s="88"/>
      <c r="M53" s="138"/>
      <c r="N53" s="66"/>
    </row>
    <row r="54">
      <c r="A54" s="128"/>
      <c r="B54" s="128"/>
      <c r="C54" s="117"/>
      <c r="D54" s="70" t="str">
        <f>IFS(C54="","",C54,VLOOKUP(C54,'PATIENT DATA (072721)'!A:C,2,0))</f>
        <v/>
      </c>
      <c r="E54" s="71" t="str">
        <f>IFS(C54="","",C54,VLOOKUP(C54,'PATIENT DATA (072721)'!A:C,3,0))</f>
        <v/>
      </c>
      <c r="F54" s="139"/>
      <c r="G54" s="140"/>
      <c r="H54" s="70"/>
      <c r="I54" s="94"/>
      <c r="J54" s="76"/>
      <c r="K54" s="76"/>
      <c r="L54" s="76"/>
      <c r="M54" s="141"/>
      <c r="N54" s="66"/>
    </row>
    <row r="55">
      <c r="A55" s="121"/>
      <c r="B55" s="121"/>
      <c r="C55" s="126"/>
      <c r="D55" s="81" t="str">
        <f>IFS(C55="","",C55,VLOOKUP(C55,'PATIENT DATA (072721)'!A:C,2,0))</f>
        <v/>
      </c>
      <c r="E55" s="82" t="str">
        <f>IFS(C55="","",C55,VLOOKUP(C55,'PATIENT DATA (072721)'!A:C,3,0))</f>
        <v/>
      </c>
      <c r="F55" s="135"/>
      <c r="G55" s="136"/>
      <c r="H55" s="108"/>
      <c r="I55" s="97"/>
      <c r="J55" s="88"/>
      <c r="K55" s="88"/>
      <c r="L55" s="88"/>
      <c r="M55" s="138"/>
      <c r="N55" s="66"/>
    </row>
    <row r="56">
      <c r="A56" s="128"/>
      <c r="B56" s="128"/>
      <c r="C56" s="117"/>
      <c r="D56" s="70" t="str">
        <f>IFS(C56="","",C56,VLOOKUP(C56,'PATIENT DATA (072721)'!A:C,2,0))</f>
        <v/>
      </c>
      <c r="E56" s="71" t="str">
        <f>IFS(C56="","",C56,VLOOKUP(C56,'PATIENT DATA (072721)'!A:C,3,0))</f>
        <v/>
      </c>
      <c r="F56" s="139"/>
      <c r="G56" s="140"/>
      <c r="H56" s="76"/>
      <c r="I56" s="94"/>
      <c r="J56" s="76"/>
      <c r="K56" s="76"/>
      <c r="L56" s="76"/>
      <c r="M56" s="141"/>
      <c r="N56" s="66"/>
    </row>
    <row r="57">
      <c r="A57" s="121"/>
      <c r="B57" s="121"/>
      <c r="C57" s="126"/>
      <c r="D57" s="81" t="str">
        <f>IFS(C57="","",C57,VLOOKUP(C57,'PATIENT DATA (072721)'!A:C,2,0))</f>
        <v/>
      </c>
      <c r="E57" s="82" t="str">
        <f>IFS(C57="","",C57,VLOOKUP(C57,'PATIENT DATA (072721)'!A:C,3,0))</f>
        <v/>
      </c>
      <c r="F57" s="135"/>
      <c r="G57" s="136"/>
      <c r="H57" s="137"/>
      <c r="I57" s="97"/>
      <c r="J57" s="88"/>
      <c r="K57" s="88"/>
      <c r="L57" s="88"/>
      <c r="M57" s="138"/>
      <c r="N57" s="66"/>
    </row>
    <row r="58">
      <c r="A58" s="128"/>
      <c r="B58" s="128"/>
      <c r="C58" s="117"/>
      <c r="D58" s="70" t="str">
        <f>IFS(C58="","",C58,VLOOKUP(C58,'PATIENT DATA (072721)'!A:C,2,0))</f>
        <v/>
      </c>
      <c r="E58" s="71" t="str">
        <f>IFS(C58="","",C58,VLOOKUP(C58,'PATIENT DATA (072721)'!A:C,3,0))</f>
        <v/>
      </c>
      <c r="F58" s="139"/>
      <c r="G58" s="140"/>
      <c r="H58" s="76"/>
      <c r="I58" s="94"/>
      <c r="J58" s="76"/>
      <c r="K58" s="76"/>
      <c r="L58" s="76"/>
      <c r="M58" s="141"/>
      <c r="N58" s="66"/>
    </row>
    <row r="59">
      <c r="A59" s="121"/>
      <c r="B59" s="121"/>
      <c r="C59" s="126"/>
      <c r="D59" s="81" t="str">
        <f>IFS(C59="","",C59,VLOOKUP(C59,'PATIENT DATA (072721)'!A:C,2,0))</f>
        <v/>
      </c>
      <c r="E59" s="82" t="str">
        <f>IFS(C59="","",C59,VLOOKUP(C59,'PATIENT DATA (072721)'!A:C,3,0))</f>
        <v/>
      </c>
      <c r="F59" s="135"/>
      <c r="G59" s="136"/>
      <c r="H59" s="137"/>
      <c r="I59" s="97"/>
      <c r="J59" s="88"/>
      <c r="K59" s="88"/>
      <c r="L59" s="88"/>
      <c r="M59" s="138"/>
      <c r="N59" s="66"/>
    </row>
    <row r="60">
      <c r="A60" s="128"/>
      <c r="B60" s="128"/>
      <c r="C60" s="117"/>
      <c r="D60" s="70" t="str">
        <f>IFS(C60="","",C60,VLOOKUP(C60,'PATIENT DATA (072721)'!A:C,2,0))</f>
        <v/>
      </c>
      <c r="E60" s="71" t="str">
        <f>IFS(C60="","",C60,VLOOKUP(C60,'PATIENT DATA (072721)'!A:C,3,0))</f>
        <v/>
      </c>
      <c r="F60" s="139"/>
      <c r="G60" s="140"/>
      <c r="H60" s="76"/>
      <c r="I60" s="94"/>
      <c r="J60" s="76"/>
      <c r="K60" s="76"/>
      <c r="L60" s="76"/>
      <c r="M60" s="141"/>
      <c r="N60" s="66"/>
    </row>
    <row r="61">
      <c r="A61" s="121"/>
      <c r="B61" s="121"/>
      <c r="C61" s="126"/>
      <c r="D61" s="81" t="str">
        <f>IFS(C61="","",C61,VLOOKUP(C61,'PATIENT DATA (072721)'!A:C,2,0))</f>
        <v/>
      </c>
      <c r="E61" s="82" t="str">
        <f>IFS(C61="","",C61,VLOOKUP(C61,'PATIENT DATA (072721)'!A:C,3,0))</f>
        <v/>
      </c>
      <c r="F61" s="135"/>
      <c r="G61" s="136"/>
      <c r="H61" s="137"/>
      <c r="I61" s="97"/>
      <c r="J61" s="88"/>
      <c r="K61" s="88"/>
      <c r="L61" s="88"/>
      <c r="M61" s="138"/>
      <c r="N61" s="66"/>
    </row>
    <row r="62">
      <c r="A62" s="128"/>
      <c r="B62" s="128"/>
      <c r="C62" s="117"/>
      <c r="D62" s="70" t="str">
        <f>IFS(C62="","",C62,VLOOKUP(C62,'PATIENT DATA (072721)'!A:C,2,0))</f>
        <v/>
      </c>
      <c r="E62" s="71" t="str">
        <f>IFS(C62="","",C62,VLOOKUP(C62,'PATIENT DATA (072721)'!A:C,3,0))</f>
        <v/>
      </c>
      <c r="F62" s="139"/>
      <c r="G62" s="140"/>
      <c r="H62" s="76"/>
      <c r="I62" s="94"/>
      <c r="J62" s="76"/>
      <c r="K62" s="76"/>
      <c r="L62" s="76"/>
      <c r="M62" s="141"/>
      <c r="N62" s="66"/>
    </row>
    <row r="63">
      <c r="A63" s="121"/>
      <c r="B63" s="121"/>
      <c r="C63" s="126"/>
      <c r="D63" s="81" t="str">
        <f>IFS(C63="","",C63,VLOOKUP(C63,'PATIENT DATA (072721)'!A:C,2,0))</f>
        <v/>
      </c>
      <c r="E63" s="82" t="str">
        <f>IFS(C63="","",C63,VLOOKUP(C63,'PATIENT DATA (072721)'!A:C,3,0))</f>
        <v/>
      </c>
      <c r="F63" s="135"/>
      <c r="G63" s="136"/>
      <c r="H63" s="137"/>
      <c r="I63" s="97"/>
      <c r="J63" s="88"/>
      <c r="K63" s="88"/>
      <c r="L63" s="88"/>
      <c r="M63" s="138"/>
      <c r="N63" s="66"/>
    </row>
    <row r="64">
      <c r="A64" s="128"/>
      <c r="B64" s="128"/>
      <c r="C64" s="117"/>
      <c r="D64" s="70" t="str">
        <f>IFS(C64="","",C64,VLOOKUP(C64,'PATIENT DATA (072721)'!A:C,2,0))</f>
        <v/>
      </c>
      <c r="E64" s="71" t="str">
        <f>IFS(C64="","",C64,VLOOKUP(C64,'PATIENT DATA (072721)'!A:C,3,0))</f>
        <v/>
      </c>
      <c r="F64" s="139"/>
      <c r="G64" s="140"/>
      <c r="H64" s="76"/>
      <c r="I64" s="94"/>
      <c r="J64" s="76"/>
      <c r="K64" s="76"/>
      <c r="L64" s="76"/>
      <c r="M64" s="141"/>
      <c r="N64" s="66"/>
    </row>
    <row r="65">
      <c r="A65" s="121"/>
      <c r="B65" s="121"/>
      <c r="C65" s="126"/>
      <c r="D65" s="81" t="str">
        <f>IFS(C65="","",C65,VLOOKUP(C65,'PATIENT DATA (072721)'!A:C,2,0))</f>
        <v/>
      </c>
      <c r="E65" s="82" t="str">
        <f>IFS(C65="","",C65,VLOOKUP(C65,'PATIENT DATA (072721)'!A:C,3,0))</f>
        <v/>
      </c>
      <c r="F65" s="135"/>
      <c r="G65" s="136"/>
      <c r="H65" s="137"/>
      <c r="I65" s="97"/>
      <c r="J65" s="88"/>
      <c r="K65" s="88"/>
      <c r="L65" s="88"/>
      <c r="M65" s="138"/>
      <c r="N65" s="66"/>
    </row>
    <row r="66">
      <c r="A66" s="128"/>
      <c r="B66" s="128"/>
      <c r="C66" s="117"/>
      <c r="D66" s="70" t="str">
        <f>IFS(C66="","",C66,VLOOKUP(C66,'PATIENT DATA (072721)'!A:C,2,0))</f>
        <v/>
      </c>
      <c r="E66" s="71" t="str">
        <f>IFS(C66="","",C66,VLOOKUP(C66,'PATIENT DATA (072721)'!A:C,3,0))</f>
        <v/>
      </c>
      <c r="F66" s="139"/>
      <c r="G66" s="140"/>
      <c r="H66" s="76"/>
      <c r="I66" s="94"/>
      <c r="J66" s="76"/>
      <c r="K66" s="76"/>
      <c r="L66" s="76"/>
      <c r="M66" s="141"/>
      <c r="N66" s="66"/>
    </row>
    <row r="67">
      <c r="A67" s="121"/>
      <c r="B67" s="121"/>
      <c r="C67" s="126"/>
      <c r="D67" s="81" t="str">
        <f>IFS(C67="","",C67,VLOOKUP(C67,'PATIENT DATA (072721)'!A:C,2,0))</f>
        <v/>
      </c>
      <c r="E67" s="82" t="str">
        <f>IFS(C67="","",C67,VLOOKUP(C67,'PATIENT DATA (072721)'!A:C,3,0))</f>
        <v/>
      </c>
      <c r="F67" s="135"/>
      <c r="G67" s="136"/>
      <c r="H67" s="137"/>
      <c r="I67" s="97"/>
      <c r="J67" s="88"/>
      <c r="K67" s="88"/>
      <c r="L67" s="88"/>
      <c r="M67" s="138"/>
      <c r="N67" s="66"/>
    </row>
    <row r="68">
      <c r="A68" s="128"/>
      <c r="B68" s="128"/>
      <c r="C68" s="117"/>
      <c r="D68" s="70" t="str">
        <f>IFS(C68="","",C68,VLOOKUP(C68,'PATIENT DATA (072721)'!A:C,2,0))</f>
        <v/>
      </c>
      <c r="E68" s="71" t="str">
        <f>IFS(C68="","",C68,VLOOKUP(C68,'PATIENT DATA (072721)'!A:C,3,0))</f>
        <v/>
      </c>
      <c r="F68" s="139"/>
      <c r="G68" s="140"/>
      <c r="H68" s="76"/>
      <c r="I68" s="94"/>
      <c r="J68" s="76"/>
      <c r="K68" s="76"/>
      <c r="L68" s="76"/>
      <c r="M68" s="141"/>
      <c r="N68" s="66"/>
    </row>
    <row r="69">
      <c r="A69" s="121"/>
      <c r="B69" s="121"/>
      <c r="C69" s="126"/>
      <c r="D69" s="81" t="str">
        <f>IFS(C69="","",C69,VLOOKUP(C69,'PATIENT DATA (072721)'!A:C,2,0))</f>
        <v/>
      </c>
      <c r="E69" s="82" t="str">
        <f>IFS(C69="","",C69,VLOOKUP(C69,'PATIENT DATA (072721)'!A:C,3,0))</f>
        <v/>
      </c>
      <c r="F69" s="135"/>
      <c r="G69" s="136"/>
      <c r="H69" s="137"/>
      <c r="I69" s="97"/>
      <c r="J69" s="88"/>
      <c r="K69" s="88"/>
      <c r="L69" s="88"/>
      <c r="M69" s="138"/>
      <c r="N69" s="66"/>
    </row>
    <row r="70">
      <c r="A70" s="128"/>
      <c r="B70" s="128"/>
      <c r="C70" s="117"/>
      <c r="D70" s="70" t="str">
        <f>IFS(C70="","",C70,VLOOKUP(C70,'PATIENT DATA (072721)'!A:C,2,0))</f>
        <v/>
      </c>
      <c r="E70" s="71" t="str">
        <f>IFS(C70="","",C70,VLOOKUP(C70,'PATIENT DATA (072721)'!A:C,3,0))</f>
        <v/>
      </c>
      <c r="F70" s="139"/>
      <c r="G70" s="140"/>
      <c r="H70" s="76"/>
      <c r="I70" s="94"/>
      <c r="J70" s="76"/>
      <c r="K70" s="76"/>
      <c r="L70" s="76"/>
      <c r="M70" s="141"/>
      <c r="N70" s="66"/>
    </row>
    <row r="71">
      <c r="A71" s="121"/>
      <c r="B71" s="121"/>
      <c r="C71" s="126"/>
      <c r="D71" s="81" t="str">
        <f>IFS(C71="","",C71,VLOOKUP(C71,'PATIENT DATA (072721)'!A:C,2,0))</f>
        <v/>
      </c>
      <c r="E71" s="82" t="str">
        <f>IFS(C71="","",C71,VLOOKUP(C71,'PATIENT DATA (072721)'!A:C,3,0))</f>
        <v/>
      </c>
      <c r="F71" s="135"/>
      <c r="G71" s="136"/>
      <c r="H71" s="137"/>
      <c r="I71" s="97"/>
      <c r="J71" s="88"/>
      <c r="K71" s="88"/>
      <c r="L71" s="88"/>
      <c r="M71" s="138"/>
      <c r="N71" s="66"/>
    </row>
    <row r="72">
      <c r="A72" s="128"/>
      <c r="B72" s="128"/>
      <c r="C72" s="117"/>
      <c r="D72" s="70" t="str">
        <f>IFS(C72="","",C72,VLOOKUP(C72,'PATIENT DATA (072721)'!A:C,2,0))</f>
        <v/>
      </c>
      <c r="E72" s="71" t="str">
        <f>IFS(C72="","",C72,VLOOKUP(C72,'PATIENT DATA (072721)'!A:C,3,0))</f>
        <v/>
      </c>
      <c r="F72" s="139"/>
      <c r="G72" s="140"/>
      <c r="H72" s="76"/>
      <c r="I72" s="94"/>
      <c r="J72" s="76"/>
      <c r="K72" s="76"/>
      <c r="L72" s="76"/>
      <c r="M72" s="141"/>
      <c r="N72" s="66"/>
    </row>
    <row r="73">
      <c r="A73" s="121"/>
      <c r="B73" s="121"/>
      <c r="C73" s="126"/>
      <c r="D73" s="81" t="str">
        <f>IFS(C73="","",C73,VLOOKUP(C73,'PATIENT DATA (072721)'!A:C,2,0))</f>
        <v/>
      </c>
      <c r="E73" s="82" t="str">
        <f>IFS(C73="","",C73,VLOOKUP(C73,'PATIENT DATA (072721)'!A:C,3,0))</f>
        <v/>
      </c>
      <c r="F73" s="135"/>
      <c r="G73" s="136"/>
      <c r="H73" s="137"/>
      <c r="I73" s="97"/>
      <c r="J73" s="88"/>
      <c r="K73" s="88"/>
      <c r="L73" s="88"/>
      <c r="M73" s="138"/>
      <c r="N73" s="66"/>
    </row>
    <row r="74">
      <c r="A74" s="128"/>
      <c r="B74" s="128"/>
      <c r="C74" s="117"/>
      <c r="D74" s="70" t="str">
        <f>IFS(C74="","",C74,VLOOKUP(C74,'PATIENT DATA (072721)'!A:C,2,0))</f>
        <v/>
      </c>
      <c r="E74" s="71" t="str">
        <f>IFS(C74="","",C74,VLOOKUP(C74,'PATIENT DATA (072721)'!A:C,3,0))</f>
        <v/>
      </c>
      <c r="F74" s="139"/>
      <c r="G74" s="140"/>
      <c r="H74" s="76"/>
      <c r="I74" s="94"/>
      <c r="J74" s="76"/>
      <c r="K74" s="76"/>
      <c r="L74" s="76"/>
      <c r="M74" s="141"/>
      <c r="N74" s="66"/>
    </row>
    <row r="75">
      <c r="A75" s="121"/>
      <c r="B75" s="121"/>
      <c r="C75" s="126"/>
      <c r="D75" s="81" t="str">
        <f>IFS(C75="","",C75,VLOOKUP(C75,'PATIENT DATA (072721)'!A:C,2,0))</f>
        <v/>
      </c>
      <c r="E75" s="82" t="str">
        <f>IFS(C75="","",C75,VLOOKUP(C75,'PATIENT DATA (072721)'!A:C,3,0))</f>
        <v/>
      </c>
      <c r="F75" s="135"/>
      <c r="G75" s="136"/>
      <c r="H75" s="137"/>
      <c r="I75" s="97"/>
      <c r="J75" s="88"/>
      <c r="K75" s="88"/>
      <c r="L75" s="88"/>
      <c r="M75" s="138"/>
      <c r="N75" s="66"/>
    </row>
    <row r="76">
      <c r="A76" s="128"/>
      <c r="B76" s="128"/>
      <c r="C76" s="117"/>
      <c r="D76" s="70" t="str">
        <f>IFS(C76="","",C76,VLOOKUP(C76,'PATIENT DATA (072721)'!A:C,2,0))</f>
        <v/>
      </c>
      <c r="E76" s="71" t="str">
        <f>IFS(C76="","",C76,VLOOKUP(C76,'PATIENT DATA (072721)'!A:C,3,0))</f>
        <v/>
      </c>
      <c r="F76" s="139"/>
      <c r="G76" s="140"/>
      <c r="H76" s="76"/>
      <c r="I76" s="94"/>
      <c r="J76" s="76"/>
      <c r="K76" s="76"/>
      <c r="L76" s="76"/>
      <c r="M76" s="141"/>
      <c r="N76" s="66"/>
    </row>
    <row r="77">
      <c r="A77" s="121"/>
      <c r="B77" s="121"/>
      <c r="C77" s="126"/>
      <c r="D77" s="81" t="str">
        <f>IFS(C77="","",C77,VLOOKUP(C77,'PATIENT DATA (072721)'!A:C,2,0))</f>
        <v/>
      </c>
      <c r="E77" s="82" t="str">
        <f>IFS(C77="","",C77,VLOOKUP(C77,'PATIENT DATA (072721)'!A:C,3,0))</f>
        <v/>
      </c>
      <c r="F77" s="135"/>
      <c r="G77" s="136"/>
      <c r="H77" s="137"/>
      <c r="I77" s="97"/>
      <c r="J77" s="88"/>
      <c r="K77" s="88"/>
      <c r="L77" s="88"/>
      <c r="M77" s="138"/>
      <c r="N77" s="66"/>
    </row>
    <row r="78">
      <c r="A78" s="128"/>
      <c r="B78" s="128"/>
      <c r="C78" s="117"/>
      <c r="D78" s="70" t="str">
        <f>IFS(C78="","",C78,VLOOKUP(C78,'PATIENT DATA (072721)'!A:C,2,0))</f>
        <v/>
      </c>
      <c r="E78" s="71" t="str">
        <f>IFS(C78="","",C78,VLOOKUP(C78,'PATIENT DATA (072721)'!A:C,3,0))</f>
        <v/>
      </c>
      <c r="F78" s="139"/>
      <c r="G78" s="140"/>
      <c r="H78" s="76"/>
      <c r="I78" s="94"/>
      <c r="J78" s="76"/>
      <c r="K78" s="76"/>
      <c r="L78" s="76"/>
      <c r="M78" s="141"/>
      <c r="N78" s="66"/>
    </row>
    <row r="79">
      <c r="A79" s="121"/>
      <c r="B79" s="121"/>
      <c r="C79" s="126"/>
      <c r="D79" s="81" t="str">
        <f>IFS(C79="","",C79,VLOOKUP(C79,'PATIENT DATA (072721)'!A:C,2,0))</f>
        <v/>
      </c>
      <c r="E79" s="82" t="str">
        <f>IFS(C79="","",C79,VLOOKUP(C79,'PATIENT DATA (072721)'!A:C,3,0))</f>
        <v/>
      </c>
      <c r="F79" s="135"/>
      <c r="G79" s="136"/>
      <c r="H79" s="137"/>
      <c r="I79" s="97"/>
      <c r="J79" s="88"/>
      <c r="K79" s="88"/>
      <c r="L79" s="88"/>
      <c r="M79" s="138"/>
      <c r="N79" s="66"/>
    </row>
    <row r="80">
      <c r="A80" s="128"/>
      <c r="B80" s="128"/>
      <c r="C80" s="117"/>
      <c r="D80" s="70" t="str">
        <f>IFS(C80="","",C80,VLOOKUP(C80,'PATIENT DATA (072721)'!A:C,2,0))</f>
        <v/>
      </c>
      <c r="E80" s="71" t="str">
        <f>IFS(C80="","",C80,VLOOKUP(C80,'PATIENT DATA (072721)'!A:C,3,0))</f>
        <v/>
      </c>
      <c r="F80" s="139"/>
      <c r="G80" s="140"/>
      <c r="H80" s="76"/>
      <c r="I80" s="94"/>
      <c r="J80" s="76"/>
      <c r="K80" s="76"/>
      <c r="L80" s="76"/>
      <c r="M80" s="141"/>
      <c r="N80" s="66"/>
    </row>
    <row r="81">
      <c r="A81" s="121"/>
      <c r="B81" s="121"/>
      <c r="C81" s="126"/>
      <c r="D81" s="81" t="str">
        <f>IFS(C81="","",C81,VLOOKUP(C81,'PATIENT DATA (072721)'!A:C,2,0))</f>
        <v/>
      </c>
      <c r="E81" s="82" t="str">
        <f>IFS(C81="","",C81,VLOOKUP(C81,'PATIENT DATA (072721)'!A:C,3,0))</f>
        <v/>
      </c>
      <c r="F81" s="135"/>
      <c r="G81" s="136"/>
      <c r="H81" s="137"/>
      <c r="I81" s="97"/>
      <c r="J81" s="88"/>
      <c r="K81" s="88"/>
      <c r="L81" s="88"/>
      <c r="M81" s="138"/>
      <c r="N81" s="66"/>
    </row>
    <row r="82">
      <c r="A82" s="128"/>
      <c r="B82" s="128"/>
      <c r="C82" s="117"/>
      <c r="D82" s="70" t="str">
        <f>IFS(C82="","",C82,VLOOKUP(C82,'PATIENT DATA (072721)'!A:C,2,0))</f>
        <v/>
      </c>
      <c r="E82" s="71" t="str">
        <f>IFS(C82="","",C82,VLOOKUP(C82,'PATIENT DATA (072721)'!A:C,3,0))</f>
        <v/>
      </c>
      <c r="F82" s="139"/>
      <c r="G82" s="140"/>
      <c r="H82" s="76"/>
      <c r="I82" s="94"/>
      <c r="J82" s="76"/>
      <c r="K82" s="76"/>
      <c r="L82" s="76"/>
      <c r="M82" s="141"/>
      <c r="N82" s="66"/>
    </row>
    <row r="83">
      <c r="A83" s="121"/>
      <c r="B83" s="121"/>
      <c r="C83" s="126"/>
      <c r="D83" s="81" t="str">
        <f>IFS(C83="","",C83,VLOOKUP(C83,'PATIENT DATA (072721)'!A:C,2,0))</f>
        <v/>
      </c>
      <c r="E83" s="82" t="str">
        <f>IFS(C83="","",C83,VLOOKUP(C83,'PATIENT DATA (072721)'!A:C,3,0))</f>
        <v/>
      </c>
      <c r="F83" s="135"/>
      <c r="G83" s="136"/>
      <c r="H83" s="137"/>
      <c r="I83" s="97"/>
      <c r="J83" s="88"/>
      <c r="K83" s="88"/>
      <c r="L83" s="88"/>
      <c r="M83" s="138"/>
      <c r="N83" s="66"/>
    </row>
    <row r="84">
      <c r="A84" s="128"/>
      <c r="B84" s="128"/>
      <c r="C84" s="117"/>
      <c r="D84" s="70" t="str">
        <f>IFS(C84="","",C84,VLOOKUP(C84,'PATIENT DATA (072721)'!A:C,2,0))</f>
        <v/>
      </c>
      <c r="E84" s="71" t="str">
        <f>IFS(C84="","",C84,VLOOKUP(C84,'PATIENT DATA (072721)'!A:C,3,0))</f>
        <v/>
      </c>
      <c r="F84" s="139"/>
      <c r="G84" s="140"/>
      <c r="H84" s="76"/>
      <c r="I84" s="94"/>
      <c r="J84" s="76"/>
      <c r="K84" s="76"/>
      <c r="L84" s="76"/>
      <c r="M84" s="141"/>
      <c r="N84" s="66"/>
    </row>
    <row r="85">
      <c r="A85" s="121"/>
      <c r="B85" s="121"/>
      <c r="C85" s="126"/>
      <c r="D85" s="81" t="str">
        <f>IFS(C85="","",C85,VLOOKUP(C85,'PATIENT DATA (072721)'!A:C,2,0))</f>
        <v/>
      </c>
      <c r="E85" s="82" t="str">
        <f>IFS(C85="","",C85,VLOOKUP(C85,'PATIENT DATA (072721)'!A:C,3,0))</f>
        <v/>
      </c>
      <c r="F85" s="135"/>
      <c r="G85" s="136"/>
      <c r="H85" s="137"/>
      <c r="I85" s="97"/>
      <c r="J85" s="88"/>
      <c r="K85" s="88"/>
      <c r="L85" s="88"/>
      <c r="M85" s="138"/>
      <c r="N85" s="66"/>
    </row>
    <row r="86">
      <c r="A86" s="128"/>
      <c r="B86" s="128"/>
      <c r="C86" s="117"/>
      <c r="D86" s="70" t="str">
        <f>IFS(C86="","",C86,VLOOKUP(C86,'PATIENT DATA (072721)'!A:C,2,0))</f>
        <v/>
      </c>
      <c r="E86" s="71" t="str">
        <f>IFS(C86="","",C86,VLOOKUP(C86,'PATIENT DATA (072721)'!A:C,3,0))</f>
        <v/>
      </c>
      <c r="F86" s="139"/>
      <c r="G86" s="140"/>
      <c r="H86" s="76"/>
      <c r="I86" s="94"/>
      <c r="J86" s="76"/>
      <c r="K86" s="76"/>
      <c r="L86" s="76"/>
      <c r="M86" s="141"/>
      <c r="N86" s="66"/>
    </row>
    <row r="87">
      <c r="A87" s="121"/>
      <c r="B87" s="121"/>
      <c r="C87" s="126"/>
      <c r="D87" s="81" t="str">
        <f>IFS(C87="","",C87,VLOOKUP(C87,'PATIENT DATA (072721)'!A:C,2,0))</f>
        <v/>
      </c>
      <c r="E87" s="82" t="str">
        <f>IFS(C87="","",C87,VLOOKUP(C87,'PATIENT DATA (072721)'!A:C,3,0))</f>
        <v/>
      </c>
      <c r="F87" s="135"/>
      <c r="G87" s="136"/>
      <c r="H87" s="137"/>
      <c r="I87" s="97"/>
      <c r="J87" s="88"/>
      <c r="K87" s="88"/>
      <c r="L87" s="88"/>
      <c r="M87" s="138"/>
      <c r="N87" s="66"/>
    </row>
    <row r="88">
      <c r="A88" s="128"/>
      <c r="B88" s="128"/>
      <c r="C88" s="117"/>
      <c r="D88" s="70" t="str">
        <f>IFS(C88="","",C88,VLOOKUP(C88,'PATIENT DATA (072721)'!A:C,2,0))</f>
        <v/>
      </c>
      <c r="E88" s="71" t="str">
        <f>IFS(C88="","",C88,VLOOKUP(C88,'PATIENT DATA (072721)'!A:C,3,0))</f>
        <v/>
      </c>
      <c r="F88" s="139"/>
      <c r="G88" s="140"/>
      <c r="H88" s="76"/>
      <c r="I88" s="94"/>
      <c r="J88" s="76"/>
      <c r="K88" s="76"/>
      <c r="L88" s="76"/>
      <c r="M88" s="141"/>
      <c r="N88" s="66"/>
    </row>
    <row r="89">
      <c r="A89" s="121"/>
      <c r="B89" s="121"/>
      <c r="C89" s="126"/>
      <c r="D89" s="81" t="str">
        <f>IFS(C89="","",C89,VLOOKUP(C89,'PATIENT DATA (072721)'!A:C,2,0))</f>
        <v/>
      </c>
      <c r="E89" s="82" t="str">
        <f>IFS(C89="","",C89,VLOOKUP(C89,'PATIENT DATA (072721)'!A:C,3,0))</f>
        <v/>
      </c>
      <c r="F89" s="135"/>
      <c r="G89" s="136"/>
      <c r="H89" s="137"/>
      <c r="I89" s="97"/>
      <c r="J89" s="88"/>
      <c r="K89" s="88"/>
      <c r="L89" s="88"/>
      <c r="M89" s="138"/>
      <c r="N89" s="66"/>
    </row>
    <row r="90">
      <c r="A90" s="128"/>
      <c r="B90" s="128"/>
      <c r="C90" s="117"/>
      <c r="D90" s="70" t="str">
        <f>IFS(C90="","",C90,VLOOKUP(C90,'PATIENT DATA (072721)'!A:C,2,0))</f>
        <v/>
      </c>
      <c r="E90" s="71" t="str">
        <f>IFS(C90="","",C90,VLOOKUP(C90,'PATIENT DATA (072721)'!A:C,3,0))</f>
        <v/>
      </c>
      <c r="F90" s="139"/>
      <c r="G90" s="140"/>
      <c r="H90" s="76"/>
      <c r="I90" s="94"/>
      <c r="J90" s="76"/>
      <c r="K90" s="76"/>
      <c r="L90" s="76"/>
      <c r="M90" s="141"/>
      <c r="N90" s="66"/>
    </row>
    <row r="91">
      <c r="A91" s="121"/>
      <c r="B91" s="121"/>
      <c r="C91" s="126"/>
      <c r="D91" s="81" t="str">
        <f>IFS(C91="","",C91,VLOOKUP(C91,'PATIENT DATA (072721)'!A:C,2,0))</f>
        <v/>
      </c>
      <c r="E91" s="82" t="str">
        <f>IFS(C91="","",C91,VLOOKUP(C91,'PATIENT DATA (072721)'!A:C,3,0))</f>
        <v/>
      </c>
      <c r="F91" s="135"/>
      <c r="G91" s="136"/>
      <c r="H91" s="137"/>
      <c r="I91" s="97"/>
      <c r="J91" s="88"/>
      <c r="K91" s="88"/>
      <c r="L91" s="88"/>
      <c r="M91" s="138"/>
      <c r="N91" s="66"/>
    </row>
    <row r="92">
      <c r="A92" s="128"/>
      <c r="B92" s="128"/>
      <c r="C92" s="117"/>
      <c r="D92" s="70" t="str">
        <f>IFS(C92="","",C92,VLOOKUP(C92,'PATIENT DATA (072721)'!A:C,2,0))</f>
        <v/>
      </c>
      <c r="E92" s="71" t="str">
        <f>IFS(C92="","",C92,VLOOKUP(C92,'PATIENT DATA (072721)'!A:C,3,0))</f>
        <v/>
      </c>
      <c r="F92" s="139"/>
      <c r="G92" s="140"/>
      <c r="H92" s="76"/>
      <c r="I92" s="94"/>
      <c r="J92" s="76"/>
      <c r="K92" s="76"/>
      <c r="L92" s="76"/>
      <c r="M92" s="141"/>
      <c r="N92" s="66"/>
    </row>
    <row r="93">
      <c r="A93" s="121"/>
      <c r="B93" s="121"/>
      <c r="C93" s="126"/>
      <c r="D93" s="81" t="str">
        <f>IFS(C93="","",C93,VLOOKUP(C93,'PATIENT DATA (072721)'!A:C,2,0))</f>
        <v/>
      </c>
      <c r="E93" s="82" t="str">
        <f>IFS(C93="","",C93,VLOOKUP(C93,'PATIENT DATA (072721)'!A:C,3,0))</f>
        <v/>
      </c>
      <c r="F93" s="135"/>
      <c r="G93" s="136"/>
      <c r="H93" s="137"/>
      <c r="I93" s="97"/>
      <c r="J93" s="88"/>
      <c r="K93" s="88"/>
      <c r="L93" s="88"/>
      <c r="M93" s="138"/>
      <c r="N93" s="66"/>
    </row>
    <row r="94">
      <c r="A94" s="128"/>
      <c r="B94" s="128"/>
      <c r="C94" s="117"/>
      <c r="D94" s="70" t="str">
        <f>IFS(C94="","",C94,VLOOKUP(C94,'PATIENT DATA (072721)'!A:C,2,0))</f>
        <v/>
      </c>
      <c r="E94" s="71" t="str">
        <f>IFS(C94="","",C94,VLOOKUP(C94,'PATIENT DATA (072721)'!A:C,3,0))</f>
        <v/>
      </c>
      <c r="F94" s="139"/>
      <c r="G94" s="140"/>
      <c r="H94" s="76"/>
      <c r="I94" s="94"/>
      <c r="J94" s="76"/>
      <c r="K94" s="76"/>
      <c r="L94" s="76"/>
      <c r="M94" s="141"/>
      <c r="N94" s="66"/>
    </row>
    <row r="95">
      <c r="A95" s="121"/>
      <c r="B95" s="121"/>
      <c r="C95" s="126"/>
      <c r="D95" s="81" t="str">
        <f>IFS(C95="","",C95,VLOOKUP(C95,'PATIENT DATA (072721)'!A:C,2,0))</f>
        <v/>
      </c>
      <c r="E95" s="82" t="str">
        <f>IFS(C95="","",C95,VLOOKUP(C95,'PATIENT DATA (072721)'!A:C,3,0))</f>
        <v/>
      </c>
      <c r="F95" s="135"/>
      <c r="G95" s="136"/>
      <c r="H95" s="137"/>
      <c r="I95" s="97"/>
      <c r="J95" s="88"/>
      <c r="K95" s="88"/>
      <c r="L95" s="88"/>
      <c r="M95" s="138"/>
      <c r="N95" s="66"/>
    </row>
    <row r="96">
      <c r="A96" s="128"/>
      <c r="B96" s="128"/>
      <c r="C96" s="117"/>
      <c r="D96" s="70" t="str">
        <f>IFS(C96="","",C96,VLOOKUP(C96,'PATIENT DATA (072721)'!A:C,2,0))</f>
        <v/>
      </c>
      <c r="E96" s="71" t="str">
        <f>IFS(C96="","",C96,VLOOKUP(C96,'PATIENT DATA (072721)'!A:C,3,0))</f>
        <v/>
      </c>
      <c r="F96" s="139"/>
      <c r="G96" s="140"/>
      <c r="H96" s="76"/>
      <c r="I96" s="94"/>
      <c r="J96" s="76"/>
      <c r="K96" s="76"/>
      <c r="L96" s="76"/>
      <c r="M96" s="141"/>
      <c r="N96" s="66"/>
    </row>
    <row r="97">
      <c r="A97" s="121"/>
      <c r="B97" s="121"/>
      <c r="C97" s="126"/>
      <c r="D97" s="81" t="str">
        <f>IFS(C97="","",C97,VLOOKUP(C97,'PATIENT DATA (072721)'!A:C,2,0))</f>
        <v/>
      </c>
      <c r="E97" s="82" t="str">
        <f>IFS(C97="","",C97,VLOOKUP(C97,'PATIENT DATA (072721)'!A:C,3,0))</f>
        <v/>
      </c>
      <c r="F97" s="135"/>
      <c r="G97" s="136"/>
      <c r="H97" s="137"/>
      <c r="I97" s="97"/>
      <c r="J97" s="88"/>
      <c r="K97" s="88"/>
      <c r="L97" s="88"/>
      <c r="M97" s="138"/>
      <c r="N97" s="66"/>
    </row>
    <row r="98">
      <c r="A98" s="128"/>
      <c r="B98" s="128"/>
      <c r="C98" s="117"/>
      <c r="D98" s="70" t="str">
        <f>IFS(C98="","",C98,VLOOKUP(C98,'PATIENT DATA (072721)'!A:C,2,0))</f>
        <v/>
      </c>
      <c r="E98" s="71" t="str">
        <f>IFS(C98="","",C98,VLOOKUP(C98,'PATIENT DATA (072721)'!A:C,3,0))</f>
        <v/>
      </c>
      <c r="F98" s="139"/>
      <c r="G98" s="140"/>
      <c r="H98" s="76"/>
      <c r="I98" s="94"/>
      <c r="J98" s="76"/>
      <c r="K98" s="76"/>
      <c r="L98" s="76"/>
      <c r="M98" s="141"/>
      <c r="N98" s="66"/>
    </row>
    <row r="99">
      <c r="A99" s="121"/>
      <c r="B99" s="121"/>
      <c r="C99" s="126"/>
      <c r="D99" s="81" t="str">
        <f>IFS(C99="","",C99,VLOOKUP(C99,'PATIENT DATA (072721)'!A:C,2,0))</f>
        <v/>
      </c>
      <c r="E99" s="82" t="str">
        <f>IFS(C99="","",C99,VLOOKUP(C99,'PATIENT DATA (072721)'!A:C,3,0))</f>
        <v/>
      </c>
      <c r="F99" s="135"/>
      <c r="G99" s="136"/>
      <c r="H99" s="137"/>
      <c r="I99" s="97"/>
      <c r="J99" s="88"/>
      <c r="K99" s="88"/>
      <c r="L99" s="88"/>
      <c r="M99" s="138"/>
      <c r="N99" s="66"/>
    </row>
    <row r="100">
      <c r="A100" s="128"/>
      <c r="B100" s="128"/>
      <c r="C100" s="117"/>
      <c r="D100" s="70" t="str">
        <f>IFS(C100="","",C100,VLOOKUP(C100,'PATIENT DATA (072721)'!A:C,2,0))</f>
        <v/>
      </c>
      <c r="E100" s="71" t="str">
        <f>IFS(C100="","",C100,VLOOKUP(C100,'PATIENT DATA (072721)'!A:C,3,0))</f>
        <v/>
      </c>
      <c r="F100" s="139"/>
      <c r="G100" s="140"/>
      <c r="H100" s="76"/>
      <c r="I100" s="94"/>
      <c r="J100" s="76"/>
      <c r="K100" s="76"/>
      <c r="L100" s="76"/>
      <c r="M100" s="141"/>
      <c r="N100" s="66"/>
    </row>
    <row r="101">
      <c r="A101" s="121"/>
      <c r="B101" s="121"/>
      <c r="C101" s="126"/>
      <c r="D101" s="81" t="str">
        <f>IFS(C101="","",C101,VLOOKUP(C101,'PATIENT DATA (072721)'!A:C,2,0))</f>
        <v/>
      </c>
      <c r="E101" s="82" t="str">
        <f>IFS(C101="","",C101,VLOOKUP(C101,'PATIENT DATA (072721)'!A:C,3,0))</f>
        <v/>
      </c>
      <c r="F101" s="135"/>
      <c r="G101" s="136"/>
      <c r="H101" s="137"/>
      <c r="I101" s="97"/>
      <c r="J101" s="88"/>
      <c r="K101" s="88"/>
      <c r="L101" s="88"/>
      <c r="M101" s="138"/>
      <c r="N101" s="66"/>
    </row>
    <row r="102">
      <c r="A102" s="128"/>
      <c r="B102" s="128"/>
      <c r="C102" s="117"/>
      <c r="D102" s="70" t="str">
        <f>IFS(C102="","",C102,VLOOKUP(C102,'PATIENT DATA (072721)'!A:C,2,0))</f>
        <v/>
      </c>
      <c r="E102" s="71" t="str">
        <f>IFS(C102="","",C102,VLOOKUP(C102,'PATIENT DATA (072721)'!A:C,3,0))</f>
        <v/>
      </c>
      <c r="F102" s="139"/>
      <c r="G102" s="140"/>
      <c r="H102" s="76"/>
      <c r="I102" s="94"/>
      <c r="J102" s="76"/>
      <c r="K102" s="76"/>
      <c r="L102" s="76"/>
      <c r="M102" s="141"/>
      <c r="N102" s="66"/>
    </row>
    <row r="103">
      <c r="A103" s="121"/>
      <c r="B103" s="121"/>
      <c r="C103" s="126"/>
      <c r="D103" s="81" t="str">
        <f>IFS(C103="","",C103,VLOOKUP(C103,'PATIENT DATA (072721)'!A:C,2,0))</f>
        <v/>
      </c>
      <c r="E103" s="82" t="str">
        <f>IFS(C103="","",C103,VLOOKUP(C103,'PATIENT DATA (072721)'!A:C,3,0))</f>
        <v/>
      </c>
      <c r="F103" s="135"/>
      <c r="G103" s="136"/>
      <c r="H103" s="137"/>
      <c r="I103" s="97"/>
      <c r="J103" s="88"/>
      <c r="K103" s="88"/>
      <c r="L103" s="88"/>
      <c r="M103" s="138"/>
      <c r="N103" s="66"/>
    </row>
    <row r="104">
      <c r="A104" s="128"/>
      <c r="B104" s="128"/>
      <c r="C104" s="117"/>
      <c r="D104" s="70" t="str">
        <f>IFS(C104="","",C104,VLOOKUP(C104,'PATIENT DATA (072721)'!A:C,2,0))</f>
        <v/>
      </c>
      <c r="E104" s="71" t="str">
        <f>IFS(C104="","",C104,VLOOKUP(C104,'PATIENT DATA (072721)'!A:C,3,0))</f>
        <v/>
      </c>
      <c r="F104" s="139"/>
      <c r="G104" s="140"/>
      <c r="H104" s="76"/>
      <c r="I104" s="94"/>
      <c r="J104" s="76"/>
      <c r="K104" s="76"/>
      <c r="L104" s="76"/>
      <c r="M104" s="141"/>
      <c r="N104" s="66"/>
    </row>
    <row r="105">
      <c r="A105" s="121"/>
      <c r="B105" s="121"/>
      <c r="C105" s="126"/>
      <c r="D105" s="81" t="str">
        <f>IFS(C105="","",C105,VLOOKUP(C105,'PATIENT DATA (072721)'!A:C,2,0))</f>
        <v/>
      </c>
      <c r="E105" s="82" t="str">
        <f>IFS(C105="","",C105,VLOOKUP(C105,'PATIENT DATA (072721)'!A:C,3,0))</f>
        <v/>
      </c>
      <c r="F105" s="135"/>
      <c r="G105" s="136"/>
      <c r="H105" s="137"/>
      <c r="I105" s="97"/>
      <c r="J105" s="88"/>
      <c r="K105" s="88"/>
      <c r="L105" s="88"/>
      <c r="M105" s="138"/>
      <c r="N105" s="66"/>
    </row>
    <row r="106">
      <c r="A106" s="128"/>
      <c r="B106" s="128"/>
      <c r="C106" s="117"/>
      <c r="D106" s="70" t="str">
        <f>IFS(C106="","",C106,VLOOKUP(C106,'PATIENT DATA (072721)'!A:C,2,0))</f>
        <v/>
      </c>
      <c r="E106" s="71" t="str">
        <f>IFS(C106="","",C106,VLOOKUP(C106,'PATIENT DATA (072721)'!A:C,3,0))</f>
        <v/>
      </c>
      <c r="F106" s="139"/>
      <c r="G106" s="140"/>
      <c r="H106" s="76"/>
      <c r="I106" s="94"/>
      <c r="J106" s="76"/>
      <c r="K106" s="76"/>
      <c r="L106" s="76"/>
      <c r="M106" s="141"/>
      <c r="N106" s="66"/>
    </row>
    <row r="107">
      <c r="A107" s="121"/>
      <c r="B107" s="121"/>
      <c r="C107" s="126"/>
      <c r="D107" s="81" t="str">
        <f>IFS(C107="","",C107,VLOOKUP(C107,'PATIENT DATA (072721)'!A:C,2,0))</f>
        <v/>
      </c>
      <c r="E107" s="82" t="str">
        <f>IFS(C107="","",C107,VLOOKUP(C107,'PATIENT DATA (072721)'!A:C,3,0))</f>
        <v/>
      </c>
      <c r="F107" s="135"/>
      <c r="G107" s="136"/>
      <c r="H107" s="137"/>
      <c r="I107" s="97"/>
      <c r="J107" s="88"/>
      <c r="K107" s="88"/>
      <c r="L107" s="88"/>
      <c r="M107" s="138"/>
      <c r="N107" s="66"/>
    </row>
    <row r="108">
      <c r="A108" s="128"/>
      <c r="B108" s="128"/>
      <c r="C108" s="117"/>
      <c r="D108" s="70" t="str">
        <f>IFS(C108="","",C108,VLOOKUP(C108,'PATIENT DATA (072721)'!A:C,2,0))</f>
        <v/>
      </c>
      <c r="E108" s="71" t="str">
        <f>IFS(C108="","",C108,VLOOKUP(C108,'PATIENT DATA (072721)'!A:C,3,0))</f>
        <v/>
      </c>
      <c r="F108" s="139"/>
      <c r="G108" s="140"/>
      <c r="H108" s="76"/>
      <c r="I108" s="94"/>
      <c r="J108" s="76"/>
      <c r="K108" s="76"/>
      <c r="L108" s="76"/>
      <c r="M108" s="141"/>
      <c r="N108" s="66"/>
    </row>
    <row r="109">
      <c r="A109" s="121"/>
      <c r="B109" s="121"/>
      <c r="C109" s="126"/>
      <c r="D109" s="81" t="str">
        <f>IFS(C109="","",C109,VLOOKUP(C109,'PATIENT DATA (072721)'!A:C,2,0))</f>
        <v/>
      </c>
      <c r="E109" s="82" t="str">
        <f>IFS(C109="","",C109,VLOOKUP(C109,'PATIENT DATA (072721)'!A:C,3,0))</f>
        <v/>
      </c>
      <c r="F109" s="135"/>
      <c r="G109" s="136"/>
      <c r="H109" s="137"/>
      <c r="I109" s="97"/>
      <c r="J109" s="88"/>
      <c r="K109" s="88"/>
      <c r="L109" s="88"/>
      <c r="M109" s="138"/>
      <c r="N109" s="66"/>
    </row>
    <row r="110">
      <c r="A110" s="128"/>
      <c r="B110" s="128"/>
      <c r="C110" s="117"/>
      <c r="D110" s="70" t="str">
        <f>IFS(C110="","",C110,VLOOKUP(C110,'PATIENT DATA (072721)'!A:C,2,0))</f>
        <v/>
      </c>
      <c r="E110" s="71" t="str">
        <f>IFS(C110="","",C110,VLOOKUP(C110,'PATIENT DATA (072721)'!A:C,3,0))</f>
        <v/>
      </c>
      <c r="F110" s="139"/>
      <c r="G110" s="140"/>
      <c r="H110" s="76"/>
      <c r="I110" s="94"/>
      <c r="J110" s="76"/>
      <c r="K110" s="76"/>
      <c r="L110" s="76"/>
      <c r="M110" s="141"/>
      <c r="N110" s="66"/>
    </row>
    <row r="111">
      <c r="A111" s="121"/>
      <c r="B111" s="121"/>
      <c r="C111" s="126"/>
      <c r="D111" s="81" t="str">
        <f>IFS(C111="","",C111,VLOOKUP(C111,'PATIENT DATA (072721)'!A:C,2,0))</f>
        <v/>
      </c>
      <c r="E111" s="82" t="str">
        <f>IFS(C111="","",C111,VLOOKUP(C111,'PATIENT DATA (072721)'!A:C,3,0))</f>
        <v/>
      </c>
      <c r="F111" s="135"/>
      <c r="G111" s="136"/>
      <c r="H111" s="137"/>
      <c r="I111" s="97"/>
      <c r="J111" s="88"/>
      <c r="K111" s="88"/>
      <c r="L111" s="88"/>
      <c r="M111" s="138"/>
      <c r="N111" s="66"/>
    </row>
    <row r="112">
      <c r="A112" s="128"/>
      <c r="B112" s="128"/>
      <c r="C112" s="117"/>
      <c r="D112" s="70" t="str">
        <f>IFS(C112="","",C112,VLOOKUP(C112,'PATIENT DATA (072721)'!A:C,2,0))</f>
        <v/>
      </c>
      <c r="E112" s="71" t="str">
        <f>IFS(C112="","",C112,VLOOKUP(C112,'PATIENT DATA (072721)'!A:C,3,0))</f>
        <v/>
      </c>
      <c r="F112" s="139"/>
      <c r="G112" s="140"/>
      <c r="H112" s="76"/>
      <c r="I112" s="94"/>
      <c r="J112" s="76"/>
      <c r="K112" s="76"/>
      <c r="L112" s="76"/>
      <c r="M112" s="141"/>
      <c r="N112" s="66"/>
    </row>
    <row r="113">
      <c r="A113" s="121"/>
      <c r="B113" s="121"/>
      <c r="C113" s="126"/>
      <c r="D113" s="81" t="str">
        <f>IFS(C113="","",C113,VLOOKUP(C113,'PATIENT DATA (072721)'!A:C,2,0))</f>
        <v/>
      </c>
      <c r="E113" s="82" t="str">
        <f>IFS(C113="","",C113,VLOOKUP(C113,'PATIENT DATA (072721)'!A:C,3,0))</f>
        <v/>
      </c>
      <c r="F113" s="135"/>
      <c r="G113" s="136"/>
      <c r="H113" s="137"/>
      <c r="I113" s="97"/>
      <c r="J113" s="88"/>
      <c r="K113" s="88"/>
      <c r="L113" s="88"/>
      <c r="M113" s="138"/>
      <c r="N113" s="66"/>
    </row>
    <row r="114">
      <c r="A114" s="128"/>
      <c r="B114" s="128"/>
      <c r="C114" s="117"/>
      <c r="D114" s="70" t="str">
        <f>IFS(C114="","",C114,VLOOKUP(C114,'PATIENT DATA (072721)'!A:C,2,0))</f>
        <v/>
      </c>
      <c r="E114" s="71" t="str">
        <f>IFS(C114="","",C114,VLOOKUP(C114,'PATIENT DATA (072721)'!A:C,3,0))</f>
        <v/>
      </c>
      <c r="F114" s="139"/>
      <c r="G114" s="140"/>
      <c r="H114" s="76"/>
      <c r="I114" s="94"/>
      <c r="J114" s="76"/>
      <c r="K114" s="76"/>
      <c r="L114" s="76"/>
      <c r="M114" s="141"/>
      <c r="N114" s="66"/>
    </row>
    <row r="115">
      <c r="A115" s="121"/>
      <c r="B115" s="121"/>
      <c r="C115" s="126"/>
      <c r="D115" s="81" t="str">
        <f>IFS(C115="","",C115,VLOOKUP(C115,'PATIENT DATA (072721)'!A:C,2,0))</f>
        <v/>
      </c>
      <c r="E115" s="82" t="str">
        <f>IFS(C115="","",C115,VLOOKUP(C115,'PATIENT DATA (072721)'!A:C,3,0))</f>
        <v/>
      </c>
      <c r="F115" s="135"/>
      <c r="G115" s="136"/>
      <c r="H115" s="137"/>
      <c r="I115" s="97"/>
      <c r="J115" s="88"/>
      <c r="K115" s="88"/>
      <c r="L115" s="88"/>
      <c r="M115" s="138"/>
      <c r="N115" s="66"/>
    </row>
    <row r="116">
      <c r="A116" s="128"/>
      <c r="B116" s="128"/>
      <c r="C116" s="117"/>
      <c r="D116" s="70" t="str">
        <f>IFS(C116="","",C116,VLOOKUP(C116,'PATIENT DATA (072721)'!A:C,2,0))</f>
        <v/>
      </c>
      <c r="E116" s="71" t="str">
        <f>IFS(C116="","",C116,VLOOKUP(C116,'PATIENT DATA (072721)'!A:C,3,0))</f>
        <v/>
      </c>
      <c r="F116" s="139"/>
      <c r="G116" s="140"/>
      <c r="H116" s="76"/>
      <c r="I116" s="94"/>
      <c r="J116" s="76"/>
      <c r="K116" s="76"/>
      <c r="L116" s="76"/>
      <c r="M116" s="141"/>
      <c r="N116" s="66"/>
    </row>
    <row r="117">
      <c r="A117" s="121"/>
      <c r="B117" s="121"/>
      <c r="C117" s="126"/>
      <c r="D117" s="81" t="str">
        <f>IFS(C117="","",C117,VLOOKUP(C117,'PATIENT DATA (072721)'!A:C,2,0))</f>
        <v/>
      </c>
      <c r="E117" s="82" t="str">
        <f>IFS(C117="","",C117,VLOOKUP(C117,'PATIENT DATA (072721)'!A:C,3,0))</f>
        <v/>
      </c>
      <c r="F117" s="135"/>
      <c r="G117" s="136"/>
      <c r="H117" s="137"/>
      <c r="I117" s="97"/>
      <c r="J117" s="88"/>
      <c r="K117" s="88"/>
      <c r="L117" s="88"/>
      <c r="M117" s="138"/>
      <c r="N117" s="66"/>
    </row>
    <row r="118">
      <c r="A118" s="128"/>
      <c r="B118" s="128"/>
      <c r="C118" s="117"/>
      <c r="D118" s="70" t="str">
        <f>IFS(C118="","",C118,VLOOKUP(C118,'PATIENT DATA (072721)'!A:C,2,0))</f>
        <v/>
      </c>
      <c r="E118" s="71" t="str">
        <f>IFS(C118="","",C118,VLOOKUP(C118,'PATIENT DATA (072721)'!A:C,3,0))</f>
        <v/>
      </c>
      <c r="F118" s="139"/>
      <c r="G118" s="140"/>
      <c r="H118" s="76"/>
      <c r="I118" s="94"/>
      <c r="J118" s="76"/>
      <c r="K118" s="76"/>
      <c r="L118" s="76"/>
      <c r="M118" s="141"/>
      <c r="N118" s="66"/>
    </row>
    <row r="119">
      <c r="A119" s="121"/>
      <c r="B119" s="121"/>
      <c r="C119" s="126"/>
      <c r="D119" s="81" t="str">
        <f>IFS(C119="","",C119,VLOOKUP(C119,'PATIENT DATA (072721)'!A:C,2,0))</f>
        <v/>
      </c>
      <c r="E119" s="82" t="str">
        <f>IFS(C119="","",C119,VLOOKUP(C119,'PATIENT DATA (072721)'!A:C,3,0))</f>
        <v/>
      </c>
      <c r="F119" s="135"/>
      <c r="G119" s="136"/>
      <c r="H119" s="137"/>
      <c r="I119" s="97"/>
      <c r="J119" s="88"/>
      <c r="K119" s="88"/>
      <c r="L119" s="88"/>
      <c r="M119" s="138"/>
      <c r="N119" s="66"/>
    </row>
    <row r="120">
      <c r="A120" s="128"/>
      <c r="B120" s="128"/>
      <c r="C120" s="117"/>
      <c r="D120" s="70" t="str">
        <f>IFS(C120="","",C120,VLOOKUP(C120,'PATIENT DATA (072721)'!A:C,2,0))</f>
        <v/>
      </c>
      <c r="E120" s="71" t="str">
        <f>IFS(C120="","",C120,VLOOKUP(C120,'PATIENT DATA (072721)'!A:C,3,0))</f>
        <v/>
      </c>
      <c r="F120" s="139"/>
      <c r="G120" s="140"/>
      <c r="H120" s="76"/>
      <c r="I120" s="94"/>
      <c r="J120" s="76"/>
      <c r="K120" s="76"/>
      <c r="L120" s="76"/>
      <c r="M120" s="141"/>
      <c r="N120" s="66"/>
    </row>
    <row r="121">
      <c r="A121" s="121"/>
      <c r="B121" s="121"/>
      <c r="C121" s="126"/>
      <c r="D121" s="81" t="str">
        <f>IFS(C121="","",C121,VLOOKUP(C121,'PATIENT DATA (072721)'!A:C,2,0))</f>
        <v/>
      </c>
      <c r="E121" s="82" t="str">
        <f>IFS(C121="","",C121,VLOOKUP(C121,'PATIENT DATA (072721)'!A:C,3,0))</f>
        <v/>
      </c>
      <c r="F121" s="135"/>
      <c r="G121" s="136"/>
      <c r="H121" s="137"/>
      <c r="I121" s="97"/>
      <c r="J121" s="88"/>
      <c r="K121" s="88"/>
      <c r="L121" s="88"/>
      <c r="M121" s="138"/>
      <c r="N121" s="66"/>
    </row>
    <row r="122">
      <c r="A122" s="128"/>
      <c r="B122" s="128"/>
      <c r="C122" s="117"/>
      <c r="D122" s="70" t="str">
        <f>IFS(C122="","",C122,VLOOKUP(C122,'PATIENT DATA (072721)'!A:C,2,0))</f>
        <v/>
      </c>
      <c r="E122" s="71" t="str">
        <f>IFS(C122="","",C122,VLOOKUP(C122,'PATIENT DATA (072721)'!A:C,3,0))</f>
        <v/>
      </c>
      <c r="F122" s="139"/>
      <c r="G122" s="140"/>
      <c r="H122" s="76"/>
      <c r="I122" s="94"/>
      <c r="J122" s="76"/>
      <c r="K122" s="76"/>
      <c r="L122" s="76"/>
      <c r="M122" s="141"/>
      <c r="N122" s="66"/>
    </row>
    <row r="123">
      <c r="A123" s="121"/>
      <c r="B123" s="121"/>
      <c r="C123" s="126"/>
      <c r="D123" s="81" t="str">
        <f>IFS(C123="","",C123,VLOOKUP(C123,'PATIENT DATA (072721)'!A:C,2,0))</f>
        <v/>
      </c>
      <c r="E123" s="82" t="str">
        <f>IFS(C123="","",C123,VLOOKUP(C123,'PATIENT DATA (072721)'!A:C,3,0))</f>
        <v/>
      </c>
      <c r="F123" s="135"/>
      <c r="G123" s="136"/>
      <c r="H123" s="137"/>
      <c r="I123" s="97"/>
      <c r="J123" s="88"/>
      <c r="K123" s="88"/>
      <c r="L123" s="88"/>
      <c r="M123" s="138"/>
      <c r="N123" s="66"/>
    </row>
    <row r="124">
      <c r="A124" s="128"/>
      <c r="B124" s="128"/>
      <c r="C124" s="117"/>
      <c r="D124" s="70" t="str">
        <f>IFS(C124="","",C124,VLOOKUP(C124,'PATIENT DATA (072721)'!A:C,2,0))</f>
        <v/>
      </c>
      <c r="E124" s="71" t="str">
        <f>IFS(C124="","",C124,VLOOKUP(C124,'PATIENT DATA (072721)'!A:C,3,0))</f>
        <v/>
      </c>
      <c r="F124" s="139"/>
      <c r="G124" s="140"/>
      <c r="H124" s="76"/>
      <c r="I124" s="94"/>
      <c r="J124" s="76"/>
      <c r="K124" s="76"/>
      <c r="L124" s="76"/>
      <c r="M124" s="141"/>
      <c r="N124" s="66"/>
    </row>
    <row r="125">
      <c r="A125" s="121"/>
      <c r="B125" s="121"/>
      <c r="C125" s="126"/>
      <c r="D125" s="81" t="str">
        <f>IFS(C125="","",C125,VLOOKUP(C125,'PATIENT DATA (072721)'!A:C,2,0))</f>
        <v/>
      </c>
      <c r="E125" s="82" t="str">
        <f>IFS(C125="","",C125,VLOOKUP(C125,'PATIENT DATA (072721)'!A:C,3,0))</f>
        <v/>
      </c>
      <c r="F125" s="135"/>
      <c r="G125" s="136"/>
      <c r="H125" s="137"/>
      <c r="I125" s="97"/>
      <c r="J125" s="88"/>
      <c r="K125" s="88"/>
      <c r="L125" s="88"/>
      <c r="M125" s="138"/>
      <c r="N125" s="66"/>
    </row>
    <row r="126">
      <c r="A126" s="128"/>
      <c r="B126" s="128"/>
      <c r="C126" s="117"/>
      <c r="D126" s="70" t="str">
        <f>IFS(C126="","",C126,VLOOKUP(C126,'PATIENT DATA (072721)'!A:C,2,0))</f>
        <v/>
      </c>
      <c r="E126" s="71" t="str">
        <f>IFS(C126="","",C126,VLOOKUP(C126,'PATIENT DATA (072721)'!A:C,3,0))</f>
        <v/>
      </c>
      <c r="F126" s="139"/>
      <c r="G126" s="140"/>
      <c r="H126" s="76"/>
      <c r="I126" s="94"/>
      <c r="J126" s="76"/>
      <c r="K126" s="76"/>
      <c r="L126" s="76"/>
      <c r="M126" s="141"/>
      <c r="N126" s="66"/>
    </row>
    <row r="127">
      <c r="A127" s="121"/>
      <c r="B127" s="121"/>
      <c r="C127" s="126"/>
      <c r="D127" s="81" t="str">
        <f>IFS(C127="","",C127,VLOOKUP(C127,'PATIENT DATA (072721)'!A:C,2,0))</f>
        <v/>
      </c>
      <c r="E127" s="82" t="str">
        <f>IFS(C127="","",C127,VLOOKUP(C127,'PATIENT DATA (072721)'!A:C,3,0))</f>
        <v/>
      </c>
      <c r="F127" s="135"/>
      <c r="G127" s="136"/>
      <c r="H127" s="137"/>
      <c r="I127" s="97"/>
      <c r="J127" s="88"/>
      <c r="K127" s="88"/>
      <c r="L127" s="88"/>
      <c r="M127" s="138"/>
      <c r="N127" s="66"/>
    </row>
    <row r="128">
      <c r="A128" s="128"/>
      <c r="B128" s="128"/>
      <c r="C128" s="117"/>
      <c r="D128" s="70" t="str">
        <f>IFS(C128="","",C128,VLOOKUP(C128,'PATIENT DATA (072721)'!A:C,2,0))</f>
        <v/>
      </c>
      <c r="E128" s="71" t="str">
        <f>IFS(C128="","",C128,VLOOKUP(C128,'PATIENT DATA (072721)'!A:C,3,0))</f>
        <v/>
      </c>
      <c r="F128" s="139"/>
      <c r="G128" s="140"/>
      <c r="H128" s="76"/>
      <c r="I128" s="94"/>
      <c r="J128" s="76"/>
      <c r="K128" s="76"/>
      <c r="L128" s="76"/>
      <c r="M128" s="141"/>
      <c r="N128" s="66"/>
    </row>
    <row r="129">
      <c r="A129" s="121"/>
      <c r="B129" s="121"/>
      <c r="C129" s="126"/>
      <c r="D129" s="81" t="str">
        <f>IFS(C129="","",C129,VLOOKUP(C129,'PATIENT DATA (072721)'!A:C,2,0))</f>
        <v/>
      </c>
      <c r="E129" s="82" t="str">
        <f>IFS(C129="","",C129,VLOOKUP(C129,'PATIENT DATA (072721)'!A:C,3,0))</f>
        <v/>
      </c>
      <c r="F129" s="135"/>
      <c r="G129" s="136"/>
      <c r="H129" s="137"/>
      <c r="I129" s="97"/>
      <c r="J129" s="88"/>
      <c r="K129" s="88"/>
      <c r="L129" s="88"/>
      <c r="M129" s="138"/>
      <c r="N129" s="66"/>
    </row>
    <row r="130">
      <c r="A130" s="128"/>
      <c r="B130" s="128"/>
      <c r="C130" s="117"/>
      <c r="D130" s="70" t="str">
        <f>IFS(C130="","",C130,VLOOKUP(C130,'PATIENT DATA (072721)'!A:C,2,0))</f>
        <v/>
      </c>
      <c r="E130" s="71" t="str">
        <f>IFS(C130="","",C130,VLOOKUP(C130,'PATIENT DATA (072721)'!A:C,3,0))</f>
        <v/>
      </c>
      <c r="F130" s="139"/>
      <c r="G130" s="140"/>
      <c r="H130" s="76"/>
      <c r="I130" s="94"/>
      <c r="J130" s="76"/>
      <c r="K130" s="76"/>
      <c r="L130" s="76"/>
      <c r="M130" s="141"/>
      <c r="N130" s="66"/>
    </row>
    <row r="131">
      <c r="A131" s="121"/>
      <c r="B131" s="121"/>
      <c r="C131" s="126"/>
      <c r="D131" s="81" t="str">
        <f>IFS(C131="","",C131,VLOOKUP(C131,'PATIENT DATA (072721)'!A:C,2,0))</f>
        <v/>
      </c>
      <c r="E131" s="82" t="str">
        <f>IFS(C131="","",C131,VLOOKUP(C131,'PATIENT DATA (072721)'!A:C,3,0))</f>
        <v/>
      </c>
      <c r="F131" s="135"/>
      <c r="G131" s="136"/>
      <c r="H131" s="137"/>
      <c r="I131" s="97"/>
      <c r="J131" s="88"/>
      <c r="K131" s="88"/>
      <c r="L131" s="88"/>
      <c r="M131" s="138"/>
      <c r="N131" s="66"/>
    </row>
    <row r="132">
      <c r="A132" s="128"/>
      <c r="B132" s="128"/>
      <c r="C132" s="117"/>
      <c r="D132" s="70" t="str">
        <f>IFS(C132="","",C132,VLOOKUP(C132,'PATIENT DATA (072721)'!A:C,2,0))</f>
        <v/>
      </c>
      <c r="E132" s="71" t="str">
        <f>IFS(C132="","",C132,VLOOKUP(C132,'PATIENT DATA (072721)'!A:C,3,0))</f>
        <v/>
      </c>
      <c r="F132" s="139"/>
      <c r="G132" s="140"/>
      <c r="H132" s="76"/>
      <c r="I132" s="94"/>
      <c r="J132" s="76"/>
      <c r="K132" s="76"/>
      <c r="L132" s="76"/>
      <c r="M132" s="141"/>
      <c r="N132" s="66"/>
    </row>
    <row r="133">
      <c r="A133" s="121"/>
      <c r="B133" s="121"/>
      <c r="C133" s="126"/>
      <c r="D133" s="81" t="str">
        <f>IFS(C133="","",C133,VLOOKUP(C133,'PATIENT DATA (072721)'!A:C,2,0))</f>
        <v/>
      </c>
      <c r="E133" s="82" t="str">
        <f>IFS(C133="","",C133,VLOOKUP(C133,'PATIENT DATA (072721)'!A:C,3,0))</f>
        <v/>
      </c>
      <c r="F133" s="135"/>
      <c r="G133" s="136"/>
      <c r="H133" s="137"/>
      <c r="I133" s="97"/>
      <c r="J133" s="88"/>
      <c r="K133" s="88"/>
      <c r="L133" s="88"/>
      <c r="M133" s="138"/>
      <c r="N133" s="66"/>
    </row>
    <row r="134">
      <c r="A134" s="128"/>
      <c r="B134" s="128"/>
      <c r="C134" s="117"/>
      <c r="D134" s="70" t="str">
        <f>IFS(C134="","",C134,VLOOKUP(C134,'PATIENT DATA (072721)'!A:C,2,0))</f>
        <v/>
      </c>
      <c r="E134" s="71" t="str">
        <f>IFS(C134="","",C134,VLOOKUP(C134,'PATIENT DATA (072721)'!A:C,3,0))</f>
        <v/>
      </c>
      <c r="F134" s="139"/>
      <c r="G134" s="140"/>
      <c r="H134" s="76"/>
      <c r="I134" s="94"/>
      <c r="J134" s="76"/>
      <c r="K134" s="76"/>
      <c r="L134" s="76"/>
      <c r="M134" s="141"/>
      <c r="N134" s="66"/>
    </row>
    <row r="135">
      <c r="A135" s="121"/>
      <c r="B135" s="121"/>
      <c r="C135" s="126"/>
      <c r="D135" s="81" t="str">
        <f>IFS(C135="","",C135,VLOOKUP(C135,'PATIENT DATA (072721)'!A:C,2,0))</f>
        <v/>
      </c>
      <c r="E135" s="82" t="str">
        <f>IFS(C135="","",C135,VLOOKUP(C135,'PATIENT DATA (072721)'!A:C,3,0))</f>
        <v/>
      </c>
      <c r="F135" s="135"/>
      <c r="G135" s="136"/>
      <c r="H135" s="137"/>
      <c r="I135" s="97"/>
      <c r="J135" s="88"/>
      <c r="K135" s="88"/>
      <c r="L135" s="88"/>
      <c r="M135" s="138"/>
      <c r="N135" s="66"/>
    </row>
    <row r="136">
      <c r="A136" s="128"/>
      <c r="B136" s="128"/>
      <c r="C136" s="117"/>
      <c r="D136" s="70" t="str">
        <f>IFS(C136="","",C136,VLOOKUP(C136,'PATIENT DATA (072721)'!A:C,2,0))</f>
        <v/>
      </c>
      <c r="E136" s="71" t="str">
        <f>IFS(C136="","",C136,VLOOKUP(C136,'PATIENT DATA (072721)'!A:C,3,0))</f>
        <v/>
      </c>
      <c r="F136" s="139"/>
      <c r="G136" s="140"/>
      <c r="H136" s="76"/>
      <c r="I136" s="94"/>
      <c r="J136" s="76"/>
      <c r="K136" s="76"/>
      <c r="L136" s="76"/>
      <c r="M136" s="141"/>
      <c r="N136" s="66"/>
    </row>
    <row r="137">
      <c r="A137" s="121"/>
      <c r="B137" s="121"/>
      <c r="C137" s="126"/>
      <c r="D137" s="81" t="str">
        <f>IFS(C137="","",C137,VLOOKUP(C137,'PATIENT DATA (072721)'!A:C,2,0))</f>
        <v/>
      </c>
      <c r="E137" s="82" t="str">
        <f>IFS(C137="","",C137,VLOOKUP(C137,'PATIENT DATA (072721)'!A:C,3,0))</f>
        <v/>
      </c>
      <c r="F137" s="135"/>
      <c r="G137" s="136"/>
      <c r="H137" s="137"/>
      <c r="I137" s="97"/>
      <c r="J137" s="88"/>
      <c r="K137" s="88"/>
      <c r="L137" s="88"/>
      <c r="M137" s="138"/>
      <c r="N137" s="66"/>
    </row>
    <row r="138">
      <c r="A138" s="128"/>
      <c r="B138" s="128"/>
      <c r="C138" s="117"/>
      <c r="D138" s="70" t="str">
        <f>IFS(C138="","",C138,VLOOKUP(C138,'PATIENT DATA (072721)'!A:C,2,0))</f>
        <v/>
      </c>
      <c r="E138" s="71" t="str">
        <f>IFS(C138="","",C138,VLOOKUP(C138,'PATIENT DATA (072721)'!A:C,3,0))</f>
        <v/>
      </c>
      <c r="F138" s="139"/>
      <c r="G138" s="140"/>
      <c r="H138" s="76"/>
      <c r="I138" s="94"/>
      <c r="J138" s="76"/>
      <c r="K138" s="76"/>
      <c r="L138" s="76"/>
      <c r="M138" s="141"/>
      <c r="N138" s="66"/>
    </row>
    <row r="139">
      <c r="A139" s="121"/>
      <c r="B139" s="121"/>
      <c r="C139" s="126"/>
      <c r="D139" s="81" t="str">
        <f>IFS(C139="","",C139,VLOOKUP(C139,'PATIENT DATA (072721)'!A:C,2,0))</f>
        <v/>
      </c>
      <c r="E139" s="82" t="str">
        <f>IFS(C139="","",C139,VLOOKUP(C139,'PATIENT DATA (072721)'!A:C,3,0))</f>
        <v/>
      </c>
      <c r="F139" s="135"/>
      <c r="G139" s="136"/>
      <c r="H139" s="137"/>
      <c r="I139" s="97"/>
      <c r="J139" s="88"/>
      <c r="K139" s="88"/>
      <c r="L139" s="88"/>
      <c r="M139" s="138"/>
      <c r="N139" s="66"/>
    </row>
    <row r="140">
      <c r="A140" s="128"/>
      <c r="B140" s="128"/>
      <c r="C140" s="117"/>
      <c r="D140" s="70" t="str">
        <f>IFS(C140="","",C140,VLOOKUP(C140,'PATIENT DATA (072721)'!A:C,2,0))</f>
        <v/>
      </c>
      <c r="E140" s="71" t="str">
        <f>IFS(C140="","",C140,VLOOKUP(C140,'PATIENT DATA (072721)'!A:C,3,0))</f>
        <v/>
      </c>
      <c r="F140" s="139"/>
      <c r="G140" s="140"/>
      <c r="H140" s="76"/>
      <c r="I140" s="94"/>
      <c r="J140" s="76"/>
      <c r="K140" s="76"/>
      <c r="L140" s="76"/>
      <c r="M140" s="141"/>
      <c r="N140" s="66"/>
    </row>
    <row r="141">
      <c r="A141" s="121"/>
      <c r="B141" s="121"/>
      <c r="C141" s="126"/>
      <c r="D141" s="81" t="str">
        <f>IFS(C141="","",C141,VLOOKUP(C141,'PATIENT DATA (072721)'!A:C,2,0))</f>
        <v/>
      </c>
      <c r="E141" s="82" t="str">
        <f>IFS(C141="","",C141,VLOOKUP(C141,'PATIENT DATA (072721)'!A:C,3,0))</f>
        <v/>
      </c>
      <c r="F141" s="135"/>
      <c r="G141" s="136"/>
      <c r="H141" s="137"/>
      <c r="I141" s="97"/>
      <c r="J141" s="88"/>
      <c r="K141" s="88"/>
      <c r="L141" s="88"/>
      <c r="M141" s="138"/>
      <c r="N141" s="66"/>
    </row>
    <row r="142">
      <c r="A142" s="128"/>
      <c r="B142" s="128"/>
      <c r="C142" s="117"/>
      <c r="D142" s="70" t="str">
        <f>IFS(C142="","",C142,VLOOKUP(C142,'PATIENT DATA (072721)'!A:C,2,0))</f>
        <v/>
      </c>
      <c r="E142" s="71" t="str">
        <f>IFS(C142="","",C142,VLOOKUP(C142,'PATIENT DATA (072721)'!A:C,3,0))</f>
        <v/>
      </c>
      <c r="F142" s="139"/>
      <c r="G142" s="140"/>
      <c r="H142" s="76"/>
      <c r="I142" s="94"/>
      <c r="J142" s="76"/>
      <c r="K142" s="76"/>
      <c r="L142" s="76"/>
      <c r="M142" s="141"/>
      <c r="N142" s="66"/>
    </row>
    <row r="143">
      <c r="A143" s="121"/>
      <c r="B143" s="121"/>
      <c r="C143" s="126"/>
      <c r="D143" s="81" t="str">
        <f>IFS(C143="","",C143,VLOOKUP(C143,'PATIENT DATA (072721)'!A:C,2,0))</f>
        <v/>
      </c>
      <c r="E143" s="82" t="str">
        <f>IFS(C143="","",C143,VLOOKUP(C143,'PATIENT DATA (072721)'!A:C,3,0))</f>
        <v/>
      </c>
      <c r="F143" s="135"/>
      <c r="G143" s="136"/>
      <c r="H143" s="137"/>
      <c r="I143" s="97"/>
      <c r="J143" s="88"/>
      <c r="K143" s="88"/>
      <c r="L143" s="88"/>
      <c r="M143" s="138"/>
      <c r="N143" s="66"/>
    </row>
    <row r="144">
      <c r="A144" s="128"/>
      <c r="B144" s="128"/>
      <c r="C144" s="117"/>
      <c r="D144" s="70" t="str">
        <f>IFS(C144="","",C144,VLOOKUP(C144,'PATIENT DATA (072721)'!A:C,2,0))</f>
        <v/>
      </c>
      <c r="E144" s="71" t="str">
        <f>IFS(C144="","",C144,VLOOKUP(C144,'PATIENT DATA (072721)'!A:C,3,0))</f>
        <v/>
      </c>
      <c r="F144" s="139"/>
      <c r="G144" s="140"/>
      <c r="H144" s="76"/>
      <c r="I144" s="94"/>
      <c r="J144" s="76"/>
      <c r="K144" s="76"/>
      <c r="L144" s="76"/>
      <c r="M144" s="141"/>
      <c r="N144" s="66"/>
    </row>
    <row r="145">
      <c r="A145" s="121"/>
      <c r="B145" s="121"/>
      <c r="C145" s="126"/>
      <c r="D145" s="81" t="str">
        <f>IFS(C145="","",C145,VLOOKUP(C145,'PATIENT DATA (072721)'!A:C,2,0))</f>
        <v/>
      </c>
      <c r="E145" s="82" t="str">
        <f>IFS(C145="","",C145,VLOOKUP(C145,'PATIENT DATA (072721)'!A:C,3,0))</f>
        <v/>
      </c>
      <c r="F145" s="135"/>
      <c r="G145" s="136"/>
      <c r="H145" s="137"/>
      <c r="I145" s="97"/>
      <c r="J145" s="88"/>
      <c r="K145" s="88"/>
      <c r="L145" s="88"/>
      <c r="M145" s="138"/>
      <c r="N145" s="66"/>
    </row>
    <row r="146">
      <c r="A146" s="128"/>
      <c r="B146" s="128"/>
      <c r="C146" s="117"/>
      <c r="D146" s="70" t="str">
        <f>IFS(C146="","",C146,VLOOKUP(C146,'PATIENT DATA (072721)'!A:C,2,0))</f>
        <v/>
      </c>
      <c r="E146" s="71" t="str">
        <f>IFS(C146="","",C146,VLOOKUP(C146,'PATIENT DATA (072721)'!A:C,3,0))</f>
        <v/>
      </c>
      <c r="F146" s="139"/>
      <c r="G146" s="140"/>
      <c r="H146" s="76"/>
      <c r="I146" s="94"/>
      <c r="J146" s="76"/>
      <c r="K146" s="76"/>
      <c r="L146" s="76"/>
      <c r="M146" s="141"/>
      <c r="N146" s="66"/>
    </row>
    <row r="147">
      <c r="A147" s="121"/>
      <c r="B147" s="121"/>
      <c r="C147" s="126"/>
      <c r="D147" s="81" t="str">
        <f>IFS(C147="","",C147,VLOOKUP(C147,'PATIENT DATA (072721)'!A:C,2,0))</f>
        <v/>
      </c>
      <c r="E147" s="82" t="str">
        <f>IFS(C147="","",C147,VLOOKUP(C147,'PATIENT DATA (072721)'!A:C,3,0))</f>
        <v/>
      </c>
      <c r="F147" s="135"/>
      <c r="G147" s="136"/>
      <c r="H147" s="137"/>
      <c r="I147" s="97"/>
      <c r="J147" s="88"/>
      <c r="K147" s="88"/>
      <c r="L147" s="88"/>
      <c r="M147" s="138"/>
      <c r="N147" s="66"/>
    </row>
    <row r="148">
      <c r="A148" s="128"/>
      <c r="B148" s="128"/>
      <c r="C148" s="117"/>
      <c r="D148" s="70" t="str">
        <f>IFS(C148="","",C148,VLOOKUP(C148,'PATIENT DATA (072721)'!A:C,2,0))</f>
        <v/>
      </c>
      <c r="E148" s="71" t="str">
        <f>IFS(C148="","",C148,VLOOKUP(C148,'PATIENT DATA (072721)'!A:C,3,0))</f>
        <v/>
      </c>
      <c r="F148" s="139"/>
      <c r="G148" s="140"/>
      <c r="H148" s="76"/>
      <c r="I148" s="94"/>
      <c r="J148" s="76"/>
      <c r="K148" s="76"/>
      <c r="L148" s="76"/>
      <c r="M148" s="141"/>
      <c r="N148" s="66"/>
    </row>
    <row r="149">
      <c r="A149" s="121"/>
      <c r="B149" s="121"/>
      <c r="C149" s="126"/>
      <c r="D149" s="81" t="str">
        <f>IFS(C149="","",C149,VLOOKUP(C149,'PATIENT DATA (072721)'!A:C,2,0))</f>
        <v/>
      </c>
      <c r="E149" s="82" t="str">
        <f>IFS(C149="","",C149,VLOOKUP(C149,'PATIENT DATA (072721)'!A:C,3,0))</f>
        <v/>
      </c>
      <c r="F149" s="135"/>
      <c r="G149" s="136"/>
      <c r="H149" s="137"/>
      <c r="I149" s="97"/>
      <c r="J149" s="88"/>
      <c r="K149" s="88"/>
      <c r="L149" s="88"/>
      <c r="M149" s="138"/>
      <c r="N149" s="66"/>
    </row>
    <row r="150">
      <c r="A150" s="128"/>
      <c r="B150" s="128"/>
      <c r="C150" s="117"/>
      <c r="D150" s="70" t="str">
        <f>IFS(C150="","",C150,VLOOKUP(C150,'PATIENT DATA (072721)'!A:C,2,0))</f>
        <v/>
      </c>
      <c r="E150" s="71" t="str">
        <f>IFS(C150="","",C150,VLOOKUP(C150,'PATIENT DATA (072721)'!A:C,3,0))</f>
        <v/>
      </c>
      <c r="F150" s="139"/>
      <c r="G150" s="140"/>
      <c r="H150" s="76"/>
      <c r="I150" s="94"/>
      <c r="J150" s="76"/>
      <c r="K150" s="76"/>
      <c r="L150" s="76"/>
      <c r="M150" s="141"/>
      <c r="N150" s="66"/>
    </row>
    <row r="151">
      <c r="A151" s="121"/>
      <c r="B151" s="121"/>
      <c r="C151" s="126"/>
      <c r="D151" s="81" t="str">
        <f>IFS(C151="","",C151,VLOOKUP(C151,'PATIENT DATA (072721)'!A:C,2,0))</f>
        <v/>
      </c>
      <c r="E151" s="82" t="str">
        <f>IFS(C151="","",C151,VLOOKUP(C151,'PATIENT DATA (072721)'!A:C,3,0))</f>
        <v/>
      </c>
      <c r="F151" s="135"/>
      <c r="G151" s="136"/>
      <c r="H151" s="137"/>
      <c r="I151" s="97"/>
      <c r="J151" s="88"/>
      <c r="K151" s="88"/>
      <c r="L151" s="88"/>
      <c r="M151" s="138"/>
      <c r="N151" s="66"/>
    </row>
    <row r="152">
      <c r="A152" s="128"/>
      <c r="B152" s="128"/>
      <c r="C152" s="117"/>
      <c r="D152" s="70" t="str">
        <f>IFS(C152="","",C152,VLOOKUP(C152,'PATIENT DATA (072721)'!A:C,2,0))</f>
        <v/>
      </c>
      <c r="E152" s="71" t="str">
        <f>IFS(C152="","",C152,VLOOKUP(C152,'PATIENT DATA (072721)'!A:C,3,0))</f>
        <v/>
      </c>
      <c r="F152" s="139"/>
      <c r="G152" s="140"/>
      <c r="H152" s="76"/>
      <c r="I152" s="94"/>
      <c r="J152" s="76"/>
      <c r="K152" s="76"/>
      <c r="L152" s="76"/>
      <c r="M152" s="141"/>
      <c r="N152" s="66"/>
    </row>
    <row r="153">
      <c r="A153" s="121"/>
      <c r="B153" s="121"/>
      <c r="C153" s="126"/>
      <c r="D153" s="81" t="str">
        <f>IFS(C153="","",C153,VLOOKUP(C153,'PATIENT DATA (072721)'!A:C,2,0))</f>
        <v/>
      </c>
      <c r="E153" s="82" t="str">
        <f>IFS(C153="","",C153,VLOOKUP(C153,'PATIENT DATA (072721)'!A:C,3,0))</f>
        <v/>
      </c>
      <c r="F153" s="135"/>
      <c r="G153" s="136"/>
      <c r="H153" s="137"/>
      <c r="I153" s="97"/>
      <c r="J153" s="88"/>
      <c r="K153" s="88"/>
      <c r="L153" s="88"/>
      <c r="M153" s="138"/>
      <c r="N153" s="66"/>
    </row>
    <row r="154">
      <c r="A154" s="128"/>
      <c r="B154" s="128"/>
      <c r="C154" s="117"/>
      <c r="D154" s="70" t="str">
        <f>IFS(C154="","",C154,VLOOKUP(C154,'PATIENT DATA (072721)'!A:C,2,0))</f>
        <v/>
      </c>
      <c r="E154" s="71" t="str">
        <f>IFS(C154="","",C154,VLOOKUP(C154,'PATIENT DATA (072721)'!A:C,3,0))</f>
        <v/>
      </c>
      <c r="F154" s="139"/>
      <c r="G154" s="140"/>
      <c r="H154" s="76"/>
      <c r="I154" s="94"/>
      <c r="J154" s="76"/>
      <c r="K154" s="76"/>
      <c r="L154" s="76"/>
      <c r="M154" s="141"/>
      <c r="N154" s="66"/>
    </row>
    <row r="155">
      <c r="A155" s="121"/>
      <c r="B155" s="121"/>
      <c r="C155" s="126"/>
      <c r="D155" s="81" t="str">
        <f>IFS(C155="","",C155,VLOOKUP(C155,'PATIENT DATA (072721)'!A:C,2,0))</f>
        <v/>
      </c>
      <c r="E155" s="82" t="str">
        <f>IFS(C155="","",C155,VLOOKUP(C155,'PATIENT DATA (072721)'!A:C,3,0))</f>
        <v/>
      </c>
      <c r="F155" s="135"/>
      <c r="G155" s="136"/>
      <c r="H155" s="137"/>
      <c r="I155" s="97"/>
      <c r="J155" s="88"/>
      <c r="K155" s="88"/>
      <c r="L155" s="88"/>
      <c r="M155" s="138"/>
      <c r="N155" s="66"/>
    </row>
    <row r="156">
      <c r="A156" s="128"/>
      <c r="B156" s="128"/>
      <c r="C156" s="117"/>
      <c r="D156" s="70" t="str">
        <f>IFS(C156="","",C156,VLOOKUP(C156,'PATIENT DATA (072721)'!A:C,2,0))</f>
        <v/>
      </c>
      <c r="E156" s="71" t="str">
        <f>IFS(C156="","",C156,VLOOKUP(C156,'PATIENT DATA (072721)'!A:C,3,0))</f>
        <v/>
      </c>
      <c r="F156" s="139"/>
      <c r="G156" s="140"/>
      <c r="H156" s="76"/>
      <c r="I156" s="94"/>
      <c r="J156" s="76"/>
      <c r="K156" s="76"/>
      <c r="L156" s="76"/>
      <c r="M156" s="141"/>
      <c r="N156" s="66"/>
    </row>
    <row r="157">
      <c r="A157" s="121"/>
      <c r="B157" s="121"/>
      <c r="C157" s="126"/>
      <c r="D157" s="81" t="str">
        <f>IFS(C157="","",C157,VLOOKUP(C157,'PATIENT DATA (072721)'!A:C,2,0))</f>
        <v/>
      </c>
      <c r="E157" s="82" t="str">
        <f>IFS(C157="","",C157,VLOOKUP(C157,'PATIENT DATA (072721)'!A:C,3,0))</f>
        <v/>
      </c>
      <c r="F157" s="135"/>
      <c r="G157" s="136"/>
      <c r="H157" s="137"/>
      <c r="I157" s="97"/>
      <c r="J157" s="88"/>
      <c r="K157" s="88"/>
      <c r="L157" s="88"/>
      <c r="M157" s="138"/>
      <c r="N157" s="66"/>
    </row>
    <row r="158">
      <c r="A158" s="128"/>
      <c r="B158" s="128"/>
      <c r="C158" s="117"/>
      <c r="D158" s="70" t="str">
        <f>IFS(C158="","",C158,VLOOKUP(C158,'PATIENT DATA (072721)'!A:C,2,0))</f>
        <v/>
      </c>
      <c r="E158" s="71" t="str">
        <f>IFS(C158="","",C158,VLOOKUP(C158,'PATIENT DATA (072721)'!A:C,3,0))</f>
        <v/>
      </c>
      <c r="F158" s="139"/>
      <c r="G158" s="140"/>
      <c r="H158" s="76"/>
      <c r="I158" s="94"/>
      <c r="J158" s="76"/>
      <c r="K158" s="76"/>
      <c r="L158" s="76"/>
      <c r="M158" s="141"/>
      <c r="N158" s="66"/>
    </row>
    <row r="159">
      <c r="A159" s="121"/>
      <c r="B159" s="121"/>
      <c r="C159" s="126"/>
      <c r="D159" s="81" t="str">
        <f>IFS(C159="","",C159,VLOOKUP(C159,'PATIENT DATA (072721)'!A:C,2,0))</f>
        <v/>
      </c>
      <c r="E159" s="82" t="str">
        <f>IFS(C159="","",C159,VLOOKUP(C159,'PATIENT DATA (072721)'!A:C,3,0))</f>
        <v/>
      </c>
      <c r="F159" s="135"/>
      <c r="G159" s="136"/>
      <c r="H159" s="137"/>
      <c r="I159" s="97"/>
      <c r="J159" s="88"/>
      <c r="K159" s="88"/>
      <c r="L159" s="88"/>
      <c r="M159" s="138"/>
      <c r="N159" s="66"/>
    </row>
    <row r="160">
      <c r="A160" s="128"/>
      <c r="B160" s="128"/>
      <c r="C160" s="117"/>
      <c r="D160" s="70" t="str">
        <f>IFS(C160="","",C160,VLOOKUP(C160,'PATIENT DATA (072721)'!A:C,2,0))</f>
        <v/>
      </c>
      <c r="E160" s="71" t="str">
        <f>IFS(C160="","",C160,VLOOKUP(C160,'PATIENT DATA (072721)'!A:C,3,0))</f>
        <v/>
      </c>
      <c r="F160" s="139"/>
      <c r="G160" s="140"/>
      <c r="H160" s="76"/>
      <c r="I160" s="94"/>
      <c r="J160" s="76"/>
      <c r="K160" s="76"/>
      <c r="L160" s="76"/>
      <c r="M160" s="141"/>
      <c r="N160" s="66"/>
    </row>
    <row r="161">
      <c r="A161" s="121"/>
      <c r="B161" s="121"/>
      <c r="C161" s="126"/>
      <c r="D161" s="81" t="str">
        <f>IFS(C161="","",C161,VLOOKUP(C161,'PATIENT DATA (072721)'!A:C,2,0))</f>
        <v/>
      </c>
      <c r="E161" s="82" t="str">
        <f>IFS(C161="","",C161,VLOOKUP(C161,'PATIENT DATA (072721)'!A:C,3,0))</f>
        <v/>
      </c>
      <c r="F161" s="135"/>
      <c r="G161" s="136"/>
      <c r="H161" s="137"/>
      <c r="I161" s="97"/>
      <c r="J161" s="88"/>
      <c r="K161" s="88"/>
      <c r="L161" s="88"/>
      <c r="M161" s="138"/>
      <c r="N161" s="66"/>
    </row>
    <row r="162">
      <c r="A162" s="128"/>
      <c r="B162" s="128"/>
      <c r="C162" s="117"/>
      <c r="D162" s="70" t="str">
        <f>IFS(C162="","",C162,VLOOKUP(C162,'PATIENT DATA (072721)'!A:C,2,0))</f>
        <v/>
      </c>
      <c r="E162" s="71" t="str">
        <f>IFS(C162="","",C162,VLOOKUP(C162,'PATIENT DATA (072721)'!A:C,3,0))</f>
        <v/>
      </c>
      <c r="F162" s="139"/>
      <c r="G162" s="140"/>
      <c r="H162" s="76"/>
      <c r="I162" s="94"/>
      <c r="J162" s="76"/>
      <c r="K162" s="76"/>
      <c r="L162" s="76"/>
      <c r="M162" s="141"/>
      <c r="N162" s="66"/>
    </row>
    <row r="163">
      <c r="A163" s="121"/>
      <c r="B163" s="121"/>
      <c r="C163" s="126"/>
      <c r="D163" s="81" t="str">
        <f>IFS(C163="","",C163,VLOOKUP(C163,'PATIENT DATA (072721)'!A:C,2,0))</f>
        <v/>
      </c>
      <c r="E163" s="82" t="str">
        <f>IFS(C163="","",C163,VLOOKUP(C163,'PATIENT DATA (072721)'!A:C,3,0))</f>
        <v/>
      </c>
      <c r="F163" s="135"/>
      <c r="G163" s="136"/>
      <c r="H163" s="137"/>
      <c r="I163" s="97"/>
      <c r="J163" s="88"/>
      <c r="K163" s="88"/>
      <c r="L163" s="88"/>
      <c r="M163" s="138"/>
      <c r="N163" s="66"/>
    </row>
    <row r="164">
      <c r="A164" s="128"/>
      <c r="B164" s="128"/>
      <c r="C164" s="117"/>
      <c r="D164" s="70" t="str">
        <f>IFS(C164="","",C164,VLOOKUP(C164,'PATIENT DATA (072721)'!A:C,2,0))</f>
        <v/>
      </c>
      <c r="E164" s="71" t="str">
        <f>IFS(C164="","",C164,VLOOKUP(C164,'PATIENT DATA (072721)'!A:C,3,0))</f>
        <v/>
      </c>
      <c r="F164" s="139"/>
      <c r="G164" s="140"/>
      <c r="H164" s="76"/>
      <c r="I164" s="94"/>
      <c r="J164" s="76"/>
      <c r="K164" s="76"/>
      <c r="L164" s="76"/>
      <c r="M164" s="141"/>
      <c r="N164" s="66"/>
    </row>
    <row r="165">
      <c r="A165" s="121"/>
      <c r="B165" s="121"/>
      <c r="C165" s="126"/>
      <c r="D165" s="81" t="str">
        <f>IFS(C165="","",C165,VLOOKUP(C165,'PATIENT DATA (072721)'!A:C,2,0))</f>
        <v/>
      </c>
      <c r="E165" s="82" t="str">
        <f>IFS(C165="","",C165,VLOOKUP(C165,'PATIENT DATA (072721)'!A:C,3,0))</f>
        <v/>
      </c>
      <c r="F165" s="135"/>
      <c r="G165" s="136"/>
      <c r="H165" s="137"/>
      <c r="I165" s="97"/>
      <c r="J165" s="88"/>
      <c r="K165" s="88"/>
      <c r="L165" s="88"/>
      <c r="M165" s="138"/>
      <c r="N165" s="66"/>
    </row>
    <row r="166">
      <c r="A166" s="128"/>
      <c r="B166" s="128"/>
      <c r="C166" s="117"/>
      <c r="D166" s="70" t="str">
        <f>IFS(C166="","",C166,VLOOKUP(C166,'PATIENT DATA (072721)'!A:C,2,0))</f>
        <v/>
      </c>
      <c r="E166" s="71" t="str">
        <f>IFS(C166="","",C166,VLOOKUP(C166,'PATIENT DATA (072721)'!A:C,3,0))</f>
        <v/>
      </c>
      <c r="F166" s="139"/>
      <c r="G166" s="140"/>
      <c r="H166" s="76"/>
      <c r="I166" s="94"/>
      <c r="J166" s="76"/>
      <c r="K166" s="76"/>
      <c r="L166" s="76"/>
      <c r="M166" s="141"/>
      <c r="N166" s="66"/>
    </row>
    <row r="167">
      <c r="A167" s="121"/>
      <c r="B167" s="121"/>
      <c r="C167" s="126"/>
      <c r="D167" s="81" t="str">
        <f>IFS(C167="","",C167,VLOOKUP(C167,'PATIENT DATA (072721)'!A:C,2,0))</f>
        <v/>
      </c>
      <c r="E167" s="82" t="str">
        <f>IFS(C167="","",C167,VLOOKUP(C167,'PATIENT DATA (072721)'!A:C,3,0))</f>
        <v/>
      </c>
      <c r="F167" s="135"/>
      <c r="G167" s="136"/>
      <c r="H167" s="137"/>
      <c r="I167" s="97"/>
      <c r="J167" s="88"/>
      <c r="K167" s="88"/>
      <c r="L167" s="88"/>
      <c r="M167" s="138"/>
      <c r="N167" s="66"/>
    </row>
    <row r="168">
      <c r="A168" s="128"/>
      <c r="B168" s="128"/>
      <c r="C168" s="117"/>
      <c r="D168" s="70" t="str">
        <f>IFS(C168="","",C168,VLOOKUP(C168,'PATIENT DATA (072721)'!A:C,2,0))</f>
        <v/>
      </c>
      <c r="E168" s="71" t="str">
        <f>IFS(C168="","",C168,VLOOKUP(C168,'PATIENT DATA (072721)'!A:C,3,0))</f>
        <v/>
      </c>
      <c r="F168" s="139"/>
      <c r="G168" s="140"/>
      <c r="H168" s="76"/>
      <c r="I168" s="94"/>
      <c r="J168" s="76"/>
      <c r="K168" s="76"/>
      <c r="L168" s="76"/>
      <c r="M168" s="141"/>
      <c r="N168" s="66"/>
    </row>
    <row r="169">
      <c r="A169" s="121"/>
      <c r="B169" s="121"/>
      <c r="C169" s="126"/>
      <c r="D169" s="81" t="str">
        <f>IFS(C169="","",C169,VLOOKUP(C169,'PATIENT DATA (072721)'!A:C,2,0))</f>
        <v/>
      </c>
      <c r="E169" s="82" t="str">
        <f>IFS(C169="","",C169,VLOOKUP(C169,'PATIENT DATA (072721)'!A:C,3,0))</f>
        <v/>
      </c>
      <c r="F169" s="135"/>
      <c r="G169" s="136"/>
      <c r="H169" s="137"/>
      <c r="I169" s="97"/>
      <c r="J169" s="88"/>
      <c r="K169" s="88"/>
      <c r="L169" s="88"/>
      <c r="M169" s="138"/>
      <c r="N169" s="66"/>
    </row>
    <row r="170">
      <c r="A170" s="128"/>
      <c r="B170" s="128"/>
      <c r="C170" s="117"/>
      <c r="D170" s="70" t="str">
        <f>IFS(C170="","",C170,VLOOKUP(C170,'PATIENT DATA (072721)'!A:C,2,0))</f>
        <v/>
      </c>
      <c r="E170" s="71" t="str">
        <f>IFS(C170="","",C170,VLOOKUP(C170,'PATIENT DATA (072721)'!A:C,3,0))</f>
        <v/>
      </c>
      <c r="F170" s="139"/>
      <c r="G170" s="140"/>
      <c r="H170" s="76"/>
      <c r="I170" s="94"/>
      <c r="J170" s="76"/>
      <c r="K170" s="76"/>
      <c r="L170" s="76"/>
      <c r="M170" s="141"/>
      <c r="N170" s="66"/>
    </row>
    <row r="171">
      <c r="A171" s="121"/>
      <c r="B171" s="121"/>
      <c r="C171" s="126"/>
      <c r="D171" s="81" t="str">
        <f>IFS(C171="","",C171,VLOOKUP(C171,'PATIENT DATA (072721)'!A:C,2,0))</f>
        <v/>
      </c>
      <c r="E171" s="82" t="str">
        <f>IFS(C171="","",C171,VLOOKUP(C171,'PATIENT DATA (072721)'!A:C,3,0))</f>
        <v/>
      </c>
      <c r="F171" s="135"/>
      <c r="G171" s="136"/>
      <c r="H171" s="137"/>
      <c r="I171" s="97"/>
      <c r="J171" s="88"/>
      <c r="K171" s="88"/>
      <c r="L171" s="88"/>
      <c r="M171" s="138"/>
      <c r="N171" s="66"/>
    </row>
    <row r="172">
      <c r="A172" s="128"/>
      <c r="B172" s="128"/>
      <c r="C172" s="117"/>
      <c r="D172" s="70" t="str">
        <f>IFS(C172="","",C172,VLOOKUP(C172,'PATIENT DATA (072721)'!A:C,2,0))</f>
        <v/>
      </c>
      <c r="E172" s="71" t="str">
        <f>IFS(C172="","",C172,VLOOKUP(C172,'PATIENT DATA (072721)'!A:C,3,0))</f>
        <v/>
      </c>
      <c r="F172" s="139"/>
      <c r="G172" s="140"/>
      <c r="H172" s="76"/>
      <c r="I172" s="94"/>
      <c r="J172" s="76"/>
      <c r="K172" s="76"/>
      <c r="L172" s="76"/>
      <c r="M172" s="141"/>
      <c r="N172" s="66"/>
    </row>
    <row r="173">
      <c r="A173" s="121"/>
      <c r="B173" s="121"/>
      <c r="C173" s="126"/>
      <c r="D173" s="81" t="str">
        <f>IFS(C173="","",C173,VLOOKUP(C173,'PATIENT DATA (072721)'!A:C,2,0))</f>
        <v/>
      </c>
      <c r="E173" s="82" t="str">
        <f>IFS(C173="","",C173,VLOOKUP(C173,'PATIENT DATA (072721)'!A:C,3,0))</f>
        <v/>
      </c>
      <c r="F173" s="135"/>
      <c r="G173" s="136"/>
      <c r="H173" s="137"/>
      <c r="I173" s="97"/>
      <c r="J173" s="88"/>
      <c r="K173" s="88"/>
      <c r="L173" s="88"/>
      <c r="M173" s="138"/>
      <c r="N173" s="66"/>
    </row>
    <row r="174">
      <c r="A174" s="128"/>
      <c r="B174" s="128"/>
      <c r="C174" s="117"/>
      <c r="D174" s="70" t="str">
        <f>IFS(C174="","",C174,VLOOKUP(C174,'PATIENT DATA (072721)'!A:C,2,0))</f>
        <v/>
      </c>
      <c r="E174" s="71" t="str">
        <f>IFS(C174="","",C174,VLOOKUP(C174,'PATIENT DATA (072721)'!A:C,3,0))</f>
        <v/>
      </c>
      <c r="F174" s="139"/>
      <c r="G174" s="140"/>
      <c r="H174" s="76"/>
      <c r="I174" s="94"/>
      <c r="J174" s="76"/>
      <c r="K174" s="76"/>
      <c r="L174" s="76"/>
      <c r="M174" s="141"/>
      <c r="N174" s="66"/>
    </row>
    <row r="175">
      <c r="A175" s="121"/>
      <c r="B175" s="121"/>
      <c r="C175" s="126"/>
      <c r="D175" s="81" t="str">
        <f>IFS(C175="","",C175,VLOOKUP(C175,'PATIENT DATA (072721)'!A:C,2,0))</f>
        <v/>
      </c>
      <c r="E175" s="82" t="str">
        <f>IFS(C175="","",C175,VLOOKUP(C175,'PATIENT DATA (072721)'!A:C,3,0))</f>
        <v/>
      </c>
      <c r="F175" s="135"/>
      <c r="G175" s="136"/>
      <c r="H175" s="137"/>
      <c r="I175" s="97"/>
      <c r="J175" s="88"/>
      <c r="K175" s="88"/>
      <c r="L175" s="88"/>
      <c r="M175" s="138"/>
      <c r="N175" s="66"/>
    </row>
    <row r="176">
      <c r="A176" s="128"/>
      <c r="B176" s="128"/>
      <c r="C176" s="117"/>
      <c r="D176" s="70" t="str">
        <f>IFS(C176="","",C176,VLOOKUP(C176,'PATIENT DATA (072721)'!A:C,2,0))</f>
        <v/>
      </c>
      <c r="E176" s="71" t="str">
        <f>IFS(C176="","",C176,VLOOKUP(C176,'PATIENT DATA (072721)'!A:C,3,0))</f>
        <v/>
      </c>
      <c r="F176" s="139"/>
      <c r="G176" s="140"/>
      <c r="H176" s="76"/>
      <c r="I176" s="94"/>
      <c r="J176" s="76"/>
      <c r="K176" s="76"/>
      <c r="L176" s="76"/>
      <c r="M176" s="141"/>
      <c r="N176" s="66"/>
    </row>
    <row r="177">
      <c r="A177" s="121"/>
      <c r="B177" s="121"/>
      <c r="C177" s="126"/>
      <c r="D177" s="81" t="str">
        <f>IFS(C177="","",C177,VLOOKUP(C177,'PATIENT DATA (072721)'!A:C,2,0))</f>
        <v/>
      </c>
      <c r="E177" s="82" t="str">
        <f>IFS(C177="","",C177,VLOOKUP(C177,'PATIENT DATA (072721)'!A:C,3,0))</f>
        <v/>
      </c>
      <c r="F177" s="135"/>
      <c r="G177" s="136"/>
      <c r="H177" s="137"/>
      <c r="I177" s="97"/>
      <c r="J177" s="88"/>
      <c r="K177" s="88"/>
      <c r="L177" s="88"/>
      <c r="M177" s="138"/>
      <c r="N177" s="66"/>
    </row>
    <row r="178">
      <c r="A178" s="128"/>
      <c r="B178" s="128"/>
      <c r="C178" s="117"/>
      <c r="D178" s="70" t="str">
        <f>IFS(C178="","",C178,VLOOKUP(C178,'PATIENT DATA (072721)'!A:C,2,0))</f>
        <v/>
      </c>
      <c r="E178" s="71" t="str">
        <f>IFS(C178="","",C178,VLOOKUP(C178,'PATIENT DATA (072721)'!A:C,3,0))</f>
        <v/>
      </c>
      <c r="F178" s="139"/>
      <c r="G178" s="140"/>
      <c r="H178" s="76"/>
      <c r="I178" s="94"/>
      <c r="J178" s="76"/>
      <c r="K178" s="76"/>
      <c r="L178" s="76"/>
      <c r="M178" s="141"/>
      <c r="N178" s="66"/>
    </row>
    <row r="179">
      <c r="A179" s="121"/>
      <c r="B179" s="121"/>
      <c r="C179" s="126"/>
      <c r="D179" s="81" t="str">
        <f>IFS(C179="","",C179,VLOOKUP(C179,'PATIENT DATA (072721)'!A:C,2,0))</f>
        <v/>
      </c>
      <c r="E179" s="82" t="str">
        <f>IFS(C179="","",C179,VLOOKUP(C179,'PATIENT DATA (072721)'!A:C,3,0))</f>
        <v/>
      </c>
      <c r="F179" s="135"/>
      <c r="G179" s="136"/>
      <c r="H179" s="137"/>
      <c r="I179" s="97"/>
      <c r="J179" s="88"/>
      <c r="K179" s="88"/>
      <c r="L179" s="88"/>
      <c r="M179" s="138"/>
      <c r="N179" s="66"/>
    </row>
    <row r="180">
      <c r="A180" s="128"/>
      <c r="B180" s="128"/>
      <c r="C180" s="117"/>
      <c r="D180" s="70" t="str">
        <f>IFS(C180="","",C180,VLOOKUP(C180,'PATIENT DATA (072721)'!A:C,2,0))</f>
        <v/>
      </c>
      <c r="E180" s="71" t="str">
        <f>IFS(C180="","",C180,VLOOKUP(C180,'PATIENT DATA (072721)'!A:C,3,0))</f>
        <v/>
      </c>
      <c r="F180" s="139"/>
      <c r="G180" s="140"/>
      <c r="H180" s="76"/>
      <c r="I180" s="94"/>
      <c r="J180" s="76"/>
      <c r="K180" s="76"/>
      <c r="L180" s="76"/>
      <c r="M180" s="141"/>
      <c r="N180" s="66"/>
    </row>
    <row r="181">
      <c r="A181" s="121"/>
      <c r="B181" s="121"/>
      <c r="C181" s="126"/>
      <c r="D181" s="81" t="str">
        <f>IFS(C181="","",C181,VLOOKUP(C181,'PATIENT DATA (072721)'!A:C,2,0))</f>
        <v/>
      </c>
      <c r="E181" s="82" t="str">
        <f>IFS(C181="","",C181,VLOOKUP(C181,'PATIENT DATA (072721)'!A:C,3,0))</f>
        <v/>
      </c>
      <c r="F181" s="135"/>
      <c r="G181" s="136"/>
      <c r="H181" s="137"/>
      <c r="I181" s="97"/>
      <c r="J181" s="88"/>
      <c r="K181" s="88"/>
      <c r="L181" s="88"/>
      <c r="M181" s="138"/>
      <c r="N181" s="66"/>
    </row>
    <row r="182">
      <c r="A182" s="128"/>
      <c r="B182" s="128"/>
      <c r="C182" s="117"/>
      <c r="D182" s="70" t="str">
        <f>IFS(C182="","",C182,VLOOKUP(C182,'PATIENT DATA (072721)'!A:C,2,0))</f>
        <v/>
      </c>
      <c r="E182" s="71" t="str">
        <f>IFS(C182="","",C182,VLOOKUP(C182,'PATIENT DATA (072721)'!A:C,3,0))</f>
        <v/>
      </c>
      <c r="F182" s="139"/>
      <c r="G182" s="140"/>
      <c r="H182" s="76"/>
      <c r="I182" s="94"/>
      <c r="J182" s="76"/>
      <c r="K182" s="76"/>
      <c r="L182" s="76"/>
      <c r="M182" s="141"/>
      <c r="N182" s="66"/>
    </row>
    <row r="183">
      <c r="A183" s="121"/>
      <c r="B183" s="121"/>
      <c r="C183" s="126"/>
      <c r="D183" s="81" t="str">
        <f>IFS(C183="","",C183,VLOOKUP(C183,'PATIENT DATA (072721)'!A:C,2,0))</f>
        <v/>
      </c>
      <c r="E183" s="82" t="str">
        <f>IFS(C183="","",C183,VLOOKUP(C183,'PATIENT DATA (072721)'!A:C,3,0))</f>
        <v/>
      </c>
      <c r="F183" s="135"/>
      <c r="G183" s="136"/>
      <c r="H183" s="137"/>
      <c r="I183" s="97"/>
      <c r="J183" s="88"/>
      <c r="K183" s="88"/>
      <c r="L183" s="88"/>
      <c r="M183" s="138"/>
      <c r="N183" s="66"/>
    </row>
    <row r="184">
      <c r="A184" s="128"/>
      <c r="B184" s="128"/>
      <c r="C184" s="117"/>
      <c r="D184" s="70" t="str">
        <f>IFS(C184="","",C184,VLOOKUP(C184,'PATIENT DATA (072721)'!A:C,2,0))</f>
        <v/>
      </c>
      <c r="E184" s="71" t="str">
        <f>IFS(C184="","",C184,VLOOKUP(C184,'PATIENT DATA (072721)'!A:C,3,0))</f>
        <v/>
      </c>
      <c r="F184" s="139"/>
      <c r="G184" s="140"/>
      <c r="H184" s="76"/>
      <c r="I184" s="94"/>
      <c r="J184" s="76"/>
      <c r="K184" s="76"/>
      <c r="L184" s="76"/>
      <c r="M184" s="141"/>
      <c r="N184" s="66"/>
    </row>
    <row r="185">
      <c r="A185" s="121"/>
      <c r="B185" s="121"/>
      <c r="C185" s="126"/>
      <c r="D185" s="81" t="str">
        <f>IFS(C185="","",C185,VLOOKUP(C185,'PATIENT DATA (072721)'!A:C,2,0))</f>
        <v/>
      </c>
      <c r="E185" s="82" t="str">
        <f>IFS(C185="","",C185,VLOOKUP(C185,'PATIENT DATA (072721)'!A:C,3,0))</f>
        <v/>
      </c>
      <c r="F185" s="135"/>
      <c r="G185" s="136"/>
      <c r="H185" s="137"/>
      <c r="I185" s="97"/>
      <c r="J185" s="88"/>
      <c r="K185" s="88"/>
      <c r="L185" s="88"/>
      <c r="M185" s="138"/>
      <c r="N185" s="66"/>
    </row>
    <row r="186">
      <c r="A186" s="128"/>
      <c r="B186" s="128"/>
      <c r="C186" s="117"/>
      <c r="D186" s="70" t="str">
        <f>IFS(C186="","",C186,VLOOKUP(C186,'PATIENT DATA (072721)'!A:C,2,0))</f>
        <v/>
      </c>
      <c r="E186" s="71" t="str">
        <f>IFS(C186="","",C186,VLOOKUP(C186,'PATIENT DATA (072721)'!A:C,3,0))</f>
        <v/>
      </c>
      <c r="F186" s="139"/>
      <c r="G186" s="140"/>
      <c r="H186" s="76"/>
      <c r="I186" s="94"/>
      <c r="J186" s="76"/>
      <c r="K186" s="76"/>
      <c r="L186" s="76"/>
      <c r="M186" s="141"/>
      <c r="N186" s="66"/>
    </row>
    <row r="187">
      <c r="A187" s="121"/>
      <c r="B187" s="121"/>
      <c r="C187" s="126"/>
      <c r="D187" s="81" t="str">
        <f>IFS(C187="","",C187,VLOOKUP(C187,'PATIENT DATA (072721)'!A:C,2,0))</f>
        <v/>
      </c>
      <c r="E187" s="82" t="str">
        <f>IFS(C187="","",C187,VLOOKUP(C187,'PATIENT DATA (072721)'!A:C,3,0))</f>
        <v/>
      </c>
      <c r="F187" s="135"/>
      <c r="G187" s="136"/>
      <c r="H187" s="137"/>
      <c r="I187" s="97"/>
      <c r="J187" s="88"/>
      <c r="K187" s="88"/>
      <c r="L187" s="88"/>
      <c r="M187" s="138"/>
      <c r="N187" s="66"/>
    </row>
    <row r="188">
      <c r="A188" s="128"/>
      <c r="B188" s="128"/>
      <c r="C188" s="117"/>
      <c r="D188" s="70" t="str">
        <f>IFS(C188="","",C188,VLOOKUP(C188,'PATIENT DATA (072721)'!A:C,2,0))</f>
        <v/>
      </c>
      <c r="E188" s="71" t="str">
        <f>IFS(C188="","",C188,VLOOKUP(C188,'PATIENT DATA (072721)'!A:C,3,0))</f>
        <v/>
      </c>
      <c r="F188" s="139"/>
      <c r="G188" s="140"/>
      <c r="H188" s="76"/>
      <c r="I188" s="94"/>
      <c r="J188" s="76"/>
      <c r="K188" s="76"/>
      <c r="L188" s="76"/>
      <c r="M188" s="141"/>
      <c r="N188" s="66"/>
    </row>
    <row r="189">
      <c r="A189" s="121"/>
      <c r="B189" s="121"/>
      <c r="C189" s="126"/>
      <c r="D189" s="81" t="str">
        <f>IFS(C189="","",C189,VLOOKUP(C189,'PATIENT DATA (072721)'!A:C,2,0))</f>
        <v/>
      </c>
      <c r="E189" s="82" t="str">
        <f>IFS(C189="","",C189,VLOOKUP(C189,'PATIENT DATA (072721)'!A:C,3,0))</f>
        <v/>
      </c>
      <c r="F189" s="135"/>
      <c r="G189" s="136"/>
      <c r="H189" s="137"/>
      <c r="I189" s="97"/>
      <c r="J189" s="88"/>
      <c r="K189" s="88"/>
      <c r="L189" s="88"/>
      <c r="M189" s="138"/>
      <c r="N189" s="66"/>
    </row>
    <row r="190">
      <c r="A190" s="128"/>
      <c r="B190" s="128"/>
      <c r="C190" s="117"/>
      <c r="D190" s="70" t="str">
        <f>IFS(C190="","",C190,VLOOKUP(C190,'PATIENT DATA (072721)'!A:C,2,0))</f>
        <v/>
      </c>
      <c r="E190" s="71" t="str">
        <f>IFS(C190="","",C190,VLOOKUP(C190,'PATIENT DATA (072721)'!A:C,3,0))</f>
        <v/>
      </c>
      <c r="F190" s="139"/>
      <c r="G190" s="140"/>
      <c r="H190" s="76"/>
      <c r="I190" s="94"/>
      <c r="J190" s="76"/>
      <c r="K190" s="76"/>
      <c r="L190" s="76"/>
      <c r="M190" s="141"/>
      <c r="N190" s="66"/>
    </row>
    <row r="191">
      <c r="A191" s="121"/>
      <c r="B191" s="121"/>
      <c r="C191" s="126"/>
      <c r="D191" s="81" t="str">
        <f>IFS(C191="","",C191,VLOOKUP(C191,'PATIENT DATA (072721)'!A:C,2,0))</f>
        <v/>
      </c>
      <c r="E191" s="82" t="str">
        <f>IFS(C191="","",C191,VLOOKUP(C191,'PATIENT DATA (072721)'!A:C,3,0))</f>
        <v/>
      </c>
      <c r="F191" s="135"/>
      <c r="G191" s="136"/>
      <c r="H191" s="137"/>
      <c r="I191" s="97"/>
      <c r="J191" s="88"/>
      <c r="K191" s="88"/>
      <c r="L191" s="88"/>
      <c r="M191" s="138"/>
      <c r="N191" s="66"/>
    </row>
    <row r="192">
      <c r="A192" s="128"/>
      <c r="B192" s="128"/>
      <c r="C192" s="117"/>
      <c r="D192" s="70" t="str">
        <f>IFS(C192="","",C192,VLOOKUP(C192,'PATIENT DATA (072721)'!A:C,2,0))</f>
        <v/>
      </c>
      <c r="E192" s="71" t="str">
        <f>IFS(C192="","",C192,VLOOKUP(C192,'PATIENT DATA (072721)'!A:C,3,0))</f>
        <v/>
      </c>
      <c r="F192" s="139"/>
      <c r="G192" s="140"/>
      <c r="H192" s="76"/>
      <c r="I192" s="94"/>
      <c r="J192" s="76"/>
      <c r="K192" s="76"/>
      <c r="L192" s="76"/>
      <c r="M192" s="141"/>
      <c r="N192" s="66"/>
    </row>
    <row r="193">
      <c r="A193" s="121"/>
      <c r="B193" s="121"/>
      <c r="C193" s="126"/>
      <c r="D193" s="81" t="str">
        <f>IFS(C193="","",C193,VLOOKUP(C193,'PATIENT DATA (072721)'!A:C,2,0))</f>
        <v/>
      </c>
      <c r="E193" s="82" t="str">
        <f>IFS(C193="","",C193,VLOOKUP(C193,'PATIENT DATA (072721)'!A:C,3,0))</f>
        <v/>
      </c>
      <c r="F193" s="135"/>
      <c r="G193" s="136"/>
      <c r="H193" s="137"/>
      <c r="I193" s="97"/>
      <c r="J193" s="88"/>
      <c r="K193" s="88"/>
      <c r="L193" s="88"/>
      <c r="M193" s="138"/>
      <c r="N193" s="66"/>
    </row>
    <row r="194">
      <c r="A194" s="128"/>
      <c r="B194" s="128"/>
      <c r="C194" s="117"/>
      <c r="D194" s="70" t="str">
        <f>IFS(C194="","",C194,VLOOKUP(C194,'PATIENT DATA (072721)'!A:C,2,0))</f>
        <v/>
      </c>
      <c r="E194" s="71" t="str">
        <f>IFS(C194="","",C194,VLOOKUP(C194,'PATIENT DATA (072721)'!A:C,3,0))</f>
        <v/>
      </c>
      <c r="F194" s="139"/>
      <c r="G194" s="140"/>
      <c r="H194" s="76"/>
      <c r="I194" s="94"/>
      <c r="J194" s="76"/>
      <c r="K194" s="76"/>
      <c r="L194" s="76"/>
      <c r="M194" s="141"/>
      <c r="N194" s="66"/>
    </row>
    <row r="195">
      <c r="A195" s="121"/>
      <c r="B195" s="121"/>
      <c r="C195" s="126"/>
      <c r="D195" s="81" t="str">
        <f>IFS(C195="","",C195,VLOOKUP(C195,'PATIENT DATA (072721)'!A:C,2,0))</f>
        <v/>
      </c>
      <c r="E195" s="82" t="str">
        <f>IFS(C195="","",C195,VLOOKUP(C195,'PATIENT DATA (072721)'!A:C,3,0))</f>
        <v/>
      </c>
      <c r="F195" s="135"/>
      <c r="G195" s="136"/>
      <c r="H195" s="137"/>
      <c r="I195" s="97"/>
      <c r="J195" s="88"/>
      <c r="K195" s="88"/>
      <c r="L195" s="88"/>
      <c r="M195" s="138"/>
      <c r="N195" s="66"/>
    </row>
    <row r="196">
      <c r="A196" s="128"/>
      <c r="B196" s="128"/>
      <c r="C196" s="117"/>
      <c r="D196" s="70" t="str">
        <f>IFS(C196="","",C196,VLOOKUP(C196,'PATIENT DATA (072721)'!A:C,2,0))</f>
        <v/>
      </c>
      <c r="E196" s="71" t="str">
        <f>IFS(C196="","",C196,VLOOKUP(C196,'PATIENT DATA (072721)'!A:C,3,0))</f>
        <v/>
      </c>
      <c r="F196" s="139"/>
      <c r="G196" s="140"/>
      <c r="H196" s="76"/>
      <c r="I196" s="94"/>
      <c r="J196" s="76"/>
      <c r="K196" s="76"/>
      <c r="L196" s="76"/>
      <c r="M196" s="141"/>
      <c r="N196" s="66"/>
    </row>
    <row r="197">
      <c r="A197" s="121"/>
      <c r="B197" s="121"/>
      <c r="C197" s="126"/>
      <c r="D197" s="81" t="str">
        <f>IFS(C197="","",C197,VLOOKUP(C197,'PATIENT DATA (072721)'!A:C,2,0))</f>
        <v/>
      </c>
      <c r="E197" s="82" t="str">
        <f>IFS(C197="","",C197,VLOOKUP(C197,'PATIENT DATA (072721)'!A:C,3,0))</f>
        <v/>
      </c>
      <c r="F197" s="135"/>
      <c r="G197" s="136"/>
      <c r="H197" s="137"/>
      <c r="I197" s="97"/>
      <c r="J197" s="88"/>
      <c r="K197" s="88"/>
      <c r="L197" s="88"/>
      <c r="M197" s="138"/>
      <c r="N197" s="66"/>
    </row>
    <row r="198">
      <c r="A198" s="128"/>
      <c r="B198" s="128"/>
      <c r="C198" s="117"/>
      <c r="D198" s="70" t="str">
        <f>IFS(C198="","",C198,VLOOKUP(C198,'PATIENT DATA (072721)'!A:C,2,0))</f>
        <v/>
      </c>
      <c r="E198" s="71" t="str">
        <f>IFS(C198="","",C198,VLOOKUP(C198,'PATIENT DATA (072721)'!A:C,3,0))</f>
        <v/>
      </c>
      <c r="F198" s="139"/>
      <c r="G198" s="140"/>
      <c r="H198" s="76"/>
      <c r="I198" s="94"/>
      <c r="J198" s="76"/>
      <c r="K198" s="76"/>
      <c r="L198" s="76"/>
      <c r="M198" s="141"/>
      <c r="N198" s="66"/>
    </row>
    <row r="199">
      <c r="A199" s="121"/>
      <c r="B199" s="121"/>
      <c r="C199" s="126"/>
      <c r="D199" s="81" t="str">
        <f>IFS(C199="","",C199,VLOOKUP(C199,'PATIENT DATA (072721)'!A:C,2,0))</f>
        <v/>
      </c>
      <c r="E199" s="82" t="str">
        <f>IFS(C199="","",C199,VLOOKUP(C199,'PATIENT DATA (072721)'!A:C,3,0))</f>
        <v/>
      </c>
      <c r="F199" s="135"/>
      <c r="G199" s="136"/>
      <c r="H199" s="137"/>
      <c r="I199" s="97"/>
      <c r="J199" s="88"/>
      <c r="K199" s="88"/>
      <c r="L199" s="88"/>
      <c r="M199" s="138"/>
      <c r="N199" s="66"/>
    </row>
    <row r="200">
      <c r="A200" s="128"/>
      <c r="B200" s="128"/>
      <c r="C200" s="117"/>
      <c r="D200" s="70" t="str">
        <f>IFS(C200="","",C200,VLOOKUP(C200,'PATIENT DATA (072721)'!A:C,2,0))</f>
        <v/>
      </c>
      <c r="E200" s="71" t="str">
        <f>IFS(C200="","",C200,VLOOKUP(C200,'PATIENT DATA (072721)'!A:C,3,0))</f>
        <v/>
      </c>
      <c r="F200" s="139"/>
      <c r="G200" s="140"/>
      <c r="H200" s="76"/>
      <c r="I200" s="94"/>
      <c r="J200" s="76"/>
      <c r="K200" s="76"/>
      <c r="L200" s="76"/>
      <c r="M200" s="141"/>
      <c r="N200" s="66"/>
    </row>
    <row r="201">
      <c r="A201" s="121"/>
      <c r="B201" s="121"/>
      <c r="C201" s="126"/>
      <c r="D201" s="81" t="str">
        <f>IFS(C201="","",C201,VLOOKUP(C201,'PATIENT DATA (072721)'!A:C,2,0))</f>
        <v/>
      </c>
      <c r="E201" s="82" t="str">
        <f>IFS(C201="","",C201,VLOOKUP(C201,'PATIENT DATA (072721)'!A:C,3,0))</f>
        <v/>
      </c>
      <c r="F201" s="135"/>
      <c r="G201" s="136"/>
      <c r="H201" s="137"/>
      <c r="I201" s="97"/>
      <c r="J201" s="88"/>
      <c r="K201" s="88"/>
      <c r="L201" s="88"/>
      <c r="M201" s="138"/>
      <c r="N201" s="66"/>
    </row>
    <row r="202">
      <c r="A202" s="128"/>
      <c r="B202" s="128"/>
      <c r="C202" s="117"/>
      <c r="D202" s="70" t="str">
        <f>IFS(C202="","",C202,VLOOKUP(C202,'PATIENT DATA (072721)'!A:C,2,0))</f>
        <v/>
      </c>
      <c r="E202" s="71" t="str">
        <f>IFS(C202="","",C202,VLOOKUP(C202,'PATIENT DATA (072721)'!A:C,3,0))</f>
        <v/>
      </c>
      <c r="F202" s="139"/>
      <c r="G202" s="140"/>
      <c r="H202" s="76"/>
      <c r="I202" s="94"/>
      <c r="J202" s="76"/>
      <c r="K202" s="76"/>
      <c r="L202" s="76"/>
      <c r="M202" s="141"/>
      <c r="N202" s="66"/>
    </row>
    <row r="203">
      <c r="A203" s="121"/>
      <c r="B203" s="121"/>
      <c r="C203" s="142"/>
      <c r="D203" s="143" t="str">
        <f>IFS(C203="","",C203,VLOOKUP(C203,'PATIENT DATA (072721)'!A:C,2,0))</f>
        <v/>
      </c>
      <c r="E203" s="144" t="str">
        <f>IFS(C203="","",C203,VLOOKUP(C203,'PATIENT DATA (072721)'!A:C,3,0))</f>
        <v/>
      </c>
      <c r="F203" s="145"/>
      <c r="G203" s="146"/>
      <c r="H203" s="147"/>
      <c r="I203" s="148"/>
      <c r="J203" s="88"/>
      <c r="K203" s="88"/>
      <c r="L203" s="88"/>
      <c r="M203" s="149"/>
      <c r="N203" s="66"/>
    </row>
  </sheetData>
  <autoFilter ref="$A$1:$N$203">
    <sortState ref="A1:N203">
      <sortCondition ref="F1:F203"/>
    </sortState>
  </autoFilter>
  <mergeCells count="7">
    <mergeCell ref="A12:B12"/>
    <mergeCell ref="A13:B13"/>
    <mergeCell ref="A14:B14"/>
    <mergeCell ref="A15:B15"/>
    <mergeCell ref="A17:B17"/>
    <mergeCell ref="A18:B18"/>
    <mergeCell ref="A20:B20"/>
  </mergeCells>
  <conditionalFormatting sqref="M29:M31">
    <cfRule type="expression" dxfId="5" priority="1">
      <formula>$X29="ERROR"</formula>
    </cfRule>
  </conditionalFormatting>
  <conditionalFormatting sqref="M29:M31">
    <cfRule type="expression" dxfId="5" priority="2">
      <formula>$Y29="NO MATCH"</formula>
    </cfRule>
  </conditionalFormatting>
  <conditionalFormatting sqref="M29:M31">
    <cfRule type="expression" dxfId="4" priority="3">
      <formula>$Z29="Repeat"</formula>
    </cfRule>
  </conditionalFormatting>
  <conditionalFormatting sqref="M29:M31">
    <cfRule type="expression" dxfId="10" priority="4">
      <formula>$N29="QUEST"</formula>
    </cfRule>
  </conditionalFormatting>
  <conditionalFormatting sqref="M29:M31">
    <cfRule type="expression" dxfId="10" priority="5">
      <formula>$N29="SWAB"</formula>
    </cfRule>
  </conditionalFormatting>
  <conditionalFormatting sqref="M29:M31">
    <cfRule type="expression" dxfId="11" priority="6">
      <formula>$V29="UA"</formula>
    </cfRule>
  </conditionalFormatting>
  <conditionalFormatting sqref="M29:M31">
    <cfRule type="expression" dxfId="12" priority="7">
      <formula>$V29="OUTUA-PrRW"</formula>
    </cfRule>
  </conditionalFormatting>
  <conditionalFormatting sqref="M29:M31">
    <cfRule type="expression" dxfId="12" priority="8">
      <formula>$V29="OUT-UAQPre"</formula>
    </cfRule>
  </conditionalFormatting>
  <conditionalFormatting sqref="M29:M31">
    <cfRule type="expression" dxfId="13" priority="9">
      <formula>$V29="UA-Prelim"</formula>
    </cfRule>
  </conditionalFormatting>
  <conditionalFormatting sqref="M29:M31">
    <cfRule type="expression" dxfId="6" priority="10">
      <formula>$V29="UA-NWPT"</formula>
    </cfRule>
  </conditionalFormatting>
  <conditionalFormatting sqref="M29:M31">
    <cfRule type="expression" dxfId="10" priority="11">
      <formula>$V29="OUT-UAQ"</formula>
    </cfRule>
  </conditionalFormatting>
  <conditionalFormatting sqref="M29:M31">
    <cfRule type="expression" dxfId="10" priority="12">
      <formula>$V29="OUTUA-FURW"</formula>
    </cfRule>
  </conditionalFormatting>
  <conditionalFormatting sqref="M29:M31">
    <cfRule type="expression" dxfId="14" priority="13">
      <formula>$V29="OUTSA-SaQu"</formula>
    </cfRule>
  </conditionalFormatting>
  <conditionalFormatting sqref="M29:M31">
    <cfRule type="expression" dxfId="14" priority="14">
      <formula>$V29="OUTSA-RW"</formula>
    </cfRule>
  </conditionalFormatting>
  <conditionalFormatting sqref="C1:M203">
    <cfRule type="containsBlanks" dxfId="3" priority="15">
      <formula>LEN(TRIM(C1))=0</formula>
    </cfRule>
  </conditionalFormatting>
  <conditionalFormatting sqref="C1:M203">
    <cfRule type="notContainsBlanks" dxfId="3" priority="16">
      <formula>LEN(TRIM(C1))&gt;0</formula>
    </cfRule>
  </conditionalFormatting>
  <conditionalFormatting sqref="A1:B203">
    <cfRule type="notContainsBlanks" dxfId="15" priority="17">
      <formula>LEN(TRIM(A1))&gt;0</formula>
    </cfRule>
  </conditionalFormatting>
  <conditionalFormatting sqref="A1:B203">
    <cfRule type="containsBlanks" dxfId="15" priority="18">
      <formula>LEN(TRIM(A1))=0</formula>
    </cfRule>
  </conditionalFormatting>
  <dataValidations>
    <dataValidation type="custom" allowBlank="1" showDropDown="1" showInputMessage="1" showErrorMessage="1" prompt="CAPITALS" sqref="C11">
      <formula1>ISERROR(SEARCH((exact(upper(C:M),C:M)),(C11)))</formula1>
    </dataValidation>
    <dataValidation type="custom" allowBlank="1" showDropDown="1" showInputMessage="1" showErrorMessage="1" prompt="CAPITALS" sqref="D2:D203">
      <formula1>ISERROR(SEARCH((exact(upper(C:M),C:M)),(D2)))</formula1>
    </dataValidation>
    <dataValidation type="custom" allowBlank="1" showDropDown="1" showInputMessage="1" showErrorMessage="1" prompt="CAPITALS" sqref="E2:E203">
      <formula1>ISERROR(SEARCH((exact(upper(F:P),F:P)),(E2)))</formula1>
    </dataValidation>
  </dataValidations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13.43"/>
    <col customWidth="1" min="2" max="2" width="10.14"/>
    <col customWidth="1" min="3" max="3" width="7.86"/>
    <col customWidth="1" min="4" max="4" width="7.29"/>
    <col customWidth="1" min="5" max="6" width="11.29"/>
    <col customWidth="1" min="7" max="7" width="7.29"/>
    <col customWidth="1" min="8" max="9" width="7.0"/>
    <col customWidth="1" min="11" max="11" width="7.43"/>
    <col customWidth="1" min="12" max="15" width="8.43"/>
    <col customWidth="1" min="16" max="16" width="8.57"/>
    <col customWidth="1" min="17" max="17" width="4.43"/>
    <col customWidth="1" min="18" max="18" width="29.86"/>
    <col customWidth="1" min="19" max="19" width="16.71"/>
  </cols>
  <sheetData>
    <row r="1" ht="29.25" customHeight="1">
      <c r="A1" s="150" t="s">
        <v>6280</v>
      </c>
      <c r="B1" s="150" t="s">
        <v>24</v>
      </c>
      <c r="C1" s="151" t="s">
        <v>6281</v>
      </c>
      <c r="D1" s="152" t="s">
        <v>6282</v>
      </c>
      <c r="E1" s="153" t="s">
        <v>6283</v>
      </c>
      <c r="F1" s="154" t="s">
        <v>6284</v>
      </c>
      <c r="G1" s="150" t="s">
        <v>6285</v>
      </c>
      <c r="H1" s="155"/>
      <c r="I1" s="156"/>
      <c r="J1" s="157"/>
      <c r="K1" s="158" t="s">
        <v>6282</v>
      </c>
      <c r="L1" s="159"/>
      <c r="M1" s="159"/>
      <c r="N1" s="159"/>
      <c r="O1" s="160"/>
      <c r="P1" s="156"/>
      <c r="Q1" s="150" t="s">
        <v>6286</v>
      </c>
      <c r="R1" s="161" t="s">
        <v>6287</v>
      </c>
      <c r="S1" s="162" t="s">
        <v>6284</v>
      </c>
    </row>
    <row r="2" ht="29.25" customHeight="1">
      <c r="A2" s="163" t="s">
        <v>6288</v>
      </c>
      <c r="B2" s="164" t="str">
        <f>'ERRATA JANUARY'!A3</f>
        <v>CH</v>
      </c>
      <c r="C2" s="165">
        <f>VLOOKUP(B2,'ERRATA JANUARY'!A:B,2,0)</f>
        <v>13</v>
      </c>
      <c r="D2" s="166">
        <f t="shared" ref="D2:D5" si="1">1-($C2/$C$7)</f>
        <v>0.7111111111</v>
      </c>
      <c r="E2" s="167">
        <f t="shared" ref="E2:E5" si="2">$D2/MAX($D$2:$D$5)</f>
        <v>0.8</v>
      </c>
      <c r="F2" s="168">
        <f>VLOOKUP(B2, 'ERRATA JANUARY'!A22:B25,2,0)</f>
        <v>2.153846154</v>
      </c>
      <c r="G2" s="164">
        <f t="shared" ref="G2:G5" si="3">($C2-$C$8)^2</f>
        <v>3.0625</v>
      </c>
      <c r="H2" s="155"/>
      <c r="I2" s="156"/>
      <c r="J2" s="157"/>
      <c r="K2" s="169">
        <v>5.0</v>
      </c>
      <c r="L2" s="169">
        <v>4.0</v>
      </c>
      <c r="M2" s="169">
        <v>3.0</v>
      </c>
      <c r="N2" s="169">
        <v>2.0</v>
      </c>
      <c r="O2" s="169">
        <v>1.0</v>
      </c>
      <c r="P2" s="156"/>
      <c r="Q2" s="164">
        <f t="shared" ref="Q2:Q5" si="4">$C2-$C$8/$G2</f>
        <v>9.326530612</v>
      </c>
      <c r="R2" s="161" t="s">
        <v>6289</v>
      </c>
      <c r="S2" s="162">
        <f>$R$3/K4</f>
        <v>7.533482806</v>
      </c>
    </row>
    <row r="3" ht="29.25" customHeight="1">
      <c r="A3" s="170"/>
      <c r="B3" s="171" t="str">
        <f>'ERRATA JANUARY'!A5</f>
        <v>DA</v>
      </c>
      <c r="C3" s="172">
        <f>VLOOKUP(B3,'ERRATA JANUARY'!A:B,2,0)</f>
        <v>15</v>
      </c>
      <c r="D3" s="173">
        <f t="shared" si="1"/>
        <v>0.6666666667</v>
      </c>
      <c r="E3" s="174">
        <f t="shared" si="2"/>
        <v>0.75</v>
      </c>
      <c r="F3" s="175">
        <f>VLOOKUP(B3, 'ERRATA JANUARY'!A24:B27,2,0)</f>
        <v>1.866666667</v>
      </c>
      <c r="G3" s="171">
        <f t="shared" si="3"/>
        <v>14.0625</v>
      </c>
      <c r="H3" s="155"/>
      <c r="I3" s="156"/>
      <c r="J3" s="169" t="s">
        <v>6290</v>
      </c>
      <c r="K3" s="169" t="s">
        <v>6291</v>
      </c>
      <c r="L3" s="169" t="s">
        <v>6292</v>
      </c>
      <c r="M3" s="169" t="s">
        <v>6286</v>
      </c>
      <c r="N3" s="169" t="s">
        <v>6293</v>
      </c>
      <c r="O3" s="169" t="s">
        <v>6294</v>
      </c>
      <c r="P3" s="156"/>
      <c r="Q3" s="171">
        <f t="shared" si="4"/>
        <v>14.2</v>
      </c>
      <c r="R3" s="161">
        <v>28.0</v>
      </c>
      <c r="S3" s="162">
        <f>$R$3/L4</f>
        <v>3.74162967</v>
      </c>
    </row>
    <row r="4" ht="29.25" customHeight="1">
      <c r="A4" s="170"/>
      <c r="B4" s="171" t="str">
        <f>'ERRATA JANUARY'!A2</f>
        <v>DM</v>
      </c>
      <c r="C4" s="172">
        <f>VLOOKUP(B4,'ERRATA JANUARY'!A:B,2,0)</f>
        <v>5</v>
      </c>
      <c r="D4" s="173">
        <f t="shared" si="1"/>
        <v>0.8888888889</v>
      </c>
      <c r="E4" s="174">
        <f t="shared" si="2"/>
        <v>1</v>
      </c>
      <c r="F4" s="175">
        <f>VLOOKUP(B4, 'ERRATA JANUARY'!A21:B24,2,0)</f>
        <v>5.6</v>
      </c>
      <c r="G4" s="171">
        <f t="shared" si="3"/>
        <v>39.0625</v>
      </c>
      <c r="H4" s="155"/>
      <c r="I4" s="156"/>
      <c r="J4" s="169" t="s">
        <v>6295</v>
      </c>
      <c r="K4" s="176">
        <f>$L$4-$G$9</f>
        <v>3.716740413</v>
      </c>
      <c r="L4" s="177">
        <f>$M$4-$G$9</f>
        <v>7.483370207</v>
      </c>
      <c r="M4" s="178">
        <f>C8</f>
        <v>11.25</v>
      </c>
      <c r="N4" s="177">
        <f>$M$4+$G$9</f>
        <v>15.01662979</v>
      </c>
      <c r="O4" s="177">
        <f>$N$4+$G$9</f>
        <v>18.78325959</v>
      </c>
      <c r="P4" s="156"/>
      <c r="Q4" s="171">
        <f t="shared" si="4"/>
        <v>4.712</v>
      </c>
      <c r="R4" s="161" t="s">
        <v>6296</v>
      </c>
      <c r="S4" s="162">
        <f>$R$3/M4</f>
        <v>2.488888889</v>
      </c>
    </row>
    <row r="5" ht="29.25" customHeight="1">
      <c r="A5" s="170"/>
      <c r="B5" s="171" t="str">
        <f>'ERRATA JANUARY'!A4</f>
        <v>LM</v>
      </c>
      <c r="C5" s="172">
        <f>VLOOKUP(B5,'ERRATA JANUARY'!A:B,2,0)</f>
        <v>12</v>
      </c>
      <c r="D5" s="173">
        <f t="shared" si="1"/>
        <v>0.7333333333</v>
      </c>
      <c r="E5" s="174">
        <f t="shared" si="2"/>
        <v>0.825</v>
      </c>
      <c r="F5" s="175">
        <f>VLOOKUP(B5, 'ERRATA JANUARY'!A23:B26,2,0)</f>
        <v>2.333333333</v>
      </c>
      <c r="G5" s="171">
        <f t="shared" si="3"/>
        <v>0.5625</v>
      </c>
      <c r="H5" s="155"/>
      <c r="I5" s="156"/>
      <c r="J5" s="169" t="s">
        <v>15</v>
      </c>
      <c r="K5" s="179" t="str">
        <f t="shared" ref="K5:K8" si="5">IFS(VLOOKUP($J5, $B$1:$C$5,2,0)&lt;$K$4,"X",VLOOKUP($J5, $B$1:$C$5,2,0)&gt;$K$4,"")</f>
        <v/>
      </c>
      <c r="L5" s="179" t="str">
        <f t="shared" ref="L5:L8" si="6">IFS(and(VLOOKUP($J5, $B$1:$C$5,2,0)&lt;$L$4,VLOOKUP($J5, $B$1:$C$5,2,0)&gt;$K$4),"X",OR(VLOOKUP($J5, $B$1:$C$5,2,0)&gt;$L$4,VLOOKUP($J5, $B$1:$C$5,2,0)&lt;$K$4),"")</f>
        <v>X</v>
      </c>
      <c r="M5" s="179" t="str">
        <f t="shared" ref="M5:M8" si="7">IFS(and(VLOOKUP($J5, $B$1:$C$5,2,0)&gt;$L$4,VLOOKUP($J5, $B$1:$C$5,2,0)&lt;$N$4),"X",or(VLOOKUP($J5, $B$1:$C$5,2,0)&lt;$L$4,VLOOKUP($J5, $B$1:$C$5,2,0)&gt;$N$4),"")</f>
        <v/>
      </c>
      <c r="N5" s="179" t="str">
        <f t="shared" ref="N5:N8" si="8">IFS(and(VLOOKUP($J5, $B$1:$C$5,2,0)&gt;$N$4,VLOOKUP($J5, $B$1:$C$5,2,0)&lt;$O$4),"X",or(VLOOKUP($J5, $B$1:$C$5,2,0)&lt;$N$4,VLOOKUP($J5, $B$1:$C$5,2,0)&gt;$O$4),"")</f>
        <v/>
      </c>
      <c r="O5" s="179" t="str">
        <f t="shared" ref="O5:O8" si="9">IFS(VLOOKUP($J5, $B$1:$C$5,2,0)&gt;$O$4,"X",VLOOKUP($J5, $B$1:$C$5,2,0)&lt;$O$4,"")</f>
        <v/>
      </c>
      <c r="P5" s="156"/>
      <c r="Q5" s="171">
        <f t="shared" si="4"/>
        <v>-8</v>
      </c>
      <c r="R5" s="161" t="s">
        <v>6297</v>
      </c>
      <c r="S5" s="162">
        <f>$R$3/N4</f>
        <v>1.864599473</v>
      </c>
    </row>
    <row r="6" ht="29.25" customHeight="1">
      <c r="A6" s="170"/>
      <c r="B6" s="171"/>
      <c r="C6" s="172"/>
      <c r="D6" s="173"/>
      <c r="E6" s="174"/>
      <c r="F6" s="175"/>
      <c r="G6" s="171"/>
      <c r="H6" s="155"/>
      <c r="I6" s="156"/>
      <c r="J6" s="169" t="s">
        <v>13</v>
      </c>
      <c r="K6" s="179" t="str">
        <f t="shared" si="5"/>
        <v/>
      </c>
      <c r="L6" s="179" t="str">
        <f t="shared" si="6"/>
        <v/>
      </c>
      <c r="M6" s="179" t="str">
        <f t="shared" si="7"/>
        <v>X</v>
      </c>
      <c r="N6" s="179" t="str">
        <f t="shared" si="8"/>
        <v/>
      </c>
      <c r="O6" s="179" t="str">
        <f t="shared" si="9"/>
        <v/>
      </c>
      <c r="P6" s="156"/>
      <c r="Q6" s="171"/>
      <c r="R6" s="161" t="s">
        <v>6298</v>
      </c>
      <c r="S6" s="162">
        <f>$R$3/O4</f>
        <v>1.490689083</v>
      </c>
    </row>
    <row r="7" ht="29.25" customHeight="1">
      <c r="A7" s="170"/>
      <c r="B7" s="180" t="s">
        <v>6248</v>
      </c>
      <c r="C7" s="172">
        <f>VLOOKUP(B7,'ERRATA JANUARY'!A:B,2,0)</f>
        <v>45</v>
      </c>
      <c r="D7" s="173"/>
      <c r="E7" s="181" t="s">
        <v>6299</v>
      </c>
      <c r="F7" s="182">
        <f>C7/R3</f>
        <v>1.607142857</v>
      </c>
      <c r="G7" s="171">
        <f>sum(G2:G5)</f>
        <v>56.75</v>
      </c>
      <c r="H7" s="155"/>
      <c r="I7" s="156"/>
      <c r="J7" s="169" t="s">
        <v>12</v>
      </c>
      <c r="K7" s="179" t="str">
        <f t="shared" si="5"/>
        <v/>
      </c>
      <c r="L7" s="179" t="str">
        <f t="shared" si="6"/>
        <v/>
      </c>
      <c r="M7" s="179" t="str">
        <f t="shared" si="7"/>
        <v>X</v>
      </c>
      <c r="N7" s="179" t="str">
        <f t="shared" si="8"/>
        <v/>
      </c>
      <c r="O7" s="179" t="str">
        <f t="shared" si="9"/>
        <v/>
      </c>
      <c r="P7" s="156"/>
      <c r="Q7" s="171"/>
      <c r="R7" s="183">
        <f>S5</f>
        <v>1.864599473</v>
      </c>
      <c r="S7" s="162"/>
    </row>
    <row r="8" ht="29.25" customHeight="1">
      <c r="A8" s="184"/>
      <c r="B8" s="185" t="s">
        <v>6300</v>
      </c>
      <c r="C8" s="186">
        <f>AVERAGE(C2:C5)</f>
        <v>11.25</v>
      </c>
      <c r="D8" s="187"/>
      <c r="E8" s="181" t="s">
        <v>6301</v>
      </c>
      <c r="F8" s="182">
        <f>SUM(F2:F5)</f>
        <v>11.95384615</v>
      </c>
      <c r="G8" s="188"/>
      <c r="H8" s="155"/>
      <c r="I8" s="156"/>
      <c r="J8" s="169" t="s">
        <v>14</v>
      </c>
      <c r="K8" s="179" t="str">
        <f t="shared" si="5"/>
        <v/>
      </c>
      <c r="L8" s="179" t="str">
        <f t="shared" si="6"/>
        <v/>
      </c>
      <c r="M8" s="179" t="str">
        <f t="shared" si="7"/>
        <v>X</v>
      </c>
      <c r="N8" s="179" t="str">
        <f t="shared" si="8"/>
        <v/>
      </c>
      <c r="O8" s="179" t="str">
        <f t="shared" si="9"/>
        <v/>
      </c>
      <c r="P8" s="156"/>
      <c r="Q8" s="189"/>
      <c r="R8" s="190"/>
      <c r="S8" s="191"/>
    </row>
    <row r="9" ht="29.25" customHeight="1">
      <c r="A9" s="192"/>
      <c r="B9" s="150" t="s">
        <v>6285</v>
      </c>
      <c r="C9" s="151"/>
      <c r="D9" s="152"/>
      <c r="E9" s="153"/>
      <c r="F9" s="150">
        <f>(F8/C11)^(1/2)</f>
        <v>1.728716732</v>
      </c>
      <c r="G9" s="150">
        <f>(G7/C11)^(1/2)</f>
        <v>3.766629793</v>
      </c>
      <c r="H9" s="155"/>
      <c r="I9" s="156"/>
      <c r="J9" s="193" t="str">
        <f>S1</f>
        <v>ERROR FREQ (DAYS)</v>
      </c>
      <c r="K9" s="193">
        <f>S2</f>
        <v>7.533482806</v>
      </c>
      <c r="L9" s="193">
        <f>S3</f>
        <v>3.74162967</v>
      </c>
      <c r="M9" s="193">
        <f>S4</f>
        <v>2.488888889</v>
      </c>
      <c r="N9" s="193">
        <f>S5</f>
        <v>1.864599473</v>
      </c>
      <c r="O9" s="193">
        <f>S6</f>
        <v>1.490689083</v>
      </c>
      <c r="P9" s="156"/>
      <c r="Q9" s="194"/>
      <c r="R9" s="161"/>
      <c r="S9" s="162"/>
    </row>
    <row r="10" ht="29.25" customHeight="1">
      <c r="A10" s="195"/>
      <c r="B10" s="195"/>
      <c r="C10" s="195"/>
      <c r="D10" s="195"/>
      <c r="E10" s="195"/>
      <c r="F10" s="196"/>
      <c r="G10" s="195"/>
      <c r="H10" s="155"/>
      <c r="I10" s="156"/>
      <c r="J10" s="156"/>
      <c r="K10" s="156"/>
      <c r="L10" s="156"/>
      <c r="M10" s="156"/>
      <c r="N10" s="156"/>
      <c r="O10" s="156"/>
      <c r="P10" s="156"/>
      <c r="Q10" s="195"/>
      <c r="R10" s="190"/>
      <c r="S10" s="191"/>
    </row>
    <row r="11" ht="29.25" customHeight="1">
      <c r="A11" s="195"/>
      <c r="B11" s="197" t="s">
        <v>6302</v>
      </c>
      <c r="C11" s="197">
        <f>IFERROR(__xludf.DUMMYFUNCTION("COUNTUNIQUE(B2:B5)"),4.0)</f>
        <v>4</v>
      </c>
      <c r="D11" s="195"/>
      <c r="E11" s="195"/>
      <c r="F11" s="196"/>
      <c r="G11" s="195"/>
      <c r="H11" s="155"/>
      <c r="I11" s="156"/>
      <c r="J11" s="156"/>
      <c r="K11" s="156"/>
      <c r="L11" s="156"/>
      <c r="M11" s="156"/>
      <c r="N11" s="156"/>
      <c r="O11" s="156"/>
      <c r="P11" s="156"/>
      <c r="Q11" s="195"/>
      <c r="R11" s="190"/>
      <c r="S11" s="191"/>
    </row>
    <row r="12" ht="29.25" customHeight="1">
      <c r="A12" s="155"/>
      <c r="B12" s="155"/>
      <c r="C12" s="155"/>
      <c r="D12" s="155"/>
      <c r="E12" s="155"/>
      <c r="F12" s="198"/>
      <c r="G12" s="155"/>
      <c r="H12" s="155"/>
      <c r="I12" s="156"/>
      <c r="J12" s="156"/>
      <c r="K12" s="156"/>
      <c r="L12" s="156"/>
      <c r="M12" s="156"/>
      <c r="N12" s="156"/>
      <c r="O12" s="156"/>
      <c r="P12" s="156"/>
      <c r="Q12" s="155"/>
      <c r="R12" s="190"/>
      <c r="S12" s="191"/>
    </row>
    <row r="13" ht="29.25" hidden="1" customHeight="1">
      <c r="A13" s="155"/>
      <c r="B13" s="155"/>
      <c r="C13" s="155"/>
      <c r="D13" s="155"/>
      <c r="E13" s="155"/>
      <c r="F13" s="198"/>
      <c r="G13" s="155"/>
      <c r="H13" s="155"/>
      <c r="I13" s="156"/>
      <c r="J13" s="156"/>
      <c r="K13" s="156"/>
      <c r="L13" s="156"/>
      <c r="M13" s="156"/>
      <c r="N13" s="156"/>
      <c r="O13" s="156"/>
      <c r="P13" s="156"/>
      <c r="Q13" s="155"/>
      <c r="R13" s="190"/>
      <c r="S13" s="191"/>
    </row>
    <row r="14" ht="29.25" hidden="1" customHeight="1">
      <c r="A14" s="155"/>
      <c r="B14" s="155"/>
      <c r="C14" s="155"/>
      <c r="D14" s="155"/>
      <c r="E14" s="155"/>
      <c r="F14" s="198"/>
      <c r="G14" s="155"/>
      <c r="H14" s="155"/>
      <c r="I14" s="156"/>
      <c r="J14" s="156"/>
      <c r="K14" s="156"/>
      <c r="L14" s="156"/>
      <c r="M14" s="199">
        <v>14.0</v>
      </c>
      <c r="N14" s="156"/>
      <c r="O14" s="156"/>
      <c r="P14" s="156"/>
      <c r="Q14" s="155"/>
      <c r="R14" s="190"/>
      <c r="S14" s="191"/>
    </row>
    <row r="15" ht="29.25" hidden="1" customHeight="1">
      <c r="A15" s="155" t="s">
        <v>13</v>
      </c>
      <c r="B15" s="155"/>
      <c r="C15" s="155"/>
      <c r="D15" s="155"/>
      <c r="E15" s="155"/>
      <c r="F15" s="198"/>
      <c r="G15" s="155"/>
      <c r="H15" s="155"/>
      <c r="I15" s="156"/>
      <c r="J15" s="156"/>
      <c r="K15" s="156"/>
      <c r="L15" s="156"/>
      <c r="M15" s="156"/>
      <c r="N15" s="156"/>
      <c r="O15" s="156"/>
      <c r="P15" s="156"/>
      <c r="Q15" s="155"/>
      <c r="R15" s="161" t="s">
        <v>6303</v>
      </c>
      <c r="S15" s="162"/>
    </row>
    <row r="16" ht="29.25" hidden="1" customHeight="1">
      <c r="A16" s="200" t="s">
        <v>6304</v>
      </c>
      <c r="B16" s="155"/>
      <c r="C16" s="155"/>
      <c r="D16" s="155"/>
      <c r="E16" s="155"/>
      <c r="F16" s="198"/>
      <c r="G16" s="155"/>
      <c r="H16" s="155"/>
      <c r="I16" s="156"/>
      <c r="J16" s="156"/>
      <c r="K16" s="156"/>
      <c r="L16" s="156"/>
      <c r="M16" s="156"/>
      <c r="N16" s="156"/>
      <c r="O16" s="156"/>
      <c r="P16" s="156"/>
      <c r="Q16" s="155"/>
      <c r="R16" s="161" t="s">
        <v>6305</v>
      </c>
      <c r="S16" s="162"/>
    </row>
    <row r="17" ht="29.25" hidden="1" customHeight="1">
      <c r="A17" s="200" t="s">
        <v>6306</v>
      </c>
      <c r="B17" s="155"/>
      <c r="C17" s="155"/>
      <c r="D17" s="155"/>
      <c r="E17" s="155"/>
      <c r="F17" s="198"/>
      <c r="G17" s="155"/>
      <c r="H17" s="155"/>
      <c r="I17" s="156"/>
      <c r="J17" s="156"/>
      <c r="K17" s="156"/>
      <c r="L17" s="156"/>
      <c r="M17" s="156"/>
      <c r="N17" s="156"/>
      <c r="O17" s="156"/>
      <c r="P17" s="156"/>
      <c r="Q17" s="155"/>
      <c r="R17" s="190"/>
      <c r="S17" s="191"/>
    </row>
    <row r="18" ht="29.25" hidden="1" customHeight="1">
      <c r="A18" s="200" t="s">
        <v>6307</v>
      </c>
      <c r="B18" s="155"/>
      <c r="C18" s="155"/>
      <c r="D18" s="155"/>
      <c r="E18" s="155"/>
      <c r="F18" s="198"/>
      <c r="G18" s="155"/>
      <c r="H18" s="155"/>
      <c r="I18" s="156"/>
      <c r="J18" s="156"/>
      <c r="K18" s="156"/>
      <c r="L18" s="156"/>
      <c r="M18" s="156"/>
      <c r="N18" s="156"/>
      <c r="O18" s="156"/>
      <c r="P18" s="156"/>
      <c r="Q18" s="155"/>
      <c r="R18" s="190"/>
      <c r="S18" s="191"/>
    </row>
    <row r="19" ht="29.25" hidden="1" customHeight="1">
      <c r="A19" s="200" t="s">
        <v>14</v>
      </c>
      <c r="B19" s="155"/>
      <c r="C19" s="155"/>
      <c r="D19" s="155"/>
      <c r="E19" s="155"/>
      <c r="F19" s="198"/>
      <c r="G19" s="155"/>
      <c r="H19" s="155"/>
      <c r="I19" s="156"/>
      <c r="J19" s="156"/>
      <c r="K19" s="156"/>
      <c r="L19" s="199">
        <v>4.0</v>
      </c>
      <c r="M19" s="199">
        <v>3.0</v>
      </c>
      <c r="N19" s="199">
        <v>2.0</v>
      </c>
      <c r="O19" s="199">
        <v>1.0</v>
      </c>
      <c r="P19" s="156">
        <f>L19*M19*N19*O19</f>
        <v>24</v>
      </c>
      <c r="Q19" s="155"/>
      <c r="R19" s="190"/>
      <c r="S19" s="191"/>
    </row>
    <row r="20" ht="29.25" hidden="1" customHeight="1">
      <c r="A20" s="201" t="s">
        <v>15</v>
      </c>
      <c r="B20" s="155"/>
      <c r="C20" s="201"/>
      <c r="D20" s="155"/>
      <c r="E20" s="155"/>
      <c r="F20" s="198"/>
      <c r="G20" s="155"/>
      <c r="H20" s="155"/>
      <c r="I20" s="156"/>
      <c r="J20" s="156"/>
      <c r="K20" s="156"/>
      <c r="L20" s="156"/>
      <c r="M20" s="156"/>
      <c r="N20" s="156"/>
      <c r="O20" s="156"/>
      <c r="P20" s="156"/>
      <c r="Q20" s="155"/>
      <c r="R20" s="190"/>
      <c r="S20" s="191"/>
    </row>
    <row r="21" ht="29.25" hidden="1" customHeight="1">
      <c r="A21" s="155" t="s">
        <v>6308</v>
      </c>
      <c r="B21" s="155"/>
      <c r="C21" s="201"/>
      <c r="D21" s="155"/>
      <c r="E21" s="155"/>
      <c r="F21" s="198"/>
      <c r="G21" s="155"/>
      <c r="H21" s="155"/>
      <c r="I21" s="156"/>
      <c r="J21" s="156"/>
      <c r="K21" s="156"/>
      <c r="L21" s="156"/>
      <c r="M21" s="156"/>
      <c r="N21" s="156" t="s">
        <v>12</v>
      </c>
      <c r="O21" s="156" t="s">
        <v>14</v>
      </c>
      <c r="P21" s="156" t="str">
        <f t="shared" ref="P21:P22" si="10">$L$24&amp;", "&amp;$M$22&amp;", "&amp;N21&amp;", "&amp;O21</f>
        <v>DM, CH, LM, DA</v>
      </c>
      <c r="Q21" s="155"/>
      <c r="R21" s="190"/>
      <c r="S21" s="191"/>
    </row>
    <row r="22" ht="29.25" hidden="1" customHeight="1">
      <c r="A22" s="155" t="s">
        <v>6309</v>
      </c>
      <c r="B22" s="155"/>
      <c r="C22" s="201"/>
      <c r="D22" s="155"/>
      <c r="E22" s="155"/>
      <c r="F22" s="198"/>
      <c r="G22" s="155"/>
      <c r="H22" s="155"/>
      <c r="I22" s="156"/>
      <c r="J22" s="156"/>
      <c r="K22" s="156"/>
      <c r="L22" s="156"/>
      <c r="M22" s="156" t="s">
        <v>13</v>
      </c>
      <c r="N22" s="156" t="s">
        <v>14</v>
      </c>
      <c r="O22" s="156" t="s">
        <v>12</v>
      </c>
      <c r="P22" s="156" t="str">
        <f t="shared" si="10"/>
        <v>DM, CH, DA, LM</v>
      </c>
      <c r="Q22" s="155"/>
      <c r="R22" s="190"/>
      <c r="S22" s="191"/>
    </row>
    <row r="23" ht="29.25" hidden="1" customHeight="1">
      <c r="A23" s="155" t="s">
        <v>6310</v>
      </c>
      <c r="B23" s="155"/>
      <c r="C23" s="201"/>
      <c r="D23" s="155"/>
      <c r="E23" s="155"/>
      <c r="F23" s="198"/>
      <c r="G23" s="155"/>
      <c r="H23" s="155"/>
      <c r="I23" s="156"/>
      <c r="J23" s="156"/>
      <c r="K23" s="156"/>
      <c r="L23" s="156"/>
      <c r="M23" s="156"/>
      <c r="N23" s="156" t="s">
        <v>13</v>
      </c>
      <c r="O23" s="156" t="s">
        <v>14</v>
      </c>
      <c r="P23" s="156" t="str">
        <f t="shared" ref="P23:P24" si="11">$L$24&amp;", "&amp;$M$24&amp;", "&amp;N23&amp;", "&amp;O23</f>
        <v>DM, LM, CH, DA</v>
      </c>
      <c r="Q23" s="155"/>
      <c r="R23" s="190"/>
      <c r="S23" s="191"/>
    </row>
    <row r="24" ht="29.25" hidden="1" customHeight="1">
      <c r="A24" s="155" t="s">
        <v>6311</v>
      </c>
      <c r="B24" s="155"/>
      <c r="C24" s="155"/>
      <c r="D24" s="155"/>
      <c r="E24" s="155"/>
      <c r="F24" s="198"/>
      <c r="G24" s="155"/>
      <c r="H24" s="200" t="s">
        <v>6312</v>
      </c>
      <c r="I24" s="156"/>
      <c r="J24" s="156"/>
      <c r="K24" s="156"/>
      <c r="L24" s="156" t="s">
        <v>15</v>
      </c>
      <c r="M24" s="156" t="s">
        <v>12</v>
      </c>
      <c r="N24" s="156" t="s">
        <v>14</v>
      </c>
      <c r="O24" s="156" t="s">
        <v>13</v>
      </c>
      <c r="P24" s="156" t="str">
        <f t="shared" si="11"/>
        <v>DM, LM, DA, CH</v>
      </c>
      <c r="Q24" s="155">
        <f>4*3*2*1</f>
        <v>24</v>
      </c>
      <c r="R24" s="190"/>
      <c r="S24" s="191"/>
    </row>
    <row r="25" ht="29.25" hidden="1" customHeight="1">
      <c r="A25" s="155" t="s">
        <v>6313</v>
      </c>
      <c r="B25" s="155"/>
      <c r="C25" s="155"/>
      <c r="D25" s="155"/>
      <c r="E25" s="155"/>
      <c r="F25" s="198"/>
      <c r="G25" s="155"/>
      <c r="H25" s="200" t="s">
        <v>6314</v>
      </c>
      <c r="I25" s="156"/>
      <c r="J25" s="156"/>
      <c r="K25" s="156"/>
      <c r="L25" s="156"/>
      <c r="M25" s="156"/>
      <c r="N25" s="156" t="s">
        <v>13</v>
      </c>
      <c r="O25" s="156" t="s">
        <v>12</v>
      </c>
      <c r="P25" s="156" t="str">
        <f t="shared" ref="P25:P26" si="12">$L$24&amp;", "&amp;$M$26&amp;", "&amp;N25&amp;", "&amp;O25</f>
        <v>DM, DA, CH, LM</v>
      </c>
      <c r="Q25" s="155">
        <v>4.0</v>
      </c>
      <c r="R25" s="190"/>
      <c r="S25" s="191"/>
    </row>
    <row r="26" ht="29.25" hidden="1" customHeight="1">
      <c r="A26" s="155" t="s">
        <v>6315</v>
      </c>
      <c r="B26" s="155"/>
      <c r="C26" s="155"/>
      <c r="D26" s="155"/>
      <c r="E26" s="155"/>
      <c r="F26" s="198"/>
      <c r="G26" s="155"/>
      <c r="H26" s="200" t="s">
        <v>6316</v>
      </c>
      <c r="I26" s="156"/>
      <c r="J26" s="156"/>
      <c r="K26" s="156"/>
      <c r="L26" s="156"/>
      <c r="M26" s="156" t="s">
        <v>14</v>
      </c>
      <c r="N26" s="156" t="s">
        <v>12</v>
      </c>
      <c r="O26" s="156" t="s">
        <v>13</v>
      </c>
      <c r="P26" s="156" t="str">
        <f t="shared" si="12"/>
        <v>DM, DA, LM, CH</v>
      </c>
      <c r="Q26" s="155">
        <v>4.0</v>
      </c>
      <c r="R26" s="190"/>
      <c r="S26" s="191"/>
    </row>
    <row r="27" ht="29.25" hidden="1" customHeight="1">
      <c r="A27" s="200" t="s">
        <v>12</v>
      </c>
      <c r="B27" s="155"/>
      <c r="C27" s="155"/>
      <c r="D27" s="155"/>
      <c r="E27" s="155"/>
      <c r="F27" s="198"/>
      <c r="G27" s="155"/>
      <c r="H27" s="155"/>
      <c r="I27" s="156"/>
      <c r="J27" s="156"/>
      <c r="K27" s="156"/>
      <c r="L27" s="156"/>
      <c r="M27" s="156"/>
      <c r="N27" s="156"/>
      <c r="O27" s="156"/>
      <c r="P27" s="156"/>
      <c r="Q27" s="155"/>
      <c r="R27" s="190"/>
      <c r="S27" s="191"/>
    </row>
    <row r="28" ht="29.25" hidden="1" customHeight="1">
      <c r="A28" s="200" t="s">
        <v>6317</v>
      </c>
      <c r="B28" s="155"/>
      <c r="C28" s="155"/>
      <c r="D28" s="155"/>
      <c r="E28" s="155"/>
      <c r="F28" s="198"/>
      <c r="G28" s="155"/>
      <c r="H28" s="155"/>
      <c r="I28" s="156"/>
      <c r="J28" s="156"/>
      <c r="K28" s="156"/>
      <c r="L28" s="156"/>
      <c r="M28" s="156"/>
      <c r="N28" s="199" t="s">
        <v>12</v>
      </c>
      <c r="O28" s="199" t="s">
        <v>14</v>
      </c>
      <c r="P28" s="156" t="str">
        <f t="shared" ref="P28:P29" si="13">$L$31&amp;", "&amp;$M$29&amp;", "&amp;N28&amp;", "&amp;O28</f>
        <v>CH, DM, LM, DA</v>
      </c>
      <c r="Q28" s="155"/>
      <c r="R28" s="190"/>
      <c r="S28" s="191"/>
    </row>
    <row r="29" ht="29.25" hidden="1" customHeight="1">
      <c r="A29" s="155"/>
      <c r="B29" s="155"/>
      <c r="C29" s="155"/>
      <c r="D29" s="155"/>
      <c r="E29" s="155"/>
      <c r="F29" s="198"/>
      <c r="G29" s="155"/>
      <c r="H29" s="155"/>
      <c r="I29" s="156"/>
      <c r="J29" s="156"/>
      <c r="K29" s="156"/>
      <c r="L29" s="156"/>
      <c r="M29" s="156" t="s">
        <v>15</v>
      </c>
      <c r="N29" s="199" t="s">
        <v>14</v>
      </c>
      <c r="O29" s="199" t="s">
        <v>12</v>
      </c>
      <c r="P29" s="156" t="str">
        <f t="shared" si="13"/>
        <v>CH, DM, DA, LM</v>
      </c>
      <c r="Q29" s="155"/>
      <c r="R29" s="190"/>
      <c r="S29" s="191"/>
    </row>
    <row r="30" ht="29.25" hidden="1" customHeight="1">
      <c r="A30" s="155"/>
      <c r="B30" s="155"/>
      <c r="C30" s="155"/>
      <c r="D30" s="155"/>
      <c r="E30" s="155"/>
      <c r="F30" s="198"/>
      <c r="G30" s="155"/>
      <c r="H30" s="155"/>
      <c r="I30" s="156"/>
      <c r="J30" s="156"/>
      <c r="K30" s="156"/>
      <c r="L30" s="156"/>
      <c r="M30" s="156"/>
      <c r="N30" s="199" t="s">
        <v>15</v>
      </c>
      <c r="O30" s="199" t="s">
        <v>14</v>
      </c>
      <c r="P30" s="156" t="str">
        <f t="shared" ref="P30:P31" si="14">$L$31&amp;", "&amp;$M$31&amp;", "&amp;N30&amp;", "&amp;O30</f>
        <v>CH, LM, DM, DA</v>
      </c>
      <c r="Q30" s="155"/>
      <c r="R30" s="190"/>
      <c r="S30" s="191"/>
    </row>
    <row r="31" ht="29.25" hidden="1" customHeight="1">
      <c r="A31" s="155"/>
      <c r="B31" s="155"/>
      <c r="C31" s="155"/>
      <c r="D31" s="155"/>
      <c r="E31" s="155"/>
      <c r="F31" s="198"/>
      <c r="G31" s="155"/>
      <c r="H31" s="155"/>
      <c r="I31" s="156"/>
      <c r="J31" s="156"/>
      <c r="K31" s="156"/>
      <c r="L31" s="156" t="s">
        <v>13</v>
      </c>
      <c r="M31" s="156" t="s">
        <v>12</v>
      </c>
      <c r="N31" s="199" t="s">
        <v>14</v>
      </c>
      <c r="O31" s="199" t="s">
        <v>15</v>
      </c>
      <c r="P31" s="156" t="str">
        <f t="shared" si="14"/>
        <v>CH, LM, DA, DM</v>
      </c>
      <c r="Q31" s="155"/>
      <c r="R31" s="190"/>
      <c r="S31" s="191"/>
    </row>
    <row r="32" ht="29.25" hidden="1" customHeight="1">
      <c r="A32" s="155"/>
      <c r="B32" s="155"/>
      <c r="C32" s="155"/>
      <c r="D32" s="155"/>
      <c r="E32" s="155"/>
      <c r="F32" s="198"/>
      <c r="G32" s="155"/>
      <c r="H32" s="155"/>
      <c r="I32" s="156"/>
      <c r="J32" s="156"/>
      <c r="K32" s="156"/>
      <c r="L32" s="156"/>
      <c r="M32" s="156"/>
      <c r="N32" s="199" t="s">
        <v>12</v>
      </c>
      <c r="O32" s="199" t="s">
        <v>15</v>
      </c>
      <c r="P32" s="156" t="str">
        <f t="shared" ref="P32:P33" si="15">$L$31&amp;", "&amp;$M$33&amp;", "&amp;N32&amp;", "&amp;O32</f>
        <v>CH, DA, LM, DM</v>
      </c>
      <c r="Q32" s="155"/>
      <c r="R32" s="190"/>
      <c r="S32" s="191"/>
    </row>
    <row r="33" ht="29.25" hidden="1" customHeight="1">
      <c r="A33" s="155"/>
      <c r="B33" s="155"/>
      <c r="C33" s="155"/>
      <c r="D33" s="155"/>
      <c r="E33" s="155"/>
      <c r="F33" s="198"/>
      <c r="G33" s="155"/>
      <c r="H33" s="155"/>
      <c r="I33" s="156"/>
      <c r="J33" s="156"/>
      <c r="K33" s="156"/>
      <c r="L33" s="156"/>
      <c r="M33" s="156" t="s">
        <v>14</v>
      </c>
      <c r="N33" s="199" t="s">
        <v>15</v>
      </c>
      <c r="O33" s="199" t="s">
        <v>12</v>
      </c>
      <c r="P33" s="156" t="str">
        <f t="shared" si="15"/>
        <v>CH, DA, DM, LM</v>
      </c>
      <c r="Q33" s="155"/>
      <c r="R33" s="190"/>
      <c r="S33" s="191"/>
    </row>
    <row r="34" ht="29.25" hidden="1" customHeight="1">
      <c r="A34" s="155"/>
      <c r="B34" s="155"/>
      <c r="C34" s="155"/>
      <c r="D34" s="155"/>
      <c r="E34" s="155"/>
      <c r="F34" s="198"/>
      <c r="G34" s="155"/>
      <c r="H34" s="155"/>
      <c r="I34" s="156"/>
      <c r="J34" s="156"/>
      <c r="K34" s="156"/>
      <c r="L34" s="156"/>
      <c r="M34" s="156"/>
      <c r="N34" s="156"/>
      <c r="O34" s="156"/>
      <c r="P34" s="156"/>
      <c r="Q34" s="155"/>
      <c r="R34" s="190"/>
      <c r="S34" s="191"/>
    </row>
    <row r="35" ht="29.25" hidden="1" customHeight="1">
      <c r="A35" s="155"/>
      <c r="B35" s="155"/>
      <c r="C35" s="155"/>
      <c r="D35" s="155"/>
      <c r="E35" s="155"/>
      <c r="F35" s="198"/>
      <c r="G35" s="155"/>
      <c r="H35" s="155"/>
      <c r="I35" s="156"/>
      <c r="J35" s="156"/>
      <c r="K35" s="156"/>
      <c r="L35" s="156"/>
      <c r="M35" s="156"/>
      <c r="N35" s="156"/>
      <c r="O35" s="156"/>
      <c r="P35" s="156"/>
      <c r="Q35" s="155"/>
      <c r="R35" s="190"/>
      <c r="S35" s="191"/>
    </row>
    <row r="36" ht="29.25" hidden="1" customHeight="1">
      <c r="A36" s="155"/>
      <c r="B36" s="155"/>
      <c r="C36" s="155"/>
      <c r="D36" s="155"/>
      <c r="E36" s="155"/>
      <c r="F36" s="198"/>
      <c r="G36" s="155"/>
      <c r="H36" s="155"/>
      <c r="I36" s="156"/>
      <c r="J36" s="156"/>
      <c r="K36" s="156"/>
      <c r="L36" s="156"/>
      <c r="M36" s="156"/>
      <c r="N36" s="199" t="s">
        <v>15</v>
      </c>
      <c r="O36" s="156" t="s">
        <v>14</v>
      </c>
      <c r="P36" s="156" t="str">
        <f t="shared" ref="P36:P37" si="16">$L$39&amp;", "&amp;$M$37&amp;", "&amp;N36&amp;", "&amp;O36</f>
        <v>LM, CH, DM, DA</v>
      </c>
      <c r="Q36" s="155"/>
      <c r="R36" s="190"/>
      <c r="S36" s="191"/>
    </row>
    <row r="37" ht="29.25" hidden="1" customHeight="1">
      <c r="A37" s="155"/>
      <c r="B37" s="155"/>
      <c r="C37" s="155"/>
      <c r="D37" s="155"/>
      <c r="E37" s="155"/>
      <c r="F37" s="198"/>
      <c r="G37" s="155"/>
      <c r="H37" s="155"/>
      <c r="I37" s="156"/>
      <c r="J37" s="156"/>
      <c r="K37" s="156"/>
      <c r="L37" s="156"/>
      <c r="M37" s="156" t="s">
        <v>13</v>
      </c>
      <c r="N37" s="156" t="s">
        <v>14</v>
      </c>
      <c r="O37" s="199" t="s">
        <v>15</v>
      </c>
      <c r="P37" s="156" t="str">
        <f t="shared" si="16"/>
        <v>LM, CH, DA, DM</v>
      </c>
      <c r="Q37" s="155"/>
      <c r="R37" s="190"/>
      <c r="S37" s="191"/>
    </row>
    <row r="38" ht="29.25" hidden="1" customHeight="1">
      <c r="A38" s="155"/>
      <c r="B38" s="155"/>
      <c r="C38" s="155"/>
      <c r="D38" s="155"/>
      <c r="E38" s="155"/>
      <c r="F38" s="198"/>
      <c r="G38" s="155"/>
      <c r="H38" s="155"/>
      <c r="I38" s="156"/>
      <c r="J38" s="156"/>
      <c r="K38" s="156"/>
      <c r="L38" s="156"/>
      <c r="M38" s="156"/>
      <c r="N38" s="156" t="s">
        <v>13</v>
      </c>
      <c r="O38" s="156" t="s">
        <v>14</v>
      </c>
      <c r="P38" s="156" t="str">
        <f t="shared" ref="P38:P39" si="17">$L$39&amp;", "&amp;$M$39&amp;", "&amp;N38&amp;", "&amp;O38</f>
        <v>LM, DM, CH, DA</v>
      </c>
      <c r="Q38" s="155"/>
      <c r="R38" s="190"/>
      <c r="S38" s="191"/>
    </row>
    <row r="39" ht="29.25" hidden="1" customHeight="1">
      <c r="A39" s="155"/>
      <c r="B39" s="155"/>
      <c r="C39" s="155"/>
      <c r="D39" s="155"/>
      <c r="E39" s="155"/>
      <c r="F39" s="198"/>
      <c r="G39" s="155"/>
      <c r="H39" s="155"/>
      <c r="I39" s="156"/>
      <c r="J39" s="156"/>
      <c r="K39" s="156"/>
      <c r="L39" s="156" t="s">
        <v>12</v>
      </c>
      <c r="M39" s="199" t="s">
        <v>15</v>
      </c>
      <c r="N39" s="156" t="s">
        <v>14</v>
      </c>
      <c r="O39" s="156" t="s">
        <v>13</v>
      </c>
      <c r="P39" s="156" t="str">
        <f t="shared" si="17"/>
        <v>LM, DM, DA, CH</v>
      </c>
      <c r="Q39" s="155"/>
      <c r="R39" s="190"/>
      <c r="S39" s="191"/>
    </row>
    <row r="40" ht="29.25" hidden="1" customHeight="1">
      <c r="A40" s="155"/>
      <c r="B40" s="155"/>
      <c r="C40" s="155"/>
      <c r="D40" s="155"/>
      <c r="E40" s="155"/>
      <c r="F40" s="198"/>
      <c r="G40" s="155"/>
      <c r="H40" s="155"/>
      <c r="I40" s="156"/>
      <c r="J40" s="156"/>
      <c r="K40" s="156"/>
      <c r="L40" s="156"/>
      <c r="M40" s="156"/>
      <c r="N40" s="156" t="s">
        <v>13</v>
      </c>
      <c r="O40" s="199" t="s">
        <v>15</v>
      </c>
      <c r="P40" s="156" t="str">
        <f t="shared" ref="P40:P41" si="18">$L$39&amp;", "&amp;$M$41&amp;", "&amp;N40&amp;", "&amp;O40</f>
        <v>LM, DA, CH, DM</v>
      </c>
      <c r="Q40" s="155"/>
      <c r="R40" s="190"/>
      <c r="S40" s="191"/>
    </row>
    <row r="41" ht="29.25" hidden="1" customHeight="1">
      <c r="A41" s="155"/>
      <c r="B41" s="155"/>
      <c r="C41" s="155"/>
      <c r="D41" s="155"/>
      <c r="E41" s="155"/>
      <c r="F41" s="198"/>
      <c r="G41" s="155"/>
      <c r="H41" s="155"/>
      <c r="I41" s="156"/>
      <c r="J41" s="156"/>
      <c r="K41" s="156"/>
      <c r="L41" s="156"/>
      <c r="M41" s="156" t="s">
        <v>14</v>
      </c>
      <c r="N41" s="199" t="s">
        <v>15</v>
      </c>
      <c r="O41" s="156" t="s">
        <v>13</v>
      </c>
      <c r="P41" s="156" t="str">
        <f t="shared" si="18"/>
        <v>LM, DA, DM, CH</v>
      </c>
      <c r="Q41" s="155"/>
      <c r="R41" s="190"/>
      <c r="S41" s="191"/>
    </row>
    <row r="42" ht="29.25" hidden="1" customHeight="1">
      <c r="A42" s="155"/>
      <c r="B42" s="155"/>
      <c r="C42" s="155"/>
      <c r="D42" s="155"/>
      <c r="E42" s="155"/>
      <c r="F42" s="198"/>
      <c r="G42" s="155"/>
      <c r="H42" s="155"/>
      <c r="I42" s="156"/>
      <c r="J42" s="156"/>
      <c r="K42" s="156"/>
      <c r="L42" s="156"/>
      <c r="M42" s="156"/>
      <c r="N42" s="156"/>
      <c r="O42" s="156"/>
      <c r="P42" s="156"/>
      <c r="Q42" s="155"/>
      <c r="R42" s="190"/>
      <c r="S42" s="191"/>
    </row>
    <row r="43" ht="29.25" hidden="1" customHeight="1">
      <c r="A43" s="155"/>
      <c r="B43" s="155"/>
      <c r="C43" s="155"/>
      <c r="D43" s="155"/>
      <c r="E43" s="155"/>
      <c r="F43" s="198"/>
      <c r="G43" s="155"/>
      <c r="H43" s="155"/>
      <c r="I43" s="156"/>
      <c r="J43" s="156"/>
      <c r="K43" s="156"/>
      <c r="L43" s="156"/>
      <c r="M43" s="156"/>
      <c r="N43" s="199" t="s">
        <v>12</v>
      </c>
      <c r="O43" s="156" t="s">
        <v>14</v>
      </c>
      <c r="P43" s="156" t="str">
        <f t="shared" ref="P43:P44" si="19">$L$46&amp;", "&amp;$M$44&amp;", "&amp;N43&amp;", "&amp;O43</f>
        <v>DA, CH, LM, DA</v>
      </c>
      <c r="Q43" s="155"/>
      <c r="R43" s="190"/>
      <c r="S43" s="191"/>
    </row>
    <row r="44" ht="29.25" hidden="1" customHeight="1">
      <c r="A44" s="155"/>
      <c r="B44" s="155"/>
      <c r="C44" s="155"/>
      <c r="D44" s="155"/>
      <c r="E44" s="155"/>
      <c r="F44" s="198"/>
      <c r="G44" s="155"/>
      <c r="H44" s="155"/>
      <c r="I44" s="156"/>
      <c r="J44" s="156"/>
      <c r="K44" s="156"/>
      <c r="L44" s="156"/>
      <c r="M44" s="202" t="s">
        <v>13</v>
      </c>
      <c r="N44" s="156" t="s">
        <v>14</v>
      </c>
      <c r="O44" s="199" t="s">
        <v>12</v>
      </c>
      <c r="P44" s="156" t="str">
        <f t="shared" si="19"/>
        <v>DA, CH, DA, LM</v>
      </c>
      <c r="Q44" s="155"/>
      <c r="R44" s="190"/>
      <c r="S44" s="191"/>
    </row>
    <row r="45" ht="29.25" hidden="1" customHeight="1">
      <c r="A45" s="155"/>
      <c r="B45" s="155"/>
      <c r="C45" s="155"/>
      <c r="D45" s="155"/>
      <c r="E45" s="155"/>
      <c r="F45" s="198"/>
      <c r="G45" s="155"/>
      <c r="H45" s="155"/>
      <c r="I45" s="156"/>
      <c r="J45" s="156"/>
      <c r="K45" s="156"/>
      <c r="L45" s="156"/>
      <c r="M45" s="156"/>
      <c r="N45" s="156" t="s">
        <v>13</v>
      </c>
      <c r="O45" s="199" t="s">
        <v>15</v>
      </c>
      <c r="P45" s="156" t="str">
        <f t="shared" ref="P45:P46" si="20">$L$46&amp;", "&amp;$M$46&amp;", "&amp;N45&amp;", "&amp;O45</f>
        <v>DA, LM, CH, DM</v>
      </c>
      <c r="Q45" s="155"/>
      <c r="R45" s="190"/>
      <c r="S45" s="191"/>
    </row>
    <row r="46" ht="29.25" hidden="1" customHeight="1">
      <c r="A46" s="155"/>
      <c r="B46" s="155"/>
      <c r="C46" s="155"/>
      <c r="D46" s="155"/>
      <c r="E46" s="155"/>
      <c r="F46" s="198"/>
      <c r="G46" s="155"/>
      <c r="H46" s="155"/>
      <c r="I46" s="156"/>
      <c r="J46" s="156"/>
      <c r="K46" s="156"/>
      <c r="L46" s="156" t="s">
        <v>14</v>
      </c>
      <c r="M46" s="202" t="s">
        <v>12</v>
      </c>
      <c r="N46" s="199" t="s">
        <v>15</v>
      </c>
      <c r="O46" s="156" t="s">
        <v>13</v>
      </c>
      <c r="P46" s="156" t="str">
        <f t="shared" si="20"/>
        <v>DA, LM, DM, CH</v>
      </c>
      <c r="Q46" s="155"/>
      <c r="R46" s="190"/>
      <c r="S46" s="191"/>
    </row>
    <row r="47" ht="29.25" hidden="1" customHeight="1">
      <c r="A47" s="155"/>
      <c r="B47" s="155"/>
      <c r="C47" s="155"/>
      <c r="D47" s="155"/>
      <c r="E47" s="155"/>
      <c r="F47" s="198"/>
      <c r="G47" s="155"/>
      <c r="H47" s="155"/>
      <c r="I47" s="156"/>
      <c r="J47" s="156"/>
      <c r="K47" s="156"/>
      <c r="L47" s="156"/>
      <c r="M47" s="156"/>
      <c r="N47" s="156" t="s">
        <v>13</v>
      </c>
      <c r="O47" s="199" t="s">
        <v>12</v>
      </c>
      <c r="P47" s="156" t="str">
        <f t="shared" ref="P47:P48" si="21">$L$46&amp;", "&amp;$M$48&amp;", "&amp;N47&amp;", "&amp;O47</f>
        <v>DA, DM, CH, LM</v>
      </c>
      <c r="Q47" s="155"/>
      <c r="R47" s="190"/>
      <c r="S47" s="191"/>
    </row>
    <row r="48" ht="29.25" hidden="1" customHeight="1">
      <c r="A48" s="155"/>
      <c r="B48" s="155"/>
      <c r="C48" s="155"/>
      <c r="D48" s="155"/>
      <c r="E48" s="155"/>
      <c r="F48" s="198"/>
      <c r="G48" s="155"/>
      <c r="H48" s="155"/>
      <c r="I48" s="156"/>
      <c r="J48" s="156"/>
      <c r="K48" s="156"/>
      <c r="L48" s="156"/>
      <c r="M48" s="203" t="s">
        <v>15</v>
      </c>
      <c r="N48" s="199" t="s">
        <v>12</v>
      </c>
      <c r="O48" s="156" t="s">
        <v>13</v>
      </c>
      <c r="P48" s="156" t="str">
        <f t="shared" si="21"/>
        <v>DA, DM, LM, CH</v>
      </c>
      <c r="Q48" s="155"/>
      <c r="R48" s="190"/>
      <c r="S48" s="191"/>
    </row>
    <row r="49" ht="29.25" hidden="1" customHeight="1">
      <c r="A49" s="155"/>
      <c r="B49" s="155"/>
      <c r="C49" s="155"/>
      <c r="D49" s="155"/>
      <c r="E49" s="155"/>
      <c r="F49" s="198"/>
      <c r="G49" s="155"/>
      <c r="H49" s="155"/>
      <c r="I49" s="156"/>
      <c r="J49" s="156"/>
      <c r="K49" s="156"/>
      <c r="L49" s="156"/>
      <c r="M49" s="156"/>
      <c r="N49" s="156"/>
      <c r="O49" s="156"/>
      <c r="P49" s="156"/>
      <c r="Q49" s="155"/>
      <c r="R49" s="190"/>
      <c r="S49" s="191"/>
    </row>
    <row r="50" ht="29.25" hidden="1" customHeight="1">
      <c r="A50" s="155"/>
      <c r="B50" s="155"/>
      <c r="C50" s="155"/>
      <c r="D50" s="155"/>
      <c r="E50" s="155"/>
      <c r="F50" s="198"/>
      <c r="G50" s="155"/>
      <c r="H50" s="155"/>
      <c r="I50" s="156"/>
      <c r="J50" s="156"/>
      <c r="K50" s="156"/>
      <c r="L50" s="156"/>
      <c r="M50" s="156"/>
      <c r="N50" s="156"/>
      <c r="O50" s="156"/>
      <c r="P50" s="156"/>
      <c r="Q50" s="155"/>
      <c r="R50" s="190"/>
      <c r="S50" s="191"/>
    </row>
    <row r="51" ht="29.25" hidden="1" customHeight="1">
      <c r="A51" s="155"/>
      <c r="B51" s="155"/>
      <c r="C51" s="155"/>
      <c r="D51" s="155"/>
      <c r="E51" s="155"/>
      <c r="F51" s="198"/>
      <c r="G51" s="155"/>
      <c r="H51" s="155"/>
      <c r="I51" s="156"/>
      <c r="J51" s="156"/>
      <c r="K51" s="156"/>
      <c r="L51" s="156"/>
      <c r="M51" s="156"/>
      <c r="N51" s="156"/>
      <c r="O51" s="156"/>
      <c r="P51" s="156"/>
      <c r="Q51" s="155"/>
      <c r="R51" s="190"/>
      <c r="S51" s="191"/>
    </row>
    <row r="52" ht="29.25" hidden="1" customHeight="1">
      <c r="A52" s="155"/>
      <c r="B52" s="155"/>
      <c r="C52" s="155"/>
      <c r="D52" s="155"/>
      <c r="E52" s="155"/>
      <c r="F52" s="198"/>
      <c r="G52" s="155"/>
      <c r="H52" s="155"/>
      <c r="I52" s="156"/>
      <c r="J52" s="156"/>
      <c r="K52" s="156"/>
      <c r="L52" s="156"/>
      <c r="M52" s="156"/>
      <c r="N52" s="156"/>
      <c r="O52" s="156"/>
      <c r="P52" s="156"/>
      <c r="Q52" s="155"/>
      <c r="R52" s="190"/>
      <c r="S52" s="191"/>
    </row>
    <row r="53" ht="29.25" hidden="1" customHeight="1">
      <c r="A53" s="155"/>
      <c r="B53" s="155"/>
      <c r="C53" s="155"/>
      <c r="D53" s="155"/>
      <c r="E53" s="155"/>
      <c r="F53" s="198"/>
      <c r="G53" s="155"/>
      <c r="H53" s="155"/>
      <c r="I53" s="156"/>
      <c r="J53" s="156"/>
      <c r="K53" s="156"/>
      <c r="L53" s="156"/>
      <c r="M53" s="156"/>
      <c r="N53" s="156"/>
      <c r="O53" s="156"/>
      <c r="P53" s="156"/>
      <c r="Q53" s="155"/>
      <c r="R53" s="190"/>
      <c r="S53" s="191"/>
    </row>
    <row r="54" ht="29.25" hidden="1" customHeight="1">
      <c r="A54" s="155"/>
      <c r="B54" s="155"/>
      <c r="C54" s="155"/>
      <c r="D54" s="155"/>
      <c r="E54" s="155"/>
      <c r="F54" s="198"/>
      <c r="G54" s="155"/>
      <c r="H54" s="155"/>
      <c r="I54" s="156"/>
      <c r="J54" s="156"/>
      <c r="K54" s="156"/>
      <c r="L54" s="156"/>
      <c r="M54" s="156"/>
      <c r="N54" s="156"/>
      <c r="O54" s="156"/>
      <c r="P54" s="156"/>
      <c r="Q54" s="155"/>
      <c r="R54" s="190"/>
      <c r="S54" s="191"/>
    </row>
    <row r="55" ht="29.25" hidden="1" customHeight="1">
      <c r="A55" s="155"/>
      <c r="B55" s="155"/>
      <c r="C55" s="155"/>
      <c r="D55" s="155"/>
      <c r="E55" s="155"/>
      <c r="F55" s="198"/>
      <c r="G55" s="155"/>
      <c r="H55" s="155"/>
      <c r="I55" s="156"/>
      <c r="J55" s="156"/>
      <c r="K55" s="156"/>
      <c r="L55" s="156"/>
      <c r="M55" s="156"/>
      <c r="N55" s="156"/>
      <c r="O55" s="156"/>
      <c r="P55" s="156"/>
      <c r="Q55" s="155"/>
      <c r="R55" s="190"/>
      <c r="S55" s="191"/>
    </row>
    <row r="56" ht="29.25" hidden="1" customHeight="1">
      <c r="A56" s="155"/>
      <c r="B56" s="155"/>
      <c r="C56" s="155"/>
      <c r="D56" s="155"/>
      <c r="E56" s="155"/>
      <c r="F56" s="198"/>
      <c r="G56" s="155"/>
      <c r="H56" s="155"/>
      <c r="I56" s="156"/>
      <c r="J56" s="156"/>
      <c r="K56" s="156"/>
      <c r="L56" s="156"/>
      <c r="M56" s="156"/>
      <c r="N56" s="156"/>
      <c r="O56" s="156"/>
      <c r="P56" s="156"/>
      <c r="Q56" s="155"/>
      <c r="R56" s="190"/>
      <c r="S56" s="191"/>
    </row>
    <row r="57" ht="29.25" hidden="1" customHeight="1">
      <c r="A57" s="155"/>
      <c r="B57" s="155"/>
      <c r="C57" s="155"/>
      <c r="D57" s="155"/>
      <c r="E57" s="155"/>
      <c r="F57" s="198"/>
      <c r="G57" s="155"/>
      <c r="H57" s="155"/>
      <c r="I57" s="156"/>
      <c r="J57" s="156"/>
      <c r="K57" s="156"/>
      <c r="L57" s="156"/>
      <c r="M57" s="156"/>
      <c r="N57" s="156"/>
      <c r="O57" s="156"/>
      <c r="P57" s="156"/>
      <c r="Q57" s="155"/>
      <c r="R57" s="190"/>
      <c r="S57" s="191"/>
    </row>
    <row r="58" ht="29.25" hidden="1" customHeight="1">
      <c r="A58" s="155"/>
      <c r="B58" s="155"/>
      <c r="C58" s="155"/>
      <c r="D58" s="155"/>
      <c r="E58" s="155"/>
      <c r="F58" s="198"/>
      <c r="G58" s="155"/>
      <c r="H58" s="155"/>
      <c r="I58" s="156"/>
      <c r="J58" s="156"/>
      <c r="K58" s="156"/>
      <c r="L58" s="156"/>
      <c r="M58" s="156"/>
      <c r="N58" s="156"/>
      <c r="O58" s="156"/>
      <c r="P58" s="156"/>
      <c r="Q58" s="155"/>
      <c r="R58" s="190"/>
      <c r="S58" s="191"/>
    </row>
    <row r="59" ht="29.25" hidden="1" customHeight="1">
      <c r="A59" s="155"/>
      <c r="B59" s="155"/>
      <c r="C59" s="155"/>
      <c r="D59" s="155"/>
      <c r="E59" s="155"/>
      <c r="F59" s="198"/>
      <c r="G59" s="155"/>
      <c r="H59" s="155"/>
      <c r="I59" s="156"/>
      <c r="J59" s="156"/>
      <c r="K59" s="156"/>
      <c r="L59" s="156"/>
      <c r="M59" s="156"/>
      <c r="N59" s="156"/>
      <c r="O59" s="156"/>
      <c r="P59" s="156"/>
      <c r="Q59" s="155"/>
      <c r="R59" s="190"/>
      <c r="S59" s="191"/>
    </row>
    <row r="60" ht="29.25" hidden="1" customHeight="1">
      <c r="A60" s="155"/>
      <c r="B60" s="155"/>
      <c r="C60" s="155"/>
      <c r="D60" s="155"/>
      <c r="E60" s="155"/>
      <c r="F60" s="198"/>
      <c r="G60" s="155"/>
      <c r="H60" s="155"/>
      <c r="I60" s="156"/>
      <c r="J60" s="156"/>
      <c r="K60" s="156"/>
      <c r="L60" s="156"/>
      <c r="M60" s="156"/>
      <c r="N60" s="156"/>
      <c r="O60" s="156"/>
      <c r="P60" s="156"/>
      <c r="Q60" s="155"/>
      <c r="R60" s="190"/>
      <c r="S60" s="191"/>
    </row>
    <row r="61" ht="29.25" hidden="1" customHeight="1">
      <c r="A61" s="155"/>
      <c r="B61" s="155"/>
      <c r="C61" s="155"/>
      <c r="D61" s="155"/>
      <c r="E61" s="155"/>
      <c r="F61" s="198"/>
      <c r="G61" s="155"/>
      <c r="H61" s="155"/>
      <c r="I61" s="156"/>
      <c r="J61" s="156"/>
      <c r="K61" s="156"/>
      <c r="L61" s="156"/>
      <c r="M61" s="156"/>
      <c r="N61" s="156"/>
      <c r="O61" s="156"/>
      <c r="P61" s="156"/>
      <c r="Q61" s="155"/>
      <c r="R61" s="190"/>
      <c r="S61" s="191"/>
    </row>
    <row r="62" ht="29.25" hidden="1" customHeight="1">
      <c r="A62" s="155"/>
      <c r="B62" s="155"/>
      <c r="C62" s="155"/>
      <c r="D62" s="155"/>
      <c r="E62" s="155"/>
      <c r="F62" s="198"/>
      <c r="G62" s="155"/>
      <c r="H62" s="155"/>
      <c r="I62" s="156"/>
      <c r="J62" s="156"/>
      <c r="K62" s="156"/>
      <c r="L62" s="156"/>
      <c r="M62" s="156"/>
      <c r="N62" s="156"/>
      <c r="O62" s="156"/>
      <c r="P62" s="156"/>
      <c r="Q62" s="155"/>
      <c r="R62" s="190"/>
      <c r="S62" s="191"/>
    </row>
    <row r="63" ht="29.25" hidden="1" customHeight="1">
      <c r="A63" s="155"/>
      <c r="B63" s="155"/>
      <c r="C63" s="155"/>
      <c r="D63" s="155"/>
      <c r="E63" s="155"/>
      <c r="F63" s="198"/>
      <c r="G63" s="155"/>
      <c r="H63" s="155"/>
      <c r="I63" s="156"/>
      <c r="J63" s="156"/>
      <c r="K63" s="156"/>
      <c r="L63" s="156"/>
      <c r="M63" s="156"/>
      <c r="N63" s="156"/>
      <c r="O63" s="156"/>
      <c r="P63" s="156"/>
      <c r="Q63" s="155"/>
      <c r="R63" s="190"/>
      <c r="S63" s="191"/>
    </row>
    <row r="64" ht="29.25" hidden="1" customHeight="1">
      <c r="A64" s="155"/>
      <c r="B64" s="155"/>
      <c r="C64" s="155"/>
      <c r="D64" s="155"/>
      <c r="E64" s="155"/>
      <c r="F64" s="198"/>
      <c r="G64" s="155"/>
      <c r="H64" s="155"/>
      <c r="I64" s="156"/>
      <c r="J64" s="156"/>
      <c r="K64" s="156"/>
      <c r="L64" s="156"/>
      <c r="M64" s="156"/>
      <c r="N64" s="156"/>
      <c r="O64" s="156"/>
      <c r="P64" s="156"/>
      <c r="Q64" s="155"/>
      <c r="R64" s="190"/>
      <c r="S64" s="191"/>
    </row>
    <row r="65" ht="29.25" hidden="1" customHeight="1">
      <c r="A65" s="155"/>
      <c r="B65" s="155"/>
      <c r="C65" s="155"/>
      <c r="D65" s="155"/>
      <c r="E65" s="155"/>
      <c r="F65" s="198"/>
      <c r="G65" s="155"/>
      <c r="H65" s="155"/>
      <c r="I65" s="156"/>
      <c r="J65" s="156"/>
      <c r="K65" s="156"/>
      <c r="L65" s="156"/>
      <c r="M65" s="156"/>
      <c r="N65" s="156"/>
      <c r="O65" s="156"/>
      <c r="P65" s="156"/>
      <c r="Q65" s="155"/>
      <c r="R65" s="190"/>
      <c r="S65" s="191"/>
    </row>
    <row r="66" ht="29.25" hidden="1" customHeight="1">
      <c r="A66" s="155"/>
      <c r="B66" s="155"/>
      <c r="C66" s="155"/>
      <c r="D66" s="155"/>
      <c r="E66" s="155"/>
      <c r="F66" s="198"/>
      <c r="G66" s="155"/>
      <c r="H66" s="155"/>
      <c r="I66" s="156"/>
      <c r="J66" s="156"/>
      <c r="K66" s="156"/>
      <c r="L66" s="156"/>
      <c r="M66" s="156"/>
      <c r="N66" s="156"/>
      <c r="O66" s="156"/>
      <c r="P66" s="156"/>
      <c r="Q66" s="155"/>
      <c r="R66" s="190"/>
      <c r="S66" s="191"/>
    </row>
    <row r="67" ht="29.25" hidden="1" customHeight="1">
      <c r="A67" s="155"/>
      <c r="B67" s="155"/>
      <c r="C67" s="155"/>
      <c r="D67" s="155"/>
      <c r="E67" s="155"/>
      <c r="F67" s="198"/>
      <c r="G67" s="155"/>
      <c r="H67" s="155"/>
      <c r="I67" s="156"/>
      <c r="J67" s="156"/>
      <c r="K67" s="156"/>
      <c r="L67" s="156"/>
      <c r="M67" s="156"/>
      <c r="N67" s="156"/>
      <c r="O67" s="156"/>
      <c r="P67" s="156"/>
      <c r="Q67" s="155"/>
      <c r="R67" s="190"/>
      <c r="S67" s="191"/>
    </row>
    <row r="68" ht="29.25" hidden="1" customHeight="1">
      <c r="A68" s="155"/>
      <c r="B68" s="155"/>
      <c r="C68" s="155"/>
      <c r="D68" s="155"/>
      <c r="E68" s="155"/>
      <c r="F68" s="198"/>
      <c r="G68" s="155"/>
      <c r="H68" s="155"/>
      <c r="I68" s="156"/>
      <c r="J68" s="156"/>
      <c r="K68" s="156"/>
      <c r="L68" s="156"/>
      <c r="M68" s="156"/>
      <c r="N68" s="156"/>
      <c r="O68" s="156"/>
      <c r="P68" s="156"/>
      <c r="Q68" s="155"/>
      <c r="R68" s="190"/>
      <c r="S68" s="191"/>
    </row>
    <row r="69" ht="29.25" hidden="1" customHeight="1">
      <c r="A69" s="155"/>
      <c r="B69" s="155"/>
      <c r="C69" s="155"/>
      <c r="D69" s="155"/>
      <c r="E69" s="155"/>
      <c r="F69" s="198"/>
      <c r="G69" s="155"/>
      <c r="H69" s="155"/>
      <c r="I69" s="156"/>
      <c r="J69" s="156"/>
      <c r="K69" s="156"/>
      <c r="L69" s="156"/>
      <c r="M69" s="156"/>
      <c r="N69" s="156"/>
      <c r="O69" s="156"/>
      <c r="P69" s="156"/>
      <c r="Q69" s="155"/>
      <c r="R69" s="190"/>
      <c r="S69" s="191"/>
    </row>
    <row r="70" ht="29.25" hidden="1" customHeight="1">
      <c r="A70" s="155"/>
      <c r="B70" s="155"/>
      <c r="C70" s="155"/>
      <c r="D70" s="155"/>
      <c r="E70" s="155"/>
      <c r="F70" s="198"/>
      <c r="G70" s="155"/>
      <c r="H70" s="155"/>
      <c r="I70" s="156"/>
      <c r="J70" s="156"/>
      <c r="K70" s="156"/>
      <c r="L70" s="156"/>
      <c r="M70" s="156"/>
      <c r="N70" s="156"/>
      <c r="O70" s="156"/>
      <c r="P70" s="156"/>
      <c r="Q70" s="155"/>
      <c r="R70" s="190"/>
      <c r="S70" s="191"/>
    </row>
    <row r="71" ht="29.25" hidden="1" customHeight="1">
      <c r="A71" s="155"/>
      <c r="B71" s="155"/>
      <c r="C71" s="155"/>
      <c r="D71" s="155"/>
      <c r="E71" s="155"/>
      <c r="F71" s="198"/>
      <c r="G71" s="155"/>
      <c r="H71" s="155"/>
      <c r="I71" s="156"/>
      <c r="J71" s="156"/>
      <c r="K71" s="156"/>
      <c r="L71" s="156"/>
      <c r="M71" s="156"/>
      <c r="N71" s="156"/>
      <c r="O71" s="156"/>
      <c r="P71" s="156"/>
      <c r="Q71" s="155"/>
      <c r="R71" s="190"/>
      <c r="S71" s="191"/>
    </row>
    <row r="72" ht="29.25" hidden="1" customHeight="1">
      <c r="A72" s="155"/>
      <c r="B72" s="155"/>
      <c r="C72" s="155"/>
      <c r="D72" s="155"/>
      <c r="E72" s="155"/>
      <c r="F72" s="198"/>
      <c r="G72" s="155"/>
      <c r="H72" s="155"/>
      <c r="I72" s="156"/>
      <c r="J72" s="156"/>
      <c r="K72" s="156"/>
      <c r="L72" s="156"/>
      <c r="M72" s="156"/>
      <c r="N72" s="156"/>
      <c r="O72" s="156"/>
      <c r="P72" s="156"/>
      <c r="Q72" s="155"/>
      <c r="R72" s="190"/>
      <c r="S72" s="191"/>
    </row>
    <row r="73" ht="29.25" hidden="1" customHeight="1">
      <c r="A73" s="155"/>
      <c r="B73" s="155"/>
      <c r="C73" s="155"/>
      <c r="D73" s="155"/>
      <c r="E73" s="155"/>
      <c r="F73" s="198"/>
      <c r="G73" s="155"/>
      <c r="H73" s="155"/>
      <c r="I73" s="156"/>
      <c r="J73" s="156"/>
      <c r="K73" s="156"/>
      <c r="L73" s="156"/>
      <c r="M73" s="156"/>
      <c r="N73" s="156"/>
      <c r="O73" s="156"/>
      <c r="P73" s="156"/>
      <c r="Q73" s="155"/>
      <c r="R73" s="190"/>
      <c r="S73" s="191"/>
    </row>
    <row r="74" ht="29.25" hidden="1" customHeight="1">
      <c r="A74" s="155"/>
      <c r="B74" s="155"/>
      <c r="C74" s="155"/>
      <c r="D74" s="155"/>
      <c r="E74" s="155"/>
      <c r="F74" s="198"/>
      <c r="G74" s="155"/>
      <c r="H74" s="155"/>
      <c r="I74" s="156"/>
      <c r="J74" s="156"/>
      <c r="K74" s="156"/>
      <c r="L74" s="156"/>
      <c r="M74" s="156"/>
      <c r="N74" s="156"/>
      <c r="O74" s="156"/>
      <c r="P74" s="156"/>
      <c r="Q74" s="155"/>
      <c r="R74" s="190"/>
      <c r="S74" s="191"/>
    </row>
    <row r="75" ht="29.25" hidden="1" customHeight="1">
      <c r="A75" s="155"/>
      <c r="B75" s="155"/>
      <c r="C75" s="155"/>
      <c r="D75" s="155"/>
      <c r="E75" s="155"/>
      <c r="F75" s="198"/>
      <c r="G75" s="155"/>
      <c r="H75" s="155"/>
      <c r="I75" s="156"/>
      <c r="J75" s="156"/>
      <c r="K75" s="156"/>
      <c r="L75" s="156"/>
      <c r="M75" s="156"/>
      <c r="N75" s="156"/>
      <c r="O75" s="156"/>
      <c r="P75" s="156"/>
      <c r="Q75" s="155"/>
      <c r="R75" s="190"/>
      <c r="S75" s="191"/>
    </row>
    <row r="76" ht="29.25" hidden="1" customHeight="1">
      <c r="A76" s="155"/>
      <c r="B76" s="155"/>
      <c r="C76" s="155"/>
      <c r="D76" s="155"/>
      <c r="E76" s="155"/>
      <c r="F76" s="198"/>
      <c r="G76" s="155"/>
      <c r="H76" s="155"/>
      <c r="I76" s="156"/>
      <c r="J76" s="156"/>
      <c r="K76" s="156"/>
      <c r="L76" s="156"/>
      <c r="M76" s="156"/>
      <c r="N76" s="156"/>
      <c r="O76" s="156"/>
      <c r="P76" s="156"/>
      <c r="Q76" s="155"/>
      <c r="R76" s="190"/>
      <c r="S76" s="191"/>
    </row>
    <row r="77" ht="29.25" hidden="1" customHeight="1">
      <c r="A77" s="155"/>
      <c r="B77" s="155"/>
      <c r="C77" s="155"/>
      <c r="D77" s="155"/>
      <c r="E77" s="155"/>
      <c r="F77" s="198"/>
      <c r="G77" s="155"/>
      <c r="H77" s="155"/>
      <c r="I77" s="156"/>
      <c r="J77" s="156"/>
      <c r="K77" s="156"/>
      <c r="L77" s="156"/>
      <c r="M77" s="156"/>
      <c r="N77" s="156"/>
      <c r="O77" s="156"/>
      <c r="P77" s="156"/>
      <c r="Q77" s="155"/>
      <c r="R77" s="190"/>
      <c r="S77" s="191"/>
    </row>
    <row r="78" ht="29.25" hidden="1" customHeight="1">
      <c r="A78" s="155"/>
      <c r="B78" s="155"/>
      <c r="C78" s="155"/>
      <c r="D78" s="155"/>
      <c r="E78" s="155"/>
      <c r="F78" s="198"/>
      <c r="G78" s="155"/>
      <c r="H78" s="155"/>
      <c r="I78" s="156"/>
      <c r="J78" s="156"/>
      <c r="K78" s="156"/>
      <c r="L78" s="156"/>
      <c r="M78" s="156"/>
      <c r="N78" s="156"/>
      <c r="O78" s="156"/>
      <c r="P78" s="156"/>
      <c r="Q78" s="155"/>
      <c r="R78" s="190"/>
      <c r="S78" s="191"/>
    </row>
    <row r="79" ht="29.25" hidden="1" customHeight="1">
      <c r="A79" s="155"/>
      <c r="B79" s="155"/>
      <c r="C79" s="155"/>
      <c r="D79" s="155"/>
      <c r="E79" s="155"/>
      <c r="F79" s="198"/>
      <c r="G79" s="155"/>
      <c r="H79" s="155"/>
      <c r="I79" s="156"/>
      <c r="J79" s="156"/>
      <c r="K79" s="156"/>
      <c r="L79" s="156"/>
      <c r="M79" s="156"/>
      <c r="N79" s="156"/>
      <c r="O79" s="156"/>
      <c r="P79" s="156"/>
      <c r="Q79" s="155"/>
      <c r="R79" s="190"/>
      <c r="S79" s="191"/>
    </row>
    <row r="80" ht="29.25" hidden="1" customHeight="1">
      <c r="A80" s="155"/>
      <c r="B80" s="155"/>
      <c r="C80" s="155"/>
      <c r="D80" s="155"/>
      <c r="E80" s="155"/>
      <c r="F80" s="198"/>
      <c r="G80" s="155"/>
      <c r="H80" s="155"/>
      <c r="I80" s="156"/>
      <c r="J80" s="156"/>
      <c r="K80" s="156"/>
      <c r="L80" s="156"/>
      <c r="M80" s="156"/>
      <c r="N80" s="156"/>
      <c r="O80" s="156"/>
      <c r="P80" s="156"/>
      <c r="Q80" s="155"/>
      <c r="R80" s="190"/>
      <c r="S80" s="191"/>
    </row>
    <row r="81" ht="29.25" hidden="1" customHeight="1">
      <c r="A81" s="155"/>
      <c r="B81" s="155"/>
      <c r="C81" s="155"/>
      <c r="D81" s="155"/>
      <c r="E81" s="155"/>
      <c r="F81" s="198"/>
      <c r="G81" s="155"/>
      <c r="H81" s="155"/>
      <c r="I81" s="156"/>
      <c r="J81" s="156"/>
      <c r="K81" s="156"/>
      <c r="L81" s="156"/>
      <c r="M81" s="156"/>
      <c r="N81" s="156"/>
      <c r="O81" s="156"/>
      <c r="P81" s="156"/>
      <c r="Q81" s="155"/>
      <c r="R81" s="190"/>
      <c r="S81" s="191"/>
    </row>
    <row r="82" ht="29.25" hidden="1" customHeight="1">
      <c r="A82" s="155"/>
      <c r="B82" s="155"/>
      <c r="C82" s="155"/>
      <c r="D82" s="155"/>
      <c r="E82" s="155"/>
      <c r="F82" s="198"/>
      <c r="G82" s="155"/>
      <c r="H82" s="155"/>
      <c r="I82" s="156"/>
      <c r="J82" s="156"/>
      <c r="K82" s="156"/>
      <c r="L82" s="156"/>
      <c r="M82" s="156"/>
      <c r="N82" s="156"/>
      <c r="O82" s="156"/>
      <c r="P82" s="156"/>
      <c r="Q82" s="155"/>
      <c r="R82" s="190"/>
      <c r="S82" s="191"/>
    </row>
    <row r="83" ht="29.25" hidden="1" customHeight="1">
      <c r="A83" s="155"/>
      <c r="B83" s="155"/>
      <c r="C83" s="155"/>
      <c r="D83" s="155"/>
      <c r="E83" s="155"/>
      <c r="F83" s="198"/>
      <c r="G83" s="155"/>
      <c r="H83" s="155"/>
      <c r="I83" s="156"/>
      <c r="J83" s="156"/>
      <c r="K83" s="156"/>
      <c r="L83" s="156"/>
      <c r="M83" s="156"/>
      <c r="N83" s="156"/>
      <c r="O83" s="156"/>
      <c r="P83" s="156"/>
      <c r="Q83" s="155"/>
      <c r="R83" s="190"/>
      <c r="S83" s="191"/>
    </row>
    <row r="84" ht="29.25" hidden="1" customHeight="1">
      <c r="A84" s="155"/>
      <c r="B84" s="155"/>
      <c r="C84" s="155"/>
      <c r="D84" s="155"/>
      <c r="E84" s="155"/>
      <c r="F84" s="198"/>
      <c r="G84" s="155"/>
      <c r="H84" s="155"/>
      <c r="I84" s="156"/>
      <c r="J84" s="156"/>
      <c r="K84" s="156"/>
      <c r="L84" s="156"/>
      <c r="M84" s="156"/>
      <c r="N84" s="156"/>
      <c r="O84" s="156"/>
      <c r="P84" s="156"/>
      <c r="Q84" s="155"/>
      <c r="R84" s="190"/>
      <c r="S84" s="191"/>
    </row>
    <row r="85" ht="29.25" hidden="1" customHeight="1">
      <c r="A85" s="155"/>
      <c r="B85" s="155"/>
      <c r="C85" s="155"/>
      <c r="D85" s="155"/>
      <c r="E85" s="155"/>
      <c r="F85" s="198"/>
      <c r="G85" s="155"/>
      <c r="H85" s="155"/>
      <c r="I85" s="156"/>
      <c r="J85" s="156"/>
      <c r="K85" s="156"/>
      <c r="L85" s="156"/>
      <c r="M85" s="156"/>
      <c r="N85" s="156"/>
      <c r="O85" s="156"/>
      <c r="P85" s="156"/>
      <c r="Q85" s="155"/>
      <c r="R85" s="190"/>
      <c r="S85" s="191"/>
    </row>
    <row r="86" ht="29.25" hidden="1" customHeight="1">
      <c r="A86" s="155"/>
      <c r="B86" s="155"/>
      <c r="C86" s="155"/>
      <c r="D86" s="155"/>
      <c r="E86" s="155"/>
      <c r="F86" s="198"/>
      <c r="G86" s="155"/>
      <c r="H86" s="155"/>
      <c r="I86" s="156"/>
      <c r="J86" s="156"/>
      <c r="K86" s="156"/>
      <c r="L86" s="156"/>
      <c r="M86" s="156"/>
      <c r="N86" s="156"/>
      <c r="O86" s="156"/>
      <c r="P86" s="156"/>
      <c r="Q86" s="155"/>
      <c r="R86" s="190"/>
      <c r="S86" s="191"/>
    </row>
    <row r="87" ht="29.25" hidden="1" customHeight="1">
      <c r="A87" s="155"/>
      <c r="B87" s="155"/>
      <c r="C87" s="155"/>
      <c r="D87" s="155"/>
      <c r="E87" s="155"/>
      <c r="F87" s="198"/>
      <c r="G87" s="155"/>
      <c r="H87" s="155"/>
      <c r="I87" s="156"/>
      <c r="J87" s="156"/>
      <c r="K87" s="156"/>
      <c r="L87" s="156"/>
      <c r="M87" s="156"/>
      <c r="N87" s="156"/>
      <c r="O87" s="156"/>
      <c r="P87" s="156"/>
      <c r="Q87" s="155"/>
      <c r="R87" s="190"/>
      <c r="S87" s="191"/>
    </row>
    <row r="88" ht="29.25" hidden="1" customHeight="1">
      <c r="A88" s="155"/>
      <c r="B88" s="155"/>
      <c r="C88" s="155"/>
      <c r="D88" s="155"/>
      <c r="E88" s="155"/>
      <c r="F88" s="198"/>
      <c r="G88" s="155"/>
      <c r="H88" s="155"/>
      <c r="I88" s="156"/>
      <c r="J88" s="156"/>
      <c r="K88" s="156"/>
      <c r="L88" s="156"/>
      <c r="M88" s="156"/>
      <c r="N88" s="156"/>
      <c r="O88" s="156"/>
      <c r="P88" s="156"/>
      <c r="Q88" s="155"/>
      <c r="R88" s="190"/>
      <c r="S88" s="191"/>
    </row>
    <row r="89" ht="29.25" hidden="1" customHeight="1">
      <c r="A89" s="155"/>
      <c r="B89" s="155"/>
      <c r="C89" s="155"/>
      <c r="D89" s="155"/>
      <c r="E89" s="155"/>
      <c r="F89" s="198"/>
      <c r="G89" s="155"/>
      <c r="H89" s="155"/>
      <c r="I89" s="156"/>
      <c r="J89" s="156"/>
      <c r="K89" s="156"/>
      <c r="L89" s="156"/>
      <c r="M89" s="156"/>
      <c r="N89" s="156"/>
      <c r="O89" s="156"/>
      <c r="P89" s="156"/>
      <c r="Q89" s="155"/>
      <c r="R89" s="190"/>
      <c r="S89" s="191"/>
    </row>
    <row r="90" ht="29.25" hidden="1" customHeight="1">
      <c r="A90" s="155"/>
      <c r="B90" s="155"/>
      <c r="C90" s="155"/>
      <c r="D90" s="155"/>
      <c r="E90" s="155"/>
      <c r="F90" s="198"/>
      <c r="G90" s="155"/>
      <c r="H90" s="155"/>
      <c r="I90" s="156"/>
      <c r="J90" s="156"/>
      <c r="K90" s="156"/>
      <c r="L90" s="156"/>
      <c r="M90" s="156"/>
      <c r="N90" s="156"/>
      <c r="O90" s="156"/>
      <c r="P90" s="156"/>
      <c r="Q90" s="155"/>
      <c r="R90" s="190"/>
      <c r="S90" s="191"/>
    </row>
    <row r="91" ht="29.25" hidden="1" customHeight="1">
      <c r="A91" s="155"/>
      <c r="B91" s="155"/>
      <c r="C91" s="155"/>
      <c r="D91" s="155"/>
      <c r="E91" s="155"/>
      <c r="F91" s="198"/>
      <c r="G91" s="155"/>
      <c r="H91" s="155"/>
      <c r="I91" s="156"/>
      <c r="J91" s="156"/>
      <c r="K91" s="156"/>
      <c r="L91" s="156"/>
      <c r="M91" s="156"/>
      <c r="N91" s="156"/>
      <c r="O91" s="156"/>
      <c r="P91" s="156"/>
      <c r="Q91" s="155"/>
      <c r="R91" s="190"/>
      <c r="S91" s="191"/>
    </row>
    <row r="92" ht="29.25" hidden="1" customHeight="1">
      <c r="A92" s="155"/>
      <c r="B92" s="155"/>
      <c r="C92" s="155"/>
      <c r="D92" s="155"/>
      <c r="E92" s="155"/>
      <c r="F92" s="198"/>
      <c r="G92" s="155"/>
      <c r="H92" s="155"/>
      <c r="I92" s="156"/>
      <c r="J92" s="156"/>
      <c r="K92" s="156"/>
      <c r="L92" s="156"/>
      <c r="M92" s="156"/>
      <c r="N92" s="156"/>
      <c r="O92" s="156"/>
      <c r="P92" s="156"/>
      <c r="Q92" s="155"/>
      <c r="R92" s="190"/>
      <c r="S92" s="191"/>
    </row>
    <row r="93" ht="29.25" hidden="1" customHeight="1">
      <c r="A93" s="155"/>
      <c r="B93" s="155"/>
      <c r="C93" s="155"/>
      <c r="D93" s="155"/>
      <c r="E93" s="155"/>
      <c r="F93" s="198"/>
      <c r="G93" s="155"/>
      <c r="H93" s="155"/>
      <c r="I93" s="156"/>
      <c r="J93" s="156"/>
      <c r="K93" s="156"/>
      <c r="L93" s="156"/>
      <c r="M93" s="156"/>
      <c r="N93" s="156"/>
      <c r="O93" s="156"/>
      <c r="P93" s="156"/>
      <c r="Q93" s="155"/>
      <c r="R93" s="190"/>
      <c r="S93" s="191"/>
    </row>
    <row r="94" ht="29.25" hidden="1" customHeight="1">
      <c r="A94" s="155"/>
      <c r="B94" s="155"/>
      <c r="C94" s="155"/>
      <c r="D94" s="155"/>
      <c r="E94" s="155"/>
      <c r="F94" s="198"/>
      <c r="G94" s="155"/>
      <c r="H94" s="155"/>
      <c r="I94" s="156"/>
      <c r="J94" s="156"/>
      <c r="K94" s="156"/>
      <c r="L94" s="156"/>
      <c r="M94" s="156"/>
      <c r="N94" s="156"/>
      <c r="O94" s="156"/>
      <c r="P94" s="156"/>
      <c r="Q94" s="155"/>
      <c r="R94" s="190"/>
      <c r="S94" s="191"/>
    </row>
    <row r="95" ht="29.25" hidden="1" customHeight="1">
      <c r="A95" s="155"/>
      <c r="B95" s="155"/>
      <c r="C95" s="155"/>
      <c r="D95" s="155"/>
      <c r="E95" s="155"/>
      <c r="F95" s="198"/>
      <c r="G95" s="155"/>
      <c r="H95" s="155"/>
      <c r="I95" s="156"/>
      <c r="J95" s="156"/>
      <c r="K95" s="156"/>
      <c r="L95" s="156"/>
      <c r="M95" s="156"/>
      <c r="N95" s="156"/>
      <c r="O95" s="156"/>
      <c r="P95" s="156"/>
      <c r="Q95" s="155"/>
      <c r="R95" s="190"/>
      <c r="S95" s="191"/>
    </row>
    <row r="96" ht="29.25" hidden="1" customHeight="1">
      <c r="A96" s="155"/>
      <c r="B96" s="155"/>
      <c r="C96" s="155"/>
      <c r="D96" s="155"/>
      <c r="E96" s="155"/>
      <c r="F96" s="198"/>
      <c r="G96" s="155"/>
      <c r="H96" s="155"/>
      <c r="I96" s="156"/>
      <c r="J96" s="156"/>
      <c r="K96" s="156"/>
      <c r="L96" s="156"/>
      <c r="M96" s="156"/>
      <c r="N96" s="156"/>
      <c r="O96" s="156"/>
      <c r="P96" s="156"/>
      <c r="Q96" s="155"/>
      <c r="R96" s="190"/>
      <c r="S96" s="191"/>
    </row>
    <row r="97" ht="29.25" hidden="1" customHeight="1">
      <c r="A97" s="155"/>
      <c r="B97" s="155"/>
      <c r="C97" s="155"/>
      <c r="D97" s="155"/>
      <c r="E97" s="155"/>
      <c r="F97" s="198"/>
      <c r="G97" s="155"/>
      <c r="H97" s="155"/>
      <c r="I97" s="156"/>
      <c r="J97" s="156"/>
      <c r="K97" s="156"/>
      <c r="L97" s="156"/>
      <c r="M97" s="156"/>
      <c r="N97" s="156"/>
      <c r="O97" s="156"/>
      <c r="P97" s="156"/>
      <c r="Q97" s="155"/>
      <c r="R97" s="190"/>
      <c r="S97" s="191"/>
    </row>
    <row r="98" ht="29.25" hidden="1" customHeight="1">
      <c r="A98" s="155"/>
      <c r="B98" s="155"/>
      <c r="C98" s="155"/>
      <c r="D98" s="155"/>
      <c r="E98" s="155"/>
      <c r="F98" s="198"/>
      <c r="G98" s="155"/>
      <c r="H98" s="155"/>
      <c r="I98" s="156"/>
      <c r="J98" s="156"/>
      <c r="K98" s="156"/>
      <c r="L98" s="156"/>
      <c r="M98" s="156"/>
      <c r="N98" s="156"/>
      <c r="O98" s="156"/>
      <c r="P98" s="156"/>
      <c r="Q98" s="155"/>
      <c r="R98" s="190"/>
      <c r="S98" s="191"/>
    </row>
    <row r="99" ht="29.25" hidden="1" customHeight="1">
      <c r="A99" s="155"/>
      <c r="B99" s="155"/>
      <c r="C99" s="155"/>
      <c r="D99" s="155"/>
      <c r="E99" s="155"/>
      <c r="F99" s="198"/>
      <c r="G99" s="155"/>
      <c r="H99" s="155"/>
      <c r="I99" s="156"/>
      <c r="J99" s="156"/>
      <c r="K99" s="156"/>
      <c r="L99" s="156"/>
      <c r="M99" s="156"/>
      <c r="N99" s="156"/>
      <c r="O99" s="156"/>
      <c r="P99" s="156"/>
      <c r="Q99" s="155"/>
      <c r="R99" s="190"/>
      <c r="S99" s="191"/>
    </row>
    <row r="100" ht="29.25" hidden="1" customHeight="1">
      <c r="A100" s="155"/>
      <c r="B100" s="155"/>
      <c r="C100" s="155"/>
      <c r="D100" s="155"/>
      <c r="E100" s="155"/>
      <c r="F100" s="198"/>
      <c r="G100" s="155"/>
      <c r="H100" s="155"/>
      <c r="I100" s="156"/>
      <c r="J100" s="156"/>
      <c r="K100" s="156"/>
      <c r="L100" s="156"/>
      <c r="M100" s="156"/>
      <c r="N100" s="156"/>
      <c r="O100" s="156"/>
      <c r="P100" s="156"/>
      <c r="Q100" s="155"/>
      <c r="R100" s="190"/>
      <c r="S100" s="191"/>
    </row>
    <row r="101" ht="29.25" hidden="1" customHeight="1">
      <c r="A101" s="155"/>
      <c r="B101" s="155"/>
      <c r="C101" s="155"/>
      <c r="D101" s="155"/>
      <c r="E101" s="155"/>
      <c r="F101" s="198"/>
      <c r="G101" s="155"/>
      <c r="H101" s="155"/>
      <c r="I101" s="156"/>
      <c r="J101" s="156"/>
      <c r="K101" s="156"/>
      <c r="L101" s="156"/>
      <c r="M101" s="156"/>
      <c r="N101" s="156"/>
      <c r="O101" s="156"/>
      <c r="P101" s="156"/>
      <c r="Q101" s="155"/>
      <c r="R101" s="190"/>
      <c r="S101" s="191"/>
    </row>
    <row r="102" ht="29.25" hidden="1" customHeight="1">
      <c r="A102" s="155"/>
      <c r="B102" s="155"/>
      <c r="C102" s="155"/>
      <c r="D102" s="155"/>
      <c r="E102" s="155"/>
      <c r="F102" s="198"/>
      <c r="G102" s="155"/>
      <c r="H102" s="155"/>
      <c r="I102" s="156"/>
      <c r="J102" s="156"/>
      <c r="K102" s="156"/>
      <c r="L102" s="156"/>
      <c r="M102" s="156"/>
      <c r="N102" s="156"/>
      <c r="O102" s="156"/>
      <c r="P102" s="156"/>
      <c r="Q102" s="155"/>
      <c r="R102" s="190"/>
      <c r="S102" s="191"/>
    </row>
    <row r="103" ht="29.25" hidden="1" customHeight="1">
      <c r="A103" s="155"/>
      <c r="B103" s="155"/>
      <c r="C103" s="155"/>
      <c r="D103" s="155"/>
      <c r="E103" s="155"/>
      <c r="F103" s="198"/>
      <c r="G103" s="155"/>
      <c r="H103" s="155"/>
      <c r="I103" s="156"/>
      <c r="J103" s="156"/>
      <c r="K103" s="156"/>
      <c r="L103" s="156"/>
      <c r="M103" s="156"/>
      <c r="N103" s="156"/>
      <c r="O103" s="156"/>
      <c r="P103" s="156"/>
      <c r="Q103" s="155"/>
      <c r="R103" s="190"/>
      <c r="S103" s="191"/>
    </row>
    <row r="104" ht="29.25" hidden="1" customHeight="1">
      <c r="A104" s="155"/>
      <c r="B104" s="155"/>
      <c r="C104" s="155"/>
      <c r="D104" s="155"/>
      <c r="E104" s="155"/>
      <c r="F104" s="198"/>
      <c r="G104" s="155"/>
      <c r="H104" s="155"/>
      <c r="I104" s="156"/>
      <c r="J104" s="156"/>
      <c r="K104" s="156"/>
      <c r="L104" s="156"/>
      <c r="M104" s="156"/>
      <c r="N104" s="156"/>
      <c r="O104" s="156"/>
      <c r="P104" s="156"/>
      <c r="Q104" s="155"/>
      <c r="R104" s="190"/>
      <c r="S104" s="191"/>
    </row>
    <row r="105" ht="29.25" hidden="1" customHeight="1">
      <c r="A105" s="155"/>
      <c r="B105" s="155"/>
      <c r="C105" s="155"/>
      <c r="D105" s="155"/>
      <c r="E105" s="155"/>
      <c r="F105" s="198"/>
      <c r="G105" s="155"/>
      <c r="H105" s="155"/>
      <c r="I105" s="156"/>
      <c r="J105" s="156"/>
      <c r="K105" s="156"/>
      <c r="L105" s="156"/>
      <c r="M105" s="156"/>
      <c r="N105" s="156"/>
      <c r="O105" s="156"/>
      <c r="P105" s="156"/>
      <c r="Q105" s="155"/>
      <c r="R105" s="190"/>
      <c r="S105" s="191"/>
    </row>
    <row r="106" ht="29.25" hidden="1" customHeight="1">
      <c r="A106" s="155"/>
      <c r="B106" s="155"/>
      <c r="C106" s="155"/>
      <c r="D106" s="155"/>
      <c r="E106" s="155"/>
      <c r="F106" s="198"/>
      <c r="G106" s="155"/>
      <c r="H106" s="155"/>
      <c r="I106" s="156"/>
      <c r="J106" s="156"/>
      <c r="K106" s="156"/>
      <c r="L106" s="156"/>
      <c r="M106" s="156"/>
      <c r="N106" s="156"/>
      <c r="O106" s="156"/>
      <c r="P106" s="156"/>
      <c r="Q106" s="155"/>
      <c r="R106" s="190"/>
      <c r="S106" s="191"/>
    </row>
    <row r="107" ht="29.25" hidden="1" customHeight="1">
      <c r="A107" s="155"/>
      <c r="B107" s="155"/>
      <c r="C107" s="155"/>
      <c r="D107" s="155"/>
      <c r="E107" s="155"/>
      <c r="F107" s="198"/>
      <c r="G107" s="155"/>
      <c r="H107" s="155"/>
      <c r="I107" s="156"/>
      <c r="J107" s="156"/>
      <c r="K107" s="156"/>
      <c r="L107" s="156"/>
      <c r="M107" s="156"/>
      <c r="N107" s="156"/>
      <c r="O107" s="156"/>
      <c r="P107" s="156"/>
      <c r="Q107" s="155"/>
      <c r="R107" s="190"/>
      <c r="S107" s="191"/>
    </row>
    <row r="108" ht="29.25" hidden="1" customHeight="1">
      <c r="A108" s="155"/>
      <c r="B108" s="155"/>
      <c r="C108" s="155"/>
      <c r="D108" s="155"/>
      <c r="E108" s="155"/>
      <c r="F108" s="198"/>
      <c r="G108" s="155"/>
      <c r="H108" s="155"/>
      <c r="I108" s="156"/>
      <c r="J108" s="156"/>
      <c r="K108" s="156"/>
      <c r="L108" s="156"/>
      <c r="M108" s="156"/>
      <c r="N108" s="156"/>
      <c r="O108" s="156"/>
      <c r="P108" s="156"/>
      <c r="Q108" s="155"/>
      <c r="R108" s="190"/>
      <c r="S108" s="191"/>
    </row>
    <row r="109" ht="29.25" hidden="1" customHeight="1">
      <c r="A109" s="155"/>
      <c r="B109" s="155"/>
      <c r="C109" s="155"/>
      <c r="D109" s="155"/>
      <c r="E109" s="155"/>
      <c r="F109" s="198"/>
      <c r="G109" s="155"/>
      <c r="H109" s="155"/>
      <c r="I109" s="156"/>
      <c r="J109" s="156"/>
      <c r="K109" s="156"/>
      <c r="L109" s="156"/>
      <c r="M109" s="156"/>
      <c r="N109" s="156"/>
      <c r="O109" s="156"/>
      <c r="P109" s="156"/>
      <c r="Q109" s="155"/>
      <c r="R109" s="190"/>
      <c r="S109" s="191"/>
    </row>
    <row r="110" ht="29.25" hidden="1" customHeight="1">
      <c r="A110" s="155"/>
      <c r="B110" s="155"/>
      <c r="C110" s="155"/>
      <c r="D110" s="155"/>
      <c r="E110" s="155"/>
      <c r="F110" s="198"/>
      <c r="G110" s="155"/>
      <c r="H110" s="155"/>
      <c r="I110" s="156"/>
      <c r="J110" s="156"/>
      <c r="K110" s="156"/>
      <c r="L110" s="156"/>
      <c r="M110" s="156"/>
      <c r="N110" s="156"/>
      <c r="O110" s="156"/>
      <c r="P110" s="156"/>
      <c r="Q110" s="155"/>
      <c r="R110" s="190"/>
      <c r="S110" s="191"/>
    </row>
    <row r="111" ht="29.25" hidden="1" customHeight="1">
      <c r="A111" s="155"/>
      <c r="B111" s="155"/>
      <c r="C111" s="155"/>
      <c r="D111" s="155"/>
      <c r="E111" s="155"/>
      <c r="F111" s="198"/>
      <c r="G111" s="155"/>
      <c r="H111" s="155"/>
      <c r="I111" s="156"/>
      <c r="J111" s="156"/>
      <c r="K111" s="156"/>
      <c r="L111" s="156"/>
      <c r="M111" s="156"/>
      <c r="N111" s="156"/>
      <c r="O111" s="156"/>
      <c r="P111" s="156"/>
      <c r="Q111" s="155"/>
      <c r="R111" s="190"/>
      <c r="S111" s="191"/>
    </row>
    <row r="112" ht="29.25" hidden="1" customHeight="1">
      <c r="A112" s="155"/>
      <c r="B112" s="155"/>
      <c r="C112" s="155"/>
      <c r="D112" s="155"/>
      <c r="E112" s="155"/>
      <c r="F112" s="198"/>
      <c r="G112" s="155"/>
      <c r="H112" s="155"/>
      <c r="I112" s="156"/>
      <c r="J112" s="156"/>
      <c r="K112" s="156"/>
      <c r="L112" s="156"/>
      <c r="M112" s="156"/>
      <c r="N112" s="156"/>
      <c r="O112" s="156"/>
      <c r="P112" s="156"/>
      <c r="Q112" s="155"/>
      <c r="R112" s="190"/>
      <c r="S112" s="191"/>
    </row>
    <row r="113" ht="29.25" hidden="1" customHeight="1">
      <c r="A113" s="155"/>
      <c r="B113" s="155"/>
      <c r="C113" s="155"/>
      <c r="D113" s="155"/>
      <c r="E113" s="155"/>
      <c r="F113" s="198"/>
      <c r="G113" s="155"/>
      <c r="H113" s="155"/>
      <c r="I113" s="156"/>
      <c r="J113" s="156"/>
      <c r="K113" s="156"/>
      <c r="L113" s="156"/>
      <c r="M113" s="156"/>
      <c r="N113" s="156"/>
      <c r="O113" s="156"/>
      <c r="P113" s="156"/>
      <c r="Q113" s="155"/>
      <c r="R113" s="190"/>
      <c r="S113" s="191"/>
    </row>
    <row r="114" ht="29.25" hidden="1" customHeight="1">
      <c r="A114" s="155"/>
      <c r="B114" s="155"/>
      <c r="C114" s="155"/>
      <c r="D114" s="155"/>
      <c r="E114" s="155"/>
      <c r="F114" s="198"/>
      <c r="G114" s="155"/>
      <c r="H114" s="155"/>
      <c r="I114" s="156"/>
      <c r="J114" s="156"/>
      <c r="K114" s="156"/>
      <c r="L114" s="156"/>
      <c r="M114" s="156"/>
      <c r="N114" s="156"/>
      <c r="O114" s="156"/>
      <c r="P114" s="156"/>
      <c r="Q114" s="155"/>
      <c r="R114" s="190"/>
      <c r="S114" s="191"/>
    </row>
    <row r="115" ht="29.25" hidden="1" customHeight="1">
      <c r="A115" s="155"/>
      <c r="B115" s="155"/>
      <c r="C115" s="155"/>
      <c r="D115" s="155"/>
      <c r="E115" s="155"/>
      <c r="F115" s="198"/>
      <c r="G115" s="155"/>
      <c r="H115" s="155"/>
      <c r="I115" s="156"/>
      <c r="J115" s="156"/>
      <c r="K115" s="156"/>
      <c r="L115" s="156"/>
      <c r="M115" s="156"/>
      <c r="N115" s="156"/>
      <c r="O115" s="156"/>
      <c r="P115" s="156"/>
      <c r="Q115" s="155"/>
      <c r="R115" s="190"/>
      <c r="S115" s="191"/>
    </row>
    <row r="116" ht="29.25" hidden="1" customHeight="1">
      <c r="A116" s="155"/>
      <c r="B116" s="155"/>
      <c r="C116" s="155"/>
      <c r="D116" s="155"/>
      <c r="E116" s="155"/>
      <c r="F116" s="198"/>
      <c r="G116" s="155"/>
      <c r="H116" s="155"/>
      <c r="I116" s="156"/>
      <c r="J116" s="156"/>
      <c r="K116" s="156"/>
      <c r="L116" s="156"/>
      <c r="M116" s="156"/>
      <c r="N116" s="156"/>
      <c r="O116" s="156"/>
      <c r="P116" s="156"/>
      <c r="Q116" s="155"/>
      <c r="R116" s="190"/>
      <c r="S116" s="191"/>
    </row>
    <row r="117" ht="29.25" hidden="1" customHeight="1">
      <c r="A117" s="155"/>
      <c r="B117" s="155"/>
      <c r="C117" s="155"/>
      <c r="D117" s="155"/>
      <c r="E117" s="155"/>
      <c r="F117" s="198"/>
      <c r="G117" s="155"/>
      <c r="H117" s="155"/>
      <c r="I117" s="156"/>
      <c r="J117" s="156"/>
      <c r="K117" s="156"/>
      <c r="L117" s="156"/>
      <c r="M117" s="156"/>
      <c r="N117" s="156"/>
      <c r="O117" s="156"/>
      <c r="P117" s="156"/>
      <c r="Q117" s="155"/>
      <c r="R117" s="190"/>
      <c r="S117" s="191"/>
    </row>
    <row r="118" ht="29.25" hidden="1" customHeight="1">
      <c r="A118" s="155"/>
      <c r="B118" s="155"/>
      <c r="C118" s="155"/>
      <c r="D118" s="155"/>
      <c r="E118" s="155"/>
      <c r="F118" s="198"/>
      <c r="G118" s="155"/>
      <c r="H118" s="155"/>
      <c r="I118" s="156"/>
      <c r="J118" s="156"/>
      <c r="K118" s="156"/>
      <c r="L118" s="156"/>
      <c r="M118" s="156"/>
      <c r="N118" s="156"/>
      <c r="O118" s="156"/>
      <c r="P118" s="156"/>
      <c r="Q118" s="155"/>
      <c r="R118" s="190"/>
      <c r="S118" s="191"/>
    </row>
    <row r="119" ht="29.25" hidden="1" customHeight="1">
      <c r="A119" s="155"/>
      <c r="B119" s="155"/>
      <c r="C119" s="155"/>
      <c r="D119" s="155"/>
      <c r="E119" s="155"/>
      <c r="F119" s="198"/>
      <c r="G119" s="155"/>
      <c r="H119" s="155"/>
      <c r="I119" s="156"/>
      <c r="J119" s="156"/>
      <c r="K119" s="156"/>
      <c r="L119" s="156"/>
      <c r="M119" s="156"/>
      <c r="N119" s="156"/>
      <c r="O119" s="156"/>
      <c r="P119" s="156"/>
      <c r="Q119" s="155"/>
      <c r="R119" s="190"/>
      <c r="S119" s="191"/>
    </row>
    <row r="120" ht="29.25" hidden="1" customHeight="1">
      <c r="A120" s="155"/>
      <c r="B120" s="155"/>
      <c r="C120" s="155"/>
      <c r="D120" s="155"/>
      <c r="E120" s="155"/>
      <c r="F120" s="198"/>
      <c r="G120" s="155"/>
      <c r="H120" s="155"/>
      <c r="I120" s="156"/>
      <c r="J120" s="156"/>
      <c r="K120" s="156"/>
      <c r="L120" s="156"/>
      <c r="M120" s="156"/>
      <c r="N120" s="156"/>
      <c r="O120" s="156"/>
      <c r="P120" s="156"/>
      <c r="Q120" s="155"/>
      <c r="R120" s="190"/>
      <c r="S120" s="191"/>
    </row>
    <row r="121" ht="29.25" hidden="1" customHeight="1">
      <c r="A121" s="155"/>
      <c r="B121" s="155"/>
      <c r="C121" s="155"/>
      <c r="D121" s="155"/>
      <c r="E121" s="155"/>
      <c r="F121" s="198"/>
      <c r="G121" s="155"/>
      <c r="H121" s="155"/>
      <c r="I121" s="156"/>
      <c r="J121" s="156"/>
      <c r="K121" s="156"/>
      <c r="L121" s="156"/>
      <c r="M121" s="156"/>
      <c r="N121" s="156"/>
      <c r="O121" s="156"/>
      <c r="P121" s="156"/>
      <c r="Q121" s="155"/>
      <c r="R121" s="190"/>
      <c r="S121" s="191"/>
    </row>
    <row r="122" ht="29.25" hidden="1" customHeight="1">
      <c r="A122" s="155"/>
      <c r="B122" s="155"/>
      <c r="C122" s="155"/>
      <c r="D122" s="155"/>
      <c r="E122" s="155"/>
      <c r="F122" s="198"/>
      <c r="G122" s="155"/>
      <c r="H122" s="155"/>
      <c r="I122" s="156"/>
      <c r="J122" s="156"/>
      <c r="K122" s="156"/>
      <c r="L122" s="156"/>
      <c r="M122" s="156"/>
      <c r="N122" s="156"/>
      <c r="O122" s="156"/>
      <c r="P122" s="156"/>
      <c r="Q122" s="155"/>
      <c r="R122" s="190"/>
      <c r="S122" s="191"/>
    </row>
    <row r="123" ht="29.25" hidden="1" customHeight="1">
      <c r="A123" s="155"/>
      <c r="B123" s="155"/>
      <c r="C123" s="155"/>
      <c r="D123" s="155"/>
      <c r="E123" s="155"/>
      <c r="F123" s="198"/>
      <c r="G123" s="155"/>
      <c r="H123" s="155"/>
      <c r="I123" s="156"/>
      <c r="J123" s="156"/>
      <c r="K123" s="156"/>
      <c r="L123" s="156"/>
      <c r="M123" s="156"/>
      <c r="N123" s="156"/>
      <c r="O123" s="156"/>
      <c r="P123" s="156"/>
      <c r="Q123" s="155"/>
      <c r="R123" s="190"/>
      <c r="S123" s="191"/>
    </row>
    <row r="124" ht="29.25" hidden="1" customHeight="1">
      <c r="A124" s="155"/>
      <c r="B124" s="155"/>
      <c r="C124" s="155"/>
      <c r="D124" s="155"/>
      <c r="E124" s="155"/>
      <c r="F124" s="198"/>
      <c r="G124" s="155"/>
      <c r="H124" s="155"/>
      <c r="I124" s="156"/>
      <c r="J124" s="156"/>
      <c r="K124" s="156"/>
      <c r="L124" s="156"/>
      <c r="M124" s="156"/>
      <c r="N124" s="156"/>
      <c r="O124" s="156"/>
      <c r="P124" s="156"/>
      <c r="Q124" s="155"/>
      <c r="R124" s="190"/>
      <c r="S124" s="191"/>
    </row>
    <row r="125" ht="29.25" hidden="1" customHeight="1">
      <c r="A125" s="155"/>
      <c r="B125" s="155"/>
      <c r="C125" s="155"/>
      <c r="D125" s="155"/>
      <c r="E125" s="155"/>
      <c r="F125" s="198"/>
      <c r="G125" s="155"/>
      <c r="H125" s="155"/>
      <c r="I125" s="156"/>
      <c r="J125" s="156"/>
      <c r="K125" s="156"/>
      <c r="L125" s="156"/>
      <c r="M125" s="156"/>
      <c r="N125" s="156"/>
      <c r="O125" s="156"/>
      <c r="P125" s="156"/>
      <c r="Q125" s="155"/>
      <c r="R125" s="190"/>
      <c r="S125" s="191"/>
    </row>
    <row r="126" ht="29.25" hidden="1" customHeight="1">
      <c r="A126" s="155"/>
      <c r="B126" s="155"/>
      <c r="C126" s="155"/>
      <c r="D126" s="155"/>
      <c r="E126" s="155"/>
      <c r="F126" s="198"/>
      <c r="G126" s="155"/>
      <c r="H126" s="155"/>
      <c r="I126" s="156"/>
      <c r="J126" s="156"/>
      <c r="K126" s="156"/>
      <c r="L126" s="156"/>
      <c r="M126" s="156"/>
      <c r="N126" s="156"/>
      <c r="O126" s="156"/>
      <c r="P126" s="156"/>
      <c r="Q126" s="155"/>
      <c r="R126" s="190"/>
      <c r="S126" s="191"/>
    </row>
    <row r="127" ht="29.25" hidden="1" customHeight="1">
      <c r="A127" s="155"/>
      <c r="B127" s="155"/>
      <c r="C127" s="155"/>
      <c r="D127" s="155"/>
      <c r="E127" s="155"/>
      <c r="F127" s="198"/>
      <c r="G127" s="155"/>
      <c r="H127" s="155"/>
      <c r="I127" s="156"/>
      <c r="J127" s="156"/>
      <c r="K127" s="156"/>
      <c r="L127" s="156"/>
      <c r="M127" s="156"/>
      <c r="N127" s="156"/>
      <c r="O127" s="156"/>
      <c r="P127" s="156"/>
      <c r="Q127" s="155"/>
      <c r="R127" s="190"/>
      <c r="S127" s="191"/>
    </row>
    <row r="128" ht="29.25" hidden="1" customHeight="1">
      <c r="A128" s="155"/>
      <c r="B128" s="155"/>
      <c r="C128" s="155"/>
      <c r="D128" s="155"/>
      <c r="E128" s="155"/>
      <c r="F128" s="198"/>
      <c r="G128" s="155"/>
      <c r="H128" s="155"/>
      <c r="I128" s="156"/>
      <c r="J128" s="156"/>
      <c r="K128" s="156"/>
      <c r="L128" s="156"/>
      <c r="M128" s="156"/>
      <c r="N128" s="156"/>
      <c r="O128" s="156"/>
      <c r="P128" s="156"/>
      <c r="Q128" s="155"/>
      <c r="R128" s="190"/>
      <c r="S128" s="191"/>
    </row>
    <row r="129" ht="29.25" hidden="1" customHeight="1">
      <c r="A129" s="155"/>
      <c r="B129" s="155"/>
      <c r="C129" s="155"/>
      <c r="D129" s="155"/>
      <c r="E129" s="155"/>
      <c r="F129" s="198"/>
      <c r="G129" s="155"/>
      <c r="H129" s="155"/>
      <c r="I129" s="156"/>
      <c r="J129" s="156"/>
      <c r="K129" s="156"/>
      <c r="L129" s="156"/>
      <c r="M129" s="156"/>
      <c r="N129" s="156"/>
      <c r="O129" s="156"/>
      <c r="P129" s="156"/>
      <c r="Q129" s="155"/>
      <c r="R129" s="190"/>
      <c r="S129" s="191"/>
    </row>
    <row r="130" ht="29.25" hidden="1" customHeight="1">
      <c r="A130" s="155"/>
      <c r="B130" s="155"/>
      <c r="C130" s="155"/>
      <c r="D130" s="155"/>
      <c r="E130" s="155"/>
      <c r="F130" s="198"/>
      <c r="G130" s="155"/>
      <c r="H130" s="155"/>
      <c r="I130" s="156"/>
      <c r="J130" s="156"/>
      <c r="K130" s="156"/>
      <c r="L130" s="156"/>
      <c r="M130" s="156"/>
      <c r="N130" s="156"/>
      <c r="O130" s="156"/>
      <c r="P130" s="156"/>
      <c r="Q130" s="155"/>
      <c r="R130" s="190"/>
      <c r="S130" s="191"/>
    </row>
    <row r="131" ht="29.25" hidden="1" customHeight="1">
      <c r="A131" s="155"/>
      <c r="B131" s="155"/>
      <c r="C131" s="155"/>
      <c r="D131" s="155"/>
      <c r="E131" s="155"/>
      <c r="F131" s="198"/>
      <c r="G131" s="155"/>
      <c r="H131" s="155"/>
      <c r="I131" s="156"/>
      <c r="J131" s="156"/>
      <c r="K131" s="156"/>
      <c r="L131" s="156"/>
      <c r="M131" s="156"/>
      <c r="N131" s="156"/>
      <c r="O131" s="156"/>
      <c r="P131" s="156"/>
      <c r="Q131" s="155"/>
      <c r="R131" s="190"/>
      <c r="S131" s="191"/>
    </row>
    <row r="132" ht="29.25" hidden="1" customHeight="1">
      <c r="A132" s="155"/>
      <c r="B132" s="155"/>
      <c r="C132" s="155"/>
      <c r="D132" s="155"/>
      <c r="E132" s="155"/>
      <c r="F132" s="198"/>
      <c r="G132" s="155"/>
      <c r="H132" s="155"/>
      <c r="I132" s="156"/>
      <c r="J132" s="156"/>
      <c r="K132" s="156"/>
      <c r="L132" s="156"/>
      <c r="M132" s="156"/>
      <c r="N132" s="156"/>
      <c r="O132" s="156"/>
      <c r="P132" s="156"/>
      <c r="Q132" s="155"/>
      <c r="R132" s="190"/>
      <c r="S132" s="191"/>
    </row>
    <row r="133" ht="29.25" hidden="1" customHeight="1">
      <c r="A133" s="155"/>
      <c r="B133" s="155"/>
      <c r="C133" s="155"/>
      <c r="D133" s="155"/>
      <c r="E133" s="155"/>
      <c r="F133" s="198"/>
      <c r="G133" s="155"/>
      <c r="H133" s="155"/>
      <c r="I133" s="156"/>
      <c r="J133" s="156"/>
      <c r="K133" s="156"/>
      <c r="L133" s="156"/>
      <c r="M133" s="156"/>
      <c r="N133" s="156"/>
      <c r="O133" s="156"/>
      <c r="P133" s="156"/>
      <c r="Q133" s="155"/>
      <c r="R133" s="190"/>
      <c r="S133" s="191"/>
    </row>
    <row r="134" ht="29.25" hidden="1" customHeight="1">
      <c r="A134" s="155"/>
      <c r="B134" s="155"/>
      <c r="C134" s="155"/>
      <c r="D134" s="155"/>
      <c r="E134" s="155"/>
      <c r="F134" s="198"/>
      <c r="G134" s="155"/>
      <c r="H134" s="155"/>
      <c r="I134" s="156"/>
      <c r="J134" s="156"/>
      <c r="K134" s="156"/>
      <c r="L134" s="156"/>
      <c r="M134" s="156"/>
      <c r="N134" s="156"/>
      <c r="O134" s="156"/>
      <c r="P134" s="156"/>
      <c r="Q134" s="155"/>
      <c r="R134" s="190"/>
      <c r="S134" s="191"/>
    </row>
    <row r="135" ht="29.25" hidden="1" customHeight="1">
      <c r="A135" s="155"/>
      <c r="B135" s="155"/>
      <c r="C135" s="155"/>
      <c r="D135" s="155"/>
      <c r="E135" s="155"/>
      <c r="F135" s="198"/>
      <c r="G135" s="155"/>
      <c r="H135" s="155"/>
      <c r="I135" s="156"/>
      <c r="J135" s="156"/>
      <c r="K135" s="156"/>
      <c r="L135" s="156"/>
      <c r="M135" s="156"/>
      <c r="N135" s="156"/>
      <c r="O135" s="156"/>
      <c r="P135" s="156"/>
      <c r="Q135" s="155"/>
      <c r="R135" s="190"/>
      <c r="S135" s="191"/>
    </row>
    <row r="136" ht="29.25" hidden="1" customHeight="1">
      <c r="A136" s="155"/>
      <c r="B136" s="155"/>
      <c r="C136" s="155"/>
      <c r="D136" s="155"/>
      <c r="E136" s="155"/>
      <c r="F136" s="198"/>
      <c r="G136" s="155"/>
      <c r="H136" s="155"/>
      <c r="I136" s="156"/>
      <c r="J136" s="156"/>
      <c r="K136" s="156"/>
      <c r="L136" s="156"/>
      <c r="M136" s="156"/>
      <c r="N136" s="156"/>
      <c r="O136" s="156"/>
      <c r="P136" s="156"/>
      <c r="Q136" s="155"/>
      <c r="R136" s="190"/>
      <c r="S136" s="191"/>
    </row>
    <row r="137" ht="29.25" hidden="1" customHeight="1">
      <c r="A137" s="155"/>
      <c r="B137" s="155"/>
      <c r="C137" s="155"/>
      <c r="D137" s="155"/>
      <c r="E137" s="155"/>
      <c r="F137" s="198"/>
      <c r="G137" s="155"/>
      <c r="H137" s="155"/>
      <c r="I137" s="156"/>
      <c r="J137" s="156"/>
      <c r="K137" s="156"/>
      <c r="L137" s="156"/>
      <c r="M137" s="156"/>
      <c r="N137" s="156"/>
      <c r="O137" s="156"/>
      <c r="P137" s="156"/>
      <c r="Q137" s="155"/>
      <c r="R137" s="190"/>
      <c r="S137" s="191"/>
    </row>
    <row r="138" ht="29.25" hidden="1" customHeight="1">
      <c r="A138" s="155"/>
      <c r="B138" s="155"/>
      <c r="C138" s="155"/>
      <c r="D138" s="155"/>
      <c r="E138" s="155"/>
      <c r="F138" s="198"/>
      <c r="G138" s="155"/>
      <c r="H138" s="155"/>
      <c r="I138" s="156"/>
      <c r="J138" s="156"/>
      <c r="K138" s="156"/>
      <c r="L138" s="156"/>
      <c r="M138" s="156"/>
      <c r="N138" s="156"/>
      <c r="O138" s="156"/>
      <c r="P138" s="156"/>
      <c r="Q138" s="155"/>
      <c r="R138" s="190"/>
      <c r="S138" s="191"/>
    </row>
    <row r="139" ht="29.25" hidden="1" customHeight="1">
      <c r="A139" s="155"/>
      <c r="B139" s="155"/>
      <c r="C139" s="155"/>
      <c r="D139" s="155"/>
      <c r="E139" s="155"/>
      <c r="F139" s="198"/>
      <c r="G139" s="155"/>
      <c r="H139" s="155"/>
      <c r="I139" s="156"/>
      <c r="J139" s="156"/>
      <c r="K139" s="156"/>
      <c r="L139" s="156"/>
      <c r="M139" s="156"/>
      <c r="N139" s="156"/>
      <c r="O139" s="156"/>
      <c r="P139" s="156"/>
      <c r="Q139" s="155"/>
      <c r="R139" s="190"/>
      <c r="S139" s="191"/>
    </row>
    <row r="140" ht="29.25" hidden="1" customHeight="1">
      <c r="A140" s="155"/>
      <c r="B140" s="155"/>
      <c r="C140" s="155"/>
      <c r="D140" s="155"/>
      <c r="E140" s="155"/>
      <c r="F140" s="198"/>
      <c r="G140" s="155"/>
      <c r="H140" s="155"/>
      <c r="I140" s="156"/>
      <c r="J140" s="156"/>
      <c r="K140" s="156"/>
      <c r="L140" s="156"/>
      <c r="M140" s="156"/>
      <c r="N140" s="156"/>
      <c r="O140" s="156"/>
      <c r="P140" s="156"/>
      <c r="Q140" s="155"/>
      <c r="R140" s="190"/>
      <c r="S140" s="191"/>
    </row>
    <row r="141" ht="29.25" hidden="1" customHeight="1">
      <c r="A141" s="155"/>
      <c r="B141" s="155"/>
      <c r="C141" s="155"/>
      <c r="D141" s="155"/>
      <c r="E141" s="155"/>
      <c r="F141" s="198"/>
      <c r="G141" s="155"/>
      <c r="H141" s="155"/>
      <c r="I141" s="156"/>
      <c r="J141" s="156"/>
      <c r="K141" s="156"/>
      <c r="L141" s="156"/>
      <c r="M141" s="156"/>
      <c r="N141" s="156"/>
      <c r="O141" s="156"/>
      <c r="P141" s="156"/>
      <c r="Q141" s="155"/>
      <c r="R141" s="190"/>
      <c r="S141" s="191"/>
    </row>
    <row r="142" ht="29.25" hidden="1" customHeight="1">
      <c r="A142" s="155"/>
      <c r="B142" s="155"/>
      <c r="C142" s="155"/>
      <c r="D142" s="155"/>
      <c r="E142" s="155"/>
      <c r="F142" s="198"/>
      <c r="G142" s="155"/>
      <c r="H142" s="155"/>
      <c r="I142" s="156"/>
      <c r="J142" s="156"/>
      <c r="K142" s="156"/>
      <c r="L142" s="156"/>
      <c r="M142" s="156"/>
      <c r="N142" s="156"/>
      <c r="O142" s="156"/>
      <c r="P142" s="156"/>
      <c r="Q142" s="155"/>
      <c r="R142" s="190"/>
      <c r="S142" s="191"/>
    </row>
    <row r="143" ht="29.25" hidden="1" customHeight="1">
      <c r="A143" s="155"/>
      <c r="B143" s="155"/>
      <c r="C143" s="155"/>
      <c r="D143" s="155"/>
      <c r="E143" s="155"/>
      <c r="F143" s="198"/>
      <c r="G143" s="155"/>
      <c r="H143" s="155"/>
      <c r="I143" s="156"/>
      <c r="J143" s="156"/>
      <c r="K143" s="156"/>
      <c r="L143" s="156"/>
      <c r="M143" s="156"/>
      <c r="N143" s="156"/>
      <c r="O143" s="156"/>
      <c r="P143" s="156"/>
      <c r="Q143" s="155"/>
      <c r="R143" s="190"/>
      <c r="S143" s="191"/>
    </row>
    <row r="144" ht="29.25" hidden="1" customHeight="1">
      <c r="A144" s="155"/>
      <c r="B144" s="155"/>
      <c r="C144" s="155"/>
      <c r="D144" s="155"/>
      <c r="E144" s="155"/>
      <c r="F144" s="198"/>
      <c r="G144" s="155"/>
      <c r="H144" s="155"/>
      <c r="I144" s="156"/>
      <c r="J144" s="156"/>
      <c r="K144" s="156"/>
      <c r="L144" s="156"/>
      <c r="M144" s="156"/>
      <c r="N144" s="156"/>
      <c r="O144" s="156"/>
      <c r="P144" s="156"/>
      <c r="Q144" s="155"/>
      <c r="R144" s="190"/>
      <c r="S144" s="191"/>
    </row>
    <row r="145" ht="29.25" hidden="1" customHeight="1">
      <c r="A145" s="155"/>
      <c r="B145" s="155"/>
      <c r="C145" s="155"/>
      <c r="D145" s="155"/>
      <c r="E145" s="155"/>
      <c r="F145" s="198"/>
      <c r="G145" s="155"/>
      <c r="H145" s="155"/>
      <c r="I145" s="156"/>
      <c r="J145" s="156"/>
      <c r="K145" s="156"/>
      <c r="L145" s="156"/>
      <c r="M145" s="156"/>
      <c r="N145" s="156"/>
      <c r="O145" s="156"/>
      <c r="P145" s="156"/>
      <c r="Q145" s="155"/>
      <c r="R145" s="190"/>
      <c r="S145" s="191"/>
    </row>
    <row r="146" ht="29.25" hidden="1" customHeight="1">
      <c r="A146" s="155"/>
      <c r="B146" s="155"/>
      <c r="C146" s="155"/>
      <c r="D146" s="155"/>
      <c r="E146" s="155"/>
      <c r="F146" s="198"/>
      <c r="G146" s="155"/>
      <c r="H146" s="155"/>
      <c r="I146" s="156"/>
      <c r="J146" s="156"/>
      <c r="K146" s="156"/>
      <c r="L146" s="156"/>
      <c r="M146" s="156"/>
      <c r="N146" s="156"/>
      <c r="O146" s="156"/>
      <c r="P146" s="156"/>
      <c r="Q146" s="155"/>
      <c r="R146" s="190"/>
      <c r="S146" s="191"/>
    </row>
    <row r="147" ht="29.25" hidden="1" customHeight="1">
      <c r="A147" s="155"/>
      <c r="B147" s="155"/>
      <c r="C147" s="155"/>
      <c r="D147" s="155"/>
      <c r="E147" s="155"/>
      <c r="F147" s="198"/>
      <c r="G147" s="155"/>
      <c r="H147" s="155"/>
      <c r="I147" s="156"/>
      <c r="J147" s="156"/>
      <c r="K147" s="156"/>
      <c r="L147" s="156"/>
      <c r="M147" s="156"/>
      <c r="N147" s="156"/>
      <c r="O147" s="156"/>
      <c r="P147" s="156"/>
      <c r="Q147" s="155"/>
      <c r="R147" s="190"/>
      <c r="S147" s="191"/>
    </row>
    <row r="148" ht="29.25" hidden="1" customHeight="1">
      <c r="A148" s="155"/>
      <c r="B148" s="155"/>
      <c r="C148" s="155"/>
      <c r="D148" s="155"/>
      <c r="E148" s="155"/>
      <c r="F148" s="198"/>
      <c r="G148" s="155"/>
      <c r="H148" s="155"/>
      <c r="I148" s="156"/>
      <c r="J148" s="156"/>
      <c r="K148" s="156"/>
      <c r="L148" s="156"/>
      <c r="M148" s="156"/>
      <c r="N148" s="156"/>
      <c r="O148" s="156"/>
      <c r="P148" s="156"/>
      <c r="Q148" s="155"/>
      <c r="R148" s="190"/>
      <c r="S148" s="191"/>
    </row>
    <row r="149" ht="29.25" hidden="1" customHeight="1">
      <c r="A149" s="155"/>
      <c r="B149" s="155"/>
      <c r="C149" s="155"/>
      <c r="D149" s="155"/>
      <c r="E149" s="155"/>
      <c r="F149" s="198"/>
      <c r="G149" s="155"/>
      <c r="H149" s="155"/>
      <c r="I149" s="156"/>
      <c r="J149" s="156"/>
      <c r="K149" s="156"/>
      <c r="L149" s="156"/>
      <c r="M149" s="156"/>
      <c r="N149" s="156"/>
      <c r="O149" s="156"/>
      <c r="P149" s="156"/>
      <c r="Q149" s="155"/>
      <c r="R149" s="190"/>
      <c r="S149" s="191"/>
    </row>
    <row r="150" ht="29.25" hidden="1" customHeight="1">
      <c r="A150" s="155"/>
      <c r="B150" s="155"/>
      <c r="C150" s="155"/>
      <c r="D150" s="155"/>
      <c r="E150" s="155"/>
      <c r="F150" s="198"/>
      <c r="G150" s="155"/>
      <c r="H150" s="155"/>
      <c r="I150" s="156"/>
      <c r="J150" s="156"/>
      <c r="K150" s="156"/>
      <c r="L150" s="156"/>
      <c r="M150" s="156"/>
      <c r="N150" s="156"/>
      <c r="O150" s="156"/>
      <c r="P150" s="156"/>
      <c r="Q150" s="155"/>
      <c r="R150" s="190"/>
      <c r="S150" s="191"/>
    </row>
    <row r="151" ht="29.25" hidden="1" customHeight="1">
      <c r="A151" s="155"/>
      <c r="B151" s="155"/>
      <c r="C151" s="155"/>
      <c r="D151" s="155"/>
      <c r="E151" s="155"/>
      <c r="F151" s="198"/>
      <c r="G151" s="155"/>
      <c r="H151" s="155"/>
      <c r="I151" s="156"/>
      <c r="J151" s="156"/>
      <c r="K151" s="156"/>
      <c r="L151" s="156"/>
      <c r="M151" s="156"/>
      <c r="N151" s="156"/>
      <c r="O151" s="156"/>
      <c r="P151" s="156"/>
      <c r="Q151" s="155"/>
      <c r="R151" s="190"/>
      <c r="S151" s="191"/>
    </row>
    <row r="152" ht="29.25" hidden="1" customHeight="1">
      <c r="A152" s="155"/>
      <c r="B152" s="155"/>
      <c r="C152" s="155"/>
      <c r="D152" s="155"/>
      <c r="E152" s="155"/>
      <c r="F152" s="198"/>
      <c r="G152" s="155"/>
      <c r="H152" s="155"/>
      <c r="I152" s="156"/>
      <c r="J152" s="156"/>
      <c r="K152" s="156"/>
      <c r="L152" s="156"/>
      <c r="M152" s="156"/>
      <c r="N152" s="156"/>
      <c r="O152" s="156"/>
      <c r="P152" s="156"/>
      <c r="Q152" s="155"/>
      <c r="R152" s="190"/>
      <c r="S152" s="191"/>
    </row>
    <row r="153" ht="29.25" hidden="1" customHeight="1">
      <c r="A153" s="155"/>
      <c r="B153" s="155"/>
      <c r="C153" s="155"/>
      <c r="D153" s="155"/>
      <c r="E153" s="155"/>
      <c r="F153" s="198"/>
      <c r="G153" s="155"/>
      <c r="H153" s="155"/>
      <c r="I153" s="156"/>
      <c r="J153" s="156"/>
      <c r="K153" s="156"/>
      <c r="L153" s="156"/>
      <c r="M153" s="156"/>
      <c r="N153" s="156"/>
      <c r="O153" s="156"/>
      <c r="P153" s="156"/>
      <c r="Q153" s="155"/>
      <c r="R153" s="190"/>
      <c r="S153" s="191"/>
    </row>
    <row r="154" ht="29.25" hidden="1" customHeight="1">
      <c r="A154" s="155"/>
      <c r="B154" s="155"/>
      <c r="C154" s="155"/>
      <c r="D154" s="155"/>
      <c r="E154" s="155"/>
      <c r="F154" s="198"/>
      <c r="G154" s="155"/>
      <c r="H154" s="155"/>
      <c r="I154" s="156"/>
      <c r="J154" s="156"/>
      <c r="K154" s="156"/>
      <c r="L154" s="156"/>
      <c r="M154" s="156"/>
      <c r="N154" s="156"/>
      <c r="O154" s="156"/>
      <c r="P154" s="156"/>
      <c r="Q154" s="155"/>
      <c r="R154" s="190"/>
      <c r="S154" s="191"/>
    </row>
    <row r="155" ht="29.25" hidden="1" customHeight="1">
      <c r="A155" s="155"/>
      <c r="B155" s="155"/>
      <c r="C155" s="155"/>
      <c r="D155" s="155"/>
      <c r="E155" s="155"/>
      <c r="F155" s="198"/>
      <c r="G155" s="155"/>
      <c r="H155" s="155"/>
      <c r="I155" s="156"/>
      <c r="J155" s="156"/>
      <c r="K155" s="156"/>
      <c r="L155" s="156"/>
      <c r="M155" s="156"/>
      <c r="N155" s="156"/>
      <c r="O155" s="156"/>
      <c r="P155" s="156"/>
      <c r="Q155" s="155"/>
      <c r="R155" s="190"/>
      <c r="S155" s="191"/>
    </row>
    <row r="156" ht="29.25" hidden="1" customHeight="1">
      <c r="A156" s="155"/>
      <c r="B156" s="155"/>
      <c r="C156" s="155"/>
      <c r="D156" s="155"/>
      <c r="E156" s="155"/>
      <c r="F156" s="198"/>
      <c r="G156" s="155"/>
      <c r="H156" s="155"/>
      <c r="I156" s="156"/>
      <c r="J156" s="156"/>
      <c r="K156" s="156"/>
      <c r="L156" s="156"/>
      <c r="M156" s="156"/>
      <c r="N156" s="156"/>
      <c r="O156" s="156"/>
      <c r="P156" s="156"/>
      <c r="Q156" s="155"/>
      <c r="R156" s="190"/>
      <c r="S156" s="191"/>
    </row>
    <row r="157" ht="29.25" hidden="1" customHeight="1">
      <c r="A157" s="155"/>
      <c r="B157" s="155"/>
      <c r="C157" s="155"/>
      <c r="D157" s="155"/>
      <c r="E157" s="155"/>
      <c r="F157" s="198"/>
      <c r="G157" s="155"/>
      <c r="H157" s="155"/>
      <c r="I157" s="156"/>
      <c r="J157" s="156"/>
      <c r="K157" s="156"/>
      <c r="L157" s="156"/>
      <c r="M157" s="156"/>
      <c r="N157" s="156"/>
      <c r="O157" s="156"/>
      <c r="P157" s="156"/>
      <c r="Q157" s="155"/>
      <c r="R157" s="190"/>
      <c r="S157" s="191"/>
    </row>
    <row r="158" ht="29.25" hidden="1" customHeight="1">
      <c r="A158" s="155"/>
      <c r="B158" s="155"/>
      <c r="C158" s="155"/>
      <c r="D158" s="155"/>
      <c r="E158" s="155"/>
      <c r="F158" s="198"/>
      <c r="G158" s="155"/>
      <c r="H158" s="155"/>
      <c r="I158" s="156"/>
      <c r="J158" s="156"/>
      <c r="K158" s="156"/>
      <c r="L158" s="156"/>
      <c r="M158" s="156"/>
      <c r="N158" s="156"/>
      <c r="O158" s="156"/>
      <c r="P158" s="156"/>
      <c r="Q158" s="155"/>
      <c r="R158" s="190"/>
      <c r="S158" s="191"/>
    </row>
    <row r="159" ht="29.25" hidden="1" customHeight="1">
      <c r="A159" s="155"/>
      <c r="B159" s="155"/>
      <c r="C159" s="155"/>
      <c r="D159" s="155"/>
      <c r="E159" s="155"/>
      <c r="F159" s="198"/>
      <c r="G159" s="155"/>
      <c r="H159" s="155"/>
      <c r="I159" s="156"/>
      <c r="J159" s="156"/>
      <c r="K159" s="156"/>
      <c r="L159" s="156"/>
      <c r="M159" s="156"/>
      <c r="N159" s="156"/>
      <c r="O159" s="156"/>
      <c r="P159" s="156"/>
      <c r="Q159" s="155"/>
      <c r="R159" s="190"/>
      <c r="S159" s="191"/>
    </row>
    <row r="160" ht="29.25" hidden="1" customHeight="1">
      <c r="A160" s="155"/>
      <c r="B160" s="155"/>
      <c r="C160" s="155"/>
      <c r="D160" s="155"/>
      <c r="E160" s="155"/>
      <c r="F160" s="198"/>
      <c r="G160" s="155"/>
      <c r="H160" s="155"/>
      <c r="I160" s="156"/>
      <c r="J160" s="156"/>
      <c r="K160" s="156"/>
      <c r="L160" s="156"/>
      <c r="M160" s="156"/>
      <c r="N160" s="156"/>
      <c r="O160" s="156"/>
      <c r="P160" s="156"/>
      <c r="Q160" s="155"/>
      <c r="R160" s="190"/>
      <c r="S160" s="191"/>
    </row>
    <row r="161" ht="29.25" hidden="1" customHeight="1">
      <c r="A161" s="155"/>
      <c r="B161" s="155"/>
      <c r="C161" s="155"/>
      <c r="D161" s="155"/>
      <c r="E161" s="155"/>
      <c r="F161" s="198"/>
      <c r="G161" s="155"/>
      <c r="H161" s="155"/>
      <c r="I161" s="156"/>
      <c r="J161" s="156"/>
      <c r="K161" s="156"/>
      <c r="L161" s="156"/>
      <c r="M161" s="156"/>
      <c r="N161" s="156"/>
      <c r="O161" s="156"/>
      <c r="P161" s="156"/>
      <c r="Q161" s="155"/>
      <c r="R161" s="190"/>
      <c r="S161" s="191"/>
    </row>
    <row r="162" ht="29.25" hidden="1" customHeight="1">
      <c r="A162" s="155"/>
      <c r="B162" s="155"/>
      <c r="C162" s="155"/>
      <c r="D162" s="155"/>
      <c r="E162" s="155"/>
      <c r="F162" s="198"/>
      <c r="G162" s="155"/>
      <c r="H162" s="155"/>
      <c r="I162" s="156"/>
      <c r="J162" s="156"/>
      <c r="K162" s="156"/>
      <c r="L162" s="156"/>
      <c r="M162" s="156"/>
      <c r="N162" s="156"/>
      <c r="O162" s="156"/>
      <c r="P162" s="156"/>
      <c r="Q162" s="155"/>
      <c r="R162" s="190"/>
      <c r="S162" s="191"/>
    </row>
    <row r="163" ht="29.25" hidden="1" customHeight="1">
      <c r="A163" s="155"/>
      <c r="B163" s="155"/>
      <c r="C163" s="155"/>
      <c r="D163" s="155"/>
      <c r="E163" s="155"/>
      <c r="F163" s="198"/>
      <c r="G163" s="155"/>
      <c r="H163" s="155"/>
      <c r="I163" s="156"/>
      <c r="J163" s="156"/>
      <c r="K163" s="156"/>
      <c r="L163" s="156"/>
      <c r="M163" s="156"/>
      <c r="N163" s="156"/>
      <c r="O163" s="156"/>
      <c r="P163" s="156"/>
      <c r="Q163" s="155"/>
      <c r="R163" s="190"/>
      <c r="S163" s="191"/>
    </row>
    <row r="164" ht="29.25" hidden="1" customHeight="1">
      <c r="A164" s="155"/>
      <c r="B164" s="155"/>
      <c r="C164" s="155"/>
      <c r="D164" s="155"/>
      <c r="E164" s="155"/>
      <c r="F164" s="198"/>
      <c r="G164" s="155"/>
      <c r="H164" s="155"/>
      <c r="I164" s="156"/>
      <c r="J164" s="156"/>
      <c r="K164" s="156"/>
      <c r="L164" s="156"/>
      <c r="M164" s="156"/>
      <c r="N164" s="156"/>
      <c r="O164" s="156"/>
      <c r="P164" s="156"/>
      <c r="Q164" s="155"/>
      <c r="R164" s="190"/>
      <c r="S164" s="191"/>
    </row>
    <row r="165" ht="29.25" hidden="1" customHeight="1">
      <c r="A165" s="155"/>
      <c r="B165" s="155"/>
      <c r="C165" s="155"/>
      <c r="D165" s="155"/>
      <c r="E165" s="155"/>
      <c r="F165" s="198"/>
      <c r="G165" s="155"/>
      <c r="H165" s="155"/>
      <c r="I165" s="156"/>
      <c r="J165" s="156"/>
      <c r="K165" s="156"/>
      <c r="L165" s="156"/>
      <c r="M165" s="156"/>
      <c r="N165" s="156"/>
      <c r="O165" s="156"/>
      <c r="P165" s="156"/>
      <c r="Q165" s="155"/>
      <c r="R165" s="190"/>
      <c r="S165" s="191"/>
    </row>
    <row r="166" ht="29.25" hidden="1" customHeight="1">
      <c r="A166" s="155"/>
      <c r="B166" s="155"/>
      <c r="C166" s="155"/>
      <c r="D166" s="155"/>
      <c r="E166" s="155"/>
      <c r="F166" s="198"/>
      <c r="G166" s="155"/>
      <c r="H166" s="155"/>
      <c r="I166" s="156"/>
      <c r="J166" s="156"/>
      <c r="K166" s="156"/>
      <c r="L166" s="156"/>
      <c r="M166" s="156"/>
      <c r="N166" s="156"/>
      <c r="O166" s="156"/>
      <c r="P166" s="156"/>
      <c r="Q166" s="155"/>
      <c r="R166" s="190"/>
      <c r="S166" s="191"/>
    </row>
    <row r="167" ht="29.25" hidden="1" customHeight="1">
      <c r="A167" s="155"/>
      <c r="B167" s="155"/>
      <c r="C167" s="155"/>
      <c r="D167" s="155"/>
      <c r="E167" s="155"/>
      <c r="F167" s="198"/>
      <c r="G167" s="155"/>
      <c r="H167" s="155"/>
      <c r="I167" s="156"/>
      <c r="J167" s="156"/>
      <c r="K167" s="156"/>
      <c r="L167" s="156"/>
      <c r="M167" s="156"/>
      <c r="N167" s="156"/>
      <c r="O167" s="156"/>
      <c r="P167" s="156"/>
      <c r="Q167" s="155"/>
      <c r="R167" s="190"/>
      <c r="S167" s="191"/>
    </row>
    <row r="168" ht="29.25" hidden="1" customHeight="1">
      <c r="A168" s="155"/>
      <c r="B168" s="155"/>
      <c r="C168" s="155"/>
      <c r="D168" s="155"/>
      <c r="E168" s="155"/>
      <c r="F168" s="198"/>
      <c r="G168" s="155"/>
      <c r="H168" s="155"/>
      <c r="I168" s="156"/>
      <c r="J168" s="156"/>
      <c r="K168" s="156"/>
      <c r="L168" s="156"/>
      <c r="M168" s="156"/>
      <c r="N168" s="156"/>
      <c r="O168" s="156"/>
      <c r="P168" s="156"/>
      <c r="Q168" s="155"/>
      <c r="R168" s="190"/>
      <c r="S168" s="191"/>
    </row>
    <row r="169" ht="29.25" hidden="1" customHeight="1">
      <c r="A169" s="155"/>
      <c r="B169" s="155"/>
      <c r="C169" s="155"/>
      <c r="D169" s="155"/>
      <c r="E169" s="155"/>
      <c r="F169" s="198"/>
      <c r="G169" s="155"/>
      <c r="H169" s="155"/>
      <c r="I169" s="156"/>
      <c r="J169" s="156"/>
      <c r="K169" s="156"/>
      <c r="L169" s="156"/>
      <c r="M169" s="156"/>
      <c r="N169" s="156"/>
      <c r="O169" s="156"/>
      <c r="P169" s="156"/>
      <c r="Q169" s="155"/>
      <c r="R169" s="190"/>
      <c r="S169" s="191"/>
    </row>
    <row r="170" ht="29.25" hidden="1" customHeight="1">
      <c r="A170" s="155"/>
      <c r="B170" s="155"/>
      <c r="C170" s="155"/>
      <c r="D170" s="155"/>
      <c r="E170" s="155"/>
      <c r="F170" s="198"/>
      <c r="G170" s="155"/>
      <c r="H170" s="155"/>
      <c r="I170" s="156"/>
      <c r="J170" s="156"/>
      <c r="K170" s="156"/>
      <c r="L170" s="156"/>
      <c r="M170" s="156"/>
      <c r="N170" s="156"/>
      <c r="O170" s="156"/>
      <c r="P170" s="156"/>
      <c r="Q170" s="155"/>
      <c r="R170" s="190"/>
      <c r="S170" s="191"/>
    </row>
    <row r="171" ht="29.25" hidden="1" customHeight="1">
      <c r="A171" s="155"/>
      <c r="B171" s="155"/>
      <c r="C171" s="155"/>
      <c r="D171" s="155"/>
      <c r="E171" s="155"/>
      <c r="F171" s="198"/>
      <c r="G171" s="155"/>
      <c r="H171" s="155"/>
      <c r="I171" s="156"/>
      <c r="J171" s="156"/>
      <c r="K171" s="156"/>
      <c r="L171" s="156"/>
      <c r="M171" s="156"/>
      <c r="N171" s="156"/>
      <c r="O171" s="156"/>
      <c r="P171" s="156"/>
      <c r="Q171" s="155"/>
      <c r="R171" s="190"/>
      <c r="S171" s="191"/>
    </row>
    <row r="172" ht="29.25" hidden="1" customHeight="1">
      <c r="A172" s="155"/>
      <c r="B172" s="155"/>
      <c r="C172" s="155"/>
      <c r="D172" s="155"/>
      <c r="E172" s="155"/>
      <c r="F172" s="198"/>
      <c r="G172" s="155"/>
      <c r="H172" s="155"/>
      <c r="I172" s="156"/>
      <c r="J172" s="156"/>
      <c r="K172" s="156"/>
      <c r="L172" s="156"/>
      <c r="M172" s="156"/>
      <c r="N172" s="156"/>
      <c r="O172" s="156"/>
      <c r="P172" s="156"/>
      <c r="Q172" s="155"/>
      <c r="R172" s="190"/>
      <c r="S172" s="191"/>
    </row>
    <row r="173" ht="29.25" hidden="1" customHeight="1">
      <c r="A173" s="155"/>
      <c r="B173" s="155"/>
      <c r="C173" s="155"/>
      <c r="D173" s="155"/>
      <c r="E173" s="155"/>
      <c r="F173" s="198"/>
      <c r="G173" s="155"/>
      <c r="H173" s="155"/>
      <c r="I173" s="156"/>
      <c r="J173" s="156"/>
      <c r="K173" s="156"/>
      <c r="L173" s="156"/>
      <c r="M173" s="156"/>
      <c r="N173" s="156"/>
      <c r="O173" s="156"/>
      <c r="P173" s="156"/>
      <c r="Q173" s="155"/>
      <c r="R173" s="190"/>
      <c r="S173" s="191"/>
    </row>
    <row r="174" ht="29.25" hidden="1" customHeight="1">
      <c r="A174" s="155"/>
      <c r="B174" s="155"/>
      <c r="C174" s="155"/>
      <c r="D174" s="155"/>
      <c r="E174" s="155"/>
      <c r="F174" s="198"/>
      <c r="G174" s="155"/>
      <c r="H174" s="155"/>
      <c r="I174" s="156"/>
      <c r="J174" s="156"/>
      <c r="K174" s="156"/>
      <c r="L174" s="156"/>
      <c r="M174" s="156"/>
      <c r="N174" s="156"/>
      <c r="O174" s="156"/>
      <c r="P174" s="156"/>
      <c r="Q174" s="155"/>
      <c r="R174" s="190"/>
      <c r="S174" s="191"/>
    </row>
    <row r="175" ht="29.25" hidden="1" customHeight="1">
      <c r="A175" s="155"/>
      <c r="B175" s="155"/>
      <c r="C175" s="155"/>
      <c r="D175" s="155"/>
      <c r="E175" s="155"/>
      <c r="F175" s="198"/>
      <c r="G175" s="155"/>
      <c r="H175" s="155"/>
      <c r="I175" s="156"/>
      <c r="J175" s="156"/>
      <c r="K175" s="156"/>
      <c r="L175" s="156"/>
      <c r="M175" s="156"/>
      <c r="N175" s="156"/>
      <c r="O175" s="156"/>
      <c r="P175" s="156"/>
      <c r="Q175" s="155"/>
      <c r="R175" s="190"/>
      <c r="S175" s="191"/>
    </row>
    <row r="176" ht="29.25" hidden="1" customHeight="1">
      <c r="A176" s="155"/>
      <c r="B176" s="155"/>
      <c r="C176" s="155"/>
      <c r="D176" s="155"/>
      <c r="E176" s="155"/>
      <c r="F176" s="198"/>
      <c r="G176" s="155"/>
      <c r="H176" s="155"/>
      <c r="I176" s="156"/>
      <c r="J176" s="156"/>
      <c r="K176" s="156"/>
      <c r="L176" s="156"/>
      <c r="M176" s="156"/>
      <c r="N176" s="156"/>
      <c r="O176" s="156"/>
      <c r="P176" s="156"/>
      <c r="Q176" s="155"/>
      <c r="R176" s="190"/>
      <c r="S176" s="191"/>
    </row>
    <row r="177" ht="29.25" hidden="1" customHeight="1">
      <c r="A177" s="155"/>
      <c r="B177" s="155"/>
      <c r="C177" s="155"/>
      <c r="D177" s="155"/>
      <c r="E177" s="155"/>
      <c r="F177" s="198"/>
      <c r="G177" s="155"/>
      <c r="H177" s="155"/>
      <c r="I177" s="156"/>
      <c r="J177" s="156"/>
      <c r="K177" s="156"/>
      <c r="L177" s="156"/>
      <c r="M177" s="156"/>
      <c r="N177" s="156"/>
      <c r="O177" s="156"/>
      <c r="P177" s="156"/>
      <c r="Q177" s="155"/>
      <c r="R177" s="190"/>
      <c r="S177" s="191"/>
    </row>
    <row r="178" ht="29.25" hidden="1" customHeight="1">
      <c r="A178" s="155"/>
      <c r="B178" s="155"/>
      <c r="C178" s="155"/>
      <c r="D178" s="155"/>
      <c r="E178" s="155"/>
      <c r="F178" s="198"/>
      <c r="G178" s="155"/>
      <c r="H178" s="155"/>
      <c r="I178" s="156"/>
      <c r="J178" s="156"/>
      <c r="K178" s="156"/>
      <c r="L178" s="156"/>
      <c r="M178" s="156"/>
      <c r="N178" s="156"/>
      <c r="O178" s="156"/>
      <c r="P178" s="156"/>
      <c r="Q178" s="155"/>
      <c r="R178" s="190"/>
      <c r="S178" s="191"/>
    </row>
    <row r="179" ht="29.25" hidden="1" customHeight="1">
      <c r="A179" s="155"/>
      <c r="B179" s="155"/>
      <c r="C179" s="155"/>
      <c r="D179" s="155"/>
      <c r="E179" s="155"/>
      <c r="F179" s="198"/>
      <c r="G179" s="155"/>
      <c r="H179" s="155"/>
      <c r="I179" s="156"/>
      <c r="J179" s="156"/>
      <c r="K179" s="156"/>
      <c r="L179" s="156"/>
      <c r="M179" s="156"/>
      <c r="N179" s="156"/>
      <c r="O179" s="156"/>
      <c r="P179" s="156"/>
      <c r="Q179" s="155"/>
      <c r="R179" s="190"/>
      <c r="S179" s="191"/>
    </row>
    <row r="180" ht="29.25" hidden="1" customHeight="1">
      <c r="A180" s="155"/>
      <c r="B180" s="155"/>
      <c r="C180" s="155"/>
      <c r="D180" s="155"/>
      <c r="E180" s="155"/>
      <c r="F180" s="198"/>
      <c r="G180" s="155"/>
      <c r="H180" s="155"/>
      <c r="I180" s="156"/>
      <c r="J180" s="156"/>
      <c r="K180" s="156"/>
      <c r="L180" s="156"/>
      <c r="M180" s="156"/>
      <c r="N180" s="156"/>
      <c r="O180" s="156"/>
      <c r="P180" s="156"/>
      <c r="Q180" s="155"/>
      <c r="R180" s="190"/>
      <c r="S180" s="191"/>
    </row>
    <row r="181" ht="29.25" hidden="1" customHeight="1">
      <c r="A181" s="155"/>
      <c r="B181" s="155"/>
      <c r="C181" s="155"/>
      <c r="D181" s="155"/>
      <c r="E181" s="155"/>
      <c r="F181" s="198"/>
      <c r="G181" s="155"/>
      <c r="H181" s="155"/>
      <c r="I181" s="156"/>
      <c r="J181" s="156"/>
      <c r="K181" s="156"/>
      <c r="L181" s="156"/>
      <c r="M181" s="156"/>
      <c r="N181" s="156"/>
      <c r="O181" s="156"/>
      <c r="P181" s="156"/>
      <c r="Q181" s="155"/>
      <c r="R181" s="190"/>
      <c r="S181" s="191"/>
    </row>
    <row r="182" ht="29.25" hidden="1" customHeight="1">
      <c r="A182" s="155"/>
      <c r="B182" s="155"/>
      <c r="C182" s="155"/>
      <c r="D182" s="155"/>
      <c r="E182" s="155"/>
      <c r="F182" s="198"/>
      <c r="G182" s="155"/>
      <c r="H182" s="155"/>
      <c r="I182" s="156"/>
      <c r="J182" s="156"/>
      <c r="K182" s="156"/>
      <c r="L182" s="156"/>
      <c r="M182" s="156"/>
      <c r="N182" s="156"/>
      <c r="O182" s="156"/>
      <c r="P182" s="156"/>
      <c r="Q182" s="155"/>
      <c r="R182" s="190"/>
      <c r="S182" s="191"/>
    </row>
    <row r="183" ht="29.25" hidden="1" customHeight="1">
      <c r="A183" s="155"/>
      <c r="B183" s="155"/>
      <c r="C183" s="155"/>
      <c r="D183" s="155"/>
      <c r="E183" s="155"/>
      <c r="F183" s="198"/>
      <c r="G183" s="155"/>
      <c r="H183" s="155"/>
      <c r="I183" s="156"/>
      <c r="J183" s="156"/>
      <c r="K183" s="156"/>
      <c r="L183" s="156"/>
      <c r="M183" s="156"/>
      <c r="N183" s="156"/>
      <c r="O183" s="156"/>
      <c r="P183" s="156"/>
      <c r="Q183" s="155"/>
      <c r="R183" s="190"/>
      <c r="S183" s="191"/>
    </row>
    <row r="184" ht="29.25" hidden="1" customHeight="1">
      <c r="A184" s="155"/>
      <c r="B184" s="155"/>
      <c r="C184" s="155"/>
      <c r="D184" s="155"/>
      <c r="E184" s="155"/>
      <c r="F184" s="198"/>
      <c r="G184" s="155"/>
      <c r="H184" s="155"/>
      <c r="I184" s="156"/>
      <c r="J184" s="156"/>
      <c r="K184" s="156"/>
      <c r="L184" s="156"/>
      <c r="M184" s="156"/>
      <c r="N184" s="156"/>
      <c r="O184" s="156"/>
      <c r="P184" s="156"/>
      <c r="Q184" s="155"/>
      <c r="R184" s="190"/>
      <c r="S184" s="191"/>
    </row>
    <row r="185" ht="29.25" hidden="1" customHeight="1">
      <c r="A185" s="155"/>
      <c r="B185" s="155"/>
      <c r="C185" s="155"/>
      <c r="D185" s="155"/>
      <c r="E185" s="155"/>
      <c r="F185" s="198"/>
      <c r="G185" s="155"/>
      <c r="H185" s="155"/>
      <c r="I185" s="156"/>
      <c r="J185" s="156"/>
      <c r="K185" s="156"/>
      <c r="L185" s="156"/>
      <c r="M185" s="156"/>
      <c r="N185" s="156"/>
      <c r="O185" s="156"/>
      <c r="P185" s="156"/>
      <c r="Q185" s="155"/>
      <c r="R185" s="190"/>
      <c r="S185" s="191"/>
    </row>
    <row r="186" ht="29.25" hidden="1" customHeight="1">
      <c r="A186" s="155"/>
      <c r="B186" s="155"/>
      <c r="C186" s="155"/>
      <c r="D186" s="155"/>
      <c r="E186" s="155"/>
      <c r="F186" s="198"/>
      <c r="G186" s="155"/>
      <c r="H186" s="155"/>
      <c r="I186" s="156"/>
      <c r="J186" s="156"/>
      <c r="K186" s="156"/>
      <c r="L186" s="156"/>
      <c r="M186" s="156"/>
      <c r="N186" s="156"/>
      <c r="O186" s="156"/>
      <c r="P186" s="156"/>
      <c r="Q186" s="155"/>
      <c r="R186" s="190"/>
      <c r="S186" s="191"/>
    </row>
    <row r="187" ht="29.25" hidden="1" customHeight="1">
      <c r="A187" s="155"/>
      <c r="B187" s="155"/>
      <c r="C187" s="155"/>
      <c r="D187" s="155"/>
      <c r="E187" s="155"/>
      <c r="F187" s="198"/>
      <c r="G187" s="155"/>
      <c r="H187" s="155"/>
      <c r="I187" s="156"/>
      <c r="J187" s="156"/>
      <c r="K187" s="156"/>
      <c r="L187" s="156"/>
      <c r="M187" s="156"/>
      <c r="N187" s="156"/>
      <c r="O187" s="156"/>
      <c r="P187" s="156"/>
      <c r="Q187" s="155"/>
      <c r="R187" s="190"/>
      <c r="S187" s="191"/>
    </row>
    <row r="188" ht="29.25" hidden="1" customHeight="1">
      <c r="A188" s="155"/>
      <c r="B188" s="155"/>
      <c r="C188" s="155"/>
      <c r="D188" s="155"/>
      <c r="E188" s="155"/>
      <c r="F188" s="198"/>
      <c r="G188" s="155"/>
      <c r="H188" s="155"/>
      <c r="I188" s="156"/>
      <c r="J188" s="156"/>
      <c r="K188" s="156"/>
      <c r="L188" s="156"/>
      <c r="M188" s="156"/>
      <c r="N188" s="156"/>
      <c r="O188" s="156"/>
      <c r="P188" s="156"/>
      <c r="Q188" s="155"/>
      <c r="R188" s="190"/>
      <c r="S188" s="191"/>
    </row>
    <row r="189" ht="29.25" hidden="1" customHeight="1">
      <c r="A189" s="155"/>
      <c r="B189" s="155"/>
      <c r="C189" s="155"/>
      <c r="D189" s="155"/>
      <c r="E189" s="155"/>
      <c r="F189" s="198"/>
      <c r="G189" s="155"/>
      <c r="H189" s="155"/>
      <c r="I189" s="156"/>
      <c r="J189" s="156"/>
      <c r="K189" s="156"/>
      <c r="L189" s="156"/>
      <c r="M189" s="156"/>
      <c r="N189" s="156"/>
      <c r="O189" s="156"/>
      <c r="P189" s="156"/>
      <c r="Q189" s="155"/>
      <c r="R189" s="190"/>
      <c r="S189" s="191"/>
    </row>
    <row r="190" ht="29.25" hidden="1" customHeight="1">
      <c r="A190" s="155"/>
      <c r="B190" s="155"/>
      <c r="C190" s="155"/>
      <c r="D190" s="155"/>
      <c r="E190" s="155"/>
      <c r="F190" s="198"/>
      <c r="G190" s="155"/>
      <c r="H190" s="155"/>
      <c r="I190" s="156"/>
      <c r="J190" s="156"/>
      <c r="K190" s="156"/>
      <c r="L190" s="156"/>
      <c r="M190" s="156"/>
      <c r="N190" s="156"/>
      <c r="O190" s="156"/>
      <c r="P190" s="156"/>
      <c r="Q190" s="155"/>
      <c r="R190" s="190"/>
      <c r="S190" s="191"/>
    </row>
    <row r="191" ht="29.25" hidden="1" customHeight="1">
      <c r="A191" s="155"/>
      <c r="B191" s="155"/>
      <c r="C191" s="155"/>
      <c r="D191" s="155"/>
      <c r="E191" s="155"/>
      <c r="F191" s="198"/>
      <c r="G191" s="155"/>
      <c r="H191" s="155"/>
      <c r="I191" s="156"/>
      <c r="J191" s="156"/>
      <c r="K191" s="156"/>
      <c r="L191" s="156"/>
      <c r="M191" s="156"/>
      <c r="N191" s="156"/>
      <c r="O191" s="156"/>
      <c r="P191" s="156"/>
      <c r="Q191" s="155"/>
      <c r="R191" s="190"/>
      <c r="S191" s="191"/>
    </row>
    <row r="192" ht="29.25" hidden="1" customHeight="1">
      <c r="A192" s="155"/>
      <c r="B192" s="155"/>
      <c r="C192" s="155"/>
      <c r="D192" s="155"/>
      <c r="E192" s="155"/>
      <c r="F192" s="198"/>
      <c r="G192" s="155"/>
      <c r="H192" s="155"/>
      <c r="I192" s="156"/>
      <c r="J192" s="156"/>
      <c r="K192" s="156"/>
      <c r="L192" s="156"/>
      <c r="M192" s="156"/>
      <c r="N192" s="156"/>
      <c r="O192" s="156"/>
      <c r="P192" s="156"/>
      <c r="Q192" s="155"/>
      <c r="R192" s="190"/>
      <c r="S192" s="191"/>
    </row>
    <row r="193" ht="29.25" hidden="1" customHeight="1">
      <c r="A193" s="155"/>
      <c r="B193" s="155"/>
      <c r="C193" s="155"/>
      <c r="D193" s="155"/>
      <c r="E193" s="155"/>
      <c r="F193" s="198"/>
      <c r="G193" s="155"/>
      <c r="H193" s="155"/>
      <c r="I193" s="156"/>
      <c r="J193" s="156"/>
      <c r="K193" s="156"/>
      <c r="L193" s="156"/>
      <c r="M193" s="156"/>
      <c r="N193" s="156"/>
      <c r="O193" s="156"/>
      <c r="P193" s="156"/>
      <c r="Q193" s="155"/>
      <c r="R193" s="190"/>
      <c r="S193" s="191"/>
    </row>
    <row r="194" ht="29.25" hidden="1" customHeight="1">
      <c r="A194" s="155"/>
      <c r="B194" s="155"/>
      <c r="C194" s="155"/>
      <c r="D194" s="155"/>
      <c r="E194" s="155"/>
      <c r="F194" s="198"/>
      <c r="G194" s="155"/>
      <c r="H194" s="155"/>
      <c r="I194" s="156"/>
      <c r="J194" s="156"/>
      <c r="K194" s="156"/>
      <c r="L194" s="156"/>
      <c r="M194" s="156"/>
      <c r="N194" s="156"/>
      <c r="O194" s="156"/>
      <c r="P194" s="156"/>
      <c r="Q194" s="155"/>
      <c r="R194" s="190"/>
      <c r="S194" s="191"/>
    </row>
    <row r="195" ht="29.25" hidden="1" customHeight="1">
      <c r="A195" s="155"/>
      <c r="B195" s="155"/>
      <c r="C195" s="155"/>
      <c r="D195" s="155"/>
      <c r="E195" s="155"/>
      <c r="F195" s="198"/>
      <c r="G195" s="155"/>
      <c r="H195" s="155"/>
      <c r="I195" s="156"/>
      <c r="J195" s="156"/>
      <c r="K195" s="156"/>
      <c r="L195" s="156"/>
      <c r="M195" s="156"/>
      <c r="N195" s="156"/>
      <c r="O195" s="156"/>
      <c r="P195" s="156"/>
      <c r="Q195" s="155"/>
      <c r="R195" s="190"/>
      <c r="S195" s="191"/>
    </row>
    <row r="196" ht="29.25" hidden="1" customHeight="1">
      <c r="A196" s="155"/>
      <c r="B196" s="155"/>
      <c r="C196" s="155"/>
      <c r="D196" s="155"/>
      <c r="E196" s="155"/>
      <c r="F196" s="198"/>
      <c r="G196" s="155"/>
      <c r="H196" s="155"/>
      <c r="I196" s="156"/>
      <c r="J196" s="156"/>
      <c r="K196" s="156"/>
      <c r="L196" s="156"/>
      <c r="M196" s="156"/>
      <c r="N196" s="156"/>
      <c r="O196" s="156"/>
      <c r="P196" s="156"/>
      <c r="Q196" s="155"/>
      <c r="R196" s="190"/>
      <c r="S196" s="191"/>
    </row>
    <row r="197" ht="29.25" hidden="1" customHeight="1">
      <c r="A197" s="155"/>
      <c r="B197" s="155"/>
      <c r="C197" s="155"/>
      <c r="D197" s="155"/>
      <c r="E197" s="155"/>
      <c r="F197" s="198"/>
      <c r="G197" s="155"/>
      <c r="H197" s="155"/>
      <c r="I197" s="156"/>
      <c r="J197" s="156"/>
      <c r="K197" s="156"/>
      <c r="L197" s="156"/>
      <c r="M197" s="156"/>
      <c r="N197" s="156"/>
      <c r="O197" s="156"/>
      <c r="P197" s="156"/>
      <c r="Q197" s="155"/>
      <c r="R197" s="190"/>
      <c r="S197" s="191"/>
    </row>
    <row r="198" ht="29.25" hidden="1" customHeight="1">
      <c r="A198" s="155"/>
      <c r="B198" s="155"/>
      <c r="C198" s="155"/>
      <c r="D198" s="155"/>
      <c r="E198" s="155"/>
      <c r="F198" s="198"/>
      <c r="G198" s="155"/>
      <c r="H198" s="155"/>
      <c r="I198" s="156"/>
      <c r="J198" s="156"/>
      <c r="K198" s="156"/>
      <c r="L198" s="156"/>
      <c r="M198" s="156"/>
      <c r="N198" s="156"/>
      <c r="O198" s="156"/>
      <c r="P198" s="156"/>
      <c r="Q198" s="155"/>
      <c r="R198" s="190"/>
      <c r="S198" s="191"/>
    </row>
    <row r="199" ht="29.25" hidden="1" customHeight="1">
      <c r="A199" s="155"/>
      <c r="B199" s="155"/>
      <c r="C199" s="155"/>
      <c r="D199" s="155"/>
      <c r="E199" s="155"/>
      <c r="F199" s="198"/>
      <c r="G199" s="155"/>
      <c r="H199" s="155"/>
      <c r="I199" s="156"/>
      <c r="J199" s="156"/>
      <c r="K199" s="156"/>
      <c r="L199" s="156"/>
      <c r="M199" s="156"/>
      <c r="N199" s="156"/>
      <c r="O199" s="156"/>
      <c r="P199" s="156"/>
      <c r="Q199" s="155"/>
      <c r="R199" s="190"/>
      <c r="S199" s="191"/>
    </row>
    <row r="200" ht="29.25" hidden="1" customHeight="1">
      <c r="A200" s="155"/>
      <c r="B200" s="155"/>
      <c r="C200" s="155"/>
      <c r="D200" s="155"/>
      <c r="E200" s="155"/>
      <c r="F200" s="198"/>
      <c r="G200" s="155"/>
      <c r="H200" s="155"/>
      <c r="I200" s="156"/>
      <c r="J200" s="156"/>
      <c r="K200" s="156"/>
      <c r="L200" s="156"/>
      <c r="M200" s="156"/>
      <c r="N200" s="156"/>
      <c r="O200" s="156"/>
      <c r="P200" s="156"/>
      <c r="Q200" s="155"/>
      <c r="R200" s="190"/>
      <c r="S200" s="191"/>
    </row>
    <row r="201" ht="29.25" hidden="1" customHeight="1">
      <c r="A201" s="155"/>
      <c r="B201" s="155"/>
      <c r="C201" s="155"/>
      <c r="D201" s="155"/>
      <c r="E201" s="155"/>
      <c r="F201" s="198"/>
      <c r="G201" s="155"/>
      <c r="H201" s="155"/>
      <c r="I201" s="156"/>
      <c r="J201" s="156"/>
      <c r="K201" s="156"/>
      <c r="L201" s="156"/>
      <c r="M201" s="156"/>
      <c r="N201" s="156"/>
      <c r="O201" s="156"/>
      <c r="P201" s="156"/>
      <c r="Q201" s="155"/>
      <c r="R201" s="190"/>
      <c r="S201" s="191"/>
    </row>
    <row r="202" ht="29.25" hidden="1" customHeight="1">
      <c r="A202" s="155"/>
      <c r="B202" s="155"/>
      <c r="C202" s="155"/>
      <c r="D202" s="155"/>
      <c r="E202" s="155"/>
      <c r="F202" s="198"/>
      <c r="G202" s="155"/>
      <c r="H202" s="155"/>
      <c r="I202" s="156"/>
      <c r="J202" s="156"/>
      <c r="K202" s="156"/>
      <c r="L202" s="156"/>
      <c r="M202" s="156"/>
      <c r="N202" s="156"/>
      <c r="O202" s="156"/>
      <c r="P202" s="156"/>
      <c r="Q202" s="155"/>
      <c r="R202" s="190"/>
      <c r="S202" s="191"/>
    </row>
    <row r="203" ht="29.25" hidden="1" customHeight="1">
      <c r="A203" s="155"/>
      <c r="B203" s="155"/>
      <c r="C203" s="155"/>
      <c r="D203" s="155"/>
      <c r="E203" s="155"/>
      <c r="F203" s="198"/>
      <c r="G203" s="155"/>
      <c r="H203" s="155"/>
      <c r="I203" s="156"/>
      <c r="J203" s="156"/>
      <c r="K203" s="156"/>
      <c r="L203" s="156"/>
      <c r="M203" s="156"/>
      <c r="N203" s="156"/>
      <c r="O203" s="156"/>
      <c r="P203" s="156"/>
      <c r="Q203" s="155"/>
      <c r="R203" s="190"/>
      <c r="S203" s="191"/>
    </row>
    <row r="204" ht="29.25" hidden="1" customHeight="1">
      <c r="A204" s="155"/>
      <c r="B204" s="155"/>
      <c r="C204" s="155"/>
      <c r="D204" s="155"/>
      <c r="E204" s="155"/>
      <c r="F204" s="198"/>
      <c r="G204" s="155"/>
      <c r="H204" s="155"/>
      <c r="I204" s="156"/>
      <c r="J204" s="156"/>
      <c r="K204" s="156"/>
      <c r="L204" s="156"/>
      <c r="M204" s="156"/>
      <c r="N204" s="156"/>
      <c r="O204" s="156"/>
      <c r="P204" s="156"/>
      <c r="Q204" s="155"/>
      <c r="R204" s="190"/>
      <c r="S204" s="191"/>
    </row>
    <row r="205" ht="29.25" hidden="1" customHeight="1">
      <c r="A205" s="155"/>
      <c r="B205" s="155"/>
      <c r="C205" s="155"/>
      <c r="D205" s="155"/>
      <c r="E205" s="155"/>
      <c r="F205" s="198"/>
      <c r="G205" s="155"/>
      <c r="H205" s="155"/>
      <c r="I205" s="156"/>
      <c r="J205" s="156"/>
      <c r="K205" s="156"/>
      <c r="L205" s="156"/>
      <c r="M205" s="156"/>
      <c r="N205" s="156"/>
      <c r="O205" s="156"/>
      <c r="P205" s="156"/>
      <c r="Q205" s="155"/>
      <c r="R205" s="190"/>
      <c r="S205" s="191"/>
    </row>
    <row r="206" ht="29.25" hidden="1" customHeight="1">
      <c r="A206" s="155"/>
      <c r="B206" s="155"/>
      <c r="C206" s="155"/>
      <c r="D206" s="155"/>
      <c r="E206" s="155"/>
      <c r="F206" s="198"/>
      <c r="G206" s="155"/>
      <c r="H206" s="155"/>
      <c r="I206" s="156"/>
      <c r="J206" s="156"/>
      <c r="K206" s="156"/>
      <c r="L206" s="156"/>
      <c r="M206" s="156"/>
      <c r="N206" s="156"/>
      <c r="O206" s="156"/>
      <c r="P206" s="156"/>
      <c r="Q206" s="155"/>
      <c r="R206" s="190"/>
      <c r="S206" s="191"/>
    </row>
    <row r="207" ht="29.25" hidden="1" customHeight="1">
      <c r="A207" s="155"/>
      <c r="B207" s="155"/>
      <c r="C207" s="155"/>
      <c r="D207" s="155"/>
      <c r="E207" s="155"/>
      <c r="F207" s="198"/>
      <c r="G207" s="155"/>
      <c r="H207" s="155"/>
      <c r="I207" s="156"/>
      <c r="J207" s="156"/>
      <c r="K207" s="156"/>
      <c r="L207" s="156"/>
      <c r="M207" s="156"/>
      <c r="N207" s="156"/>
      <c r="O207" s="156"/>
      <c r="P207" s="156"/>
      <c r="Q207" s="155"/>
      <c r="R207" s="190"/>
      <c r="S207" s="191"/>
    </row>
    <row r="208" ht="29.25" hidden="1" customHeight="1">
      <c r="A208" s="155"/>
      <c r="B208" s="155"/>
      <c r="C208" s="155"/>
      <c r="D208" s="155"/>
      <c r="E208" s="155"/>
      <c r="F208" s="198"/>
      <c r="G208" s="155"/>
      <c r="H208" s="155"/>
      <c r="I208" s="156"/>
      <c r="J208" s="156"/>
      <c r="K208" s="156"/>
      <c r="L208" s="156"/>
      <c r="M208" s="156"/>
      <c r="N208" s="156"/>
      <c r="O208" s="156"/>
      <c r="P208" s="156"/>
      <c r="Q208" s="155"/>
      <c r="R208" s="190"/>
      <c r="S208" s="191"/>
    </row>
    <row r="209" ht="29.25" hidden="1" customHeight="1">
      <c r="A209" s="155"/>
      <c r="B209" s="155"/>
      <c r="C209" s="155"/>
      <c r="D209" s="155"/>
      <c r="E209" s="155"/>
      <c r="F209" s="198"/>
      <c r="G209" s="155"/>
      <c r="H209" s="155"/>
      <c r="I209" s="156"/>
      <c r="J209" s="156"/>
      <c r="K209" s="156"/>
      <c r="L209" s="156"/>
      <c r="M209" s="156"/>
      <c r="N209" s="156"/>
      <c r="O209" s="156"/>
      <c r="P209" s="156"/>
      <c r="Q209" s="155"/>
      <c r="R209" s="190"/>
      <c r="S209" s="191"/>
    </row>
    <row r="210" ht="29.25" hidden="1" customHeight="1">
      <c r="A210" s="155"/>
      <c r="B210" s="155"/>
      <c r="C210" s="155"/>
      <c r="D210" s="155"/>
      <c r="E210" s="155"/>
      <c r="F210" s="198"/>
      <c r="G210" s="155"/>
      <c r="H210" s="155"/>
      <c r="I210" s="156"/>
      <c r="J210" s="156"/>
      <c r="K210" s="156"/>
      <c r="L210" s="156"/>
      <c r="M210" s="156"/>
      <c r="N210" s="156"/>
      <c r="O210" s="156"/>
      <c r="P210" s="156"/>
      <c r="Q210" s="155"/>
      <c r="R210" s="190"/>
      <c r="S210" s="191"/>
    </row>
    <row r="211" ht="29.25" hidden="1" customHeight="1">
      <c r="A211" s="155"/>
      <c r="B211" s="155"/>
      <c r="C211" s="155"/>
      <c r="D211" s="155"/>
      <c r="E211" s="155"/>
      <c r="F211" s="198"/>
      <c r="G211" s="155"/>
      <c r="H211" s="155"/>
      <c r="I211" s="156"/>
      <c r="J211" s="156"/>
      <c r="K211" s="156"/>
      <c r="L211" s="156"/>
      <c r="M211" s="156"/>
      <c r="N211" s="156"/>
      <c r="O211" s="156"/>
      <c r="P211" s="156"/>
      <c r="Q211" s="155"/>
      <c r="R211" s="190"/>
      <c r="S211" s="191"/>
    </row>
    <row r="212" ht="29.25" hidden="1" customHeight="1">
      <c r="A212" s="155"/>
      <c r="B212" s="155"/>
      <c r="C212" s="155"/>
      <c r="D212" s="155"/>
      <c r="E212" s="155"/>
      <c r="F212" s="198"/>
      <c r="G212" s="155"/>
      <c r="H212" s="155"/>
      <c r="I212" s="156"/>
      <c r="J212" s="156"/>
      <c r="K212" s="156"/>
      <c r="L212" s="156"/>
      <c r="M212" s="156"/>
      <c r="N212" s="156"/>
      <c r="O212" s="156"/>
      <c r="P212" s="156"/>
      <c r="Q212" s="155"/>
      <c r="R212" s="190"/>
      <c r="S212" s="191"/>
    </row>
    <row r="213" ht="29.25" hidden="1" customHeight="1">
      <c r="A213" s="155"/>
      <c r="B213" s="155"/>
      <c r="C213" s="155"/>
      <c r="D213" s="155"/>
      <c r="E213" s="155"/>
      <c r="F213" s="198"/>
      <c r="G213" s="155"/>
      <c r="H213" s="155"/>
      <c r="I213" s="156"/>
      <c r="J213" s="156"/>
      <c r="K213" s="156"/>
      <c r="L213" s="156"/>
      <c r="M213" s="156"/>
      <c r="N213" s="156"/>
      <c r="O213" s="156"/>
      <c r="P213" s="156"/>
      <c r="Q213" s="155"/>
      <c r="R213" s="190"/>
      <c r="S213" s="191"/>
    </row>
    <row r="214" ht="29.25" hidden="1" customHeight="1">
      <c r="A214" s="155"/>
      <c r="B214" s="155"/>
      <c r="C214" s="155"/>
      <c r="D214" s="155"/>
      <c r="E214" s="155"/>
      <c r="F214" s="198"/>
      <c r="G214" s="155"/>
      <c r="H214" s="155"/>
      <c r="I214" s="156"/>
      <c r="J214" s="156"/>
      <c r="K214" s="156"/>
      <c r="L214" s="156"/>
      <c r="M214" s="156"/>
      <c r="N214" s="156"/>
      <c r="O214" s="156"/>
      <c r="P214" s="156"/>
      <c r="Q214" s="155"/>
      <c r="R214" s="190"/>
      <c r="S214" s="191"/>
    </row>
    <row r="215" ht="29.25" hidden="1" customHeight="1">
      <c r="A215" s="155"/>
      <c r="B215" s="155"/>
      <c r="C215" s="155"/>
      <c r="D215" s="155"/>
      <c r="E215" s="155"/>
      <c r="F215" s="198"/>
      <c r="G215" s="155"/>
      <c r="H215" s="155"/>
      <c r="I215" s="156"/>
      <c r="J215" s="156"/>
      <c r="K215" s="156"/>
      <c r="L215" s="156"/>
      <c r="M215" s="156"/>
      <c r="N215" s="156"/>
      <c r="O215" s="156"/>
      <c r="P215" s="156"/>
      <c r="Q215" s="155"/>
      <c r="R215" s="190"/>
      <c r="S215" s="191"/>
    </row>
    <row r="216" ht="29.25" hidden="1" customHeight="1">
      <c r="A216" s="155"/>
      <c r="B216" s="155"/>
      <c r="C216" s="155"/>
      <c r="D216" s="155"/>
      <c r="E216" s="155"/>
      <c r="F216" s="198"/>
      <c r="G216" s="155"/>
      <c r="H216" s="155"/>
      <c r="I216" s="156"/>
      <c r="J216" s="156"/>
      <c r="K216" s="156"/>
      <c r="L216" s="156"/>
      <c r="M216" s="156"/>
      <c r="N216" s="156"/>
      <c r="O216" s="156"/>
      <c r="P216" s="156"/>
      <c r="Q216" s="155"/>
      <c r="R216" s="190"/>
      <c r="S216" s="191"/>
    </row>
    <row r="217" ht="29.25" hidden="1" customHeight="1">
      <c r="A217" s="155"/>
      <c r="B217" s="155"/>
      <c r="C217" s="155"/>
      <c r="D217" s="155"/>
      <c r="E217" s="155"/>
      <c r="F217" s="198"/>
      <c r="G217" s="155"/>
      <c r="H217" s="155"/>
      <c r="I217" s="156"/>
      <c r="J217" s="156"/>
      <c r="K217" s="156"/>
      <c r="L217" s="156"/>
      <c r="M217" s="156"/>
      <c r="N217" s="156"/>
      <c r="O217" s="156"/>
      <c r="P217" s="156"/>
      <c r="Q217" s="155"/>
      <c r="R217" s="190"/>
      <c r="S217" s="191"/>
    </row>
    <row r="218" ht="29.25" hidden="1" customHeight="1">
      <c r="A218" s="155"/>
      <c r="B218" s="155"/>
      <c r="C218" s="155"/>
      <c r="D218" s="155"/>
      <c r="E218" s="155"/>
      <c r="F218" s="198"/>
      <c r="G218" s="155"/>
      <c r="H218" s="155"/>
      <c r="I218" s="156"/>
      <c r="J218" s="156"/>
      <c r="K218" s="156"/>
      <c r="L218" s="156"/>
      <c r="M218" s="156"/>
      <c r="N218" s="156"/>
      <c r="O218" s="156"/>
      <c r="P218" s="156"/>
      <c r="Q218" s="155"/>
      <c r="R218" s="190"/>
      <c r="S218" s="191"/>
    </row>
    <row r="219" ht="29.25" hidden="1" customHeight="1">
      <c r="A219" s="155"/>
      <c r="B219" s="155"/>
      <c r="C219" s="155"/>
      <c r="D219" s="155"/>
      <c r="E219" s="155"/>
      <c r="F219" s="198"/>
      <c r="G219" s="155"/>
      <c r="H219" s="155"/>
      <c r="I219" s="156"/>
      <c r="J219" s="156"/>
      <c r="K219" s="156"/>
      <c r="L219" s="156"/>
      <c r="M219" s="156"/>
      <c r="N219" s="156"/>
      <c r="O219" s="156"/>
      <c r="P219" s="156"/>
      <c r="Q219" s="155"/>
      <c r="R219" s="190"/>
      <c r="S219" s="191"/>
    </row>
    <row r="220" ht="29.25" hidden="1" customHeight="1">
      <c r="A220" s="155"/>
      <c r="B220" s="155"/>
      <c r="C220" s="155"/>
      <c r="D220" s="155"/>
      <c r="E220" s="155"/>
      <c r="F220" s="198"/>
      <c r="G220" s="155"/>
      <c r="H220" s="155"/>
      <c r="I220" s="156"/>
      <c r="J220" s="156"/>
      <c r="K220" s="156"/>
      <c r="L220" s="156"/>
      <c r="M220" s="156"/>
      <c r="N220" s="156"/>
      <c r="O220" s="156"/>
      <c r="P220" s="156"/>
      <c r="Q220" s="155"/>
      <c r="R220" s="190"/>
      <c r="S220" s="191"/>
    </row>
    <row r="221" ht="29.25" hidden="1" customHeight="1">
      <c r="A221" s="155"/>
      <c r="B221" s="155"/>
      <c r="C221" s="155"/>
      <c r="D221" s="155"/>
      <c r="E221" s="155"/>
      <c r="F221" s="198"/>
      <c r="G221" s="155"/>
      <c r="H221" s="155"/>
      <c r="I221" s="156"/>
      <c r="J221" s="156"/>
      <c r="K221" s="156"/>
      <c r="L221" s="156"/>
      <c r="M221" s="156"/>
      <c r="N221" s="156"/>
      <c r="O221" s="156"/>
      <c r="P221" s="156"/>
      <c r="Q221" s="155"/>
      <c r="R221" s="190"/>
      <c r="S221" s="191"/>
    </row>
    <row r="222" ht="29.25" hidden="1" customHeight="1">
      <c r="A222" s="155"/>
      <c r="B222" s="155"/>
      <c r="C222" s="155"/>
      <c r="D222" s="155"/>
      <c r="E222" s="155"/>
      <c r="F222" s="198"/>
      <c r="G222" s="155"/>
      <c r="H222" s="155"/>
      <c r="I222" s="156"/>
      <c r="J222" s="156"/>
      <c r="K222" s="156"/>
      <c r="L222" s="156"/>
      <c r="M222" s="156"/>
      <c r="N222" s="156"/>
      <c r="O222" s="156"/>
      <c r="P222" s="156"/>
      <c r="Q222" s="155"/>
      <c r="R222" s="190"/>
      <c r="S222" s="191"/>
    </row>
    <row r="223" ht="29.25" hidden="1" customHeight="1">
      <c r="A223" s="155"/>
      <c r="B223" s="155"/>
      <c r="C223" s="155"/>
      <c r="D223" s="155"/>
      <c r="E223" s="155"/>
      <c r="F223" s="198"/>
      <c r="G223" s="155"/>
      <c r="H223" s="155"/>
      <c r="I223" s="156"/>
      <c r="J223" s="156"/>
      <c r="K223" s="156"/>
      <c r="L223" s="156"/>
      <c r="M223" s="156"/>
      <c r="N223" s="156"/>
      <c r="O223" s="156"/>
      <c r="P223" s="156"/>
      <c r="Q223" s="155"/>
      <c r="R223" s="190"/>
      <c r="S223" s="191"/>
    </row>
    <row r="224" ht="29.25" hidden="1" customHeight="1">
      <c r="A224" s="155"/>
      <c r="B224" s="155"/>
      <c r="C224" s="155"/>
      <c r="D224" s="155"/>
      <c r="E224" s="155"/>
      <c r="F224" s="198"/>
      <c r="G224" s="155"/>
      <c r="H224" s="155"/>
      <c r="I224" s="156"/>
      <c r="J224" s="156"/>
      <c r="K224" s="156"/>
      <c r="L224" s="156"/>
      <c r="M224" s="156"/>
      <c r="N224" s="156"/>
      <c r="O224" s="156"/>
      <c r="P224" s="156"/>
      <c r="Q224" s="155"/>
      <c r="R224" s="190"/>
      <c r="S224" s="191"/>
    </row>
    <row r="225" ht="29.25" hidden="1" customHeight="1">
      <c r="A225" s="155"/>
      <c r="B225" s="155"/>
      <c r="C225" s="155"/>
      <c r="D225" s="155"/>
      <c r="E225" s="155"/>
      <c r="F225" s="198"/>
      <c r="G225" s="155"/>
      <c r="H225" s="155"/>
      <c r="I225" s="156"/>
      <c r="J225" s="156"/>
      <c r="K225" s="156"/>
      <c r="L225" s="156"/>
      <c r="M225" s="156"/>
      <c r="N225" s="156"/>
      <c r="O225" s="156"/>
      <c r="P225" s="156"/>
      <c r="Q225" s="155"/>
      <c r="R225" s="190"/>
      <c r="S225" s="191"/>
    </row>
    <row r="226" ht="29.25" hidden="1" customHeight="1">
      <c r="A226" s="155"/>
      <c r="B226" s="155"/>
      <c r="C226" s="155"/>
      <c r="D226" s="155"/>
      <c r="E226" s="155"/>
      <c r="F226" s="198"/>
      <c r="G226" s="155"/>
      <c r="H226" s="155"/>
      <c r="I226" s="156"/>
      <c r="J226" s="156"/>
      <c r="K226" s="156"/>
      <c r="L226" s="156"/>
      <c r="M226" s="156"/>
      <c r="N226" s="156"/>
      <c r="O226" s="156"/>
      <c r="P226" s="156"/>
      <c r="Q226" s="155"/>
      <c r="R226" s="190"/>
      <c r="S226" s="191"/>
    </row>
    <row r="227" ht="29.25" hidden="1" customHeight="1">
      <c r="A227" s="155"/>
      <c r="B227" s="155"/>
      <c r="C227" s="155"/>
      <c r="D227" s="155"/>
      <c r="E227" s="155"/>
      <c r="F227" s="198"/>
      <c r="G227" s="155"/>
      <c r="H227" s="155"/>
      <c r="I227" s="156"/>
      <c r="J227" s="156"/>
      <c r="K227" s="156"/>
      <c r="L227" s="156"/>
      <c r="M227" s="156"/>
      <c r="N227" s="156"/>
      <c r="O227" s="156"/>
      <c r="P227" s="156"/>
      <c r="Q227" s="155"/>
      <c r="R227" s="190"/>
      <c r="S227" s="191"/>
    </row>
    <row r="228" ht="29.25" hidden="1" customHeight="1">
      <c r="A228" s="155"/>
      <c r="B228" s="155"/>
      <c r="C228" s="155"/>
      <c r="D228" s="155"/>
      <c r="E228" s="155"/>
      <c r="F228" s="198"/>
      <c r="G228" s="155"/>
      <c r="H228" s="155"/>
      <c r="I228" s="156"/>
      <c r="J228" s="156"/>
      <c r="K228" s="156"/>
      <c r="L228" s="156"/>
      <c r="M228" s="156"/>
      <c r="N228" s="156"/>
      <c r="O228" s="156"/>
      <c r="P228" s="156"/>
      <c r="Q228" s="155"/>
      <c r="R228" s="190"/>
      <c r="S228" s="191"/>
    </row>
    <row r="229" ht="29.25" hidden="1" customHeight="1">
      <c r="A229" s="155"/>
      <c r="B229" s="155"/>
      <c r="C229" s="155"/>
      <c r="D229" s="155"/>
      <c r="E229" s="155"/>
      <c r="F229" s="198"/>
      <c r="G229" s="155"/>
      <c r="H229" s="155"/>
      <c r="I229" s="156"/>
      <c r="J229" s="156"/>
      <c r="K229" s="156"/>
      <c r="L229" s="156"/>
      <c r="M229" s="156"/>
      <c r="N229" s="156"/>
      <c r="O229" s="156"/>
      <c r="P229" s="156"/>
      <c r="Q229" s="155"/>
      <c r="R229" s="190"/>
      <c r="S229" s="191"/>
    </row>
    <row r="230" ht="29.25" hidden="1" customHeight="1">
      <c r="A230" s="155"/>
      <c r="B230" s="155"/>
      <c r="C230" s="155"/>
      <c r="D230" s="155"/>
      <c r="E230" s="155"/>
      <c r="F230" s="198"/>
      <c r="G230" s="155"/>
      <c r="H230" s="155"/>
      <c r="I230" s="156"/>
      <c r="J230" s="156"/>
      <c r="K230" s="156"/>
      <c r="L230" s="156"/>
      <c r="M230" s="156"/>
      <c r="N230" s="156"/>
      <c r="O230" s="156"/>
      <c r="P230" s="156"/>
      <c r="Q230" s="155"/>
      <c r="R230" s="190"/>
      <c r="S230" s="191"/>
    </row>
    <row r="231" ht="29.25" hidden="1" customHeight="1">
      <c r="A231" s="155"/>
      <c r="B231" s="155"/>
      <c r="C231" s="155"/>
      <c r="D231" s="155"/>
      <c r="E231" s="155"/>
      <c r="F231" s="198"/>
      <c r="G231" s="155"/>
      <c r="H231" s="155"/>
      <c r="I231" s="156"/>
      <c r="J231" s="156"/>
      <c r="K231" s="156"/>
      <c r="L231" s="156"/>
      <c r="M231" s="156"/>
      <c r="N231" s="156"/>
      <c r="O231" s="156"/>
      <c r="P231" s="156"/>
      <c r="Q231" s="155"/>
      <c r="R231" s="190"/>
      <c r="S231" s="191"/>
    </row>
    <row r="232" ht="29.25" hidden="1" customHeight="1">
      <c r="A232" s="155"/>
      <c r="B232" s="155"/>
      <c r="C232" s="155"/>
      <c r="D232" s="155"/>
      <c r="E232" s="155"/>
      <c r="F232" s="198"/>
      <c r="G232" s="155"/>
      <c r="H232" s="155"/>
      <c r="I232" s="156"/>
      <c r="J232" s="156"/>
      <c r="K232" s="156"/>
      <c r="L232" s="156"/>
      <c r="M232" s="156"/>
      <c r="N232" s="156"/>
      <c r="O232" s="156"/>
      <c r="P232" s="156"/>
      <c r="Q232" s="155"/>
      <c r="R232" s="190"/>
      <c r="S232" s="191"/>
    </row>
    <row r="233" ht="29.25" hidden="1" customHeight="1">
      <c r="A233" s="155"/>
      <c r="B233" s="155"/>
      <c r="C233" s="155"/>
      <c r="D233" s="155"/>
      <c r="E233" s="155"/>
      <c r="F233" s="198"/>
      <c r="G233" s="155"/>
      <c r="H233" s="155"/>
      <c r="I233" s="156"/>
      <c r="J233" s="156"/>
      <c r="K233" s="156"/>
      <c r="L233" s="156"/>
      <c r="M233" s="156"/>
      <c r="N233" s="156"/>
      <c r="O233" s="156"/>
      <c r="P233" s="156"/>
      <c r="Q233" s="155"/>
      <c r="R233" s="190"/>
      <c r="S233" s="191"/>
    </row>
    <row r="234" ht="29.25" hidden="1" customHeight="1">
      <c r="A234" s="155"/>
      <c r="B234" s="155"/>
      <c r="C234" s="155"/>
      <c r="D234" s="155"/>
      <c r="E234" s="155"/>
      <c r="F234" s="198"/>
      <c r="G234" s="155"/>
      <c r="H234" s="155"/>
      <c r="I234" s="156"/>
      <c r="J234" s="156"/>
      <c r="K234" s="156"/>
      <c r="L234" s="156"/>
      <c r="M234" s="156"/>
      <c r="N234" s="156"/>
      <c r="O234" s="156"/>
      <c r="P234" s="156"/>
      <c r="Q234" s="155"/>
      <c r="R234" s="190"/>
      <c r="S234" s="191"/>
    </row>
    <row r="235" ht="29.25" hidden="1" customHeight="1">
      <c r="A235" s="155"/>
      <c r="B235" s="155"/>
      <c r="C235" s="155"/>
      <c r="D235" s="155"/>
      <c r="E235" s="155"/>
      <c r="F235" s="198"/>
      <c r="G235" s="155"/>
      <c r="H235" s="155"/>
      <c r="I235" s="156"/>
      <c r="J235" s="156"/>
      <c r="K235" s="156"/>
      <c r="L235" s="156"/>
      <c r="M235" s="156"/>
      <c r="N235" s="156"/>
      <c r="O235" s="156"/>
      <c r="P235" s="156"/>
      <c r="Q235" s="155"/>
      <c r="R235" s="190"/>
      <c r="S235" s="191"/>
    </row>
    <row r="236" ht="29.25" hidden="1" customHeight="1">
      <c r="A236" s="155"/>
      <c r="B236" s="155"/>
      <c r="C236" s="155"/>
      <c r="D236" s="155"/>
      <c r="E236" s="155"/>
      <c r="F236" s="198"/>
      <c r="G236" s="155"/>
      <c r="H236" s="155"/>
      <c r="I236" s="156"/>
      <c r="J236" s="156"/>
      <c r="K236" s="156"/>
      <c r="L236" s="156"/>
      <c r="M236" s="156"/>
      <c r="N236" s="156"/>
      <c r="O236" s="156"/>
      <c r="P236" s="156"/>
      <c r="Q236" s="155"/>
      <c r="R236" s="190"/>
      <c r="S236" s="191"/>
    </row>
    <row r="237" ht="29.25" hidden="1" customHeight="1">
      <c r="A237" s="155"/>
      <c r="B237" s="155"/>
      <c r="C237" s="155"/>
      <c r="D237" s="155"/>
      <c r="E237" s="155"/>
      <c r="F237" s="198"/>
      <c r="G237" s="155"/>
      <c r="H237" s="155"/>
      <c r="I237" s="156"/>
      <c r="J237" s="156"/>
      <c r="K237" s="156"/>
      <c r="L237" s="156"/>
      <c r="M237" s="156"/>
      <c r="N237" s="156"/>
      <c r="O237" s="156"/>
      <c r="P237" s="156"/>
      <c r="Q237" s="155"/>
      <c r="R237" s="190"/>
      <c r="S237" s="191"/>
    </row>
    <row r="238" ht="29.25" hidden="1" customHeight="1">
      <c r="A238" s="155"/>
      <c r="B238" s="155"/>
      <c r="C238" s="155"/>
      <c r="D238" s="155"/>
      <c r="E238" s="155"/>
      <c r="F238" s="198"/>
      <c r="G238" s="155"/>
      <c r="H238" s="155"/>
      <c r="I238" s="156"/>
      <c r="J238" s="156"/>
      <c r="K238" s="156"/>
      <c r="L238" s="156"/>
      <c r="M238" s="156"/>
      <c r="N238" s="156"/>
      <c r="O238" s="156"/>
      <c r="P238" s="156"/>
      <c r="Q238" s="155"/>
      <c r="R238" s="190"/>
      <c r="S238" s="191"/>
    </row>
    <row r="239" ht="29.25" hidden="1" customHeight="1">
      <c r="A239" s="155"/>
      <c r="B239" s="155"/>
      <c r="C239" s="155"/>
      <c r="D239" s="155"/>
      <c r="E239" s="155"/>
      <c r="F239" s="198"/>
      <c r="G239" s="155"/>
      <c r="H239" s="155"/>
      <c r="I239" s="156"/>
      <c r="J239" s="156"/>
      <c r="K239" s="156"/>
      <c r="L239" s="156"/>
      <c r="M239" s="156"/>
      <c r="N239" s="156"/>
      <c r="O239" s="156"/>
      <c r="P239" s="156"/>
      <c r="Q239" s="155"/>
      <c r="R239" s="190"/>
      <c r="S239" s="191"/>
    </row>
    <row r="240" ht="29.25" hidden="1" customHeight="1">
      <c r="A240" s="155"/>
      <c r="B240" s="155"/>
      <c r="C240" s="155"/>
      <c r="D240" s="155"/>
      <c r="E240" s="155"/>
      <c r="F240" s="198"/>
      <c r="G240" s="155"/>
      <c r="H240" s="155"/>
      <c r="I240" s="156"/>
      <c r="J240" s="156"/>
      <c r="K240" s="156"/>
      <c r="L240" s="156"/>
      <c r="M240" s="156"/>
      <c r="N240" s="156"/>
      <c r="O240" s="156"/>
      <c r="P240" s="156"/>
      <c r="Q240" s="155"/>
      <c r="R240" s="190"/>
      <c r="S240" s="191"/>
    </row>
    <row r="241" ht="29.25" hidden="1" customHeight="1">
      <c r="A241" s="155"/>
      <c r="B241" s="155"/>
      <c r="C241" s="155"/>
      <c r="D241" s="155"/>
      <c r="E241" s="155"/>
      <c r="F241" s="198"/>
      <c r="G241" s="155"/>
      <c r="H241" s="155"/>
      <c r="I241" s="156"/>
      <c r="J241" s="156"/>
      <c r="K241" s="156"/>
      <c r="L241" s="156"/>
      <c r="M241" s="156"/>
      <c r="N241" s="156"/>
      <c r="O241" s="156"/>
      <c r="P241" s="156"/>
      <c r="Q241" s="155"/>
      <c r="R241" s="190"/>
      <c r="S241" s="191"/>
    </row>
    <row r="242" ht="29.25" hidden="1" customHeight="1">
      <c r="A242" s="155"/>
      <c r="B242" s="155"/>
      <c r="C242" s="155"/>
      <c r="D242" s="155"/>
      <c r="E242" s="155"/>
      <c r="F242" s="198"/>
      <c r="G242" s="155"/>
      <c r="H242" s="155"/>
      <c r="I242" s="156"/>
      <c r="J242" s="156"/>
      <c r="K242" s="156"/>
      <c r="L242" s="156"/>
      <c r="M242" s="156"/>
      <c r="N242" s="156"/>
      <c r="O242" s="156"/>
      <c r="P242" s="156"/>
      <c r="Q242" s="155"/>
      <c r="R242" s="190"/>
      <c r="S242" s="191"/>
    </row>
    <row r="243" ht="29.25" hidden="1" customHeight="1">
      <c r="A243" s="155"/>
      <c r="B243" s="155"/>
      <c r="C243" s="155"/>
      <c r="D243" s="155"/>
      <c r="E243" s="155"/>
      <c r="F243" s="198"/>
      <c r="G243" s="155"/>
      <c r="H243" s="155"/>
      <c r="I243" s="156"/>
      <c r="J243" s="156"/>
      <c r="K243" s="156"/>
      <c r="L243" s="156"/>
      <c r="M243" s="156"/>
      <c r="N243" s="156"/>
      <c r="O243" s="156"/>
      <c r="P243" s="156"/>
      <c r="Q243" s="155"/>
      <c r="R243" s="190"/>
      <c r="S243" s="191"/>
    </row>
    <row r="244" ht="29.25" hidden="1" customHeight="1">
      <c r="A244" s="155"/>
      <c r="B244" s="155"/>
      <c r="C244" s="155"/>
      <c r="D244" s="155"/>
      <c r="E244" s="155"/>
      <c r="F244" s="198"/>
      <c r="G244" s="155"/>
      <c r="H244" s="155"/>
      <c r="I244" s="156"/>
      <c r="J244" s="156"/>
      <c r="K244" s="156"/>
      <c r="L244" s="156"/>
      <c r="M244" s="156"/>
      <c r="N244" s="156"/>
      <c r="O244" s="156"/>
      <c r="P244" s="156"/>
      <c r="Q244" s="155"/>
      <c r="R244" s="190"/>
      <c r="S244" s="191"/>
    </row>
    <row r="245" ht="29.25" hidden="1" customHeight="1">
      <c r="A245" s="155"/>
      <c r="B245" s="155"/>
      <c r="C245" s="155"/>
      <c r="D245" s="155"/>
      <c r="E245" s="155"/>
      <c r="F245" s="198"/>
      <c r="G245" s="155"/>
      <c r="H245" s="155"/>
      <c r="I245" s="156"/>
      <c r="J245" s="156"/>
      <c r="K245" s="156"/>
      <c r="L245" s="156"/>
      <c r="M245" s="156"/>
      <c r="N245" s="156"/>
      <c r="O245" s="156"/>
      <c r="P245" s="156"/>
      <c r="Q245" s="155"/>
      <c r="R245" s="190"/>
      <c r="S245" s="191"/>
    </row>
    <row r="246" ht="29.25" hidden="1" customHeight="1">
      <c r="A246" s="155"/>
      <c r="B246" s="155"/>
      <c r="C246" s="155"/>
      <c r="D246" s="155"/>
      <c r="E246" s="155"/>
      <c r="F246" s="198"/>
      <c r="G246" s="155"/>
      <c r="H246" s="155"/>
      <c r="I246" s="156"/>
      <c r="J246" s="156"/>
      <c r="K246" s="156"/>
      <c r="L246" s="156"/>
      <c r="M246" s="156"/>
      <c r="N246" s="156"/>
      <c r="O246" s="156"/>
      <c r="P246" s="156"/>
      <c r="Q246" s="155"/>
      <c r="R246" s="190"/>
      <c r="S246" s="191"/>
    </row>
    <row r="247" ht="29.25" hidden="1" customHeight="1">
      <c r="A247" s="155"/>
      <c r="B247" s="155"/>
      <c r="C247" s="155"/>
      <c r="D247" s="155"/>
      <c r="E247" s="155"/>
      <c r="F247" s="198"/>
      <c r="G247" s="155"/>
      <c r="H247" s="155"/>
      <c r="I247" s="156"/>
      <c r="J247" s="156"/>
      <c r="K247" s="156"/>
      <c r="L247" s="156"/>
      <c r="M247" s="156"/>
      <c r="N247" s="156"/>
      <c r="O247" s="156"/>
      <c r="P247" s="156"/>
      <c r="Q247" s="155"/>
      <c r="R247" s="190"/>
      <c r="S247" s="191"/>
    </row>
    <row r="248" ht="29.25" hidden="1" customHeight="1">
      <c r="A248" s="155"/>
      <c r="B248" s="155"/>
      <c r="C248" s="155"/>
      <c r="D248" s="155"/>
      <c r="E248" s="155"/>
      <c r="F248" s="198"/>
      <c r="G248" s="155"/>
      <c r="H248" s="155"/>
      <c r="I248" s="156"/>
      <c r="J248" s="156"/>
      <c r="K248" s="156"/>
      <c r="L248" s="156"/>
      <c r="M248" s="156"/>
      <c r="N248" s="156"/>
      <c r="O248" s="156"/>
      <c r="P248" s="156"/>
      <c r="Q248" s="155"/>
      <c r="R248" s="190"/>
      <c r="S248" s="191"/>
    </row>
    <row r="249" ht="29.25" hidden="1" customHeight="1">
      <c r="A249" s="155"/>
      <c r="B249" s="155"/>
      <c r="C249" s="155"/>
      <c r="D249" s="155"/>
      <c r="E249" s="155"/>
      <c r="F249" s="198"/>
      <c r="G249" s="155"/>
      <c r="H249" s="155"/>
      <c r="I249" s="156"/>
      <c r="J249" s="156"/>
      <c r="K249" s="156"/>
      <c r="L249" s="156"/>
      <c r="M249" s="156"/>
      <c r="N249" s="156"/>
      <c r="O249" s="156"/>
      <c r="P249" s="156"/>
      <c r="Q249" s="155"/>
      <c r="R249" s="190"/>
      <c r="S249" s="191"/>
    </row>
    <row r="250" ht="29.25" hidden="1" customHeight="1">
      <c r="A250" s="155"/>
      <c r="B250" s="155"/>
      <c r="C250" s="155"/>
      <c r="D250" s="155"/>
      <c r="E250" s="155"/>
      <c r="F250" s="198"/>
      <c r="G250" s="155"/>
      <c r="H250" s="155"/>
      <c r="I250" s="156"/>
      <c r="J250" s="156"/>
      <c r="K250" s="156"/>
      <c r="L250" s="156"/>
      <c r="M250" s="156"/>
      <c r="N250" s="156"/>
      <c r="O250" s="156"/>
      <c r="P250" s="156"/>
      <c r="Q250" s="155"/>
      <c r="R250" s="190"/>
      <c r="S250" s="191"/>
    </row>
    <row r="251" ht="29.25" hidden="1" customHeight="1">
      <c r="A251" s="155"/>
      <c r="B251" s="155"/>
      <c r="C251" s="155"/>
      <c r="D251" s="155"/>
      <c r="E251" s="155"/>
      <c r="F251" s="198"/>
      <c r="G251" s="155"/>
      <c r="H251" s="155"/>
      <c r="I251" s="156"/>
      <c r="J251" s="156"/>
      <c r="K251" s="156"/>
      <c r="L251" s="156"/>
      <c r="M251" s="156"/>
      <c r="N251" s="156"/>
      <c r="O251" s="156"/>
      <c r="P251" s="156"/>
      <c r="Q251" s="155"/>
      <c r="R251" s="190"/>
      <c r="S251" s="191"/>
    </row>
    <row r="252" ht="29.25" hidden="1" customHeight="1">
      <c r="A252" s="155"/>
      <c r="B252" s="155"/>
      <c r="C252" s="155"/>
      <c r="D252" s="155"/>
      <c r="E252" s="155"/>
      <c r="F252" s="198"/>
      <c r="G252" s="155"/>
      <c r="H252" s="155"/>
      <c r="I252" s="156"/>
      <c r="J252" s="156"/>
      <c r="K252" s="156"/>
      <c r="L252" s="156"/>
      <c r="M252" s="156"/>
      <c r="N252" s="156"/>
      <c r="O252" s="156"/>
      <c r="P252" s="156"/>
      <c r="Q252" s="155"/>
      <c r="R252" s="190"/>
      <c r="S252" s="191"/>
    </row>
    <row r="253" ht="29.25" hidden="1" customHeight="1">
      <c r="A253" s="155"/>
      <c r="B253" s="155"/>
      <c r="C253" s="155"/>
      <c r="D253" s="155"/>
      <c r="E253" s="155"/>
      <c r="F253" s="198"/>
      <c r="G253" s="155"/>
      <c r="H253" s="155"/>
      <c r="I253" s="156"/>
      <c r="J253" s="156"/>
      <c r="K253" s="156"/>
      <c r="L253" s="156"/>
      <c r="M253" s="156"/>
      <c r="N253" s="156"/>
      <c r="O253" s="156"/>
      <c r="P253" s="156"/>
      <c r="Q253" s="155"/>
      <c r="R253" s="190"/>
      <c r="S253" s="191"/>
    </row>
    <row r="254" ht="29.25" hidden="1" customHeight="1">
      <c r="A254" s="155"/>
      <c r="B254" s="155"/>
      <c r="C254" s="155"/>
      <c r="D254" s="155"/>
      <c r="E254" s="155"/>
      <c r="F254" s="198"/>
      <c r="G254" s="155"/>
      <c r="H254" s="155"/>
      <c r="I254" s="156"/>
      <c r="J254" s="156"/>
      <c r="K254" s="156"/>
      <c r="L254" s="156"/>
      <c r="M254" s="156"/>
      <c r="N254" s="156"/>
      <c r="O254" s="156"/>
      <c r="P254" s="156"/>
      <c r="Q254" s="155"/>
      <c r="R254" s="190"/>
      <c r="S254" s="191"/>
    </row>
    <row r="255" ht="29.25" hidden="1" customHeight="1">
      <c r="A255" s="155"/>
      <c r="B255" s="155"/>
      <c r="C255" s="155"/>
      <c r="D255" s="155"/>
      <c r="E255" s="155"/>
      <c r="F255" s="198"/>
      <c r="G255" s="155"/>
      <c r="H255" s="155"/>
      <c r="I255" s="156"/>
      <c r="J255" s="156"/>
      <c r="K255" s="156"/>
      <c r="L255" s="156"/>
      <c r="M255" s="156"/>
      <c r="N255" s="156"/>
      <c r="O255" s="156"/>
      <c r="P255" s="156"/>
      <c r="Q255" s="155"/>
      <c r="R255" s="190"/>
      <c r="S255" s="191"/>
    </row>
    <row r="256" ht="29.25" hidden="1" customHeight="1">
      <c r="A256" s="155"/>
      <c r="B256" s="155"/>
      <c r="C256" s="155"/>
      <c r="D256" s="155"/>
      <c r="E256" s="155"/>
      <c r="F256" s="198"/>
      <c r="G256" s="155"/>
      <c r="H256" s="155"/>
      <c r="I256" s="156"/>
      <c r="J256" s="156"/>
      <c r="K256" s="156"/>
      <c r="L256" s="156"/>
      <c r="M256" s="156"/>
      <c r="N256" s="156"/>
      <c r="O256" s="156"/>
      <c r="P256" s="156"/>
      <c r="Q256" s="155"/>
      <c r="R256" s="190"/>
      <c r="S256" s="191"/>
    </row>
    <row r="257" ht="29.25" hidden="1" customHeight="1">
      <c r="A257" s="155"/>
      <c r="B257" s="155"/>
      <c r="C257" s="155"/>
      <c r="D257" s="155"/>
      <c r="E257" s="155"/>
      <c r="F257" s="198"/>
      <c r="G257" s="155"/>
      <c r="H257" s="155"/>
      <c r="I257" s="156"/>
      <c r="J257" s="156"/>
      <c r="K257" s="156"/>
      <c r="L257" s="156"/>
      <c r="M257" s="156"/>
      <c r="N257" s="156"/>
      <c r="O257" s="156"/>
      <c r="P257" s="156"/>
      <c r="Q257" s="155"/>
      <c r="R257" s="190"/>
      <c r="S257" s="191"/>
    </row>
    <row r="258" ht="29.25" hidden="1" customHeight="1">
      <c r="A258" s="155"/>
      <c r="B258" s="155"/>
      <c r="C258" s="155"/>
      <c r="D258" s="155"/>
      <c r="E258" s="155"/>
      <c r="F258" s="198"/>
      <c r="G258" s="155"/>
      <c r="H258" s="155"/>
      <c r="I258" s="156"/>
      <c r="J258" s="156"/>
      <c r="K258" s="156"/>
      <c r="L258" s="156"/>
      <c r="M258" s="156"/>
      <c r="N258" s="156"/>
      <c r="O258" s="156"/>
      <c r="P258" s="156"/>
      <c r="Q258" s="155"/>
      <c r="R258" s="190"/>
      <c r="S258" s="191"/>
    </row>
    <row r="259" ht="29.25" hidden="1" customHeight="1">
      <c r="A259" s="155"/>
      <c r="B259" s="155"/>
      <c r="C259" s="155"/>
      <c r="D259" s="155"/>
      <c r="E259" s="155"/>
      <c r="F259" s="198"/>
      <c r="G259" s="155"/>
      <c r="H259" s="155"/>
      <c r="I259" s="156"/>
      <c r="J259" s="156"/>
      <c r="K259" s="156"/>
      <c r="L259" s="156"/>
      <c r="M259" s="156"/>
      <c r="N259" s="156"/>
      <c r="O259" s="156"/>
      <c r="P259" s="156"/>
      <c r="Q259" s="155"/>
      <c r="R259" s="190"/>
      <c r="S259" s="191"/>
    </row>
    <row r="260" ht="29.25" hidden="1" customHeight="1">
      <c r="A260" s="155"/>
      <c r="B260" s="155"/>
      <c r="C260" s="155"/>
      <c r="D260" s="155"/>
      <c r="E260" s="155"/>
      <c r="F260" s="198"/>
      <c r="G260" s="155"/>
      <c r="H260" s="155"/>
      <c r="I260" s="156"/>
      <c r="J260" s="156"/>
      <c r="K260" s="156"/>
      <c r="L260" s="156"/>
      <c r="M260" s="156"/>
      <c r="N260" s="156"/>
      <c r="O260" s="156"/>
      <c r="P260" s="156"/>
      <c r="Q260" s="155"/>
      <c r="R260" s="190"/>
      <c r="S260" s="191"/>
    </row>
    <row r="261" ht="29.25" hidden="1" customHeight="1">
      <c r="A261" s="155"/>
      <c r="B261" s="155"/>
      <c r="C261" s="155"/>
      <c r="D261" s="155"/>
      <c r="E261" s="155"/>
      <c r="F261" s="198"/>
      <c r="G261" s="155"/>
      <c r="H261" s="155"/>
      <c r="I261" s="156"/>
      <c r="J261" s="156"/>
      <c r="K261" s="156"/>
      <c r="L261" s="156"/>
      <c r="M261" s="156"/>
      <c r="N261" s="156"/>
      <c r="O261" s="156"/>
      <c r="P261" s="156"/>
      <c r="Q261" s="155"/>
      <c r="R261" s="190"/>
      <c r="S261" s="191"/>
    </row>
    <row r="262" ht="29.25" hidden="1" customHeight="1">
      <c r="A262" s="155"/>
      <c r="B262" s="155"/>
      <c r="C262" s="155"/>
      <c r="D262" s="155"/>
      <c r="E262" s="155"/>
      <c r="F262" s="198"/>
      <c r="G262" s="155"/>
      <c r="H262" s="155"/>
      <c r="I262" s="156"/>
      <c r="J262" s="156"/>
      <c r="K262" s="156"/>
      <c r="L262" s="156"/>
      <c r="M262" s="156"/>
      <c r="N262" s="156"/>
      <c r="O262" s="156"/>
      <c r="P262" s="156"/>
      <c r="Q262" s="155"/>
      <c r="R262" s="190"/>
      <c r="S262" s="191"/>
    </row>
    <row r="263" ht="29.25" hidden="1" customHeight="1">
      <c r="A263" s="155"/>
      <c r="B263" s="155"/>
      <c r="C263" s="155"/>
      <c r="D263" s="155"/>
      <c r="E263" s="155"/>
      <c r="F263" s="198"/>
      <c r="G263" s="155"/>
      <c r="H263" s="155"/>
      <c r="I263" s="156"/>
      <c r="J263" s="156"/>
      <c r="K263" s="156"/>
      <c r="L263" s="156"/>
      <c r="M263" s="156"/>
      <c r="N263" s="156"/>
      <c r="O263" s="156"/>
      <c r="P263" s="156"/>
      <c r="Q263" s="155"/>
      <c r="R263" s="190"/>
      <c r="S263" s="191"/>
    </row>
    <row r="264" ht="29.25" hidden="1" customHeight="1">
      <c r="A264" s="155"/>
      <c r="B264" s="155"/>
      <c r="C264" s="155"/>
      <c r="D264" s="155"/>
      <c r="E264" s="155"/>
      <c r="F264" s="198"/>
      <c r="G264" s="155"/>
      <c r="H264" s="155"/>
      <c r="I264" s="156"/>
      <c r="J264" s="156"/>
      <c r="K264" s="156"/>
      <c r="L264" s="156"/>
      <c r="M264" s="156"/>
      <c r="N264" s="156"/>
      <c r="O264" s="156"/>
      <c r="P264" s="156"/>
      <c r="Q264" s="155"/>
      <c r="R264" s="190"/>
      <c r="S264" s="191"/>
    </row>
    <row r="265" ht="29.25" hidden="1" customHeight="1">
      <c r="A265" s="155"/>
      <c r="B265" s="155"/>
      <c r="C265" s="155"/>
      <c r="D265" s="155"/>
      <c r="E265" s="155"/>
      <c r="F265" s="198"/>
      <c r="G265" s="155"/>
      <c r="H265" s="155"/>
      <c r="I265" s="156"/>
      <c r="J265" s="156"/>
      <c r="K265" s="156"/>
      <c r="L265" s="156"/>
      <c r="M265" s="156"/>
      <c r="N265" s="156"/>
      <c r="O265" s="156"/>
      <c r="P265" s="156"/>
      <c r="Q265" s="155"/>
      <c r="R265" s="190"/>
      <c r="S265" s="191"/>
    </row>
    <row r="266" ht="29.25" hidden="1" customHeight="1">
      <c r="A266" s="155"/>
      <c r="B266" s="155"/>
      <c r="C266" s="155"/>
      <c r="D266" s="155"/>
      <c r="E266" s="155"/>
      <c r="F266" s="198"/>
      <c r="G266" s="155"/>
      <c r="H266" s="155"/>
      <c r="I266" s="156"/>
      <c r="J266" s="156"/>
      <c r="K266" s="156"/>
      <c r="L266" s="156"/>
      <c r="M266" s="156"/>
      <c r="N266" s="156"/>
      <c r="O266" s="156"/>
      <c r="P266" s="156"/>
      <c r="Q266" s="155"/>
      <c r="R266" s="190"/>
      <c r="S266" s="191"/>
    </row>
    <row r="267" ht="29.25" hidden="1" customHeight="1">
      <c r="A267" s="155"/>
      <c r="B267" s="155"/>
      <c r="C267" s="155"/>
      <c r="D267" s="155"/>
      <c r="E267" s="155"/>
      <c r="F267" s="198"/>
      <c r="G267" s="155"/>
      <c r="H267" s="155"/>
      <c r="I267" s="156"/>
      <c r="J267" s="156"/>
      <c r="K267" s="156"/>
      <c r="L267" s="156"/>
      <c r="M267" s="156"/>
      <c r="N267" s="156"/>
      <c r="O267" s="156"/>
      <c r="P267" s="156"/>
      <c r="Q267" s="155"/>
      <c r="R267" s="190"/>
      <c r="S267" s="191"/>
    </row>
    <row r="268" ht="29.25" hidden="1" customHeight="1">
      <c r="A268" s="155"/>
      <c r="B268" s="155"/>
      <c r="C268" s="155"/>
      <c r="D268" s="155"/>
      <c r="E268" s="155"/>
      <c r="F268" s="198"/>
      <c r="G268" s="155"/>
      <c r="H268" s="155"/>
      <c r="I268" s="156"/>
      <c r="J268" s="156"/>
      <c r="K268" s="156"/>
      <c r="L268" s="156"/>
      <c r="M268" s="156"/>
      <c r="N268" s="156"/>
      <c r="O268" s="156"/>
      <c r="P268" s="156"/>
      <c r="Q268" s="155"/>
      <c r="R268" s="190"/>
      <c r="S268" s="191"/>
    </row>
    <row r="269" ht="29.25" hidden="1" customHeight="1">
      <c r="A269" s="155"/>
      <c r="B269" s="155"/>
      <c r="C269" s="155"/>
      <c r="D269" s="155"/>
      <c r="E269" s="155"/>
      <c r="F269" s="198"/>
      <c r="G269" s="155"/>
      <c r="H269" s="155"/>
      <c r="I269" s="156"/>
      <c r="J269" s="156"/>
      <c r="K269" s="156"/>
      <c r="L269" s="156"/>
      <c r="M269" s="156"/>
      <c r="N269" s="156"/>
      <c r="O269" s="156"/>
      <c r="P269" s="156"/>
      <c r="Q269" s="155"/>
      <c r="R269" s="190"/>
      <c r="S269" s="191"/>
    </row>
    <row r="270" ht="29.25" hidden="1" customHeight="1">
      <c r="A270" s="155"/>
      <c r="B270" s="155"/>
      <c r="C270" s="155"/>
      <c r="D270" s="155"/>
      <c r="E270" s="155"/>
      <c r="F270" s="198"/>
      <c r="G270" s="155"/>
      <c r="H270" s="155"/>
      <c r="I270" s="156"/>
      <c r="J270" s="156"/>
      <c r="K270" s="156"/>
      <c r="L270" s="156"/>
      <c r="M270" s="156"/>
      <c r="N270" s="156"/>
      <c r="O270" s="156"/>
      <c r="P270" s="156"/>
      <c r="Q270" s="155"/>
      <c r="R270" s="190"/>
      <c r="S270" s="191"/>
    </row>
    <row r="271" ht="29.25" hidden="1" customHeight="1">
      <c r="A271" s="155"/>
      <c r="B271" s="155"/>
      <c r="C271" s="155"/>
      <c r="D271" s="155"/>
      <c r="E271" s="155"/>
      <c r="F271" s="198"/>
      <c r="G271" s="155"/>
      <c r="H271" s="155"/>
      <c r="I271" s="156"/>
      <c r="J271" s="156"/>
      <c r="K271" s="156"/>
      <c r="L271" s="156"/>
      <c r="M271" s="156"/>
      <c r="N271" s="156"/>
      <c r="O271" s="156"/>
      <c r="P271" s="156"/>
      <c r="Q271" s="155"/>
      <c r="R271" s="190"/>
      <c r="S271" s="191"/>
    </row>
    <row r="272" ht="29.25" hidden="1" customHeight="1">
      <c r="A272" s="155"/>
      <c r="B272" s="155"/>
      <c r="C272" s="155"/>
      <c r="D272" s="155"/>
      <c r="E272" s="155"/>
      <c r="F272" s="198"/>
      <c r="G272" s="155"/>
      <c r="H272" s="155"/>
      <c r="I272" s="156"/>
      <c r="J272" s="156"/>
      <c r="K272" s="156"/>
      <c r="L272" s="156"/>
      <c r="M272" s="156"/>
      <c r="N272" s="156"/>
      <c r="O272" s="156"/>
      <c r="P272" s="156"/>
      <c r="Q272" s="155"/>
      <c r="R272" s="190"/>
      <c r="S272" s="191"/>
    </row>
    <row r="273" ht="29.25" hidden="1" customHeight="1">
      <c r="A273" s="155"/>
      <c r="B273" s="155"/>
      <c r="C273" s="155"/>
      <c r="D273" s="155"/>
      <c r="E273" s="155"/>
      <c r="F273" s="198"/>
      <c r="G273" s="155"/>
      <c r="H273" s="155"/>
      <c r="I273" s="156"/>
      <c r="J273" s="156"/>
      <c r="K273" s="156"/>
      <c r="L273" s="156"/>
      <c r="M273" s="156"/>
      <c r="N273" s="156"/>
      <c r="O273" s="156"/>
      <c r="P273" s="156"/>
      <c r="Q273" s="155"/>
      <c r="R273" s="190"/>
      <c r="S273" s="191"/>
    </row>
    <row r="274" ht="29.25" hidden="1" customHeight="1">
      <c r="A274" s="155"/>
      <c r="B274" s="155"/>
      <c r="C274" s="155"/>
      <c r="D274" s="155"/>
      <c r="E274" s="155"/>
      <c r="F274" s="198"/>
      <c r="G274" s="155"/>
      <c r="H274" s="155"/>
      <c r="I274" s="156"/>
      <c r="J274" s="156"/>
      <c r="K274" s="156"/>
      <c r="L274" s="156"/>
      <c r="M274" s="156"/>
      <c r="N274" s="156"/>
      <c r="O274" s="156"/>
      <c r="P274" s="156"/>
      <c r="Q274" s="155"/>
      <c r="R274" s="190"/>
      <c r="S274" s="191"/>
    </row>
    <row r="275" ht="29.25" hidden="1" customHeight="1">
      <c r="A275" s="155"/>
      <c r="B275" s="155"/>
      <c r="C275" s="155"/>
      <c r="D275" s="155"/>
      <c r="E275" s="155"/>
      <c r="F275" s="198"/>
      <c r="G275" s="155"/>
      <c r="H275" s="155"/>
      <c r="I275" s="156"/>
      <c r="J275" s="156"/>
      <c r="K275" s="156"/>
      <c r="L275" s="156"/>
      <c r="M275" s="156"/>
      <c r="N275" s="156"/>
      <c r="O275" s="156"/>
      <c r="P275" s="156"/>
      <c r="Q275" s="155"/>
      <c r="R275" s="190"/>
      <c r="S275" s="191"/>
    </row>
    <row r="276" ht="29.25" hidden="1" customHeight="1">
      <c r="A276" s="155"/>
      <c r="B276" s="155"/>
      <c r="C276" s="155"/>
      <c r="D276" s="155"/>
      <c r="E276" s="155"/>
      <c r="F276" s="198"/>
      <c r="G276" s="155"/>
      <c r="H276" s="155"/>
      <c r="I276" s="156"/>
      <c r="J276" s="156"/>
      <c r="K276" s="156"/>
      <c r="L276" s="156"/>
      <c r="M276" s="156"/>
      <c r="N276" s="156"/>
      <c r="O276" s="156"/>
      <c r="P276" s="156"/>
      <c r="Q276" s="155"/>
      <c r="R276" s="190"/>
      <c r="S276" s="191"/>
    </row>
    <row r="277" ht="29.25" hidden="1" customHeight="1">
      <c r="A277" s="155"/>
      <c r="B277" s="155"/>
      <c r="C277" s="155"/>
      <c r="D277" s="155"/>
      <c r="E277" s="155"/>
      <c r="F277" s="198"/>
      <c r="G277" s="155"/>
      <c r="H277" s="155"/>
      <c r="I277" s="156"/>
      <c r="J277" s="156"/>
      <c r="K277" s="156"/>
      <c r="L277" s="156"/>
      <c r="M277" s="156"/>
      <c r="N277" s="156"/>
      <c r="O277" s="156"/>
      <c r="P277" s="156"/>
      <c r="Q277" s="155"/>
      <c r="R277" s="190"/>
      <c r="S277" s="191"/>
    </row>
    <row r="278" ht="29.25" hidden="1" customHeight="1">
      <c r="A278" s="155"/>
      <c r="B278" s="155"/>
      <c r="C278" s="155"/>
      <c r="D278" s="155"/>
      <c r="E278" s="155"/>
      <c r="F278" s="198"/>
      <c r="G278" s="155"/>
      <c r="H278" s="155"/>
      <c r="I278" s="156"/>
      <c r="J278" s="156"/>
      <c r="K278" s="156"/>
      <c r="L278" s="156"/>
      <c r="M278" s="156"/>
      <c r="N278" s="156"/>
      <c r="O278" s="156"/>
      <c r="P278" s="156"/>
      <c r="Q278" s="155"/>
      <c r="R278" s="190"/>
      <c r="S278" s="191"/>
    </row>
    <row r="279" ht="29.25" hidden="1" customHeight="1">
      <c r="A279" s="155"/>
      <c r="B279" s="155"/>
      <c r="C279" s="155"/>
      <c r="D279" s="155"/>
      <c r="E279" s="155"/>
      <c r="F279" s="198"/>
      <c r="G279" s="155"/>
      <c r="H279" s="155"/>
      <c r="I279" s="156"/>
      <c r="J279" s="156"/>
      <c r="K279" s="156"/>
      <c r="L279" s="156"/>
      <c r="M279" s="156"/>
      <c r="N279" s="156"/>
      <c r="O279" s="156"/>
      <c r="P279" s="156"/>
      <c r="Q279" s="155"/>
      <c r="R279" s="190"/>
      <c r="S279" s="191"/>
    </row>
    <row r="280" ht="29.25" hidden="1" customHeight="1">
      <c r="A280" s="155"/>
      <c r="B280" s="155"/>
      <c r="C280" s="155"/>
      <c r="D280" s="155"/>
      <c r="E280" s="155"/>
      <c r="F280" s="198"/>
      <c r="G280" s="155"/>
      <c r="H280" s="155"/>
      <c r="I280" s="156"/>
      <c r="J280" s="156"/>
      <c r="K280" s="156"/>
      <c r="L280" s="156"/>
      <c r="M280" s="156"/>
      <c r="N280" s="156"/>
      <c r="O280" s="156"/>
      <c r="P280" s="156"/>
      <c r="Q280" s="155"/>
      <c r="R280" s="190"/>
      <c r="S280" s="191"/>
    </row>
    <row r="281" ht="29.25" hidden="1" customHeight="1">
      <c r="A281" s="155"/>
      <c r="B281" s="155"/>
      <c r="C281" s="155"/>
      <c r="D281" s="155"/>
      <c r="E281" s="155"/>
      <c r="F281" s="198"/>
      <c r="G281" s="155"/>
      <c r="H281" s="155"/>
      <c r="I281" s="156"/>
      <c r="J281" s="156"/>
      <c r="K281" s="156"/>
      <c r="L281" s="156"/>
      <c r="M281" s="156"/>
      <c r="N281" s="156"/>
      <c r="O281" s="156"/>
      <c r="P281" s="156"/>
      <c r="Q281" s="155"/>
      <c r="R281" s="190"/>
      <c r="S281" s="191"/>
    </row>
    <row r="282" ht="29.25" hidden="1" customHeight="1">
      <c r="A282" s="155"/>
      <c r="B282" s="155"/>
      <c r="C282" s="155"/>
      <c r="D282" s="155"/>
      <c r="E282" s="155"/>
      <c r="F282" s="198"/>
      <c r="G282" s="155"/>
      <c r="H282" s="155"/>
      <c r="I282" s="156"/>
      <c r="J282" s="156"/>
      <c r="K282" s="156"/>
      <c r="L282" s="156"/>
      <c r="M282" s="156"/>
      <c r="N282" s="156"/>
      <c r="O282" s="156"/>
      <c r="P282" s="156"/>
      <c r="Q282" s="155"/>
      <c r="R282" s="190"/>
      <c r="S282" s="191"/>
    </row>
    <row r="283" ht="29.25" hidden="1" customHeight="1">
      <c r="A283" s="155"/>
      <c r="B283" s="155"/>
      <c r="C283" s="155"/>
      <c r="D283" s="155"/>
      <c r="E283" s="155"/>
      <c r="F283" s="198"/>
      <c r="G283" s="155"/>
      <c r="H283" s="155"/>
      <c r="I283" s="156"/>
      <c r="J283" s="156"/>
      <c r="K283" s="156"/>
      <c r="L283" s="156"/>
      <c r="M283" s="156"/>
      <c r="N283" s="156"/>
      <c r="O283" s="156"/>
      <c r="P283" s="156"/>
      <c r="Q283" s="155"/>
      <c r="R283" s="190"/>
      <c r="S283" s="191"/>
    </row>
    <row r="284" ht="29.25" hidden="1" customHeight="1">
      <c r="A284" s="155"/>
      <c r="B284" s="155"/>
      <c r="C284" s="155"/>
      <c r="D284" s="155"/>
      <c r="E284" s="155"/>
      <c r="F284" s="198"/>
      <c r="G284" s="155"/>
      <c r="H284" s="155"/>
      <c r="I284" s="156"/>
      <c r="J284" s="156"/>
      <c r="K284" s="156"/>
      <c r="L284" s="156"/>
      <c r="M284" s="156"/>
      <c r="N284" s="156"/>
      <c r="O284" s="156"/>
      <c r="P284" s="156"/>
      <c r="Q284" s="155"/>
      <c r="R284" s="190"/>
      <c r="S284" s="191"/>
    </row>
    <row r="285" ht="29.25" hidden="1" customHeight="1">
      <c r="A285" s="155"/>
      <c r="B285" s="155"/>
      <c r="C285" s="155"/>
      <c r="D285" s="155"/>
      <c r="E285" s="155"/>
      <c r="F285" s="198"/>
      <c r="G285" s="155"/>
      <c r="H285" s="155"/>
      <c r="I285" s="156"/>
      <c r="J285" s="156"/>
      <c r="K285" s="156"/>
      <c r="L285" s="156"/>
      <c r="M285" s="156"/>
      <c r="N285" s="156"/>
      <c r="O285" s="156"/>
      <c r="P285" s="156"/>
      <c r="Q285" s="155"/>
      <c r="R285" s="190"/>
      <c r="S285" s="191"/>
    </row>
    <row r="286" ht="29.25" hidden="1" customHeight="1">
      <c r="A286" s="155"/>
      <c r="B286" s="155"/>
      <c r="C286" s="155"/>
      <c r="D286" s="155"/>
      <c r="E286" s="155"/>
      <c r="F286" s="198"/>
      <c r="G286" s="155"/>
      <c r="H286" s="155"/>
      <c r="I286" s="156"/>
      <c r="J286" s="156"/>
      <c r="K286" s="156"/>
      <c r="L286" s="156"/>
      <c r="M286" s="156"/>
      <c r="N286" s="156"/>
      <c r="O286" s="156"/>
      <c r="P286" s="156"/>
      <c r="Q286" s="155"/>
      <c r="R286" s="190"/>
      <c r="S286" s="191"/>
    </row>
    <row r="287" ht="29.25" hidden="1" customHeight="1">
      <c r="A287" s="155"/>
      <c r="B287" s="155"/>
      <c r="C287" s="155"/>
      <c r="D287" s="155"/>
      <c r="E287" s="155"/>
      <c r="F287" s="198"/>
      <c r="G287" s="155"/>
      <c r="H287" s="155"/>
      <c r="I287" s="156"/>
      <c r="J287" s="156"/>
      <c r="K287" s="156"/>
      <c r="L287" s="156"/>
      <c r="M287" s="156"/>
      <c r="N287" s="156"/>
      <c r="O287" s="156"/>
      <c r="P287" s="156"/>
      <c r="Q287" s="155"/>
      <c r="R287" s="190"/>
      <c r="S287" s="191"/>
    </row>
    <row r="288" ht="29.25" hidden="1" customHeight="1">
      <c r="A288" s="155"/>
      <c r="B288" s="155"/>
      <c r="C288" s="155"/>
      <c r="D288" s="155"/>
      <c r="E288" s="155"/>
      <c r="F288" s="198"/>
      <c r="G288" s="155"/>
      <c r="H288" s="155"/>
      <c r="I288" s="156"/>
      <c r="J288" s="156"/>
      <c r="K288" s="156"/>
      <c r="L288" s="156"/>
      <c r="M288" s="156"/>
      <c r="N288" s="156"/>
      <c r="O288" s="156"/>
      <c r="P288" s="156"/>
      <c r="Q288" s="155"/>
      <c r="R288" s="190"/>
      <c r="S288" s="191"/>
    </row>
    <row r="289" ht="29.25" hidden="1" customHeight="1">
      <c r="A289" s="155"/>
      <c r="B289" s="155"/>
      <c r="C289" s="155"/>
      <c r="D289" s="155"/>
      <c r="E289" s="155"/>
      <c r="F289" s="198"/>
      <c r="G289" s="155"/>
      <c r="H289" s="155"/>
      <c r="I289" s="156"/>
      <c r="J289" s="156"/>
      <c r="K289" s="156"/>
      <c r="L289" s="156"/>
      <c r="M289" s="156"/>
      <c r="N289" s="156"/>
      <c r="O289" s="156"/>
      <c r="P289" s="156"/>
      <c r="Q289" s="155"/>
      <c r="R289" s="190"/>
      <c r="S289" s="191"/>
    </row>
    <row r="290" ht="29.25" hidden="1" customHeight="1">
      <c r="A290" s="155"/>
      <c r="B290" s="155"/>
      <c r="C290" s="155"/>
      <c r="D290" s="155"/>
      <c r="E290" s="155"/>
      <c r="F290" s="198"/>
      <c r="G290" s="155"/>
      <c r="H290" s="155"/>
      <c r="I290" s="156"/>
      <c r="J290" s="156"/>
      <c r="K290" s="156"/>
      <c r="L290" s="156"/>
      <c r="M290" s="156"/>
      <c r="N290" s="156"/>
      <c r="O290" s="156"/>
      <c r="P290" s="156"/>
      <c r="Q290" s="155"/>
      <c r="R290" s="190"/>
      <c r="S290" s="191"/>
    </row>
    <row r="291" ht="29.25" hidden="1" customHeight="1">
      <c r="A291" s="155"/>
      <c r="B291" s="155"/>
      <c r="C291" s="155"/>
      <c r="D291" s="155"/>
      <c r="E291" s="155"/>
      <c r="F291" s="198"/>
      <c r="G291" s="155"/>
      <c r="H291" s="155"/>
      <c r="I291" s="156"/>
      <c r="J291" s="156"/>
      <c r="K291" s="156"/>
      <c r="L291" s="156"/>
      <c r="M291" s="156"/>
      <c r="N291" s="156"/>
      <c r="O291" s="156"/>
      <c r="P291" s="156"/>
      <c r="Q291" s="155"/>
      <c r="R291" s="190"/>
      <c r="S291" s="191"/>
    </row>
    <row r="292" ht="29.25" hidden="1" customHeight="1">
      <c r="A292" s="155"/>
      <c r="B292" s="155"/>
      <c r="C292" s="155"/>
      <c r="D292" s="155"/>
      <c r="E292" s="155"/>
      <c r="F292" s="198"/>
      <c r="G292" s="155"/>
      <c r="H292" s="155"/>
      <c r="I292" s="156"/>
      <c r="J292" s="156"/>
      <c r="K292" s="156"/>
      <c r="L292" s="156"/>
      <c r="M292" s="156"/>
      <c r="N292" s="156"/>
      <c r="O292" s="156"/>
      <c r="P292" s="156"/>
      <c r="Q292" s="155"/>
      <c r="R292" s="190"/>
      <c r="S292" s="191"/>
    </row>
    <row r="293" ht="29.25" hidden="1" customHeight="1">
      <c r="A293" s="155"/>
      <c r="B293" s="155"/>
      <c r="C293" s="155"/>
      <c r="D293" s="155"/>
      <c r="E293" s="155"/>
      <c r="F293" s="198"/>
      <c r="G293" s="155"/>
      <c r="H293" s="155"/>
      <c r="I293" s="156"/>
      <c r="J293" s="156"/>
      <c r="K293" s="156"/>
      <c r="L293" s="156"/>
      <c r="M293" s="156"/>
      <c r="N293" s="156"/>
      <c r="O293" s="156"/>
      <c r="P293" s="156"/>
      <c r="Q293" s="155"/>
      <c r="R293" s="190"/>
      <c r="S293" s="191"/>
    </row>
    <row r="294" ht="29.25" hidden="1" customHeight="1">
      <c r="A294" s="155"/>
      <c r="B294" s="155"/>
      <c r="C294" s="155"/>
      <c r="D294" s="155"/>
      <c r="E294" s="155"/>
      <c r="F294" s="198"/>
      <c r="G294" s="155"/>
      <c r="H294" s="155"/>
      <c r="I294" s="156"/>
      <c r="J294" s="156"/>
      <c r="K294" s="156"/>
      <c r="L294" s="156"/>
      <c r="M294" s="156"/>
      <c r="N294" s="156"/>
      <c r="O294" s="156"/>
      <c r="P294" s="156"/>
      <c r="Q294" s="155"/>
      <c r="R294" s="190"/>
      <c r="S294" s="191"/>
    </row>
    <row r="295" ht="29.25" hidden="1" customHeight="1">
      <c r="A295" s="155"/>
      <c r="B295" s="155"/>
      <c r="C295" s="155"/>
      <c r="D295" s="155"/>
      <c r="E295" s="155"/>
      <c r="F295" s="198"/>
      <c r="G295" s="155"/>
      <c r="H295" s="155"/>
      <c r="I295" s="156"/>
      <c r="J295" s="156"/>
      <c r="K295" s="156"/>
      <c r="L295" s="156"/>
      <c r="M295" s="156"/>
      <c r="N295" s="156"/>
      <c r="O295" s="156"/>
      <c r="P295" s="156"/>
      <c r="Q295" s="155"/>
      <c r="R295" s="190"/>
      <c r="S295" s="191"/>
    </row>
    <row r="296" ht="29.25" hidden="1" customHeight="1">
      <c r="A296" s="155"/>
      <c r="B296" s="155"/>
      <c r="C296" s="155"/>
      <c r="D296" s="155"/>
      <c r="E296" s="155"/>
      <c r="F296" s="198"/>
      <c r="G296" s="155"/>
      <c r="H296" s="155"/>
      <c r="I296" s="156"/>
      <c r="J296" s="156"/>
      <c r="K296" s="156"/>
      <c r="L296" s="156"/>
      <c r="M296" s="156"/>
      <c r="N296" s="156"/>
      <c r="O296" s="156"/>
      <c r="P296" s="156"/>
      <c r="Q296" s="155"/>
      <c r="R296" s="190"/>
      <c r="S296" s="191"/>
    </row>
    <row r="297" ht="29.25" hidden="1" customHeight="1">
      <c r="A297" s="155"/>
      <c r="B297" s="155"/>
      <c r="C297" s="155"/>
      <c r="D297" s="155"/>
      <c r="E297" s="155"/>
      <c r="F297" s="198"/>
      <c r="G297" s="155"/>
      <c r="H297" s="155"/>
      <c r="I297" s="156"/>
      <c r="J297" s="156"/>
      <c r="K297" s="156"/>
      <c r="L297" s="156"/>
      <c r="M297" s="156"/>
      <c r="N297" s="156"/>
      <c r="O297" s="156"/>
      <c r="P297" s="156"/>
      <c r="Q297" s="155"/>
      <c r="R297" s="190"/>
      <c r="S297" s="191"/>
    </row>
    <row r="298" ht="29.25" hidden="1" customHeight="1">
      <c r="A298" s="155"/>
      <c r="B298" s="155"/>
      <c r="C298" s="155"/>
      <c r="D298" s="155"/>
      <c r="E298" s="155"/>
      <c r="F298" s="198"/>
      <c r="G298" s="155"/>
      <c r="H298" s="155"/>
      <c r="I298" s="156"/>
      <c r="J298" s="156"/>
      <c r="K298" s="156"/>
      <c r="L298" s="156"/>
      <c r="M298" s="156"/>
      <c r="N298" s="156"/>
      <c r="O298" s="156"/>
      <c r="P298" s="156"/>
      <c r="Q298" s="155"/>
      <c r="R298" s="190"/>
      <c r="S298" s="191"/>
    </row>
    <row r="299" ht="29.25" hidden="1" customHeight="1">
      <c r="A299" s="155"/>
      <c r="B299" s="155"/>
      <c r="C299" s="155"/>
      <c r="D299" s="155"/>
      <c r="E299" s="155"/>
      <c r="F299" s="198"/>
      <c r="G299" s="155"/>
      <c r="H299" s="155"/>
      <c r="I299" s="156"/>
      <c r="J299" s="156"/>
      <c r="K299" s="156"/>
      <c r="L299" s="156"/>
      <c r="M299" s="156"/>
      <c r="N299" s="156"/>
      <c r="O299" s="156"/>
      <c r="P299" s="156"/>
      <c r="Q299" s="155"/>
      <c r="R299" s="190"/>
      <c r="S299" s="191"/>
    </row>
    <row r="300" ht="29.25" hidden="1" customHeight="1">
      <c r="A300" s="155"/>
      <c r="B300" s="155"/>
      <c r="C300" s="155"/>
      <c r="D300" s="155"/>
      <c r="E300" s="155"/>
      <c r="F300" s="198"/>
      <c r="G300" s="155"/>
      <c r="H300" s="155"/>
      <c r="I300" s="156"/>
      <c r="J300" s="156"/>
      <c r="K300" s="156"/>
      <c r="L300" s="156"/>
      <c r="M300" s="156"/>
      <c r="N300" s="156"/>
      <c r="O300" s="156"/>
      <c r="P300" s="156"/>
      <c r="Q300" s="155"/>
      <c r="R300" s="190"/>
      <c r="S300" s="191"/>
    </row>
    <row r="301" ht="29.25" hidden="1" customHeight="1">
      <c r="A301" s="155"/>
      <c r="B301" s="155"/>
      <c r="C301" s="155"/>
      <c r="D301" s="155"/>
      <c r="E301" s="155"/>
      <c r="F301" s="198"/>
      <c r="G301" s="155"/>
      <c r="H301" s="155"/>
      <c r="I301" s="156"/>
      <c r="J301" s="156"/>
      <c r="K301" s="156"/>
      <c r="L301" s="156"/>
      <c r="M301" s="156"/>
      <c r="N301" s="156"/>
      <c r="O301" s="156"/>
      <c r="P301" s="156"/>
      <c r="Q301" s="155"/>
      <c r="R301" s="190"/>
      <c r="S301" s="191"/>
    </row>
    <row r="302" ht="29.25" hidden="1" customHeight="1">
      <c r="A302" s="155"/>
      <c r="B302" s="155"/>
      <c r="C302" s="155"/>
      <c r="D302" s="155"/>
      <c r="E302" s="155"/>
      <c r="F302" s="198"/>
      <c r="G302" s="155"/>
      <c r="H302" s="155"/>
      <c r="I302" s="156"/>
      <c r="J302" s="156"/>
      <c r="K302" s="156"/>
      <c r="L302" s="156"/>
      <c r="M302" s="156"/>
      <c r="N302" s="156"/>
      <c r="O302" s="156"/>
      <c r="P302" s="156"/>
      <c r="Q302" s="155"/>
      <c r="R302" s="190"/>
      <c r="S302" s="191"/>
    </row>
    <row r="303" ht="29.25" hidden="1" customHeight="1">
      <c r="A303" s="155"/>
      <c r="B303" s="155"/>
      <c r="C303" s="155"/>
      <c r="D303" s="155"/>
      <c r="E303" s="155"/>
      <c r="F303" s="198"/>
      <c r="G303" s="155"/>
      <c r="H303" s="155"/>
      <c r="I303" s="156"/>
      <c r="J303" s="156"/>
      <c r="K303" s="156"/>
      <c r="L303" s="156"/>
      <c r="M303" s="156"/>
      <c r="N303" s="156"/>
      <c r="O303" s="156"/>
      <c r="P303" s="156"/>
      <c r="Q303" s="155"/>
      <c r="R303" s="190"/>
      <c r="S303" s="191"/>
    </row>
    <row r="304" ht="29.25" hidden="1" customHeight="1">
      <c r="A304" s="155"/>
      <c r="B304" s="155"/>
      <c r="C304" s="155"/>
      <c r="D304" s="155"/>
      <c r="E304" s="155"/>
      <c r="F304" s="198"/>
      <c r="G304" s="155"/>
      <c r="H304" s="155"/>
      <c r="I304" s="156"/>
      <c r="J304" s="156"/>
      <c r="K304" s="156"/>
      <c r="L304" s="156"/>
      <c r="M304" s="156"/>
      <c r="N304" s="156"/>
      <c r="O304" s="156"/>
      <c r="P304" s="156"/>
      <c r="Q304" s="155"/>
      <c r="R304" s="190"/>
      <c r="S304" s="191"/>
    </row>
    <row r="305" ht="29.25" hidden="1" customHeight="1">
      <c r="A305" s="155"/>
      <c r="B305" s="155"/>
      <c r="C305" s="155"/>
      <c r="D305" s="155"/>
      <c r="E305" s="155"/>
      <c r="F305" s="198"/>
      <c r="G305" s="155"/>
      <c r="H305" s="155"/>
      <c r="I305" s="156"/>
      <c r="J305" s="156"/>
      <c r="K305" s="156"/>
      <c r="L305" s="156"/>
      <c r="M305" s="156"/>
      <c r="N305" s="156"/>
      <c r="O305" s="156"/>
      <c r="P305" s="156"/>
      <c r="Q305" s="155"/>
      <c r="R305" s="190"/>
      <c r="S305" s="191"/>
    </row>
    <row r="306" ht="29.25" hidden="1" customHeight="1">
      <c r="A306" s="155"/>
      <c r="B306" s="155"/>
      <c r="C306" s="155"/>
      <c r="D306" s="155"/>
      <c r="E306" s="155"/>
      <c r="F306" s="198"/>
      <c r="G306" s="155"/>
      <c r="H306" s="155"/>
      <c r="I306" s="156"/>
      <c r="J306" s="156"/>
      <c r="K306" s="156"/>
      <c r="L306" s="156"/>
      <c r="M306" s="156"/>
      <c r="N306" s="156"/>
      <c r="O306" s="156"/>
      <c r="P306" s="156"/>
      <c r="Q306" s="155"/>
      <c r="R306" s="190"/>
      <c r="S306" s="191"/>
    </row>
    <row r="307" ht="29.25" hidden="1" customHeight="1">
      <c r="A307" s="155"/>
      <c r="B307" s="155"/>
      <c r="C307" s="155"/>
      <c r="D307" s="155"/>
      <c r="E307" s="155"/>
      <c r="F307" s="198"/>
      <c r="G307" s="155"/>
      <c r="H307" s="155"/>
      <c r="I307" s="156"/>
      <c r="J307" s="156"/>
      <c r="K307" s="156"/>
      <c r="L307" s="156"/>
      <c r="M307" s="156"/>
      <c r="N307" s="156"/>
      <c r="O307" s="156"/>
      <c r="P307" s="156"/>
      <c r="Q307" s="155"/>
      <c r="R307" s="190"/>
      <c r="S307" s="191"/>
    </row>
    <row r="308" ht="29.25" hidden="1" customHeight="1">
      <c r="A308" s="155"/>
      <c r="B308" s="155"/>
      <c r="C308" s="155"/>
      <c r="D308" s="155"/>
      <c r="E308" s="155"/>
      <c r="F308" s="198"/>
      <c r="G308" s="155"/>
      <c r="H308" s="155"/>
      <c r="I308" s="156"/>
      <c r="J308" s="156"/>
      <c r="K308" s="156"/>
      <c r="L308" s="156"/>
      <c r="M308" s="156"/>
      <c r="N308" s="156"/>
      <c r="O308" s="156"/>
      <c r="P308" s="156"/>
      <c r="Q308" s="155"/>
      <c r="R308" s="190"/>
      <c r="S308" s="191"/>
    </row>
    <row r="309" ht="29.25" hidden="1" customHeight="1">
      <c r="A309" s="155"/>
      <c r="B309" s="155"/>
      <c r="C309" s="155"/>
      <c r="D309" s="155"/>
      <c r="E309" s="155"/>
      <c r="F309" s="198"/>
      <c r="G309" s="155"/>
      <c r="H309" s="155"/>
      <c r="I309" s="156"/>
      <c r="J309" s="156"/>
      <c r="K309" s="156"/>
      <c r="L309" s="156"/>
      <c r="M309" s="156"/>
      <c r="N309" s="156"/>
      <c r="O309" s="156"/>
      <c r="P309" s="156"/>
      <c r="Q309" s="155"/>
      <c r="R309" s="190"/>
      <c r="S309" s="191"/>
    </row>
    <row r="310" ht="29.25" hidden="1" customHeight="1">
      <c r="A310" s="155"/>
      <c r="B310" s="155"/>
      <c r="C310" s="155"/>
      <c r="D310" s="155"/>
      <c r="E310" s="155"/>
      <c r="F310" s="198"/>
      <c r="G310" s="155"/>
      <c r="H310" s="155"/>
      <c r="I310" s="156"/>
      <c r="J310" s="156"/>
      <c r="K310" s="156"/>
      <c r="L310" s="156"/>
      <c r="M310" s="156"/>
      <c r="N310" s="156"/>
      <c r="O310" s="156"/>
      <c r="P310" s="156"/>
      <c r="Q310" s="155"/>
      <c r="R310" s="190"/>
      <c r="S310" s="191"/>
    </row>
    <row r="311" ht="29.25" hidden="1" customHeight="1">
      <c r="A311" s="155"/>
      <c r="B311" s="155"/>
      <c r="C311" s="155"/>
      <c r="D311" s="155"/>
      <c r="E311" s="155"/>
      <c r="F311" s="198"/>
      <c r="G311" s="155"/>
      <c r="H311" s="155"/>
      <c r="I311" s="156"/>
      <c r="J311" s="156"/>
      <c r="K311" s="156"/>
      <c r="L311" s="156"/>
      <c r="M311" s="156"/>
      <c r="N311" s="156"/>
      <c r="O311" s="156"/>
      <c r="P311" s="156"/>
      <c r="Q311" s="155"/>
      <c r="R311" s="190"/>
      <c r="S311" s="191"/>
    </row>
    <row r="312" ht="29.25" hidden="1" customHeight="1">
      <c r="A312" s="155"/>
      <c r="B312" s="155"/>
      <c r="C312" s="155"/>
      <c r="D312" s="155"/>
      <c r="E312" s="155"/>
      <c r="F312" s="198"/>
      <c r="G312" s="155"/>
      <c r="H312" s="155"/>
      <c r="I312" s="156"/>
      <c r="J312" s="156"/>
      <c r="K312" s="156"/>
      <c r="L312" s="156"/>
      <c r="M312" s="156"/>
      <c r="N312" s="156"/>
      <c r="O312" s="156"/>
      <c r="P312" s="156"/>
      <c r="Q312" s="155"/>
      <c r="R312" s="190"/>
      <c r="S312" s="191"/>
    </row>
    <row r="313" ht="29.25" hidden="1" customHeight="1">
      <c r="A313" s="155"/>
      <c r="B313" s="155"/>
      <c r="C313" s="155"/>
      <c r="D313" s="155"/>
      <c r="E313" s="155"/>
      <c r="F313" s="198"/>
      <c r="G313" s="155"/>
      <c r="H313" s="155"/>
      <c r="I313" s="156"/>
      <c r="J313" s="156"/>
      <c r="K313" s="156"/>
      <c r="L313" s="156"/>
      <c r="M313" s="156"/>
      <c r="N313" s="156"/>
      <c r="O313" s="156"/>
      <c r="P313" s="156"/>
      <c r="Q313" s="155"/>
      <c r="R313" s="190"/>
      <c r="S313" s="191"/>
    </row>
    <row r="314" ht="29.25" hidden="1" customHeight="1">
      <c r="A314" s="155"/>
      <c r="B314" s="155"/>
      <c r="C314" s="155"/>
      <c r="D314" s="155"/>
      <c r="E314" s="155"/>
      <c r="F314" s="198"/>
      <c r="G314" s="155"/>
      <c r="H314" s="155"/>
      <c r="I314" s="156"/>
      <c r="J314" s="156"/>
      <c r="K314" s="156"/>
      <c r="L314" s="156"/>
      <c r="M314" s="156"/>
      <c r="N314" s="156"/>
      <c r="O314" s="156"/>
      <c r="P314" s="156"/>
      <c r="Q314" s="155"/>
      <c r="R314" s="190"/>
      <c r="S314" s="191"/>
    </row>
    <row r="315" ht="29.25" hidden="1" customHeight="1">
      <c r="A315" s="155"/>
      <c r="B315" s="155"/>
      <c r="C315" s="155"/>
      <c r="D315" s="155"/>
      <c r="E315" s="155"/>
      <c r="F315" s="198"/>
      <c r="G315" s="155"/>
      <c r="H315" s="155"/>
      <c r="I315" s="156"/>
      <c r="J315" s="156"/>
      <c r="K315" s="156"/>
      <c r="L315" s="156"/>
      <c r="M315" s="156"/>
      <c r="N315" s="156"/>
      <c r="O315" s="156"/>
      <c r="P315" s="156"/>
      <c r="Q315" s="155"/>
      <c r="R315" s="190"/>
      <c r="S315" s="191"/>
    </row>
    <row r="316" ht="29.25" hidden="1" customHeight="1">
      <c r="A316" s="155"/>
      <c r="B316" s="155"/>
      <c r="C316" s="155"/>
      <c r="D316" s="155"/>
      <c r="E316" s="155"/>
      <c r="F316" s="198"/>
      <c r="G316" s="155"/>
      <c r="H316" s="155"/>
      <c r="I316" s="156"/>
      <c r="J316" s="156"/>
      <c r="K316" s="156"/>
      <c r="L316" s="156"/>
      <c r="M316" s="156"/>
      <c r="N316" s="156"/>
      <c r="O316" s="156"/>
      <c r="P316" s="156"/>
      <c r="Q316" s="155"/>
      <c r="R316" s="190"/>
      <c r="S316" s="191"/>
    </row>
    <row r="317" ht="29.25" hidden="1" customHeight="1">
      <c r="A317" s="155"/>
      <c r="B317" s="155"/>
      <c r="C317" s="155"/>
      <c r="D317" s="155"/>
      <c r="E317" s="155"/>
      <c r="F317" s="198"/>
      <c r="G317" s="155"/>
      <c r="H317" s="155"/>
      <c r="I317" s="156"/>
      <c r="J317" s="156"/>
      <c r="K317" s="156"/>
      <c r="L317" s="156"/>
      <c r="M317" s="156"/>
      <c r="N317" s="156"/>
      <c r="O317" s="156"/>
      <c r="P317" s="156"/>
      <c r="Q317" s="155"/>
      <c r="R317" s="190"/>
      <c r="S317" s="191"/>
    </row>
    <row r="318" ht="29.25" hidden="1" customHeight="1">
      <c r="A318" s="155"/>
      <c r="B318" s="155"/>
      <c r="C318" s="155"/>
      <c r="D318" s="155"/>
      <c r="E318" s="155"/>
      <c r="F318" s="198"/>
      <c r="G318" s="155"/>
      <c r="H318" s="155"/>
      <c r="I318" s="156"/>
      <c r="J318" s="156"/>
      <c r="K318" s="156"/>
      <c r="L318" s="156"/>
      <c r="M318" s="156"/>
      <c r="N318" s="156"/>
      <c r="O318" s="156"/>
      <c r="P318" s="156"/>
      <c r="Q318" s="155"/>
      <c r="R318" s="190"/>
      <c r="S318" s="191"/>
    </row>
    <row r="319" ht="29.25" hidden="1" customHeight="1">
      <c r="A319" s="155"/>
      <c r="B319" s="155"/>
      <c r="C319" s="155"/>
      <c r="D319" s="155"/>
      <c r="E319" s="155"/>
      <c r="F319" s="198"/>
      <c r="G319" s="155"/>
      <c r="H319" s="155"/>
      <c r="I319" s="156"/>
      <c r="J319" s="156"/>
      <c r="K319" s="156"/>
      <c r="L319" s="156"/>
      <c r="M319" s="156"/>
      <c r="N319" s="156"/>
      <c r="O319" s="156"/>
      <c r="P319" s="156"/>
      <c r="Q319" s="155"/>
      <c r="R319" s="190"/>
      <c r="S319" s="191"/>
    </row>
    <row r="320" ht="29.25" hidden="1" customHeight="1">
      <c r="A320" s="155"/>
      <c r="B320" s="155"/>
      <c r="C320" s="155"/>
      <c r="D320" s="155"/>
      <c r="E320" s="155"/>
      <c r="F320" s="198"/>
      <c r="G320" s="155"/>
      <c r="H320" s="155"/>
      <c r="I320" s="156"/>
      <c r="J320" s="156"/>
      <c r="K320" s="156"/>
      <c r="L320" s="156"/>
      <c r="M320" s="156"/>
      <c r="N320" s="156"/>
      <c r="O320" s="156"/>
      <c r="P320" s="156"/>
      <c r="Q320" s="155"/>
      <c r="R320" s="190"/>
      <c r="S320" s="191"/>
    </row>
    <row r="321" ht="29.25" hidden="1" customHeight="1">
      <c r="A321" s="155"/>
      <c r="B321" s="155"/>
      <c r="C321" s="155"/>
      <c r="D321" s="155"/>
      <c r="E321" s="155"/>
      <c r="F321" s="198"/>
      <c r="G321" s="155"/>
      <c r="H321" s="155"/>
      <c r="I321" s="156"/>
      <c r="J321" s="156"/>
      <c r="K321" s="156"/>
      <c r="L321" s="156"/>
      <c r="M321" s="156"/>
      <c r="N321" s="156"/>
      <c r="O321" s="156"/>
      <c r="P321" s="156"/>
      <c r="Q321" s="155"/>
      <c r="R321" s="190"/>
      <c r="S321" s="191"/>
    </row>
    <row r="322" ht="29.25" hidden="1" customHeight="1">
      <c r="A322" s="155"/>
      <c r="B322" s="155"/>
      <c r="C322" s="155"/>
      <c r="D322" s="155"/>
      <c r="E322" s="155"/>
      <c r="F322" s="198"/>
      <c r="G322" s="155"/>
      <c r="H322" s="155"/>
      <c r="I322" s="156"/>
      <c r="J322" s="156"/>
      <c r="K322" s="156"/>
      <c r="L322" s="156"/>
      <c r="M322" s="156"/>
      <c r="N322" s="156"/>
      <c r="O322" s="156"/>
      <c r="P322" s="156"/>
      <c r="Q322" s="155"/>
      <c r="R322" s="190"/>
      <c r="S322" s="191"/>
    </row>
    <row r="323" ht="29.25" hidden="1" customHeight="1">
      <c r="A323" s="155"/>
      <c r="B323" s="155"/>
      <c r="C323" s="155"/>
      <c r="D323" s="155"/>
      <c r="E323" s="155"/>
      <c r="F323" s="198"/>
      <c r="G323" s="155"/>
      <c r="H323" s="155"/>
      <c r="I323" s="156"/>
      <c r="J323" s="156"/>
      <c r="K323" s="156"/>
      <c r="L323" s="156"/>
      <c r="M323" s="156"/>
      <c r="N323" s="156"/>
      <c r="O323" s="156"/>
      <c r="P323" s="156"/>
      <c r="Q323" s="155"/>
      <c r="R323" s="190"/>
      <c r="S323" s="191"/>
    </row>
    <row r="324" ht="29.25" hidden="1" customHeight="1">
      <c r="A324" s="155"/>
      <c r="B324" s="155"/>
      <c r="C324" s="155"/>
      <c r="D324" s="155"/>
      <c r="E324" s="155"/>
      <c r="F324" s="198"/>
      <c r="G324" s="155"/>
      <c r="H324" s="155"/>
      <c r="I324" s="156"/>
      <c r="J324" s="156"/>
      <c r="K324" s="156"/>
      <c r="L324" s="156"/>
      <c r="M324" s="156"/>
      <c r="N324" s="156"/>
      <c r="O324" s="156"/>
      <c r="P324" s="156"/>
      <c r="Q324" s="155"/>
      <c r="R324" s="190"/>
      <c r="S324" s="191"/>
    </row>
    <row r="325" ht="29.25" hidden="1" customHeight="1">
      <c r="A325" s="155"/>
      <c r="B325" s="155"/>
      <c r="C325" s="155"/>
      <c r="D325" s="155"/>
      <c r="E325" s="155"/>
      <c r="F325" s="198"/>
      <c r="G325" s="155"/>
      <c r="H325" s="155"/>
      <c r="I325" s="156"/>
      <c r="J325" s="156"/>
      <c r="K325" s="156"/>
      <c r="L325" s="156"/>
      <c r="M325" s="156"/>
      <c r="N325" s="156"/>
      <c r="O325" s="156"/>
      <c r="P325" s="156"/>
      <c r="Q325" s="155"/>
      <c r="R325" s="190"/>
      <c r="S325" s="191"/>
    </row>
    <row r="326" ht="29.25" hidden="1" customHeight="1">
      <c r="A326" s="155"/>
      <c r="B326" s="155"/>
      <c r="C326" s="155"/>
      <c r="D326" s="155"/>
      <c r="E326" s="155"/>
      <c r="F326" s="198"/>
      <c r="G326" s="155"/>
      <c r="H326" s="155"/>
      <c r="I326" s="156"/>
      <c r="J326" s="156"/>
      <c r="K326" s="156"/>
      <c r="L326" s="156"/>
      <c r="M326" s="156"/>
      <c r="N326" s="156"/>
      <c r="O326" s="156"/>
      <c r="P326" s="156"/>
      <c r="Q326" s="155"/>
      <c r="R326" s="190"/>
      <c r="S326" s="191"/>
    </row>
    <row r="327" ht="29.25" hidden="1" customHeight="1">
      <c r="A327" s="155"/>
      <c r="B327" s="155"/>
      <c r="C327" s="155"/>
      <c r="D327" s="155"/>
      <c r="E327" s="155"/>
      <c r="F327" s="198"/>
      <c r="G327" s="155"/>
      <c r="H327" s="155"/>
      <c r="I327" s="156"/>
      <c r="J327" s="156"/>
      <c r="K327" s="156"/>
      <c r="L327" s="156"/>
      <c r="M327" s="156"/>
      <c r="N327" s="156"/>
      <c r="O327" s="156"/>
      <c r="P327" s="156"/>
      <c r="Q327" s="155"/>
      <c r="R327" s="190"/>
      <c r="S327" s="191"/>
    </row>
    <row r="328" ht="29.25" hidden="1" customHeight="1">
      <c r="A328" s="155"/>
      <c r="B328" s="155"/>
      <c r="C328" s="155"/>
      <c r="D328" s="155"/>
      <c r="E328" s="155"/>
      <c r="F328" s="198"/>
      <c r="G328" s="155"/>
      <c r="H328" s="155"/>
      <c r="I328" s="156"/>
      <c r="J328" s="156"/>
      <c r="K328" s="156"/>
      <c r="L328" s="156"/>
      <c r="M328" s="156"/>
      <c r="N328" s="156"/>
      <c r="O328" s="156"/>
      <c r="P328" s="156"/>
      <c r="Q328" s="155"/>
      <c r="R328" s="190"/>
      <c r="S328" s="191"/>
    </row>
    <row r="329" ht="29.25" hidden="1" customHeight="1">
      <c r="A329" s="155"/>
      <c r="B329" s="155"/>
      <c r="C329" s="155"/>
      <c r="D329" s="155"/>
      <c r="E329" s="155"/>
      <c r="F329" s="198"/>
      <c r="G329" s="155"/>
      <c r="H329" s="155"/>
      <c r="I329" s="156"/>
      <c r="J329" s="156"/>
      <c r="K329" s="156"/>
      <c r="L329" s="156"/>
      <c r="M329" s="156"/>
      <c r="N329" s="156"/>
      <c r="O329" s="156"/>
      <c r="P329" s="156"/>
      <c r="Q329" s="155"/>
      <c r="R329" s="190"/>
      <c r="S329" s="191"/>
    </row>
    <row r="330" ht="29.25" hidden="1" customHeight="1">
      <c r="A330" s="155"/>
      <c r="B330" s="155"/>
      <c r="C330" s="155"/>
      <c r="D330" s="155"/>
      <c r="E330" s="155"/>
      <c r="F330" s="198"/>
      <c r="G330" s="155"/>
      <c r="H330" s="155"/>
      <c r="I330" s="156"/>
      <c r="J330" s="156"/>
      <c r="K330" s="156"/>
      <c r="L330" s="156"/>
      <c r="M330" s="156"/>
      <c r="N330" s="156"/>
      <c r="O330" s="156"/>
      <c r="P330" s="156"/>
      <c r="Q330" s="155"/>
      <c r="R330" s="190"/>
      <c r="S330" s="191"/>
    </row>
    <row r="331" ht="29.25" hidden="1" customHeight="1">
      <c r="A331" s="155"/>
      <c r="B331" s="155"/>
      <c r="C331" s="155"/>
      <c r="D331" s="155"/>
      <c r="E331" s="155"/>
      <c r="F331" s="198"/>
      <c r="G331" s="155"/>
      <c r="H331" s="155"/>
      <c r="I331" s="156"/>
      <c r="J331" s="156"/>
      <c r="K331" s="156"/>
      <c r="L331" s="156"/>
      <c r="M331" s="156"/>
      <c r="N331" s="156"/>
      <c r="O331" s="156"/>
      <c r="P331" s="156"/>
      <c r="Q331" s="155"/>
      <c r="R331" s="190"/>
      <c r="S331" s="191"/>
    </row>
    <row r="332" ht="29.25" hidden="1" customHeight="1">
      <c r="A332" s="155"/>
      <c r="B332" s="155"/>
      <c r="C332" s="155"/>
      <c r="D332" s="155"/>
      <c r="E332" s="155"/>
      <c r="F332" s="198"/>
      <c r="G332" s="155"/>
      <c r="H332" s="155"/>
      <c r="I332" s="156"/>
      <c r="J332" s="156"/>
      <c r="K332" s="156"/>
      <c r="L332" s="156"/>
      <c r="M332" s="156"/>
      <c r="N332" s="156"/>
      <c r="O332" s="156"/>
      <c r="P332" s="156"/>
      <c r="Q332" s="155"/>
      <c r="R332" s="190"/>
      <c r="S332" s="191"/>
    </row>
    <row r="333" ht="29.25" hidden="1" customHeight="1">
      <c r="A333" s="155"/>
      <c r="B333" s="155"/>
      <c r="C333" s="155"/>
      <c r="D333" s="155"/>
      <c r="E333" s="155"/>
      <c r="F333" s="198"/>
      <c r="G333" s="155"/>
      <c r="H333" s="155"/>
      <c r="I333" s="156"/>
      <c r="J333" s="156"/>
      <c r="K333" s="156"/>
      <c r="L333" s="156"/>
      <c r="M333" s="156"/>
      <c r="N333" s="156"/>
      <c r="O333" s="156"/>
      <c r="P333" s="156"/>
      <c r="Q333" s="155"/>
      <c r="R333" s="190"/>
      <c r="S333" s="191"/>
    </row>
    <row r="334" ht="29.25" hidden="1" customHeight="1">
      <c r="A334" s="155"/>
      <c r="B334" s="155"/>
      <c r="C334" s="155"/>
      <c r="D334" s="155"/>
      <c r="E334" s="155"/>
      <c r="F334" s="198"/>
      <c r="G334" s="155"/>
      <c r="H334" s="155"/>
      <c r="I334" s="156"/>
      <c r="J334" s="156"/>
      <c r="K334" s="156"/>
      <c r="L334" s="156"/>
      <c r="M334" s="156"/>
      <c r="N334" s="156"/>
      <c r="O334" s="156"/>
      <c r="P334" s="156"/>
      <c r="Q334" s="155"/>
      <c r="R334" s="190"/>
      <c r="S334" s="191"/>
    </row>
    <row r="335" ht="29.25" hidden="1" customHeight="1">
      <c r="A335" s="155"/>
      <c r="B335" s="155"/>
      <c r="C335" s="155"/>
      <c r="D335" s="155"/>
      <c r="E335" s="155"/>
      <c r="F335" s="198"/>
      <c r="G335" s="155"/>
      <c r="H335" s="155"/>
      <c r="I335" s="156"/>
      <c r="J335" s="156"/>
      <c r="K335" s="156"/>
      <c r="L335" s="156"/>
      <c r="M335" s="156"/>
      <c r="N335" s="156"/>
      <c r="O335" s="156"/>
      <c r="P335" s="156"/>
      <c r="Q335" s="155"/>
      <c r="R335" s="190"/>
      <c r="S335" s="191"/>
    </row>
    <row r="336" ht="29.25" hidden="1" customHeight="1">
      <c r="A336" s="155"/>
      <c r="B336" s="155"/>
      <c r="C336" s="155"/>
      <c r="D336" s="155"/>
      <c r="E336" s="155"/>
      <c r="F336" s="198"/>
      <c r="G336" s="155"/>
      <c r="H336" s="155"/>
      <c r="I336" s="156"/>
      <c r="J336" s="156"/>
      <c r="K336" s="156"/>
      <c r="L336" s="156"/>
      <c r="M336" s="156"/>
      <c r="N336" s="156"/>
      <c r="O336" s="156"/>
      <c r="P336" s="156"/>
      <c r="Q336" s="155"/>
      <c r="R336" s="190"/>
      <c r="S336" s="191"/>
    </row>
    <row r="337" ht="29.25" hidden="1" customHeight="1">
      <c r="A337" s="155"/>
      <c r="B337" s="155"/>
      <c r="C337" s="155"/>
      <c r="D337" s="155"/>
      <c r="E337" s="155"/>
      <c r="F337" s="198"/>
      <c r="G337" s="155"/>
      <c r="H337" s="155"/>
      <c r="I337" s="156"/>
      <c r="J337" s="156"/>
      <c r="K337" s="156"/>
      <c r="L337" s="156"/>
      <c r="M337" s="156"/>
      <c r="N337" s="156"/>
      <c r="O337" s="156"/>
      <c r="P337" s="156"/>
      <c r="Q337" s="155"/>
      <c r="R337" s="190"/>
      <c r="S337" s="191"/>
    </row>
    <row r="338" ht="29.25" hidden="1" customHeight="1">
      <c r="A338" s="155"/>
      <c r="B338" s="155"/>
      <c r="C338" s="155"/>
      <c r="D338" s="155"/>
      <c r="E338" s="155"/>
      <c r="F338" s="198"/>
      <c r="G338" s="155"/>
      <c r="H338" s="155"/>
      <c r="I338" s="156"/>
      <c r="J338" s="156"/>
      <c r="K338" s="156"/>
      <c r="L338" s="156"/>
      <c r="M338" s="156"/>
      <c r="N338" s="156"/>
      <c r="O338" s="156"/>
      <c r="P338" s="156"/>
      <c r="Q338" s="155"/>
      <c r="R338" s="190"/>
      <c r="S338" s="191"/>
    </row>
    <row r="339" ht="29.25" hidden="1" customHeight="1">
      <c r="A339" s="155"/>
      <c r="B339" s="155"/>
      <c r="C339" s="155"/>
      <c r="D339" s="155"/>
      <c r="E339" s="155"/>
      <c r="F339" s="198"/>
      <c r="G339" s="155"/>
      <c r="H339" s="155"/>
      <c r="I339" s="156"/>
      <c r="J339" s="156"/>
      <c r="K339" s="156"/>
      <c r="L339" s="156"/>
      <c r="M339" s="156"/>
      <c r="N339" s="156"/>
      <c r="O339" s="156"/>
      <c r="P339" s="156"/>
      <c r="Q339" s="155"/>
      <c r="R339" s="190"/>
      <c r="S339" s="191"/>
    </row>
    <row r="340" ht="29.25" hidden="1" customHeight="1">
      <c r="A340" s="155"/>
      <c r="B340" s="155"/>
      <c r="C340" s="155"/>
      <c r="D340" s="155"/>
      <c r="E340" s="155"/>
      <c r="F340" s="198"/>
      <c r="G340" s="155"/>
      <c r="H340" s="155"/>
      <c r="I340" s="156"/>
      <c r="J340" s="156"/>
      <c r="K340" s="156"/>
      <c r="L340" s="156"/>
      <c r="M340" s="156"/>
      <c r="N340" s="156"/>
      <c r="O340" s="156"/>
      <c r="P340" s="156"/>
      <c r="Q340" s="155"/>
      <c r="R340" s="190"/>
      <c r="S340" s="191"/>
    </row>
    <row r="341" ht="29.25" hidden="1" customHeight="1">
      <c r="A341" s="155"/>
      <c r="B341" s="155"/>
      <c r="C341" s="155"/>
      <c r="D341" s="155"/>
      <c r="E341" s="155"/>
      <c r="F341" s="198"/>
      <c r="G341" s="155"/>
      <c r="H341" s="155"/>
      <c r="I341" s="156"/>
      <c r="J341" s="156"/>
      <c r="K341" s="156"/>
      <c r="L341" s="156"/>
      <c r="M341" s="156"/>
      <c r="N341" s="156"/>
      <c r="O341" s="156"/>
      <c r="P341" s="156"/>
      <c r="Q341" s="155"/>
      <c r="R341" s="190"/>
      <c r="S341" s="191"/>
    </row>
    <row r="342" ht="29.25" hidden="1" customHeight="1">
      <c r="A342" s="155"/>
      <c r="B342" s="155"/>
      <c r="C342" s="155"/>
      <c r="D342" s="155"/>
      <c r="E342" s="155"/>
      <c r="F342" s="198"/>
      <c r="G342" s="155"/>
      <c r="H342" s="155"/>
      <c r="I342" s="156"/>
      <c r="J342" s="156"/>
      <c r="K342" s="156"/>
      <c r="L342" s="156"/>
      <c r="M342" s="156"/>
      <c r="N342" s="156"/>
      <c r="O342" s="156"/>
      <c r="P342" s="156"/>
      <c r="Q342" s="155"/>
      <c r="R342" s="190"/>
      <c r="S342" s="191"/>
    </row>
    <row r="343" ht="29.25" hidden="1" customHeight="1">
      <c r="A343" s="155"/>
      <c r="B343" s="155"/>
      <c r="C343" s="155"/>
      <c r="D343" s="155"/>
      <c r="E343" s="155"/>
      <c r="F343" s="198"/>
      <c r="G343" s="155"/>
      <c r="H343" s="155"/>
      <c r="I343" s="156"/>
      <c r="J343" s="156"/>
      <c r="K343" s="156"/>
      <c r="L343" s="156"/>
      <c r="M343" s="156"/>
      <c r="N343" s="156"/>
      <c r="O343" s="156"/>
      <c r="P343" s="156"/>
      <c r="Q343" s="155"/>
      <c r="R343" s="190"/>
      <c r="S343" s="191"/>
    </row>
    <row r="344" ht="29.25" hidden="1" customHeight="1">
      <c r="A344" s="155"/>
      <c r="B344" s="155"/>
      <c r="C344" s="155"/>
      <c r="D344" s="155"/>
      <c r="E344" s="155"/>
      <c r="F344" s="198"/>
      <c r="G344" s="155"/>
      <c r="H344" s="155"/>
      <c r="I344" s="156"/>
      <c r="J344" s="156"/>
      <c r="K344" s="156"/>
      <c r="L344" s="156"/>
      <c r="M344" s="156"/>
      <c r="N344" s="156"/>
      <c r="O344" s="156"/>
      <c r="P344" s="156"/>
      <c r="Q344" s="155"/>
      <c r="R344" s="190"/>
      <c r="S344" s="191"/>
    </row>
    <row r="345" ht="29.25" hidden="1" customHeight="1">
      <c r="A345" s="155"/>
      <c r="B345" s="155"/>
      <c r="C345" s="155"/>
      <c r="D345" s="155"/>
      <c r="E345" s="155"/>
      <c r="F345" s="198"/>
      <c r="G345" s="155"/>
      <c r="H345" s="155"/>
      <c r="I345" s="156"/>
      <c r="J345" s="156"/>
      <c r="K345" s="156"/>
      <c r="L345" s="156"/>
      <c r="M345" s="156"/>
      <c r="N345" s="156"/>
      <c r="O345" s="156"/>
      <c r="P345" s="156"/>
      <c r="Q345" s="155"/>
      <c r="R345" s="190"/>
      <c r="S345" s="191"/>
    </row>
    <row r="346" ht="29.25" hidden="1" customHeight="1">
      <c r="A346" s="155"/>
      <c r="B346" s="155"/>
      <c r="C346" s="155"/>
      <c r="D346" s="155"/>
      <c r="E346" s="155"/>
      <c r="F346" s="198"/>
      <c r="G346" s="155"/>
      <c r="H346" s="155"/>
      <c r="I346" s="156"/>
      <c r="J346" s="156"/>
      <c r="K346" s="156"/>
      <c r="L346" s="156"/>
      <c r="M346" s="156"/>
      <c r="N346" s="156"/>
      <c r="O346" s="156"/>
      <c r="P346" s="156"/>
      <c r="Q346" s="155"/>
      <c r="R346" s="190"/>
      <c r="S346" s="191"/>
    </row>
    <row r="347" ht="29.25" hidden="1" customHeight="1">
      <c r="A347" s="155"/>
      <c r="B347" s="155"/>
      <c r="C347" s="155"/>
      <c r="D347" s="155"/>
      <c r="E347" s="155"/>
      <c r="F347" s="198"/>
      <c r="G347" s="155"/>
      <c r="H347" s="155"/>
      <c r="I347" s="156"/>
      <c r="J347" s="156"/>
      <c r="K347" s="156"/>
      <c r="L347" s="156"/>
      <c r="M347" s="156"/>
      <c r="N347" s="156"/>
      <c r="O347" s="156"/>
      <c r="P347" s="156"/>
      <c r="Q347" s="155"/>
      <c r="R347" s="190"/>
      <c r="S347" s="191"/>
    </row>
    <row r="348" ht="29.25" hidden="1" customHeight="1">
      <c r="A348" s="155"/>
      <c r="B348" s="155"/>
      <c r="C348" s="155"/>
      <c r="D348" s="155"/>
      <c r="E348" s="155"/>
      <c r="F348" s="198"/>
      <c r="G348" s="155"/>
      <c r="H348" s="155"/>
      <c r="I348" s="156"/>
      <c r="J348" s="156"/>
      <c r="K348" s="156"/>
      <c r="L348" s="156"/>
      <c r="M348" s="156"/>
      <c r="N348" s="156"/>
      <c r="O348" s="156"/>
      <c r="P348" s="156"/>
      <c r="Q348" s="155"/>
      <c r="R348" s="190"/>
      <c r="S348" s="191"/>
    </row>
    <row r="349" ht="29.25" hidden="1" customHeight="1">
      <c r="A349" s="155"/>
      <c r="B349" s="155"/>
      <c r="C349" s="155"/>
      <c r="D349" s="155"/>
      <c r="E349" s="155"/>
      <c r="F349" s="198"/>
      <c r="G349" s="155"/>
      <c r="H349" s="155"/>
      <c r="I349" s="156"/>
      <c r="J349" s="156"/>
      <c r="K349" s="156"/>
      <c r="L349" s="156"/>
      <c r="M349" s="156"/>
      <c r="N349" s="156"/>
      <c r="O349" s="156"/>
      <c r="P349" s="156"/>
      <c r="Q349" s="155"/>
      <c r="R349" s="190"/>
      <c r="S349" s="191"/>
    </row>
    <row r="350" ht="29.25" hidden="1" customHeight="1">
      <c r="A350" s="155"/>
      <c r="B350" s="155"/>
      <c r="C350" s="155"/>
      <c r="D350" s="155"/>
      <c r="E350" s="155"/>
      <c r="F350" s="198"/>
      <c r="G350" s="155"/>
      <c r="H350" s="155"/>
      <c r="I350" s="156"/>
      <c r="J350" s="156"/>
      <c r="K350" s="156"/>
      <c r="L350" s="156"/>
      <c r="M350" s="156"/>
      <c r="N350" s="156"/>
      <c r="O350" s="156"/>
      <c r="P350" s="156"/>
      <c r="Q350" s="155"/>
      <c r="R350" s="190"/>
      <c r="S350" s="191"/>
    </row>
    <row r="351" ht="29.25" hidden="1" customHeight="1">
      <c r="A351" s="155"/>
      <c r="B351" s="155"/>
      <c r="C351" s="155"/>
      <c r="D351" s="155"/>
      <c r="E351" s="155"/>
      <c r="F351" s="198"/>
      <c r="G351" s="155"/>
      <c r="H351" s="155"/>
      <c r="I351" s="156"/>
      <c r="J351" s="156"/>
      <c r="K351" s="156"/>
      <c r="L351" s="156"/>
      <c r="M351" s="156"/>
      <c r="N351" s="156"/>
      <c r="O351" s="156"/>
      <c r="P351" s="156"/>
      <c r="Q351" s="155"/>
      <c r="R351" s="190"/>
      <c r="S351" s="191"/>
    </row>
    <row r="352" ht="29.25" hidden="1" customHeight="1">
      <c r="A352" s="155"/>
      <c r="B352" s="155"/>
      <c r="C352" s="155"/>
      <c r="D352" s="155"/>
      <c r="E352" s="155"/>
      <c r="F352" s="198"/>
      <c r="G352" s="155"/>
      <c r="H352" s="155"/>
      <c r="I352" s="156"/>
      <c r="J352" s="156"/>
      <c r="K352" s="156"/>
      <c r="L352" s="156"/>
      <c r="M352" s="156"/>
      <c r="N352" s="156"/>
      <c r="O352" s="156"/>
      <c r="P352" s="156"/>
      <c r="Q352" s="155"/>
      <c r="R352" s="190"/>
      <c r="S352" s="191"/>
    </row>
    <row r="353" ht="29.25" hidden="1" customHeight="1">
      <c r="A353" s="155"/>
      <c r="B353" s="155"/>
      <c r="C353" s="155"/>
      <c r="D353" s="155"/>
      <c r="E353" s="155"/>
      <c r="F353" s="198"/>
      <c r="G353" s="155"/>
      <c r="H353" s="155"/>
      <c r="I353" s="156"/>
      <c r="J353" s="156"/>
      <c r="K353" s="156"/>
      <c r="L353" s="156"/>
      <c r="M353" s="156"/>
      <c r="N353" s="156"/>
      <c r="O353" s="156"/>
      <c r="P353" s="156"/>
      <c r="Q353" s="155"/>
      <c r="R353" s="190"/>
      <c r="S353" s="191"/>
    </row>
    <row r="354" ht="29.25" hidden="1" customHeight="1">
      <c r="A354" s="155"/>
      <c r="B354" s="155"/>
      <c r="C354" s="155"/>
      <c r="D354" s="155"/>
      <c r="E354" s="155"/>
      <c r="F354" s="198"/>
      <c r="G354" s="155"/>
      <c r="H354" s="155"/>
      <c r="I354" s="156"/>
      <c r="J354" s="156"/>
      <c r="K354" s="156"/>
      <c r="L354" s="156"/>
      <c r="M354" s="156"/>
      <c r="N354" s="156"/>
      <c r="O354" s="156"/>
      <c r="P354" s="156"/>
      <c r="Q354" s="155"/>
      <c r="R354" s="190"/>
      <c r="S354" s="191"/>
    </row>
    <row r="355" ht="29.25" hidden="1" customHeight="1">
      <c r="A355" s="155"/>
      <c r="B355" s="155"/>
      <c r="C355" s="155"/>
      <c r="D355" s="155"/>
      <c r="E355" s="155"/>
      <c r="F355" s="198"/>
      <c r="G355" s="155"/>
      <c r="H355" s="155"/>
      <c r="I355" s="156"/>
      <c r="J355" s="156"/>
      <c r="K355" s="156"/>
      <c r="L355" s="156"/>
      <c r="M355" s="156"/>
      <c r="N355" s="156"/>
      <c r="O355" s="156"/>
      <c r="P355" s="156"/>
      <c r="Q355" s="155"/>
      <c r="R355" s="190"/>
      <c r="S355" s="191"/>
    </row>
    <row r="356" ht="29.25" hidden="1" customHeight="1">
      <c r="A356" s="155"/>
      <c r="B356" s="155"/>
      <c r="C356" s="155"/>
      <c r="D356" s="155"/>
      <c r="E356" s="155"/>
      <c r="F356" s="198"/>
      <c r="G356" s="155"/>
      <c r="H356" s="155"/>
      <c r="I356" s="156"/>
      <c r="J356" s="156"/>
      <c r="K356" s="156"/>
      <c r="L356" s="156"/>
      <c r="M356" s="156"/>
      <c r="N356" s="156"/>
      <c r="O356" s="156"/>
      <c r="P356" s="156"/>
      <c r="Q356" s="155"/>
      <c r="R356" s="190"/>
      <c r="S356" s="191"/>
    </row>
    <row r="357" ht="29.25" hidden="1" customHeight="1">
      <c r="A357" s="155"/>
      <c r="B357" s="155"/>
      <c r="C357" s="155"/>
      <c r="D357" s="155"/>
      <c r="E357" s="155"/>
      <c r="F357" s="198"/>
      <c r="G357" s="155"/>
      <c r="H357" s="155"/>
      <c r="I357" s="156"/>
      <c r="J357" s="156"/>
      <c r="K357" s="156"/>
      <c r="L357" s="156"/>
      <c r="M357" s="156"/>
      <c r="N357" s="156"/>
      <c r="O357" s="156"/>
      <c r="P357" s="156"/>
      <c r="Q357" s="155"/>
      <c r="R357" s="190"/>
      <c r="S357" s="191"/>
    </row>
    <row r="358" ht="29.25" hidden="1" customHeight="1">
      <c r="A358" s="155"/>
      <c r="B358" s="155"/>
      <c r="C358" s="155"/>
      <c r="D358" s="155"/>
      <c r="E358" s="155"/>
      <c r="F358" s="198"/>
      <c r="G358" s="155"/>
      <c r="H358" s="155"/>
      <c r="I358" s="156"/>
      <c r="J358" s="156"/>
      <c r="K358" s="156"/>
      <c r="L358" s="156"/>
      <c r="M358" s="156"/>
      <c r="N358" s="156"/>
      <c r="O358" s="156"/>
      <c r="P358" s="156"/>
      <c r="Q358" s="155"/>
      <c r="R358" s="190"/>
      <c r="S358" s="191"/>
    </row>
    <row r="359" ht="29.25" hidden="1" customHeight="1">
      <c r="A359" s="155"/>
      <c r="B359" s="155"/>
      <c r="C359" s="155"/>
      <c r="D359" s="155"/>
      <c r="E359" s="155"/>
      <c r="F359" s="198"/>
      <c r="G359" s="155"/>
      <c r="H359" s="155"/>
      <c r="I359" s="156"/>
      <c r="J359" s="156"/>
      <c r="K359" s="156"/>
      <c r="L359" s="156"/>
      <c r="M359" s="156"/>
      <c r="N359" s="156"/>
      <c r="O359" s="156"/>
      <c r="P359" s="156"/>
      <c r="Q359" s="155"/>
      <c r="R359" s="190"/>
      <c r="S359" s="191"/>
    </row>
    <row r="360" ht="29.25" hidden="1" customHeight="1">
      <c r="A360" s="155"/>
      <c r="B360" s="155"/>
      <c r="C360" s="155"/>
      <c r="D360" s="155"/>
      <c r="E360" s="155"/>
      <c r="F360" s="198"/>
      <c r="G360" s="155"/>
      <c r="H360" s="155"/>
      <c r="I360" s="156"/>
      <c r="J360" s="156"/>
      <c r="K360" s="156"/>
      <c r="L360" s="156"/>
      <c r="M360" s="156"/>
      <c r="N360" s="156"/>
      <c r="O360" s="156"/>
      <c r="P360" s="156"/>
      <c r="Q360" s="155"/>
      <c r="R360" s="190"/>
      <c r="S360" s="191"/>
    </row>
    <row r="361" ht="29.25" hidden="1" customHeight="1">
      <c r="A361" s="155"/>
      <c r="B361" s="155"/>
      <c r="C361" s="155"/>
      <c r="D361" s="155"/>
      <c r="E361" s="155"/>
      <c r="F361" s="198"/>
      <c r="G361" s="155"/>
      <c r="H361" s="155"/>
      <c r="I361" s="156"/>
      <c r="J361" s="156"/>
      <c r="K361" s="156"/>
      <c r="L361" s="156"/>
      <c r="M361" s="156"/>
      <c r="N361" s="156"/>
      <c r="O361" s="156"/>
      <c r="P361" s="156"/>
      <c r="Q361" s="155"/>
      <c r="R361" s="190"/>
      <c r="S361" s="191"/>
    </row>
    <row r="362" ht="29.25" hidden="1" customHeight="1">
      <c r="A362" s="155"/>
      <c r="B362" s="155"/>
      <c r="C362" s="155"/>
      <c r="D362" s="155"/>
      <c r="E362" s="155"/>
      <c r="F362" s="198"/>
      <c r="G362" s="155"/>
      <c r="H362" s="155"/>
      <c r="I362" s="156"/>
      <c r="J362" s="156"/>
      <c r="K362" s="156"/>
      <c r="L362" s="156"/>
      <c r="M362" s="156"/>
      <c r="N362" s="156"/>
      <c r="O362" s="156"/>
      <c r="P362" s="156"/>
      <c r="Q362" s="155"/>
      <c r="R362" s="190"/>
      <c r="S362" s="191"/>
    </row>
    <row r="363" ht="29.25" hidden="1" customHeight="1">
      <c r="A363" s="155"/>
      <c r="B363" s="155"/>
      <c r="C363" s="155"/>
      <c r="D363" s="155"/>
      <c r="E363" s="155"/>
      <c r="F363" s="198"/>
      <c r="G363" s="155"/>
      <c r="H363" s="155"/>
      <c r="I363" s="156"/>
      <c r="J363" s="156"/>
      <c r="K363" s="156"/>
      <c r="L363" s="156"/>
      <c r="M363" s="156"/>
      <c r="N363" s="156"/>
      <c r="O363" s="156"/>
      <c r="P363" s="156"/>
      <c r="Q363" s="155"/>
      <c r="R363" s="190"/>
      <c r="S363" s="191"/>
    </row>
    <row r="364" ht="29.25" hidden="1" customHeight="1">
      <c r="A364" s="155"/>
      <c r="B364" s="155"/>
      <c r="C364" s="155"/>
      <c r="D364" s="155"/>
      <c r="E364" s="155"/>
      <c r="F364" s="198"/>
      <c r="G364" s="155"/>
      <c r="H364" s="155"/>
      <c r="I364" s="156"/>
      <c r="J364" s="156"/>
      <c r="K364" s="156"/>
      <c r="L364" s="156"/>
      <c r="M364" s="156"/>
      <c r="N364" s="156"/>
      <c r="O364" s="156"/>
      <c r="P364" s="156"/>
      <c r="Q364" s="155"/>
      <c r="R364" s="190"/>
      <c r="S364" s="191"/>
    </row>
    <row r="365" ht="29.25" hidden="1" customHeight="1">
      <c r="A365" s="155"/>
      <c r="B365" s="155"/>
      <c r="C365" s="155"/>
      <c r="D365" s="155"/>
      <c r="E365" s="155"/>
      <c r="F365" s="198"/>
      <c r="G365" s="155"/>
      <c r="H365" s="155"/>
      <c r="I365" s="156"/>
      <c r="J365" s="156"/>
      <c r="K365" s="156"/>
      <c r="L365" s="156"/>
      <c r="M365" s="156"/>
      <c r="N365" s="156"/>
      <c r="O365" s="156"/>
      <c r="P365" s="156"/>
      <c r="Q365" s="155"/>
      <c r="R365" s="190"/>
      <c r="S365" s="191"/>
    </row>
    <row r="366" ht="29.25" hidden="1" customHeight="1">
      <c r="A366" s="155"/>
      <c r="B366" s="155"/>
      <c r="C366" s="155"/>
      <c r="D366" s="155"/>
      <c r="E366" s="155"/>
      <c r="F366" s="198"/>
      <c r="G366" s="155"/>
      <c r="H366" s="155"/>
      <c r="I366" s="156"/>
      <c r="J366" s="156"/>
      <c r="K366" s="156"/>
      <c r="L366" s="156"/>
      <c r="M366" s="156"/>
      <c r="N366" s="156"/>
      <c r="O366" s="156"/>
      <c r="P366" s="156"/>
      <c r="Q366" s="155"/>
      <c r="R366" s="190"/>
      <c r="S366" s="191"/>
    </row>
    <row r="367" ht="29.25" hidden="1" customHeight="1">
      <c r="A367" s="155"/>
      <c r="B367" s="155"/>
      <c r="C367" s="155"/>
      <c r="D367" s="155"/>
      <c r="E367" s="155"/>
      <c r="F367" s="198"/>
      <c r="G367" s="155"/>
      <c r="H367" s="155"/>
      <c r="I367" s="156"/>
      <c r="J367" s="156"/>
      <c r="K367" s="156"/>
      <c r="L367" s="156"/>
      <c r="M367" s="156"/>
      <c r="N367" s="156"/>
      <c r="O367" s="156"/>
      <c r="P367" s="156"/>
      <c r="Q367" s="155"/>
      <c r="R367" s="190"/>
      <c r="S367" s="191"/>
    </row>
    <row r="368" ht="29.25" hidden="1" customHeight="1">
      <c r="A368" s="155"/>
      <c r="B368" s="155"/>
      <c r="C368" s="155"/>
      <c r="D368" s="155"/>
      <c r="E368" s="155"/>
      <c r="F368" s="198"/>
      <c r="G368" s="155"/>
      <c r="H368" s="155"/>
      <c r="I368" s="156"/>
      <c r="J368" s="156"/>
      <c r="K368" s="156"/>
      <c r="L368" s="156"/>
      <c r="M368" s="156"/>
      <c r="N368" s="156"/>
      <c r="O368" s="156"/>
      <c r="P368" s="156"/>
      <c r="Q368" s="155"/>
      <c r="R368" s="190"/>
      <c r="S368" s="191"/>
    </row>
    <row r="369" ht="29.25" hidden="1" customHeight="1">
      <c r="A369" s="155"/>
      <c r="B369" s="155"/>
      <c r="C369" s="155"/>
      <c r="D369" s="155"/>
      <c r="E369" s="155"/>
      <c r="F369" s="198"/>
      <c r="G369" s="155"/>
      <c r="H369" s="155"/>
      <c r="I369" s="156"/>
      <c r="J369" s="156"/>
      <c r="K369" s="156"/>
      <c r="L369" s="156"/>
      <c r="M369" s="156"/>
      <c r="N369" s="156"/>
      <c r="O369" s="156"/>
      <c r="P369" s="156"/>
      <c r="Q369" s="155"/>
      <c r="R369" s="190"/>
      <c r="S369" s="191"/>
    </row>
    <row r="370" ht="29.25" hidden="1" customHeight="1">
      <c r="A370" s="155"/>
      <c r="B370" s="155"/>
      <c r="C370" s="155"/>
      <c r="D370" s="155"/>
      <c r="E370" s="155"/>
      <c r="F370" s="198"/>
      <c r="G370" s="155"/>
      <c r="H370" s="155"/>
      <c r="I370" s="156"/>
      <c r="J370" s="156"/>
      <c r="K370" s="156"/>
      <c r="L370" s="156"/>
      <c r="M370" s="156"/>
      <c r="N370" s="156"/>
      <c r="O370" s="156"/>
      <c r="P370" s="156"/>
      <c r="Q370" s="155"/>
      <c r="R370" s="190"/>
      <c r="S370" s="191"/>
    </row>
    <row r="371" ht="29.25" hidden="1" customHeight="1">
      <c r="A371" s="155"/>
      <c r="B371" s="155"/>
      <c r="C371" s="155"/>
      <c r="D371" s="155"/>
      <c r="E371" s="155"/>
      <c r="F371" s="198"/>
      <c r="G371" s="155"/>
      <c r="H371" s="155"/>
      <c r="I371" s="156"/>
      <c r="J371" s="156"/>
      <c r="K371" s="156"/>
      <c r="L371" s="156"/>
      <c r="M371" s="156"/>
      <c r="N371" s="156"/>
      <c r="O371" s="156"/>
      <c r="P371" s="156"/>
      <c r="Q371" s="155"/>
      <c r="R371" s="190"/>
      <c r="S371" s="191"/>
    </row>
    <row r="372" ht="29.25" hidden="1" customHeight="1">
      <c r="A372" s="155"/>
      <c r="B372" s="155"/>
      <c r="C372" s="155"/>
      <c r="D372" s="155"/>
      <c r="E372" s="155"/>
      <c r="F372" s="198"/>
      <c r="G372" s="155"/>
      <c r="H372" s="155"/>
      <c r="I372" s="156"/>
      <c r="J372" s="156"/>
      <c r="K372" s="156"/>
      <c r="L372" s="156"/>
      <c r="M372" s="156"/>
      <c r="N372" s="156"/>
      <c r="O372" s="156"/>
      <c r="P372" s="156"/>
      <c r="Q372" s="155"/>
      <c r="R372" s="190"/>
      <c r="S372" s="191"/>
    </row>
    <row r="373" ht="29.25" hidden="1" customHeight="1">
      <c r="A373" s="155"/>
      <c r="B373" s="155"/>
      <c r="C373" s="155"/>
      <c r="D373" s="155"/>
      <c r="E373" s="155"/>
      <c r="F373" s="198"/>
      <c r="G373" s="155"/>
      <c r="H373" s="155"/>
      <c r="I373" s="156"/>
      <c r="J373" s="156"/>
      <c r="K373" s="156"/>
      <c r="L373" s="156"/>
      <c r="M373" s="156"/>
      <c r="N373" s="156"/>
      <c r="O373" s="156"/>
      <c r="P373" s="156"/>
      <c r="Q373" s="155"/>
      <c r="R373" s="190"/>
      <c r="S373" s="191"/>
    </row>
    <row r="374" ht="29.25" hidden="1" customHeight="1">
      <c r="A374" s="155"/>
      <c r="B374" s="155"/>
      <c r="C374" s="155"/>
      <c r="D374" s="155"/>
      <c r="E374" s="155"/>
      <c r="F374" s="198"/>
      <c r="G374" s="155"/>
      <c r="H374" s="155"/>
      <c r="I374" s="156"/>
      <c r="J374" s="156"/>
      <c r="K374" s="156"/>
      <c r="L374" s="156"/>
      <c r="M374" s="156"/>
      <c r="N374" s="156"/>
      <c r="O374" s="156"/>
      <c r="P374" s="156"/>
      <c r="Q374" s="155"/>
      <c r="R374" s="190"/>
      <c r="S374" s="191"/>
    </row>
    <row r="375" ht="29.25" hidden="1" customHeight="1">
      <c r="A375" s="155"/>
      <c r="B375" s="155"/>
      <c r="C375" s="155"/>
      <c r="D375" s="155"/>
      <c r="E375" s="155"/>
      <c r="F375" s="198"/>
      <c r="G375" s="155"/>
      <c r="H375" s="155"/>
      <c r="I375" s="156"/>
      <c r="J375" s="156"/>
      <c r="K375" s="156"/>
      <c r="L375" s="156"/>
      <c r="M375" s="156"/>
      <c r="N375" s="156"/>
      <c r="O375" s="156"/>
      <c r="P375" s="156"/>
      <c r="Q375" s="155"/>
      <c r="R375" s="190"/>
      <c r="S375" s="191"/>
    </row>
    <row r="376" ht="29.25" hidden="1" customHeight="1">
      <c r="A376" s="155"/>
      <c r="B376" s="155"/>
      <c r="C376" s="155"/>
      <c r="D376" s="155"/>
      <c r="E376" s="155"/>
      <c r="F376" s="198"/>
      <c r="G376" s="155"/>
      <c r="H376" s="155"/>
      <c r="I376" s="156"/>
      <c r="J376" s="156"/>
      <c r="K376" s="156"/>
      <c r="L376" s="156"/>
      <c r="M376" s="156"/>
      <c r="N376" s="156"/>
      <c r="O376" s="156"/>
      <c r="P376" s="156"/>
      <c r="Q376" s="155"/>
      <c r="R376" s="190"/>
      <c r="S376" s="191"/>
    </row>
    <row r="377" ht="29.25" hidden="1" customHeight="1">
      <c r="A377" s="155"/>
      <c r="B377" s="155"/>
      <c r="C377" s="155"/>
      <c r="D377" s="155"/>
      <c r="E377" s="155"/>
      <c r="F377" s="198"/>
      <c r="G377" s="155"/>
      <c r="H377" s="155"/>
      <c r="I377" s="156"/>
      <c r="J377" s="156"/>
      <c r="K377" s="156"/>
      <c r="L377" s="156"/>
      <c r="M377" s="156"/>
      <c r="N377" s="156"/>
      <c r="O377" s="156"/>
      <c r="P377" s="156"/>
      <c r="Q377" s="155"/>
      <c r="R377" s="190"/>
      <c r="S377" s="191"/>
    </row>
    <row r="378" ht="29.25" hidden="1" customHeight="1">
      <c r="A378" s="155"/>
      <c r="B378" s="155"/>
      <c r="C378" s="155"/>
      <c r="D378" s="155"/>
      <c r="E378" s="155"/>
      <c r="F378" s="198"/>
      <c r="G378" s="155"/>
      <c r="H378" s="155"/>
      <c r="I378" s="156"/>
      <c r="J378" s="156"/>
      <c r="K378" s="156"/>
      <c r="L378" s="156"/>
      <c r="M378" s="156"/>
      <c r="N378" s="156"/>
      <c r="O378" s="156"/>
      <c r="P378" s="156"/>
      <c r="Q378" s="155"/>
      <c r="R378" s="190"/>
      <c r="S378" s="191"/>
    </row>
    <row r="379" ht="29.25" hidden="1" customHeight="1">
      <c r="A379" s="155"/>
      <c r="B379" s="155"/>
      <c r="C379" s="155"/>
      <c r="D379" s="155"/>
      <c r="E379" s="155"/>
      <c r="F379" s="198"/>
      <c r="G379" s="155"/>
      <c r="H379" s="155"/>
      <c r="I379" s="156"/>
      <c r="J379" s="156"/>
      <c r="K379" s="156"/>
      <c r="L379" s="156"/>
      <c r="M379" s="156"/>
      <c r="N379" s="156"/>
      <c r="O379" s="156"/>
      <c r="P379" s="156"/>
      <c r="Q379" s="155"/>
      <c r="R379" s="190"/>
      <c r="S379" s="191"/>
    </row>
    <row r="380" ht="29.25" hidden="1" customHeight="1">
      <c r="A380" s="155"/>
      <c r="B380" s="155"/>
      <c r="C380" s="155"/>
      <c r="D380" s="155"/>
      <c r="E380" s="155"/>
      <c r="F380" s="198"/>
      <c r="G380" s="155"/>
      <c r="H380" s="155"/>
      <c r="I380" s="156"/>
      <c r="J380" s="156"/>
      <c r="K380" s="156"/>
      <c r="L380" s="156"/>
      <c r="M380" s="156"/>
      <c r="N380" s="156"/>
      <c r="O380" s="156"/>
      <c r="P380" s="156"/>
      <c r="Q380" s="155"/>
      <c r="R380" s="190"/>
      <c r="S380" s="191"/>
    </row>
    <row r="381" ht="29.25" hidden="1" customHeight="1">
      <c r="A381" s="155"/>
      <c r="B381" s="155"/>
      <c r="C381" s="155"/>
      <c r="D381" s="155"/>
      <c r="E381" s="155"/>
      <c r="F381" s="198"/>
      <c r="G381" s="155"/>
      <c r="H381" s="155"/>
      <c r="I381" s="156"/>
      <c r="J381" s="156"/>
      <c r="K381" s="156"/>
      <c r="L381" s="156"/>
      <c r="M381" s="156"/>
      <c r="N381" s="156"/>
      <c r="O381" s="156"/>
      <c r="P381" s="156"/>
      <c r="Q381" s="155"/>
      <c r="R381" s="190"/>
      <c r="S381" s="191"/>
    </row>
    <row r="382" ht="29.25" hidden="1" customHeight="1">
      <c r="A382" s="155"/>
      <c r="B382" s="155"/>
      <c r="C382" s="155"/>
      <c r="D382" s="155"/>
      <c r="E382" s="155"/>
      <c r="F382" s="198"/>
      <c r="G382" s="155"/>
      <c r="H382" s="155"/>
      <c r="I382" s="156"/>
      <c r="J382" s="156"/>
      <c r="K382" s="156"/>
      <c r="L382" s="156"/>
      <c r="M382" s="156"/>
      <c r="N382" s="156"/>
      <c r="O382" s="156"/>
      <c r="P382" s="156"/>
      <c r="Q382" s="155"/>
      <c r="R382" s="190"/>
      <c r="S382" s="191"/>
    </row>
    <row r="383" ht="29.25" hidden="1" customHeight="1">
      <c r="A383" s="155"/>
      <c r="B383" s="155"/>
      <c r="C383" s="155"/>
      <c r="D383" s="155"/>
      <c r="E383" s="155"/>
      <c r="F383" s="198"/>
      <c r="G383" s="155"/>
      <c r="H383" s="155"/>
      <c r="I383" s="156"/>
      <c r="J383" s="156"/>
      <c r="K383" s="156"/>
      <c r="L383" s="156"/>
      <c r="M383" s="156"/>
      <c r="N383" s="156"/>
      <c r="O383" s="156"/>
      <c r="P383" s="156"/>
      <c r="Q383" s="155"/>
      <c r="R383" s="190"/>
      <c r="S383" s="191"/>
    </row>
    <row r="384" ht="29.25" hidden="1" customHeight="1">
      <c r="A384" s="155"/>
      <c r="B384" s="155"/>
      <c r="C384" s="155"/>
      <c r="D384" s="155"/>
      <c r="E384" s="155"/>
      <c r="F384" s="198"/>
      <c r="G384" s="155"/>
      <c r="H384" s="155"/>
      <c r="I384" s="156"/>
      <c r="J384" s="156"/>
      <c r="K384" s="156"/>
      <c r="L384" s="156"/>
      <c r="M384" s="156"/>
      <c r="N384" s="156"/>
      <c r="O384" s="156"/>
      <c r="P384" s="156"/>
      <c r="Q384" s="155"/>
      <c r="R384" s="190"/>
      <c r="S384" s="191"/>
    </row>
    <row r="385" ht="29.25" hidden="1" customHeight="1">
      <c r="A385" s="155"/>
      <c r="B385" s="155"/>
      <c r="C385" s="155"/>
      <c r="D385" s="155"/>
      <c r="E385" s="155"/>
      <c r="F385" s="198"/>
      <c r="G385" s="155"/>
      <c r="H385" s="155"/>
      <c r="I385" s="156"/>
      <c r="J385" s="156"/>
      <c r="K385" s="156"/>
      <c r="L385" s="156"/>
      <c r="M385" s="156"/>
      <c r="N385" s="156"/>
      <c r="O385" s="156"/>
      <c r="P385" s="156"/>
      <c r="Q385" s="155"/>
      <c r="R385" s="190"/>
      <c r="S385" s="191"/>
    </row>
    <row r="386" ht="29.25" hidden="1" customHeight="1">
      <c r="A386" s="155"/>
      <c r="B386" s="155"/>
      <c r="C386" s="155"/>
      <c r="D386" s="155"/>
      <c r="E386" s="155"/>
      <c r="F386" s="198"/>
      <c r="G386" s="155"/>
      <c r="H386" s="155"/>
      <c r="I386" s="156"/>
      <c r="J386" s="156"/>
      <c r="K386" s="156"/>
      <c r="L386" s="156"/>
      <c r="M386" s="156"/>
      <c r="N386" s="156"/>
      <c r="O386" s="156"/>
      <c r="P386" s="156"/>
      <c r="Q386" s="155"/>
      <c r="R386" s="190"/>
      <c r="S386" s="191"/>
    </row>
    <row r="387" ht="29.25" hidden="1" customHeight="1">
      <c r="A387" s="155"/>
      <c r="B387" s="155"/>
      <c r="C387" s="155"/>
      <c r="D387" s="155"/>
      <c r="E387" s="155"/>
      <c r="F387" s="198"/>
      <c r="G387" s="155"/>
      <c r="H387" s="155"/>
      <c r="I387" s="156"/>
      <c r="J387" s="156"/>
      <c r="K387" s="156"/>
      <c r="L387" s="156"/>
      <c r="M387" s="156"/>
      <c r="N387" s="156"/>
      <c r="O387" s="156"/>
      <c r="P387" s="156"/>
      <c r="Q387" s="155"/>
      <c r="R387" s="190"/>
      <c r="S387" s="191"/>
    </row>
    <row r="388" ht="29.25" hidden="1" customHeight="1">
      <c r="A388" s="155"/>
      <c r="B388" s="155"/>
      <c r="C388" s="155"/>
      <c r="D388" s="155"/>
      <c r="E388" s="155"/>
      <c r="F388" s="198"/>
      <c r="G388" s="155"/>
      <c r="H388" s="155"/>
      <c r="I388" s="156"/>
      <c r="J388" s="156"/>
      <c r="K388" s="156"/>
      <c r="L388" s="156"/>
      <c r="M388" s="156"/>
      <c r="N388" s="156"/>
      <c r="O388" s="156"/>
      <c r="P388" s="156"/>
      <c r="Q388" s="155"/>
      <c r="R388" s="190"/>
      <c r="S388" s="191"/>
    </row>
    <row r="389" ht="29.25" hidden="1" customHeight="1">
      <c r="A389" s="155"/>
      <c r="B389" s="155"/>
      <c r="C389" s="155"/>
      <c r="D389" s="155"/>
      <c r="E389" s="155"/>
      <c r="F389" s="198"/>
      <c r="G389" s="155"/>
      <c r="H389" s="155"/>
      <c r="I389" s="156"/>
      <c r="J389" s="156"/>
      <c r="K389" s="156"/>
      <c r="L389" s="156"/>
      <c r="M389" s="156"/>
      <c r="N389" s="156"/>
      <c r="O389" s="156"/>
      <c r="P389" s="156"/>
      <c r="Q389" s="155"/>
      <c r="R389" s="190"/>
      <c r="S389" s="191"/>
    </row>
    <row r="390" ht="29.25" hidden="1" customHeight="1">
      <c r="A390" s="155"/>
      <c r="B390" s="155"/>
      <c r="C390" s="155"/>
      <c r="D390" s="155"/>
      <c r="E390" s="155"/>
      <c r="F390" s="198"/>
      <c r="G390" s="155"/>
      <c r="H390" s="155"/>
      <c r="I390" s="156"/>
      <c r="J390" s="156"/>
      <c r="K390" s="156"/>
      <c r="L390" s="156"/>
      <c r="M390" s="156"/>
      <c r="N390" s="156"/>
      <c r="O390" s="156"/>
      <c r="P390" s="156"/>
      <c r="Q390" s="155"/>
      <c r="R390" s="190"/>
      <c r="S390" s="191"/>
    </row>
    <row r="391" ht="29.25" hidden="1" customHeight="1">
      <c r="A391" s="155"/>
      <c r="B391" s="155"/>
      <c r="C391" s="155"/>
      <c r="D391" s="155"/>
      <c r="E391" s="155"/>
      <c r="F391" s="198"/>
      <c r="G391" s="155"/>
      <c r="H391" s="155"/>
      <c r="I391" s="156"/>
      <c r="J391" s="156"/>
      <c r="K391" s="156"/>
      <c r="L391" s="156"/>
      <c r="M391" s="156"/>
      <c r="N391" s="156"/>
      <c r="O391" s="156"/>
      <c r="P391" s="156"/>
      <c r="Q391" s="155"/>
      <c r="R391" s="190"/>
      <c r="S391" s="191"/>
    </row>
    <row r="392" ht="29.25" hidden="1" customHeight="1">
      <c r="A392" s="155"/>
      <c r="B392" s="155"/>
      <c r="C392" s="155"/>
      <c r="D392" s="155"/>
      <c r="E392" s="155"/>
      <c r="F392" s="198"/>
      <c r="G392" s="155"/>
      <c r="H392" s="155"/>
      <c r="I392" s="156"/>
      <c r="J392" s="156"/>
      <c r="K392" s="156"/>
      <c r="L392" s="156"/>
      <c r="M392" s="156"/>
      <c r="N392" s="156"/>
      <c r="O392" s="156"/>
      <c r="P392" s="156"/>
      <c r="Q392" s="155"/>
      <c r="R392" s="190"/>
      <c r="S392" s="191"/>
    </row>
    <row r="393" ht="29.25" hidden="1" customHeight="1">
      <c r="A393" s="155"/>
      <c r="B393" s="155"/>
      <c r="C393" s="155"/>
      <c r="D393" s="155"/>
      <c r="E393" s="155"/>
      <c r="F393" s="198"/>
      <c r="G393" s="155"/>
      <c r="H393" s="155"/>
      <c r="I393" s="156"/>
      <c r="J393" s="156"/>
      <c r="K393" s="156"/>
      <c r="L393" s="156"/>
      <c r="M393" s="156"/>
      <c r="N393" s="156"/>
      <c r="O393" s="156"/>
      <c r="P393" s="156"/>
      <c r="Q393" s="155"/>
      <c r="R393" s="190"/>
      <c r="S393" s="191"/>
    </row>
    <row r="394" ht="29.25" hidden="1" customHeight="1">
      <c r="A394" s="155"/>
      <c r="B394" s="155"/>
      <c r="C394" s="155"/>
      <c r="D394" s="155"/>
      <c r="E394" s="155"/>
      <c r="F394" s="198"/>
      <c r="G394" s="155"/>
      <c r="H394" s="155"/>
      <c r="I394" s="156"/>
      <c r="J394" s="156"/>
      <c r="K394" s="156"/>
      <c r="L394" s="156"/>
      <c r="M394" s="156"/>
      <c r="N394" s="156"/>
      <c r="O394" s="156"/>
      <c r="P394" s="156"/>
      <c r="Q394" s="155"/>
      <c r="R394" s="190"/>
      <c r="S394" s="191"/>
    </row>
    <row r="395" ht="29.25" hidden="1" customHeight="1">
      <c r="A395" s="155"/>
      <c r="B395" s="155"/>
      <c r="C395" s="155"/>
      <c r="D395" s="155"/>
      <c r="E395" s="155"/>
      <c r="F395" s="198"/>
      <c r="G395" s="155"/>
      <c r="H395" s="155"/>
      <c r="I395" s="156"/>
      <c r="J395" s="156"/>
      <c r="K395" s="156"/>
      <c r="L395" s="156"/>
      <c r="M395" s="156"/>
      <c r="N395" s="156"/>
      <c r="O395" s="156"/>
      <c r="P395" s="156"/>
      <c r="Q395" s="155"/>
      <c r="R395" s="190"/>
      <c r="S395" s="191"/>
    </row>
    <row r="396" ht="29.25" hidden="1" customHeight="1">
      <c r="A396" s="155"/>
      <c r="B396" s="155"/>
      <c r="C396" s="155"/>
      <c r="D396" s="155"/>
      <c r="E396" s="155"/>
      <c r="F396" s="198"/>
      <c r="G396" s="155"/>
      <c r="H396" s="155"/>
      <c r="I396" s="156"/>
      <c r="J396" s="156"/>
      <c r="K396" s="156"/>
      <c r="L396" s="156"/>
      <c r="M396" s="156"/>
      <c r="N396" s="156"/>
      <c r="O396" s="156"/>
      <c r="P396" s="156"/>
      <c r="Q396" s="155"/>
      <c r="R396" s="190"/>
      <c r="S396" s="191"/>
    </row>
    <row r="397" ht="29.25" hidden="1" customHeight="1">
      <c r="A397" s="155"/>
      <c r="B397" s="155"/>
      <c r="C397" s="155"/>
      <c r="D397" s="155"/>
      <c r="E397" s="155"/>
      <c r="F397" s="198"/>
      <c r="G397" s="155"/>
      <c r="H397" s="155"/>
      <c r="I397" s="156"/>
      <c r="J397" s="156"/>
      <c r="K397" s="156"/>
      <c r="L397" s="156"/>
      <c r="M397" s="156"/>
      <c r="N397" s="156"/>
      <c r="O397" s="156"/>
      <c r="P397" s="156"/>
      <c r="Q397" s="155"/>
      <c r="R397" s="190"/>
      <c r="S397" s="191"/>
    </row>
    <row r="398" ht="29.25" hidden="1" customHeight="1">
      <c r="A398" s="155"/>
      <c r="B398" s="155"/>
      <c r="C398" s="155"/>
      <c r="D398" s="155"/>
      <c r="E398" s="155"/>
      <c r="F398" s="198"/>
      <c r="G398" s="155"/>
      <c r="H398" s="155"/>
      <c r="I398" s="156"/>
      <c r="J398" s="156"/>
      <c r="K398" s="156"/>
      <c r="L398" s="156"/>
      <c r="M398" s="156"/>
      <c r="N398" s="156"/>
      <c r="O398" s="156"/>
      <c r="P398" s="156"/>
      <c r="Q398" s="155"/>
      <c r="R398" s="190"/>
      <c r="S398" s="191"/>
    </row>
    <row r="399" ht="29.25" hidden="1" customHeight="1">
      <c r="A399" s="155"/>
      <c r="B399" s="155"/>
      <c r="C399" s="155"/>
      <c r="D399" s="155"/>
      <c r="E399" s="155"/>
      <c r="F399" s="198"/>
      <c r="G399" s="155"/>
      <c r="H399" s="155"/>
      <c r="I399" s="156"/>
      <c r="J399" s="156"/>
      <c r="K399" s="156"/>
      <c r="L399" s="156"/>
      <c r="M399" s="156"/>
      <c r="N399" s="156"/>
      <c r="O399" s="156"/>
      <c r="P399" s="156"/>
      <c r="Q399" s="155"/>
      <c r="R399" s="190"/>
      <c r="S399" s="191"/>
    </row>
    <row r="400" ht="29.25" hidden="1" customHeight="1">
      <c r="A400" s="155"/>
      <c r="B400" s="155"/>
      <c r="C400" s="155"/>
      <c r="D400" s="155"/>
      <c r="E400" s="155"/>
      <c r="F400" s="198"/>
      <c r="G400" s="155"/>
      <c r="H400" s="155"/>
      <c r="I400" s="156"/>
      <c r="J400" s="156"/>
      <c r="K400" s="156"/>
      <c r="L400" s="156"/>
      <c r="M400" s="156"/>
      <c r="N400" s="156"/>
      <c r="O400" s="156"/>
      <c r="P400" s="156"/>
      <c r="Q400" s="155"/>
      <c r="R400" s="190"/>
      <c r="S400" s="191"/>
    </row>
    <row r="401" ht="29.25" hidden="1" customHeight="1">
      <c r="A401" s="155"/>
      <c r="B401" s="155"/>
      <c r="C401" s="155"/>
      <c r="D401" s="155"/>
      <c r="E401" s="155"/>
      <c r="F401" s="198"/>
      <c r="G401" s="155"/>
      <c r="H401" s="155"/>
      <c r="I401" s="156"/>
      <c r="J401" s="156"/>
      <c r="K401" s="156"/>
      <c r="L401" s="156"/>
      <c r="M401" s="156"/>
      <c r="N401" s="156"/>
      <c r="O401" s="156"/>
      <c r="P401" s="156"/>
      <c r="Q401" s="155"/>
      <c r="R401" s="190"/>
      <c r="S401" s="191"/>
    </row>
    <row r="402" ht="29.25" hidden="1" customHeight="1">
      <c r="A402" s="155"/>
      <c r="B402" s="155"/>
      <c r="C402" s="155"/>
      <c r="D402" s="155"/>
      <c r="E402" s="155"/>
      <c r="F402" s="198"/>
      <c r="G402" s="155"/>
      <c r="H402" s="155"/>
      <c r="I402" s="156"/>
      <c r="J402" s="156"/>
      <c r="K402" s="156"/>
      <c r="L402" s="156"/>
      <c r="M402" s="156"/>
      <c r="N402" s="156"/>
      <c r="O402" s="156"/>
      <c r="P402" s="156"/>
      <c r="Q402" s="155"/>
      <c r="R402" s="190"/>
      <c r="S402" s="191"/>
    </row>
    <row r="403" ht="29.25" hidden="1" customHeight="1">
      <c r="A403" s="155"/>
      <c r="B403" s="155"/>
      <c r="C403" s="155"/>
      <c r="D403" s="155"/>
      <c r="E403" s="155"/>
      <c r="F403" s="198"/>
      <c r="G403" s="155"/>
      <c r="H403" s="155"/>
      <c r="I403" s="156"/>
      <c r="J403" s="156"/>
      <c r="K403" s="156"/>
      <c r="L403" s="156"/>
      <c r="M403" s="156"/>
      <c r="N403" s="156"/>
      <c r="O403" s="156"/>
      <c r="P403" s="156"/>
      <c r="Q403" s="155"/>
      <c r="R403" s="190"/>
      <c r="S403" s="191"/>
    </row>
    <row r="404" ht="29.25" hidden="1" customHeight="1">
      <c r="A404" s="155"/>
      <c r="B404" s="155"/>
      <c r="C404" s="155"/>
      <c r="D404" s="155"/>
      <c r="E404" s="155"/>
      <c r="F404" s="198"/>
      <c r="G404" s="155"/>
      <c r="H404" s="155"/>
      <c r="I404" s="156"/>
      <c r="J404" s="156"/>
      <c r="K404" s="156"/>
      <c r="L404" s="156"/>
      <c r="M404" s="156"/>
      <c r="N404" s="156"/>
      <c r="O404" s="156"/>
      <c r="P404" s="156"/>
      <c r="Q404" s="155"/>
      <c r="R404" s="190"/>
      <c r="S404" s="191"/>
    </row>
    <row r="405" ht="29.25" hidden="1" customHeight="1">
      <c r="A405" s="155"/>
      <c r="B405" s="155"/>
      <c r="C405" s="155"/>
      <c r="D405" s="155"/>
      <c r="E405" s="155"/>
      <c r="F405" s="198"/>
      <c r="G405" s="155"/>
      <c r="H405" s="155"/>
      <c r="I405" s="156"/>
      <c r="J405" s="156"/>
      <c r="K405" s="156"/>
      <c r="L405" s="156"/>
      <c r="M405" s="156"/>
      <c r="N405" s="156"/>
      <c r="O405" s="156"/>
      <c r="P405" s="156"/>
      <c r="Q405" s="155"/>
      <c r="R405" s="190"/>
      <c r="S405" s="191"/>
    </row>
    <row r="406" ht="29.25" hidden="1" customHeight="1">
      <c r="A406" s="155"/>
      <c r="B406" s="155"/>
      <c r="C406" s="155"/>
      <c r="D406" s="155"/>
      <c r="E406" s="155"/>
      <c r="F406" s="198"/>
      <c r="G406" s="155"/>
      <c r="H406" s="155"/>
      <c r="I406" s="156"/>
      <c r="J406" s="156"/>
      <c r="K406" s="156"/>
      <c r="L406" s="156"/>
      <c r="M406" s="156"/>
      <c r="N406" s="156"/>
      <c r="O406" s="156"/>
      <c r="P406" s="156"/>
      <c r="Q406" s="155"/>
      <c r="R406" s="190"/>
      <c r="S406" s="191"/>
    </row>
    <row r="407" ht="29.25" hidden="1" customHeight="1">
      <c r="A407" s="155"/>
      <c r="B407" s="155"/>
      <c r="C407" s="155"/>
      <c r="D407" s="155"/>
      <c r="E407" s="155"/>
      <c r="F407" s="198"/>
      <c r="G407" s="155"/>
      <c r="H407" s="155"/>
      <c r="I407" s="156"/>
      <c r="J407" s="156"/>
      <c r="K407" s="156"/>
      <c r="L407" s="156"/>
      <c r="M407" s="156"/>
      <c r="N407" s="156"/>
      <c r="O407" s="156"/>
      <c r="P407" s="156"/>
      <c r="Q407" s="155"/>
      <c r="R407" s="190"/>
      <c r="S407" s="191"/>
    </row>
    <row r="408" ht="29.25" hidden="1" customHeight="1">
      <c r="A408" s="155"/>
      <c r="B408" s="155"/>
      <c r="C408" s="155"/>
      <c r="D408" s="155"/>
      <c r="E408" s="155"/>
      <c r="F408" s="198"/>
      <c r="G408" s="155"/>
      <c r="H408" s="155"/>
      <c r="I408" s="156"/>
      <c r="J408" s="156"/>
      <c r="K408" s="156"/>
      <c r="L408" s="156"/>
      <c r="M408" s="156"/>
      <c r="N408" s="156"/>
      <c r="O408" s="156"/>
      <c r="P408" s="156"/>
      <c r="Q408" s="155"/>
      <c r="R408" s="190"/>
      <c r="S408" s="191"/>
    </row>
    <row r="409" ht="29.25" hidden="1" customHeight="1">
      <c r="A409" s="155"/>
      <c r="B409" s="155"/>
      <c r="C409" s="155"/>
      <c r="D409" s="155"/>
      <c r="E409" s="155"/>
      <c r="F409" s="198"/>
      <c r="G409" s="155"/>
      <c r="H409" s="155"/>
      <c r="I409" s="156"/>
      <c r="J409" s="156"/>
      <c r="K409" s="156"/>
      <c r="L409" s="156"/>
      <c r="M409" s="156"/>
      <c r="N409" s="156"/>
      <c r="O409" s="156"/>
      <c r="P409" s="156"/>
      <c r="Q409" s="155"/>
      <c r="R409" s="190"/>
      <c r="S409" s="191"/>
    </row>
    <row r="410" ht="29.25" hidden="1" customHeight="1">
      <c r="A410" s="155"/>
      <c r="B410" s="155"/>
      <c r="C410" s="155"/>
      <c r="D410" s="155"/>
      <c r="E410" s="155"/>
      <c r="F410" s="198"/>
      <c r="G410" s="155"/>
      <c r="H410" s="155"/>
      <c r="I410" s="156"/>
      <c r="J410" s="156"/>
      <c r="K410" s="156"/>
      <c r="L410" s="156"/>
      <c r="M410" s="156"/>
      <c r="N410" s="156"/>
      <c r="O410" s="156"/>
      <c r="P410" s="156"/>
      <c r="Q410" s="155"/>
      <c r="R410" s="190"/>
      <c r="S410" s="191"/>
    </row>
    <row r="411" ht="29.25" hidden="1" customHeight="1">
      <c r="A411" s="155"/>
      <c r="B411" s="155"/>
      <c r="C411" s="155"/>
      <c r="D411" s="155"/>
      <c r="E411" s="155"/>
      <c r="F411" s="198"/>
      <c r="G411" s="155"/>
      <c r="H411" s="155"/>
      <c r="I411" s="156"/>
      <c r="J411" s="156"/>
      <c r="K411" s="156"/>
      <c r="L411" s="156"/>
      <c r="M411" s="156"/>
      <c r="N411" s="156"/>
      <c r="O411" s="156"/>
      <c r="P411" s="156"/>
      <c r="Q411" s="155"/>
      <c r="R411" s="190"/>
      <c r="S411" s="191"/>
    </row>
    <row r="412" ht="29.25" hidden="1" customHeight="1">
      <c r="A412" s="155"/>
      <c r="B412" s="155"/>
      <c r="C412" s="155"/>
      <c r="D412" s="155"/>
      <c r="E412" s="155"/>
      <c r="F412" s="198"/>
      <c r="G412" s="155"/>
      <c r="H412" s="155"/>
      <c r="I412" s="156"/>
      <c r="J412" s="156"/>
      <c r="K412" s="156"/>
      <c r="L412" s="156"/>
      <c r="M412" s="156"/>
      <c r="N412" s="156"/>
      <c r="O412" s="156"/>
      <c r="P412" s="156"/>
      <c r="Q412" s="155"/>
      <c r="R412" s="190"/>
      <c r="S412" s="191"/>
    </row>
    <row r="413" ht="29.25" hidden="1" customHeight="1">
      <c r="A413" s="155"/>
      <c r="B413" s="155"/>
      <c r="C413" s="155"/>
      <c r="D413" s="155"/>
      <c r="E413" s="155"/>
      <c r="F413" s="198"/>
      <c r="G413" s="155"/>
      <c r="H413" s="155"/>
      <c r="I413" s="156"/>
      <c r="J413" s="156"/>
      <c r="K413" s="156"/>
      <c r="L413" s="156"/>
      <c r="M413" s="156"/>
      <c r="N413" s="156"/>
      <c r="O413" s="156"/>
      <c r="P413" s="156"/>
      <c r="Q413" s="155"/>
      <c r="R413" s="190"/>
      <c r="S413" s="191"/>
    </row>
    <row r="414" ht="29.25" hidden="1" customHeight="1">
      <c r="A414" s="155"/>
      <c r="B414" s="155"/>
      <c r="C414" s="155"/>
      <c r="D414" s="155"/>
      <c r="E414" s="155"/>
      <c r="F414" s="198"/>
      <c r="G414" s="155"/>
      <c r="H414" s="155"/>
      <c r="I414" s="156"/>
      <c r="J414" s="156"/>
      <c r="K414" s="156"/>
      <c r="L414" s="156"/>
      <c r="M414" s="156"/>
      <c r="N414" s="156"/>
      <c r="O414" s="156"/>
      <c r="P414" s="156"/>
      <c r="Q414" s="155"/>
      <c r="R414" s="190"/>
      <c r="S414" s="191"/>
    </row>
    <row r="415" ht="29.25" hidden="1" customHeight="1">
      <c r="A415" s="155"/>
      <c r="B415" s="155"/>
      <c r="C415" s="155"/>
      <c r="D415" s="155"/>
      <c r="E415" s="155"/>
      <c r="F415" s="198"/>
      <c r="G415" s="155"/>
      <c r="H415" s="155"/>
      <c r="I415" s="156"/>
      <c r="J415" s="156"/>
      <c r="K415" s="156"/>
      <c r="L415" s="156"/>
      <c r="M415" s="156"/>
      <c r="N415" s="156"/>
      <c r="O415" s="156"/>
      <c r="P415" s="156"/>
      <c r="Q415" s="155"/>
      <c r="R415" s="190"/>
      <c r="S415" s="191"/>
    </row>
    <row r="416" ht="29.25" hidden="1" customHeight="1">
      <c r="A416" s="155"/>
      <c r="B416" s="155"/>
      <c r="C416" s="155"/>
      <c r="D416" s="155"/>
      <c r="E416" s="155"/>
      <c r="F416" s="198"/>
      <c r="G416" s="155"/>
      <c r="H416" s="155"/>
      <c r="I416" s="156"/>
      <c r="J416" s="156"/>
      <c r="K416" s="156"/>
      <c r="L416" s="156"/>
      <c r="M416" s="156"/>
      <c r="N416" s="156"/>
      <c r="O416" s="156"/>
      <c r="P416" s="156"/>
      <c r="Q416" s="155"/>
      <c r="R416" s="190"/>
      <c r="S416" s="191"/>
    </row>
    <row r="417" ht="29.25" hidden="1" customHeight="1">
      <c r="A417" s="155"/>
      <c r="B417" s="155"/>
      <c r="C417" s="155"/>
      <c r="D417" s="155"/>
      <c r="E417" s="155"/>
      <c r="F417" s="198"/>
      <c r="G417" s="155"/>
      <c r="H417" s="155"/>
      <c r="I417" s="156"/>
      <c r="J417" s="156"/>
      <c r="K417" s="156"/>
      <c r="L417" s="156"/>
      <c r="M417" s="156"/>
      <c r="N417" s="156"/>
      <c r="O417" s="156"/>
      <c r="P417" s="156"/>
      <c r="Q417" s="155"/>
      <c r="R417" s="190"/>
      <c r="S417" s="191"/>
    </row>
    <row r="418" ht="29.25" hidden="1" customHeight="1">
      <c r="A418" s="155"/>
      <c r="B418" s="155"/>
      <c r="C418" s="155"/>
      <c r="D418" s="155"/>
      <c r="E418" s="155"/>
      <c r="F418" s="198"/>
      <c r="G418" s="155"/>
      <c r="H418" s="155"/>
      <c r="I418" s="156"/>
      <c r="J418" s="156"/>
      <c r="K418" s="156"/>
      <c r="L418" s="156"/>
      <c r="M418" s="156"/>
      <c r="N418" s="156"/>
      <c r="O418" s="156"/>
      <c r="P418" s="156"/>
      <c r="Q418" s="155"/>
      <c r="R418" s="190"/>
      <c r="S418" s="191"/>
    </row>
    <row r="419" ht="29.25" hidden="1" customHeight="1">
      <c r="A419" s="155"/>
      <c r="B419" s="155"/>
      <c r="C419" s="155"/>
      <c r="D419" s="155"/>
      <c r="E419" s="155"/>
      <c r="F419" s="198"/>
      <c r="G419" s="155"/>
      <c r="H419" s="155"/>
      <c r="I419" s="156"/>
      <c r="J419" s="156"/>
      <c r="K419" s="156"/>
      <c r="L419" s="156"/>
      <c r="M419" s="156"/>
      <c r="N419" s="156"/>
      <c r="O419" s="156"/>
      <c r="P419" s="156"/>
      <c r="Q419" s="155"/>
      <c r="R419" s="190"/>
      <c r="S419" s="191"/>
    </row>
    <row r="420" ht="29.25" hidden="1" customHeight="1">
      <c r="A420" s="155"/>
      <c r="B420" s="155"/>
      <c r="C420" s="155"/>
      <c r="D420" s="155"/>
      <c r="E420" s="155"/>
      <c r="F420" s="198"/>
      <c r="G420" s="155"/>
      <c r="H420" s="155"/>
      <c r="I420" s="156"/>
      <c r="J420" s="156"/>
      <c r="K420" s="156"/>
      <c r="L420" s="156"/>
      <c r="M420" s="156"/>
      <c r="N420" s="156"/>
      <c r="O420" s="156"/>
      <c r="P420" s="156"/>
      <c r="Q420" s="155"/>
      <c r="R420" s="190"/>
      <c r="S420" s="191"/>
    </row>
    <row r="421" ht="29.25" hidden="1" customHeight="1">
      <c r="A421" s="155"/>
      <c r="B421" s="155"/>
      <c r="C421" s="155"/>
      <c r="D421" s="155"/>
      <c r="E421" s="155"/>
      <c r="F421" s="198"/>
      <c r="G421" s="155"/>
      <c r="H421" s="155"/>
      <c r="I421" s="156"/>
      <c r="J421" s="156"/>
      <c r="K421" s="156"/>
      <c r="L421" s="156"/>
      <c r="M421" s="156"/>
      <c r="N421" s="156"/>
      <c r="O421" s="156"/>
      <c r="P421" s="156"/>
      <c r="Q421" s="155"/>
      <c r="R421" s="190"/>
      <c r="S421" s="191"/>
    </row>
    <row r="422" ht="29.25" hidden="1" customHeight="1">
      <c r="A422" s="155"/>
      <c r="B422" s="155"/>
      <c r="C422" s="155"/>
      <c r="D422" s="155"/>
      <c r="E422" s="155"/>
      <c r="F422" s="198"/>
      <c r="G422" s="155"/>
      <c r="H422" s="155"/>
      <c r="I422" s="156"/>
      <c r="J422" s="156"/>
      <c r="K422" s="156"/>
      <c r="L422" s="156"/>
      <c r="M422" s="156"/>
      <c r="N422" s="156"/>
      <c r="O422" s="156"/>
      <c r="P422" s="156"/>
      <c r="Q422" s="155"/>
      <c r="R422" s="190"/>
      <c r="S422" s="191"/>
    </row>
    <row r="423" ht="29.25" hidden="1" customHeight="1">
      <c r="A423" s="155"/>
      <c r="B423" s="155"/>
      <c r="C423" s="155"/>
      <c r="D423" s="155"/>
      <c r="E423" s="155"/>
      <c r="F423" s="198"/>
      <c r="G423" s="155"/>
      <c r="H423" s="155"/>
      <c r="I423" s="156"/>
      <c r="J423" s="156"/>
      <c r="K423" s="156"/>
      <c r="L423" s="156"/>
      <c r="M423" s="156"/>
      <c r="N423" s="156"/>
      <c r="O423" s="156"/>
      <c r="P423" s="156"/>
      <c r="Q423" s="155"/>
      <c r="R423" s="190"/>
      <c r="S423" s="191"/>
    </row>
    <row r="424" ht="29.25" hidden="1" customHeight="1">
      <c r="A424" s="155"/>
      <c r="B424" s="155"/>
      <c r="C424" s="155"/>
      <c r="D424" s="155"/>
      <c r="E424" s="155"/>
      <c r="F424" s="198"/>
      <c r="G424" s="155"/>
      <c r="H424" s="155"/>
      <c r="I424" s="156"/>
      <c r="J424" s="156"/>
      <c r="K424" s="156"/>
      <c r="L424" s="156"/>
      <c r="M424" s="156"/>
      <c r="N424" s="156"/>
      <c r="O424" s="156"/>
      <c r="P424" s="156"/>
      <c r="Q424" s="155"/>
      <c r="R424" s="190"/>
      <c r="S424" s="191"/>
    </row>
    <row r="425" ht="29.25" hidden="1" customHeight="1">
      <c r="A425" s="155"/>
      <c r="B425" s="155"/>
      <c r="C425" s="155"/>
      <c r="D425" s="155"/>
      <c r="E425" s="155"/>
      <c r="F425" s="198"/>
      <c r="G425" s="155"/>
      <c r="H425" s="155"/>
      <c r="I425" s="156"/>
      <c r="J425" s="156"/>
      <c r="K425" s="156"/>
      <c r="L425" s="156"/>
      <c r="M425" s="156"/>
      <c r="N425" s="156"/>
      <c r="O425" s="156"/>
      <c r="P425" s="156"/>
      <c r="Q425" s="155"/>
      <c r="R425" s="190"/>
      <c r="S425" s="191"/>
    </row>
    <row r="426" ht="29.25" hidden="1" customHeight="1">
      <c r="A426" s="155"/>
      <c r="B426" s="155"/>
      <c r="C426" s="155"/>
      <c r="D426" s="155"/>
      <c r="E426" s="155"/>
      <c r="F426" s="198"/>
      <c r="G426" s="155"/>
      <c r="H426" s="155"/>
      <c r="I426" s="156"/>
      <c r="J426" s="156"/>
      <c r="K426" s="156"/>
      <c r="L426" s="156"/>
      <c r="M426" s="156"/>
      <c r="N426" s="156"/>
      <c r="O426" s="156"/>
      <c r="P426" s="156"/>
      <c r="Q426" s="155"/>
      <c r="R426" s="190"/>
      <c r="S426" s="191"/>
    </row>
    <row r="427" ht="29.25" hidden="1" customHeight="1">
      <c r="A427" s="155"/>
      <c r="B427" s="155"/>
      <c r="C427" s="155"/>
      <c r="D427" s="155"/>
      <c r="E427" s="155"/>
      <c r="F427" s="198"/>
      <c r="G427" s="155"/>
      <c r="H427" s="155"/>
      <c r="I427" s="156"/>
      <c r="J427" s="156"/>
      <c r="K427" s="156"/>
      <c r="L427" s="156"/>
      <c r="M427" s="156"/>
      <c r="N427" s="156"/>
      <c r="O427" s="156"/>
      <c r="P427" s="156"/>
      <c r="Q427" s="155"/>
      <c r="R427" s="190"/>
      <c r="S427" s="191"/>
    </row>
    <row r="428" ht="29.25" hidden="1" customHeight="1">
      <c r="A428" s="155"/>
      <c r="B428" s="155"/>
      <c r="C428" s="155"/>
      <c r="D428" s="155"/>
      <c r="E428" s="155"/>
      <c r="F428" s="198"/>
      <c r="G428" s="155"/>
      <c r="H428" s="155"/>
      <c r="I428" s="156"/>
      <c r="J428" s="156"/>
      <c r="K428" s="156"/>
      <c r="L428" s="156"/>
      <c r="M428" s="156"/>
      <c r="N428" s="156"/>
      <c r="O428" s="156"/>
      <c r="P428" s="156"/>
      <c r="Q428" s="155"/>
      <c r="R428" s="190"/>
      <c r="S428" s="191"/>
    </row>
    <row r="429" ht="29.25" hidden="1" customHeight="1">
      <c r="A429" s="155"/>
      <c r="B429" s="155"/>
      <c r="C429" s="155"/>
      <c r="D429" s="155"/>
      <c r="E429" s="155"/>
      <c r="F429" s="198"/>
      <c r="G429" s="155"/>
      <c r="H429" s="155"/>
      <c r="I429" s="156"/>
      <c r="J429" s="156"/>
      <c r="K429" s="156"/>
      <c r="L429" s="156"/>
      <c r="M429" s="156"/>
      <c r="N429" s="156"/>
      <c r="O429" s="156"/>
      <c r="P429" s="156"/>
      <c r="Q429" s="155"/>
      <c r="R429" s="190"/>
      <c r="S429" s="191"/>
    </row>
    <row r="430" ht="29.25" hidden="1" customHeight="1">
      <c r="A430" s="155"/>
      <c r="B430" s="155"/>
      <c r="C430" s="155"/>
      <c r="D430" s="155"/>
      <c r="E430" s="155"/>
      <c r="F430" s="198"/>
      <c r="G430" s="155"/>
      <c r="H430" s="155"/>
      <c r="I430" s="156"/>
      <c r="J430" s="156"/>
      <c r="K430" s="156"/>
      <c r="L430" s="156"/>
      <c r="M430" s="156"/>
      <c r="N430" s="156"/>
      <c r="O430" s="156"/>
      <c r="P430" s="156"/>
      <c r="Q430" s="155"/>
      <c r="R430" s="190"/>
      <c r="S430" s="191"/>
    </row>
    <row r="431" ht="29.25" hidden="1" customHeight="1">
      <c r="A431" s="155"/>
      <c r="B431" s="155"/>
      <c r="C431" s="155"/>
      <c r="D431" s="155"/>
      <c r="E431" s="155"/>
      <c r="F431" s="198"/>
      <c r="G431" s="155"/>
      <c r="H431" s="155"/>
      <c r="I431" s="156"/>
      <c r="J431" s="156"/>
      <c r="K431" s="156"/>
      <c r="L431" s="156"/>
      <c r="M431" s="156"/>
      <c r="N431" s="156"/>
      <c r="O431" s="156"/>
      <c r="P431" s="156"/>
      <c r="Q431" s="155"/>
      <c r="R431" s="190"/>
      <c r="S431" s="191"/>
    </row>
    <row r="432" ht="29.25" hidden="1" customHeight="1">
      <c r="A432" s="155"/>
      <c r="B432" s="155"/>
      <c r="C432" s="155"/>
      <c r="D432" s="155"/>
      <c r="E432" s="155"/>
      <c r="F432" s="198"/>
      <c r="G432" s="155"/>
      <c r="H432" s="155"/>
      <c r="I432" s="156"/>
      <c r="J432" s="156"/>
      <c r="K432" s="156"/>
      <c r="L432" s="156"/>
      <c r="M432" s="156"/>
      <c r="N432" s="156"/>
      <c r="O432" s="156"/>
      <c r="P432" s="156"/>
      <c r="Q432" s="155"/>
      <c r="R432" s="190"/>
      <c r="S432" s="191"/>
    </row>
    <row r="433" ht="29.25" hidden="1" customHeight="1">
      <c r="A433" s="155"/>
      <c r="B433" s="155"/>
      <c r="C433" s="155"/>
      <c r="D433" s="155"/>
      <c r="E433" s="155"/>
      <c r="F433" s="198"/>
      <c r="G433" s="155"/>
      <c r="H433" s="155"/>
      <c r="I433" s="156"/>
      <c r="J433" s="156"/>
      <c r="K433" s="156"/>
      <c r="L433" s="156"/>
      <c r="M433" s="156"/>
      <c r="N433" s="156"/>
      <c r="O433" s="156"/>
      <c r="P433" s="156"/>
      <c r="Q433" s="155"/>
      <c r="R433" s="190"/>
      <c r="S433" s="191"/>
    </row>
    <row r="434" ht="29.25" hidden="1" customHeight="1">
      <c r="A434" s="155"/>
      <c r="B434" s="155"/>
      <c r="C434" s="155"/>
      <c r="D434" s="155"/>
      <c r="E434" s="155"/>
      <c r="F434" s="198"/>
      <c r="G434" s="155"/>
      <c r="H434" s="155"/>
      <c r="I434" s="156"/>
      <c r="J434" s="156"/>
      <c r="K434" s="156"/>
      <c r="L434" s="156"/>
      <c r="M434" s="156"/>
      <c r="N434" s="156"/>
      <c r="O434" s="156"/>
      <c r="P434" s="156"/>
      <c r="Q434" s="155"/>
      <c r="R434" s="190"/>
      <c r="S434" s="191"/>
    </row>
    <row r="435" ht="29.25" hidden="1" customHeight="1">
      <c r="A435" s="155"/>
      <c r="B435" s="155"/>
      <c r="C435" s="155"/>
      <c r="D435" s="155"/>
      <c r="E435" s="155"/>
      <c r="F435" s="198"/>
      <c r="G435" s="155"/>
      <c r="H435" s="155"/>
      <c r="I435" s="156"/>
      <c r="J435" s="156"/>
      <c r="K435" s="156"/>
      <c r="L435" s="156"/>
      <c r="M435" s="156"/>
      <c r="N435" s="156"/>
      <c r="O435" s="156"/>
      <c r="P435" s="156"/>
      <c r="Q435" s="155"/>
      <c r="R435" s="190"/>
      <c r="S435" s="191"/>
    </row>
    <row r="436" ht="29.25" hidden="1" customHeight="1">
      <c r="A436" s="155"/>
      <c r="B436" s="155"/>
      <c r="C436" s="155"/>
      <c r="D436" s="155"/>
      <c r="E436" s="155"/>
      <c r="F436" s="198"/>
      <c r="G436" s="155"/>
      <c r="H436" s="155"/>
      <c r="I436" s="156"/>
      <c r="J436" s="156"/>
      <c r="K436" s="156"/>
      <c r="L436" s="156"/>
      <c r="M436" s="156"/>
      <c r="N436" s="156"/>
      <c r="O436" s="156"/>
      <c r="P436" s="156"/>
      <c r="Q436" s="155"/>
      <c r="R436" s="190"/>
      <c r="S436" s="191"/>
    </row>
    <row r="437" ht="29.25" hidden="1" customHeight="1">
      <c r="A437" s="155"/>
      <c r="B437" s="155"/>
      <c r="C437" s="155"/>
      <c r="D437" s="155"/>
      <c r="E437" s="155"/>
      <c r="F437" s="198"/>
      <c r="G437" s="155"/>
      <c r="H437" s="155"/>
      <c r="I437" s="156"/>
      <c r="J437" s="156"/>
      <c r="K437" s="156"/>
      <c r="L437" s="156"/>
      <c r="M437" s="156"/>
      <c r="N437" s="156"/>
      <c r="O437" s="156"/>
      <c r="P437" s="156"/>
      <c r="Q437" s="155"/>
      <c r="R437" s="190"/>
      <c r="S437" s="191"/>
    </row>
    <row r="438" ht="29.25" hidden="1" customHeight="1">
      <c r="A438" s="155"/>
      <c r="B438" s="155"/>
      <c r="C438" s="155"/>
      <c r="D438" s="155"/>
      <c r="E438" s="155"/>
      <c r="F438" s="198"/>
      <c r="G438" s="155"/>
      <c r="H438" s="155"/>
      <c r="I438" s="156"/>
      <c r="J438" s="156"/>
      <c r="K438" s="156"/>
      <c r="L438" s="156"/>
      <c r="M438" s="156"/>
      <c r="N438" s="156"/>
      <c r="O438" s="156"/>
      <c r="P438" s="156"/>
      <c r="Q438" s="155"/>
      <c r="R438" s="190"/>
      <c r="S438" s="191"/>
    </row>
    <row r="439" ht="29.25" hidden="1" customHeight="1">
      <c r="A439" s="155"/>
      <c r="B439" s="155"/>
      <c r="C439" s="155"/>
      <c r="D439" s="155"/>
      <c r="E439" s="155"/>
      <c r="F439" s="198"/>
      <c r="G439" s="155"/>
      <c r="H439" s="155"/>
      <c r="I439" s="156"/>
      <c r="J439" s="156"/>
      <c r="K439" s="156"/>
      <c r="L439" s="156"/>
      <c r="M439" s="156"/>
      <c r="N439" s="156"/>
      <c r="O439" s="156"/>
      <c r="P439" s="156"/>
      <c r="Q439" s="155"/>
      <c r="R439" s="190"/>
      <c r="S439" s="191"/>
    </row>
    <row r="440" ht="29.25" hidden="1" customHeight="1">
      <c r="A440" s="155"/>
      <c r="B440" s="155"/>
      <c r="C440" s="155"/>
      <c r="D440" s="155"/>
      <c r="E440" s="155"/>
      <c r="F440" s="198"/>
      <c r="G440" s="155"/>
      <c r="H440" s="155"/>
      <c r="I440" s="156"/>
      <c r="J440" s="156"/>
      <c r="K440" s="156"/>
      <c r="L440" s="156"/>
      <c r="M440" s="156"/>
      <c r="N440" s="156"/>
      <c r="O440" s="156"/>
      <c r="P440" s="156"/>
      <c r="Q440" s="155"/>
      <c r="R440" s="190"/>
      <c r="S440" s="191"/>
    </row>
    <row r="441" ht="29.25" hidden="1" customHeight="1">
      <c r="A441" s="155"/>
      <c r="B441" s="155"/>
      <c r="C441" s="155"/>
      <c r="D441" s="155"/>
      <c r="E441" s="155"/>
      <c r="F441" s="198"/>
      <c r="G441" s="155"/>
      <c r="H441" s="155"/>
      <c r="I441" s="156"/>
      <c r="J441" s="156"/>
      <c r="K441" s="156"/>
      <c r="L441" s="156"/>
      <c r="M441" s="156"/>
      <c r="N441" s="156"/>
      <c r="O441" s="156"/>
      <c r="P441" s="156"/>
      <c r="Q441" s="155"/>
      <c r="R441" s="190"/>
      <c r="S441" s="191"/>
    </row>
    <row r="442" ht="29.25" hidden="1" customHeight="1">
      <c r="A442" s="155"/>
      <c r="B442" s="155"/>
      <c r="C442" s="155"/>
      <c r="D442" s="155"/>
      <c r="E442" s="155"/>
      <c r="F442" s="198"/>
      <c r="G442" s="155"/>
      <c r="H442" s="155"/>
      <c r="I442" s="156"/>
      <c r="J442" s="156"/>
      <c r="K442" s="156"/>
      <c r="L442" s="156"/>
      <c r="M442" s="156"/>
      <c r="N442" s="156"/>
      <c r="O442" s="156"/>
      <c r="P442" s="156"/>
      <c r="Q442" s="155"/>
      <c r="R442" s="190"/>
      <c r="S442" s="191"/>
    </row>
    <row r="443" ht="29.25" hidden="1" customHeight="1">
      <c r="A443" s="155"/>
      <c r="B443" s="155"/>
      <c r="C443" s="155"/>
      <c r="D443" s="155"/>
      <c r="E443" s="155"/>
      <c r="F443" s="198"/>
      <c r="G443" s="155"/>
      <c r="H443" s="155"/>
      <c r="I443" s="156"/>
      <c r="J443" s="156"/>
      <c r="K443" s="156"/>
      <c r="L443" s="156"/>
      <c r="M443" s="156"/>
      <c r="N443" s="156"/>
      <c r="O443" s="156"/>
      <c r="P443" s="156"/>
      <c r="Q443" s="155"/>
      <c r="R443" s="190"/>
      <c r="S443" s="191"/>
    </row>
    <row r="444" ht="29.25" hidden="1" customHeight="1">
      <c r="A444" s="155"/>
      <c r="B444" s="155"/>
      <c r="C444" s="155"/>
      <c r="D444" s="155"/>
      <c r="E444" s="155"/>
      <c r="F444" s="198"/>
      <c r="G444" s="155"/>
      <c r="H444" s="155"/>
      <c r="I444" s="156"/>
      <c r="J444" s="156"/>
      <c r="K444" s="156"/>
      <c r="L444" s="156"/>
      <c r="M444" s="156"/>
      <c r="N444" s="156"/>
      <c r="O444" s="156"/>
      <c r="P444" s="156"/>
      <c r="Q444" s="155"/>
      <c r="R444" s="190"/>
      <c r="S444" s="191"/>
    </row>
    <row r="445" ht="29.25" hidden="1" customHeight="1">
      <c r="A445" s="155"/>
      <c r="B445" s="155"/>
      <c r="C445" s="155"/>
      <c r="D445" s="155"/>
      <c r="E445" s="155"/>
      <c r="F445" s="198"/>
      <c r="G445" s="155"/>
      <c r="H445" s="155"/>
      <c r="I445" s="156"/>
      <c r="J445" s="156"/>
      <c r="K445" s="156"/>
      <c r="L445" s="156"/>
      <c r="M445" s="156"/>
      <c r="N445" s="156"/>
      <c r="O445" s="156"/>
      <c r="P445" s="156"/>
      <c r="Q445" s="155"/>
      <c r="R445" s="190"/>
      <c r="S445" s="191"/>
    </row>
    <row r="446" ht="29.25" hidden="1" customHeight="1">
      <c r="A446" s="155"/>
      <c r="B446" s="155"/>
      <c r="C446" s="155"/>
      <c r="D446" s="155"/>
      <c r="E446" s="155"/>
      <c r="F446" s="198"/>
      <c r="G446" s="155"/>
      <c r="H446" s="155"/>
      <c r="I446" s="156"/>
      <c r="J446" s="156"/>
      <c r="K446" s="156"/>
      <c r="L446" s="156"/>
      <c r="M446" s="156"/>
      <c r="N446" s="156"/>
      <c r="O446" s="156"/>
      <c r="P446" s="156"/>
      <c r="Q446" s="155"/>
      <c r="R446" s="190"/>
      <c r="S446" s="191"/>
    </row>
    <row r="447" ht="29.25" hidden="1" customHeight="1">
      <c r="A447" s="155"/>
      <c r="B447" s="155"/>
      <c r="C447" s="155"/>
      <c r="D447" s="155"/>
      <c r="E447" s="155"/>
      <c r="F447" s="198"/>
      <c r="G447" s="155"/>
      <c r="H447" s="155"/>
      <c r="I447" s="156"/>
      <c r="J447" s="156"/>
      <c r="K447" s="156"/>
      <c r="L447" s="156"/>
      <c r="M447" s="156"/>
      <c r="N447" s="156"/>
      <c r="O447" s="156"/>
      <c r="P447" s="156"/>
      <c r="Q447" s="155"/>
      <c r="R447" s="190"/>
      <c r="S447" s="191"/>
    </row>
    <row r="448" ht="29.25" hidden="1" customHeight="1">
      <c r="A448" s="155"/>
      <c r="B448" s="155"/>
      <c r="C448" s="155"/>
      <c r="D448" s="155"/>
      <c r="E448" s="155"/>
      <c r="F448" s="198"/>
      <c r="G448" s="155"/>
      <c r="H448" s="155"/>
      <c r="I448" s="156"/>
      <c r="J448" s="156"/>
      <c r="K448" s="156"/>
      <c r="L448" s="156"/>
      <c r="M448" s="156"/>
      <c r="N448" s="156"/>
      <c r="O448" s="156"/>
      <c r="P448" s="156"/>
      <c r="Q448" s="155"/>
      <c r="R448" s="190"/>
      <c r="S448" s="191"/>
    </row>
    <row r="449" ht="29.25" hidden="1" customHeight="1">
      <c r="A449" s="155"/>
      <c r="B449" s="155"/>
      <c r="C449" s="155"/>
      <c r="D449" s="155"/>
      <c r="E449" s="155"/>
      <c r="F449" s="198"/>
      <c r="G449" s="155"/>
      <c r="H449" s="155"/>
      <c r="I449" s="156"/>
      <c r="J449" s="156"/>
      <c r="K449" s="156"/>
      <c r="L449" s="156"/>
      <c r="M449" s="156"/>
      <c r="N449" s="156"/>
      <c r="O449" s="156"/>
      <c r="P449" s="156"/>
      <c r="Q449" s="155"/>
      <c r="R449" s="190"/>
      <c r="S449" s="191"/>
    </row>
    <row r="450" ht="29.25" hidden="1" customHeight="1">
      <c r="A450" s="155"/>
      <c r="B450" s="155"/>
      <c r="C450" s="155"/>
      <c r="D450" s="155"/>
      <c r="E450" s="155"/>
      <c r="F450" s="198"/>
      <c r="G450" s="155"/>
      <c r="H450" s="155"/>
      <c r="I450" s="156"/>
      <c r="J450" s="156"/>
      <c r="K450" s="156"/>
      <c r="L450" s="156"/>
      <c r="M450" s="156"/>
      <c r="N450" s="156"/>
      <c r="O450" s="156"/>
      <c r="P450" s="156"/>
      <c r="Q450" s="155"/>
      <c r="R450" s="190"/>
      <c r="S450" s="191"/>
    </row>
    <row r="451" ht="29.25" hidden="1" customHeight="1">
      <c r="A451" s="155"/>
      <c r="B451" s="155"/>
      <c r="C451" s="155"/>
      <c r="D451" s="155"/>
      <c r="E451" s="155"/>
      <c r="F451" s="198"/>
      <c r="G451" s="155"/>
      <c r="H451" s="155"/>
      <c r="I451" s="156"/>
      <c r="J451" s="156"/>
      <c r="K451" s="156"/>
      <c r="L451" s="156"/>
      <c r="M451" s="156"/>
      <c r="N451" s="156"/>
      <c r="O451" s="156"/>
      <c r="P451" s="156"/>
      <c r="Q451" s="155"/>
      <c r="R451" s="190"/>
      <c r="S451" s="191"/>
    </row>
    <row r="452" ht="29.25" hidden="1" customHeight="1">
      <c r="A452" s="155"/>
      <c r="B452" s="155"/>
      <c r="C452" s="155"/>
      <c r="D452" s="155"/>
      <c r="E452" s="155"/>
      <c r="F452" s="198"/>
      <c r="G452" s="155"/>
      <c r="H452" s="155"/>
      <c r="I452" s="156"/>
      <c r="J452" s="156"/>
      <c r="K452" s="156"/>
      <c r="L452" s="156"/>
      <c r="M452" s="156"/>
      <c r="N452" s="156"/>
      <c r="O452" s="156"/>
      <c r="P452" s="156"/>
      <c r="Q452" s="155"/>
      <c r="R452" s="190"/>
      <c r="S452" s="191"/>
    </row>
    <row r="453" ht="29.25" hidden="1" customHeight="1">
      <c r="A453" s="155"/>
      <c r="B453" s="155"/>
      <c r="C453" s="155"/>
      <c r="D453" s="155"/>
      <c r="E453" s="155"/>
      <c r="F453" s="198"/>
      <c r="G453" s="155"/>
      <c r="H453" s="155"/>
      <c r="I453" s="156"/>
      <c r="J453" s="156"/>
      <c r="K453" s="156"/>
      <c r="L453" s="156"/>
      <c r="M453" s="156"/>
      <c r="N453" s="156"/>
      <c r="O453" s="156"/>
      <c r="P453" s="156"/>
      <c r="Q453" s="155"/>
      <c r="R453" s="190"/>
      <c r="S453" s="191"/>
    </row>
    <row r="454" ht="29.25" hidden="1" customHeight="1">
      <c r="A454" s="155"/>
      <c r="B454" s="155"/>
      <c r="C454" s="155"/>
      <c r="D454" s="155"/>
      <c r="E454" s="155"/>
      <c r="F454" s="198"/>
      <c r="G454" s="155"/>
      <c r="H454" s="155"/>
      <c r="I454" s="156"/>
      <c r="J454" s="156"/>
      <c r="K454" s="156"/>
      <c r="L454" s="156"/>
      <c r="M454" s="156"/>
      <c r="N454" s="156"/>
      <c r="O454" s="156"/>
      <c r="P454" s="156"/>
      <c r="Q454" s="155"/>
      <c r="R454" s="190"/>
      <c r="S454" s="191"/>
    </row>
    <row r="455" ht="29.25" hidden="1" customHeight="1">
      <c r="A455" s="155"/>
      <c r="B455" s="155"/>
      <c r="C455" s="155"/>
      <c r="D455" s="155"/>
      <c r="E455" s="155"/>
      <c r="F455" s="198"/>
      <c r="G455" s="155"/>
      <c r="H455" s="155"/>
      <c r="I455" s="156"/>
      <c r="J455" s="156"/>
      <c r="K455" s="156"/>
      <c r="L455" s="156"/>
      <c r="M455" s="156"/>
      <c r="N455" s="156"/>
      <c r="O455" s="156"/>
      <c r="P455" s="156"/>
      <c r="Q455" s="155"/>
      <c r="R455" s="190"/>
      <c r="S455" s="191"/>
    </row>
    <row r="456" ht="29.25" hidden="1" customHeight="1">
      <c r="A456" s="155"/>
      <c r="B456" s="155"/>
      <c r="C456" s="155"/>
      <c r="D456" s="155"/>
      <c r="E456" s="155"/>
      <c r="F456" s="198"/>
      <c r="G456" s="155"/>
      <c r="H456" s="155"/>
      <c r="I456" s="156"/>
      <c r="J456" s="156"/>
      <c r="K456" s="156"/>
      <c r="L456" s="156"/>
      <c r="M456" s="156"/>
      <c r="N456" s="156"/>
      <c r="O456" s="156"/>
      <c r="P456" s="156"/>
      <c r="Q456" s="155"/>
      <c r="R456" s="190"/>
      <c r="S456" s="191"/>
    </row>
    <row r="457" ht="29.25" hidden="1" customHeight="1">
      <c r="A457" s="155"/>
      <c r="B457" s="155"/>
      <c r="C457" s="155"/>
      <c r="D457" s="155"/>
      <c r="E457" s="155"/>
      <c r="F457" s="198"/>
      <c r="G457" s="155"/>
      <c r="H457" s="155"/>
      <c r="I457" s="156"/>
      <c r="J457" s="156"/>
      <c r="K457" s="156"/>
      <c r="L457" s="156"/>
      <c r="M457" s="156"/>
      <c r="N457" s="156"/>
      <c r="O457" s="156"/>
      <c r="P457" s="156"/>
      <c r="Q457" s="155"/>
      <c r="R457" s="190"/>
      <c r="S457" s="191"/>
    </row>
    <row r="458" ht="29.25" hidden="1" customHeight="1">
      <c r="A458" s="155"/>
      <c r="B458" s="155"/>
      <c r="C458" s="155"/>
      <c r="D458" s="155"/>
      <c r="E458" s="155"/>
      <c r="F458" s="198"/>
      <c r="G458" s="155"/>
      <c r="H458" s="155"/>
      <c r="I458" s="156"/>
      <c r="J458" s="156"/>
      <c r="K458" s="156"/>
      <c r="L458" s="156"/>
      <c r="M458" s="156"/>
      <c r="N458" s="156"/>
      <c r="O458" s="156"/>
      <c r="P458" s="156"/>
      <c r="Q458" s="155"/>
      <c r="R458" s="190"/>
      <c r="S458" s="191"/>
    </row>
    <row r="459" ht="29.25" hidden="1" customHeight="1">
      <c r="A459" s="155"/>
      <c r="B459" s="155"/>
      <c r="C459" s="155"/>
      <c r="D459" s="155"/>
      <c r="E459" s="155"/>
      <c r="F459" s="198"/>
      <c r="G459" s="155"/>
      <c r="H459" s="155"/>
      <c r="I459" s="156"/>
      <c r="J459" s="156"/>
      <c r="K459" s="156"/>
      <c r="L459" s="156"/>
      <c r="M459" s="156"/>
      <c r="N459" s="156"/>
      <c r="O459" s="156"/>
      <c r="P459" s="156"/>
      <c r="Q459" s="155"/>
      <c r="R459" s="190"/>
      <c r="S459" s="191"/>
    </row>
    <row r="460" ht="29.25" hidden="1" customHeight="1">
      <c r="A460" s="155"/>
      <c r="B460" s="155"/>
      <c r="C460" s="155"/>
      <c r="D460" s="155"/>
      <c r="E460" s="155"/>
      <c r="F460" s="198"/>
      <c r="G460" s="155"/>
      <c r="H460" s="155"/>
      <c r="I460" s="156"/>
      <c r="J460" s="156"/>
      <c r="K460" s="156"/>
      <c r="L460" s="156"/>
      <c r="M460" s="156"/>
      <c r="N460" s="156"/>
      <c r="O460" s="156"/>
      <c r="P460" s="156"/>
      <c r="Q460" s="155"/>
      <c r="R460" s="190"/>
      <c r="S460" s="191"/>
    </row>
    <row r="461" ht="29.25" hidden="1" customHeight="1">
      <c r="A461" s="155"/>
      <c r="B461" s="155"/>
      <c r="C461" s="155"/>
      <c r="D461" s="155"/>
      <c r="E461" s="155"/>
      <c r="F461" s="198"/>
      <c r="G461" s="155"/>
      <c r="H461" s="155"/>
      <c r="I461" s="156"/>
      <c r="J461" s="156"/>
      <c r="K461" s="156"/>
      <c r="L461" s="156"/>
      <c r="M461" s="156"/>
      <c r="N461" s="156"/>
      <c r="O461" s="156"/>
      <c r="P461" s="156"/>
      <c r="Q461" s="155"/>
      <c r="R461" s="190"/>
      <c r="S461" s="191"/>
    </row>
    <row r="462" ht="29.25" hidden="1" customHeight="1">
      <c r="A462" s="155"/>
      <c r="B462" s="155"/>
      <c r="C462" s="155"/>
      <c r="D462" s="155"/>
      <c r="E462" s="155"/>
      <c r="F462" s="198"/>
      <c r="G462" s="155"/>
      <c r="H462" s="155"/>
      <c r="I462" s="156"/>
      <c r="J462" s="156"/>
      <c r="K462" s="156"/>
      <c r="L462" s="156"/>
      <c r="M462" s="156"/>
      <c r="N462" s="156"/>
      <c r="O462" s="156"/>
      <c r="P462" s="156"/>
      <c r="Q462" s="155"/>
      <c r="R462" s="190"/>
      <c r="S462" s="191"/>
    </row>
    <row r="463" ht="29.25" hidden="1" customHeight="1">
      <c r="A463" s="155"/>
      <c r="B463" s="155"/>
      <c r="C463" s="155"/>
      <c r="D463" s="155"/>
      <c r="E463" s="155"/>
      <c r="F463" s="198"/>
      <c r="G463" s="155"/>
      <c r="H463" s="155"/>
      <c r="I463" s="156"/>
      <c r="J463" s="156"/>
      <c r="K463" s="156"/>
      <c r="L463" s="156"/>
      <c r="M463" s="156"/>
      <c r="N463" s="156"/>
      <c r="O463" s="156"/>
      <c r="P463" s="156"/>
      <c r="Q463" s="155"/>
      <c r="R463" s="190"/>
      <c r="S463" s="191"/>
    </row>
    <row r="464" ht="29.25" hidden="1" customHeight="1">
      <c r="A464" s="155"/>
      <c r="B464" s="155"/>
      <c r="C464" s="155"/>
      <c r="D464" s="155"/>
      <c r="E464" s="155"/>
      <c r="F464" s="198"/>
      <c r="G464" s="155"/>
      <c r="H464" s="155"/>
      <c r="I464" s="156"/>
      <c r="J464" s="156"/>
      <c r="K464" s="156"/>
      <c r="L464" s="156"/>
      <c r="M464" s="156"/>
      <c r="N464" s="156"/>
      <c r="O464" s="156"/>
      <c r="P464" s="156"/>
      <c r="Q464" s="155"/>
      <c r="R464" s="190"/>
      <c r="S464" s="191"/>
    </row>
    <row r="465" ht="29.25" hidden="1" customHeight="1">
      <c r="A465" s="155"/>
      <c r="B465" s="155"/>
      <c r="C465" s="155"/>
      <c r="D465" s="155"/>
      <c r="E465" s="155"/>
      <c r="F465" s="198"/>
      <c r="G465" s="155"/>
      <c r="H465" s="155"/>
      <c r="I465" s="156"/>
      <c r="J465" s="156"/>
      <c r="K465" s="156"/>
      <c r="L465" s="156"/>
      <c r="M465" s="156"/>
      <c r="N465" s="156"/>
      <c r="O465" s="156"/>
      <c r="P465" s="156"/>
      <c r="Q465" s="155"/>
      <c r="R465" s="190"/>
      <c r="S465" s="191"/>
    </row>
    <row r="466" ht="29.25" hidden="1" customHeight="1">
      <c r="A466" s="155"/>
      <c r="B466" s="155"/>
      <c r="C466" s="155"/>
      <c r="D466" s="155"/>
      <c r="E466" s="155"/>
      <c r="F466" s="198"/>
      <c r="G466" s="155"/>
      <c r="H466" s="155"/>
      <c r="I466" s="156"/>
      <c r="J466" s="156"/>
      <c r="K466" s="156"/>
      <c r="L466" s="156"/>
      <c r="M466" s="156"/>
      <c r="N466" s="156"/>
      <c r="O466" s="156"/>
      <c r="P466" s="156"/>
      <c r="Q466" s="155"/>
      <c r="R466" s="190"/>
      <c r="S466" s="191"/>
    </row>
    <row r="467" ht="29.25" hidden="1" customHeight="1">
      <c r="A467" s="155"/>
      <c r="B467" s="155"/>
      <c r="C467" s="155"/>
      <c r="D467" s="155"/>
      <c r="E467" s="155"/>
      <c r="F467" s="198"/>
      <c r="G467" s="155"/>
      <c r="H467" s="155"/>
      <c r="I467" s="156"/>
      <c r="J467" s="156"/>
      <c r="K467" s="156"/>
      <c r="L467" s="156"/>
      <c r="M467" s="156"/>
      <c r="N467" s="156"/>
      <c r="O467" s="156"/>
      <c r="P467" s="156"/>
      <c r="Q467" s="155"/>
      <c r="R467" s="190"/>
      <c r="S467" s="191"/>
    </row>
    <row r="468" ht="29.25" hidden="1" customHeight="1">
      <c r="A468" s="155"/>
      <c r="B468" s="155"/>
      <c r="C468" s="155"/>
      <c r="D468" s="155"/>
      <c r="E468" s="155"/>
      <c r="F468" s="198"/>
      <c r="G468" s="155"/>
      <c r="H468" s="155"/>
      <c r="I468" s="156"/>
      <c r="J468" s="156"/>
      <c r="K468" s="156"/>
      <c r="L468" s="156"/>
      <c r="M468" s="156"/>
      <c r="N468" s="156"/>
      <c r="O468" s="156"/>
      <c r="P468" s="156"/>
      <c r="Q468" s="155"/>
      <c r="R468" s="190"/>
      <c r="S468" s="191"/>
    </row>
    <row r="469" ht="29.25" hidden="1" customHeight="1">
      <c r="A469" s="155"/>
      <c r="B469" s="155"/>
      <c r="C469" s="155"/>
      <c r="D469" s="155"/>
      <c r="E469" s="155"/>
      <c r="F469" s="198"/>
      <c r="G469" s="155"/>
      <c r="H469" s="155"/>
      <c r="I469" s="156"/>
      <c r="J469" s="156"/>
      <c r="K469" s="156"/>
      <c r="L469" s="156"/>
      <c r="M469" s="156"/>
      <c r="N469" s="156"/>
      <c r="O469" s="156"/>
      <c r="P469" s="156"/>
      <c r="Q469" s="155"/>
      <c r="R469" s="190"/>
      <c r="S469" s="191"/>
    </row>
    <row r="470" ht="29.25" hidden="1" customHeight="1">
      <c r="A470" s="155"/>
      <c r="B470" s="155"/>
      <c r="C470" s="155"/>
      <c r="D470" s="155"/>
      <c r="E470" s="155"/>
      <c r="F470" s="198"/>
      <c r="G470" s="155"/>
      <c r="H470" s="155"/>
      <c r="I470" s="156"/>
      <c r="J470" s="156"/>
      <c r="K470" s="156"/>
      <c r="L470" s="156"/>
      <c r="M470" s="156"/>
      <c r="N470" s="156"/>
      <c r="O470" s="156"/>
      <c r="P470" s="156"/>
      <c r="Q470" s="155"/>
      <c r="R470" s="190"/>
      <c r="S470" s="191"/>
    </row>
    <row r="471" ht="29.25" hidden="1" customHeight="1">
      <c r="A471" s="155"/>
      <c r="B471" s="155"/>
      <c r="C471" s="155"/>
      <c r="D471" s="155"/>
      <c r="E471" s="155"/>
      <c r="F471" s="198"/>
      <c r="G471" s="155"/>
      <c r="H471" s="155"/>
      <c r="I471" s="156"/>
      <c r="J471" s="156"/>
      <c r="K471" s="156"/>
      <c r="L471" s="156"/>
      <c r="M471" s="156"/>
      <c r="N471" s="156"/>
      <c r="O471" s="156"/>
      <c r="P471" s="156"/>
      <c r="Q471" s="155"/>
      <c r="R471" s="190"/>
      <c r="S471" s="191"/>
    </row>
    <row r="472" ht="29.25" hidden="1" customHeight="1">
      <c r="A472" s="155"/>
      <c r="B472" s="155"/>
      <c r="C472" s="155"/>
      <c r="D472" s="155"/>
      <c r="E472" s="155"/>
      <c r="F472" s="198"/>
      <c r="G472" s="155"/>
      <c r="H472" s="155"/>
      <c r="I472" s="156"/>
      <c r="J472" s="156"/>
      <c r="K472" s="156"/>
      <c r="L472" s="156"/>
      <c r="M472" s="156"/>
      <c r="N472" s="156"/>
      <c r="O472" s="156"/>
      <c r="P472" s="156"/>
      <c r="Q472" s="155"/>
      <c r="R472" s="190"/>
      <c r="S472" s="191"/>
    </row>
    <row r="473" ht="29.25" hidden="1" customHeight="1">
      <c r="A473" s="155"/>
      <c r="B473" s="155"/>
      <c r="C473" s="155"/>
      <c r="D473" s="155"/>
      <c r="E473" s="155"/>
      <c r="F473" s="198"/>
      <c r="G473" s="155"/>
      <c r="H473" s="155"/>
      <c r="I473" s="156"/>
      <c r="J473" s="156"/>
      <c r="K473" s="156"/>
      <c r="L473" s="156"/>
      <c r="M473" s="156"/>
      <c r="N473" s="156"/>
      <c r="O473" s="156"/>
      <c r="P473" s="156"/>
      <c r="Q473" s="155"/>
      <c r="R473" s="190"/>
      <c r="S473" s="191"/>
    </row>
    <row r="474" ht="29.25" hidden="1" customHeight="1">
      <c r="A474" s="155"/>
      <c r="B474" s="155"/>
      <c r="C474" s="155"/>
      <c r="D474" s="155"/>
      <c r="E474" s="155"/>
      <c r="F474" s="198"/>
      <c r="G474" s="155"/>
      <c r="H474" s="155"/>
      <c r="I474" s="156"/>
      <c r="J474" s="156"/>
      <c r="K474" s="156"/>
      <c r="L474" s="156"/>
      <c r="M474" s="156"/>
      <c r="N474" s="156"/>
      <c r="O474" s="156"/>
      <c r="P474" s="156"/>
      <c r="Q474" s="155"/>
      <c r="R474" s="190"/>
      <c r="S474" s="191"/>
    </row>
    <row r="475" ht="29.25" hidden="1" customHeight="1">
      <c r="A475" s="155"/>
      <c r="B475" s="155"/>
      <c r="C475" s="155"/>
      <c r="D475" s="155"/>
      <c r="E475" s="155"/>
      <c r="F475" s="198"/>
      <c r="G475" s="155"/>
      <c r="H475" s="155"/>
      <c r="I475" s="156"/>
      <c r="J475" s="156"/>
      <c r="K475" s="156"/>
      <c r="L475" s="156"/>
      <c r="M475" s="156"/>
      <c r="N475" s="156"/>
      <c r="O475" s="156"/>
      <c r="P475" s="156"/>
      <c r="Q475" s="155"/>
      <c r="R475" s="190"/>
      <c r="S475" s="191"/>
    </row>
    <row r="476" ht="29.25" hidden="1" customHeight="1">
      <c r="A476" s="155"/>
      <c r="B476" s="155"/>
      <c r="C476" s="155"/>
      <c r="D476" s="155"/>
      <c r="E476" s="155"/>
      <c r="F476" s="198"/>
      <c r="G476" s="155"/>
      <c r="H476" s="155"/>
      <c r="I476" s="156"/>
      <c r="J476" s="156"/>
      <c r="K476" s="156"/>
      <c r="L476" s="156"/>
      <c r="M476" s="156"/>
      <c r="N476" s="156"/>
      <c r="O476" s="156"/>
      <c r="P476" s="156"/>
      <c r="Q476" s="155"/>
      <c r="R476" s="190"/>
      <c r="S476" s="191"/>
    </row>
    <row r="477" ht="29.25" hidden="1" customHeight="1">
      <c r="A477" s="155"/>
      <c r="B477" s="155"/>
      <c r="C477" s="155"/>
      <c r="D477" s="155"/>
      <c r="E477" s="155"/>
      <c r="F477" s="198"/>
      <c r="G477" s="155"/>
      <c r="H477" s="155"/>
      <c r="I477" s="156"/>
      <c r="J477" s="156"/>
      <c r="K477" s="156"/>
      <c r="L477" s="156"/>
      <c r="M477" s="156"/>
      <c r="N477" s="156"/>
      <c r="O477" s="156"/>
      <c r="P477" s="156"/>
      <c r="Q477" s="155"/>
      <c r="R477" s="190"/>
      <c r="S477" s="191"/>
    </row>
    <row r="478" ht="29.25" hidden="1" customHeight="1">
      <c r="A478" s="155"/>
      <c r="B478" s="155"/>
      <c r="C478" s="155"/>
      <c r="D478" s="155"/>
      <c r="E478" s="155"/>
      <c r="F478" s="198"/>
      <c r="G478" s="155"/>
      <c r="H478" s="155"/>
      <c r="I478" s="156"/>
      <c r="J478" s="156"/>
      <c r="K478" s="156"/>
      <c r="L478" s="156"/>
      <c r="M478" s="156"/>
      <c r="N478" s="156"/>
      <c r="O478" s="156"/>
      <c r="P478" s="156"/>
      <c r="Q478" s="155"/>
      <c r="R478" s="190"/>
      <c r="S478" s="191"/>
    </row>
    <row r="479" ht="29.25" hidden="1" customHeight="1">
      <c r="A479" s="155"/>
      <c r="B479" s="155"/>
      <c r="C479" s="155"/>
      <c r="D479" s="155"/>
      <c r="E479" s="155"/>
      <c r="F479" s="198"/>
      <c r="G479" s="155"/>
      <c r="H479" s="155"/>
      <c r="I479" s="156"/>
      <c r="J479" s="156"/>
      <c r="K479" s="156"/>
      <c r="L479" s="156"/>
      <c r="M479" s="156"/>
      <c r="N479" s="156"/>
      <c r="O479" s="156"/>
      <c r="P479" s="156"/>
      <c r="Q479" s="155"/>
      <c r="R479" s="190"/>
      <c r="S479" s="191"/>
    </row>
    <row r="480" ht="29.25" hidden="1" customHeight="1">
      <c r="A480" s="155"/>
      <c r="B480" s="155"/>
      <c r="C480" s="155"/>
      <c r="D480" s="155"/>
      <c r="E480" s="155"/>
      <c r="F480" s="198"/>
      <c r="G480" s="155"/>
      <c r="H480" s="155"/>
      <c r="I480" s="156"/>
      <c r="J480" s="156"/>
      <c r="K480" s="156"/>
      <c r="L480" s="156"/>
      <c r="M480" s="156"/>
      <c r="N480" s="156"/>
      <c r="O480" s="156"/>
      <c r="P480" s="156"/>
      <c r="Q480" s="155"/>
      <c r="R480" s="190"/>
      <c r="S480" s="191"/>
    </row>
    <row r="481" ht="29.25" hidden="1" customHeight="1">
      <c r="A481" s="155"/>
      <c r="B481" s="155"/>
      <c r="C481" s="155"/>
      <c r="D481" s="155"/>
      <c r="E481" s="155"/>
      <c r="F481" s="198"/>
      <c r="G481" s="155"/>
      <c r="H481" s="155"/>
      <c r="I481" s="156"/>
      <c r="J481" s="156"/>
      <c r="K481" s="156"/>
      <c r="L481" s="156"/>
      <c r="M481" s="156"/>
      <c r="N481" s="156"/>
      <c r="O481" s="156"/>
      <c r="P481" s="156"/>
      <c r="Q481" s="155"/>
      <c r="R481" s="190"/>
      <c r="S481" s="191"/>
    </row>
    <row r="482" ht="29.25" hidden="1" customHeight="1">
      <c r="A482" s="155"/>
      <c r="B482" s="155"/>
      <c r="C482" s="155"/>
      <c r="D482" s="155"/>
      <c r="E482" s="155"/>
      <c r="F482" s="198"/>
      <c r="G482" s="155"/>
      <c r="H482" s="155"/>
      <c r="I482" s="156"/>
      <c r="J482" s="156"/>
      <c r="K482" s="156"/>
      <c r="L482" s="156"/>
      <c r="M482" s="156"/>
      <c r="N482" s="156"/>
      <c r="O482" s="156"/>
      <c r="P482" s="156"/>
      <c r="Q482" s="155"/>
      <c r="R482" s="190"/>
      <c r="S482" s="191"/>
    </row>
    <row r="483" ht="29.25" hidden="1" customHeight="1">
      <c r="A483" s="155"/>
      <c r="B483" s="155"/>
      <c r="C483" s="155"/>
      <c r="D483" s="155"/>
      <c r="E483" s="155"/>
      <c r="F483" s="198"/>
      <c r="G483" s="155"/>
      <c r="H483" s="155"/>
      <c r="I483" s="156"/>
      <c r="J483" s="156"/>
      <c r="K483" s="156"/>
      <c r="L483" s="156"/>
      <c r="M483" s="156"/>
      <c r="N483" s="156"/>
      <c r="O483" s="156"/>
      <c r="P483" s="156"/>
      <c r="Q483" s="155"/>
      <c r="R483" s="190"/>
      <c r="S483" s="191"/>
    </row>
    <row r="484" ht="29.25" hidden="1" customHeight="1">
      <c r="A484" s="155"/>
      <c r="B484" s="155"/>
      <c r="C484" s="155"/>
      <c r="D484" s="155"/>
      <c r="E484" s="155"/>
      <c r="F484" s="198"/>
      <c r="G484" s="155"/>
      <c r="H484" s="155"/>
      <c r="I484" s="156"/>
      <c r="J484" s="156"/>
      <c r="K484" s="156"/>
      <c r="L484" s="156"/>
      <c r="M484" s="156"/>
      <c r="N484" s="156"/>
      <c r="O484" s="156"/>
      <c r="P484" s="156"/>
      <c r="Q484" s="155"/>
      <c r="R484" s="190"/>
      <c r="S484" s="191"/>
    </row>
    <row r="485" ht="29.25" hidden="1" customHeight="1">
      <c r="A485" s="155"/>
      <c r="B485" s="155"/>
      <c r="C485" s="155"/>
      <c r="D485" s="155"/>
      <c r="E485" s="155"/>
      <c r="F485" s="198"/>
      <c r="G485" s="155"/>
      <c r="H485" s="155"/>
      <c r="I485" s="156"/>
      <c r="J485" s="156"/>
      <c r="K485" s="156"/>
      <c r="L485" s="156"/>
      <c r="M485" s="156"/>
      <c r="N485" s="156"/>
      <c r="O485" s="156"/>
      <c r="P485" s="156"/>
      <c r="Q485" s="155"/>
      <c r="R485" s="190"/>
      <c r="S485" s="191"/>
    </row>
    <row r="486" ht="29.25" hidden="1" customHeight="1">
      <c r="A486" s="155"/>
      <c r="B486" s="155"/>
      <c r="C486" s="155"/>
      <c r="D486" s="155"/>
      <c r="E486" s="155"/>
      <c r="F486" s="198"/>
      <c r="G486" s="155"/>
      <c r="H486" s="155"/>
      <c r="I486" s="156"/>
      <c r="J486" s="156"/>
      <c r="K486" s="156"/>
      <c r="L486" s="156"/>
      <c r="M486" s="156"/>
      <c r="N486" s="156"/>
      <c r="O486" s="156"/>
      <c r="P486" s="156"/>
      <c r="Q486" s="155"/>
      <c r="R486" s="190"/>
      <c r="S486" s="191"/>
    </row>
    <row r="487" ht="29.25" hidden="1" customHeight="1">
      <c r="A487" s="155"/>
      <c r="B487" s="155"/>
      <c r="C487" s="155"/>
      <c r="D487" s="155"/>
      <c r="E487" s="155"/>
      <c r="F487" s="198"/>
      <c r="G487" s="155"/>
      <c r="H487" s="155"/>
      <c r="I487" s="156"/>
      <c r="J487" s="156"/>
      <c r="K487" s="156"/>
      <c r="L487" s="156"/>
      <c r="M487" s="156"/>
      <c r="N487" s="156"/>
      <c r="O487" s="156"/>
      <c r="P487" s="156"/>
      <c r="Q487" s="155"/>
      <c r="R487" s="190"/>
      <c r="S487" s="191"/>
    </row>
    <row r="488" ht="29.25" hidden="1" customHeight="1">
      <c r="A488" s="155"/>
      <c r="B488" s="155"/>
      <c r="C488" s="155"/>
      <c r="D488" s="155"/>
      <c r="E488" s="155"/>
      <c r="F488" s="198"/>
      <c r="G488" s="155"/>
      <c r="H488" s="155"/>
      <c r="I488" s="156"/>
      <c r="J488" s="156"/>
      <c r="K488" s="156"/>
      <c r="L488" s="156"/>
      <c r="M488" s="156"/>
      <c r="N488" s="156"/>
      <c r="O488" s="156"/>
      <c r="P488" s="156"/>
      <c r="Q488" s="155"/>
      <c r="R488" s="190"/>
      <c r="S488" s="191"/>
    </row>
    <row r="489" ht="29.25" hidden="1" customHeight="1">
      <c r="A489" s="155"/>
      <c r="B489" s="155"/>
      <c r="C489" s="155"/>
      <c r="D489" s="155"/>
      <c r="E489" s="155"/>
      <c r="F489" s="198"/>
      <c r="G489" s="155"/>
      <c r="H489" s="155"/>
      <c r="I489" s="156"/>
      <c r="J489" s="156"/>
      <c r="K489" s="156"/>
      <c r="L489" s="156"/>
      <c r="M489" s="156"/>
      <c r="N489" s="156"/>
      <c r="O489" s="156"/>
      <c r="P489" s="156"/>
      <c r="Q489" s="155"/>
      <c r="R489" s="190"/>
      <c r="S489" s="191"/>
    </row>
    <row r="490" ht="29.25" hidden="1" customHeight="1">
      <c r="A490" s="155"/>
      <c r="B490" s="155"/>
      <c r="C490" s="155"/>
      <c r="D490" s="155"/>
      <c r="E490" s="155"/>
      <c r="F490" s="198"/>
      <c r="G490" s="155"/>
      <c r="H490" s="155"/>
      <c r="I490" s="156"/>
      <c r="J490" s="156"/>
      <c r="K490" s="156"/>
      <c r="L490" s="156"/>
      <c r="M490" s="156"/>
      <c r="N490" s="156"/>
      <c r="O490" s="156"/>
      <c r="P490" s="156"/>
      <c r="Q490" s="155"/>
      <c r="R490" s="190"/>
      <c r="S490" s="191"/>
    </row>
    <row r="491" ht="29.25" hidden="1" customHeight="1">
      <c r="A491" s="155"/>
      <c r="B491" s="155"/>
      <c r="C491" s="155"/>
      <c r="D491" s="155"/>
      <c r="E491" s="155"/>
      <c r="F491" s="198"/>
      <c r="G491" s="155"/>
      <c r="H491" s="155"/>
      <c r="I491" s="156"/>
      <c r="J491" s="156"/>
      <c r="K491" s="156"/>
      <c r="L491" s="156"/>
      <c r="M491" s="156"/>
      <c r="N491" s="156"/>
      <c r="O491" s="156"/>
      <c r="P491" s="156"/>
      <c r="Q491" s="155"/>
      <c r="R491" s="190"/>
      <c r="S491" s="191"/>
    </row>
    <row r="492" ht="29.25" hidden="1" customHeight="1">
      <c r="A492" s="155"/>
      <c r="B492" s="155"/>
      <c r="C492" s="155"/>
      <c r="D492" s="155"/>
      <c r="E492" s="155"/>
      <c r="F492" s="198"/>
      <c r="G492" s="155"/>
      <c r="H492" s="155"/>
      <c r="I492" s="156"/>
      <c r="J492" s="156"/>
      <c r="K492" s="156"/>
      <c r="L492" s="156"/>
      <c r="M492" s="156"/>
      <c r="N492" s="156"/>
      <c r="O492" s="156"/>
      <c r="P492" s="156"/>
      <c r="Q492" s="155"/>
      <c r="R492" s="190"/>
      <c r="S492" s="191"/>
    </row>
    <row r="493" ht="29.25" hidden="1" customHeight="1">
      <c r="A493" s="155"/>
      <c r="B493" s="155"/>
      <c r="C493" s="155"/>
      <c r="D493" s="155"/>
      <c r="E493" s="155"/>
      <c r="F493" s="198"/>
      <c r="G493" s="155"/>
      <c r="H493" s="155"/>
      <c r="I493" s="156"/>
      <c r="J493" s="156"/>
      <c r="K493" s="156"/>
      <c r="L493" s="156"/>
      <c r="M493" s="156"/>
      <c r="N493" s="156"/>
      <c r="O493" s="156"/>
      <c r="P493" s="156"/>
      <c r="Q493" s="155"/>
      <c r="R493" s="190"/>
      <c r="S493" s="191"/>
    </row>
    <row r="494" ht="29.25" hidden="1" customHeight="1">
      <c r="A494" s="155"/>
      <c r="B494" s="155"/>
      <c r="C494" s="155"/>
      <c r="D494" s="155"/>
      <c r="E494" s="155"/>
      <c r="F494" s="198"/>
      <c r="G494" s="155"/>
      <c r="H494" s="155"/>
      <c r="I494" s="156"/>
      <c r="J494" s="156"/>
      <c r="K494" s="156"/>
      <c r="L494" s="156"/>
      <c r="M494" s="156"/>
      <c r="N494" s="156"/>
      <c r="O494" s="156"/>
      <c r="P494" s="156"/>
      <c r="Q494" s="155"/>
      <c r="R494" s="190"/>
      <c r="S494" s="191"/>
    </row>
    <row r="495" ht="29.25" hidden="1" customHeight="1">
      <c r="A495" s="155"/>
      <c r="B495" s="155"/>
      <c r="C495" s="155"/>
      <c r="D495" s="155"/>
      <c r="E495" s="155"/>
      <c r="F495" s="198"/>
      <c r="G495" s="155"/>
      <c r="H495" s="155"/>
      <c r="I495" s="156"/>
      <c r="J495" s="156"/>
      <c r="K495" s="156"/>
      <c r="L495" s="156"/>
      <c r="M495" s="156"/>
      <c r="N495" s="156"/>
      <c r="O495" s="156"/>
      <c r="P495" s="156"/>
      <c r="Q495" s="155"/>
      <c r="R495" s="190"/>
      <c r="S495" s="191"/>
    </row>
    <row r="496" ht="29.25" hidden="1" customHeight="1">
      <c r="A496" s="155"/>
      <c r="B496" s="155"/>
      <c r="C496" s="155"/>
      <c r="D496" s="155"/>
      <c r="E496" s="155"/>
      <c r="F496" s="198"/>
      <c r="G496" s="155"/>
      <c r="H496" s="155"/>
      <c r="I496" s="156"/>
      <c r="J496" s="156"/>
      <c r="K496" s="156"/>
      <c r="L496" s="156"/>
      <c r="M496" s="156"/>
      <c r="N496" s="156"/>
      <c r="O496" s="156"/>
      <c r="P496" s="156"/>
      <c r="Q496" s="155"/>
      <c r="R496" s="190"/>
      <c r="S496" s="191"/>
    </row>
    <row r="497" ht="29.25" hidden="1" customHeight="1">
      <c r="A497" s="155"/>
      <c r="B497" s="155"/>
      <c r="C497" s="155"/>
      <c r="D497" s="155"/>
      <c r="E497" s="155"/>
      <c r="F497" s="198"/>
      <c r="G497" s="155"/>
      <c r="H497" s="155"/>
      <c r="I497" s="156"/>
      <c r="J497" s="156"/>
      <c r="K497" s="156"/>
      <c r="L497" s="156"/>
      <c r="M497" s="156"/>
      <c r="N497" s="156"/>
      <c r="O497" s="156"/>
      <c r="P497" s="156"/>
      <c r="Q497" s="155"/>
      <c r="R497" s="190"/>
      <c r="S497" s="191"/>
    </row>
    <row r="498" ht="29.25" hidden="1" customHeight="1">
      <c r="A498" s="155"/>
      <c r="B498" s="155"/>
      <c r="C498" s="155"/>
      <c r="D498" s="155"/>
      <c r="E498" s="155"/>
      <c r="F498" s="198"/>
      <c r="G498" s="155"/>
      <c r="H498" s="155"/>
      <c r="I498" s="156"/>
      <c r="J498" s="156"/>
      <c r="K498" s="156"/>
      <c r="L498" s="156"/>
      <c r="M498" s="156"/>
      <c r="N498" s="156"/>
      <c r="O498" s="156"/>
      <c r="P498" s="156"/>
      <c r="Q498" s="155"/>
      <c r="R498" s="190"/>
      <c r="S498" s="191"/>
    </row>
    <row r="499" ht="29.25" hidden="1" customHeight="1">
      <c r="A499" s="155"/>
      <c r="B499" s="155"/>
      <c r="C499" s="155"/>
      <c r="D499" s="155"/>
      <c r="E499" s="155"/>
      <c r="F499" s="198"/>
      <c r="G499" s="155"/>
      <c r="H499" s="155"/>
      <c r="I499" s="156"/>
      <c r="J499" s="156"/>
      <c r="K499" s="156"/>
      <c r="L499" s="156"/>
      <c r="M499" s="156"/>
      <c r="N499" s="156"/>
      <c r="O499" s="156"/>
      <c r="P499" s="156"/>
      <c r="Q499" s="155"/>
      <c r="R499" s="190"/>
      <c r="S499" s="191"/>
    </row>
    <row r="500" ht="29.25" hidden="1" customHeight="1">
      <c r="A500" s="155"/>
      <c r="B500" s="155"/>
      <c r="C500" s="155"/>
      <c r="D500" s="155"/>
      <c r="E500" s="155"/>
      <c r="F500" s="198"/>
      <c r="G500" s="155"/>
      <c r="H500" s="155"/>
      <c r="I500" s="156"/>
      <c r="J500" s="156"/>
      <c r="K500" s="156"/>
      <c r="L500" s="156"/>
      <c r="M500" s="156"/>
      <c r="N500" s="156"/>
      <c r="O500" s="156"/>
      <c r="P500" s="156"/>
      <c r="Q500" s="155"/>
      <c r="R500" s="190"/>
      <c r="S500" s="191"/>
    </row>
    <row r="501" ht="29.25" hidden="1" customHeight="1">
      <c r="A501" s="155"/>
      <c r="B501" s="155"/>
      <c r="C501" s="155"/>
      <c r="D501" s="155"/>
      <c r="E501" s="155"/>
      <c r="F501" s="198"/>
      <c r="G501" s="155"/>
      <c r="H501" s="155"/>
      <c r="I501" s="156"/>
      <c r="J501" s="156"/>
      <c r="K501" s="156"/>
      <c r="L501" s="156"/>
      <c r="M501" s="156"/>
      <c r="N501" s="156"/>
      <c r="O501" s="156"/>
      <c r="P501" s="156"/>
      <c r="Q501" s="155"/>
      <c r="R501" s="190"/>
      <c r="S501" s="191"/>
    </row>
    <row r="502" ht="29.25" hidden="1" customHeight="1">
      <c r="A502" s="155"/>
      <c r="B502" s="155"/>
      <c r="C502" s="155"/>
      <c r="D502" s="155"/>
      <c r="E502" s="155"/>
      <c r="F502" s="198"/>
      <c r="G502" s="155"/>
      <c r="H502" s="155"/>
      <c r="I502" s="156"/>
      <c r="J502" s="156"/>
      <c r="K502" s="156"/>
      <c r="L502" s="156"/>
      <c r="M502" s="156"/>
      <c r="N502" s="156"/>
      <c r="O502" s="156"/>
      <c r="P502" s="156"/>
      <c r="Q502" s="155"/>
      <c r="R502" s="190"/>
      <c r="S502" s="191"/>
    </row>
    <row r="503" ht="29.25" hidden="1" customHeight="1">
      <c r="A503" s="155"/>
      <c r="B503" s="155"/>
      <c r="C503" s="155"/>
      <c r="D503" s="155"/>
      <c r="E503" s="155"/>
      <c r="F503" s="198"/>
      <c r="G503" s="155"/>
      <c r="H503" s="155"/>
      <c r="I503" s="156"/>
      <c r="J503" s="156"/>
      <c r="K503" s="156"/>
      <c r="L503" s="156"/>
      <c r="M503" s="156"/>
      <c r="N503" s="156"/>
      <c r="O503" s="156"/>
      <c r="P503" s="156"/>
      <c r="Q503" s="155"/>
      <c r="R503" s="190"/>
      <c r="S503" s="191"/>
    </row>
    <row r="504" ht="29.25" hidden="1" customHeight="1">
      <c r="A504" s="155"/>
      <c r="B504" s="155"/>
      <c r="C504" s="155"/>
      <c r="D504" s="155"/>
      <c r="E504" s="155"/>
      <c r="F504" s="198"/>
      <c r="G504" s="155"/>
      <c r="H504" s="155"/>
      <c r="I504" s="156"/>
      <c r="J504" s="156"/>
      <c r="K504" s="156"/>
      <c r="L504" s="156"/>
      <c r="M504" s="156"/>
      <c r="N504" s="156"/>
      <c r="O504" s="156"/>
      <c r="P504" s="156"/>
      <c r="Q504" s="155"/>
      <c r="R504" s="190"/>
      <c r="S504" s="191"/>
    </row>
    <row r="505" ht="29.25" hidden="1" customHeight="1">
      <c r="A505" s="155"/>
      <c r="B505" s="155"/>
      <c r="C505" s="155"/>
      <c r="D505" s="155"/>
      <c r="E505" s="155"/>
      <c r="F505" s="198"/>
      <c r="G505" s="155"/>
      <c r="H505" s="155"/>
      <c r="I505" s="156"/>
      <c r="J505" s="156"/>
      <c r="K505" s="156"/>
      <c r="L505" s="156"/>
      <c r="M505" s="156"/>
      <c r="N505" s="156"/>
      <c r="O505" s="156"/>
      <c r="P505" s="156"/>
      <c r="Q505" s="155"/>
      <c r="R505" s="190"/>
      <c r="S505" s="191"/>
    </row>
    <row r="506" ht="29.25" hidden="1" customHeight="1">
      <c r="A506" s="155"/>
      <c r="B506" s="155"/>
      <c r="C506" s="155"/>
      <c r="D506" s="155"/>
      <c r="E506" s="155"/>
      <c r="F506" s="198"/>
      <c r="G506" s="155"/>
      <c r="H506" s="155"/>
      <c r="I506" s="156"/>
      <c r="J506" s="156"/>
      <c r="K506" s="156"/>
      <c r="L506" s="156"/>
      <c r="M506" s="156"/>
      <c r="N506" s="156"/>
      <c r="O506" s="156"/>
      <c r="P506" s="156"/>
      <c r="Q506" s="155"/>
      <c r="R506" s="190"/>
      <c r="S506" s="191"/>
    </row>
    <row r="507" ht="29.25" hidden="1" customHeight="1">
      <c r="A507" s="155"/>
      <c r="B507" s="155"/>
      <c r="C507" s="155"/>
      <c r="D507" s="155"/>
      <c r="E507" s="155"/>
      <c r="F507" s="198"/>
      <c r="G507" s="155"/>
      <c r="H507" s="155"/>
      <c r="I507" s="156"/>
      <c r="J507" s="156"/>
      <c r="K507" s="156"/>
      <c r="L507" s="156"/>
      <c r="M507" s="156"/>
      <c r="N507" s="156"/>
      <c r="O507" s="156"/>
      <c r="P507" s="156"/>
      <c r="Q507" s="155"/>
      <c r="R507" s="190"/>
      <c r="S507" s="191"/>
    </row>
    <row r="508" ht="29.25" hidden="1" customHeight="1">
      <c r="A508" s="155"/>
      <c r="B508" s="155"/>
      <c r="C508" s="155"/>
      <c r="D508" s="155"/>
      <c r="E508" s="155"/>
      <c r="F508" s="198"/>
      <c r="G508" s="155"/>
      <c r="H508" s="155"/>
      <c r="I508" s="156"/>
      <c r="J508" s="156"/>
      <c r="K508" s="156"/>
      <c r="L508" s="156"/>
      <c r="M508" s="156"/>
      <c r="N508" s="156"/>
      <c r="O508" s="156"/>
      <c r="P508" s="156"/>
      <c r="Q508" s="155"/>
      <c r="R508" s="190"/>
      <c r="S508" s="191"/>
    </row>
    <row r="509" ht="29.25" hidden="1" customHeight="1">
      <c r="A509" s="155"/>
      <c r="B509" s="155"/>
      <c r="C509" s="155"/>
      <c r="D509" s="155"/>
      <c r="E509" s="155"/>
      <c r="F509" s="198"/>
      <c r="G509" s="155"/>
      <c r="H509" s="155"/>
      <c r="I509" s="156"/>
      <c r="J509" s="156"/>
      <c r="K509" s="156"/>
      <c r="L509" s="156"/>
      <c r="M509" s="156"/>
      <c r="N509" s="156"/>
      <c r="O509" s="156"/>
      <c r="P509" s="156"/>
      <c r="Q509" s="155"/>
      <c r="R509" s="190"/>
      <c r="S509" s="191"/>
    </row>
    <row r="510" ht="29.25" hidden="1" customHeight="1">
      <c r="A510" s="155"/>
      <c r="B510" s="155"/>
      <c r="C510" s="155"/>
      <c r="D510" s="155"/>
      <c r="E510" s="155"/>
      <c r="F510" s="198"/>
      <c r="G510" s="155"/>
      <c r="H510" s="155"/>
      <c r="I510" s="156"/>
      <c r="J510" s="156"/>
      <c r="K510" s="156"/>
      <c r="L510" s="156"/>
      <c r="M510" s="156"/>
      <c r="N510" s="156"/>
      <c r="O510" s="156"/>
      <c r="P510" s="156"/>
      <c r="Q510" s="155"/>
      <c r="R510" s="190"/>
      <c r="S510" s="191"/>
    </row>
    <row r="511" ht="29.25" hidden="1" customHeight="1">
      <c r="A511" s="155"/>
      <c r="B511" s="155"/>
      <c r="C511" s="155"/>
      <c r="D511" s="155"/>
      <c r="E511" s="155"/>
      <c r="F511" s="198"/>
      <c r="G511" s="155"/>
      <c r="H511" s="155"/>
      <c r="I511" s="156"/>
      <c r="J511" s="156"/>
      <c r="K511" s="156"/>
      <c r="L511" s="156"/>
      <c r="M511" s="156"/>
      <c r="N511" s="156"/>
      <c r="O511" s="156"/>
      <c r="P511" s="156"/>
      <c r="Q511" s="155"/>
      <c r="R511" s="190"/>
      <c r="S511" s="191"/>
    </row>
    <row r="512" ht="29.25" hidden="1" customHeight="1">
      <c r="A512" s="155"/>
      <c r="B512" s="155"/>
      <c r="C512" s="155"/>
      <c r="D512" s="155"/>
      <c r="E512" s="155"/>
      <c r="F512" s="198"/>
      <c r="G512" s="155"/>
      <c r="H512" s="155"/>
      <c r="I512" s="156"/>
      <c r="J512" s="156"/>
      <c r="K512" s="156"/>
      <c r="L512" s="156"/>
      <c r="M512" s="156"/>
      <c r="N512" s="156"/>
      <c r="O512" s="156"/>
      <c r="P512" s="156"/>
      <c r="Q512" s="155"/>
      <c r="R512" s="190"/>
      <c r="S512" s="191"/>
    </row>
    <row r="513" ht="29.25" hidden="1" customHeight="1">
      <c r="A513" s="155"/>
      <c r="B513" s="155"/>
      <c r="C513" s="155"/>
      <c r="D513" s="155"/>
      <c r="E513" s="155"/>
      <c r="F513" s="198"/>
      <c r="G513" s="155"/>
      <c r="H513" s="155"/>
      <c r="I513" s="156"/>
      <c r="J513" s="156"/>
      <c r="K513" s="156"/>
      <c r="L513" s="156"/>
      <c r="M513" s="156"/>
      <c r="N513" s="156"/>
      <c r="O513" s="156"/>
      <c r="P513" s="156"/>
      <c r="Q513" s="155"/>
      <c r="R513" s="190"/>
      <c r="S513" s="191"/>
    </row>
    <row r="514" ht="29.25" hidden="1" customHeight="1">
      <c r="A514" s="155"/>
      <c r="B514" s="155"/>
      <c r="C514" s="155"/>
      <c r="D514" s="155"/>
      <c r="E514" s="155"/>
      <c r="F514" s="198"/>
      <c r="G514" s="155"/>
      <c r="H514" s="155"/>
      <c r="I514" s="156"/>
      <c r="J514" s="156"/>
      <c r="K514" s="156"/>
      <c r="L514" s="156"/>
      <c r="M514" s="156"/>
      <c r="N514" s="156"/>
      <c r="O514" s="156"/>
      <c r="P514" s="156"/>
      <c r="Q514" s="155"/>
      <c r="R514" s="190"/>
      <c r="S514" s="191"/>
    </row>
    <row r="515" ht="29.25" hidden="1" customHeight="1">
      <c r="A515" s="155"/>
      <c r="B515" s="155"/>
      <c r="C515" s="155"/>
      <c r="D515" s="155"/>
      <c r="E515" s="155"/>
      <c r="F515" s="198"/>
      <c r="G515" s="155"/>
      <c r="H515" s="155"/>
      <c r="I515" s="156"/>
      <c r="J515" s="156"/>
      <c r="K515" s="156"/>
      <c r="L515" s="156"/>
      <c r="M515" s="156"/>
      <c r="N515" s="156"/>
      <c r="O515" s="156"/>
      <c r="P515" s="156"/>
      <c r="Q515" s="155"/>
      <c r="R515" s="190"/>
      <c r="S515" s="191"/>
    </row>
    <row r="516" ht="29.25" hidden="1" customHeight="1">
      <c r="A516" s="155"/>
      <c r="B516" s="155"/>
      <c r="C516" s="155"/>
      <c r="D516" s="155"/>
      <c r="E516" s="155"/>
      <c r="F516" s="198"/>
      <c r="G516" s="155"/>
      <c r="H516" s="155"/>
      <c r="I516" s="156"/>
      <c r="J516" s="156"/>
      <c r="K516" s="156"/>
      <c r="L516" s="156"/>
      <c r="M516" s="156"/>
      <c r="N516" s="156"/>
      <c r="O516" s="156"/>
      <c r="P516" s="156"/>
      <c r="Q516" s="155"/>
      <c r="R516" s="190"/>
      <c r="S516" s="191"/>
    </row>
    <row r="517" ht="29.25" hidden="1" customHeight="1">
      <c r="A517" s="155"/>
      <c r="B517" s="155"/>
      <c r="C517" s="155"/>
      <c r="D517" s="155"/>
      <c r="E517" s="155"/>
      <c r="F517" s="198"/>
      <c r="G517" s="155"/>
      <c r="H517" s="155"/>
      <c r="I517" s="156"/>
      <c r="J517" s="156"/>
      <c r="K517" s="156"/>
      <c r="L517" s="156"/>
      <c r="M517" s="156"/>
      <c r="N517" s="156"/>
      <c r="O517" s="156"/>
      <c r="P517" s="156"/>
      <c r="Q517" s="155"/>
      <c r="R517" s="190"/>
      <c r="S517" s="191"/>
    </row>
    <row r="518" ht="29.25" hidden="1" customHeight="1">
      <c r="A518" s="155"/>
      <c r="B518" s="155"/>
      <c r="C518" s="155"/>
      <c r="D518" s="155"/>
      <c r="E518" s="155"/>
      <c r="F518" s="198"/>
      <c r="G518" s="155"/>
      <c r="H518" s="155"/>
      <c r="I518" s="156"/>
      <c r="J518" s="156"/>
      <c r="K518" s="156"/>
      <c r="L518" s="156"/>
      <c r="M518" s="156"/>
      <c r="N518" s="156"/>
      <c r="O518" s="156"/>
      <c r="P518" s="156"/>
      <c r="Q518" s="155"/>
      <c r="R518" s="190"/>
      <c r="S518" s="191"/>
    </row>
    <row r="519" ht="29.25" hidden="1" customHeight="1">
      <c r="A519" s="155"/>
      <c r="B519" s="155"/>
      <c r="C519" s="155"/>
      <c r="D519" s="155"/>
      <c r="E519" s="155"/>
      <c r="F519" s="198"/>
      <c r="G519" s="155"/>
      <c r="H519" s="155"/>
      <c r="I519" s="156"/>
      <c r="J519" s="156"/>
      <c r="K519" s="156"/>
      <c r="L519" s="156"/>
      <c r="M519" s="156"/>
      <c r="N519" s="156"/>
      <c r="O519" s="156"/>
      <c r="P519" s="156"/>
      <c r="Q519" s="155"/>
      <c r="R519" s="190"/>
      <c r="S519" s="191"/>
    </row>
    <row r="520" ht="29.25" hidden="1" customHeight="1">
      <c r="A520" s="155"/>
      <c r="B520" s="155"/>
      <c r="C520" s="155"/>
      <c r="D520" s="155"/>
      <c r="E520" s="155"/>
      <c r="F520" s="198"/>
      <c r="G520" s="155"/>
      <c r="H520" s="155"/>
      <c r="I520" s="156"/>
      <c r="J520" s="156"/>
      <c r="K520" s="156"/>
      <c r="L520" s="156"/>
      <c r="M520" s="156"/>
      <c r="N520" s="156"/>
      <c r="O520" s="156"/>
      <c r="P520" s="156"/>
      <c r="Q520" s="155"/>
      <c r="R520" s="190"/>
      <c r="S520" s="191"/>
    </row>
    <row r="521" ht="29.25" hidden="1" customHeight="1">
      <c r="A521" s="155"/>
      <c r="B521" s="155"/>
      <c r="C521" s="155"/>
      <c r="D521" s="155"/>
      <c r="E521" s="155"/>
      <c r="F521" s="198"/>
      <c r="G521" s="155"/>
      <c r="H521" s="155"/>
      <c r="I521" s="156"/>
      <c r="J521" s="156"/>
      <c r="K521" s="156"/>
      <c r="L521" s="156"/>
      <c r="M521" s="156"/>
      <c r="N521" s="156"/>
      <c r="O521" s="156"/>
      <c r="P521" s="156"/>
      <c r="Q521" s="155"/>
      <c r="R521" s="190"/>
      <c r="S521" s="191"/>
    </row>
    <row r="522" ht="29.25" hidden="1" customHeight="1">
      <c r="A522" s="155"/>
      <c r="B522" s="155"/>
      <c r="C522" s="155"/>
      <c r="D522" s="155"/>
      <c r="E522" s="155"/>
      <c r="F522" s="198"/>
      <c r="G522" s="155"/>
      <c r="H522" s="155"/>
      <c r="I522" s="156"/>
      <c r="J522" s="156"/>
      <c r="K522" s="156"/>
      <c r="L522" s="156"/>
      <c r="M522" s="156"/>
      <c r="N522" s="156"/>
      <c r="O522" s="156"/>
      <c r="P522" s="156"/>
      <c r="Q522" s="155"/>
      <c r="R522" s="190"/>
      <c r="S522" s="191"/>
    </row>
    <row r="523" ht="29.25" hidden="1" customHeight="1">
      <c r="A523" s="155"/>
      <c r="B523" s="155"/>
      <c r="C523" s="155"/>
      <c r="D523" s="155"/>
      <c r="E523" s="155"/>
      <c r="F523" s="198"/>
      <c r="G523" s="155"/>
      <c r="H523" s="155"/>
      <c r="I523" s="156"/>
      <c r="J523" s="156"/>
      <c r="K523" s="156"/>
      <c r="L523" s="156"/>
      <c r="M523" s="156"/>
      <c r="N523" s="156"/>
      <c r="O523" s="156"/>
      <c r="P523" s="156"/>
      <c r="Q523" s="155"/>
      <c r="R523" s="190"/>
      <c r="S523" s="191"/>
    </row>
    <row r="524" ht="29.25" hidden="1" customHeight="1">
      <c r="A524" s="155"/>
      <c r="B524" s="155"/>
      <c r="C524" s="155"/>
      <c r="D524" s="155"/>
      <c r="E524" s="155"/>
      <c r="F524" s="198"/>
      <c r="G524" s="155"/>
      <c r="H524" s="155"/>
      <c r="I524" s="156"/>
      <c r="J524" s="156"/>
      <c r="K524" s="156"/>
      <c r="L524" s="156"/>
      <c r="M524" s="156"/>
      <c r="N524" s="156"/>
      <c r="O524" s="156"/>
      <c r="P524" s="156"/>
      <c r="Q524" s="155"/>
      <c r="R524" s="190"/>
      <c r="S524" s="191"/>
    </row>
    <row r="525" ht="29.25" hidden="1" customHeight="1">
      <c r="A525" s="155"/>
      <c r="B525" s="155"/>
      <c r="C525" s="155"/>
      <c r="D525" s="155"/>
      <c r="E525" s="155"/>
      <c r="F525" s="198"/>
      <c r="G525" s="155"/>
      <c r="H525" s="155"/>
      <c r="I525" s="156"/>
      <c r="J525" s="156"/>
      <c r="K525" s="156"/>
      <c r="L525" s="156"/>
      <c r="M525" s="156"/>
      <c r="N525" s="156"/>
      <c r="O525" s="156"/>
      <c r="P525" s="156"/>
      <c r="Q525" s="155"/>
      <c r="R525" s="190"/>
      <c r="S525" s="191"/>
    </row>
    <row r="526" ht="29.25" hidden="1" customHeight="1">
      <c r="A526" s="155"/>
      <c r="B526" s="155"/>
      <c r="C526" s="155"/>
      <c r="D526" s="155"/>
      <c r="E526" s="155"/>
      <c r="F526" s="198"/>
      <c r="G526" s="155"/>
      <c r="H526" s="155"/>
      <c r="I526" s="156"/>
      <c r="J526" s="156"/>
      <c r="K526" s="156"/>
      <c r="L526" s="156"/>
      <c r="M526" s="156"/>
      <c r="N526" s="156"/>
      <c r="O526" s="156"/>
      <c r="P526" s="156"/>
      <c r="Q526" s="155"/>
      <c r="R526" s="190"/>
      <c r="S526" s="191"/>
    </row>
    <row r="527" ht="29.25" hidden="1" customHeight="1">
      <c r="A527" s="155"/>
      <c r="B527" s="155"/>
      <c r="C527" s="155"/>
      <c r="D527" s="155"/>
      <c r="E527" s="155"/>
      <c r="F527" s="198"/>
      <c r="G527" s="155"/>
      <c r="H527" s="155"/>
      <c r="I527" s="156"/>
      <c r="J527" s="156"/>
      <c r="K527" s="156"/>
      <c r="L527" s="156"/>
      <c r="M527" s="156"/>
      <c r="N527" s="156"/>
      <c r="O527" s="156"/>
      <c r="P527" s="156"/>
      <c r="Q527" s="155"/>
      <c r="R527" s="190"/>
      <c r="S527" s="191"/>
    </row>
    <row r="528" ht="29.25" hidden="1" customHeight="1">
      <c r="A528" s="155"/>
      <c r="B528" s="155"/>
      <c r="C528" s="155"/>
      <c r="D528" s="155"/>
      <c r="E528" s="155"/>
      <c r="F528" s="198"/>
      <c r="G528" s="155"/>
      <c r="H528" s="155"/>
      <c r="I528" s="156"/>
      <c r="J528" s="156"/>
      <c r="K528" s="156"/>
      <c r="L528" s="156"/>
      <c r="M528" s="156"/>
      <c r="N528" s="156"/>
      <c r="O528" s="156"/>
      <c r="P528" s="156"/>
      <c r="Q528" s="155"/>
      <c r="R528" s="190"/>
      <c r="S528" s="191"/>
    </row>
    <row r="529" ht="29.25" hidden="1" customHeight="1">
      <c r="A529" s="155"/>
      <c r="B529" s="155"/>
      <c r="C529" s="155"/>
      <c r="D529" s="155"/>
      <c r="E529" s="155"/>
      <c r="F529" s="198"/>
      <c r="G529" s="155"/>
      <c r="H529" s="155"/>
      <c r="I529" s="156"/>
      <c r="J529" s="156"/>
      <c r="K529" s="156"/>
      <c r="L529" s="156"/>
      <c r="M529" s="156"/>
      <c r="N529" s="156"/>
      <c r="O529" s="156"/>
      <c r="P529" s="156"/>
      <c r="Q529" s="155"/>
      <c r="R529" s="190"/>
      <c r="S529" s="191"/>
    </row>
    <row r="530" ht="29.25" hidden="1" customHeight="1">
      <c r="A530" s="155"/>
      <c r="B530" s="155"/>
      <c r="C530" s="155"/>
      <c r="D530" s="155"/>
      <c r="E530" s="155"/>
      <c r="F530" s="198"/>
      <c r="G530" s="155"/>
      <c r="H530" s="155"/>
      <c r="I530" s="156"/>
      <c r="J530" s="156"/>
      <c r="K530" s="156"/>
      <c r="L530" s="156"/>
      <c r="M530" s="156"/>
      <c r="N530" s="156"/>
      <c r="O530" s="156"/>
      <c r="P530" s="156"/>
      <c r="Q530" s="155"/>
      <c r="R530" s="190"/>
      <c r="S530" s="191"/>
    </row>
    <row r="531" ht="29.25" hidden="1" customHeight="1">
      <c r="A531" s="155"/>
      <c r="B531" s="155"/>
      <c r="C531" s="155"/>
      <c r="D531" s="155"/>
      <c r="E531" s="155"/>
      <c r="F531" s="198"/>
      <c r="G531" s="155"/>
      <c r="H531" s="155"/>
      <c r="I531" s="156"/>
      <c r="J531" s="156"/>
      <c r="K531" s="156"/>
      <c r="L531" s="156"/>
      <c r="M531" s="156"/>
      <c r="N531" s="156"/>
      <c r="O531" s="156"/>
      <c r="P531" s="156"/>
      <c r="Q531" s="155"/>
      <c r="R531" s="190"/>
      <c r="S531" s="191"/>
    </row>
    <row r="532" ht="29.25" hidden="1" customHeight="1">
      <c r="A532" s="155"/>
      <c r="B532" s="155"/>
      <c r="C532" s="155"/>
      <c r="D532" s="155"/>
      <c r="E532" s="155"/>
      <c r="F532" s="198"/>
      <c r="G532" s="155"/>
      <c r="H532" s="155"/>
      <c r="I532" s="156"/>
      <c r="J532" s="156"/>
      <c r="K532" s="156"/>
      <c r="L532" s="156"/>
      <c r="M532" s="156"/>
      <c r="N532" s="156"/>
      <c r="O532" s="156"/>
      <c r="P532" s="156"/>
      <c r="Q532" s="155"/>
      <c r="R532" s="190"/>
      <c r="S532" s="191"/>
    </row>
    <row r="533" ht="29.25" hidden="1" customHeight="1">
      <c r="A533" s="155"/>
      <c r="B533" s="155"/>
      <c r="C533" s="155"/>
      <c r="D533" s="155"/>
      <c r="E533" s="155"/>
      <c r="F533" s="198"/>
      <c r="G533" s="155"/>
      <c r="H533" s="155"/>
      <c r="I533" s="156"/>
      <c r="J533" s="156"/>
      <c r="K533" s="156"/>
      <c r="L533" s="156"/>
      <c r="M533" s="156"/>
      <c r="N533" s="156"/>
      <c r="O533" s="156"/>
      <c r="P533" s="156"/>
      <c r="Q533" s="155"/>
      <c r="R533" s="190"/>
      <c r="S533" s="191"/>
    </row>
    <row r="534" ht="29.25" hidden="1" customHeight="1">
      <c r="A534" s="155"/>
      <c r="B534" s="155"/>
      <c r="C534" s="155"/>
      <c r="D534" s="155"/>
      <c r="E534" s="155"/>
      <c r="F534" s="198"/>
      <c r="G534" s="155"/>
      <c r="H534" s="155"/>
      <c r="I534" s="156"/>
      <c r="J534" s="156"/>
      <c r="K534" s="156"/>
      <c r="L534" s="156"/>
      <c r="M534" s="156"/>
      <c r="N534" s="156"/>
      <c r="O534" s="156"/>
      <c r="P534" s="156"/>
      <c r="Q534" s="155"/>
      <c r="R534" s="190"/>
      <c r="S534" s="191"/>
    </row>
    <row r="535" ht="29.25" hidden="1" customHeight="1">
      <c r="A535" s="155"/>
      <c r="B535" s="155"/>
      <c r="C535" s="155"/>
      <c r="D535" s="155"/>
      <c r="E535" s="155"/>
      <c r="F535" s="198"/>
      <c r="G535" s="155"/>
      <c r="H535" s="155"/>
      <c r="I535" s="156"/>
      <c r="J535" s="156"/>
      <c r="K535" s="156"/>
      <c r="L535" s="156"/>
      <c r="M535" s="156"/>
      <c r="N535" s="156"/>
      <c r="O535" s="156"/>
      <c r="P535" s="156"/>
      <c r="Q535" s="155"/>
      <c r="R535" s="190"/>
      <c r="S535" s="191"/>
    </row>
    <row r="536" ht="29.25" hidden="1" customHeight="1">
      <c r="A536" s="155"/>
      <c r="B536" s="155"/>
      <c r="C536" s="155"/>
      <c r="D536" s="155"/>
      <c r="E536" s="155"/>
      <c r="F536" s="198"/>
      <c r="G536" s="155"/>
      <c r="H536" s="155"/>
      <c r="I536" s="156"/>
      <c r="J536" s="156"/>
      <c r="K536" s="156"/>
      <c r="L536" s="156"/>
      <c r="M536" s="156"/>
      <c r="N536" s="156"/>
      <c r="O536" s="156"/>
      <c r="P536" s="156"/>
      <c r="Q536" s="155"/>
      <c r="R536" s="190"/>
      <c r="S536" s="191"/>
    </row>
    <row r="537" ht="29.25" hidden="1" customHeight="1">
      <c r="A537" s="155"/>
      <c r="B537" s="155"/>
      <c r="C537" s="155"/>
      <c r="D537" s="155"/>
      <c r="E537" s="155"/>
      <c r="F537" s="198"/>
      <c r="G537" s="155"/>
      <c r="H537" s="155"/>
      <c r="I537" s="156"/>
      <c r="J537" s="156"/>
      <c r="K537" s="156"/>
      <c r="L537" s="156"/>
      <c r="M537" s="156"/>
      <c r="N537" s="156"/>
      <c r="O537" s="156"/>
      <c r="P537" s="156"/>
      <c r="Q537" s="155"/>
      <c r="R537" s="190"/>
      <c r="S537" s="191"/>
    </row>
    <row r="538" ht="29.25" hidden="1" customHeight="1">
      <c r="A538" s="155"/>
      <c r="B538" s="155"/>
      <c r="C538" s="155"/>
      <c r="D538" s="155"/>
      <c r="E538" s="155"/>
      <c r="F538" s="198"/>
      <c r="G538" s="155"/>
      <c r="H538" s="155"/>
      <c r="I538" s="156"/>
      <c r="J538" s="156"/>
      <c r="K538" s="156"/>
      <c r="L538" s="156"/>
      <c r="M538" s="156"/>
      <c r="N538" s="156"/>
      <c r="O538" s="156"/>
      <c r="P538" s="156"/>
      <c r="Q538" s="155"/>
      <c r="R538" s="190"/>
      <c r="S538" s="191"/>
    </row>
    <row r="539" ht="29.25" hidden="1" customHeight="1">
      <c r="A539" s="155"/>
      <c r="B539" s="155"/>
      <c r="C539" s="155"/>
      <c r="D539" s="155"/>
      <c r="E539" s="155"/>
      <c r="F539" s="198"/>
      <c r="G539" s="155"/>
      <c r="H539" s="155"/>
      <c r="I539" s="156"/>
      <c r="J539" s="156"/>
      <c r="K539" s="156"/>
      <c r="L539" s="156"/>
      <c r="M539" s="156"/>
      <c r="N539" s="156"/>
      <c r="O539" s="156"/>
      <c r="P539" s="156"/>
      <c r="Q539" s="155"/>
      <c r="R539" s="190"/>
      <c r="S539" s="191"/>
    </row>
    <row r="540" ht="29.25" hidden="1" customHeight="1">
      <c r="A540" s="155"/>
      <c r="B540" s="155"/>
      <c r="C540" s="155"/>
      <c r="D540" s="155"/>
      <c r="E540" s="155"/>
      <c r="F540" s="198"/>
      <c r="G540" s="155"/>
      <c r="H540" s="155"/>
      <c r="I540" s="156"/>
      <c r="J540" s="156"/>
      <c r="K540" s="156"/>
      <c r="L540" s="156"/>
      <c r="M540" s="156"/>
      <c r="N540" s="156"/>
      <c r="O540" s="156"/>
      <c r="P540" s="156"/>
      <c r="Q540" s="155"/>
      <c r="R540" s="190"/>
      <c r="S540" s="191"/>
    </row>
    <row r="541" ht="29.25" hidden="1" customHeight="1">
      <c r="A541" s="155"/>
      <c r="B541" s="155"/>
      <c r="C541" s="155"/>
      <c r="D541" s="155"/>
      <c r="E541" s="155"/>
      <c r="F541" s="198"/>
      <c r="G541" s="155"/>
      <c r="H541" s="155"/>
      <c r="I541" s="156"/>
      <c r="J541" s="156"/>
      <c r="K541" s="156"/>
      <c r="L541" s="156"/>
      <c r="M541" s="156"/>
      <c r="N541" s="156"/>
      <c r="O541" s="156"/>
      <c r="P541" s="156"/>
      <c r="Q541" s="155"/>
      <c r="R541" s="190"/>
      <c r="S541" s="191"/>
    </row>
    <row r="542" ht="29.25" hidden="1" customHeight="1">
      <c r="A542" s="155"/>
      <c r="B542" s="155"/>
      <c r="C542" s="155"/>
      <c r="D542" s="155"/>
      <c r="E542" s="155"/>
      <c r="F542" s="198"/>
      <c r="G542" s="155"/>
      <c r="H542" s="155"/>
      <c r="I542" s="156"/>
      <c r="J542" s="156"/>
      <c r="K542" s="156"/>
      <c r="L542" s="156"/>
      <c r="M542" s="156"/>
      <c r="N542" s="156"/>
      <c r="O542" s="156"/>
      <c r="P542" s="156"/>
      <c r="Q542" s="155"/>
      <c r="R542" s="190"/>
      <c r="S542" s="191"/>
    </row>
    <row r="543" ht="29.25" hidden="1" customHeight="1">
      <c r="A543" s="155"/>
      <c r="B543" s="155"/>
      <c r="C543" s="155"/>
      <c r="D543" s="155"/>
      <c r="E543" s="155"/>
      <c r="F543" s="198"/>
      <c r="G543" s="155"/>
      <c r="H543" s="155"/>
      <c r="I543" s="156"/>
      <c r="J543" s="156"/>
      <c r="K543" s="156"/>
      <c r="L543" s="156"/>
      <c r="M543" s="156"/>
      <c r="N543" s="156"/>
      <c r="O543" s="156"/>
      <c r="P543" s="156"/>
      <c r="Q543" s="155"/>
      <c r="R543" s="190"/>
      <c r="S543" s="191"/>
    </row>
    <row r="544" ht="29.25" hidden="1" customHeight="1">
      <c r="A544" s="155"/>
      <c r="B544" s="155"/>
      <c r="C544" s="155"/>
      <c r="D544" s="155"/>
      <c r="E544" s="155"/>
      <c r="F544" s="198"/>
      <c r="G544" s="155"/>
      <c r="H544" s="155"/>
      <c r="I544" s="156"/>
      <c r="J544" s="156"/>
      <c r="K544" s="156"/>
      <c r="L544" s="156"/>
      <c r="M544" s="156"/>
      <c r="N544" s="156"/>
      <c r="O544" s="156"/>
      <c r="P544" s="156"/>
      <c r="Q544" s="155"/>
      <c r="R544" s="190"/>
      <c r="S544" s="191"/>
    </row>
    <row r="545" ht="29.25" hidden="1" customHeight="1">
      <c r="A545" s="155"/>
      <c r="B545" s="155"/>
      <c r="C545" s="155"/>
      <c r="D545" s="155"/>
      <c r="E545" s="155"/>
      <c r="F545" s="198"/>
      <c r="G545" s="155"/>
      <c r="H545" s="155"/>
      <c r="I545" s="156"/>
      <c r="J545" s="156"/>
      <c r="K545" s="156"/>
      <c r="L545" s="156"/>
      <c r="M545" s="156"/>
      <c r="N545" s="156"/>
      <c r="O545" s="156"/>
      <c r="P545" s="156"/>
      <c r="Q545" s="155"/>
      <c r="R545" s="190"/>
      <c r="S545" s="191"/>
    </row>
    <row r="546" ht="29.25" hidden="1" customHeight="1">
      <c r="A546" s="155"/>
      <c r="B546" s="155"/>
      <c r="C546" s="155"/>
      <c r="D546" s="155"/>
      <c r="E546" s="155"/>
      <c r="F546" s="198"/>
      <c r="G546" s="155"/>
      <c r="H546" s="155"/>
      <c r="I546" s="156"/>
      <c r="J546" s="156"/>
      <c r="K546" s="156"/>
      <c r="L546" s="156"/>
      <c r="M546" s="156"/>
      <c r="N546" s="156"/>
      <c r="O546" s="156"/>
      <c r="P546" s="156"/>
      <c r="Q546" s="155"/>
      <c r="R546" s="190"/>
      <c r="S546" s="191"/>
    </row>
    <row r="547" ht="29.25" hidden="1" customHeight="1">
      <c r="A547" s="155"/>
      <c r="B547" s="155"/>
      <c r="C547" s="155"/>
      <c r="D547" s="155"/>
      <c r="E547" s="155"/>
      <c r="F547" s="198"/>
      <c r="G547" s="155"/>
      <c r="H547" s="155"/>
      <c r="I547" s="156"/>
      <c r="J547" s="156"/>
      <c r="K547" s="156"/>
      <c r="L547" s="156"/>
      <c r="M547" s="156"/>
      <c r="N547" s="156"/>
      <c r="O547" s="156"/>
      <c r="P547" s="156"/>
      <c r="Q547" s="155"/>
      <c r="R547" s="190"/>
      <c r="S547" s="191"/>
    </row>
    <row r="548" ht="29.25" hidden="1" customHeight="1">
      <c r="A548" s="155"/>
      <c r="B548" s="155"/>
      <c r="C548" s="155"/>
      <c r="D548" s="155"/>
      <c r="E548" s="155"/>
      <c r="F548" s="198"/>
      <c r="G548" s="155"/>
      <c r="H548" s="155"/>
      <c r="I548" s="156"/>
      <c r="J548" s="156"/>
      <c r="K548" s="156"/>
      <c r="L548" s="156"/>
      <c r="M548" s="156"/>
      <c r="N548" s="156"/>
      <c r="O548" s="156"/>
      <c r="P548" s="156"/>
      <c r="Q548" s="155"/>
      <c r="R548" s="190"/>
      <c r="S548" s="191"/>
    </row>
    <row r="549" ht="29.25" hidden="1" customHeight="1">
      <c r="A549" s="155"/>
      <c r="B549" s="155"/>
      <c r="C549" s="155"/>
      <c r="D549" s="155"/>
      <c r="E549" s="155"/>
      <c r="F549" s="198"/>
      <c r="G549" s="155"/>
      <c r="H549" s="155"/>
      <c r="I549" s="156"/>
      <c r="J549" s="156"/>
      <c r="K549" s="156"/>
      <c r="L549" s="156"/>
      <c r="M549" s="156"/>
      <c r="N549" s="156"/>
      <c r="O549" s="156"/>
      <c r="P549" s="156"/>
      <c r="Q549" s="155"/>
      <c r="R549" s="190"/>
      <c r="S549" s="191"/>
    </row>
    <row r="550" ht="29.25" hidden="1" customHeight="1">
      <c r="A550" s="155"/>
      <c r="B550" s="155"/>
      <c r="C550" s="155"/>
      <c r="D550" s="155"/>
      <c r="E550" s="155"/>
      <c r="F550" s="198"/>
      <c r="G550" s="155"/>
      <c r="H550" s="155"/>
      <c r="I550" s="156"/>
      <c r="J550" s="156"/>
      <c r="K550" s="156"/>
      <c r="L550" s="156"/>
      <c r="M550" s="156"/>
      <c r="N550" s="156"/>
      <c r="O550" s="156"/>
      <c r="P550" s="156"/>
      <c r="Q550" s="155"/>
      <c r="R550" s="190"/>
      <c r="S550" s="191"/>
    </row>
    <row r="551" ht="29.25" hidden="1" customHeight="1">
      <c r="A551" s="155"/>
      <c r="B551" s="155"/>
      <c r="C551" s="155"/>
      <c r="D551" s="155"/>
      <c r="E551" s="155"/>
      <c r="F551" s="198"/>
      <c r="G551" s="155"/>
      <c r="H551" s="155"/>
      <c r="I551" s="156"/>
      <c r="J551" s="156"/>
      <c r="K551" s="156"/>
      <c r="L551" s="156"/>
      <c r="M551" s="156"/>
      <c r="N551" s="156"/>
      <c r="O551" s="156"/>
      <c r="P551" s="156"/>
      <c r="Q551" s="155"/>
      <c r="R551" s="190"/>
      <c r="S551" s="191"/>
    </row>
    <row r="552" ht="29.25" hidden="1" customHeight="1">
      <c r="A552" s="155"/>
      <c r="B552" s="155"/>
      <c r="C552" s="155"/>
      <c r="D552" s="155"/>
      <c r="E552" s="155"/>
      <c r="F552" s="198"/>
      <c r="G552" s="155"/>
      <c r="H552" s="155"/>
      <c r="I552" s="156"/>
      <c r="J552" s="156"/>
      <c r="K552" s="156"/>
      <c r="L552" s="156"/>
      <c r="M552" s="156"/>
      <c r="N552" s="156"/>
      <c r="O552" s="156"/>
      <c r="P552" s="156"/>
      <c r="Q552" s="155"/>
      <c r="R552" s="190"/>
      <c r="S552" s="191"/>
    </row>
    <row r="553" ht="29.25" hidden="1" customHeight="1">
      <c r="A553" s="155"/>
      <c r="B553" s="155"/>
      <c r="C553" s="155"/>
      <c r="D553" s="155"/>
      <c r="E553" s="155"/>
      <c r="F553" s="198"/>
      <c r="G553" s="155"/>
      <c r="H553" s="155"/>
      <c r="I553" s="156"/>
      <c r="J553" s="156"/>
      <c r="K553" s="156"/>
      <c r="L553" s="156"/>
      <c r="M553" s="156"/>
      <c r="N553" s="156"/>
      <c r="O553" s="156"/>
      <c r="P553" s="156"/>
      <c r="Q553" s="155"/>
      <c r="R553" s="190"/>
      <c r="S553" s="191"/>
    </row>
    <row r="554" ht="29.25" hidden="1" customHeight="1">
      <c r="A554" s="155"/>
      <c r="B554" s="155"/>
      <c r="C554" s="155"/>
      <c r="D554" s="155"/>
      <c r="E554" s="155"/>
      <c r="F554" s="198"/>
      <c r="G554" s="155"/>
      <c r="H554" s="155"/>
      <c r="I554" s="156"/>
      <c r="J554" s="156"/>
      <c r="K554" s="156"/>
      <c r="L554" s="156"/>
      <c r="M554" s="156"/>
      <c r="N554" s="156"/>
      <c r="O554" s="156"/>
      <c r="P554" s="156"/>
      <c r="Q554" s="155"/>
      <c r="R554" s="190"/>
      <c r="S554" s="191"/>
    </row>
    <row r="555" ht="29.25" hidden="1" customHeight="1">
      <c r="A555" s="155"/>
      <c r="B555" s="155"/>
      <c r="C555" s="155"/>
      <c r="D555" s="155"/>
      <c r="E555" s="155"/>
      <c r="F555" s="198"/>
      <c r="G555" s="155"/>
      <c r="H555" s="155"/>
      <c r="I555" s="156"/>
      <c r="J555" s="156"/>
      <c r="K555" s="156"/>
      <c r="L555" s="156"/>
      <c r="M555" s="156"/>
      <c r="N555" s="156"/>
      <c r="O555" s="156"/>
      <c r="P555" s="156"/>
      <c r="Q555" s="155"/>
      <c r="R555" s="190"/>
      <c r="S555" s="191"/>
    </row>
    <row r="556" ht="29.25" hidden="1" customHeight="1">
      <c r="A556" s="155"/>
      <c r="B556" s="155"/>
      <c r="C556" s="155"/>
      <c r="D556" s="155"/>
      <c r="E556" s="155"/>
      <c r="F556" s="198"/>
      <c r="G556" s="155"/>
      <c r="H556" s="155"/>
      <c r="I556" s="156"/>
      <c r="J556" s="156"/>
      <c r="K556" s="156"/>
      <c r="L556" s="156"/>
      <c r="M556" s="156"/>
      <c r="N556" s="156"/>
      <c r="O556" s="156"/>
      <c r="P556" s="156"/>
      <c r="Q556" s="155"/>
      <c r="R556" s="190"/>
      <c r="S556" s="191"/>
    </row>
    <row r="557" ht="29.25" hidden="1" customHeight="1">
      <c r="A557" s="155"/>
      <c r="B557" s="155"/>
      <c r="C557" s="155"/>
      <c r="D557" s="155"/>
      <c r="E557" s="155"/>
      <c r="F557" s="198"/>
      <c r="G557" s="155"/>
      <c r="H557" s="155"/>
      <c r="I557" s="156"/>
      <c r="J557" s="156"/>
      <c r="K557" s="156"/>
      <c r="L557" s="156"/>
      <c r="M557" s="156"/>
      <c r="N557" s="156"/>
      <c r="O557" s="156"/>
      <c r="P557" s="156"/>
      <c r="Q557" s="155"/>
      <c r="R557" s="190"/>
      <c r="S557" s="191"/>
    </row>
    <row r="558" ht="29.25" hidden="1" customHeight="1">
      <c r="A558" s="155"/>
      <c r="B558" s="155"/>
      <c r="C558" s="155"/>
      <c r="D558" s="155"/>
      <c r="E558" s="155"/>
      <c r="F558" s="198"/>
      <c r="G558" s="155"/>
      <c r="H558" s="155"/>
      <c r="I558" s="156"/>
      <c r="J558" s="156"/>
      <c r="K558" s="156"/>
      <c r="L558" s="156"/>
      <c r="M558" s="156"/>
      <c r="N558" s="156"/>
      <c r="O558" s="156"/>
      <c r="P558" s="156"/>
      <c r="Q558" s="155"/>
      <c r="R558" s="190"/>
      <c r="S558" s="191"/>
    </row>
    <row r="559" ht="29.25" hidden="1" customHeight="1">
      <c r="A559" s="155"/>
      <c r="B559" s="155"/>
      <c r="C559" s="155"/>
      <c r="D559" s="155"/>
      <c r="E559" s="155"/>
      <c r="F559" s="198"/>
      <c r="G559" s="155"/>
      <c r="H559" s="155"/>
      <c r="I559" s="156"/>
      <c r="J559" s="156"/>
      <c r="K559" s="156"/>
      <c r="L559" s="156"/>
      <c r="M559" s="156"/>
      <c r="N559" s="156"/>
      <c r="O559" s="156"/>
      <c r="P559" s="156"/>
      <c r="Q559" s="155"/>
      <c r="R559" s="190"/>
      <c r="S559" s="191"/>
    </row>
    <row r="560" ht="29.25" hidden="1" customHeight="1">
      <c r="A560" s="155"/>
      <c r="B560" s="155"/>
      <c r="C560" s="155"/>
      <c r="D560" s="155"/>
      <c r="E560" s="155"/>
      <c r="F560" s="198"/>
      <c r="G560" s="155"/>
      <c r="H560" s="155"/>
      <c r="I560" s="156"/>
      <c r="J560" s="156"/>
      <c r="K560" s="156"/>
      <c r="L560" s="156"/>
      <c r="M560" s="156"/>
      <c r="N560" s="156"/>
      <c r="O560" s="156"/>
      <c r="P560" s="156"/>
      <c r="Q560" s="155"/>
      <c r="R560" s="190"/>
      <c r="S560" s="191"/>
    </row>
    <row r="561" ht="29.25" hidden="1" customHeight="1">
      <c r="A561" s="155"/>
      <c r="B561" s="155"/>
      <c r="C561" s="155"/>
      <c r="D561" s="155"/>
      <c r="E561" s="155"/>
      <c r="F561" s="198"/>
      <c r="G561" s="155"/>
      <c r="H561" s="155"/>
      <c r="I561" s="156"/>
      <c r="J561" s="156"/>
      <c r="K561" s="156"/>
      <c r="L561" s="156"/>
      <c r="M561" s="156"/>
      <c r="N561" s="156"/>
      <c r="O561" s="156"/>
      <c r="P561" s="156"/>
      <c r="Q561" s="155"/>
      <c r="R561" s="190"/>
      <c r="S561" s="191"/>
    </row>
    <row r="562" ht="29.25" hidden="1" customHeight="1">
      <c r="A562" s="155"/>
      <c r="B562" s="155"/>
      <c r="C562" s="155"/>
      <c r="D562" s="155"/>
      <c r="E562" s="155"/>
      <c r="F562" s="198"/>
      <c r="G562" s="155"/>
      <c r="H562" s="155"/>
      <c r="I562" s="156"/>
      <c r="J562" s="156"/>
      <c r="K562" s="156"/>
      <c r="L562" s="156"/>
      <c r="M562" s="156"/>
      <c r="N562" s="156"/>
      <c r="O562" s="156"/>
      <c r="P562" s="156"/>
      <c r="Q562" s="155"/>
      <c r="R562" s="190"/>
      <c r="S562" s="191"/>
    </row>
    <row r="563" ht="29.25" hidden="1" customHeight="1">
      <c r="A563" s="155"/>
      <c r="B563" s="155"/>
      <c r="C563" s="155"/>
      <c r="D563" s="155"/>
      <c r="E563" s="155"/>
      <c r="F563" s="198"/>
      <c r="G563" s="155"/>
      <c r="H563" s="155"/>
      <c r="I563" s="156"/>
      <c r="J563" s="156"/>
      <c r="K563" s="156"/>
      <c r="L563" s="156"/>
      <c r="M563" s="156"/>
      <c r="N563" s="156"/>
      <c r="O563" s="156"/>
      <c r="P563" s="156"/>
      <c r="Q563" s="155"/>
      <c r="R563" s="190"/>
      <c r="S563" s="191"/>
    </row>
    <row r="564" ht="29.25" hidden="1" customHeight="1">
      <c r="A564" s="155"/>
      <c r="B564" s="155"/>
      <c r="C564" s="155"/>
      <c r="D564" s="155"/>
      <c r="E564" s="155"/>
      <c r="F564" s="198"/>
      <c r="G564" s="155"/>
      <c r="H564" s="155"/>
      <c r="I564" s="156"/>
      <c r="J564" s="156"/>
      <c r="K564" s="156"/>
      <c r="L564" s="156"/>
      <c r="M564" s="156"/>
      <c r="N564" s="156"/>
      <c r="O564" s="156"/>
      <c r="P564" s="156"/>
      <c r="Q564" s="155"/>
      <c r="R564" s="190"/>
      <c r="S564" s="191"/>
    </row>
    <row r="565" ht="29.25" hidden="1" customHeight="1">
      <c r="A565" s="155"/>
      <c r="B565" s="155"/>
      <c r="C565" s="155"/>
      <c r="D565" s="155"/>
      <c r="E565" s="155"/>
      <c r="F565" s="198"/>
      <c r="G565" s="155"/>
      <c r="H565" s="155"/>
      <c r="I565" s="156"/>
      <c r="J565" s="156"/>
      <c r="K565" s="156"/>
      <c r="L565" s="156"/>
      <c r="M565" s="156"/>
      <c r="N565" s="156"/>
      <c r="O565" s="156"/>
      <c r="P565" s="156"/>
      <c r="Q565" s="155"/>
      <c r="R565" s="190"/>
      <c r="S565" s="191"/>
    </row>
    <row r="566" ht="29.25" hidden="1" customHeight="1">
      <c r="A566" s="155"/>
      <c r="B566" s="155"/>
      <c r="C566" s="155"/>
      <c r="D566" s="155"/>
      <c r="E566" s="155"/>
      <c r="F566" s="198"/>
      <c r="G566" s="155"/>
      <c r="H566" s="155"/>
      <c r="I566" s="156"/>
      <c r="J566" s="156"/>
      <c r="K566" s="156"/>
      <c r="L566" s="156"/>
      <c r="M566" s="156"/>
      <c r="N566" s="156"/>
      <c r="O566" s="156"/>
      <c r="P566" s="156"/>
      <c r="Q566" s="155"/>
      <c r="R566" s="190"/>
      <c r="S566" s="191"/>
    </row>
    <row r="567" ht="29.25" hidden="1" customHeight="1">
      <c r="A567" s="155"/>
      <c r="B567" s="155"/>
      <c r="C567" s="155"/>
      <c r="D567" s="155"/>
      <c r="E567" s="155"/>
      <c r="F567" s="198"/>
      <c r="G567" s="155"/>
      <c r="H567" s="155"/>
      <c r="I567" s="156"/>
      <c r="J567" s="156"/>
      <c r="K567" s="156"/>
      <c r="L567" s="156"/>
      <c r="M567" s="156"/>
      <c r="N567" s="156"/>
      <c r="O567" s="156"/>
      <c r="P567" s="156"/>
      <c r="Q567" s="155"/>
      <c r="R567" s="190"/>
      <c r="S567" s="191"/>
    </row>
    <row r="568" ht="29.25" hidden="1" customHeight="1">
      <c r="A568" s="155"/>
      <c r="B568" s="155"/>
      <c r="C568" s="155"/>
      <c r="D568" s="155"/>
      <c r="E568" s="155"/>
      <c r="F568" s="198"/>
      <c r="G568" s="155"/>
      <c r="H568" s="155"/>
      <c r="I568" s="156"/>
      <c r="J568" s="156"/>
      <c r="K568" s="156"/>
      <c r="L568" s="156"/>
      <c r="M568" s="156"/>
      <c r="N568" s="156"/>
      <c r="O568" s="156"/>
      <c r="P568" s="156"/>
      <c r="Q568" s="155"/>
      <c r="R568" s="190"/>
      <c r="S568" s="191"/>
    </row>
    <row r="569" ht="29.25" hidden="1" customHeight="1">
      <c r="A569" s="155"/>
      <c r="B569" s="155"/>
      <c r="C569" s="155"/>
      <c r="D569" s="155"/>
      <c r="E569" s="155"/>
      <c r="F569" s="198"/>
      <c r="G569" s="155"/>
      <c r="H569" s="155"/>
      <c r="I569" s="156"/>
      <c r="J569" s="156"/>
      <c r="K569" s="156"/>
      <c r="L569" s="156"/>
      <c r="M569" s="156"/>
      <c r="N569" s="156"/>
      <c r="O569" s="156"/>
      <c r="P569" s="156"/>
      <c r="Q569" s="155"/>
      <c r="R569" s="190"/>
      <c r="S569" s="191"/>
    </row>
    <row r="570" ht="29.25" hidden="1" customHeight="1">
      <c r="A570" s="155"/>
      <c r="B570" s="155"/>
      <c r="C570" s="155"/>
      <c r="D570" s="155"/>
      <c r="E570" s="155"/>
      <c r="F570" s="198"/>
      <c r="G570" s="155"/>
      <c r="H570" s="155"/>
      <c r="I570" s="156"/>
      <c r="J570" s="156"/>
      <c r="K570" s="156"/>
      <c r="L570" s="156"/>
      <c r="M570" s="156"/>
      <c r="N570" s="156"/>
      <c r="O570" s="156"/>
      <c r="P570" s="156"/>
      <c r="Q570" s="155"/>
      <c r="R570" s="190"/>
      <c r="S570" s="191"/>
    </row>
    <row r="571" ht="29.25" hidden="1" customHeight="1">
      <c r="A571" s="155"/>
      <c r="B571" s="155"/>
      <c r="C571" s="155"/>
      <c r="D571" s="155"/>
      <c r="E571" s="155"/>
      <c r="F571" s="198"/>
      <c r="G571" s="155"/>
      <c r="H571" s="155"/>
      <c r="I571" s="156"/>
      <c r="J571" s="156"/>
      <c r="K571" s="156"/>
      <c r="L571" s="156"/>
      <c r="M571" s="156"/>
      <c r="N571" s="156"/>
      <c r="O571" s="156"/>
      <c r="P571" s="156"/>
      <c r="Q571" s="155"/>
      <c r="R571" s="190"/>
      <c r="S571" s="191"/>
    </row>
    <row r="572" ht="29.25" hidden="1" customHeight="1">
      <c r="A572" s="155"/>
      <c r="B572" s="155"/>
      <c r="C572" s="155"/>
      <c r="D572" s="155"/>
      <c r="E572" s="155"/>
      <c r="F572" s="198"/>
      <c r="G572" s="155"/>
      <c r="H572" s="155"/>
      <c r="I572" s="156"/>
      <c r="J572" s="156"/>
      <c r="K572" s="156"/>
      <c r="L572" s="156"/>
      <c r="M572" s="156"/>
      <c r="N572" s="156"/>
      <c r="O572" s="156"/>
      <c r="P572" s="156"/>
      <c r="Q572" s="155"/>
      <c r="R572" s="190"/>
      <c r="S572" s="191"/>
    </row>
    <row r="573" ht="29.25" hidden="1" customHeight="1">
      <c r="A573" s="155"/>
      <c r="B573" s="155"/>
      <c r="C573" s="155"/>
      <c r="D573" s="155"/>
      <c r="E573" s="155"/>
      <c r="F573" s="198"/>
      <c r="G573" s="155"/>
      <c r="H573" s="155"/>
      <c r="I573" s="156"/>
      <c r="J573" s="156"/>
      <c r="K573" s="156"/>
      <c r="L573" s="156"/>
      <c r="M573" s="156"/>
      <c r="N573" s="156"/>
      <c r="O573" s="156"/>
      <c r="P573" s="156"/>
      <c r="Q573" s="155"/>
      <c r="R573" s="190"/>
      <c r="S573" s="191"/>
    </row>
    <row r="574" ht="29.25" hidden="1" customHeight="1">
      <c r="A574" s="155"/>
      <c r="B574" s="155"/>
      <c r="C574" s="155"/>
      <c r="D574" s="155"/>
      <c r="E574" s="155"/>
      <c r="F574" s="198"/>
      <c r="G574" s="155"/>
      <c r="H574" s="155"/>
      <c r="I574" s="156"/>
      <c r="J574" s="156"/>
      <c r="K574" s="156"/>
      <c r="L574" s="156"/>
      <c r="M574" s="156"/>
      <c r="N574" s="156"/>
      <c r="O574" s="156"/>
      <c r="P574" s="156"/>
      <c r="Q574" s="155"/>
      <c r="R574" s="190"/>
      <c r="S574" s="191"/>
    </row>
    <row r="575" ht="29.25" hidden="1" customHeight="1">
      <c r="A575" s="155"/>
      <c r="B575" s="155"/>
      <c r="C575" s="155"/>
      <c r="D575" s="155"/>
      <c r="E575" s="155"/>
      <c r="F575" s="198"/>
      <c r="G575" s="155"/>
      <c r="H575" s="155"/>
      <c r="I575" s="156"/>
      <c r="J575" s="156"/>
      <c r="K575" s="156"/>
      <c r="L575" s="156"/>
      <c r="M575" s="156"/>
      <c r="N575" s="156"/>
      <c r="O575" s="156"/>
      <c r="P575" s="156"/>
      <c r="Q575" s="155"/>
      <c r="R575" s="190"/>
      <c r="S575" s="191"/>
    </row>
    <row r="576" ht="29.25" hidden="1" customHeight="1">
      <c r="A576" s="155"/>
      <c r="B576" s="155"/>
      <c r="C576" s="155"/>
      <c r="D576" s="155"/>
      <c r="E576" s="155"/>
      <c r="F576" s="198"/>
      <c r="G576" s="155"/>
      <c r="H576" s="155"/>
      <c r="I576" s="156"/>
      <c r="J576" s="156"/>
      <c r="K576" s="156"/>
      <c r="L576" s="156"/>
      <c r="M576" s="156"/>
      <c r="N576" s="156"/>
      <c r="O576" s="156"/>
      <c r="P576" s="156"/>
      <c r="Q576" s="155"/>
      <c r="R576" s="190"/>
      <c r="S576" s="191"/>
    </row>
    <row r="577" ht="29.25" hidden="1" customHeight="1">
      <c r="A577" s="155"/>
      <c r="B577" s="155"/>
      <c r="C577" s="155"/>
      <c r="D577" s="155"/>
      <c r="E577" s="155"/>
      <c r="F577" s="198"/>
      <c r="G577" s="155"/>
      <c r="H577" s="155"/>
      <c r="I577" s="156"/>
      <c r="J577" s="156"/>
      <c r="K577" s="156"/>
      <c r="L577" s="156"/>
      <c r="M577" s="156"/>
      <c r="N577" s="156"/>
      <c r="O577" s="156"/>
      <c r="P577" s="156"/>
      <c r="Q577" s="155"/>
      <c r="R577" s="190"/>
      <c r="S577" s="191"/>
    </row>
    <row r="578" ht="29.25" hidden="1" customHeight="1">
      <c r="A578" s="155"/>
      <c r="B578" s="155"/>
      <c r="C578" s="155"/>
      <c r="D578" s="155"/>
      <c r="E578" s="155"/>
      <c r="F578" s="198"/>
      <c r="G578" s="155"/>
      <c r="H578" s="155"/>
      <c r="I578" s="156"/>
      <c r="J578" s="156"/>
      <c r="K578" s="156"/>
      <c r="L578" s="156"/>
      <c r="M578" s="156"/>
      <c r="N578" s="156"/>
      <c r="O578" s="156"/>
      <c r="P578" s="156"/>
      <c r="Q578" s="155"/>
      <c r="R578" s="190"/>
      <c r="S578" s="191"/>
    </row>
    <row r="579" ht="29.25" hidden="1" customHeight="1">
      <c r="A579" s="155"/>
      <c r="B579" s="155"/>
      <c r="C579" s="155"/>
      <c r="D579" s="155"/>
      <c r="E579" s="155"/>
      <c r="F579" s="198"/>
      <c r="G579" s="155"/>
      <c r="H579" s="155"/>
      <c r="I579" s="156"/>
      <c r="J579" s="156"/>
      <c r="K579" s="156"/>
      <c r="L579" s="156"/>
      <c r="M579" s="156"/>
      <c r="N579" s="156"/>
      <c r="O579" s="156"/>
      <c r="P579" s="156"/>
      <c r="Q579" s="155"/>
      <c r="R579" s="190"/>
      <c r="S579" s="191"/>
    </row>
    <row r="580" ht="29.25" hidden="1" customHeight="1">
      <c r="A580" s="155"/>
      <c r="B580" s="155"/>
      <c r="C580" s="155"/>
      <c r="D580" s="155"/>
      <c r="E580" s="155"/>
      <c r="F580" s="198"/>
      <c r="G580" s="155"/>
      <c r="H580" s="155"/>
      <c r="I580" s="156"/>
      <c r="J580" s="156"/>
      <c r="K580" s="156"/>
      <c r="L580" s="156"/>
      <c r="M580" s="156"/>
      <c r="N580" s="156"/>
      <c r="O580" s="156"/>
      <c r="P580" s="156"/>
      <c r="Q580" s="155"/>
      <c r="R580" s="190"/>
      <c r="S580" s="191"/>
    </row>
    <row r="581" ht="29.25" hidden="1" customHeight="1">
      <c r="A581" s="155"/>
      <c r="B581" s="155"/>
      <c r="C581" s="155"/>
      <c r="D581" s="155"/>
      <c r="E581" s="155"/>
      <c r="F581" s="198"/>
      <c r="G581" s="155"/>
      <c r="H581" s="155"/>
      <c r="I581" s="156"/>
      <c r="J581" s="156"/>
      <c r="K581" s="156"/>
      <c r="L581" s="156"/>
      <c r="M581" s="156"/>
      <c r="N581" s="156"/>
      <c r="O581" s="156"/>
      <c r="P581" s="156"/>
      <c r="Q581" s="155"/>
      <c r="R581" s="190"/>
      <c r="S581" s="191"/>
    </row>
    <row r="582" ht="29.25" hidden="1" customHeight="1">
      <c r="A582" s="155"/>
      <c r="B582" s="155"/>
      <c r="C582" s="155"/>
      <c r="D582" s="155"/>
      <c r="E582" s="155"/>
      <c r="F582" s="198"/>
      <c r="G582" s="155"/>
      <c r="H582" s="155"/>
      <c r="I582" s="156"/>
      <c r="J582" s="156"/>
      <c r="K582" s="156"/>
      <c r="L582" s="156"/>
      <c r="M582" s="156"/>
      <c r="N582" s="156"/>
      <c r="O582" s="156"/>
      <c r="P582" s="156"/>
      <c r="Q582" s="155"/>
      <c r="R582" s="190"/>
      <c r="S582" s="191"/>
    </row>
    <row r="583" ht="29.25" hidden="1" customHeight="1">
      <c r="A583" s="155"/>
      <c r="B583" s="155"/>
      <c r="C583" s="155"/>
      <c r="D583" s="155"/>
      <c r="E583" s="155"/>
      <c r="F583" s="198"/>
      <c r="G583" s="155"/>
      <c r="H583" s="155"/>
      <c r="I583" s="156"/>
      <c r="J583" s="156"/>
      <c r="K583" s="156"/>
      <c r="L583" s="156"/>
      <c r="M583" s="156"/>
      <c r="N583" s="156"/>
      <c r="O583" s="156"/>
      <c r="P583" s="156"/>
      <c r="Q583" s="155"/>
      <c r="R583" s="190"/>
      <c r="S583" s="191"/>
    </row>
    <row r="584" ht="29.25" hidden="1" customHeight="1">
      <c r="A584" s="155"/>
      <c r="B584" s="155"/>
      <c r="C584" s="155"/>
      <c r="D584" s="155"/>
      <c r="E584" s="155"/>
      <c r="F584" s="198"/>
      <c r="G584" s="155"/>
      <c r="H584" s="155"/>
      <c r="I584" s="156"/>
      <c r="J584" s="156"/>
      <c r="K584" s="156"/>
      <c r="L584" s="156"/>
      <c r="M584" s="156"/>
      <c r="N584" s="156"/>
      <c r="O584" s="156"/>
      <c r="P584" s="156"/>
      <c r="Q584" s="155"/>
      <c r="R584" s="190"/>
      <c r="S584" s="191"/>
    </row>
    <row r="585" ht="29.25" hidden="1" customHeight="1">
      <c r="A585" s="155"/>
      <c r="B585" s="155"/>
      <c r="C585" s="155"/>
      <c r="D585" s="155"/>
      <c r="E585" s="155"/>
      <c r="F585" s="198"/>
      <c r="G585" s="155"/>
      <c r="H585" s="155"/>
      <c r="I585" s="156"/>
      <c r="J585" s="156"/>
      <c r="K585" s="156"/>
      <c r="L585" s="156"/>
      <c r="M585" s="156"/>
      <c r="N585" s="156"/>
      <c r="O585" s="156"/>
      <c r="P585" s="156"/>
      <c r="Q585" s="155"/>
      <c r="R585" s="190"/>
      <c r="S585" s="191"/>
    </row>
    <row r="586" ht="29.25" hidden="1" customHeight="1">
      <c r="A586" s="155"/>
      <c r="B586" s="155"/>
      <c r="C586" s="155"/>
      <c r="D586" s="155"/>
      <c r="E586" s="155"/>
      <c r="F586" s="198"/>
      <c r="G586" s="155"/>
      <c r="H586" s="155"/>
      <c r="I586" s="156"/>
      <c r="J586" s="156"/>
      <c r="K586" s="156"/>
      <c r="L586" s="156"/>
      <c r="M586" s="156"/>
      <c r="N586" s="156"/>
      <c r="O586" s="156"/>
      <c r="P586" s="156"/>
      <c r="Q586" s="155"/>
      <c r="R586" s="190"/>
      <c r="S586" s="191"/>
    </row>
    <row r="587" ht="29.25" hidden="1" customHeight="1">
      <c r="A587" s="155"/>
      <c r="B587" s="155"/>
      <c r="C587" s="155"/>
      <c r="D587" s="155"/>
      <c r="E587" s="155"/>
      <c r="F587" s="198"/>
      <c r="G587" s="155"/>
      <c r="H587" s="155"/>
      <c r="I587" s="156"/>
      <c r="J587" s="156"/>
      <c r="K587" s="156"/>
      <c r="L587" s="156"/>
      <c r="M587" s="156"/>
      <c r="N587" s="156"/>
      <c r="O587" s="156"/>
      <c r="P587" s="156"/>
      <c r="Q587" s="155"/>
      <c r="R587" s="190"/>
      <c r="S587" s="191"/>
    </row>
    <row r="588" ht="29.25" hidden="1" customHeight="1">
      <c r="A588" s="155"/>
      <c r="B588" s="155"/>
      <c r="C588" s="155"/>
      <c r="D588" s="155"/>
      <c r="E588" s="155"/>
      <c r="F588" s="198"/>
      <c r="G588" s="155"/>
      <c r="H588" s="155"/>
      <c r="I588" s="156"/>
      <c r="J588" s="156"/>
      <c r="K588" s="156"/>
      <c r="L588" s="156"/>
      <c r="M588" s="156"/>
      <c r="N588" s="156"/>
      <c r="O588" s="156"/>
      <c r="P588" s="156"/>
      <c r="Q588" s="155"/>
      <c r="R588" s="190"/>
      <c r="S588" s="191"/>
    </row>
    <row r="589" ht="29.25" hidden="1" customHeight="1">
      <c r="A589" s="155"/>
      <c r="B589" s="155"/>
      <c r="C589" s="155"/>
      <c r="D589" s="155"/>
      <c r="E589" s="155"/>
      <c r="F589" s="198"/>
      <c r="G589" s="155"/>
      <c r="H589" s="155"/>
      <c r="I589" s="156"/>
      <c r="J589" s="156"/>
      <c r="K589" s="156"/>
      <c r="L589" s="156"/>
      <c r="M589" s="156"/>
      <c r="N589" s="156"/>
      <c r="O589" s="156"/>
      <c r="P589" s="156"/>
      <c r="Q589" s="155"/>
      <c r="R589" s="190"/>
      <c r="S589" s="191"/>
    </row>
    <row r="590" ht="29.25" hidden="1" customHeight="1">
      <c r="A590" s="155"/>
      <c r="B590" s="155"/>
      <c r="C590" s="155"/>
      <c r="D590" s="155"/>
      <c r="E590" s="155"/>
      <c r="F590" s="198"/>
      <c r="G590" s="155"/>
      <c r="H590" s="155"/>
      <c r="I590" s="156"/>
      <c r="J590" s="156"/>
      <c r="K590" s="156"/>
      <c r="L590" s="156"/>
      <c r="M590" s="156"/>
      <c r="N590" s="156"/>
      <c r="O590" s="156"/>
      <c r="P590" s="156"/>
      <c r="Q590" s="155"/>
      <c r="R590" s="190"/>
      <c r="S590" s="191"/>
    </row>
    <row r="591" ht="29.25" hidden="1" customHeight="1">
      <c r="A591" s="155"/>
      <c r="B591" s="155"/>
      <c r="C591" s="155"/>
      <c r="D591" s="155"/>
      <c r="E591" s="155"/>
      <c r="F591" s="198"/>
      <c r="G591" s="155"/>
      <c r="H591" s="155"/>
      <c r="I591" s="156"/>
      <c r="J591" s="156"/>
      <c r="K591" s="156"/>
      <c r="L591" s="156"/>
      <c r="M591" s="156"/>
      <c r="N591" s="156"/>
      <c r="O591" s="156"/>
      <c r="P591" s="156"/>
      <c r="Q591" s="155"/>
      <c r="R591" s="190"/>
      <c r="S591" s="191"/>
    </row>
    <row r="592" ht="29.25" hidden="1" customHeight="1">
      <c r="A592" s="155"/>
      <c r="B592" s="155"/>
      <c r="C592" s="155"/>
      <c r="D592" s="155"/>
      <c r="E592" s="155"/>
      <c r="F592" s="198"/>
      <c r="G592" s="155"/>
      <c r="H592" s="155"/>
      <c r="I592" s="156"/>
      <c r="J592" s="156"/>
      <c r="K592" s="156"/>
      <c r="L592" s="156"/>
      <c r="M592" s="156"/>
      <c r="N592" s="156"/>
      <c r="O592" s="156"/>
      <c r="P592" s="156"/>
      <c r="Q592" s="155"/>
      <c r="R592" s="190"/>
      <c r="S592" s="191"/>
    </row>
    <row r="593" ht="29.25" hidden="1" customHeight="1">
      <c r="A593" s="155"/>
      <c r="B593" s="155"/>
      <c r="C593" s="155"/>
      <c r="D593" s="155"/>
      <c r="E593" s="155"/>
      <c r="F593" s="198"/>
      <c r="G593" s="155"/>
      <c r="H593" s="155"/>
      <c r="I593" s="156"/>
      <c r="J593" s="156"/>
      <c r="K593" s="156"/>
      <c r="L593" s="156"/>
      <c r="M593" s="156"/>
      <c r="N593" s="156"/>
      <c r="O593" s="156"/>
      <c r="P593" s="156"/>
      <c r="Q593" s="155"/>
      <c r="R593" s="190"/>
      <c r="S593" s="191"/>
    </row>
    <row r="594" ht="29.25" hidden="1" customHeight="1">
      <c r="A594" s="155"/>
      <c r="B594" s="155"/>
      <c r="C594" s="155"/>
      <c r="D594" s="155"/>
      <c r="E594" s="155"/>
      <c r="F594" s="198"/>
      <c r="G594" s="155"/>
      <c r="H594" s="155"/>
      <c r="I594" s="156"/>
      <c r="J594" s="156"/>
      <c r="K594" s="156"/>
      <c r="L594" s="156"/>
      <c r="M594" s="156"/>
      <c r="N594" s="156"/>
      <c r="O594" s="156"/>
      <c r="P594" s="156"/>
      <c r="Q594" s="155"/>
      <c r="R594" s="190"/>
      <c r="S594" s="191"/>
    </row>
    <row r="595" ht="29.25" hidden="1" customHeight="1">
      <c r="A595" s="155"/>
      <c r="B595" s="155"/>
      <c r="C595" s="155"/>
      <c r="D595" s="155"/>
      <c r="E595" s="155"/>
      <c r="F595" s="198"/>
      <c r="G595" s="155"/>
      <c r="H595" s="155"/>
      <c r="I595" s="156"/>
      <c r="J595" s="156"/>
      <c r="K595" s="156"/>
      <c r="L595" s="156"/>
      <c r="M595" s="156"/>
      <c r="N595" s="156"/>
      <c r="O595" s="156"/>
      <c r="P595" s="156"/>
      <c r="Q595" s="155"/>
      <c r="R595" s="190"/>
      <c r="S595" s="191"/>
    </row>
    <row r="596" ht="29.25" hidden="1" customHeight="1">
      <c r="A596" s="155"/>
      <c r="B596" s="155"/>
      <c r="C596" s="155"/>
      <c r="D596" s="155"/>
      <c r="E596" s="155"/>
      <c r="F596" s="198"/>
      <c r="G596" s="155"/>
      <c r="H596" s="155"/>
      <c r="I596" s="156"/>
      <c r="J596" s="156"/>
      <c r="K596" s="156"/>
      <c r="L596" s="156"/>
      <c r="M596" s="156"/>
      <c r="N596" s="156"/>
      <c r="O596" s="156"/>
      <c r="P596" s="156"/>
      <c r="Q596" s="155"/>
      <c r="R596" s="190"/>
      <c r="S596" s="191"/>
    </row>
    <row r="597" ht="29.25" hidden="1" customHeight="1">
      <c r="A597" s="155"/>
      <c r="B597" s="155"/>
      <c r="C597" s="155"/>
      <c r="D597" s="155"/>
      <c r="E597" s="155"/>
      <c r="F597" s="198"/>
      <c r="G597" s="155"/>
      <c r="H597" s="155"/>
      <c r="I597" s="156"/>
      <c r="J597" s="156"/>
      <c r="K597" s="156"/>
      <c r="L597" s="156"/>
      <c r="M597" s="156"/>
      <c r="N597" s="156"/>
      <c r="O597" s="156"/>
      <c r="P597" s="156"/>
      <c r="Q597" s="155"/>
      <c r="R597" s="190"/>
      <c r="S597" s="191"/>
    </row>
    <row r="598" ht="29.25" hidden="1" customHeight="1">
      <c r="A598" s="155"/>
      <c r="B598" s="155"/>
      <c r="C598" s="155"/>
      <c r="D598" s="155"/>
      <c r="E598" s="155"/>
      <c r="F598" s="198"/>
      <c r="G598" s="155"/>
      <c r="H598" s="155"/>
      <c r="I598" s="156"/>
      <c r="J598" s="156"/>
      <c r="K598" s="156"/>
      <c r="L598" s="156"/>
      <c r="M598" s="156"/>
      <c r="N598" s="156"/>
      <c r="O598" s="156"/>
      <c r="P598" s="156"/>
      <c r="Q598" s="155"/>
      <c r="R598" s="190"/>
      <c r="S598" s="191"/>
    </row>
    <row r="599" ht="29.25" hidden="1" customHeight="1">
      <c r="A599" s="155"/>
      <c r="B599" s="155"/>
      <c r="C599" s="155"/>
      <c r="D599" s="155"/>
      <c r="E599" s="155"/>
      <c r="F599" s="198"/>
      <c r="G599" s="155"/>
      <c r="H599" s="155"/>
      <c r="I599" s="156"/>
      <c r="J599" s="156"/>
      <c r="K599" s="156"/>
      <c r="L599" s="156"/>
      <c r="M599" s="156"/>
      <c r="N599" s="156"/>
      <c r="O599" s="156"/>
      <c r="P599" s="156"/>
      <c r="Q599" s="155"/>
      <c r="R599" s="190"/>
      <c r="S599" s="191"/>
    </row>
    <row r="600" ht="29.25" hidden="1" customHeight="1">
      <c r="A600" s="155"/>
      <c r="B600" s="155"/>
      <c r="C600" s="155"/>
      <c r="D600" s="155"/>
      <c r="E600" s="155"/>
      <c r="F600" s="198"/>
      <c r="G600" s="155"/>
      <c r="H600" s="155"/>
      <c r="I600" s="156"/>
      <c r="J600" s="156"/>
      <c r="K600" s="156"/>
      <c r="L600" s="156"/>
      <c r="M600" s="156"/>
      <c r="N600" s="156"/>
      <c r="O600" s="156"/>
      <c r="P600" s="156"/>
      <c r="Q600" s="155"/>
      <c r="R600" s="190"/>
      <c r="S600" s="191"/>
    </row>
    <row r="601" ht="29.25" hidden="1" customHeight="1">
      <c r="A601" s="155"/>
      <c r="B601" s="155"/>
      <c r="C601" s="155"/>
      <c r="D601" s="155"/>
      <c r="E601" s="155"/>
      <c r="F601" s="198"/>
      <c r="G601" s="155"/>
      <c r="H601" s="155"/>
      <c r="I601" s="156"/>
      <c r="J601" s="156"/>
      <c r="K601" s="156"/>
      <c r="L601" s="156"/>
      <c r="M601" s="156"/>
      <c r="N601" s="156"/>
      <c r="O601" s="156"/>
      <c r="P601" s="156"/>
      <c r="Q601" s="155"/>
      <c r="R601" s="190"/>
      <c r="S601" s="191"/>
    </row>
    <row r="602" ht="29.25" hidden="1" customHeight="1">
      <c r="A602" s="155"/>
      <c r="B602" s="155"/>
      <c r="C602" s="155"/>
      <c r="D602" s="155"/>
      <c r="E602" s="155"/>
      <c r="F602" s="198"/>
      <c r="G602" s="155"/>
      <c r="H602" s="155"/>
      <c r="I602" s="156"/>
      <c r="J602" s="156"/>
      <c r="K602" s="156"/>
      <c r="L602" s="156"/>
      <c r="M602" s="156"/>
      <c r="N602" s="156"/>
      <c r="O602" s="156"/>
      <c r="P602" s="156"/>
      <c r="Q602" s="155"/>
      <c r="R602" s="190"/>
      <c r="S602" s="191"/>
    </row>
    <row r="603" ht="29.25" hidden="1" customHeight="1">
      <c r="A603" s="155"/>
      <c r="B603" s="155"/>
      <c r="C603" s="155"/>
      <c r="D603" s="155"/>
      <c r="E603" s="155"/>
      <c r="F603" s="198"/>
      <c r="G603" s="155"/>
      <c r="H603" s="155"/>
      <c r="I603" s="156"/>
      <c r="J603" s="156"/>
      <c r="K603" s="156"/>
      <c r="L603" s="156"/>
      <c r="M603" s="156"/>
      <c r="N603" s="156"/>
      <c r="O603" s="156"/>
      <c r="P603" s="156"/>
      <c r="Q603" s="155"/>
      <c r="R603" s="190"/>
      <c r="S603" s="191"/>
    </row>
    <row r="604" ht="29.25" hidden="1" customHeight="1">
      <c r="A604" s="155"/>
      <c r="B604" s="155"/>
      <c r="C604" s="155"/>
      <c r="D604" s="155"/>
      <c r="E604" s="155"/>
      <c r="F604" s="198"/>
      <c r="G604" s="155"/>
      <c r="H604" s="155"/>
      <c r="I604" s="156"/>
      <c r="J604" s="156"/>
      <c r="K604" s="156"/>
      <c r="L604" s="156"/>
      <c r="M604" s="156"/>
      <c r="N604" s="156"/>
      <c r="O604" s="156"/>
      <c r="P604" s="156"/>
      <c r="Q604" s="155"/>
      <c r="R604" s="190"/>
      <c r="S604" s="191"/>
    </row>
    <row r="605" ht="29.25" hidden="1" customHeight="1">
      <c r="A605" s="155"/>
      <c r="B605" s="155"/>
      <c r="C605" s="155"/>
      <c r="D605" s="155"/>
      <c r="E605" s="155"/>
      <c r="F605" s="198"/>
      <c r="G605" s="155"/>
      <c r="H605" s="155"/>
      <c r="I605" s="156"/>
      <c r="J605" s="156"/>
      <c r="K605" s="156"/>
      <c r="L605" s="156"/>
      <c r="M605" s="156"/>
      <c r="N605" s="156"/>
      <c r="O605" s="156"/>
      <c r="P605" s="156"/>
      <c r="Q605" s="155"/>
      <c r="R605" s="190"/>
      <c r="S605" s="191"/>
    </row>
    <row r="606" ht="29.25" hidden="1" customHeight="1">
      <c r="A606" s="155"/>
      <c r="B606" s="155"/>
      <c r="C606" s="155"/>
      <c r="D606" s="155"/>
      <c r="E606" s="155"/>
      <c r="F606" s="198"/>
      <c r="G606" s="155"/>
      <c r="H606" s="155"/>
      <c r="I606" s="156"/>
      <c r="J606" s="156"/>
      <c r="K606" s="156"/>
      <c r="L606" s="156"/>
      <c r="M606" s="156"/>
      <c r="N606" s="156"/>
      <c r="O606" s="156"/>
      <c r="P606" s="156"/>
      <c r="Q606" s="155"/>
      <c r="R606" s="190"/>
      <c r="S606" s="191"/>
    </row>
    <row r="607" ht="29.25" hidden="1" customHeight="1">
      <c r="A607" s="155"/>
      <c r="B607" s="155"/>
      <c r="C607" s="155"/>
      <c r="D607" s="155"/>
      <c r="E607" s="155"/>
      <c r="F607" s="198"/>
      <c r="G607" s="155"/>
      <c r="H607" s="155"/>
      <c r="I607" s="156"/>
      <c r="J607" s="156"/>
      <c r="K607" s="156"/>
      <c r="L607" s="156"/>
      <c r="M607" s="156"/>
      <c r="N607" s="156"/>
      <c r="O607" s="156"/>
      <c r="P607" s="156"/>
      <c r="Q607" s="155"/>
      <c r="R607" s="190"/>
      <c r="S607" s="191"/>
    </row>
    <row r="608" ht="29.25" hidden="1" customHeight="1">
      <c r="A608" s="155"/>
      <c r="B608" s="155"/>
      <c r="C608" s="155"/>
      <c r="D608" s="155"/>
      <c r="E608" s="155"/>
      <c r="F608" s="198"/>
      <c r="G608" s="155"/>
      <c r="H608" s="155"/>
      <c r="I608" s="156"/>
      <c r="J608" s="156"/>
      <c r="K608" s="156"/>
      <c r="L608" s="156"/>
      <c r="M608" s="156"/>
      <c r="N608" s="156"/>
      <c r="O608" s="156"/>
      <c r="P608" s="156"/>
      <c r="Q608" s="155"/>
      <c r="R608" s="190"/>
      <c r="S608" s="191"/>
    </row>
    <row r="609" ht="29.25" hidden="1" customHeight="1">
      <c r="A609" s="155"/>
      <c r="B609" s="155"/>
      <c r="C609" s="155"/>
      <c r="D609" s="155"/>
      <c r="E609" s="155"/>
      <c r="F609" s="198"/>
      <c r="G609" s="155"/>
      <c r="H609" s="155"/>
      <c r="I609" s="156"/>
      <c r="J609" s="156"/>
      <c r="K609" s="156"/>
      <c r="L609" s="156"/>
      <c r="M609" s="156"/>
      <c r="N609" s="156"/>
      <c r="O609" s="156"/>
      <c r="P609" s="156"/>
      <c r="Q609" s="155"/>
      <c r="R609" s="190"/>
      <c r="S609" s="191"/>
    </row>
    <row r="610" ht="29.25" hidden="1" customHeight="1">
      <c r="A610" s="155"/>
      <c r="B610" s="155"/>
      <c r="C610" s="155"/>
      <c r="D610" s="155"/>
      <c r="E610" s="155"/>
      <c r="F610" s="198"/>
      <c r="G610" s="155"/>
      <c r="H610" s="155"/>
      <c r="I610" s="156"/>
      <c r="J610" s="156"/>
      <c r="K610" s="156"/>
      <c r="L610" s="156"/>
      <c r="M610" s="156"/>
      <c r="N610" s="156"/>
      <c r="O610" s="156"/>
      <c r="P610" s="156"/>
      <c r="Q610" s="155"/>
      <c r="R610" s="190"/>
      <c r="S610" s="191"/>
    </row>
    <row r="611" ht="29.25" hidden="1" customHeight="1">
      <c r="A611" s="155"/>
      <c r="B611" s="155"/>
      <c r="C611" s="155"/>
      <c r="D611" s="155"/>
      <c r="E611" s="155"/>
      <c r="F611" s="198"/>
      <c r="G611" s="155"/>
      <c r="H611" s="155"/>
      <c r="I611" s="156"/>
      <c r="J611" s="156"/>
      <c r="K611" s="156"/>
      <c r="L611" s="156"/>
      <c r="M611" s="156"/>
      <c r="N611" s="156"/>
      <c r="O611" s="156"/>
      <c r="P611" s="156"/>
      <c r="Q611" s="155"/>
      <c r="R611" s="190"/>
      <c r="S611" s="191"/>
    </row>
    <row r="612" ht="29.25" hidden="1" customHeight="1">
      <c r="A612" s="155"/>
      <c r="B612" s="155"/>
      <c r="C612" s="155"/>
      <c r="D612" s="155"/>
      <c r="E612" s="155"/>
      <c r="F612" s="198"/>
      <c r="G612" s="155"/>
      <c r="H612" s="155"/>
      <c r="I612" s="156"/>
      <c r="J612" s="156"/>
      <c r="K612" s="156"/>
      <c r="L612" s="156"/>
      <c r="M612" s="156"/>
      <c r="N612" s="156"/>
      <c r="O612" s="156"/>
      <c r="P612" s="156"/>
      <c r="Q612" s="155"/>
      <c r="R612" s="190"/>
      <c r="S612" s="191"/>
    </row>
    <row r="613" ht="29.25" hidden="1" customHeight="1">
      <c r="A613" s="155"/>
      <c r="B613" s="155"/>
      <c r="C613" s="155"/>
      <c r="D613" s="155"/>
      <c r="E613" s="155"/>
      <c r="F613" s="198"/>
      <c r="G613" s="155"/>
      <c r="H613" s="155"/>
      <c r="I613" s="156"/>
      <c r="J613" s="156"/>
      <c r="K613" s="156"/>
      <c r="L613" s="156"/>
      <c r="M613" s="156"/>
      <c r="N613" s="156"/>
      <c r="O613" s="156"/>
      <c r="P613" s="156"/>
      <c r="Q613" s="155"/>
      <c r="R613" s="190"/>
      <c r="S613" s="191"/>
    </row>
    <row r="614" ht="29.25" hidden="1" customHeight="1">
      <c r="A614" s="155"/>
      <c r="B614" s="155"/>
      <c r="C614" s="155"/>
      <c r="D614" s="155"/>
      <c r="E614" s="155"/>
      <c r="F614" s="198"/>
      <c r="G614" s="155"/>
      <c r="H614" s="155"/>
      <c r="I614" s="156"/>
      <c r="J614" s="156"/>
      <c r="K614" s="156"/>
      <c r="L614" s="156"/>
      <c r="M614" s="156"/>
      <c r="N614" s="156"/>
      <c r="O614" s="156"/>
      <c r="P614" s="156"/>
      <c r="Q614" s="155"/>
      <c r="R614" s="190"/>
      <c r="S614" s="191"/>
    </row>
    <row r="615" ht="29.25" hidden="1" customHeight="1">
      <c r="A615" s="155"/>
      <c r="B615" s="155"/>
      <c r="C615" s="155"/>
      <c r="D615" s="155"/>
      <c r="E615" s="155"/>
      <c r="F615" s="198"/>
      <c r="G615" s="155"/>
      <c r="H615" s="155"/>
      <c r="I615" s="156"/>
      <c r="J615" s="156"/>
      <c r="K615" s="156"/>
      <c r="L615" s="156"/>
      <c r="M615" s="156"/>
      <c r="N615" s="156"/>
      <c r="O615" s="156"/>
      <c r="P615" s="156"/>
      <c r="Q615" s="155"/>
      <c r="R615" s="190"/>
      <c r="S615" s="191"/>
    </row>
    <row r="616" ht="29.25" hidden="1" customHeight="1">
      <c r="A616" s="155"/>
      <c r="B616" s="155"/>
      <c r="C616" s="155"/>
      <c r="D616" s="155"/>
      <c r="E616" s="155"/>
      <c r="F616" s="198"/>
      <c r="G616" s="155"/>
      <c r="H616" s="155"/>
      <c r="I616" s="156"/>
      <c r="J616" s="156"/>
      <c r="K616" s="156"/>
      <c r="L616" s="156"/>
      <c r="M616" s="156"/>
      <c r="N616" s="156"/>
      <c r="O616" s="156"/>
      <c r="P616" s="156"/>
      <c r="Q616" s="155"/>
      <c r="R616" s="190"/>
      <c r="S616" s="191"/>
    </row>
    <row r="617" ht="29.25" hidden="1" customHeight="1">
      <c r="A617" s="155"/>
      <c r="B617" s="155"/>
      <c r="C617" s="155"/>
      <c r="D617" s="155"/>
      <c r="E617" s="155"/>
      <c r="F617" s="198"/>
      <c r="G617" s="155"/>
      <c r="H617" s="155"/>
      <c r="I617" s="156"/>
      <c r="J617" s="156"/>
      <c r="K617" s="156"/>
      <c r="L617" s="156"/>
      <c r="M617" s="156"/>
      <c r="N617" s="156"/>
      <c r="O617" s="156"/>
      <c r="P617" s="156"/>
      <c r="Q617" s="155"/>
      <c r="R617" s="190"/>
      <c r="S617" s="191"/>
    </row>
    <row r="618" ht="29.25" hidden="1" customHeight="1">
      <c r="A618" s="155"/>
      <c r="B618" s="155"/>
      <c r="C618" s="155"/>
      <c r="D618" s="155"/>
      <c r="E618" s="155"/>
      <c r="F618" s="198"/>
      <c r="G618" s="155"/>
      <c r="H618" s="155"/>
      <c r="I618" s="156"/>
      <c r="J618" s="156"/>
      <c r="K618" s="156"/>
      <c r="L618" s="156"/>
      <c r="M618" s="156"/>
      <c r="N618" s="156"/>
      <c r="O618" s="156"/>
      <c r="P618" s="156"/>
      <c r="Q618" s="155"/>
      <c r="R618" s="190"/>
      <c r="S618" s="191"/>
    </row>
    <row r="619" ht="29.25" hidden="1" customHeight="1">
      <c r="A619" s="155"/>
      <c r="B619" s="155"/>
      <c r="C619" s="155"/>
      <c r="D619" s="155"/>
      <c r="E619" s="155"/>
      <c r="F619" s="198"/>
      <c r="G619" s="155"/>
      <c r="H619" s="155"/>
      <c r="I619" s="156"/>
      <c r="J619" s="156"/>
      <c r="K619" s="156"/>
      <c r="L619" s="156"/>
      <c r="M619" s="156"/>
      <c r="N619" s="156"/>
      <c r="O619" s="156"/>
      <c r="P619" s="156"/>
      <c r="Q619" s="155"/>
      <c r="R619" s="190"/>
      <c r="S619" s="191"/>
    </row>
    <row r="620" ht="29.25" hidden="1" customHeight="1">
      <c r="A620" s="155"/>
      <c r="B620" s="155"/>
      <c r="C620" s="155"/>
      <c r="D620" s="155"/>
      <c r="E620" s="155"/>
      <c r="F620" s="198"/>
      <c r="G620" s="155"/>
      <c r="H620" s="155"/>
      <c r="I620" s="156"/>
      <c r="J620" s="156"/>
      <c r="K620" s="156"/>
      <c r="L620" s="156"/>
      <c r="M620" s="156"/>
      <c r="N620" s="156"/>
      <c r="O620" s="156"/>
      <c r="P620" s="156"/>
      <c r="Q620" s="155"/>
      <c r="R620" s="190"/>
      <c r="S620" s="191"/>
    </row>
    <row r="621" ht="29.25" hidden="1" customHeight="1">
      <c r="A621" s="155"/>
      <c r="B621" s="155"/>
      <c r="C621" s="155"/>
      <c r="D621" s="155"/>
      <c r="E621" s="155"/>
      <c r="F621" s="198"/>
      <c r="G621" s="155"/>
      <c r="H621" s="155"/>
      <c r="I621" s="156"/>
      <c r="J621" s="156"/>
      <c r="K621" s="156"/>
      <c r="L621" s="156"/>
      <c r="M621" s="156"/>
      <c r="N621" s="156"/>
      <c r="O621" s="156"/>
      <c r="P621" s="156"/>
      <c r="Q621" s="155"/>
      <c r="R621" s="190"/>
      <c r="S621" s="191"/>
    </row>
    <row r="622" ht="29.25" hidden="1" customHeight="1">
      <c r="A622" s="155"/>
      <c r="B622" s="155"/>
      <c r="C622" s="155"/>
      <c r="D622" s="155"/>
      <c r="E622" s="155"/>
      <c r="F622" s="198"/>
      <c r="G622" s="155"/>
      <c r="H622" s="155"/>
      <c r="I622" s="156"/>
      <c r="J622" s="156"/>
      <c r="K622" s="156"/>
      <c r="L622" s="156"/>
      <c r="M622" s="156"/>
      <c r="N622" s="156"/>
      <c r="O622" s="156"/>
      <c r="P622" s="156"/>
      <c r="Q622" s="155"/>
      <c r="R622" s="190"/>
      <c r="S622" s="191"/>
    </row>
    <row r="623" ht="29.25" hidden="1" customHeight="1">
      <c r="A623" s="155"/>
      <c r="B623" s="155"/>
      <c r="C623" s="155"/>
      <c r="D623" s="155"/>
      <c r="E623" s="155"/>
      <c r="F623" s="198"/>
      <c r="G623" s="155"/>
      <c r="H623" s="155"/>
      <c r="I623" s="156"/>
      <c r="J623" s="156"/>
      <c r="K623" s="156"/>
      <c r="L623" s="156"/>
      <c r="M623" s="156"/>
      <c r="N623" s="156"/>
      <c r="O623" s="156"/>
      <c r="P623" s="156"/>
      <c r="Q623" s="155"/>
      <c r="R623" s="190"/>
      <c r="S623" s="191"/>
    </row>
    <row r="624" ht="29.25" hidden="1" customHeight="1">
      <c r="A624" s="155"/>
      <c r="B624" s="155"/>
      <c r="C624" s="155"/>
      <c r="D624" s="155"/>
      <c r="E624" s="155"/>
      <c r="F624" s="198"/>
      <c r="G624" s="155"/>
      <c r="H624" s="155"/>
      <c r="I624" s="156"/>
      <c r="J624" s="156"/>
      <c r="K624" s="156"/>
      <c r="L624" s="156"/>
      <c r="M624" s="156"/>
      <c r="N624" s="156"/>
      <c r="O624" s="156"/>
      <c r="P624" s="156"/>
      <c r="Q624" s="155"/>
      <c r="R624" s="190"/>
      <c r="S624" s="191"/>
    </row>
    <row r="625" ht="29.25" hidden="1" customHeight="1">
      <c r="A625" s="155"/>
      <c r="B625" s="155"/>
      <c r="C625" s="155"/>
      <c r="D625" s="155"/>
      <c r="E625" s="155"/>
      <c r="F625" s="198"/>
      <c r="G625" s="155"/>
      <c r="H625" s="155"/>
      <c r="I625" s="156"/>
      <c r="J625" s="156"/>
      <c r="K625" s="156"/>
      <c r="L625" s="156"/>
      <c r="M625" s="156"/>
      <c r="N625" s="156"/>
      <c r="O625" s="156"/>
      <c r="P625" s="156"/>
      <c r="Q625" s="155"/>
      <c r="R625" s="190"/>
      <c r="S625" s="191"/>
    </row>
    <row r="626" ht="29.25" hidden="1" customHeight="1">
      <c r="A626" s="155"/>
      <c r="B626" s="155"/>
      <c r="C626" s="155"/>
      <c r="D626" s="155"/>
      <c r="E626" s="155"/>
      <c r="F626" s="198"/>
      <c r="G626" s="155"/>
      <c r="H626" s="155"/>
      <c r="I626" s="156"/>
      <c r="J626" s="156"/>
      <c r="K626" s="156"/>
      <c r="L626" s="156"/>
      <c r="M626" s="156"/>
      <c r="N626" s="156"/>
      <c r="O626" s="156"/>
      <c r="P626" s="156"/>
      <c r="Q626" s="155"/>
      <c r="R626" s="190"/>
      <c r="S626" s="191"/>
    </row>
    <row r="627" ht="29.25" hidden="1" customHeight="1">
      <c r="A627" s="155"/>
      <c r="B627" s="155"/>
      <c r="C627" s="155"/>
      <c r="D627" s="155"/>
      <c r="E627" s="155"/>
      <c r="F627" s="198"/>
      <c r="G627" s="155"/>
      <c r="H627" s="155"/>
      <c r="I627" s="156"/>
      <c r="J627" s="156"/>
      <c r="K627" s="156"/>
      <c r="L627" s="156"/>
      <c r="M627" s="156"/>
      <c r="N627" s="156"/>
      <c r="O627" s="156"/>
      <c r="P627" s="156"/>
      <c r="Q627" s="155"/>
      <c r="R627" s="190"/>
      <c r="S627" s="191"/>
    </row>
    <row r="628" ht="29.25" hidden="1" customHeight="1">
      <c r="A628" s="155"/>
      <c r="B628" s="155"/>
      <c r="C628" s="155"/>
      <c r="D628" s="155"/>
      <c r="E628" s="155"/>
      <c r="F628" s="198"/>
      <c r="G628" s="155"/>
      <c r="H628" s="155"/>
      <c r="I628" s="156"/>
      <c r="J628" s="156"/>
      <c r="K628" s="156"/>
      <c r="L628" s="156"/>
      <c r="M628" s="156"/>
      <c r="N628" s="156"/>
      <c r="O628" s="156"/>
      <c r="P628" s="156"/>
      <c r="Q628" s="155"/>
      <c r="R628" s="190"/>
      <c r="S628" s="191"/>
    </row>
    <row r="629" ht="29.25" hidden="1" customHeight="1">
      <c r="A629" s="155"/>
      <c r="B629" s="155"/>
      <c r="C629" s="155"/>
      <c r="D629" s="155"/>
      <c r="E629" s="155"/>
      <c r="F629" s="198"/>
      <c r="G629" s="155"/>
      <c r="H629" s="155"/>
      <c r="I629" s="156"/>
      <c r="J629" s="156"/>
      <c r="K629" s="156"/>
      <c r="L629" s="156"/>
      <c r="M629" s="156"/>
      <c r="N629" s="156"/>
      <c r="O629" s="156"/>
      <c r="P629" s="156"/>
      <c r="Q629" s="155"/>
      <c r="R629" s="190"/>
      <c r="S629" s="191"/>
    </row>
    <row r="630" ht="29.25" hidden="1" customHeight="1">
      <c r="A630" s="155"/>
      <c r="B630" s="155"/>
      <c r="C630" s="155"/>
      <c r="D630" s="155"/>
      <c r="E630" s="155"/>
      <c r="F630" s="198"/>
      <c r="G630" s="155"/>
      <c r="H630" s="155"/>
      <c r="I630" s="156"/>
      <c r="J630" s="156"/>
      <c r="K630" s="156"/>
      <c r="L630" s="156"/>
      <c r="M630" s="156"/>
      <c r="N630" s="156"/>
      <c r="O630" s="156"/>
      <c r="P630" s="156"/>
      <c r="Q630" s="155"/>
      <c r="R630" s="190"/>
      <c r="S630" s="191"/>
    </row>
    <row r="631" ht="29.25" hidden="1" customHeight="1">
      <c r="A631" s="155"/>
      <c r="B631" s="155"/>
      <c r="C631" s="155"/>
      <c r="D631" s="155"/>
      <c r="E631" s="155"/>
      <c r="F631" s="198"/>
      <c r="G631" s="155"/>
      <c r="H631" s="155"/>
      <c r="I631" s="156"/>
      <c r="J631" s="156"/>
      <c r="K631" s="156"/>
      <c r="L631" s="156"/>
      <c r="M631" s="156"/>
      <c r="N631" s="156"/>
      <c r="O631" s="156"/>
      <c r="P631" s="156"/>
      <c r="Q631" s="155"/>
      <c r="R631" s="190"/>
      <c r="S631" s="191"/>
    </row>
    <row r="632" ht="29.25" hidden="1" customHeight="1">
      <c r="A632" s="155"/>
      <c r="B632" s="155"/>
      <c r="C632" s="155"/>
      <c r="D632" s="155"/>
      <c r="E632" s="155"/>
      <c r="F632" s="198"/>
      <c r="G632" s="155"/>
      <c r="H632" s="155"/>
      <c r="I632" s="156"/>
      <c r="J632" s="156"/>
      <c r="K632" s="156"/>
      <c r="L632" s="156"/>
      <c r="M632" s="156"/>
      <c r="N632" s="156"/>
      <c r="O632" s="156"/>
      <c r="P632" s="156"/>
      <c r="Q632" s="155"/>
      <c r="R632" s="190"/>
      <c r="S632" s="191"/>
    </row>
    <row r="633" ht="29.25" hidden="1" customHeight="1">
      <c r="A633" s="155"/>
      <c r="B633" s="155"/>
      <c r="C633" s="155"/>
      <c r="D633" s="155"/>
      <c r="E633" s="155"/>
      <c r="F633" s="198"/>
      <c r="G633" s="155"/>
      <c r="H633" s="155"/>
      <c r="I633" s="156"/>
      <c r="J633" s="156"/>
      <c r="K633" s="156"/>
      <c r="L633" s="156"/>
      <c r="M633" s="156"/>
      <c r="N633" s="156"/>
      <c r="O633" s="156"/>
      <c r="P633" s="156"/>
      <c r="Q633" s="155"/>
      <c r="R633" s="190"/>
      <c r="S633" s="191"/>
    </row>
    <row r="634" ht="29.25" hidden="1" customHeight="1">
      <c r="A634" s="155"/>
      <c r="B634" s="155"/>
      <c r="C634" s="155"/>
      <c r="D634" s="155"/>
      <c r="E634" s="155"/>
      <c r="F634" s="198"/>
      <c r="G634" s="155"/>
      <c r="H634" s="155"/>
      <c r="I634" s="156"/>
      <c r="J634" s="156"/>
      <c r="K634" s="156"/>
      <c r="L634" s="156"/>
      <c r="M634" s="156"/>
      <c r="N634" s="156"/>
      <c r="O634" s="156"/>
      <c r="P634" s="156"/>
      <c r="Q634" s="155"/>
      <c r="R634" s="190"/>
      <c r="S634" s="191"/>
    </row>
    <row r="635" ht="29.25" hidden="1" customHeight="1">
      <c r="A635" s="155"/>
      <c r="B635" s="155"/>
      <c r="C635" s="155"/>
      <c r="D635" s="155"/>
      <c r="E635" s="155"/>
      <c r="F635" s="198"/>
      <c r="G635" s="155"/>
      <c r="H635" s="155"/>
      <c r="I635" s="156"/>
      <c r="J635" s="156"/>
      <c r="K635" s="156"/>
      <c r="L635" s="156"/>
      <c r="M635" s="156"/>
      <c r="N635" s="156"/>
      <c r="O635" s="156"/>
      <c r="P635" s="156"/>
      <c r="Q635" s="155"/>
      <c r="R635" s="190"/>
      <c r="S635" s="191"/>
    </row>
    <row r="636" ht="29.25" hidden="1" customHeight="1">
      <c r="A636" s="155"/>
      <c r="B636" s="155"/>
      <c r="C636" s="155"/>
      <c r="D636" s="155"/>
      <c r="E636" s="155"/>
      <c r="F636" s="198"/>
      <c r="G636" s="155"/>
      <c r="H636" s="155"/>
      <c r="I636" s="156"/>
      <c r="J636" s="156"/>
      <c r="K636" s="156"/>
      <c r="L636" s="156"/>
      <c r="M636" s="156"/>
      <c r="N636" s="156"/>
      <c r="O636" s="156"/>
      <c r="P636" s="156"/>
      <c r="Q636" s="155"/>
      <c r="R636" s="190"/>
      <c r="S636" s="191"/>
    </row>
    <row r="637" ht="29.25" hidden="1" customHeight="1">
      <c r="A637" s="155"/>
      <c r="B637" s="155"/>
      <c r="C637" s="155"/>
      <c r="D637" s="155"/>
      <c r="E637" s="155"/>
      <c r="F637" s="198"/>
      <c r="G637" s="155"/>
      <c r="H637" s="155"/>
      <c r="I637" s="156"/>
      <c r="J637" s="156"/>
      <c r="K637" s="156"/>
      <c r="L637" s="156"/>
      <c r="M637" s="156"/>
      <c r="N637" s="156"/>
      <c r="O637" s="156"/>
      <c r="P637" s="156"/>
      <c r="Q637" s="155"/>
      <c r="R637" s="190"/>
      <c r="S637" s="191"/>
    </row>
    <row r="638" ht="29.25" hidden="1" customHeight="1">
      <c r="A638" s="155"/>
      <c r="B638" s="155"/>
      <c r="C638" s="155"/>
      <c r="D638" s="155"/>
      <c r="E638" s="155"/>
      <c r="F638" s="198"/>
      <c r="G638" s="155"/>
      <c r="H638" s="155"/>
      <c r="I638" s="156"/>
      <c r="J638" s="156"/>
      <c r="K638" s="156"/>
      <c r="L638" s="156"/>
      <c r="M638" s="156"/>
      <c r="N638" s="156"/>
      <c r="O638" s="156"/>
      <c r="P638" s="156"/>
      <c r="Q638" s="155"/>
      <c r="R638" s="190"/>
      <c r="S638" s="191"/>
    </row>
    <row r="639" ht="29.25" hidden="1" customHeight="1">
      <c r="A639" s="155"/>
      <c r="B639" s="155"/>
      <c r="C639" s="155"/>
      <c r="D639" s="155"/>
      <c r="E639" s="155"/>
      <c r="F639" s="198"/>
      <c r="G639" s="155"/>
      <c r="H639" s="155"/>
      <c r="I639" s="156"/>
      <c r="J639" s="156"/>
      <c r="K639" s="156"/>
      <c r="L639" s="156"/>
      <c r="M639" s="156"/>
      <c r="N639" s="156"/>
      <c r="O639" s="156"/>
      <c r="P639" s="156"/>
      <c r="Q639" s="155"/>
      <c r="R639" s="190"/>
      <c r="S639" s="191"/>
    </row>
    <row r="640" ht="29.25" hidden="1" customHeight="1">
      <c r="A640" s="155"/>
      <c r="B640" s="155"/>
      <c r="C640" s="155"/>
      <c r="D640" s="155"/>
      <c r="E640" s="155"/>
      <c r="F640" s="198"/>
      <c r="G640" s="155"/>
      <c r="H640" s="155"/>
      <c r="I640" s="156"/>
      <c r="J640" s="156"/>
      <c r="K640" s="156"/>
      <c r="L640" s="156"/>
      <c r="M640" s="156"/>
      <c r="N640" s="156"/>
      <c r="O640" s="156"/>
      <c r="P640" s="156"/>
      <c r="Q640" s="155"/>
      <c r="R640" s="190"/>
      <c r="S640" s="191"/>
    </row>
    <row r="641" ht="29.25" hidden="1" customHeight="1">
      <c r="A641" s="155"/>
      <c r="B641" s="155"/>
      <c r="C641" s="155"/>
      <c r="D641" s="155"/>
      <c r="E641" s="155"/>
      <c r="F641" s="198"/>
      <c r="G641" s="155"/>
      <c r="H641" s="155"/>
      <c r="I641" s="156"/>
      <c r="J641" s="156"/>
      <c r="K641" s="156"/>
      <c r="L641" s="156"/>
      <c r="M641" s="156"/>
      <c r="N641" s="156"/>
      <c r="O641" s="156"/>
      <c r="P641" s="156"/>
      <c r="Q641" s="155"/>
      <c r="R641" s="190"/>
      <c r="S641" s="191"/>
    </row>
    <row r="642" ht="29.25" hidden="1" customHeight="1">
      <c r="A642" s="155"/>
      <c r="B642" s="155"/>
      <c r="C642" s="155"/>
      <c r="D642" s="155"/>
      <c r="E642" s="155"/>
      <c r="F642" s="198"/>
      <c r="G642" s="155"/>
      <c r="H642" s="155"/>
      <c r="I642" s="156"/>
      <c r="J642" s="156"/>
      <c r="K642" s="156"/>
      <c r="L642" s="156"/>
      <c r="M642" s="156"/>
      <c r="N642" s="156"/>
      <c r="O642" s="156"/>
      <c r="P642" s="156"/>
      <c r="Q642" s="155"/>
      <c r="R642" s="190"/>
      <c r="S642" s="191"/>
    </row>
    <row r="643" ht="29.25" hidden="1" customHeight="1">
      <c r="A643" s="155"/>
      <c r="B643" s="155"/>
      <c r="C643" s="155"/>
      <c r="D643" s="155"/>
      <c r="E643" s="155"/>
      <c r="F643" s="198"/>
      <c r="G643" s="155"/>
      <c r="H643" s="155"/>
      <c r="I643" s="156"/>
      <c r="J643" s="156"/>
      <c r="K643" s="156"/>
      <c r="L643" s="156"/>
      <c r="M643" s="156"/>
      <c r="N643" s="156"/>
      <c r="O643" s="156"/>
      <c r="P643" s="156"/>
      <c r="Q643" s="155"/>
      <c r="R643" s="190"/>
      <c r="S643" s="191"/>
    </row>
    <row r="644" ht="29.25" hidden="1" customHeight="1">
      <c r="A644" s="155"/>
      <c r="B644" s="155"/>
      <c r="C644" s="155"/>
      <c r="D644" s="155"/>
      <c r="E644" s="155"/>
      <c r="F644" s="198"/>
      <c r="G644" s="155"/>
      <c r="H644" s="155"/>
      <c r="I644" s="156"/>
      <c r="J644" s="156"/>
      <c r="K644" s="156"/>
      <c r="L644" s="156"/>
      <c r="M644" s="156"/>
      <c r="N644" s="156"/>
      <c r="O644" s="156"/>
      <c r="P644" s="156"/>
      <c r="Q644" s="155"/>
      <c r="R644" s="190"/>
      <c r="S644" s="191"/>
    </row>
    <row r="645" ht="29.25" hidden="1" customHeight="1">
      <c r="A645" s="155"/>
      <c r="B645" s="155"/>
      <c r="C645" s="155"/>
      <c r="D645" s="155"/>
      <c r="E645" s="155"/>
      <c r="F645" s="198"/>
      <c r="G645" s="155"/>
      <c r="H645" s="155"/>
      <c r="I645" s="156"/>
      <c r="J645" s="156"/>
      <c r="K645" s="156"/>
      <c r="L645" s="156"/>
      <c r="M645" s="156"/>
      <c r="N645" s="156"/>
      <c r="O645" s="156"/>
      <c r="P645" s="156"/>
      <c r="Q645" s="155"/>
      <c r="R645" s="190"/>
      <c r="S645" s="191"/>
    </row>
    <row r="646" ht="29.25" hidden="1" customHeight="1">
      <c r="A646" s="155"/>
      <c r="B646" s="155"/>
      <c r="C646" s="155"/>
      <c r="D646" s="155"/>
      <c r="E646" s="155"/>
      <c r="F646" s="198"/>
      <c r="G646" s="155"/>
      <c r="H646" s="155"/>
      <c r="I646" s="156"/>
      <c r="J646" s="156"/>
      <c r="K646" s="156"/>
      <c r="L646" s="156"/>
      <c r="M646" s="156"/>
      <c r="N646" s="156"/>
      <c r="O646" s="156"/>
      <c r="P646" s="156"/>
      <c r="Q646" s="155"/>
      <c r="R646" s="190"/>
      <c r="S646" s="191"/>
    </row>
    <row r="647" ht="29.25" hidden="1" customHeight="1">
      <c r="A647" s="155"/>
      <c r="B647" s="155"/>
      <c r="C647" s="155"/>
      <c r="D647" s="155"/>
      <c r="E647" s="155"/>
      <c r="F647" s="198"/>
      <c r="G647" s="155"/>
      <c r="H647" s="155"/>
      <c r="I647" s="156"/>
      <c r="J647" s="156"/>
      <c r="K647" s="156"/>
      <c r="L647" s="156"/>
      <c r="M647" s="156"/>
      <c r="N647" s="156"/>
      <c r="O647" s="156"/>
      <c r="P647" s="156"/>
      <c r="Q647" s="155"/>
      <c r="R647" s="190"/>
      <c r="S647" s="191"/>
    </row>
    <row r="648" ht="29.25" hidden="1" customHeight="1">
      <c r="A648" s="155"/>
      <c r="B648" s="155"/>
      <c r="C648" s="155"/>
      <c r="D648" s="155"/>
      <c r="E648" s="155"/>
      <c r="F648" s="198"/>
      <c r="G648" s="155"/>
      <c r="H648" s="155"/>
      <c r="I648" s="156"/>
      <c r="J648" s="156"/>
      <c r="K648" s="156"/>
      <c r="L648" s="156"/>
      <c r="M648" s="156"/>
      <c r="N648" s="156"/>
      <c r="O648" s="156"/>
      <c r="P648" s="156"/>
      <c r="Q648" s="155"/>
      <c r="R648" s="190"/>
      <c r="S648" s="191"/>
    </row>
    <row r="649" ht="29.25" hidden="1" customHeight="1">
      <c r="A649" s="155"/>
      <c r="B649" s="155"/>
      <c r="C649" s="155"/>
      <c r="D649" s="155"/>
      <c r="E649" s="155"/>
      <c r="F649" s="198"/>
      <c r="G649" s="155"/>
      <c r="H649" s="155"/>
      <c r="I649" s="156"/>
      <c r="J649" s="156"/>
      <c r="K649" s="156"/>
      <c r="L649" s="156"/>
      <c r="M649" s="156"/>
      <c r="N649" s="156"/>
      <c r="O649" s="156"/>
      <c r="P649" s="156"/>
      <c r="Q649" s="155"/>
      <c r="R649" s="190"/>
      <c r="S649" s="191"/>
    </row>
    <row r="650" ht="29.25" hidden="1" customHeight="1">
      <c r="A650" s="155"/>
      <c r="B650" s="155"/>
      <c r="C650" s="155"/>
      <c r="D650" s="155"/>
      <c r="E650" s="155"/>
      <c r="F650" s="198"/>
      <c r="G650" s="155"/>
      <c r="H650" s="155"/>
      <c r="I650" s="156"/>
      <c r="J650" s="156"/>
      <c r="K650" s="156"/>
      <c r="L650" s="156"/>
      <c r="M650" s="156"/>
      <c r="N650" s="156"/>
      <c r="O650" s="156"/>
      <c r="P650" s="156"/>
      <c r="Q650" s="155"/>
      <c r="R650" s="190"/>
      <c r="S650" s="191"/>
    </row>
    <row r="651" ht="29.25" hidden="1" customHeight="1">
      <c r="A651" s="155"/>
      <c r="B651" s="155"/>
      <c r="C651" s="155"/>
      <c r="D651" s="155"/>
      <c r="E651" s="155"/>
      <c r="F651" s="198"/>
      <c r="G651" s="155"/>
      <c r="H651" s="155"/>
      <c r="I651" s="156"/>
      <c r="J651" s="156"/>
      <c r="K651" s="156"/>
      <c r="L651" s="156"/>
      <c r="M651" s="156"/>
      <c r="N651" s="156"/>
      <c r="O651" s="156"/>
      <c r="P651" s="156"/>
      <c r="Q651" s="155"/>
      <c r="R651" s="190"/>
      <c r="S651" s="191"/>
    </row>
    <row r="652" ht="29.25" hidden="1" customHeight="1">
      <c r="A652" s="155"/>
      <c r="B652" s="155"/>
      <c r="C652" s="155"/>
      <c r="D652" s="155"/>
      <c r="E652" s="155"/>
      <c r="F652" s="198"/>
      <c r="G652" s="155"/>
      <c r="H652" s="155"/>
      <c r="I652" s="156"/>
      <c r="J652" s="156"/>
      <c r="K652" s="156"/>
      <c r="L652" s="156"/>
      <c r="M652" s="156"/>
      <c r="N652" s="156"/>
      <c r="O652" s="156"/>
      <c r="P652" s="156"/>
      <c r="Q652" s="155"/>
      <c r="R652" s="190"/>
      <c r="S652" s="191"/>
    </row>
    <row r="653" ht="29.25" hidden="1" customHeight="1">
      <c r="A653" s="155"/>
      <c r="B653" s="155"/>
      <c r="C653" s="155"/>
      <c r="D653" s="155"/>
      <c r="E653" s="155"/>
      <c r="F653" s="198"/>
      <c r="G653" s="155"/>
      <c r="H653" s="155"/>
      <c r="I653" s="156"/>
      <c r="J653" s="156"/>
      <c r="K653" s="156"/>
      <c r="L653" s="156"/>
      <c r="M653" s="156"/>
      <c r="N653" s="156"/>
      <c r="O653" s="156"/>
      <c r="P653" s="156"/>
      <c r="Q653" s="155"/>
      <c r="R653" s="190"/>
      <c r="S653" s="191"/>
    </row>
    <row r="654" ht="29.25" hidden="1" customHeight="1">
      <c r="A654" s="155"/>
      <c r="B654" s="155"/>
      <c r="C654" s="155"/>
      <c r="D654" s="155"/>
      <c r="E654" s="155"/>
      <c r="F654" s="198"/>
      <c r="G654" s="155"/>
      <c r="H654" s="155"/>
      <c r="I654" s="156"/>
      <c r="J654" s="156"/>
      <c r="K654" s="156"/>
      <c r="L654" s="156"/>
      <c r="M654" s="156"/>
      <c r="N654" s="156"/>
      <c r="O654" s="156"/>
      <c r="P654" s="156"/>
      <c r="Q654" s="155"/>
      <c r="R654" s="190"/>
      <c r="S654" s="191"/>
    </row>
    <row r="655" ht="29.25" hidden="1" customHeight="1">
      <c r="A655" s="155"/>
      <c r="B655" s="155"/>
      <c r="C655" s="155"/>
      <c r="D655" s="155"/>
      <c r="E655" s="155"/>
      <c r="F655" s="198"/>
      <c r="G655" s="155"/>
      <c r="H655" s="155"/>
      <c r="I655" s="156"/>
      <c r="J655" s="156"/>
      <c r="K655" s="156"/>
      <c r="L655" s="156"/>
      <c r="M655" s="156"/>
      <c r="N655" s="156"/>
      <c r="O655" s="156"/>
      <c r="P655" s="156"/>
      <c r="Q655" s="155"/>
      <c r="R655" s="190"/>
      <c r="S655" s="191"/>
    </row>
    <row r="656" ht="29.25" hidden="1" customHeight="1">
      <c r="A656" s="155"/>
      <c r="B656" s="155"/>
      <c r="C656" s="155"/>
      <c r="D656" s="155"/>
      <c r="E656" s="155"/>
      <c r="F656" s="198"/>
      <c r="G656" s="155"/>
      <c r="H656" s="155"/>
      <c r="I656" s="156"/>
      <c r="J656" s="156"/>
      <c r="K656" s="156"/>
      <c r="L656" s="156"/>
      <c r="M656" s="156"/>
      <c r="N656" s="156"/>
      <c r="O656" s="156"/>
      <c r="P656" s="156"/>
      <c r="Q656" s="155"/>
      <c r="R656" s="190"/>
      <c r="S656" s="191"/>
    </row>
    <row r="657" ht="29.25" hidden="1" customHeight="1">
      <c r="A657" s="155"/>
      <c r="B657" s="155"/>
      <c r="C657" s="155"/>
      <c r="D657" s="155"/>
      <c r="E657" s="155"/>
      <c r="F657" s="198"/>
      <c r="G657" s="155"/>
      <c r="H657" s="155"/>
      <c r="I657" s="156"/>
      <c r="J657" s="156"/>
      <c r="K657" s="156"/>
      <c r="L657" s="156"/>
      <c r="M657" s="156"/>
      <c r="N657" s="156"/>
      <c r="O657" s="156"/>
      <c r="P657" s="156"/>
      <c r="Q657" s="155"/>
      <c r="R657" s="190"/>
      <c r="S657" s="191"/>
    </row>
    <row r="658" ht="29.25" hidden="1" customHeight="1">
      <c r="A658" s="155"/>
      <c r="B658" s="155"/>
      <c r="C658" s="155"/>
      <c r="D658" s="155"/>
      <c r="E658" s="155"/>
      <c r="F658" s="198"/>
      <c r="G658" s="155"/>
      <c r="H658" s="155"/>
      <c r="I658" s="156"/>
      <c r="J658" s="156"/>
      <c r="K658" s="156"/>
      <c r="L658" s="156"/>
      <c r="M658" s="156"/>
      <c r="N658" s="156"/>
      <c r="O658" s="156"/>
      <c r="P658" s="156"/>
      <c r="Q658" s="155"/>
      <c r="R658" s="190"/>
      <c r="S658" s="191"/>
    </row>
    <row r="659" ht="29.25" hidden="1" customHeight="1">
      <c r="A659" s="155"/>
      <c r="B659" s="155"/>
      <c r="C659" s="155"/>
      <c r="D659" s="155"/>
      <c r="E659" s="155"/>
      <c r="F659" s="198"/>
      <c r="G659" s="155"/>
      <c r="H659" s="155"/>
      <c r="I659" s="156"/>
      <c r="J659" s="156"/>
      <c r="K659" s="156"/>
      <c r="L659" s="156"/>
      <c r="M659" s="156"/>
      <c r="N659" s="156"/>
      <c r="O659" s="156"/>
      <c r="P659" s="156"/>
      <c r="Q659" s="155"/>
      <c r="R659" s="190"/>
      <c r="S659" s="191"/>
    </row>
    <row r="660" ht="29.25" hidden="1" customHeight="1">
      <c r="A660" s="155"/>
      <c r="B660" s="155"/>
      <c r="C660" s="155"/>
      <c r="D660" s="155"/>
      <c r="E660" s="155"/>
      <c r="F660" s="198"/>
      <c r="G660" s="155"/>
      <c r="H660" s="155"/>
      <c r="I660" s="156"/>
      <c r="J660" s="156"/>
      <c r="K660" s="156"/>
      <c r="L660" s="156"/>
      <c r="M660" s="156"/>
      <c r="N660" s="156"/>
      <c r="O660" s="156"/>
      <c r="P660" s="156"/>
      <c r="Q660" s="155"/>
      <c r="R660" s="190"/>
      <c r="S660" s="191"/>
    </row>
    <row r="661" ht="29.25" hidden="1" customHeight="1">
      <c r="A661" s="155"/>
      <c r="B661" s="155"/>
      <c r="C661" s="155"/>
      <c r="D661" s="155"/>
      <c r="E661" s="155"/>
      <c r="F661" s="198"/>
      <c r="G661" s="155"/>
      <c r="H661" s="155"/>
      <c r="I661" s="156"/>
      <c r="J661" s="156"/>
      <c r="K661" s="156"/>
      <c r="L661" s="156"/>
      <c r="M661" s="156"/>
      <c r="N661" s="156"/>
      <c r="O661" s="156"/>
      <c r="P661" s="156"/>
      <c r="Q661" s="155"/>
      <c r="R661" s="190"/>
      <c r="S661" s="191"/>
    </row>
    <row r="662" ht="29.25" hidden="1" customHeight="1">
      <c r="A662" s="155"/>
      <c r="B662" s="155"/>
      <c r="C662" s="155"/>
      <c r="D662" s="155"/>
      <c r="E662" s="155"/>
      <c r="F662" s="198"/>
      <c r="G662" s="155"/>
      <c r="H662" s="155"/>
      <c r="I662" s="156"/>
      <c r="J662" s="156"/>
      <c r="K662" s="156"/>
      <c r="L662" s="156"/>
      <c r="M662" s="156"/>
      <c r="N662" s="156"/>
      <c r="O662" s="156"/>
      <c r="P662" s="156"/>
      <c r="Q662" s="155"/>
      <c r="R662" s="190"/>
      <c r="S662" s="191"/>
    </row>
    <row r="663" ht="29.25" hidden="1" customHeight="1">
      <c r="A663" s="155"/>
      <c r="B663" s="155"/>
      <c r="C663" s="155"/>
      <c r="D663" s="155"/>
      <c r="E663" s="155"/>
      <c r="F663" s="198"/>
      <c r="G663" s="155"/>
      <c r="H663" s="155"/>
      <c r="I663" s="156"/>
      <c r="J663" s="156"/>
      <c r="K663" s="156"/>
      <c r="L663" s="156"/>
      <c r="M663" s="156"/>
      <c r="N663" s="156"/>
      <c r="O663" s="156"/>
      <c r="P663" s="156"/>
      <c r="Q663" s="155"/>
      <c r="R663" s="190"/>
      <c r="S663" s="191"/>
    </row>
    <row r="664" ht="29.25" hidden="1" customHeight="1">
      <c r="A664" s="155"/>
      <c r="B664" s="155"/>
      <c r="C664" s="155"/>
      <c r="D664" s="155"/>
      <c r="E664" s="155"/>
      <c r="F664" s="198"/>
      <c r="G664" s="155"/>
      <c r="H664" s="155"/>
      <c r="I664" s="156"/>
      <c r="J664" s="156"/>
      <c r="K664" s="156"/>
      <c r="L664" s="156"/>
      <c r="M664" s="156"/>
      <c r="N664" s="156"/>
      <c r="O664" s="156"/>
      <c r="P664" s="156"/>
      <c r="Q664" s="155"/>
      <c r="R664" s="190"/>
      <c r="S664" s="191"/>
    </row>
    <row r="665" ht="29.25" hidden="1" customHeight="1">
      <c r="A665" s="155"/>
      <c r="B665" s="155"/>
      <c r="C665" s="155"/>
      <c r="D665" s="155"/>
      <c r="E665" s="155"/>
      <c r="F665" s="198"/>
      <c r="G665" s="155"/>
      <c r="H665" s="155"/>
      <c r="I665" s="156"/>
      <c r="J665" s="156"/>
      <c r="K665" s="156"/>
      <c r="L665" s="156"/>
      <c r="M665" s="156"/>
      <c r="N665" s="156"/>
      <c r="O665" s="156"/>
      <c r="P665" s="156"/>
      <c r="Q665" s="155"/>
      <c r="R665" s="190"/>
      <c r="S665" s="191"/>
    </row>
    <row r="666" ht="29.25" hidden="1" customHeight="1">
      <c r="A666" s="155"/>
      <c r="B666" s="155"/>
      <c r="C666" s="155"/>
      <c r="D666" s="155"/>
      <c r="E666" s="155"/>
      <c r="F666" s="198"/>
      <c r="G666" s="155"/>
      <c r="H666" s="155"/>
      <c r="I666" s="156"/>
      <c r="J666" s="156"/>
      <c r="K666" s="156"/>
      <c r="L666" s="156"/>
      <c r="M666" s="156"/>
      <c r="N666" s="156"/>
      <c r="O666" s="156"/>
      <c r="P666" s="156"/>
      <c r="Q666" s="155"/>
      <c r="R666" s="190"/>
      <c r="S666" s="191"/>
    </row>
    <row r="667" ht="29.25" hidden="1" customHeight="1">
      <c r="A667" s="155"/>
      <c r="B667" s="155"/>
      <c r="C667" s="155"/>
      <c r="D667" s="155"/>
      <c r="E667" s="155"/>
      <c r="F667" s="198"/>
      <c r="G667" s="155"/>
      <c r="H667" s="155"/>
      <c r="I667" s="156"/>
      <c r="J667" s="156"/>
      <c r="K667" s="156"/>
      <c r="L667" s="156"/>
      <c r="M667" s="156"/>
      <c r="N667" s="156"/>
      <c r="O667" s="156"/>
      <c r="P667" s="156"/>
      <c r="Q667" s="155"/>
      <c r="R667" s="190"/>
      <c r="S667" s="191"/>
    </row>
    <row r="668" ht="29.25" hidden="1" customHeight="1">
      <c r="A668" s="155"/>
      <c r="B668" s="155"/>
      <c r="C668" s="155"/>
      <c r="D668" s="155"/>
      <c r="E668" s="155"/>
      <c r="F668" s="198"/>
      <c r="G668" s="155"/>
      <c r="H668" s="155"/>
      <c r="I668" s="156"/>
      <c r="J668" s="156"/>
      <c r="K668" s="156"/>
      <c r="L668" s="156"/>
      <c r="M668" s="156"/>
      <c r="N668" s="156"/>
      <c r="O668" s="156"/>
      <c r="P668" s="156"/>
      <c r="Q668" s="155"/>
      <c r="R668" s="190"/>
      <c r="S668" s="191"/>
    </row>
    <row r="669" ht="29.25" hidden="1" customHeight="1">
      <c r="A669" s="155"/>
      <c r="B669" s="155"/>
      <c r="C669" s="155"/>
      <c r="D669" s="155"/>
      <c r="E669" s="155"/>
      <c r="F669" s="198"/>
      <c r="G669" s="155"/>
      <c r="H669" s="155"/>
      <c r="I669" s="156"/>
      <c r="J669" s="156"/>
      <c r="K669" s="156"/>
      <c r="L669" s="156"/>
      <c r="M669" s="156"/>
      <c r="N669" s="156"/>
      <c r="O669" s="156"/>
      <c r="P669" s="156"/>
      <c r="Q669" s="155"/>
      <c r="R669" s="190"/>
      <c r="S669" s="191"/>
    </row>
    <row r="670" ht="29.25" hidden="1" customHeight="1">
      <c r="A670" s="155"/>
      <c r="B670" s="155"/>
      <c r="C670" s="155"/>
      <c r="D670" s="155"/>
      <c r="E670" s="155"/>
      <c r="F670" s="198"/>
      <c r="G670" s="155"/>
      <c r="H670" s="155"/>
      <c r="I670" s="156"/>
      <c r="J670" s="156"/>
      <c r="K670" s="156"/>
      <c r="L670" s="156"/>
      <c r="M670" s="156"/>
      <c r="N670" s="156"/>
      <c r="O670" s="156"/>
      <c r="P670" s="156"/>
      <c r="Q670" s="155"/>
      <c r="R670" s="190"/>
      <c r="S670" s="191"/>
    </row>
    <row r="671" ht="29.25" hidden="1" customHeight="1">
      <c r="A671" s="155"/>
      <c r="B671" s="155"/>
      <c r="C671" s="155"/>
      <c r="D671" s="155"/>
      <c r="E671" s="155"/>
      <c r="F671" s="198"/>
      <c r="G671" s="155"/>
      <c r="H671" s="155"/>
      <c r="I671" s="156"/>
      <c r="J671" s="156"/>
      <c r="K671" s="156"/>
      <c r="L671" s="156"/>
      <c r="M671" s="156"/>
      <c r="N671" s="156"/>
      <c r="O671" s="156"/>
      <c r="P671" s="156"/>
      <c r="Q671" s="155"/>
      <c r="R671" s="190"/>
      <c r="S671" s="191"/>
    </row>
    <row r="672" ht="29.25" hidden="1" customHeight="1">
      <c r="A672" s="155"/>
      <c r="B672" s="155"/>
      <c r="C672" s="155"/>
      <c r="D672" s="155"/>
      <c r="E672" s="155"/>
      <c r="F672" s="198"/>
      <c r="G672" s="155"/>
      <c r="H672" s="155"/>
      <c r="I672" s="156"/>
      <c r="J672" s="156"/>
      <c r="K672" s="156"/>
      <c r="L672" s="156"/>
      <c r="M672" s="156"/>
      <c r="N672" s="156"/>
      <c r="O672" s="156"/>
      <c r="P672" s="156"/>
      <c r="Q672" s="155"/>
      <c r="R672" s="190"/>
      <c r="S672" s="191"/>
    </row>
    <row r="673" ht="29.25" hidden="1" customHeight="1">
      <c r="A673" s="155"/>
      <c r="B673" s="155"/>
      <c r="C673" s="155"/>
      <c r="D673" s="155"/>
      <c r="E673" s="155"/>
      <c r="F673" s="198"/>
      <c r="G673" s="155"/>
      <c r="H673" s="155"/>
      <c r="I673" s="156"/>
      <c r="J673" s="156"/>
      <c r="K673" s="156"/>
      <c r="L673" s="156"/>
      <c r="M673" s="156"/>
      <c r="N673" s="156"/>
      <c r="O673" s="156"/>
      <c r="P673" s="156"/>
      <c r="Q673" s="155"/>
      <c r="R673" s="190"/>
      <c r="S673" s="191"/>
    </row>
    <row r="674" ht="29.25" hidden="1" customHeight="1">
      <c r="A674" s="155"/>
      <c r="B674" s="155"/>
      <c r="C674" s="155"/>
      <c r="D674" s="155"/>
      <c r="E674" s="155"/>
      <c r="F674" s="198"/>
      <c r="G674" s="155"/>
      <c r="H674" s="155"/>
      <c r="I674" s="156"/>
      <c r="J674" s="156"/>
      <c r="K674" s="156"/>
      <c r="L674" s="156"/>
      <c r="M674" s="156"/>
      <c r="N674" s="156"/>
      <c r="O674" s="156"/>
      <c r="P674" s="156"/>
      <c r="Q674" s="155"/>
      <c r="R674" s="190"/>
      <c r="S674" s="191"/>
    </row>
    <row r="675" ht="29.25" hidden="1" customHeight="1">
      <c r="A675" s="155"/>
      <c r="B675" s="155"/>
      <c r="C675" s="155"/>
      <c r="D675" s="155"/>
      <c r="E675" s="155"/>
      <c r="F675" s="198"/>
      <c r="G675" s="155"/>
      <c r="H675" s="155"/>
      <c r="I675" s="156"/>
      <c r="J675" s="156"/>
      <c r="K675" s="156"/>
      <c r="L675" s="156"/>
      <c r="M675" s="156"/>
      <c r="N675" s="156"/>
      <c r="O675" s="156"/>
      <c r="P675" s="156"/>
      <c r="Q675" s="155"/>
      <c r="R675" s="190"/>
      <c r="S675" s="191"/>
    </row>
    <row r="676" ht="29.25" hidden="1" customHeight="1">
      <c r="A676" s="155"/>
      <c r="B676" s="155"/>
      <c r="C676" s="155"/>
      <c r="D676" s="155"/>
      <c r="E676" s="155"/>
      <c r="F676" s="198"/>
      <c r="G676" s="155"/>
      <c r="H676" s="155"/>
      <c r="I676" s="156"/>
      <c r="J676" s="156"/>
      <c r="K676" s="156"/>
      <c r="L676" s="156"/>
      <c r="M676" s="156"/>
      <c r="N676" s="156"/>
      <c r="O676" s="156"/>
      <c r="P676" s="156"/>
      <c r="Q676" s="155"/>
      <c r="R676" s="190"/>
      <c r="S676" s="191"/>
    </row>
    <row r="677" ht="29.25" hidden="1" customHeight="1">
      <c r="A677" s="155"/>
      <c r="B677" s="155"/>
      <c r="C677" s="155"/>
      <c r="D677" s="155"/>
      <c r="E677" s="155"/>
      <c r="F677" s="198"/>
      <c r="G677" s="155"/>
      <c r="H677" s="155"/>
      <c r="I677" s="156"/>
      <c r="J677" s="156"/>
      <c r="K677" s="156"/>
      <c r="L677" s="156"/>
      <c r="M677" s="156"/>
      <c r="N677" s="156"/>
      <c r="O677" s="156"/>
      <c r="P677" s="156"/>
      <c r="Q677" s="155"/>
      <c r="R677" s="190"/>
      <c r="S677" s="191"/>
    </row>
    <row r="678" ht="29.25" hidden="1" customHeight="1">
      <c r="A678" s="155"/>
      <c r="B678" s="155"/>
      <c r="C678" s="155"/>
      <c r="D678" s="155"/>
      <c r="E678" s="155"/>
      <c r="F678" s="198"/>
      <c r="G678" s="155"/>
      <c r="H678" s="155"/>
      <c r="I678" s="156"/>
      <c r="J678" s="156"/>
      <c r="K678" s="156"/>
      <c r="L678" s="156"/>
      <c r="M678" s="156"/>
      <c r="N678" s="156"/>
      <c r="O678" s="156"/>
      <c r="P678" s="156"/>
      <c r="Q678" s="155"/>
      <c r="R678" s="190"/>
      <c r="S678" s="191"/>
    </row>
    <row r="679" ht="29.25" hidden="1" customHeight="1">
      <c r="A679" s="155"/>
      <c r="B679" s="155"/>
      <c r="C679" s="155"/>
      <c r="D679" s="155"/>
      <c r="E679" s="155"/>
      <c r="F679" s="198"/>
      <c r="G679" s="155"/>
      <c r="H679" s="155"/>
      <c r="I679" s="156"/>
      <c r="J679" s="156"/>
      <c r="K679" s="156"/>
      <c r="L679" s="156"/>
      <c r="M679" s="156"/>
      <c r="N679" s="156"/>
      <c r="O679" s="156"/>
      <c r="P679" s="156"/>
      <c r="Q679" s="155"/>
      <c r="R679" s="190"/>
      <c r="S679" s="191"/>
    </row>
    <row r="680" ht="29.25" hidden="1" customHeight="1">
      <c r="A680" s="155"/>
      <c r="B680" s="155"/>
      <c r="C680" s="155"/>
      <c r="D680" s="155"/>
      <c r="E680" s="155"/>
      <c r="F680" s="198"/>
      <c r="G680" s="155"/>
      <c r="H680" s="155"/>
      <c r="I680" s="156"/>
      <c r="J680" s="156"/>
      <c r="K680" s="156"/>
      <c r="L680" s="156"/>
      <c r="M680" s="156"/>
      <c r="N680" s="156"/>
      <c r="O680" s="156"/>
      <c r="P680" s="156"/>
      <c r="Q680" s="155"/>
      <c r="R680" s="190"/>
      <c r="S680" s="191"/>
    </row>
    <row r="681" ht="29.25" hidden="1" customHeight="1">
      <c r="A681" s="155"/>
      <c r="B681" s="155"/>
      <c r="C681" s="155"/>
      <c r="D681" s="155"/>
      <c r="E681" s="155"/>
      <c r="F681" s="198"/>
      <c r="G681" s="155"/>
      <c r="H681" s="155"/>
      <c r="I681" s="156"/>
      <c r="J681" s="156"/>
      <c r="K681" s="156"/>
      <c r="L681" s="156"/>
      <c r="M681" s="156"/>
      <c r="N681" s="156"/>
      <c r="O681" s="156"/>
      <c r="P681" s="156"/>
      <c r="Q681" s="155"/>
      <c r="R681" s="190"/>
      <c r="S681" s="191"/>
    </row>
    <row r="682" ht="29.25" hidden="1" customHeight="1">
      <c r="A682" s="155"/>
      <c r="B682" s="155"/>
      <c r="C682" s="155"/>
      <c r="D682" s="155"/>
      <c r="E682" s="155"/>
      <c r="F682" s="198"/>
      <c r="G682" s="155"/>
      <c r="H682" s="155"/>
      <c r="I682" s="156"/>
      <c r="J682" s="156"/>
      <c r="K682" s="156"/>
      <c r="L682" s="156"/>
      <c r="M682" s="156"/>
      <c r="N682" s="156"/>
      <c r="O682" s="156"/>
      <c r="P682" s="156"/>
      <c r="Q682" s="155"/>
      <c r="R682" s="190"/>
      <c r="S682" s="191"/>
    </row>
    <row r="683" ht="29.25" hidden="1" customHeight="1">
      <c r="A683" s="155"/>
      <c r="B683" s="155"/>
      <c r="C683" s="155"/>
      <c r="D683" s="155"/>
      <c r="E683" s="155"/>
      <c r="F683" s="198"/>
      <c r="G683" s="155"/>
      <c r="H683" s="155"/>
      <c r="I683" s="156"/>
      <c r="J683" s="156"/>
      <c r="K683" s="156"/>
      <c r="L683" s="156"/>
      <c r="M683" s="156"/>
      <c r="N683" s="156"/>
      <c r="O683" s="156"/>
      <c r="P683" s="156"/>
      <c r="Q683" s="155"/>
      <c r="R683" s="190"/>
      <c r="S683" s="191"/>
    </row>
    <row r="684" ht="29.25" hidden="1" customHeight="1">
      <c r="A684" s="155"/>
      <c r="B684" s="155"/>
      <c r="C684" s="155"/>
      <c r="D684" s="155"/>
      <c r="E684" s="155"/>
      <c r="F684" s="198"/>
      <c r="G684" s="155"/>
      <c r="H684" s="155"/>
      <c r="I684" s="156"/>
      <c r="J684" s="156"/>
      <c r="K684" s="156"/>
      <c r="L684" s="156"/>
      <c r="M684" s="156"/>
      <c r="N684" s="156"/>
      <c r="O684" s="156"/>
      <c r="P684" s="156"/>
      <c r="Q684" s="155"/>
      <c r="R684" s="190"/>
      <c r="S684" s="191"/>
    </row>
    <row r="685" ht="29.25" hidden="1" customHeight="1">
      <c r="A685" s="155"/>
      <c r="B685" s="155"/>
      <c r="C685" s="155"/>
      <c r="D685" s="155"/>
      <c r="E685" s="155"/>
      <c r="F685" s="198"/>
      <c r="G685" s="155"/>
      <c r="H685" s="155"/>
      <c r="I685" s="156"/>
      <c r="J685" s="156"/>
      <c r="K685" s="156"/>
      <c r="L685" s="156"/>
      <c r="M685" s="156"/>
      <c r="N685" s="156"/>
      <c r="O685" s="156"/>
      <c r="P685" s="156"/>
      <c r="Q685" s="155"/>
      <c r="R685" s="190"/>
      <c r="S685" s="191"/>
    </row>
    <row r="686" ht="29.25" hidden="1" customHeight="1">
      <c r="A686" s="155"/>
      <c r="B686" s="155"/>
      <c r="C686" s="155"/>
      <c r="D686" s="155"/>
      <c r="E686" s="155"/>
      <c r="F686" s="198"/>
      <c r="G686" s="155"/>
      <c r="H686" s="155"/>
      <c r="I686" s="156"/>
      <c r="J686" s="156"/>
      <c r="K686" s="156"/>
      <c r="L686" s="156"/>
      <c r="M686" s="156"/>
      <c r="N686" s="156"/>
      <c r="O686" s="156"/>
      <c r="P686" s="156"/>
      <c r="Q686" s="155"/>
      <c r="R686" s="190"/>
      <c r="S686" s="191"/>
    </row>
    <row r="687" ht="29.25" hidden="1" customHeight="1">
      <c r="A687" s="155"/>
      <c r="B687" s="155"/>
      <c r="C687" s="155"/>
      <c r="D687" s="155"/>
      <c r="E687" s="155"/>
      <c r="F687" s="198"/>
      <c r="G687" s="155"/>
      <c r="H687" s="155"/>
      <c r="I687" s="156"/>
      <c r="J687" s="156"/>
      <c r="K687" s="156"/>
      <c r="L687" s="156"/>
      <c r="M687" s="156"/>
      <c r="N687" s="156"/>
      <c r="O687" s="156"/>
      <c r="P687" s="156"/>
      <c r="Q687" s="155"/>
      <c r="R687" s="190"/>
      <c r="S687" s="191"/>
    </row>
    <row r="688" ht="29.25" hidden="1" customHeight="1">
      <c r="A688" s="155"/>
      <c r="B688" s="155"/>
      <c r="C688" s="155"/>
      <c r="D688" s="155"/>
      <c r="E688" s="155"/>
      <c r="F688" s="198"/>
      <c r="G688" s="155"/>
      <c r="H688" s="155"/>
      <c r="I688" s="156"/>
      <c r="J688" s="156"/>
      <c r="K688" s="156"/>
      <c r="L688" s="156"/>
      <c r="M688" s="156"/>
      <c r="N688" s="156"/>
      <c r="O688" s="156"/>
      <c r="P688" s="156"/>
      <c r="Q688" s="155"/>
      <c r="R688" s="190"/>
      <c r="S688" s="191"/>
    </row>
    <row r="689" ht="29.25" hidden="1" customHeight="1">
      <c r="A689" s="155"/>
      <c r="B689" s="155"/>
      <c r="C689" s="155"/>
      <c r="D689" s="155"/>
      <c r="E689" s="155"/>
      <c r="F689" s="198"/>
      <c r="G689" s="155"/>
      <c r="H689" s="155"/>
      <c r="I689" s="156"/>
      <c r="J689" s="156"/>
      <c r="K689" s="156"/>
      <c r="L689" s="156"/>
      <c r="M689" s="156"/>
      <c r="N689" s="156"/>
      <c r="O689" s="156"/>
      <c r="P689" s="156"/>
      <c r="Q689" s="155"/>
      <c r="R689" s="190"/>
      <c r="S689" s="191"/>
    </row>
    <row r="690" ht="29.25" hidden="1" customHeight="1">
      <c r="A690" s="155"/>
      <c r="B690" s="155"/>
      <c r="C690" s="155"/>
      <c r="D690" s="155"/>
      <c r="E690" s="155"/>
      <c r="F690" s="198"/>
      <c r="G690" s="155"/>
      <c r="H690" s="155"/>
      <c r="I690" s="156"/>
      <c r="J690" s="156"/>
      <c r="K690" s="156"/>
      <c r="L690" s="156"/>
      <c r="M690" s="156"/>
      <c r="N690" s="156"/>
      <c r="O690" s="156"/>
      <c r="P690" s="156"/>
      <c r="Q690" s="155"/>
      <c r="R690" s="190"/>
      <c r="S690" s="191"/>
    </row>
    <row r="691" ht="29.25" hidden="1" customHeight="1">
      <c r="A691" s="155"/>
      <c r="B691" s="155"/>
      <c r="C691" s="155"/>
      <c r="D691" s="155"/>
      <c r="E691" s="155"/>
      <c r="F691" s="198"/>
      <c r="G691" s="155"/>
      <c r="H691" s="155"/>
      <c r="I691" s="156"/>
      <c r="J691" s="156"/>
      <c r="K691" s="156"/>
      <c r="L691" s="156"/>
      <c r="M691" s="156"/>
      <c r="N691" s="156"/>
      <c r="O691" s="156"/>
      <c r="P691" s="156"/>
      <c r="Q691" s="155"/>
      <c r="R691" s="190"/>
      <c r="S691" s="191"/>
    </row>
    <row r="692" ht="29.25" hidden="1" customHeight="1">
      <c r="A692" s="155"/>
      <c r="B692" s="155"/>
      <c r="C692" s="155"/>
      <c r="D692" s="155"/>
      <c r="E692" s="155"/>
      <c r="F692" s="198"/>
      <c r="G692" s="155"/>
      <c r="H692" s="155"/>
      <c r="I692" s="156"/>
      <c r="J692" s="156"/>
      <c r="K692" s="156"/>
      <c r="L692" s="156"/>
      <c r="M692" s="156"/>
      <c r="N692" s="156"/>
      <c r="O692" s="156"/>
      <c r="P692" s="156"/>
      <c r="Q692" s="155"/>
      <c r="R692" s="190"/>
      <c r="S692" s="191"/>
    </row>
    <row r="693" ht="29.25" hidden="1" customHeight="1">
      <c r="A693" s="155"/>
      <c r="B693" s="155"/>
      <c r="C693" s="155"/>
      <c r="D693" s="155"/>
      <c r="E693" s="155"/>
      <c r="F693" s="198"/>
      <c r="G693" s="155"/>
      <c r="H693" s="155"/>
      <c r="I693" s="156"/>
      <c r="J693" s="156"/>
      <c r="K693" s="156"/>
      <c r="L693" s="156"/>
      <c r="M693" s="156"/>
      <c r="N693" s="156"/>
      <c r="O693" s="156"/>
      <c r="P693" s="156"/>
      <c r="Q693" s="155"/>
      <c r="R693" s="190"/>
      <c r="S693" s="191"/>
    </row>
    <row r="694" ht="29.25" hidden="1" customHeight="1">
      <c r="A694" s="155"/>
      <c r="B694" s="155"/>
      <c r="C694" s="155"/>
      <c r="D694" s="155"/>
      <c r="E694" s="155"/>
      <c r="F694" s="198"/>
      <c r="G694" s="155"/>
      <c r="H694" s="155"/>
      <c r="I694" s="156"/>
      <c r="J694" s="156"/>
      <c r="K694" s="156"/>
      <c r="L694" s="156"/>
      <c r="M694" s="156"/>
      <c r="N694" s="156"/>
      <c r="O694" s="156"/>
      <c r="P694" s="156"/>
      <c r="Q694" s="155"/>
      <c r="R694" s="190"/>
      <c r="S694" s="191"/>
    </row>
    <row r="695" ht="29.25" hidden="1" customHeight="1">
      <c r="A695" s="155"/>
      <c r="B695" s="155"/>
      <c r="C695" s="155"/>
      <c r="D695" s="155"/>
      <c r="E695" s="155"/>
      <c r="F695" s="198"/>
      <c r="G695" s="155"/>
      <c r="H695" s="155"/>
      <c r="I695" s="156"/>
      <c r="J695" s="156"/>
      <c r="K695" s="156"/>
      <c r="L695" s="156"/>
      <c r="M695" s="156"/>
      <c r="N695" s="156"/>
      <c r="O695" s="156"/>
      <c r="P695" s="156"/>
      <c r="Q695" s="155"/>
      <c r="R695" s="190"/>
      <c r="S695" s="191"/>
    </row>
    <row r="696" ht="29.25" hidden="1" customHeight="1">
      <c r="A696" s="155"/>
      <c r="B696" s="155"/>
      <c r="C696" s="155"/>
      <c r="D696" s="155"/>
      <c r="E696" s="155"/>
      <c r="F696" s="198"/>
      <c r="G696" s="155"/>
      <c r="H696" s="155"/>
      <c r="I696" s="156"/>
      <c r="J696" s="156"/>
      <c r="K696" s="156"/>
      <c r="L696" s="156"/>
      <c r="M696" s="156"/>
      <c r="N696" s="156"/>
      <c r="O696" s="156"/>
      <c r="P696" s="156"/>
      <c r="Q696" s="155"/>
      <c r="R696" s="190"/>
      <c r="S696" s="191"/>
    </row>
    <row r="697" ht="29.25" hidden="1" customHeight="1">
      <c r="A697" s="155"/>
      <c r="B697" s="155"/>
      <c r="C697" s="155"/>
      <c r="D697" s="155"/>
      <c r="E697" s="155"/>
      <c r="F697" s="198"/>
      <c r="G697" s="155"/>
      <c r="H697" s="155"/>
      <c r="I697" s="156"/>
      <c r="J697" s="156"/>
      <c r="K697" s="156"/>
      <c r="L697" s="156"/>
      <c r="M697" s="156"/>
      <c r="N697" s="156"/>
      <c r="O697" s="156"/>
      <c r="P697" s="156"/>
      <c r="Q697" s="155"/>
      <c r="R697" s="190"/>
      <c r="S697" s="191"/>
    </row>
    <row r="698" ht="29.25" hidden="1" customHeight="1">
      <c r="A698" s="155"/>
      <c r="B698" s="155"/>
      <c r="C698" s="155"/>
      <c r="D698" s="155"/>
      <c r="E698" s="155"/>
      <c r="F698" s="198"/>
      <c r="G698" s="155"/>
      <c r="H698" s="155"/>
      <c r="I698" s="156"/>
      <c r="J698" s="156"/>
      <c r="K698" s="156"/>
      <c r="L698" s="156"/>
      <c r="M698" s="156"/>
      <c r="N698" s="156"/>
      <c r="O698" s="156"/>
      <c r="P698" s="156"/>
      <c r="Q698" s="155"/>
      <c r="R698" s="190"/>
      <c r="S698" s="191"/>
    </row>
    <row r="699" ht="29.25" hidden="1" customHeight="1">
      <c r="A699" s="155"/>
      <c r="B699" s="155"/>
      <c r="C699" s="155"/>
      <c r="D699" s="155"/>
      <c r="E699" s="155"/>
      <c r="F699" s="198"/>
      <c r="G699" s="155"/>
      <c r="H699" s="155"/>
      <c r="I699" s="156"/>
      <c r="J699" s="156"/>
      <c r="K699" s="156"/>
      <c r="L699" s="156"/>
      <c r="M699" s="156"/>
      <c r="N699" s="156"/>
      <c r="O699" s="156"/>
      <c r="P699" s="156"/>
      <c r="Q699" s="155"/>
      <c r="R699" s="190"/>
      <c r="S699" s="191"/>
    </row>
    <row r="700" ht="29.25" hidden="1" customHeight="1">
      <c r="A700" s="155"/>
      <c r="B700" s="155"/>
      <c r="C700" s="155"/>
      <c r="D700" s="155"/>
      <c r="E700" s="155"/>
      <c r="F700" s="198"/>
      <c r="G700" s="155"/>
      <c r="H700" s="155"/>
      <c r="I700" s="156"/>
      <c r="J700" s="156"/>
      <c r="K700" s="156"/>
      <c r="L700" s="156"/>
      <c r="M700" s="156"/>
      <c r="N700" s="156"/>
      <c r="O700" s="156"/>
      <c r="P700" s="156"/>
      <c r="Q700" s="155"/>
      <c r="R700" s="190"/>
      <c r="S700" s="191"/>
    </row>
    <row r="701" ht="29.25" hidden="1" customHeight="1">
      <c r="A701" s="155"/>
      <c r="B701" s="155"/>
      <c r="C701" s="155"/>
      <c r="D701" s="155"/>
      <c r="E701" s="155"/>
      <c r="F701" s="198"/>
      <c r="G701" s="155"/>
      <c r="H701" s="155"/>
      <c r="I701" s="156"/>
      <c r="J701" s="156"/>
      <c r="K701" s="156"/>
      <c r="L701" s="156"/>
      <c r="M701" s="156"/>
      <c r="N701" s="156"/>
      <c r="O701" s="156"/>
      <c r="P701" s="156"/>
      <c r="Q701" s="155"/>
      <c r="R701" s="190"/>
      <c r="S701" s="191"/>
    </row>
    <row r="702" ht="29.25" hidden="1" customHeight="1">
      <c r="A702" s="155"/>
      <c r="B702" s="155"/>
      <c r="C702" s="155"/>
      <c r="D702" s="155"/>
      <c r="E702" s="155"/>
      <c r="F702" s="198"/>
      <c r="G702" s="155"/>
      <c r="H702" s="155"/>
      <c r="I702" s="156"/>
      <c r="J702" s="156"/>
      <c r="K702" s="156"/>
      <c r="L702" s="156"/>
      <c r="M702" s="156"/>
      <c r="N702" s="156"/>
      <c r="O702" s="156"/>
      <c r="P702" s="156"/>
      <c r="Q702" s="155"/>
      <c r="R702" s="190"/>
      <c r="S702" s="191"/>
    </row>
    <row r="703" ht="29.25" hidden="1" customHeight="1">
      <c r="A703" s="155"/>
      <c r="B703" s="155"/>
      <c r="C703" s="155"/>
      <c r="D703" s="155"/>
      <c r="E703" s="155"/>
      <c r="F703" s="198"/>
      <c r="G703" s="155"/>
      <c r="H703" s="155"/>
      <c r="I703" s="156"/>
      <c r="J703" s="156"/>
      <c r="K703" s="156"/>
      <c r="L703" s="156"/>
      <c r="M703" s="156"/>
      <c r="N703" s="156"/>
      <c r="O703" s="156"/>
      <c r="P703" s="156"/>
      <c r="Q703" s="155"/>
      <c r="R703" s="190"/>
      <c r="S703" s="191"/>
    </row>
    <row r="704" ht="29.25" hidden="1" customHeight="1">
      <c r="A704" s="155"/>
      <c r="B704" s="155"/>
      <c r="C704" s="155"/>
      <c r="D704" s="155"/>
      <c r="E704" s="155"/>
      <c r="F704" s="198"/>
      <c r="G704" s="155"/>
      <c r="H704" s="155"/>
      <c r="I704" s="156"/>
      <c r="J704" s="156"/>
      <c r="K704" s="156"/>
      <c r="L704" s="156"/>
      <c r="M704" s="156"/>
      <c r="N704" s="156"/>
      <c r="O704" s="156"/>
      <c r="P704" s="156"/>
      <c r="Q704" s="155"/>
      <c r="R704" s="190"/>
      <c r="S704" s="191"/>
    </row>
    <row r="705" ht="29.25" hidden="1" customHeight="1">
      <c r="A705" s="155"/>
      <c r="B705" s="155"/>
      <c r="C705" s="155"/>
      <c r="D705" s="155"/>
      <c r="E705" s="155"/>
      <c r="F705" s="198"/>
      <c r="G705" s="155"/>
      <c r="H705" s="155"/>
      <c r="I705" s="156"/>
      <c r="J705" s="156"/>
      <c r="K705" s="156"/>
      <c r="L705" s="156"/>
      <c r="M705" s="156"/>
      <c r="N705" s="156"/>
      <c r="O705" s="156"/>
      <c r="P705" s="156"/>
      <c r="Q705" s="155"/>
      <c r="R705" s="190"/>
      <c r="S705" s="191"/>
    </row>
    <row r="706" ht="29.25" hidden="1" customHeight="1">
      <c r="A706" s="155"/>
      <c r="B706" s="155"/>
      <c r="C706" s="155"/>
      <c r="D706" s="155"/>
      <c r="E706" s="155"/>
      <c r="F706" s="198"/>
      <c r="G706" s="155"/>
      <c r="H706" s="155"/>
      <c r="I706" s="156"/>
      <c r="J706" s="156"/>
      <c r="K706" s="156"/>
      <c r="L706" s="156"/>
      <c r="M706" s="156"/>
      <c r="N706" s="156"/>
      <c r="O706" s="156"/>
      <c r="P706" s="156"/>
      <c r="Q706" s="155"/>
      <c r="R706" s="190"/>
      <c r="S706" s="191"/>
    </row>
    <row r="707" ht="29.25" hidden="1" customHeight="1">
      <c r="A707" s="155"/>
      <c r="B707" s="155"/>
      <c r="C707" s="155"/>
      <c r="D707" s="155"/>
      <c r="E707" s="155"/>
      <c r="F707" s="198"/>
      <c r="G707" s="155"/>
      <c r="H707" s="155"/>
      <c r="I707" s="156"/>
      <c r="J707" s="156"/>
      <c r="K707" s="156"/>
      <c r="L707" s="156"/>
      <c r="M707" s="156"/>
      <c r="N707" s="156"/>
      <c r="O707" s="156"/>
      <c r="P707" s="156"/>
      <c r="Q707" s="155"/>
      <c r="R707" s="190"/>
      <c r="S707" s="191"/>
    </row>
    <row r="708" ht="29.25" hidden="1" customHeight="1">
      <c r="A708" s="155"/>
      <c r="B708" s="155"/>
      <c r="C708" s="155"/>
      <c r="D708" s="155"/>
      <c r="E708" s="155"/>
      <c r="F708" s="198"/>
      <c r="G708" s="155"/>
      <c r="H708" s="155"/>
      <c r="I708" s="156"/>
      <c r="J708" s="156"/>
      <c r="K708" s="156"/>
      <c r="L708" s="156"/>
      <c r="M708" s="156"/>
      <c r="N708" s="156"/>
      <c r="O708" s="156"/>
      <c r="P708" s="156"/>
      <c r="Q708" s="155"/>
      <c r="R708" s="190"/>
      <c r="S708" s="191"/>
    </row>
    <row r="709" ht="29.25" hidden="1" customHeight="1">
      <c r="A709" s="155"/>
      <c r="B709" s="155"/>
      <c r="C709" s="155"/>
      <c r="D709" s="155"/>
      <c r="E709" s="155"/>
      <c r="F709" s="198"/>
      <c r="G709" s="155"/>
      <c r="H709" s="155"/>
      <c r="I709" s="156"/>
      <c r="J709" s="156"/>
      <c r="K709" s="156"/>
      <c r="L709" s="156"/>
      <c r="M709" s="156"/>
      <c r="N709" s="156"/>
      <c r="O709" s="156"/>
      <c r="P709" s="156"/>
      <c r="Q709" s="155"/>
      <c r="R709" s="190"/>
      <c r="S709" s="191"/>
    </row>
    <row r="710" ht="29.25" hidden="1" customHeight="1">
      <c r="A710" s="155"/>
      <c r="B710" s="155"/>
      <c r="C710" s="155"/>
      <c r="D710" s="155"/>
      <c r="E710" s="155"/>
      <c r="F710" s="198"/>
      <c r="G710" s="155"/>
      <c r="H710" s="155"/>
      <c r="I710" s="156"/>
      <c r="J710" s="156"/>
      <c r="K710" s="156"/>
      <c r="L710" s="156"/>
      <c r="M710" s="156"/>
      <c r="N710" s="156"/>
      <c r="O710" s="156"/>
      <c r="P710" s="156"/>
      <c r="Q710" s="155"/>
      <c r="R710" s="190"/>
      <c r="S710" s="191"/>
    </row>
    <row r="711" ht="29.25" hidden="1" customHeight="1">
      <c r="A711" s="155"/>
      <c r="B711" s="155"/>
      <c r="C711" s="155"/>
      <c r="D711" s="155"/>
      <c r="E711" s="155"/>
      <c r="F711" s="198"/>
      <c r="G711" s="155"/>
      <c r="H711" s="155"/>
      <c r="I711" s="156"/>
      <c r="J711" s="156"/>
      <c r="K711" s="156"/>
      <c r="L711" s="156"/>
      <c r="M711" s="156"/>
      <c r="N711" s="156"/>
      <c r="O711" s="156"/>
      <c r="P711" s="156"/>
      <c r="Q711" s="155"/>
      <c r="R711" s="190"/>
      <c r="S711" s="191"/>
    </row>
    <row r="712" ht="29.25" hidden="1" customHeight="1">
      <c r="A712" s="155"/>
      <c r="B712" s="155"/>
      <c r="C712" s="155"/>
      <c r="D712" s="155"/>
      <c r="E712" s="155"/>
      <c r="F712" s="198"/>
      <c r="G712" s="155"/>
      <c r="H712" s="155"/>
      <c r="I712" s="156"/>
      <c r="J712" s="156"/>
      <c r="K712" s="156"/>
      <c r="L712" s="156"/>
      <c r="M712" s="156"/>
      <c r="N712" s="156"/>
      <c r="O712" s="156"/>
      <c r="P712" s="156"/>
      <c r="Q712" s="155"/>
      <c r="R712" s="190"/>
      <c r="S712" s="191"/>
    </row>
    <row r="713" ht="29.25" hidden="1" customHeight="1">
      <c r="A713" s="155"/>
      <c r="B713" s="155"/>
      <c r="C713" s="155"/>
      <c r="D713" s="155"/>
      <c r="E713" s="155"/>
      <c r="F713" s="198"/>
      <c r="G713" s="155"/>
      <c r="H713" s="155"/>
      <c r="I713" s="156"/>
      <c r="J713" s="156"/>
      <c r="K713" s="156"/>
      <c r="L713" s="156"/>
      <c r="M713" s="156"/>
      <c r="N713" s="156"/>
      <c r="O713" s="156"/>
      <c r="P713" s="156"/>
      <c r="Q713" s="155"/>
      <c r="R713" s="190"/>
      <c r="S713" s="191"/>
    </row>
    <row r="714" ht="29.25" hidden="1" customHeight="1">
      <c r="A714" s="155"/>
      <c r="B714" s="155"/>
      <c r="C714" s="155"/>
      <c r="D714" s="155"/>
      <c r="E714" s="155"/>
      <c r="F714" s="198"/>
      <c r="G714" s="155"/>
      <c r="H714" s="155"/>
      <c r="I714" s="156"/>
      <c r="J714" s="156"/>
      <c r="K714" s="156"/>
      <c r="L714" s="156"/>
      <c r="M714" s="156"/>
      <c r="N714" s="156"/>
      <c r="O714" s="156"/>
      <c r="P714" s="156"/>
      <c r="Q714" s="155"/>
      <c r="R714" s="190"/>
      <c r="S714" s="191"/>
    </row>
    <row r="715" ht="29.25" hidden="1" customHeight="1">
      <c r="A715" s="155"/>
      <c r="B715" s="155"/>
      <c r="C715" s="155"/>
      <c r="D715" s="155"/>
      <c r="E715" s="155"/>
      <c r="F715" s="198"/>
      <c r="G715" s="155"/>
      <c r="H715" s="155"/>
      <c r="I715" s="156"/>
      <c r="J715" s="156"/>
      <c r="K715" s="156"/>
      <c r="L715" s="156"/>
      <c r="M715" s="156"/>
      <c r="N715" s="156"/>
      <c r="O715" s="156"/>
      <c r="P715" s="156"/>
      <c r="Q715" s="155"/>
      <c r="R715" s="190"/>
      <c r="S715" s="191"/>
    </row>
    <row r="716" ht="29.25" hidden="1" customHeight="1">
      <c r="A716" s="155"/>
      <c r="B716" s="155"/>
      <c r="C716" s="155"/>
      <c r="D716" s="155"/>
      <c r="E716" s="155"/>
      <c r="F716" s="198"/>
      <c r="G716" s="155"/>
      <c r="H716" s="155"/>
      <c r="I716" s="156"/>
      <c r="J716" s="156"/>
      <c r="K716" s="156"/>
      <c r="L716" s="156"/>
      <c r="M716" s="156"/>
      <c r="N716" s="156"/>
      <c r="O716" s="156"/>
      <c r="P716" s="156"/>
      <c r="Q716" s="155"/>
      <c r="R716" s="190"/>
      <c r="S716" s="191"/>
    </row>
    <row r="717" ht="29.25" hidden="1" customHeight="1">
      <c r="A717" s="155"/>
      <c r="B717" s="155"/>
      <c r="C717" s="155"/>
      <c r="D717" s="155"/>
      <c r="E717" s="155"/>
      <c r="F717" s="198"/>
      <c r="G717" s="155"/>
      <c r="H717" s="155"/>
      <c r="I717" s="156"/>
      <c r="J717" s="156"/>
      <c r="K717" s="156"/>
      <c r="L717" s="156"/>
      <c r="M717" s="156"/>
      <c r="N717" s="156"/>
      <c r="O717" s="156"/>
      <c r="P717" s="156"/>
      <c r="Q717" s="155"/>
      <c r="R717" s="190"/>
      <c r="S717" s="191"/>
    </row>
    <row r="718" ht="29.25" hidden="1" customHeight="1">
      <c r="A718" s="155"/>
      <c r="B718" s="155"/>
      <c r="C718" s="155"/>
      <c r="D718" s="155"/>
      <c r="E718" s="155"/>
      <c r="F718" s="198"/>
      <c r="G718" s="155"/>
      <c r="H718" s="155"/>
      <c r="I718" s="156"/>
      <c r="J718" s="156"/>
      <c r="K718" s="156"/>
      <c r="L718" s="156"/>
      <c r="M718" s="156"/>
      <c r="N718" s="156"/>
      <c r="O718" s="156"/>
      <c r="P718" s="156"/>
      <c r="Q718" s="155"/>
      <c r="R718" s="190"/>
      <c r="S718" s="191"/>
    </row>
    <row r="719" ht="29.25" hidden="1" customHeight="1">
      <c r="A719" s="155"/>
      <c r="B719" s="155"/>
      <c r="C719" s="155"/>
      <c r="D719" s="155"/>
      <c r="E719" s="155"/>
      <c r="F719" s="198"/>
      <c r="G719" s="155"/>
      <c r="H719" s="155"/>
      <c r="I719" s="156"/>
      <c r="J719" s="156"/>
      <c r="K719" s="156"/>
      <c r="L719" s="156"/>
      <c r="M719" s="156"/>
      <c r="N719" s="156"/>
      <c r="O719" s="156"/>
      <c r="P719" s="156"/>
      <c r="Q719" s="155"/>
      <c r="R719" s="190"/>
      <c r="S719" s="191"/>
    </row>
    <row r="720" ht="29.25" hidden="1" customHeight="1">
      <c r="A720" s="155"/>
      <c r="B720" s="155"/>
      <c r="C720" s="155"/>
      <c r="D720" s="155"/>
      <c r="E720" s="155"/>
      <c r="F720" s="198"/>
      <c r="G720" s="155"/>
      <c r="H720" s="155"/>
      <c r="I720" s="156"/>
      <c r="J720" s="156"/>
      <c r="K720" s="156"/>
      <c r="L720" s="156"/>
      <c r="M720" s="156"/>
      <c r="N720" s="156"/>
      <c r="O720" s="156"/>
      <c r="P720" s="156"/>
      <c r="Q720" s="155"/>
      <c r="R720" s="190"/>
      <c r="S720" s="191"/>
    </row>
    <row r="721" ht="29.25" hidden="1" customHeight="1">
      <c r="A721" s="155"/>
      <c r="B721" s="155"/>
      <c r="C721" s="155"/>
      <c r="D721" s="155"/>
      <c r="E721" s="155"/>
      <c r="F721" s="198"/>
      <c r="G721" s="155"/>
      <c r="H721" s="155"/>
      <c r="I721" s="156"/>
      <c r="J721" s="156"/>
      <c r="K721" s="156"/>
      <c r="L721" s="156"/>
      <c r="M721" s="156"/>
      <c r="N721" s="156"/>
      <c r="O721" s="156"/>
      <c r="P721" s="156"/>
      <c r="Q721" s="155"/>
      <c r="R721" s="190"/>
      <c r="S721" s="191"/>
    </row>
    <row r="722" ht="29.25" hidden="1" customHeight="1">
      <c r="A722" s="155"/>
      <c r="B722" s="155"/>
      <c r="C722" s="155"/>
      <c r="D722" s="155"/>
      <c r="E722" s="155"/>
      <c r="F722" s="198"/>
      <c r="G722" s="155"/>
      <c r="H722" s="155"/>
      <c r="I722" s="156"/>
      <c r="J722" s="156"/>
      <c r="K722" s="156"/>
      <c r="L722" s="156"/>
      <c r="M722" s="156"/>
      <c r="N722" s="156"/>
      <c r="O722" s="156"/>
      <c r="P722" s="156"/>
      <c r="Q722" s="155"/>
      <c r="R722" s="190"/>
      <c r="S722" s="191"/>
    </row>
    <row r="723" ht="29.25" hidden="1" customHeight="1">
      <c r="A723" s="155"/>
      <c r="B723" s="155"/>
      <c r="C723" s="155"/>
      <c r="D723" s="155"/>
      <c r="E723" s="155"/>
      <c r="F723" s="198"/>
      <c r="G723" s="155"/>
      <c r="H723" s="155"/>
      <c r="I723" s="156"/>
      <c r="J723" s="156"/>
      <c r="K723" s="156"/>
      <c r="L723" s="156"/>
      <c r="M723" s="156"/>
      <c r="N723" s="156"/>
      <c r="O723" s="156"/>
      <c r="P723" s="156"/>
      <c r="Q723" s="155"/>
      <c r="R723" s="190"/>
      <c r="S723" s="191"/>
    </row>
    <row r="724" ht="29.25" hidden="1" customHeight="1">
      <c r="A724" s="155"/>
      <c r="B724" s="155"/>
      <c r="C724" s="155"/>
      <c r="D724" s="155"/>
      <c r="E724" s="155"/>
      <c r="F724" s="198"/>
      <c r="G724" s="155"/>
      <c r="H724" s="155"/>
      <c r="I724" s="156"/>
      <c r="J724" s="156"/>
      <c r="K724" s="156"/>
      <c r="L724" s="156"/>
      <c r="M724" s="156"/>
      <c r="N724" s="156"/>
      <c r="O724" s="156"/>
      <c r="P724" s="156"/>
      <c r="Q724" s="155"/>
      <c r="R724" s="190"/>
      <c r="S724" s="191"/>
    </row>
    <row r="725" ht="29.25" hidden="1" customHeight="1">
      <c r="A725" s="155"/>
      <c r="B725" s="155"/>
      <c r="C725" s="155"/>
      <c r="D725" s="155"/>
      <c r="E725" s="155"/>
      <c r="F725" s="198"/>
      <c r="G725" s="155"/>
      <c r="H725" s="155"/>
      <c r="I725" s="156"/>
      <c r="J725" s="156"/>
      <c r="K725" s="156"/>
      <c r="L725" s="156"/>
      <c r="M725" s="156"/>
      <c r="N725" s="156"/>
      <c r="O725" s="156"/>
      <c r="P725" s="156"/>
      <c r="Q725" s="155"/>
      <c r="R725" s="190"/>
      <c r="S725" s="191"/>
    </row>
    <row r="726" ht="29.25" hidden="1" customHeight="1">
      <c r="A726" s="155"/>
      <c r="B726" s="155"/>
      <c r="C726" s="155"/>
      <c r="D726" s="155"/>
      <c r="E726" s="155"/>
      <c r="F726" s="198"/>
      <c r="G726" s="155"/>
      <c r="H726" s="155"/>
      <c r="I726" s="156"/>
      <c r="J726" s="156"/>
      <c r="K726" s="156"/>
      <c r="L726" s="156"/>
      <c r="M726" s="156"/>
      <c r="N726" s="156"/>
      <c r="O726" s="156"/>
      <c r="P726" s="156"/>
      <c r="Q726" s="155"/>
      <c r="R726" s="190"/>
      <c r="S726" s="191"/>
    </row>
    <row r="727" ht="29.25" hidden="1" customHeight="1">
      <c r="A727" s="155"/>
      <c r="B727" s="155"/>
      <c r="C727" s="155"/>
      <c r="D727" s="155"/>
      <c r="E727" s="155"/>
      <c r="F727" s="198"/>
      <c r="G727" s="155"/>
      <c r="H727" s="155"/>
      <c r="I727" s="156"/>
      <c r="J727" s="156"/>
      <c r="K727" s="156"/>
      <c r="L727" s="156"/>
      <c r="M727" s="156"/>
      <c r="N727" s="156"/>
      <c r="O727" s="156"/>
      <c r="P727" s="156"/>
      <c r="Q727" s="155"/>
      <c r="R727" s="190"/>
      <c r="S727" s="191"/>
    </row>
    <row r="728" ht="29.25" hidden="1" customHeight="1">
      <c r="A728" s="155"/>
      <c r="B728" s="155"/>
      <c r="C728" s="155"/>
      <c r="D728" s="155"/>
      <c r="E728" s="155"/>
      <c r="F728" s="198"/>
      <c r="G728" s="155"/>
      <c r="H728" s="155"/>
      <c r="I728" s="156"/>
      <c r="J728" s="156"/>
      <c r="K728" s="156"/>
      <c r="L728" s="156"/>
      <c r="M728" s="156"/>
      <c r="N728" s="156"/>
      <c r="O728" s="156"/>
      <c r="P728" s="156"/>
      <c r="Q728" s="155"/>
      <c r="R728" s="190"/>
      <c r="S728" s="191"/>
    </row>
    <row r="729" ht="29.25" hidden="1" customHeight="1">
      <c r="A729" s="155"/>
      <c r="B729" s="155"/>
      <c r="C729" s="155"/>
      <c r="D729" s="155"/>
      <c r="E729" s="155"/>
      <c r="F729" s="198"/>
      <c r="G729" s="155"/>
      <c r="H729" s="155"/>
      <c r="I729" s="156"/>
      <c r="J729" s="156"/>
      <c r="K729" s="156"/>
      <c r="L729" s="156"/>
      <c r="M729" s="156"/>
      <c r="N729" s="156"/>
      <c r="O729" s="156"/>
      <c r="P729" s="156"/>
      <c r="Q729" s="155"/>
      <c r="R729" s="190"/>
      <c r="S729" s="191"/>
    </row>
    <row r="730" ht="29.25" hidden="1" customHeight="1">
      <c r="A730" s="155"/>
      <c r="B730" s="155"/>
      <c r="C730" s="155"/>
      <c r="D730" s="155"/>
      <c r="E730" s="155"/>
      <c r="F730" s="198"/>
      <c r="G730" s="155"/>
      <c r="H730" s="155"/>
      <c r="I730" s="156"/>
      <c r="J730" s="156"/>
      <c r="K730" s="156"/>
      <c r="L730" s="156"/>
      <c r="M730" s="156"/>
      <c r="N730" s="156"/>
      <c r="O730" s="156"/>
      <c r="P730" s="156"/>
      <c r="Q730" s="155"/>
      <c r="R730" s="190"/>
      <c r="S730" s="191"/>
    </row>
    <row r="731" ht="29.25" hidden="1" customHeight="1">
      <c r="A731" s="155"/>
      <c r="B731" s="155"/>
      <c r="C731" s="155"/>
      <c r="D731" s="155"/>
      <c r="E731" s="155"/>
      <c r="F731" s="198"/>
      <c r="G731" s="155"/>
      <c r="H731" s="155"/>
      <c r="I731" s="156"/>
      <c r="J731" s="156"/>
      <c r="K731" s="156"/>
      <c r="L731" s="156"/>
      <c r="M731" s="156"/>
      <c r="N731" s="156"/>
      <c r="O731" s="156"/>
      <c r="P731" s="156"/>
      <c r="Q731" s="155"/>
      <c r="R731" s="190"/>
      <c r="S731" s="191"/>
    </row>
    <row r="732" ht="29.25" hidden="1" customHeight="1">
      <c r="A732" s="155"/>
      <c r="B732" s="155"/>
      <c r="C732" s="155"/>
      <c r="D732" s="155"/>
      <c r="E732" s="155"/>
      <c r="F732" s="198"/>
      <c r="G732" s="155"/>
      <c r="H732" s="155"/>
      <c r="I732" s="156"/>
      <c r="J732" s="156"/>
      <c r="K732" s="156"/>
      <c r="L732" s="156"/>
      <c r="M732" s="156"/>
      <c r="N732" s="156"/>
      <c r="O732" s="156"/>
      <c r="P732" s="156"/>
      <c r="Q732" s="155"/>
      <c r="R732" s="190"/>
      <c r="S732" s="191"/>
    </row>
    <row r="733" ht="29.25" hidden="1" customHeight="1">
      <c r="A733" s="155"/>
      <c r="B733" s="155"/>
      <c r="C733" s="155"/>
      <c r="D733" s="155"/>
      <c r="E733" s="155"/>
      <c r="F733" s="198"/>
      <c r="G733" s="155"/>
      <c r="H733" s="155"/>
      <c r="I733" s="156"/>
      <c r="J733" s="156"/>
      <c r="K733" s="156"/>
      <c r="L733" s="156"/>
      <c r="M733" s="156"/>
      <c r="N733" s="156"/>
      <c r="O733" s="156"/>
      <c r="P733" s="156"/>
      <c r="Q733" s="155"/>
      <c r="R733" s="190"/>
      <c r="S733" s="191"/>
    </row>
    <row r="734" ht="29.25" hidden="1" customHeight="1">
      <c r="A734" s="155"/>
      <c r="B734" s="155"/>
      <c r="C734" s="155"/>
      <c r="D734" s="155"/>
      <c r="E734" s="155"/>
      <c r="F734" s="198"/>
      <c r="G734" s="155"/>
      <c r="H734" s="155"/>
      <c r="I734" s="156"/>
      <c r="J734" s="156"/>
      <c r="K734" s="156"/>
      <c r="L734" s="156"/>
      <c r="M734" s="156"/>
      <c r="N734" s="156"/>
      <c r="O734" s="156"/>
      <c r="P734" s="156"/>
      <c r="Q734" s="155"/>
      <c r="R734" s="190"/>
      <c r="S734" s="191"/>
    </row>
    <row r="735" ht="29.25" hidden="1" customHeight="1">
      <c r="A735" s="155"/>
      <c r="B735" s="155"/>
      <c r="C735" s="155"/>
      <c r="D735" s="155"/>
      <c r="E735" s="155"/>
      <c r="F735" s="198"/>
      <c r="G735" s="155"/>
      <c r="H735" s="155"/>
      <c r="I735" s="156"/>
      <c r="J735" s="156"/>
      <c r="K735" s="156"/>
      <c r="L735" s="156"/>
      <c r="M735" s="156"/>
      <c r="N735" s="156"/>
      <c r="O735" s="156"/>
      <c r="P735" s="156"/>
      <c r="Q735" s="155"/>
      <c r="R735" s="190"/>
      <c r="S735" s="191"/>
    </row>
    <row r="736" ht="29.25" hidden="1" customHeight="1">
      <c r="A736" s="155"/>
      <c r="B736" s="155"/>
      <c r="C736" s="155"/>
      <c r="D736" s="155"/>
      <c r="E736" s="155"/>
      <c r="F736" s="198"/>
      <c r="G736" s="155"/>
      <c r="H736" s="155"/>
      <c r="I736" s="156"/>
      <c r="J736" s="156"/>
      <c r="K736" s="156"/>
      <c r="L736" s="156"/>
      <c r="M736" s="156"/>
      <c r="N736" s="156"/>
      <c r="O736" s="156"/>
      <c r="P736" s="156"/>
      <c r="Q736" s="155"/>
      <c r="R736" s="190"/>
      <c r="S736" s="191"/>
    </row>
    <row r="737" ht="29.25" hidden="1" customHeight="1">
      <c r="A737" s="155"/>
      <c r="B737" s="155"/>
      <c r="C737" s="155"/>
      <c r="D737" s="155"/>
      <c r="E737" s="155"/>
      <c r="F737" s="198"/>
      <c r="G737" s="155"/>
      <c r="H737" s="155"/>
      <c r="I737" s="156"/>
      <c r="J737" s="156"/>
      <c r="K737" s="156"/>
      <c r="L737" s="156"/>
      <c r="M737" s="156"/>
      <c r="N737" s="156"/>
      <c r="O737" s="156"/>
      <c r="P737" s="156"/>
      <c r="Q737" s="155"/>
      <c r="R737" s="190"/>
      <c r="S737" s="191"/>
    </row>
    <row r="738" ht="29.25" hidden="1" customHeight="1">
      <c r="A738" s="155"/>
      <c r="B738" s="155"/>
      <c r="C738" s="155"/>
      <c r="D738" s="155"/>
      <c r="E738" s="155"/>
      <c r="F738" s="198"/>
      <c r="G738" s="155"/>
      <c r="H738" s="155"/>
      <c r="I738" s="156"/>
      <c r="J738" s="156"/>
      <c r="K738" s="156"/>
      <c r="L738" s="156"/>
      <c r="M738" s="156"/>
      <c r="N738" s="156"/>
      <c r="O738" s="156"/>
      <c r="P738" s="156"/>
      <c r="Q738" s="155"/>
      <c r="R738" s="190"/>
      <c r="S738" s="191"/>
    </row>
    <row r="739" ht="29.25" hidden="1" customHeight="1">
      <c r="A739" s="155"/>
      <c r="B739" s="155"/>
      <c r="C739" s="155"/>
      <c r="D739" s="155"/>
      <c r="E739" s="155"/>
      <c r="F739" s="198"/>
      <c r="G739" s="155"/>
      <c r="H739" s="155"/>
      <c r="I739" s="156"/>
      <c r="J739" s="156"/>
      <c r="K739" s="156"/>
      <c r="L739" s="156"/>
      <c r="M739" s="156"/>
      <c r="N739" s="156"/>
      <c r="O739" s="156"/>
      <c r="P739" s="156"/>
      <c r="Q739" s="155"/>
      <c r="R739" s="190"/>
      <c r="S739" s="191"/>
    </row>
    <row r="740" ht="29.25" hidden="1" customHeight="1">
      <c r="A740" s="155"/>
      <c r="B740" s="155"/>
      <c r="C740" s="155"/>
      <c r="D740" s="155"/>
      <c r="E740" s="155"/>
      <c r="F740" s="198"/>
      <c r="G740" s="155"/>
      <c r="H740" s="155"/>
      <c r="I740" s="156"/>
      <c r="J740" s="156"/>
      <c r="K740" s="156"/>
      <c r="L740" s="156"/>
      <c r="M740" s="156"/>
      <c r="N740" s="156"/>
      <c r="O740" s="156"/>
      <c r="P740" s="156"/>
      <c r="Q740" s="155"/>
      <c r="R740" s="190"/>
      <c r="S740" s="191"/>
    </row>
    <row r="741" ht="29.25" hidden="1" customHeight="1">
      <c r="A741" s="155"/>
      <c r="B741" s="155"/>
      <c r="C741" s="155"/>
      <c r="D741" s="155"/>
      <c r="E741" s="155"/>
      <c r="F741" s="198"/>
      <c r="G741" s="155"/>
      <c r="H741" s="155"/>
      <c r="I741" s="156"/>
      <c r="J741" s="156"/>
      <c r="K741" s="156"/>
      <c r="L741" s="156"/>
      <c r="M741" s="156"/>
      <c r="N741" s="156"/>
      <c r="O741" s="156"/>
      <c r="P741" s="156"/>
      <c r="Q741" s="155"/>
      <c r="R741" s="190"/>
      <c r="S741" s="191"/>
    </row>
    <row r="742" ht="29.25" hidden="1" customHeight="1">
      <c r="A742" s="155"/>
      <c r="B742" s="155"/>
      <c r="C742" s="155"/>
      <c r="D742" s="155"/>
      <c r="E742" s="155"/>
      <c r="F742" s="198"/>
      <c r="G742" s="155"/>
      <c r="H742" s="155"/>
      <c r="I742" s="156"/>
      <c r="J742" s="156"/>
      <c r="K742" s="156"/>
      <c r="L742" s="156"/>
      <c r="M742" s="156"/>
      <c r="N742" s="156"/>
      <c r="O742" s="156"/>
      <c r="P742" s="156"/>
      <c r="Q742" s="155"/>
      <c r="R742" s="190"/>
      <c r="S742" s="191"/>
    </row>
    <row r="743" ht="29.25" hidden="1" customHeight="1">
      <c r="A743" s="155"/>
      <c r="B743" s="155"/>
      <c r="C743" s="155"/>
      <c r="D743" s="155"/>
      <c r="E743" s="155"/>
      <c r="F743" s="198"/>
      <c r="G743" s="155"/>
      <c r="H743" s="155"/>
      <c r="I743" s="156"/>
      <c r="J743" s="156"/>
      <c r="K743" s="156"/>
      <c r="L743" s="156"/>
      <c r="M743" s="156"/>
      <c r="N743" s="156"/>
      <c r="O743" s="156"/>
      <c r="P743" s="156"/>
      <c r="Q743" s="155"/>
      <c r="R743" s="190"/>
      <c r="S743" s="191"/>
    </row>
    <row r="744" ht="29.25" hidden="1" customHeight="1">
      <c r="A744" s="155"/>
      <c r="B744" s="155"/>
      <c r="C744" s="155"/>
      <c r="D744" s="155"/>
      <c r="E744" s="155"/>
      <c r="F744" s="198"/>
      <c r="G744" s="155"/>
      <c r="H744" s="155"/>
      <c r="I744" s="156"/>
      <c r="J744" s="156"/>
      <c r="K744" s="156"/>
      <c r="L744" s="156"/>
      <c r="M744" s="156"/>
      <c r="N744" s="156"/>
      <c r="O744" s="156"/>
      <c r="P744" s="156"/>
      <c r="Q744" s="155"/>
      <c r="R744" s="190"/>
      <c r="S744" s="191"/>
    </row>
    <row r="745" ht="29.25" hidden="1" customHeight="1">
      <c r="A745" s="155"/>
      <c r="B745" s="155"/>
      <c r="C745" s="155"/>
      <c r="D745" s="155"/>
      <c r="E745" s="155"/>
      <c r="F745" s="198"/>
      <c r="G745" s="155"/>
      <c r="H745" s="155"/>
      <c r="I745" s="156"/>
      <c r="J745" s="156"/>
      <c r="K745" s="156"/>
      <c r="L745" s="156"/>
      <c r="M745" s="156"/>
      <c r="N745" s="156"/>
      <c r="O745" s="156"/>
      <c r="P745" s="156"/>
      <c r="Q745" s="155"/>
      <c r="R745" s="190"/>
      <c r="S745" s="191"/>
    </row>
    <row r="746" ht="29.25" hidden="1" customHeight="1">
      <c r="A746" s="155"/>
      <c r="B746" s="155"/>
      <c r="C746" s="155"/>
      <c r="D746" s="155"/>
      <c r="E746" s="155"/>
      <c r="F746" s="198"/>
      <c r="G746" s="155"/>
      <c r="H746" s="155"/>
      <c r="I746" s="156"/>
      <c r="J746" s="156"/>
      <c r="K746" s="156"/>
      <c r="L746" s="156"/>
      <c r="M746" s="156"/>
      <c r="N746" s="156"/>
      <c r="O746" s="156"/>
      <c r="P746" s="156"/>
      <c r="Q746" s="155"/>
      <c r="R746" s="190"/>
      <c r="S746" s="191"/>
    </row>
    <row r="747" ht="29.25" hidden="1" customHeight="1">
      <c r="A747" s="155"/>
      <c r="B747" s="155"/>
      <c r="C747" s="155"/>
      <c r="D747" s="155"/>
      <c r="E747" s="155"/>
      <c r="F747" s="198"/>
      <c r="G747" s="155"/>
      <c r="H747" s="155"/>
      <c r="I747" s="156"/>
      <c r="J747" s="156"/>
      <c r="K747" s="156"/>
      <c r="L747" s="156"/>
      <c r="M747" s="156"/>
      <c r="N747" s="156"/>
      <c r="O747" s="156"/>
      <c r="P747" s="156"/>
      <c r="Q747" s="155"/>
      <c r="R747" s="190"/>
      <c r="S747" s="191"/>
    </row>
    <row r="748" ht="29.25" hidden="1" customHeight="1">
      <c r="A748" s="155"/>
      <c r="B748" s="155"/>
      <c r="C748" s="155"/>
      <c r="D748" s="155"/>
      <c r="E748" s="155"/>
      <c r="F748" s="198"/>
      <c r="G748" s="155"/>
      <c r="H748" s="155"/>
      <c r="I748" s="156"/>
      <c r="J748" s="156"/>
      <c r="K748" s="156"/>
      <c r="L748" s="156"/>
      <c r="M748" s="156"/>
      <c r="N748" s="156"/>
      <c r="O748" s="156"/>
      <c r="P748" s="156"/>
      <c r="Q748" s="155"/>
      <c r="R748" s="190"/>
      <c r="S748" s="191"/>
    </row>
    <row r="749" ht="29.25" hidden="1" customHeight="1">
      <c r="A749" s="155"/>
      <c r="B749" s="155"/>
      <c r="C749" s="155"/>
      <c r="D749" s="155"/>
      <c r="E749" s="155"/>
      <c r="F749" s="198"/>
      <c r="G749" s="155"/>
      <c r="H749" s="155"/>
      <c r="I749" s="156"/>
      <c r="J749" s="156"/>
      <c r="K749" s="156"/>
      <c r="L749" s="156"/>
      <c r="M749" s="156"/>
      <c r="N749" s="156"/>
      <c r="O749" s="156"/>
      <c r="P749" s="156"/>
      <c r="Q749" s="155"/>
      <c r="R749" s="190"/>
      <c r="S749" s="191"/>
    </row>
    <row r="750" ht="29.25" hidden="1" customHeight="1">
      <c r="A750" s="155"/>
      <c r="B750" s="155"/>
      <c r="C750" s="155"/>
      <c r="D750" s="155"/>
      <c r="E750" s="155"/>
      <c r="F750" s="198"/>
      <c r="G750" s="155"/>
      <c r="H750" s="155"/>
      <c r="I750" s="156"/>
      <c r="J750" s="156"/>
      <c r="K750" s="156"/>
      <c r="L750" s="156"/>
      <c r="M750" s="156"/>
      <c r="N750" s="156"/>
      <c r="O750" s="156"/>
      <c r="P750" s="156"/>
      <c r="Q750" s="155"/>
      <c r="R750" s="190"/>
      <c r="S750" s="191"/>
    </row>
    <row r="751" ht="29.25" hidden="1" customHeight="1">
      <c r="A751" s="155"/>
      <c r="B751" s="155"/>
      <c r="C751" s="155"/>
      <c r="D751" s="155"/>
      <c r="E751" s="155"/>
      <c r="F751" s="198"/>
      <c r="G751" s="155"/>
      <c r="H751" s="155"/>
      <c r="I751" s="156"/>
      <c r="J751" s="156"/>
      <c r="K751" s="156"/>
      <c r="L751" s="156"/>
      <c r="M751" s="156"/>
      <c r="N751" s="156"/>
      <c r="O751" s="156"/>
      <c r="P751" s="156"/>
      <c r="Q751" s="155"/>
      <c r="R751" s="190"/>
      <c r="S751" s="191"/>
    </row>
    <row r="752" ht="29.25" hidden="1" customHeight="1">
      <c r="A752" s="155"/>
      <c r="B752" s="155"/>
      <c r="C752" s="155"/>
      <c r="D752" s="155"/>
      <c r="E752" s="155"/>
      <c r="F752" s="198"/>
      <c r="G752" s="155"/>
      <c r="H752" s="155"/>
      <c r="I752" s="156"/>
      <c r="J752" s="156"/>
      <c r="K752" s="156"/>
      <c r="L752" s="156"/>
      <c r="M752" s="156"/>
      <c r="N752" s="156"/>
      <c r="O752" s="156"/>
      <c r="P752" s="156"/>
      <c r="Q752" s="155"/>
      <c r="R752" s="190"/>
      <c r="S752" s="191"/>
    </row>
    <row r="753" ht="29.25" hidden="1" customHeight="1">
      <c r="A753" s="155"/>
      <c r="B753" s="155"/>
      <c r="C753" s="155"/>
      <c r="D753" s="155"/>
      <c r="E753" s="155"/>
      <c r="F753" s="198"/>
      <c r="G753" s="155"/>
      <c r="H753" s="155"/>
      <c r="I753" s="156"/>
      <c r="J753" s="156"/>
      <c r="K753" s="156"/>
      <c r="L753" s="156"/>
      <c r="M753" s="156"/>
      <c r="N753" s="156"/>
      <c r="O753" s="156"/>
      <c r="P753" s="156"/>
      <c r="Q753" s="155"/>
      <c r="R753" s="190"/>
      <c r="S753" s="191"/>
    </row>
    <row r="754" ht="29.25" hidden="1" customHeight="1">
      <c r="A754" s="155"/>
      <c r="B754" s="155"/>
      <c r="C754" s="155"/>
      <c r="D754" s="155"/>
      <c r="E754" s="155"/>
      <c r="F754" s="198"/>
      <c r="G754" s="155"/>
      <c r="H754" s="155"/>
      <c r="I754" s="156"/>
      <c r="J754" s="156"/>
      <c r="K754" s="156"/>
      <c r="L754" s="156"/>
      <c r="M754" s="156"/>
      <c r="N754" s="156"/>
      <c r="O754" s="156"/>
      <c r="P754" s="156"/>
      <c r="Q754" s="155"/>
      <c r="R754" s="190"/>
      <c r="S754" s="191"/>
    </row>
    <row r="755" ht="29.25" hidden="1" customHeight="1">
      <c r="A755" s="155"/>
      <c r="B755" s="155"/>
      <c r="C755" s="155"/>
      <c r="D755" s="155"/>
      <c r="E755" s="155"/>
      <c r="F755" s="198"/>
      <c r="G755" s="155"/>
      <c r="H755" s="155"/>
      <c r="I755" s="156"/>
      <c r="J755" s="156"/>
      <c r="K755" s="156"/>
      <c r="L755" s="156"/>
      <c r="M755" s="156"/>
      <c r="N755" s="156"/>
      <c r="O755" s="156"/>
      <c r="P755" s="156"/>
      <c r="Q755" s="155"/>
      <c r="R755" s="190"/>
      <c r="S755" s="191"/>
    </row>
    <row r="756" ht="29.25" hidden="1" customHeight="1">
      <c r="A756" s="155"/>
      <c r="B756" s="155"/>
      <c r="C756" s="155"/>
      <c r="D756" s="155"/>
      <c r="E756" s="155"/>
      <c r="F756" s="198"/>
      <c r="G756" s="155"/>
      <c r="H756" s="155"/>
      <c r="I756" s="156"/>
      <c r="J756" s="156"/>
      <c r="K756" s="156"/>
      <c r="L756" s="156"/>
      <c r="M756" s="156"/>
      <c r="N756" s="156"/>
      <c r="O756" s="156"/>
      <c r="P756" s="156"/>
      <c r="Q756" s="155"/>
      <c r="R756" s="190"/>
      <c r="S756" s="191"/>
    </row>
    <row r="757" ht="29.25" hidden="1" customHeight="1">
      <c r="A757" s="155"/>
      <c r="B757" s="155"/>
      <c r="C757" s="155"/>
      <c r="D757" s="155"/>
      <c r="E757" s="155"/>
      <c r="F757" s="198"/>
      <c r="G757" s="155"/>
      <c r="H757" s="155"/>
      <c r="I757" s="156"/>
      <c r="J757" s="156"/>
      <c r="K757" s="156"/>
      <c r="L757" s="156"/>
      <c r="M757" s="156"/>
      <c r="N757" s="156"/>
      <c r="O757" s="156"/>
      <c r="P757" s="156"/>
      <c r="Q757" s="155"/>
      <c r="R757" s="190"/>
      <c r="S757" s="191"/>
    </row>
    <row r="758" ht="29.25" hidden="1" customHeight="1">
      <c r="A758" s="155"/>
      <c r="B758" s="155"/>
      <c r="C758" s="155"/>
      <c r="D758" s="155"/>
      <c r="E758" s="155"/>
      <c r="F758" s="198"/>
      <c r="G758" s="155"/>
      <c r="H758" s="155"/>
      <c r="I758" s="156"/>
      <c r="J758" s="156"/>
      <c r="K758" s="156"/>
      <c r="L758" s="156"/>
      <c r="M758" s="156"/>
      <c r="N758" s="156"/>
      <c r="O758" s="156"/>
      <c r="P758" s="156"/>
      <c r="Q758" s="155"/>
      <c r="R758" s="190"/>
      <c r="S758" s="191"/>
    </row>
    <row r="759" ht="29.25" hidden="1" customHeight="1">
      <c r="A759" s="155"/>
      <c r="B759" s="155"/>
      <c r="C759" s="155"/>
      <c r="D759" s="155"/>
      <c r="E759" s="155"/>
      <c r="F759" s="198"/>
      <c r="G759" s="155"/>
      <c r="H759" s="155"/>
      <c r="I759" s="156"/>
      <c r="J759" s="156"/>
      <c r="K759" s="156"/>
      <c r="L759" s="156"/>
      <c r="M759" s="156"/>
      <c r="N759" s="156"/>
      <c r="O759" s="156"/>
      <c r="P759" s="156"/>
      <c r="Q759" s="155"/>
      <c r="R759" s="190"/>
      <c r="S759" s="191"/>
    </row>
    <row r="760" ht="29.25" hidden="1" customHeight="1">
      <c r="A760" s="155"/>
      <c r="B760" s="155"/>
      <c r="C760" s="155"/>
      <c r="D760" s="155"/>
      <c r="E760" s="155"/>
      <c r="F760" s="198"/>
      <c r="G760" s="155"/>
      <c r="H760" s="155"/>
      <c r="I760" s="156"/>
      <c r="J760" s="156"/>
      <c r="K760" s="156"/>
      <c r="L760" s="156"/>
      <c r="M760" s="156"/>
      <c r="N760" s="156"/>
      <c r="O760" s="156"/>
      <c r="P760" s="156"/>
      <c r="Q760" s="155"/>
      <c r="R760" s="190"/>
      <c r="S760" s="191"/>
    </row>
    <row r="761" ht="29.25" hidden="1" customHeight="1">
      <c r="A761" s="155"/>
      <c r="B761" s="155"/>
      <c r="C761" s="155"/>
      <c r="D761" s="155"/>
      <c r="E761" s="155"/>
      <c r="F761" s="198"/>
      <c r="G761" s="155"/>
      <c r="H761" s="155"/>
      <c r="I761" s="156"/>
      <c r="J761" s="156"/>
      <c r="K761" s="156"/>
      <c r="L761" s="156"/>
      <c r="M761" s="156"/>
      <c r="N761" s="156"/>
      <c r="O761" s="156"/>
      <c r="P761" s="156"/>
      <c r="Q761" s="155"/>
      <c r="R761" s="190"/>
      <c r="S761" s="191"/>
    </row>
    <row r="762" ht="29.25" hidden="1" customHeight="1">
      <c r="A762" s="155"/>
      <c r="B762" s="155"/>
      <c r="C762" s="155"/>
      <c r="D762" s="155"/>
      <c r="E762" s="155"/>
      <c r="F762" s="198"/>
      <c r="G762" s="155"/>
      <c r="H762" s="155"/>
      <c r="I762" s="156"/>
      <c r="J762" s="156"/>
      <c r="K762" s="156"/>
      <c r="L762" s="156"/>
      <c r="M762" s="156"/>
      <c r="N762" s="156"/>
      <c r="O762" s="156"/>
      <c r="P762" s="156"/>
      <c r="Q762" s="155"/>
      <c r="R762" s="190"/>
      <c r="S762" s="191"/>
    </row>
    <row r="763" ht="29.25" hidden="1" customHeight="1">
      <c r="A763" s="155"/>
      <c r="B763" s="155"/>
      <c r="C763" s="155"/>
      <c r="D763" s="155"/>
      <c r="E763" s="155"/>
      <c r="F763" s="198"/>
      <c r="G763" s="155"/>
      <c r="H763" s="155"/>
      <c r="I763" s="156"/>
      <c r="J763" s="156"/>
      <c r="K763" s="156"/>
      <c r="L763" s="156"/>
      <c r="M763" s="156"/>
      <c r="N763" s="156"/>
      <c r="O763" s="156"/>
      <c r="P763" s="156"/>
      <c r="Q763" s="155"/>
      <c r="R763" s="190"/>
      <c r="S763" s="191"/>
    </row>
    <row r="764" ht="29.25" hidden="1" customHeight="1">
      <c r="A764" s="155"/>
      <c r="B764" s="155"/>
      <c r="C764" s="155"/>
      <c r="D764" s="155"/>
      <c r="E764" s="155"/>
      <c r="F764" s="198"/>
      <c r="G764" s="155"/>
      <c r="H764" s="155"/>
      <c r="I764" s="156"/>
      <c r="J764" s="156"/>
      <c r="K764" s="156"/>
      <c r="L764" s="156"/>
      <c r="M764" s="156"/>
      <c r="N764" s="156"/>
      <c r="O764" s="156"/>
      <c r="P764" s="156"/>
      <c r="Q764" s="155"/>
      <c r="R764" s="190"/>
      <c r="S764" s="191"/>
    </row>
    <row r="765" ht="29.25" hidden="1" customHeight="1">
      <c r="A765" s="155"/>
      <c r="B765" s="155"/>
      <c r="C765" s="155"/>
      <c r="D765" s="155"/>
      <c r="E765" s="155"/>
      <c r="F765" s="198"/>
      <c r="G765" s="155"/>
      <c r="H765" s="155"/>
      <c r="I765" s="156"/>
      <c r="J765" s="156"/>
      <c r="K765" s="156"/>
      <c r="L765" s="156"/>
      <c r="M765" s="156"/>
      <c r="N765" s="156"/>
      <c r="O765" s="156"/>
      <c r="P765" s="156"/>
      <c r="Q765" s="155"/>
      <c r="R765" s="190"/>
      <c r="S765" s="191"/>
    </row>
    <row r="766" ht="29.25" hidden="1" customHeight="1">
      <c r="A766" s="155"/>
      <c r="B766" s="155"/>
      <c r="C766" s="155"/>
      <c r="D766" s="155"/>
      <c r="E766" s="155"/>
      <c r="F766" s="198"/>
      <c r="G766" s="155"/>
      <c r="H766" s="155"/>
      <c r="I766" s="156"/>
      <c r="J766" s="156"/>
      <c r="K766" s="156"/>
      <c r="L766" s="156"/>
      <c r="M766" s="156"/>
      <c r="N766" s="156"/>
      <c r="O766" s="156"/>
      <c r="P766" s="156"/>
      <c r="Q766" s="155"/>
      <c r="R766" s="190"/>
      <c r="S766" s="191"/>
    </row>
    <row r="767" ht="29.25" hidden="1" customHeight="1">
      <c r="A767" s="155"/>
      <c r="B767" s="155"/>
      <c r="C767" s="155"/>
      <c r="D767" s="155"/>
      <c r="E767" s="155"/>
      <c r="F767" s="198"/>
      <c r="G767" s="155"/>
      <c r="H767" s="155"/>
      <c r="I767" s="156"/>
      <c r="J767" s="156"/>
      <c r="K767" s="156"/>
      <c r="L767" s="156"/>
      <c r="M767" s="156"/>
      <c r="N767" s="156"/>
      <c r="O767" s="156"/>
      <c r="P767" s="156"/>
      <c r="Q767" s="155"/>
      <c r="R767" s="190"/>
      <c r="S767" s="191"/>
    </row>
    <row r="768" ht="29.25" hidden="1" customHeight="1">
      <c r="A768" s="155"/>
      <c r="B768" s="155"/>
      <c r="C768" s="155"/>
      <c r="D768" s="155"/>
      <c r="E768" s="155"/>
      <c r="F768" s="198"/>
      <c r="G768" s="155"/>
      <c r="H768" s="155"/>
      <c r="I768" s="156"/>
      <c r="J768" s="156"/>
      <c r="K768" s="156"/>
      <c r="L768" s="156"/>
      <c r="M768" s="156"/>
      <c r="N768" s="156"/>
      <c r="O768" s="156"/>
      <c r="P768" s="156"/>
      <c r="Q768" s="155"/>
      <c r="R768" s="190"/>
      <c r="S768" s="191"/>
    </row>
    <row r="769" ht="29.25" hidden="1" customHeight="1">
      <c r="A769" s="155"/>
      <c r="B769" s="155"/>
      <c r="C769" s="155"/>
      <c r="D769" s="155"/>
      <c r="E769" s="155"/>
      <c r="F769" s="198"/>
      <c r="G769" s="155"/>
      <c r="H769" s="155"/>
      <c r="I769" s="156"/>
      <c r="J769" s="156"/>
      <c r="K769" s="156"/>
      <c r="L769" s="156"/>
      <c r="M769" s="156"/>
      <c r="N769" s="156"/>
      <c r="O769" s="156"/>
      <c r="P769" s="156"/>
      <c r="Q769" s="155"/>
      <c r="R769" s="190"/>
      <c r="S769" s="191"/>
    </row>
    <row r="770" ht="29.25" hidden="1" customHeight="1">
      <c r="A770" s="155"/>
      <c r="B770" s="155"/>
      <c r="C770" s="155"/>
      <c r="D770" s="155"/>
      <c r="E770" s="155"/>
      <c r="F770" s="198"/>
      <c r="G770" s="155"/>
      <c r="H770" s="155"/>
      <c r="I770" s="156"/>
      <c r="J770" s="156"/>
      <c r="K770" s="156"/>
      <c r="L770" s="156"/>
      <c r="M770" s="156"/>
      <c r="N770" s="156"/>
      <c r="O770" s="156"/>
      <c r="P770" s="156"/>
      <c r="Q770" s="155"/>
      <c r="R770" s="190"/>
      <c r="S770" s="191"/>
    </row>
    <row r="771" ht="29.25" hidden="1" customHeight="1">
      <c r="A771" s="155"/>
      <c r="B771" s="155"/>
      <c r="C771" s="155"/>
      <c r="D771" s="155"/>
      <c r="E771" s="155"/>
      <c r="F771" s="198"/>
      <c r="G771" s="155"/>
      <c r="H771" s="155"/>
      <c r="I771" s="156"/>
      <c r="J771" s="156"/>
      <c r="K771" s="156"/>
      <c r="L771" s="156"/>
      <c r="M771" s="156"/>
      <c r="N771" s="156"/>
      <c r="O771" s="156"/>
      <c r="P771" s="156"/>
      <c r="Q771" s="155"/>
      <c r="R771" s="190"/>
      <c r="S771" s="191"/>
    </row>
    <row r="772" ht="29.25" hidden="1" customHeight="1">
      <c r="A772" s="155"/>
      <c r="B772" s="155"/>
      <c r="C772" s="155"/>
      <c r="D772" s="155"/>
      <c r="E772" s="155"/>
      <c r="F772" s="198"/>
      <c r="G772" s="155"/>
      <c r="H772" s="155"/>
      <c r="I772" s="156"/>
      <c r="J772" s="156"/>
      <c r="K772" s="156"/>
      <c r="L772" s="156"/>
      <c r="M772" s="156"/>
      <c r="N772" s="156"/>
      <c r="O772" s="156"/>
      <c r="P772" s="156"/>
      <c r="Q772" s="155"/>
      <c r="R772" s="190"/>
      <c r="S772" s="191"/>
    </row>
    <row r="773" ht="29.25" hidden="1" customHeight="1">
      <c r="A773" s="155"/>
      <c r="B773" s="155"/>
      <c r="C773" s="155"/>
      <c r="D773" s="155"/>
      <c r="E773" s="155"/>
      <c r="F773" s="198"/>
      <c r="G773" s="155"/>
      <c r="H773" s="155"/>
      <c r="I773" s="156"/>
      <c r="J773" s="156"/>
      <c r="K773" s="156"/>
      <c r="L773" s="156"/>
      <c r="M773" s="156"/>
      <c r="N773" s="156"/>
      <c r="O773" s="156"/>
      <c r="P773" s="156"/>
      <c r="Q773" s="155"/>
      <c r="R773" s="190"/>
      <c r="S773" s="191"/>
    </row>
    <row r="774" ht="29.25" hidden="1" customHeight="1">
      <c r="A774" s="155"/>
      <c r="B774" s="155"/>
      <c r="C774" s="155"/>
      <c r="D774" s="155"/>
      <c r="E774" s="155"/>
      <c r="F774" s="198"/>
      <c r="G774" s="155"/>
      <c r="H774" s="155"/>
      <c r="I774" s="156"/>
      <c r="J774" s="156"/>
      <c r="K774" s="156"/>
      <c r="L774" s="156"/>
      <c r="M774" s="156"/>
      <c r="N774" s="156"/>
      <c r="O774" s="156"/>
      <c r="P774" s="156"/>
      <c r="Q774" s="155"/>
      <c r="R774" s="190"/>
      <c r="S774" s="191"/>
    </row>
    <row r="775" ht="29.25" hidden="1" customHeight="1">
      <c r="A775" s="155"/>
      <c r="B775" s="155"/>
      <c r="C775" s="155"/>
      <c r="D775" s="155"/>
      <c r="E775" s="155"/>
      <c r="F775" s="198"/>
      <c r="G775" s="155"/>
      <c r="H775" s="155"/>
      <c r="I775" s="156"/>
      <c r="J775" s="156"/>
      <c r="K775" s="156"/>
      <c r="L775" s="156"/>
      <c r="M775" s="156"/>
      <c r="N775" s="156"/>
      <c r="O775" s="156"/>
      <c r="P775" s="156"/>
      <c r="Q775" s="155"/>
      <c r="R775" s="190"/>
      <c r="S775" s="191"/>
    </row>
    <row r="776" ht="29.25" hidden="1" customHeight="1">
      <c r="A776" s="155"/>
      <c r="B776" s="155"/>
      <c r="C776" s="155"/>
      <c r="D776" s="155"/>
      <c r="E776" s="155"/>
      <c r="F776" s="198"/>
      <c r="G776" s="155"/>
      <c r="H776" s="155"/>
      <c r="I776" s="156"/>
      <c r="J776" s="156"/>
      <c r="K776" s="156"/>
      <c r="L776" s="156"/>
      <c r="M776" s="156"/>
      <c r="N776" s="156"/>
      <c r="O776" s="156"/>
      <c r="P776" s="156"/>
      <c r="Q776" s="155"/>
      <c r="R776" s="190"/>
      <c r="S776" s="191"/>
    </row>
    <row r="777" ht="29.25" hidden="1" customHeight="1">
      <c r="A777" s="155"/>
      <c r="B777" s="155"/>
      <c r="C777" s="155"/>
      <c r="D777" s="155"/>
      <c r="E777" s="155"/>
      <c r="F777" s="198"/>
      <c r="G777" s="155"/>
      <c r="H777" s="155"/>
      <c r="I777" s="156"/>
      <c r="J777" s="156"/>
      <c r="K777" s="156"/>
      <c r="L777" s="156"/>
      <c r="M777" s="156"/>
      <c r="N777" s="156"/>
      <c r="O777" s="156"/>
      <c r="P777" s="156"/>
      <c r="Q777" s="155"/>
      <c r="R777" s="190"/>
      <c r="S777" s="191"/>
    </row>
    <row r="778" ht="29.25" hidden="1" customHeight="1">
      <c r="A778" s="155"/>
      <c r="B778" s="155"/>
      <c r="C778" s="155"/>
      <c r="D778" s="155"/>
      <c r="E778" s="155"/>
      <c r="F778" s="198"/>
      <c r="G778" s="155"/>
      <c r="H778" s="155"/>
      <c r="I778" s="156"/>
      <c r="J778" s="156"/>
      <c r="K778" s="156"/>
      <c r="L778" s="156"/>
      <c r="M778" s="156"/>
      <c r="N778" s="156"/>
      <c r="O778" s="156"/>
      <c r="P778" s="156"/>
      <c r="Q778" s="155"/>
      <c r="R778" s="190"/>
      <c r="S778" s="191"/>
    </row>
    <row r="779" ht="29.25" hidden="1" customHeight="1">
      <c r="A779" s="155"/>
      <c r="B779" s="155"/>
      <c r="C779" s="155"/>
      <c r="D779" s="155"/>
      <c r="E779" s="155"/>
      <c r="F779" s="198"/>
      <c r="G779" s="155"/>
      <c r="H779" s="155"/>
      <c r="I779" s="156"/>
      <c r="J779" s="156"/>
      <c r="K779" s="156"/>
      <c r="L779" s="156"/>
      <c r="M779" s="156"/>
      <c r="N779" s="156"/>
      <c r="O779" s="156"/>
      <c r="P779" s="156"/>
      <c r="Q779" s="155"/>
      <c r="R779" s="190"/>
      <c r="S779" s="191"/>
    </row>
    <row r="780" ht="29.25" hidden="1" customHeight="1">
      <c r="A780" s="155"/>
      <c r="B780" s="155"/>
      <c r="C780" s="155"/>
      <c r="D780" s="155"/>
      <c r="E780" s="155"/>
      <c r="F780" s="198"/>
      <c r="G780" s="155"/>
      <c r="H780" s="155"/>
      <c r="I780" s="156"/>
      <c r="J780" s="156"/>
      <c r="K780" s="156"/>
      <c r="L780" s="156"/>
      <c r="M780" s="156"/>
      <c r="N780" s="156"/>
      <c r="O780" s="156"/>
      <c r="P780" s="156"/>
      <c r="Q780" s="155"/>
      <c r="R780" s="190"/>
      <c r="S780" s="191"/>
    </row>
    <row r="781" ht="29.25" hidden="1" customHeight="1">
      <c r="A781" s="155"/>
      <c r="B781" s="155"/>
      <c r="C781" s="155"/>
      <c r="D781" s="155"/>
      <c r="E781" s="155"/>
      <c r="F781" s="198"/>
      <c r="G781" s="155"/>
      <c r="H781" s="155"/>
      <c r="I781" s="156"/>
      <c r="J781" s="156"/>
      <c r="K781" s="156"/>
      <c r="L781" s="156"/>
      <c r="M781" s="156"/>
      <c r="N781" s="156"/>
      <c r="O781" s="156"/>
      <c r="P781" s="156"/>
      <c r="Q781" s="155"/>
      <c r="R781" s="190"/>
      <c r="S781" s="191"/>
    </row>
    <row r="782" ht="29.25" hidden="1" customHeight="1">
      <c r="A782" s="155"/>
      <c r="B782" s="155"/>
      <c r="C782" s="155"/>
      <c r="D782" s="155"/>
      <c r="E782" s="155"/>
      <c r="F782" s="198"/>
      <c r="G782" s="155"/>
      <c r="H782" s="155"/>
      <c r="I782" s="156"/>
      <c r="J782" s="156"/>
      <c r="K782" s="156"/>
      <c r="L782" s="156"/>
      <c r="M782" s="156"/>
      <c r="N782" s="156"/>
      <c r="O782" s="156"/>
      <c r="P782" s="156"/>
      <c r="Q782" s="155"/>
      <c r="R782" s="190"/>
      <c r="S782" s="191"/>
    </row>
    <row r="783" ht="29.25" hidden="1" customHeight="1">
      <c r="A783" s="155"/>
      <c r="B783" s="155"/>
      <c r="C783" s="155"/>
      <c r="D783" s="155"/>
      <c r="E783" s="155"/>
      <c r="F783" s="198"/>
      <c r="G783" s="155"/>
      <c r="H783" s="155"/>
      <c r="I783" s="156"/>
      <c r="J783" s="156"/>
      <c r="K783" s="156"/>
      <c r="L783" s="156"/>
      <c r="M783" s="156"/>
      <c r="N783" s="156"/>
      <c r="O783" s="156"/>
      <c r="P783" s="156"/>
      <c r="Q783" s="155"/>
      <c r="R783" s="190"/>
      <c r="S783" s="191"/>
    </row>
    <row r="784" ht="29.25" hidden="1" customHeight="1">
      <c r="A784" s="155"/>
      <c r="B784" s="155"/>
      <c r="C784" s="155"/>
      <c r="D784" s="155"/>
      <c r="E784" s="155"/>
      <c r="F784" s="198"/>
      <c r="G784" s="155"/>
      <c r="H784" s="155"/>
      <c r="I784" s="156"/>
      <c r="J784" s="156"/>
      <c r="K784" s="156"/>
      <c r="L784" s="156"/>
      <c r="M784" s="156"/>
      <c r="N784" s="156"/>
      <c r="O784" s="156"/>
      <c r="P784" s="156"/>
      <c r="Q784" s="155"/>
      <c r="R784" s="190"/>
      <c r="S784" s="191"/>
    </row>
    <row r="785" ht="29.25" hidden="1" customHeight="1">
      <c r="A785" s="155"/>
      <c r="B785" s="155"/>
      <c r="C785" s="155"/>
      <c r="D785" s="155"/>
      <c r="E785" s="155"/>
      <c r="F785" s="198"/>
      <c r="G785" s="155"/>
      <c r="H785" s="155"/>
      <c r="I785" s="156"/>
      <c r="J785" s="156"/>
      <c r="K785" s="156"/>
      <c r="L785" s="156"/>
      <c r="M785" s="156"/>
      <c r="N785" s="156"/>
      <c r="O785" s="156"/>
      <c r="P785" s="156"/>
      <c r="Q785" s="155"/>
      <c r="R785" s="190"/>
      <c r="S785" s="191"/>
    </row>
    <row r="786" ht="29.25" hidden="1" customHeight="1">
      <c r="A786" s="155"/>
      <c r="B786" s="155"/>
      <c r="C786" s="155"/>
      <c r="D786" s="155"/>
      <c r="E786" s="155"/>
      <c r="F786" s="198"/>
      <c r="G786" s="155"/>
      <c r="H786" s="155"/>
      <c r="I786" s="156"/>
      <c r="J786" s="156"/>
      <c r="K786" s="156"/>
      <c r="L786" s="156"/>
      <c r="M786" s="156"/>
      <c r="N786" s="156"/>
      <c r="O786" s="156"/>
      <c r="P786" s="156"/>
      <c r="Q786" s="155"/>
      <c r="R786" s="190"/>
      <c r="S786" s="191"/>
    </row>
    <row r="787" ht="29.25" hidden="1" customHeight="1">
      <c r="A787" s="155"/>
      <c r="B787" s="155"/>
      <c r="C787" s="155"/>
      <c r="D787" s="155"/>
      <c r="E787" s="155"/>
      <c r="F787" s="198"/>
      <c r="G787" s="155"/>
      <c r="H787" s="155"/>
      <c r="I787" s="156"/>
      <c r="J787" s="156"/>
      <c r="K787" s="156"/>
      <c r="L787" s="156"/>
      <c r="M787" s="156"/>
      <c r="N787" s="156"/>
      <c r="O787" s="156"/>
      <c r="P787" s="156"/>
      <c r="Q787" s="155"/>
      <c r="R787" s="190"/>
      <c r="S787" s="191"/>
    </row>
    <row r="788" ht="29.25" hidden="1" customHeight="1">
      <c r="A788" s="155"/>
      <c r="B788" s="155"/>
      <c r="C788" s="155"/>
      <c r="D788" s="155"/>
      <c r="E788" s="155"/>
      <c r="F788" s="198"/>
      <c r="G788" s="155"/>
      <c r="H788" s="155"/>
      <c r="I788" s="156"/>
      <c r="J788" s="156"/>
      <c r="K788" s="156"/>
      <c r="L788" s="156"/>
      <c r="M788" s="156"/>
      <c r="N788" s="156"/>
      <c r="O788" s="156"/>
      <c r="P788" s="156"/>
      <c r="Q788" s="155"/>
      <c r="R788" s="190"/>
      <c r="S788" s="191"/>
    </row>
    <row r="789" ht="29.25" hidden="1" customHeight="1">
      <c r="A789" s="155"/>
      <c r="B789" s="155"/>
      <c r="C789" s="155"/>
      <c r="D789" s="155"/>
      <c r="E789" s="155"/>
      <c r="F789" s="198"/>
      <c r="G789" s="155"/>
      <c r="H789" s="155"/>
      <c r="I789" s="156"/>
      <c r="J789" s="156"/>
      <c r="K789" s="156"/>
      <c r="L789" s="156"/>
      <c r="M789" s="156"/>
      <c r="N789" s="156"/>
      <c r="O789" s="156"/>
      <c r="P789" s="156"/>
      <c r="Q789" s="155"/>
      <c r="R789" s="190"/>
      <c r="S789" s="191"/>
    </row>
    <row r="790" ht="29.25" hidden="1" customHeight="1">
      <c r="A790" s="155"/>
      <c r="B790" s="155"/>
      <c r="C790" s="155"/>
      <c r="D790" s="155"/>
      <c r="E790" s="155"/>
      <c r="F790" s="198"/>
      <c r="G790" s="155"/>
      <c r="H790" s="155"/>
      <c r="I790" s="156"/>
      <c r="J790" s="156"/>
      <c r="K790" s="156"/>
      <c r="L790" s="156"/>
      <c r="M790" s="156"/>
      <c r="N790" s="156"/>
      <c r="O790" s="156"/>
      <c r="P790" s="156"/>
      <c r="Q790" s="155"/>
      <c r="R790" s="190"/>
      <c r="S790" s="191"/>
    </row>
    <row r="791" ht="29.25" hidden="1" customHeight="1">
      <c r="A791" s="155"/>
      <c r="B791" s="155"/>
      <c r="C791" s="155"/>
      <c r="D791" s="155"/>
      <c r="E791" s="155"/>
      <c r="F791" s="198"/>
      <c r="G791" s="155"/>
      <c r="H791" s="155"/>
      <c r="I791" s="156"/>
      <c r="J791" s="156"/>
      <c r="K791" s="156"/>
      <c r="L791" s="156"/>
      <c r="M791" s="156"/>
      <c r="N791" s="156"/>
      <c r="O791" s="156"/>
      <c r="P791" s="156"/>
      <c r="Q791" s="155"/>
      <c r="R791" s="190"/>
      <c r="S791" s="191"/>
    </row>
    <row r="792" ht="29.25" hidden="1" customHeight="1">
      <c r="A792" s="155"/>
      <c r="B792" s="155"/>
      <c r="C792" s="155"/>
      <c r="D792" s="155"/>
      <c r="E792" s="155"/>
      <c r="F792" s="198"/>
      <c r="G792" s="155"/>
      <c r="H792" s="155"/>
      <c r="I792" s="156"/>
      <c r="J792" s="156"/>
      <c r="K792" s="156"/>
      <c r="L792" s="156"/>
      <c r="M792" s="156"/>
      <c r="N792" s="156"/>
      <c r="O792" s="156"/>
      <c r="P792" s="156"/>
      <c r="Q792" s="155"/>
      <c r="R792" s="190"/>
      <c r="S792" s="191"/>
    </row>
    <row r="793" ht="29.25" hidden="1" customHeight="1">
      <c r="A793" s="155"/>
      <c r="B793" s="155"/>
      <c r="C793" s="155"/>
      <c r="D793" s="155"/>
      <c r="E793" s="155"/>
      <c r="F793" s="198"/>
      <c r="G793" s="155"/>
      <c r="H793" s="155"/>
      <c r="I793" s="156"/>
      <c r="J793" s="156"/>
      <c r="K793" s="156"/>
      <c r="L793" s="156"/>
      <c r="M793" s="156"/>
      <c r="N793" s="156"/>
      <c r="O793" s="156"/>
      <c r="P793" s="156"/>
      <c r="Q793" s="155"/>
      <c r="R793" s="190"/>
      <c r="S793" s="191"/>
    </row>
    <row r="794" ht="29.25" hidden="1" customHeight="1">
      <c r="A794" s="155"/>
      <c r="B794" s="155"/>
      <c r="C794" s="155"/>
      <c r="D794" s="155"/>
      <c r="E794" s="155"/>
      <c r="F794" s="198"/>
      <c r="G794" s="155"/>
      <c r="H794" s="155"/>
      <c r="I794" s="156"/>
      <c r="J794" s="156"/>
      <c r="K794" s="156"/>
      <c r="L794" s="156"/>
      <c r="M794" s="156"/>
      <c r="N794" s="156"/>
      <c r="O794" s="156"/>
      <c r="P794" s="156"/>
      <c r="Q794" s="155"/>
      <c r="R794" s="190"/>
      <c r="S794" s="191"/>
    </row>
    <row r="795" ht="29.25" hidden="1" customHeight="1">
      <c r="A795" s="155"/>
      <c r="B795" s="155"/>
      <c r="C795" s="155"/>
      <c r="D795" s="155"/>
      <c r="E795" s="155"/>
      <c r="F795" s="198"/>
      <c r="G795" s="155"/>
      <c r="H795" s="155"/>
      <c r="I795" s="156"/>
      <c r="J795" s="156"/>
      <c r="K795" s="156"/>
      <c r="L795" s="156"/>
      <c r="M795" s="156"/>
      <c r="N795" s="156"/>
      <c r="O795" s="156"/>
      <c r="P795" s="156"/>
      <c r="Q795" s="155"/>
      <c r="R795" s="190"/>
      <c r="S795" s="191"/>
    </row>
    <row r="796" ht="29.25" hidden="1" customHeight="1">
      <c r="A796" s="155"/>
      <c r="B796" s="155"/>
      <c r="C796" s="155"/>
      <c r="D796" s="155"/>
      <c r="E796" s="155"/>
      <c r="F796" s="198"/>
      <c r="G796" s="155"/>
      <c r="H796" s="155"/>
      <c r="I796" s="156"/>
      <c r="J796" s="156"/>
      <c r="K796" s="156"/>
      <c r="L796" s="156"/>
      <c r="M796" s="156"/>
      <c r="N796" s="156"/>
      <c r="O796" s="156"/>
      <c r="P796" s="156"/>
      <c r="Q796" s="155"/>
      <c r="R796" s="190"/>
      <c r="S796" s="191"/>
    </row>
    <row r="797" ht="29.25" hidden="1" customHeight="1">
      <c r="A797" s="155"/>
      <c r="B797" s="155"/>
      <c r="C797" s="155"/>
      <c r="D797" s="155"/>
      <c r="E797" s="155"/>
      <c r="F797" s="198"/>
      <c r="G797" s="155"/>
      <c r="H797" s="155"/>
      <c r="I797" s="156"/>
      <c r="J797" s="156"/>
      <c r="K797" s="156"/>
      <c r="L797" s="156"/>
      <c r="M797" s="156"/>
      <c r="N797" s="156"/>
      <c r="O797" s="156"/>
      <c r="P797" s="156"/>
      <c r="Q797" s="155"/>
      <c r="R797" s="190"/>
      <c r="S797" s="191"/>
    </row>
    <row r="798" ht="29.25" hidden="1" customHeight="1">
      <c r="A798" s="155"/>
      <c r="B798" s="155"/>
      <c r="C798" s="155"/>
      <c r="D798" s="155"/>
      <c r="E798" s="155"/>
      <c r="F798" s="198"/>
      <c r="G798" s="155"/>
      <c r="H798" s="155"/>
      <c r="I798" s="156"/>
      <c r="J798" s="156"/>
      <c r="K798" s="156"/>
      <c r="L798" s="156"/>
      <c r="M798" s="156"/>
      <c r="N798" s="156"/>
      <c r="O798" s="156"/>
      <c r="P798" s="156"/>
      <c r="Q798" s="155"/>
      <c r="R798" s="190"/>
      <c r="S798" s="191"/>
    </row>
    <row r="799" ht="29.25" hidden="1" customHeight="1">
      <c r="A799" s="155"/>
      <c r="B799" s="155"/>
      <c r="C799" s="155"/>
      <c r="D799" s="155"/>
      <c r="E799" s="155"/>
      <c r="F799" s="198"/>
      <c r="G799" s="155"/>
      <c r="H799" s="155"/>
      <c r="I799" s="156"/>
      <c r="J799" s="156"/>
      <c r="K799" s="156"/>
      <c r="L799" s="156"/>
      <c r="M799" s="156"/>
      <c r="N799" s="156"/>
      <c r="O799" s="156"/>
      <c r="P799" s="156"/>
      <c r="Q799" s="155"/>
      <c r="R799" s="190"/>
      <c r="S799" s="191"/>
    </row>
    <row r="800" ht="29.25" hidden="1" customHeight="1">
      <c r="A800" s="155"/>
      <c r="B800" s="155"/>
      <c r="C800" s="155"/>
      <c r="D800" s="155"/>
      <c r="E800" s="155"/>
      <c r="F800" s="198"/>
      <c r="G800" s="155"/>
      <c r="H800" s="155"/>
      <c r="I800" s="156"/>
      <c r="J800" s="156"/>
      <c r="K800" s="156"/>
      <c r="L800" s="156"/>
      <c r="M800" s="156"/>
      <c r="N800" s="156"/>
      <c r="O800" s="156"/>
      <c r="P800" s="156"/>
      <c r="Q800" s="155"/>
      <c r="R800" s="190"/>
      <c r="S800" s="191"/>
    </row>
    <row r="801" ht="29.25" hidden="1" customHeight="1">
      <c r="A801" s="155"/>
      <c r="B801" s="155"/>
      <c r="C801" s="155"/>
      <c r="D801" s="155"/>
      <c r="E801" s="155"/>
      <c r="F801" s="198"/>
      <c r="G801" s="155"/>
      <c r="H801" s="155"/>
      <c r="I801" s="156"/>
      <c r="J801" s="156"/>
      <c r="K801" s="156"/>
      <c r="L801" s="156"/>
      <c r="M801" s="156"/>
      <c r="N801" s="156"/>
      <c r="O801" s="156"/>
      <c r="P801" s="156"/>
      <c r="Q801" s="155"/>
      <c r="R801" s="190"/>
      <c r="S801" s="191"/>
    </row>
    <row r="802" ht="29.25" hidden="1" customHeight="1">
      <c r="A802" s="155"/>
      <c r="B802" s="155"/>
      <c r="C802" s="155"/>
      <c r="D802" s="155"/>
      <c r="E802" s="155"/>
      <c r="F802" s="198"/>
      <c r="G802" s="155"/>
      <c r="H802" s="155"/>
      <c r="I802" s="156"/>
      <c r="J802" s="156"/>
      <c r="K802" s="156"/>
      <c r="L802" s="156"/>
      <c r="M802" s="156"/>
      <c r="N802" s="156"/>
      <c r="O802" s="156"/>
      <c r="P802" s="156"/>
      <c r="Q802" s="155"/>
      <c r="R802" s="190"/>
      <c r="S802" s="191"/>
    </row>
    <row r="803" ht="29.25" hidden="1" customHeight="1">
      <c r="A803" s="155"/>
      <c r="B803" s="155"/>
      <c r="C803" s="155"/>
      <c r="D803" s="155"/>
      <c r="E803" s="155"/>
      <c r="F803" s="198"/>
      <c r="G803" s="155"/>
      <c r="H803" s="155"/>
      <c r="I803" s="156"/>
      <c r="J803" s="156"/>
      <c r="K803" s="156"/>
      <c r="L803" s="156"/>
      <c r="M803" s="156"/>
      <c r="N803" s="156"/>
      <c r="O803" s="156"/>
      <c r="P803" s="156"/>
      <c r="Q803" s="155"/>
      <c r="R803" s="190"/>
      <c r="S803" s="191"/>
    </row>
    <row r="804" ht="29.25" hidden="1" customHeight="1">
      <c r="A804" s="155"/>
      <c r="B804" s="155"/>
      <c r="C804" s="155"/>
      <c r="D804" s="155"/>
      <c r="E804" s="155"/>
      <c r="F804" s="198"/>
      <c r="G804" s="155"/>
      <c r="H804" s="155"/>
      <c r="I804" s="156"/>
      <c r="J804" s="156"/>
      <c r="K804" s="156"/>
      <c r="L804" s="156"/>
      <c r="M804" s="156"/>
      <c r="N804" s="156"/>
      <c r="O804" s="156"/>
      <c r="P804" s="156"/>
      <c r="Q804" s="155"/>
      <c r="R804" s="190"/>
      <c r="S804" s="191"/>
    </row>
    <row r="805" ht="29.25" hidden="1" customHeight="1">
      <c r="A805" s="155"/>
      <c r="B805" s="155"/>
      <c r="C805" s="155"/>
      <c r="D805" s="155"/>
      <c r="E805" s="155"/>
      <c r="F805" s="198"/>
      <c r="G805" s="155"/>
      <c r="H805" s="155"/>
      <c r="I805" s="156"/>
      <c r="J805" s="156"/>
      <c r="K805" s="156"/>
      <c r="L805" s="156"/>
      <c r="M805" s="156"/>
      <c r="N805" s="156"/>
      <c r="O805" s="156"/>
      <c r="P805" s="156"/>
      <c r="Q805" s="155"/>
      <c r="R805" s="190"/>
      <c r="S805" s="191"/>
    </row>
    <row r="806" ht="29.25" hidden="1" customHeight="1">
      <c r="A806" s="155"/>
      <c r="B806" s="155"/>
      <c r="C806" s="155"/>
      <c r="D806" s="155"/>
      <c r="E806" s="155"/>
      <c r="F806" s="198"/>
      <c r="G806" s="155"/>
      <c r="H806" s="155"/>
      <c r="I806" s="156"/>
      <c r="J806" s="156"/>
      <c r="K806" s="156"/>
      <c r="L806" s="156"/>
      <c r="M806" s="156"/>
      <c r="N806" s="156"/>
      <c r="O806" s="156"/>
      <c r="P806" s="156"/>
      <c r="Q806" s="155"/>
      <c r="R806" s="190"/>
      <c r="S806" s="191"/>
    </row>
    <row r="807" ht="29.25" hidden="1" customHeight="1">
      <c r="A807" s="155"/>
      <c r="B807" s="155"/>
      <c r="C807" s="155"/>
      <c r="D807" s="155"/>
      <c r="E807" s="155"/>
      <c r="F807" s="198"/>
      <c r="G807" s="155"/>
      <c r="H807" s="155"/>
      <c r="I807" s="156"/>
      <c r="J807" s="156"/>
      <c r="K807" s="156"/>
      <c r="L807" s="156"/>
      <c r="M807" s="156"/>
      <c r="N807" s="156"/>
      <c r="O807" s="156"/>
      <c r="P807" s="156"/>
      <c r="Q807" s="155"/>
      <c r="R807" s="190"/>
      <c r="S807" s="191"/>
    </row>
    <row r="808" ht="29.25" hidden="1" customHeight="1">
      <c r="A808" s="155"/>
      <c r="B808" s="155"/>
      <c r="C808" s="155"/>
      <c r="D808" s="155"/>
      <c r="E808" s="155"/>
      <c r="F808" s="198"/>
      <c r="G808" s="155"/>
      <c r="H808" s="155"/>
      <c r="I808" s="156"/>
      <c r="J808" s="156"/>
      <c r="K808" s="156"/>
      <c r="L808" s="156"/>
      <c r="M808" s="156"/>
      <c r="N808" s="156"/>
      <c r="O808" s="156"/>
      <c r="P808" s="156"/>
      <c r="Q808" s="155"/>
      <c r="R808" s="190"/>
      <c r="S808" s="191"/>
    </row>
    <row r="809" ht="29.25" hidden="1" customHeight="1">
      <c r="A809" s="155"/>
      <c r="B809" s="155"/>
      <c r="C809" s="155"/>
      <c r="D809" s="155"/>
      <c r="E809" s="155"/>
      <c r="F809" s="198"/>
      <c r="G809" s="155"/>
      <c r="H809" s="155"/>
      <c r="I809" s="156"/>
      <c r="J809" s="156"/>
      <c r="K809" s="156"/>
      <c r="L809" s="156"/>
      <c r="M809" s="156"/>
      <c r="N809" s="156"/>
      <c r="O809" s="156"/>
      <c r="P809" s="156"/>
      <c r="Q809" s="155"/>
      <c r="R809" s="190"/>
      <c r="S809" s="191"/>
    </row>
    <row r="810" ht="29.25" hidden="1" customHeight="1">
      <c r="A810" s="155"/>
      <c r="B810" s="155"/>
      <c r="C810" s="155"/>
      <c r="D810" s="155"/>
      <c r="E810" s="155"/>
      <c r="F810" s="198"/>
      <c r="G810" s="155"/>
      <c r="H810" s="155"/>
      <c r="I810" s="156"/>
      <c r="J810" s="156"/>
      <c r="K810" s="156"/>
      <c r="L810" s="156"/>
      <c r="M810" s="156"/>
      <c r="N810" s="156"/>
      <c r="O810" s="156"/>
      <c r="P810" s="156"/>
      <c r="Q810" s="155"/>
      <c r="R810" s="190"/>
      <c r="S810" s="191"/>
    </row>
    <row r="811" ht="29.25" hidden="1" customHeight="1">
      <c r="A811" s="155"/>
      <c r="B811" s="155"/>
      <c r="C811" s="155"/>
      <c r="D811" s="155"/>
      <c r="E811" s="155"/>
      <c r="F811" s="198"/>
      <c r="G811" s="155"/>
      <c r="H811" s="155"/>
      <c r="I811" s="156"/>
      <c r="J811" s="156"/>
      <c r="K811" s="156"/>
      <c r="L811" s="156"/>
      <c r="M811" s="156"/>
      <c r="N811" s="156"/>
      <c r="O811" s="156"/>
      <c r="P811" s="156"/>
      <c r="Q811" s="155"/>
      <c r="R811" s="190"/>
      <c r="S811" s="191"/>
    </row>
    <row r="812" ht="29.25" hidden="1" customHeight="1">
      <c r="A812" s="155"/>
      <c r="B812" s="155"/>
      <c r="C812" s="155"/>
      <c r="D812" s="155"/>
      <c r="E812" s="155"/>
      <c r="F812" s="198"/>
      <c r="G812" s="155"/>
      <c r="H812" s="155"/>
      <c r="I812" s="156"/>
      <c r="J812" s="156"/>
      <c r="K812" s="156"/>
      <c r="L812" s="156"/>
      <c r="M812" s="156"/>
      <c r="N812" s="156"/>
      <c r="O812" s="156"/>
      <c r="P812" s="156"/>
      <c r="Q812" s="155"/>
      <c r="R812" s="190"/>
      <c r="S812" s="191"/>
    </row>
    <row r="813" ht="29.25" hidden="1" customHeight="1">
      <c r="A813" s="155"/>
      <c r="B813" s="155"/>
      <c r="C813" s="155"/>
      <c r="D813" s="155"/>
      <c r="E813" s="155"/>
      <c r="F813" s="198"/>
      <c r="G813" s="155"/>
      <c r="H813" s="155"/>
      <c r="I813" s="156"/>
      <c r="J813" s="156"/>
      <c r="K813" s="156"/>
      <c r="L813" s="156"/>
      <c r="M813" s="156"/>
      <c r="N813" s="156"/>
      <c r="O813" s="156"/>
      <c r="P813" s="156"/>
      <c r="Q813" s="155"/>
      <c r="R813" s="190"/>
      <c r="S813" s="191"/>
    </row>
    <row r="814" ht="29.25" hidden="1" customHeight="1">
      <c r="A814" s="155"/>
      <c r="B814" s="155"/>
      <c r="C814" s="155"/>
      <c r="D814" s="155"/>
      <c r="E814" s="155"/>
      <c r="F814" s="198"/>
      <c r="G814" s="155"/>
      <c r="H814" s="155"/>
      <c r="I814" s="156"/>
      <c r="J814" s="156"/>
      <c r="K814" s="156"/>
      <c r="L814" s="156"/>
      <c r="M814" s="156"/>
      <c r="N814" s="156"/>
      <c r="O814" s="156"/>
      <c r="P814" s="156"/>
      <c r="Q814" s="155"/>
      <c r="R814" s="190"/>
      <c r="S814" s="191"/>
    </row>
    <row r="815" ht="29.25" hidden="1" customHeight="1">
      <c r="A815" s="155"/>
      <c r="B815" s="155"/>
      <c r="C815" s="155"/>
      <c r="D815" s="155"/>
      <c r="E815" s="155"/>
      <c r="F815" s="198"/>
      <c r="G815" s="155"/>
      <c r="H815" s="155"/>
      <c r="I815" s="156"/>
      <c r="J815" s="156"/>
      <c r="K815" s="156"/>
      <c r="L815" s="156"/>
      <c r="M815" s="156"/>
      <c r="N815" s="156"/>
      <c r="O815" s="156"/>
      <c r="P815" s="156"/>
      <c r="Q815" s="155"/>
      <c r="R815" s="190"/>
      <c r="S815" s="191"/>
    </row>
    <row r="816" ht="29.25" hidden="1" customHeight="1">
      <c r="A816" s="155"/>
      <c r="B816" s="155"/>
      <c r="C816" s="155"/>
      <c r="D816" s="155"/>
      <c r="E816" s="155"/>
      <c r="F816" s="198"/>
      <c r="G816" s="155"/>
      <c r="H816" s="155"/>
      <c r="I816" s="156"/>
      <c r="J816" s="156"/>
      <c r="K816" s="156"/>
      <c r="L816" s="156"/>
      <c r="M816" s="156"/>
      <c r="N816" s="156"/>
      <c r="O816" s="156"/>
      <c r="P816" s="156"/>
      <c r="Q816" s="155"/>
      <c r="R816" s="190"/>
      <c r="S816" s="191"/>
    </row>
    <row r="817" ht="29.25" hidden="1" customHeight="1">
      <c r="A817" s="155"/>
      <c r="B817" s="155"/>
      <c r="C817" s="155"/>
      <c r="D817" s="155"/>
      <c r="E817" s="155"/>
      <c r="F817" s="198"/>
      <c r="G817" s="155"/>
      <c r="H817" s="155"/>
      <c r="I817" s="156"/>
      <c r="J817" s="156"/>
      <c r="K817" s="156"/>
      <c r="L817" s="156"/>
      <c r="M817" s="156"/>
      <c r="N817" s="156"/>
      <c r="O817" s="156"/>
      <c r="P817" s="156"/>
      <c r="Q817" s="155"/>
      <c r="R817" s="190"/>
      <c r="S817" s="191"/>
    </row>
    <row r="818" ht="29.25" hidden="1" customHeight="1">
      <c r="A818" s="155"/>
      <c r="B818" s="155"/>
      <c r="C818" s="155"/>
      <c r="D818" s="155"/>
      <c r="E818" s="155"/>
      <c r="F818" s="198"/>
      <c r="G818" s="155"/>
      <c r="H818" s="155"/>
      <c r="I818" s="156"/>
      <c r="J818" s="156"/>
      <c r="K818" s="156"/>
      <c r="L818" s="156"/>
      <c r="M818" s="156"/>
      <c r="N818" s="156"/>
      <c r="O818" s="156"/>
      <c r="P818" s="156"/>
      <c r="Q818" s="155"/>
      <c r="R818" s="190"/>
      <c r="S818" s="191"/>
    </row>
    <row r="819" ht="29.25" hidden="1" customHeight="1">
      <c r="A819" s="155"/>
      <c r="B819" s="155"/>
      <c r="C819" s="155"/>
      <c r="D819" s="155"/>
      <c r="E819" s="155"/>
      <c r="F819" s="198"/>
      <c r="G819" s="155"/>
      <c r="H819" s="155"/>
      <c r="I819" s="156"/>
      <c r="J819" s="156"/>
      <c r="K819" s="156"/>
      <c r="L819" s="156"/>
      <c r="M819" s="156"/>
      <c r="N819" s="156"/>
      <c r="O819" s="156"/>
      <c r="P819" s="156"/>
      <c r="Q819" s="155"/>
      <c r="R819" s="190"/>
      <c r="S819" s="191"/>
    </row>
    <row r="820" ht="29.25" hidden="1" customHeight="1">
      <c r="A820" s="155"/>
      <c r="B820" s="155"/>
      <c r="C820" s="155"/>
      <c r="D820" s="155"/>
      <c r="E820" s="155"/>
      <c r="F820" s="198"/>
      <c r="G820" s="155"/>
      <c r="H820" s="155"/>
      <c r="I820" s="156"/>
      <c r="J820" s="156"/>
      <c r="K820" s="156"/>
      <c r="L820" s="156"/>
      <c r="M820" s="156"/>
      <c r="N820" s="156"/>
      <c r="O820" s="156"/>
      <c r="P820" s="156"/>
      <c r="Q820" s="155"/>
      <c r="R820" s="190"/>
      <c r="S820" s="191"/>
    </row>
    <row r="821" ht="29.25" hidden="1" customHeight="1">
      <c r="A821" s="155"/>
      <c r="B821" s="155"/>
      <c r="C821" s="155"/>
      <c r="D821" s="155"/>
      <c r="E821" s="155"/>
      <c r="F821" s="198"/>
      <c r="G821" s="155"/>
      <c r="H821" s="155"/>
      <c r="I821" s="156"/>
      <c r="J821" s="156"/>
      <c r="K821" s="156"/>
      <c r="L821" s="156"/>
      <c r="M821" s="156"/>
      <c r="N821" s="156"/>
      <c r="O821" s="156"/>
      <c r="P821" s="156"/>
      <c r="Q821" s="155"/>
      <c r="R821" s="190"/>
      <c r="S821" s="191"/>
    </row>
    <row r="822" ht="29.25" hidden="1" customHeight="1">
      <c r="A822" s="155"/>
      <c r="B822" s="155"/>
      <c r="C822" s="155"/>
      <c r="D822" s="155"/>
      <c r="E822" s="155"/>
      <c r="F822" s="198"/>
      <c r="G822" s="155"/>
      <c r="H822" s="155"/>
      <c r="I822" s="156"/>
      <c r="J822" s="156"/>
      <c r="K822" s="156"/>
      <c r="L822" s="156"/>
      <c r="M822" s="156"/>
      <c r="N822" s="156"/>
      <c r="O822" s="156"/>
      <c r="P822" s="156"/>
      <c r="Q822" s="155"/>
      <c r="R822" s="190"/>
      <c r="S822" s="191"/>
    </row>
    <row r="823" ht="29.25" hidden="1" customHeight="1">
      <c r="A823" s="155"/>
      <c r="B823" s="155"/>
      <c r="C823" s="155"/>
      <c r="D823" s="155"/>
      <c r="E823" s="155"/>
      <c r="F823" s="198"/>
      <c r="G823" s="155"/>
      <c r="H823" s="155"/>
      <c r="I823" s="156"/>
      <c r="J823" s="156"/>
      <c r="K823" s="156"/>
      <c r="L823" s="156"/>
      <c r="M823" s="156"/>
      <c r="N823" s="156"/>
      <c r="O823" s="156"/>
      <c r="P823" s="156"/>
      <c r="Q823" s="155"/>
      <c r="R823" s="190"/>
      <c r="S823" s="191"/>
    </row>
    <row r="824" ht="29.25" hidden="1" customHeight="1">
      <c r="A824" s="155"/>
      <c r="B824" s="155"/>
      <c r="C824" s="155"/>
      <c r="D824" s="155"/>
      <c r="E824" s="155"/>
      <c r="F824" s="198"/>
      <c r="G824" s="155"/>
      <c r="H824" s="155"/>
      <c r="I824" s="156"/>
      <c r="J824" s="156"/>
      <c r="K824" s="156"/>
      <c r="L824" s="156"/>
      <c r="M824" s="156"/>
      <c r="N824" s="156"/>
      <c r="O824" s="156"/>
      <c r="P824" s="156"/>
      <c r="Q824" s="155"/>
      <c r="R824" s="190"/>
      <c r="S824" s="191"/>
    </row>
    <row r="825" ht="29.25" hidden="1" customHeight="1">
      <c r="A825" s="155"/>
      <c r="B825" s="155"/>
      <c r="C825" s="155"/>
      <c r="D825" s="155"/>
      <c r="E825" s="155"/>
      <c r="F825" s="198"/>
      <c r="G825" s="155"/>
      <c r="H825" s="155"/>
      <c r="I825" s="156"/>
      <c r="J825" s="156"/>
      <c r="K825" s="156"/>
      <c r="L825" s="156"/>
      <c r="M825" s="156"/>
      <c r="N825" s="156"/>
      <c r="O825" s="156"/>
      <c r="P825" s="156"/>
      <c r="Q825" s="155"/>
      <c r="R825" s="190"/>
      <c r="S825" s="191"/>
    </row>
    <row r="826" ht="29.25" hidden="1" customHeight="1">
      <c r="A826" s="155"/>
      <c r="B826" s="155"/>
      <c r="C826" s="155"/>
      <c r="D826" s="155"/>
      <c r="E826" s="155"/>
      <c r="F826" s="198"/>
      <c r="G826" s="155"/>
      <c r="H826" s="155"/>
      <c r="I826" s="156"/>
      <c r="J826" s="156"/>
      <c r="K826" s="156"/>
      <c r="L826" s="156"/>
      <c r="M826" s="156"/>
      <c r="N826" s="156"/>
      <c r="O826" s="156"/>
      <c r="P826" s="156"/>
      <c r="Q826" s="155"/>
      <c r="R826" s="190"/>
      <c r="S826" s="191"/>
    </row>
    <row r="827" ht="29.25" hidden="1" customHeight="1">
      <c r="A827" s="155"/>
      <c r="B827" s="155"/>
      <c r="C827" s="155"/>
      <c r="D827" s="155"/>
      <c r="E827" s="155"/>
      <c r="F827" s="198"/>
      <c r="G827" s="155"/>
      <c r="H827" s="155"/>
      <c r="I827" s="156"/>
      <c r="J827" s="156"/>
      <c r="K827" s="156"/>
      <c r="L827" s="156"/>
      <c r="M827" s="156"/>
      <c r="N827" s="156"/>
      <c r="O827" s="156"/>
      <c r="P827" s="156"/>
      <c r="Q827" s="155"/>
      <c r="R827" s="190"/>
      <c r="S827" s="191"/>
    </row>
    <row r="828" ht="29.25" hidden="1" customHeight="1">
      <c r="A828" s="155"/>
      <c r="B828" s="155"/>
      <c r="C828" s="155"/>
      <c r="D828" s="155"/>
      <c r="E828" s="155"/>
      <c r="F828" s="198"/>
      <c r="G828" s="155"/>
      <c r="H828" s="155"/>
      <c r="I828" s="156"/>
      <c r="J828" s="156"/>
      <c r="K828" s="156"/>
      <c r="L828" s="156"/>
      <c r="M828" s="156"/>
      <c r="N828" s="156"/>
      <c r="O828" s="156"/>
      <c r="P828" s="156"/>
      <c r="Q828" s="155"/>
      <c r="R828" s="190"/>
      <c r="S828" s="191"/>
    </row>
    <row r="829" ht="29.25" hidden="1" customHeight="1">
      <c r="A829" s="155"/>
      <c r="B829" s="155"/>
      <c r="C829" s="155"/>
      <c r="D829" s="155"/>
      <c r="E829" s="155"/>
      <c r="F829" s="198"/>
      <c r="G829" s="155"/>
      <c r="H829" s="155"/>
      <c r="I829" s="156"/>
      <c r="J829" s="156"/>
      <c r="K829" s="156"/>
      <c r="L829" s="156"/>
      <c r="M829" s="156"/>
      <c r="N829" s="156"/>
      <c r="O829" s="156"/>
      <c r="P829" s="156"/>
      <c r="Q829" s="155"/>
      <c r="R829" s="190"/>
      <c r="S829" s="191"/>
    </row>
    <row r="830" ht="29.25" hidden="1" customHeight="1">
      <c r="A830" s="155"/>
      <c r="B830" s="155"/>
      <c r="C830" s="155"/>
      <c r="D830" s="155"/>
      <c r="E830" s="155"/>
      <c r="F830" s="198"/>
      <c r="G830" s="155"/>
      <c r="H830" s="155"/>
      <c r="I830" s="156"/>
      <c r="J830" s="156"/>
      <c r="K830" s="156"/>
      <c r="L830" s="156"/>
      <c r="M830" s="156"/>
      <c r="N830" s="156"/>
      <c r="O830" s="156"/>
      <c r="P830" s="156"/>
      <c r="Q830" s="155"/>
      <c r="R830" s="190"/>
      <c r="S830" s="191"/>
    </row>
    <row r="831" ht="29.25" hidden="1" customHeight="1">
      <c r="A831" s="155"/>
      <c r="B831" s="155"/>
      <c r="C831" s="155"/>
      <c r="D831" s="155"/>
      <c r="E831" s="155"/>
      <c r="F831" s="198"/>
      <c r="G831" s="155"/>
      <c r="H831" s="155"/>
      <c r="I831" s="156"/>
      <c r="J831" s="156"/>
      <c r="K831" s="156"/>
      <c r="L831" s="156"/>
      <c r="M831" s="156"/>
      <c r="N831" s="156"/>
      <c r="O831" s="156"/>
      <c r="P831" s="156"/>
      <c r="Q831" s="155"/>
      <c r="R831" s="190"/>
      <c r="S831" s="191"/>
    </row>
    <row r="832" ht="29.25" hidden="1" customHeight="1">
      <c r="A832" s="155"/>
      <c r="B832" s="155"/>
      <c r="C832" s="155"/>
      <c r="D832" s="155"/>
      <c r="E832" s="155"/>
      <c r="F832" s="198"/>
      <c r="G832" s="155"/>
      <c r="H832" s="155"/>
      <c r="I832" s="156"/>
      <c r="J832" s="156"/>
      <c r="K832" s="156"/>
      <c r="L832" s="156"/>
      <c r="M832" s="156"/>
      <c r="N832" s="156"/>
      <c r="O832" s="156"/>
      <c r="P832" s="156"/>
      <c r="Q832" s="155"/>
      <c r="R832" s="190"/>
      <c r="S832" s="191"/>
    </row>
    <row r="833" ht="29.25" hidden="1" customHeight="1">
      <c r="A833" s="155"/>
      <c r="B833" s="155"/>
      <c r="C833" s="155"/>
      <c r="D833" s="155"/>
      <c r="E833" s="155"/>
      <c r="F833" s="198"/>
      <c r="G833" s="155"/>
      <c r="H833" s="155"/>
      <c r="I833" s="156"/>
      <c r="J833" s="156"/>
      <c r="K833" s="156"/>
      <c r="L833" s="156"/>
      <c r="M833" s="156"/>
      <c r="N833" s="156"/>
      <c r="O833" s="156"/>
      <c r="P833" s="156"/>
      <c r="Q833" s="155"/>
      <c r="R833" s="190"/>
      <c r="S833" s="191"/>
    </row>
    <row r="834" ht="29.25" hidden="1" customHeight="1">
      <c r="A834" s="155"/>
      <c r="B834" s="155"/>
      <c r="C834" s="155"/>
      <c r="D834" s="155"/>
      <c r="E834" s="155"/>
      <c r="F834" s="198"/>
      <c r="G834" s="155"/>
      <c r="H834" s="155"/>
      <c r="I834" s="156"/>
      <c r="J834" s="156"/>
      <c r="K834" s="156"/>
      <c r="L834" s="156"/>
      <c r="M834" s="156"/>
      <c r="N834" s="156"/>
      <c r="O834" s="156"/>
      <c r="P834" s="156"/>
      <c r="Q834" s="155"/>
      <c r="R834" s="190"/>
      <c r="S834" s="191"/>
    </row>
    <row r="835" ht="29.25" hidden="1" customHeight="1">
      <c r="A835" s="155"/>
      <c r="B835" s="155"/>
      <c r="C835" s="155"/>
      <c r="D835" s="155"/>
      <c r="E835" s="155"/>
      <c r="F835" s="198"/>
      <c r="G835" s="155"/>
      <c r="H835" s="155"/>
      <c r="I835" s="156"/>
      <c r="J835" s="156"/>
      <c r="K835" s="156"/>
      <c r="L835" s="156"/>
      <c r="M835" s="156"/>
      <c r="N835" s="156"/>
      <c r="O835" s="156"/>
      <c r="P835" s="156"/>
      <c r="Q835" s="155"/>
      <c r="R835" s="190"/>
      <c r="S835" s="191"/>
    </row>
    <row r="836" ht="29.25" hidden="1" customHeight="1">
      <c r="A836" s="155"/>
      <c r="B836" s="155"/>
      <c r="C836" s="155"/>
      <c r="D836" s="155"/>
      <c r="E836" s="155"/>
      <c r="F836" s="198"/>
      <c r="G836" s="155"/>
      <c r="H836" s="155"/>
      <c r="I836" s="156"/>
      <c r="J836" s="156"/>
      <c r="K836" s="156"/>
      <c r="L836" s="156"/>
      <c r="M836" s="156"/>
      <c r="N836" s="156"/>
      <c r="O836" s="156"/>
      <c r="P836" s="156"/>
      <c r="Q836" s="155"/>
      <c r="R836" s="190"/>
      <c r="S836" s="191"/>
    </row>
    <row r="837" ht="29.25" hidden="1" customHeight="1">
      <c r="A837" s="155"/>
      <c r="B837" s="155"/>
      <c r="C837" s="155"/>
      <c r="D837" s="155"/>
      <c r="E837" s="155"/>
      <c r="F837" s="198"/>
      <c r="G837" s="155"/>
      <c r="H837" s="155"/>
      <c r="I837" s="156"/>
      <c r="J837" s="156"/>
      <c r="K837" s="156"/>
      <c r="L837" s="156"/>
      <c r="M837" s="156"/>
      <c r="N837" s="156"/>
      <c r="O837" s="156"/>
      <c r="P837" s="156"/>
      <c r="Q837" s="155"/>
      <c r="R837" s="190"/>
      <c r="S837" s="191"/>
    </row>
    <row r="838" ht="29.25" hidden="1" customHeight="1">
      <c r="A838" s="155"/>
      <c r="B838" s="155"/>
      <c r="C838" s="155"/>
      <c r="D838" s="155"/>
      <c r="E838" s="155"/>
      <c r="F838" s="198"/>
      <c r="G838" s="155"/>
      <c r="H838" s="155"/>
      <c r="I838" s="156"/>
      <c r="J838" s="156"/>
      <c r="K838" s="156"/>
      <c r="L838" s="156"/>
      <c r="M838" s="156"/>
      <c r="N838" s="156"/>
      <c r="O838" s="156"/>
      <c r="P838" s="156"/>
      <c r="Q838" s="155"/>
      <c r="R838" s="190"/>
      <c r="S838" s="191"/>
    </row>
    <row r="839" ht="29.25" hidden="1" customHeight="1">
      <c r="A839" s="155"/>
      <c r="B839" s="155"/>
      <c r="C839" s="155"/>
      <c r="D839" s="155"/>
      <c r="E839" s="155"/>
      <c r="F839" s="198"/>
      <c r="G839" s="155"/>
      <c r="H839" s="155"/>
      <c r="I839" s="156"/>
      <c r="J839" s="156"/>
      <c r="K839" s="156"/>
      <c r="L839" s="156"/>
      <c r="M839" s="156"/>
      <c r="N839" s="156"/>
      <c r="O839" s="156"/>
      <c r="P839" s="156"/>
      <c r="Q839" s="155"/>
      <c r="R839" s="190"/>
      <c r="S839" s="191"/>
    </row>
    <row r="840" ht="29.25" hidden="1" customHeight="1">
      <c r="A840" s="155"/>
      <c r="B840" s="155"/>
      <c r="C840" s="155"/>
      <c r="D840" s="155"/>
      <c r="E840" s="155"/>
      <c r="F840" s="198"/>
      <c r="G840" s="155"/>
      <c r="H840" s="155"/>
      <c r="I840" s="156"/>
      <c r="J840" s="156"/>
      <c r="K840" s="156"/>
      <c r="L840" s="156"/>
      <c r="M840" s="156"/>
      <c r="N840" s="156"/>
      <c r="O840" s="156"/>
      <c r="P840" s="156"/>
      <c r="Q840" s="155"/>
      <c r="R840" s="190"/>
      <c r="S840" s="191"/>
    </row>
    <row r="841" ht="29.25" hidden="1" customHeight="1">
      <c r="A841" s="155"/>
      <c r="B841" s="155"/>
      <c r="C841" s="155"/>
      <c r="D841" s="155"/>
      <c r="E841" s="155"/>
      <c r="F841" s="198"/>
      <c r="G841" s="155"/>
      <c r="H841" s="155"/>
      <c r="I841" s="156"/>
      <c r="J841" s="156"/>
      <c r="K841" s="156"/>
      <c r="L841" s="156"/>
      <c r="M841" s="156"/>
      <c r="N841" s="156"/>
      <c r="O841" s="156"/>
      <c r="P841" s="156"/>
      <c r="Q841" s="155"/>
      <c r="R841" s="190"/>
      <c r="S841" s="191"/>
    </row>
    <row r="842" ht="29.25" hidden="1" customHeight="1">
      <c r="A842" s="155"/>
      <c r="B842" s="155"/>
      <c r="C842" s="155"/>
      <c r="D842" s="155"/>
      <c r="E842" s="155"/>
      <c r="F842" s="198"/>
      <c r="G842" s="155"/>
      <c r="H842" s="155"/>
      <c r="I842" s="156"/>
      <c r="J842" s="156"/>
      <c r="K842" s="156"/>
      <c r="L842" s="156"/>
      <c r="M842" s="156"/>
      <c r="N842" s="156"/>
      <c r="O842" s="156"/>
      <c r="P842" s="156"/>
      <c r="Q842" s="155"/>
      <c r="R842" s="190"/>
      <c r="S842" s="191"/>
    </row>
    <row r="843" ht="29.25" hidden="1" customHeight="1">
      <c r="A843" s="155"/>
      <c r="B843" s="155"/>
      <c r="C843" s="155"/>
      <c r="D843" s="155"/>
      <c r="E843" s="155"/>
      <c r="F843" s="198"/>
      <c r="G843" s="155"/>
      <c r="H843" s="155"/>
      <c r="I843" s="156"/>
      <c r="J843" s="156"/>
      <c r="K843" s="156"/>
      <c r="L843" s="156"/>
      <c r="M843" s="156"/>
      <c r="N843" s="156"/>
      <c r="O843" s="156"/>
      <c r="P843" s="156"/>
      <c r="Q843" s="155"/>
      <c r="R843" s="190"/>
      <c r="S843" s="191"/>
    </row>
    <row r="844" ht="29.25" hidden="1" customHeight="1">
      <c r="A844" s="155"/>
      <c r="B844" s="155"/>
      <c r="C844" s="155"/>
      <c r="D844" s="155"/>
      <c r="E844" s="155"/>
      <c r="F844" s="198"/>
      <c r="G844" s="155"/>
      <c r="H844" s="155"/>
      <c r="I844" s="156"/>
      <c r="J844" s="156"/>
      <c r="K844" s="156"/>
      <c r="L844" s="156"/>
      <c r="M844" s="156"/>
      <c r="N844" s="156"/>
      <c r="O844" s="156"/>
      <c r="P844" s="156"/>
      <c r="Q844" s="155"/>
      <c r="R844" s="190"/>
      <c r="S844" s="191"/>
    </row>
    <row r="845" ht="29.25" hidden="1" customHeight="1">
      <c r="A845" s="155"/>
      <c r="B845" s="155"/>
      <c r="C845" s="155"/>
      <c r="D845" s="155"/>
      <c r="E845" s="155"/>
      <c r="F845" s="198"/>
      <c r="G845" s="155"/>
      <c r="H845" s="155"/>
      <c r="I845" s="156"/>
      <c r="J845" s="156"/>
      <c r="K845" s="156"/>
      <c r="L845" s="156"/>
      <c r="M845" s="156"/>
      <c r="N845" s="156"/>
      <c r="O845" s="156"/>
      <c r="P845" s="156"/>
      <c r="Q845" s="155"/>
      <c r="R845" s="190"/>
      <c r="S845" s="191"/>
    </row>
    <row r="846" ht="29.25" hidden="1" customHeight="1">
      <c r="A846" s="155"/>
      <c r="B846" s="155"/>
      <c r="C846" s="155"/>
      <c r="D846" s="155"/>
      <c r="E846" s="155"/>
      <c r="F846" s="198"/>
      <c r="G846" s="155"/>
      <c r="H846" s="155"/>
      <c r="I846" s="156"/>
      <c r="J846" s="156"/>
      <c r="K846" s="156"/>
      <c r="L846" s="156"/>
      <c r="M846" s="156"/>
      <c r="N846" s="156"/>
      <c r="O846" s="156"/>
      <c r="P846" s="156"/>
      <c r="Q846" s="155"/>
      <c r="R846" s="190"/>
      <c r="S846" s="191"/>
    </row>
    <row r="847" ht="29.25" hidden="1" customHeight="1">
      <c r="A847" s="155"/>
      <c r="B847" s="155"/>
      <c r="C847" s="155"/>
      <c r="D847" s="155"/>
      <c r="E847" s="155"/>
      <c r="F847" s="198"/>
      <c r="G847" s="155"/>
      <c r="H847" s="155"/>
      <c r="I847" s="156"/>
      <c r="J847" s="156"/>
      <c r="K847" s="156"/>
      <c r="L847" s="156"/>
      <c r="M847" s="156"/>
      <c r="N847" s="156"/>
      <c r="O847" s="156"/>
      <c r="P847" s="156"/>
      <c r="Q847" s="155"/>
      <c r="R847" s="190"/>
      <c r="S847" s="191"/>
    </row>
    <row r="848" ht="29.25" hidden="1" customHeight="1">
      <c r="A848" s="155"/>
      <c r="B848" s="155"/>
      <c r="C848" s="155"/>
      <c r="D848" s="155"/>
      <c r="E848" s="155"/>
      <c r="F848" s="198"/>
      <c r="G848" s="155"/>
      <c r="H848" s="155"/>
      <c r="I848" s="156"/>
      <c r="J848" s="156"/>
      <c r="K848" s="156"/>
      <c r="L848" s="156"/>
      <c r="M848" s="156"/>
      <c r="N848" s="156"/>
      <c r="O848" s="156"/>
      <c r="P848" s="156"/>
      <c r="Q848" s="155"/>
      <c r="R848" s="190"/>
      <c r="S848" s="191"/>
    </row>
    <row r="849" ht="29.25" hidden="1" customHeight="1">
      <c r="A849" s="155"/>
      <c r="B849" s="155"/>
      <c r="C849" s="155"/>
      <c r="D849" s="155"/>
      <c r="E849" s="155"/>
      <c r="F849" s="198"/>
      <c r="G849" s="155"/>
      <c r="H849" s="155"/>
      <c r="I849" s="156"/>
      <c r="J849" s="156"/>
      <c r="K849" s="156"/>
      <c r="L849" s="156"/>
      <c r="M849" s="156"/>
      <c r="N849" s="156"/>
      <c r="O849" s="156"/>
      <c r="P849" s="156"/>
      <c r="Q849" s="155"/>
      <c r="R849" s="190"/>
      <c r="S849" s="191"/>
    </row>
    <row r="850" ht="29.25" hidden="1" customHeight="1">
      <c r="A850" s="155"/>
      <c r="B850" s="155"/>
      <c r="C850" s="155"/>
      <c r="D850" s="155"/>
      <c r="E850" s="155"/>
      <c r="F850" s="198"/>
      <c r="G850" s="155"/>
      <c r="H850" s="155"/>
      <c r="I850" s="156"/>
      <c r="J850" s="156"/>
      <c r="K850" s="156"/>
      <c r="L850" s="156"/>
      <c r="M850" s="156"/>
      <c r="N850" s="156"/>
      <c r="O850" s="156"/>
      <c r="P850" s="156"/>
      <c r="Q850" s="155"/>
      <c r="R850" s="190"/>
      <c r="S850" s="191"/>
    </row>
    <row r="851" ht="29.25" hidden="1" customHeight="1">
      <c r="A851" s="155"/>
      <c r="B851" s="155"/>
      <c r="C851" s="155"/>
      <c r="D851" s="155"/>
      <c r="E851" s="155"/>
      <c r="F851" s="198"/>
      <c r="G851" s="155"/>
      <c r="H851" s="155"/>
      <c r="I851" s="156"/>
      <c r="J851" s="156"/>
      <c r="K851" s="156"/>
      <c r="L851" s="156"/>
      <c r="M851" s="156"/>
      <c r="N851" s="156"/>
      <c r="O851" s="156"/>
      <c r="P851" s="156"/>
      <c r="Q851" s="155"/>
      <c r="R851" s="190"/>
      <c r="S851" s="191"/>
    </row>
    <row r="852" ht="29.25" hidden="1" customHeight="1">
      <c r="A852" s="155"/>
      <c r="B852" s="155"/>
      <c r="C852" s="155"/>
      <c r="D852" s="155"/>
      <c r="E852" s="155"/>
      <c r="F852" s="198"/>
      <c r="G852" s="155"/>
      <c r="H852" s="155"/>
      <c r="I852" s="156"/>
      <c r="J852" s="156"/>
      <c r="K852" s="156"/>
      <c r="L852" s="156"/>
      <c r="M852" s="156"/>
      <c r="N852" s="156"/>
      <c r="O852" s="156"/>
      <c r="P852" s="156"/>
      <c r="Q852" s="155"/>
      <c r="R852" s="190"/>
      <c r="S852" s="191"/>
    </row>
    <row r="853" ht="29.25" hidden="1" customHeight="1">
      <c r="A853" s="155"/>
      <c r="B853" s="155"/>
      <c r="C853" s="155"/>
      <c r="D853" s="155"/>
      <c r="E853" s="155"/>
      <c r="F853" s="198"/>
      <c r="G853" s="155"/>
      <c r="H853" s="155"/>
      <c r="I853" s="156"/>
      <c r="J853" s="156"/>
      <c r="K853" s="156"/>
      <c r="L853" s="156"/>
      <c r="M853" s="156"/>
      <c r="N853" s="156"/>
      <c r="O853" s="156"/>
      <c r="P853" s="156"/>
      <c r="Q853" s="155"/>
      <c r="R853" s="190"/>
      <c r="S853" s="191"/>
    </row>
    <row r="854" ht="29.25" hidden="1" customHeight="1">
      <c r="A854" s="155"/>
      <c r="B854" s="155"/>
      <c r="C854" s="155"/>
      <c r="D854" s="155"/>
      <c r="E854" s="155"/>
      <c r="F854" s="198"/>
      <c r="G854" s="155"/>
      <c r="H854" s="155"/>
      <c r="I854" s="156"/>
      <c r="J854" s="156"/>
      <c r="K854" s="156"/>
      <c r="L854" s="156"/>
      <c r="M854" s="156"/>
      <c r="N854" s="156"/>
      <c r="O854" s="156"/>
      <c r="P854" s="156"/>
      <c r="Q854" s="155"/>
      <c r="R854" s="190"/>
      <c r="S854" s="191"/>
    </row>
    <row r="855" ht="29.25" hidden="1" customHeight="1">
      <c r="A855" s="155"/>
      <c r="B855" s="155"/>
      <c r="C855" s="155"/>
      <c r="D855" s="155"/>
      <c r="E855" s="155"/>
      <c r="F855" s="198"/>
      <c r="G855" s="155"/>
      <c r="H855" s="155"/>
      <c r="I855" s="156"/>
      <c r="J855" s="156"/>
      <c r="K855" s="156"/>
      <c r="L855" s="156"/>
      <c r="M855" s="156"/>
      <c r="N855" s="156"/>
      <c r="O855" s="156"/>
      <c r="P855" s="156"/>
      <c r="Q855" s="155"/>
      <c r="R855" s="190"/>
      <c r="S855" s="191"/>
    </row>
    <row r="856" ht="29.25" hidden="1" customHeight="1">
      <c r="A856" s="155"/>
      <c r="B856" s="155"/>
      <c r="C856" s="155"/>
      <c r="D856" s="155"/>
      <c r="E856" s="155"/>
      <c r="F856" s="198"/>
      <c r="G856" s="155"/>
      <c r="H856" s="155"/>
      <c r="I856" s="156"/>
      <c r="J856" s="156"/>
      <c r="K856" s="156"/>
      <c r="L856" s="156"/>
      <c r="M856" s="156"/>
      <c r="N856" s="156"/>
      <c r="O856" s="156"/>
      <c r="P856" s="156"/>
      <c r="Q856" s="155"/>
      <c r="R856" s="190"/>
      <c r="S856" s="191"/>
    </row>
    <row r="857" ht="29.25" hidden="1" customHeight="1">
      <c r="A857" s="155"/>
      <c r="B857" s="155"/>
      <c r="C857" s="155"/>
      <c r="D857" s="155"/>
      <c r="E857" s="155"/>
      <c r="F857" s="198"/>
      <c r="G857" s="155"/>
      <c r="H857" s="155"/>
      <c r="I857" s="156"/>
      <c r="J857" s="156"/>
      <c r="K857" s="156"/>
      <c r="L857" s="156"/>
      <c r="M857" s="156"/>
      <c r="N857" s="156"/>
      <c r="O857" s="156"/>
      <c r="P857" s="156"/>
      <c r="Q857" s="155"/>
      <c r="R857" s="190"/>
      <c r="S857" s="191"/>
    </row>
    <row r="858" ht="29.25" hidden="1" customHeight="1">
      <c r="A858" s="155"/>
      <c r="B858" s="155"/>
      <c r="C858" s="155"/>
      <c r="D858" s="155"/>
      <c r="E858" s="155"/>
      <c r="F858" s="198"/>
      <c r="G858" s="155"/>
      <c r="H858" s="155"/>
      <c r="I858" s="156"/>
      <c r="J858" s="156"/>
      <c r="K858" s="156"/>
      <c r="L858" s="156"/>
      <c r="M858" s="156"/>
      <c r="N858" s="156"/>
      <c r="O858" s="156"/>
      <c r="P858" s="156"/>
      <c r="Q858" s="155"/>
      <c r="R858" s="190"/>
      <c r="S858" s="191"/>
    </row>
    <row r="859" ht="29.25" hidden="1" customHeight="1">
      <c r="A859" s="155"/>
      <c r="B859" s="155"/>
      <c r="C859" s="155"/>
      <c r="D859" s="155"/>
      <c r="E859" s="155"/>
      <c r="F859" s="198"/>
      <c r="G859" s="155"/>
      <c r="H859" s="155"/>
      <c r="I859" s="156"/>
      <c r="J859" s="156"/>
      <c r="K859" s="156"/>
      <c r="L859" s="156"/>
      <c r="M859" s="156"/>
      <c r="N859" s="156"/>
      <c r="O859" s="156"/>
      <c r="P859" s="156"/>
      <c r="Q859" s="155"/>
      <c r="R859" s="190"/>
      <c r="S859" s="191"/>
    </row>
    <row r="860" ht="29.25" hidden="1" customHeight="1">
      <c r="A860" s="155"/>
      <c r="B860" s="155"/>
      <c r="C860" s="155"/>
      <c r="D860" s="155"/>
      <c r="E860" s="155"/>
      <c r="F860" s="198"/>
      <c r="G860" s="155"/>
      <c r="H860" s="155"/>
      <c r="I860" s="156"/>
      <c r="J860" s="156"/>
      <c r="K860" s="156"/>
      <c r="L860" s="156"/>
      <c r="M860" s="156"/>
      <c r="N860" s="156"/>
      <c r="O860" s="156"/>
      <c r="P860" s="156"/>
      <c r="Q860" s="155"/>
      <c r="R860" s="190"/>
      <c r="S860" s="191"/>
    </row>
    <row r="861" ht="29.25" hidden="1" customHeight="1">
      <c r="A861" s="155"/>
      <c r="B861" s="155"/>
      <c r="C861" s="155"/>
      <c r="D861" s="155"/>
      <c r="E861" s="155"/>
      <c r="F861" s="198"/>
      <c r="G861" s="155"/>
      <c r="H861" s="155"/>
      <c r="I861" s="156"/>
      <c r="J861" s="156"/>
      <c r="K861" s="156"/>
      <c r="L861" s="156"/>
      <c r="M861" s="156"/>
      <c r="N861" s="156"/>
      <c r="O861" s="156"/>
      <c r="P861" s="156"/>
      <c r="Q861" s="155"/>
      <c r="R861" s="190"/>
      <c r="S861" s="191"/>
    </row>
    <row r="862" ht="29.25" hidden="1" customHeight="1">
      <c r="A862" s="155"/>
      <c r="B862" s="155"/>
      <c r="C862" s="155"/>
      <c r="D862" s="155"/>
      <c r="E862" s="155"/>
      <c r="F862" s="198"/>
      <c r="G862" s="155"/>
      <c r="H862" s="155"/>
      <c r="I862" s="156"/>
      <c r="J862" s="156"/>
      <c r="K862" s="156"/>
      <c r="L862" s="156"/>
      <c r="M862" s="156"/>
      <c r="N862" s="156"/>
      <c r="O862" s="156"/>
      <c r="P862" s="156"/>
      <c r="Q862" s="155"/>
      <c r="R862" s="190"/>
      <c r="S862" s="191"/>
    </row>
    <row r="863" ht="29.25" hidden="1" customHeight="1">
      <c r="A863" s="155"/>
      <c r="B863" s="155"/>
      <c r="C863" s="155"/>
      <c r="D863" s="155"/>
      <c r="E863" s="155"/>
      <c r="F863" s="198"/>
      <c r="G863" s="155"/>
      <c r="H863" s="155"/>
      <c r="I863" s="156"/>
      <c r="J863" s="156"/>
      <c r="K863" s="156"/>
      <c r="L863" s="156"/>
      <c r="M863" s="156"/>
      <c r="N863" s="156"/>
      <c r="O863" s="156"/>
      <c r="P863" s="156"/>
      <c r="Q863" s="155"/>
      <c r="R863" s="190"/>
      <c r="S863" s="191"/>
    </row>
    <row r="864" ht="29.25" hidden="1" customHeight="1">
      <c r="A864" s="155"/>
      <c r="B864" s="155"/>
      <c r="C864" s="155"/>
      <c r="D864" s="155"/>
      <c r="E864" s="155"/>
      <c r="F864" s="198"/>
      <c r="G864" s="155"/>
      <c r="H864" s="155"/>
      <c r="I864" s="156"/>
      <c r="J864" s="156"/>
      <c r="K864" s="156"/>
      <c r="L864" s="156"/>
      <c r="M864" s="156"/>
      <c r="N864" s="156"/>
      <c r="O864" s="156"/>
      <c r="P864" s="156"/>
      <c r="Q864" s="155"/>
      <c r="R864" s="190"/>
      <c r="S864" s="191"/>
    </row>
    <row r="865" ht="29.25" hidden="1" customHeight="1">
      <c r="A865" s="155"/>
      <c r="B865" s="155"/>
      <c r="C865" s="155"/>
      <c r="D865" s="155"/>
      <c r="E865" s="155"/>
      <c r="F865" s="198"/>
      <c r="G865" s="155"/>
      <c r="H865" s="155"/>
      <c r="I865" s="156"/>
      <c r="J865" s="156"/>
      <c r="K865" s="156"/>
      <c r="L865" s="156"/>
      <c r="M865" s="156"/>
      <c r="N865" s="156"/>
      <c r="O865" s="156"/>
      <c r="P865" s="156"/>
      <c r="Q865" s="155"/>
      <c r="R865" s="190"/>
      <c r="S865" s="191"/>
    </row>
    <row r="866" ht="29.25" hidden="1" customHeight="1">
      <c r="A866" s="155"/>
      <c r="B866" s="155"/>
      <c r="C866" s="155"/>
      <c r="D866" s="155"/>
      <c r="E866" s="155"/>
      <c r="F866" s="198"/>
      <c r="G866" s="155"/>
      <c r="H866" s="155"/>
      <c r="I866" s="156"/>
      <c r="J866" s="156"/>
      <c r="K866" s="156"/>
      <c r="L866" s="156"/>
      <c r="M866" s="156"/>
      <c r="N866" s="156"/>
      <c r="O866" s="156"/>
      <c r="P866" s="156"/>
      <c r="Q866" s="155"/>
      <c r="R866" s="190"/>
      <c r="S866" s="191"/>
    </row>
    <row r="867" ht="29.25" hidden="1" customHeight="1">
      <c r="A867" s="155"/>
      <c r="B867" s="155"/>
      <c r="C867" s="155"/>
      <c r="D867" s="155"/>
      <c r="E867" s="155"/>
      <c r="F867" s="198"/>
      <c r="G867" s="155"/>
      <c r="H867" s="155"/>
      <c r="I867" s="156"/>
      <c r="J867" s="156"/>
      <c r="K867" s="156"/>
      <c r="L867" s="156"/>
      <c r="M867" s="156"/>
      <c r="N867" s="156"/>
      <c r="O867" s="156"/>
      <c r="P867" s="156"/>
      <c r="Q867" s="155"/>
      <c r="R867" s="190"/>
      <c r="S867" s="191"/>
    </row>
    <row r="868" ht="29.25" hidden="1" customHeight="1">
      <c r="A868" s="155"/>
      <c r="B868" s="155"/>
      <c r="C868" s="155"/>
      <c r="D868" s="155"/>
      <c r="E868" s="155"/>
      <c r="F868" s="198"/>
      <c r="G868" s="155"/>
      <c r="H868" s="155"/>
      <c r="I868" s="156"/>
      <c r="J868" s="156"/>
      <c r="K868" s="156"/>
      <c r="L868" s="156"/>
      <c r="M868" s="156"/>
      <c r="N868" s="156"/>
      <c r="O868" s="156"/>
      <c r="P868" s="156"/>
      <c r="Q868" s="155"/>
      <c r="R868" s="190"/>
      <c r="S868" s="191"/>
    </row>
    <row r="869" ht="29.25" hidden="1" customHeight="1">
      <c r="A869" s="155"/>
      <c r="B869" s="155"/>
      <c r="C869" s="155"/>
      <c r="D869" s="155"/>
      <c r="E869" s="155"/>
      <c r="F869" s="198"/>
      <c r="G869" s="155"/>
      <c r="H869" s="155"/>
      <c r="I869" s="156"/>
      <c r="J869" s="156"/>
      <c r="K869" s="156"/>
      <c r="L869" s="156"/>
      <c r="M869" s="156"/>
      <c r="N869" s="156"/>
      <c r="O869" s="156"/>
      <c r="P869" s="156"/>
      <c r="Q869" s="155"/>
      <c r="R869" s="190"/>
      <c r="S869" s="191"/>
    </row>
    <row r="870" ht="29.25" hidden="1" customHeight="1">
      <c r="A870" s="155"/>
      <c r="B870" s="155"/>
      <c r="C870" s="155"/>
      <c r="D870" s="155"/>
      <c r="E870" s="155"/>
      <c r="F870" s="198"/>
      <c r="G870" s="155"/>
      <c r="H870" s="155"/>
      <c r="I870" s="156"/>
      <c r="J870" s="156"/>
      <c r="K870" s="156"/>
      <c r="L870" s="156"/>
      <c r="M870" s="156"/>
      <c r="N870" s="156"/>
      <c r="O870" s="156"/>
      <c r="P870" s="156"/>
      <c r="Q870" s="155"/>
      <c r="R870" s="190"/>
      <c r="S870" s="191"/>
    </row>
    <row r="871" ht="29.25" hidden="1" customHeight="1">
      <c r="A871" s="155"/>
      <c r="B871" s="155"/>
      <c r="C871" s="155"/>
      <c r="D871" s="155"/>
      <c r="E871" s="155"/>
      <c r="F871" s="198"/>
      <c r="G871" s="155"/>
      <c r="H871" s="155"/>
      <c r="I871" s="156"/>
      <c r="J871" s="156"/>
      <c r="K871" s="156"/>
      <c r="L871" s="156"/>
      <c r="M871" s="156"/>
      <c r="N871" s="156"/>
      <c r="O871" s="156"/>
      <c r="P871" s="156"/>
      <c r="Q871" s="155"/>
      <c r="R871" s="190"/>
      <c r="S871" s="191"/>
    </row>
    <row r="872" ht="29.25" hidden="1" customHeight="1">
      <c r="A872" s="155"/>
      <c r="B872" s="155"/>
      <c r="C872" s="155"/>
      <c r="D872" s="155"/>
      <c r="E872" s="155"/>
      <c r="F872" s="198"/>
      <c r="G872" s="155"/>
      <c r="H872" s="155"/>
      <c r="I872" s="156"/>
      <c r="J872" s="156"/>
      <c r="K872" s="156"/>
      <c r="L872" s="156"/>
      <c r="M872" s="156"/>
      <c r="N872" s="156"/>
      <c r="O872" s="156"/>
      <c r="P872" s="156"/>
      <c r="Q872" s="155"/>
      <c r="R872" s="190"/>
      <c r="S872" s="191"/>
    </row>
    <row r="873" ht="29.25" hidden="1" customHeight="1">
      <c r="A873" s="155"/>
      <c r="B873" s="155"/>
      <c r="C873" s="155"/>
      <c r="D873" s="155"/>
      <c r="E873" s="155"/>
      <c r="F873" s="198"/>
      <c r="G873" s="155"/>
      <c r="H873" s="155"/>
      <c r="I873" s="156"/>
      <c r="J873" s="156"/>
      <c r="K873" s="156"/>
      <c r="L873" s="156"/>
      <c r="M873" s="156"/>
      <c r="N873" s="156"/>
      <c r="O873" s="156"/>
      <c r="P873" s="156"/>
      <c r="Q873" s="155"/>
      <c r="R873" s="190"/>
      <c r="S873" s="191"/>
    </row>
    <row r="874" ht="29.25" hidden="1" customHeight="1">
      <c r="A874" s="155"/>
      <c r="B874" s="155"/>
      <c r="C874" s="155"/>
      <c r="D874" s="155"/>
      <c r="E874" s="155"/>
      <c r="F874" s="198"/>
      <c r="G874" s="155"/>
      <c r="H874" s="155"/>
      <c r="I874" s="156"/>
      <c r="J874" s="156"/>
      <c r="K874" s="156"/>
      <c r="L874" s="156"/>
      <c r="M874" s="156"/>
      <c r="N874" s="156"/>
      <c r="O874" s="156"/>
      <c r="P874" s="156"/>
      <c r="Q874" s="155"/>
      <c r="R874" s="190"/>
      <c r="S874" s="191"/>
    </row>
    <row r="875" ht="29.25" hidden="1" customHeight="1">
      <c r="A875" s="155"/>
      <c r="B875" s="155"/>
      <c r="C875" s="155"/>
      <c r="D875" s="155"/>
      <c r="E875" s="155"/>
      <c r="F875" s="198"/>
      <c r="G875" s="155"/>
      <c r="H875" s="155"/>
      <c r="I875" s="156"/>
      <c r="J875" s="156"/>
      <c r="K875" s="156"/>
      <c r="L875" s="156"/>
      <c r="M875" s="156"/>
      <c r="N875" s="156"/>
      <c r="O875" s="156"/>
      <c r="P875" s="156"/>
      <c r="Q875" s="155"/>
      <c r="R875" s="190"/>
      <c r="S875" s="191"/>
    </row>
    <row r="876" ht="29.25" hidden="1" customHeight="1">
      <c r="A876" s="155"/>
      <c r="B876" s="155"/>
      <c r="C876" s="155"/>
      <c r="D876" s="155"/>
      <c r="E876" s="155"/>
      <c r="F876" s="198"/>
      <c r="G876" s="155"/>
      <c r="H876" s="155"/>
      <c r="I876" s="156"/>
      <c r="J876" s="156"/>
      <c r="K876" s="156"/>
      <c r="L876" s="156"/>
      <c r="M876" s="156"/>
      <c r="N876" s="156"/>
      <c r="O876" s="156"/>
      <c r="P876" s="156"/>
      <c r="Q876" s="155"/>
      <c r="R876" s="190"/>
      <c r="S876" s="191"/>
    </row>
    <row r="877" ht="29.25" hidden="1" customHeight="1">
      <c r="A877" s="155"/>
      <c r="B877" s="155"/>
      <c r="C877" s="155"/>
      <c r="D877" s="155"/>
      <c r="E877" s="155"/>
      <c r="F877" s="198"/>
      <c r="G877" s="155"/>
      <c r="H877" s="155"/>
      <c r="I877" s="156"/>
      <c r="J877" s="156"/>
      <c r="K877" s="156"/>
      <c r="L877" s="156"/>
      <c r="M877" s="156"/>
      <c r="N877" s="156"/>
      <c r="O877" s="156"/>
      <c r="P877" s="156"/>
      <c r="Q877" s="155"/>
      <c r="R877" s="190"/>
      <c r="S877" s="191"/>
    </row>
    <row r="878" ht="29.25" hidden="1" customHeight="1">
      <c r="A878" s="155"/>
      <c r="B878" s="155"/>
      <c r="C878" s="155"/>
      <c r="D878" s="155"/>
      <c r="E878" s="155"/>
      <c r="F878" s="198"/>
      <c r="G878" s="155"/>
      <c r="H878" s="155"/>
      <c r="I878" s="156"/>
      <c r="J878" s="156"/>
      <c r="K878" s="156"/>
      <c r="L878" s="156"/>
      <c r="M878" s="156"/>
      <c r="N878" s="156"/>
      <c r="O878" s="156"/>
      <c r="P878" s="156"/>
      <c r="Q878" s="155"/>
      <c r="R878" s="190"/>
      <c r="S878" s="191"/>
    </row>
    <row r="879" ht="29.25" hidden="1" customHeight="1">
      <c r="A879" s="155"/>
      <c r="B879" s="155"/>
      <c r="C879" s="155"/>
      <c r="D879" s="155"/>
      <c r="E879" s="155"/>
      <c r="F879" s="198"/>
      <c r="G879" s="155"/>
      <c r="H879" s="155"/>
      <c r="I879" s="156"/>
      <c r="J879" s="156"/>
      <c r="K879" s="156"/>
      <c r="L879" s="156"/>
      <c r="M879" s="156"/>
      <c r="N879" s="156"/>
      <c r="O879" s="156"/>
      <c r="P879" s="156"/>
      <c r="Q879" s="155"/>
      <c r="R879" s="190"/>
      <c r="S879" s="191"/>
    </row>
    <row r="880" ht="29.25" hidden="1" customHeight="1">
      <c r="A880" s="155"/>
      <c r="B880" s="155"/>
      <c r="C880" s="155"/>
      <c r="D880" s="155"/>
      <c r="E880" s="155"/>
      <c r="F880" s="198"/>
      <c r="G880" s="155"/>
      <c r="H880" s="155"/>
      <c r="I880" s="156"/>
      <c r="J880" s="156"/>
      <c r="K880" s="156"/>
      <c r="L880" s="156"/>
      <c r="M880" s="156"/>
      <c r="N880" s="156"/>
      <c r="O880" s="156"/>
      <c r="P880" s="156"/>
      <c r="Q880" s="155"/>
      <c r="R880" s="190"/>
      <c r="S880" s="191"/>
    </row>
    <row r="881" ht="29.25" hidden="1" customHeight="1">
      <c r="A881" s="155"/>
      <c r="B881" s="155"/>
      <c r="C881" s="155"/>
      <c r="D881" s="155"/>
      <c r="E881" s="155"/>
      <c r="F881" s="198"/>
      <c r="G881" s="155"/>
      <c r="H881" s="155"/>
      <c r="I881" s="156"/>
      <c r="J881" s="156"/>
      <c r="K881" s="156"/>
      <c r="L881" s="156"/>
      <c r="M881" s="156"/>
      <c r="N881" s="156"/>
      <c r="O881" s="156"/>
      <c r="P881" s="156"/>
      <c r="Q881" s="155"/>
      <c r="R881" s="190"/>
      <c r="S881" s="191"/>
    </row>
    <row r="882" ht="29.25" hidden="1" customHeight="1">
      <c r="A882" s="155"/>
      <c r="B882" s="155"/>
      <c r="C882" s="155"/>
      <c r="D882" s="155"/>
      <c r="E882" s="155"/>
      <c r="F882" s="198"/>
      <c r="G882" s="155"/>
      <c r="H882" s="155"/>
      <c r="I882" s="156"/>
      <c r="J882" s="156"/>
      <c r="K882" s="156"/>
      <c r="L882" s="156"/>
      <c r="M882" s="156"/>
      <c r="N882" s="156"/>
      <c r="O882" s="156"/>
      <c r="P882" s="156"/>
      <c r="Q882" s="155"/>
      <c r="R882" s="190"/>
      <c r="S882" s="191"/>
    </row>
    <row r="883" ht="29.25" hidden="1" customHeight="1">
      <c r="A883" s="155"/>
      <c r="B883" s="155"/>
      <c r="C883" s="155"/>
      <c r="D883" s="155"/>
      <c r="E883" s="155"/>
      <c r="F883" s="198"/>
      <c r="G883" s="155"/>
      <c r="H883" s="155"/>
      <c r="I883" s="156"/>
      <c r="J883" s="156"/>
      <c r="K883" s="156"/>
      <c r="L883" s="156"/>
      <c r="M883" s="156"/>
      <c r="N883" s="156"/>
      <c r="O883" s="156"/>
      <c r="P883" s="156"/>
      <c r="Q883" s="155"/>
      <c r="R883" s="190"/>
      <c r="S883" s="191"/>
    </row>
    <row r="884" ht="29.25" hidden="1" customHeight="1">
      <c r="A884" s="155"/>
      <c r="B884" s="155"/>
      <c r="C884" s="155"/>
      <c r="D884" s="155"/>
      <c r="E884" s="155"/>
      <c r="F884" s="198"/>
      <c r="G884" s="155"/>
      <c r="H884" s="155"/>
      <c r="I884" s="156"/>
      <c r="J884" s="156"/>
      <c r="K884" s="156"/>
      <c r="L884" s="156"/>
      <c r="M884" s="156"/>
      <c r="N884" s="156"/>
      <c r="O884" s="156"/>
      <c r="P884" s="156"/>
      <c r="Q884" s="155"/>
      <c r="R884" s="190"/>
      <c r="S884" s="191"/>
    </row>
    <row r="885" ht="29.25" hidden="1" customHeight="1">
      <c r="A885" s="155"/>
      <c r="B885" s="155"/>
      <c r="C885" s="155"/>
      <c r="D885" s="155"/>
      <c r="E885" s="155"/>
      <c r="F885" s="198"/>
      <c r="G885" s="155"/>
      <c r="H885" s="155"/>
      <c r="I885" s="156"/>
      <c r="J885" s="156"/>
      <c r="K885" s="156"/>
      <c r="L885" s="156"/>
      <c r="M885" s="156"/>
      <c r="N885" s="156"/>
      <c r="O885" s="156"/>
      <c r="P885" s="156"/>
      <c r="Q885" s="155"/>
      <c r="R885" s="190"/>
      <c r="S885" s="191"/>
    </row>
    <row r="886" ht="29.25" hidden="1" customHeight="1">
      <c r="A886" s="155"/>
      <c r="B886" s="155"/>
      <c r="C886" s="155"/>
      <c r="D886" s="155"/>
      <c r="E886" s="155"/>
      <c r="F886" s="198"/>
      <c r="G886" s="155"/>
      <c r="H886" s="155"/>
      <c r="I886" s="156"/>
      <c r="J886" s="156"/>
      <c r="K886" s="156"/>
      <c r="L886" s="156"/>
      <c r="M886" s="156"/>
      <c r="N886" s="156"/>
      <c r="O886" s="156"/>
      <c r="P886" s="156"/>
      <c r="Q886" s="155"/>
      <c r="R886" s="190"/>
      <c r="S886" s="191"/>
    </row>
    <row r="887" ht="29.25" hidden="1" customHeight="1">
      <c r="A887" s="155"/>
      <c r="B887" s="155"/>
      <c r="C887" s="155"/>
      <c r="D887" s="155"/>
      <c r="E887" s="155"/>
      <c r="F887" s="198"/>
      <c r="G887" s="155"/>
      <c r="H887" s="155"/>
      <c r="I887" s="156"/>
      <c r="J887" s="156"/>
      <c r="K887" s="156"/>
      <c r="L887" s="156"/>
      <c r="M887" s="156"/>
      <c r="N887" s="156"/>
      <c r="O887" s="156"/>
      <c r="P887" s="156"/>
      <c r="Q887" s="155"/>
      <c r="R887" s="190"/>
      <c r="S887" s="191"/>
    </row>
    <row r="888" ht="29.25" hidden="1" customHeight="1">
      <c r="A888" s="155"/>
      <c r="B888" s="155"/>
      <c r="C888" s="155"/>
      <c r="D888" s="155"/>
      <c r="E888" s="155"/>
      <c r="F888" s="198"/>
      <c r="G888" s="155"/>
      <c r="H888" s="155"/>
      <c r="I888" s="156"/>
      <c r="J888" s="156"/>
      <c r="K888" s="156"/>
      <c r="L888" s="156"/>
      <c r="M888" s="156"/>
      <c r="N888" s="156"/>
      <c r="O888" s="156"/>
      <c r="P888" s="156"/>
      <c r="Q888" s="155"/>
      <c r="R888" s="190"/>
      <c r="S888" s="191"/>
    </row>
    <row r="889" ht="29.25" hidden="1" customHeight="1">
      <c r="A889" s="155"/>
      <c r="B889" s="155"/>
      <c r="C889" s="155"/>
      <c r="D889" s="155"/>
      <c r="E889" s="155"/>
      <c r="F889" s="198"/>
      <c r="G889" s="155"/>
      <c r="H889" s="155"/>
      <c r="I889" s="156"/>
      <c r="J889" s="156"/>
      <c r="K889" s="156"/>
      <c r="L889" s="156"/>
      <c r="M889" s="156"/>
      <c r="N889" s="156"/>
      <c r="O889" s="156"/>
      <c r="P889" s="156"/>
      <c r="Q889" s="155"/>
      <c r="R889" s="190"/>
      <c r="S889" s="191"/>
    </row>
    <row r="890" ht="29.25" hidden="1" customHeight="1">
      <c r="A890" s="155"/>
      <c r="B890" s="155"/>
      <c r="C890" s="155"/>
      <c r="D890" s="155"/>
      <c r="E890" s="155"/>
      <c r="F890" s="198"/>
      <c r="G890" s="155"/>
      <c r="H890" s="155"/>
      <c r="I890" s="156"/>
      <c r="J890" s="156"/>
      <c r="K890" s="156"/>
      <c r="L890" s="156"/>
      <c r="M890" s="156"/>
      <c r="N890" s="156"/>
      <c r="O890" s="156"/>
      <c r="P890" s="156"/>
      <c r="Q890" s="155"/>
      <c r="R890" s="190"/>
      <c r="S890" s="191"/>
    </row>
    <row r="891" ht="29.25" hidden="1" customHeight="1">
      <c r="A891" s="155"/>
      <c r="B891" s="155"/>
      <c r="C891" s="155"/>
      <c r="D891" s="155"/>
      <c r="E891" s="155"/>
      <c r="F891" s="198"/>
      <c r="G891" s="155"/>
      <c r="H891" s="155"/>
      <c r="I891" s="156"/>
      <c r="J891" s="156"/>
      <c r="K891" s="156"/>
      <c r="L891" s="156"/>
      <c r="M891" s="156"/>
      <c r="N891" s="156"/>
      <c r="O891" s="156"/>
      <c r="P891" s="156"/>
      <c r="Q891" s="155"/>
      <c r="R891" s="190"/>
      <c r="S891" s="191"/>
    </row>
    <row r="892" ht="29.25" hidden="1" customHeight="1">
      <c r="A892" s="155"/>
      <c r="B892" s="155"/>
      <c r="C892" s="155"/>
      <c r="D892" s="155"/>
      <c r="E892" s="155"/>
      <c r="F892" s="198"/>
      <c r="G892" s="155"/>
      <c r="H892" s="155"/>
      <c r="I892" s="156"/>
      <c r="J892" s="156"/>
      <c r="K892" s="156"/>
      <c r="L892" s="156"/>
      <c r="M892" s="156"/>
      <c r="N892" s="156"/>
      <c r="O892" s="156"/>
      <c r="P892" s="156"/>
      <c r="Q892" s="155"/>
      <c r="R892" s="190"/>
      <c r="S892" s="191"/>
    </row>
    <row r="893" ht="29.25" hidden="1" customHeight="1">
      <c r="A893" s="155"/>
      <c r="B893" s="155"/>
      <c r="C893" s="155"/>
      <c r="D893" s="155"/>
      <c r="E893" s="155"/>
      <c r="F893" s="198"/>
      <c r="G893" s="155"/>
      <c r="H893" s="155"/>
      <c r="I893" s="156"/>
      <c r="J893" s="156"/>
      <c r="K893" s="156"/>
      <c r="L893" s="156"/>
      <c r="M893" s="156"/>
      <c r="N893" s="156"/>
      <c r="O893" s="156"/>
      <c r="P893" s="156"/>
      <c r="Q893" s="155"/>
      <c r="R893" s="190"/>
      <c r="S893" s="191"/>
    </row>
    <row r="894" ht="29.25" hidden="1" customHeight="1">
      <c r="A894" s="155"/>
      <c r="B894" s="155"/>
      <c r="C894" s="155"/>
      <c r="D894" s="155"/>
      <c r="E894" s="155"/>
      <c r="F894" s="198"/>
      <c r="G894" s="155"/>
      <c r="H894" s="155"/>
      <c r="I894" s="156"/>
      <c r="J894" s="156"/>
      <c r="K894" s="156"/>
      <c r="L894" s="156"/>
      <c r="M894" s="156"/>
      <c r="N894" s="156"/>
      <c r="O894" s="156"/>
      <c r="P894" s="156"/>
      <c r="Q894" s="155"/>
      <c r="R894" s="190"/>
      <c r="S894" s="191"/>
    </row>
    <row r="895" ht="29.25" hidden="1" customHeight="1">
      <c r="A895" s="155"/>
      <c r="B895" s="155"/>
      <c r="C895" s="155"/>
      <c r="D895" s="155"/>
      <c r="E895" s="155"/>
      <c r="F895" s="198"/>
      <c r="G895" s="155"/>
      <c r="H895" s="155"/>
      <c r="I895" s="156"/>
      <c r="J895" s="156"/>
      <c r="K895" s="156"/>
      <c r="L895" s="156"/>
      <c r="M895" s="156"/>
      <c r="N895" s="156"/>
      <c r="O895" s="156"/>
      <c r="P895" s="156"/>
      <c r="Q895" s="155"/>
      <c r="R895" s="190"/>
      <c r="S895" s="191"/>
    </row>
    <row r="896" ht="29.25" hidden="1" customHeight="1">
      <c r="A896" s="155"/>
      <c r="B896" s="155"/>
      <c r="C896" s="155"/>
      <c r="D896" s="155"/>
      <c r="E896" s="155"/>
      <c r="F896" s="198"/>
      <c r="G896" s="155"/>
      <c r="H896" s="155"/>
      <c r="I896" s="156"/>
      <c r="J896" s="156"/>
      <c r="K896" s="156"/>
      <c r="L896" s="156"/>
      <c r="M896" s="156"/>
      <c r="N896" s="156"/>
      <c r="O896" s="156"/>
      <c r="P896" s="156"/>
      <c r="Q896" s="155"/>
      <c r="R896" s="190"/>
      <c r="S896" s="191"/>
    </row>
    <row r="897" ht="29.25" hidden="1" customHeight="1">
      <c r="A897" s="155"/>
      <c r="B897" s="155"/>
      <c r="C897" s="155"/>
      <c r="D897" s="155"/>
      <c r="E897" s="155"/>
      <c r="F897" s="198"/>
      <c r="G897" s="155"/>
      <c r="H897" s="155"/>
      <c r="I897" s="156"/>
      <c r="J897" s="156"/>
      <c r="K897" s="156"/>
      <c r="L897" s="156"/>
      <c r="M897" s="156"/>
      <c r="N897" s="156"/>
      <c r="O897" s="156"/>
      <c r="P897" s="156"/>
      <c r="Q897" s="155"/>
      <c r="R897" s="190"/>
      <c r="S897" s="191"/>
    </row>
    <row r="898" ht="29.25" hidden="1" customHeight="1">
      <c r="A898" s="155"/>
      <c r="B898" s="155"/>
      <c r="C898" s="155"/>
      <c r="D898" s="155"/>
      <c r="E898" s="155"/>
      <c r="F898" s="198"/>
      <c r="G898" s="155"/>
      <c r="H898" s="155"/>
      <c r="I898" s="156"/>
      <c r="J898" s="156"/>
      <c r="K898" s="156"/>
      <c r="L898" s="156"/>
      <c r="M898" s="156"/>
      <c r="N898" s="156"/>
      <c r="O898" s="156"/>
      <c r="P898" s="156"/>
      <c r="Q898" s="155"/>
      <c r="R898" s="190"/>
      <c r="S898" s="191"/>
    </row>
    <row r="899" ht="29.25" hidden="1" customHeight="1">
      <c r="A899" s="155"/>
      <c r="B899" s="155"/>
      <c r="C899" s="155"/>
      <c r="D899" s="155"/>
      <c r="E899" s="155"/>
      <c r="F899" s="198"/>
      <c r="G899" s="155"/>
      <c r="H899" s="155"/>
      <c r="I899" s="156"/>
      <c r="J899" s="156"/>
      <c r="K899" s="156"/>
      <c r="L899" s="156"/>
      <c r="M899" s="156"/>
      <c r="N899" s="156"/>
      <c r="O899" s="156"/>
      <c r="P899" s="156"/>
      <c r="Q899" s="155"/>
      <c r="R899" s="190"/>
      <c r="S899" s="191"/>
    </row>
    <row r="900" ht="29.25" hidden="1" customHeight="1">
      <c r="A900" s="155"/>
      <c r="B900" s="155"/>
      <c r="C900" s="155"/>
      <c r="D900" s="155"/>
      <c r="E900" s="155"/>
      <c r="F900" s="198"/>
      <c r="G900" s="155"/>
      <c r="H900" s="155"/>
      <c r="I900" s="156"/>
      <c r="J900" s="156"/>
      <c r="K900" s="156"/>
      <c r="L900" s="156"/>
      <c r="M900" s="156"/>
      <c r="N900" s="156"/>
      <c r="O900" s="156"/>
      <c r="P900" s="156"/>
      <c r="Q900" s="155"/>
      <c r="R900" s="190"/>
      <c r="S900" s="191"/>
    </row>
    <row r="901" ht="29.25" hidden="1" customHeight="1">
      <c r="A901" s="155"/>
      <c r="B901" s="155"/>
      <c r="C901" s="155"/>
      <c r="D901" s="155"/>
      <c r="E901" s="155"/>
      <c r="F901" s="198"/>
      <c r="G901" s="155"/>
      <c r="H901" s="155"/>
      <c r="I901" s="156"/>
      <c r="J901" s="156"/>
      <c r="K901" s="156"/>
      <c r="L901" s="156"/>
      <c r="M901" s="156"/>
      <c r="N901" s="156"/>
      <c r="O901" s="156"/>
      <c r="P901" s="156"/>
      <c r="Q901" s="155"/>
      <c r="R901" s="190"/>
      <c r="S901" s="191"/>
    </row>
    <row r="902" ht="29.25" hidden="1" customHeight="1">
      <c r="A902" s="155"/>
      <c r="B902" s="155"/>
      <c r="C902" s="155"/>
      <c r="D902" s="155"/>
      <c r="E902" s="155"/>
      <c r="F902" s="198"/>
      <c r="G902" s="155"/>
      <c r="H902" s="155"/>
      <c r="I902" s="156"/>
      <c r="J902" s="156"/>
      <c r="K902" s="156"/>
      <c r="L902" s="156"/>
      <c r="M902" s="156"/>
      <c r="N902" s="156"/>
      <c r="O902" s="156"/>
      <c r="P902" s="156"/>
      <c r="Q902" s="155"/>
      <c r="R902" s="190"/>
      <c r="S902" s="191"/>
    </row>
    <row r="903" ht="29.25" hidden="1" customHeight="1">
      <c r="A903" s="155"/>
      <c r="B903" s="155"/>
      <c r="C903" s="155"/>
      <c r="D903" s="155"/>
      <c r="E903" s="155"/>
      <c r="F903" s="198"/>
      <c r="G903" s="155"/>
      <c r="H903" s="155"/>
      <c r="I903" s="156"/>
      <c r="J903" s="156"/>
      <c r="K903" s="156"/>
      <c r="L903" s="156"/>
      <c r="M903" s="156"/>
      <c r="N903" s="156"/>
      <c r="O903" s="156"/>
      <c r="P903" s="156"/>
      <c r="Q903" s="155"/>
      <c r="R903" s="190"/>
      <c r="S903" s="191"/>
    </row>
    <row r="904" ht="29.25" hidden="1" customHeight="1">
      <c r="A904" s="155"/>
      <c r="B904" s="155"/>
      <c r="C904" s="155"/>
      <c r="D904" s="155"/>
      <c r="E904" s="155"/>
      <c r="F904" s="198"/>
      <c r="G904" s="155"/>
      <c r="H904" s="155"/>
      <c r="I904" s="156"/>
      <c r="J904" s="156"/>
      <c r="K904" s="156"/>
      <c r="L904" s="156"/>
      <c r="M904" s="156"/>
      <c r="N904" s="156"/>
      <c r="O904" s="156"/>
      <c r="P904" s="156"/>
      <c r="Q904" s="155"/>
      <c r="R904" s="190"/>
      <c r="S904" s="191"/>
    </row>
    <row r="905" ht="29.25" hidden="1" customHeight="1">
      <c r="A905" s="155"/>
      <c r="B905" s="155"/>
      <c r="C905" s="155"/>
      <c r="D905" s="155"/>
      <c r="E905" s="155"/>
      <c r="F905" s="198"/>
      <c r="G905" s="155"/>
      <c r="H905" s="155"/>
      <c r="I905" s="156"/>
      <c r="J905" s="156"/>
      <c r="K905" s="156"/>
      <c r="L905" s="156"/>
      <c r="M905" s="156"/>
      <c r="N905" s="156"/>
      <c r="O905" s="156"/>
      <c r="P905" s="156"/>
      <c r="Q905" s="155"/>
      <c r="R905" s="190"/>
      <c r="S905" s="191"/>
    </row>
    <row r="906" ht="29.25" hidden="1" customHeight="1">
      <c r="A906" s="155"/>
      <c r="B906" s="155"/>
      <c r="C906" s="155"/>
      <c r="D906" s="155"/>
      <c r="E906" s="155"/>
      <c r="F906" s="198"/>
      <c r="G906" s="155"/>
      <c r="H906" s="155"/>
      <c r="I906" s="156"/>
      <c r="J906" s="156"/>
      <c r="K906" s="156"/>
      <c r="L906" s="156"/>
      <c r="M906" s="156"/>
      <c r="N906" s="156"/>
      <c r="O906" s="156"/>
      <c r="P906" s="156"/>
      <c r="Q906" s="155"/>
      <c r="R906" s="190"/>
      <c r="S906" s="191"/>
    </row>
    <row r="907" ht="29.25" hidden="1" customHeight="1">
      <c r="A907" s="155"/>
      <c r="B907" s="155"/>
      <c r="C907" s="155"/>
      <c r="D907" s="155"/>
      <c r="E907" s="155"/>
      <c r="F907" s="198"/>
      <c r="G907" s="155"/>
      <c r="H907" s="155"/>
      <c r="I907" s="156"/>
      <c r="J907" s="156"/>
      <c r="K907" s="156"/>
      <c r="L907" s="156"/>
      <c r="M907" s="156"/>
      <c r="N907" s="156"/>
      <c r="O907" s="156"/>
      <c r="P907" s="156"/>
      <c r="Q907" s="155"/>
      <c r="R907" s="190"/>
      <c r="S907" s="191"/>
    </row>
    <row r="908" ht="29.25" hidden="1" customHeight="1">
      <c r="A908" s="155"/>
      <c r="B908" s="155"/>
      <c r="C908" s="155"/>
      <c r="D908" s="155"/>
      <c r="E908" s="155"/>
      <c r="F908" s="198"/>
      <c r="G908" s="155"/>
      <c r="H908" s="155"/>
      <c r="I908" s="156"/>
      <c r="J908" s="156"/>
      <c r="K908" s="156"/>
      <c r="L908" s="156"/>
      <c r="M908" s="156"/>
      <c r="N908" s="156"/>
      <c r="O908" s="156"/>
      <c r="P908" s="156"/>
      <c r="Q908" s="155"/>
      <c r="R908" s="190"/>
      <c r="S908" s="191"/>
    </row>
    <row r="909" ht="29.25" hidden="1" customHeight="1">
      <c r="A909" s="155"/>
      <c r="B909" s="155"/>
      <c r="C909" s="155"/>
      <c r="D909" s="155"/>
      <c r="E909" s="155"/>
      <c r="F909" s="198"/>
      <c r="G909" s="155"/>
      <c r="H909" s="155"/>
      <c r="I909" s="156"/>
      <c r="J909" s="156"/>
      <c r="K909" s="156"/>
      <c r="L909" s="156"/>
      <c r="M909" s="156"/>
      <c r="N909" s="156"/>
      <c r="O909" s="156"/>
      <c r="P909" s="156"/>
      <c r="Q909" s="155"/>
      <c r="R909" s="190"/>
      <c r="S909" s="191"/>
    </row>
    <row r="910" ht="29.25" hidden="1" customHeight="1">
      <c r="A910" s="155"/>
      <c r="B910" s="155"/>
      <c r="C910" s="155"/>
      <c r="D910" s="155"/>
      <c r="E910" s="155"/>
      <c r="F910" s="198"/>
      <c r="G910" s="155"/>
      <c r="H910" s="155"/>
      <c r="I910" s="156"/>
      <c r="J910" s="156"/>
      <c r="K910" s="156"/>
      <c r="L910" s="156"/>
      <c r="M910" s="156"/>
      <c r="N910" s="156"/>
      <c r="O910" s="156"/>
      <c r="P910" s="156"/>
      <c r="Q910" s="155"/>
      <c r="R910" s="190"/>
      <c r="S910" s="191"/>
    </row>
    <row r="911" ht="29.25" hidden="1" customHeight="1">
      <c r="A911" s="155"/>
      <c r="B911" s="155"/>
      <c r="C911" s="155"/>
      <c r="D911" s="155"/>
      <c r="E911" s="155"/>
      <c r="F911" s="198"/>
      <c r="G911" s="155"/>
      <c r="H911" s="155"/>
      <c r="I911" s="156"/>
      <c r="J911" s="156"/>
      <c r="K911" s="156"/>
      <c r="L911" s="156"/>
      <c r="M911" s="156"/>
      <c r="N911" s="156"/>
      <c r="O911" s="156"/>
      <c r="P911" s="156"/>
      <c r="Q911" s="155"/>
      <c r="R911" s="190"/>
      <c r="S911" s="191"/>
    </row>
    <row r="912" ht="29.25" hidden="1" customHeight="1">
      <c r="A912" s="155"/>
      <c r="B912" s="155"/>
      <c r="C912" s="155"/>
      <c r="D912" s="155"/>
      <c r="E912" s="155"/>
      <c r="F912" s="198"/>
      <c r="G912" s="155"/>
      <c r="H912" s="155"/>
      <c r="I912" s="156"/>
      <c r="J912" s="156"/>
      <c r="K912" s="156"/>
      <c r="L912" s="156"/>
      <c r="M912" s="156"/>
      <c r="N912" s="156"/>
      <c r="O912" s="156"/>
      <c r="P912" s="156"/>
      <c r="Q912" s="155"/>
      <c r="R912" s="190"/>
      <c r="S912" s="191"/>
    </row>
    <row r="913" ht="29.25" hidden="1" customHeight="1">
      <c r="A913" s="155"/>
      <c r="B913" s="155"/>
      <c r="C913" s="155"/>
      <c r="D913" s="155"/>
      <c r="E913" s="155"/>
      <c r="F913" s="198"/>
      <c r="G913" s="155"/>
      <c r="H913" s="155"/>
      <c r="I913" s="156"/>
      <c r="J913" s="156"/>
      <c r="K913" s="156"/>
      <c r="L913" s="156"/>
      <c r="M913" s="156"/>
      <c r="N913" s="156"/>
      <c r="O913" s="156"/>
      <c r="P913" s="156"/>
      <c r="Q913" s="155"/>
      <c r="R913" s="190"/>
      <c r="S913" s="191"/>
    </row>
    <row r="914" ht="29.25" hidden="1" customHeight="1">
      <c r="A914" s="155"/>
      <c r="B914" s="155"/>
      <c r="C914" s="155"/>
      <c r="D914" s="155"/>
      <c r="E914" s="155"/>
      <c r="F914" s="198"/>
      <c r="G914" s="155"/>
      <c r="H914" s="155"/>
      <c r="I914" s="156"/>
      <c r="J914" s="156"/>
      <c r="K914" s="156"/>
      <c r="L914" s="156"/>
      <c r="M914" s="156"/>
      <c r="N914" s="156"/>
      <c r="O914" s="156"/>
      <c r="P914" s="156"/>
      <c r="Q914" s="155"/>
      <c r="R914" s="190"/>
      <c r="S914" s="191"/>
    </row>
    <row r="915" ht="29.25" hidden="1" customHeight="1">
      <c r="A915" s="155"/>
      <c r="B915" s="155"/>
      <c r="C915" s="155"/>
      <c r="D915" s="155"/>
      <c r="E915" s="155"/>
      <c r="F915" s="198"/>
      <c r="G915" s="155"/>
      <c r="H915" s="155"/>
      <c r="I915" s="156"/>
      <c r="J915" s="156"/>
      <c r="K915" s="156"/>
      <c r="L915" s="156"/>
      <c r="M915" s="156"/>
      <c r="N915" s="156"/>
      <c r="O915" s="156"/>
      <c r="P915" s="156"/>
      <c r="Q915" s="155"/>
      <c r="R915" s="190"/>
      <c r="S915" s="191"/>
    </row>
    <row r="916" ht="29.25" hidden="1" customHeight="1">
      <c r="A916" s="155"/>
      <c r="B916" s="155"/>
      <c r="C916" s="155"/>
      <c r="D916" s="155"/>
      <c r="E916" s="155"/>
      <c r="F916" s="198"/>
      <c r="G916" s="155"/>
      <c r="H916" s="155"/>
      <c r="I916" s="156"/>
      <c r="J916" s="156"/>
      <c r="K916" s="156"/>
      <c r="L916" s="156"/>
      <c r="M916" s="156"/>
      <c r="N916" s="156"/>
      <c r="O916" s="156"/>
      <c r="P916" s="156"/>
      <c r="Q916" s="155"/>
      <c r="R916" s="190"/>
      <c r="S916" s="191"/>
    </row>
    <row r="917" ht="29.25" hidden="1" customHeight="1">
      <c r="A917" s="155"/>
      <c r="B917" s="155"/>
      <c r="C917" s="155"/>
      <c r="D917" s="155"/>
      <c r="E917" s="155"/>
      <c r="F917" s="198"/>
      <c r="G917" s="155"/>
      <c r="H917" s="155"/>
      <c r="I917" s="156"/>
      <c r="J917" s="156"/>
      <c r="K917" s="156"/>
      <c r="L917" s="156"/>
      <c r="M917" s="156"/>
      <c r="N917" s="156"/>
      <c r="O917" s="156"/>
      <c r="P917" s="156"/>
      <c r="Q917" s="155"/>
      <c r="R917" s="190"/>
      <c r="S917" s="191"/>
    </row>
    <row r="918" ht="29.25" hidden="1" customHeight="1">
      <c r="A918" s="155"/>
      <c r="B918" s="155"/>
      <c r="C918" s="155"/>
      <c r="D918" s="155"/>
      <c r="E918" s="155"/>
      <c r="F918" s="198"/>
      <c r="G918" s="155"/>
      <c r="H918" s="155"/>
      <c r="I918" s="156"/>
      <c r="J918" s="156"/>
      <c r="K918" s="156"/>
      <c r="L918" s="156"/>
      <c r="M918" s="156"/>
      <c r="N918" s="156"/>
      <c r="O918" s="156"/>
      <c r="P918" s="156"/>
      <c r="Q918" s="155"/>
      <c r="R918" s="190"/>
      <c r="S918" s="191"/>
    </row>
    <row r="919" ht="29.25" hidden="1" customHeight="1">
      <c r="A919" s="155"/>
      <c r="B919" s="155"/>
      <c r="C919" s="155"/>
      <c r="D919" s="155"/>
      <c r="E919" s="155"/>
      <c r="F919" s="198"/>
      <c r="G919" s="155"/>
      <c r="H919" s="155"/>
      <c r="I919" s="156"/>
      <c r="J919" s="156"/>
      <c r="K919" s="156"/>
      <c r="L919" s="156"/>
      <c r="M919" s="156"/>
      <c r="N919" s="156"/>
      <c r="O919" s="156"/>
      <c r="P919" s="156"/>
      <c r="Q919" s="155"/>
      <c r="R919" s="190"/>
      <c r="S919" s="191"/>
    </row>
    <row r="920" ht="29.25" hidden="1" customHeight="1">
      <c r="A920" s="155"/>
      <c r="B920" s="155"/>
      <c r="C920" s="155"/>
      <c r="D920" s="155"/>
      <c r="E920" s="155"/>
      <c r="F920" s="198"/>
      <c r="G920" s="155"/>
      <c r="H920" s="155"/>
      <c r="I920" s="156"/>
      <c r="J920" s="156"/>
      <c r="K920" s="156"/>
      <c r="L920" s="156"/>
      <c r="M920" s="156"/>
      <c r="N920" s="156"/>
      <c r="O920" s="156"/>
      <c r="P920" s="156"/>
      <c r="Q920" s="155"/>
      <c r="R920" s="190"/>
      <c r="S920" s="191"/>
    </row>
    <row r="921" ht="29.25" hidden="1" customHeight="1">
      <c r="A921" s="155"/>
      <c r="B921" s="155"/>
      <c r="C921" s="155"/>
      <c r="D921" s="155"/>
      <c r="E921" s="155"/>
      <c r="F921" s="198"/>
      <c r="G921" s="155"/>
      <c r="H921" s="155"/>
      <c r="I921" s="156"/>
      <c r="J921" s="156"/>
      <c r="K921" s="156"/>
      <c r="L921" s="156"/>
      <c r="M921" s="156"/>
      <c r="N921" s="156"/>
      <c r="O921" s="156"/>
      <c r="P921" s="156"/>
      <c r="Q921" s="155"/>
      <c r="R921" s="190"/>
      <c r="S921" s="191"/>
    </row>
    <row r="922" ht="29.25" hidden="1" customHeight="1">
      <c r="A922" s="155"/>
      <c r="B922" s="155"/>
      <c r="C922" s="155"/>
      <c r="D922" s="155"/>
      <c r="E922" s="155"/>
      <c r="F922" s="198"/>
      <c r="G922" s="155"/>
      <c r="H922" s="155"/>
      <c r="I922" s="156"/>
      <c r="J922" s="156"/>
      <c r="K922" s="156"/>
      <c r="L922" s="156"/>
      <c r="M922" s="156"/>
      <c r="N922" s="156"/>
      <c r="O922" s="156"/>
      <c r="P922" s="156"/>
      <c r="Q922" s="155"/>
      <c r="R922" s="190"/>
      <c r="S922" s="191"/>
    </row>
    <row r="923" ht="29.25" hidden="1" customHeight="1">
      <c r="A923" s="155"/>
      <c r="B923" s="155"/>
      <c r="C923" s="155"/>
      <c r="D923" s="155"/>
      <c r="E923" s="155"/>
      <c r="F923" s="198"/>
      <c r="G923" s="155"/>
      <c r="H923" s="155"/>
      <c r="I923" s="156"/>
      <c r="J923" s="156"/>
      <c r="K923" s="156"/>
      <c r="L923" s="156"/>
      <c r="M923" s="156"/>
      <c r="N923" s="156"/>
      <c r="O923" s="156"/>
      <c r="P923" s="156"/>
      <c r="Q923" s="155"/>
      <c r="R923" s="190"/>
      <c r="S923" s="191"/>
    </row>
    <row r="924" ht="29.25" hidden="1" customHeight="1">
      <c r="A924" s="155"/>
      <c r="B924" s="155"/>
      <c r="C924" s="155"/>
      <c r="D924" s="155"/>
      <c r="E924" s="155"/>
      <c r="F924" s="198"/>
      <c r="G924" s="155"/>
      <c r="H924" s="155"/>
      <c r="I924" s="156"/>
      <c r="J924" s="156"/>
      <c r="K924" s="156"/>
      <c r="L924" s="156"/>
      <c r="M924" s="156"/>
      <c r="N924" s="156"/>
      <c r="O924" s="156"/>
      <c r="P924" s="156"/>
      <c r="Q924" s="155"/>
      <c r="R924" s="190"/>
      <c r="S924" s="191"/>
    </row>
    <row r="925" ht="29.25" hidden="1" customHeight="1">
      <c r="A925" s="155"/>
      <c r="B925" s="155"/>
      <c r="C925" s="155"/>
      <c r="D925" s="155"/>
      <c r="E925" s="155"/>
      <c r="F925" s="198"/>
      <c r="G925" s="155"/>
      <c r="H925" s="155"/>
      <c r="I925" s="156"/>
      <c r="J925" s="156"/>
      <c r="K925" s="156"/>
      <c r="L925" s="156"/>
      <c r="M925" s="156"/>
      <c r="N925" s="156"/>
      <c r="O925" s="156"/>
      <c r="P925" s="156"/>
      <c r="Q925" s="155"/>
      <c r="R925" s="190"/>
      <c r="S925" s="191"/>
    </row>
    <row r="926" ht="29.25" hidden="1" customHeight="1">
      <c r="A926" s="155"/>
      <c r="B926" s="155"/>
      <c r="C926" s="155"/>
      <c r="D926" s="155"/>
      <c r="E926" s="155"/>
      <c r="F926" s="198"/>
      <c r="G926" s="155"/>
      <c r="H926" s="155"/>
      <c r="I926" s="156"/>
      <c r="J926" s="156"/>
      <c r="K926" s="156"/>
      <c r="L926" s="156"/>
      <c r="M926" s="156"/>
      <c r="N926" s="156"/>
      <c r="O926" s="156"/>
      <c r="P926" s="156"/>
      <c r="Q926" s="155"/>
      <c r="R926" s="190"/>
      <c r="S926" s="191"/>
    </row>
    <row r="927" ht="29.25" hidden="1" customHeight="1">
      <c r="A927" s="155"/>
      <c r="B927" s="155"/>
      <c r="C927" s="155"/>
      <c r="D927" s="155"/>
      <c r="E927" s="155"/>
      <c r="F927" s="198"/>
      <c r="G927" s="155"/>
      <c r="H927" s="155"/>
      <c r="I927" s="156"/>
      <c r="J927" s="156"/>
      <c r="K927" s="156"/>
      <c r="L927" s="156"/>
      <c r="M927" s="156"/>
      <c r="N927" s="156"/>
      <c r="O927" s="156"/>
      <c r="P927" s="156"/>
      <c r="Q927" s="155"/>
      <c r="R927" s="190"/>
      <c r="S927" s="191"/>
    </row>
    <row r="928" ht="29.25" hidden="1" customHeight="1">
      <c r="A928" s="155"/>
      <c r="B928" s="155"/>
      <c r="C928" s="155"/>
      <c r="D928" s="155"/>
      <c r="E928" s="155"/>
      <c r="F928" s="198"/>
      <c r="G928" s="155"/>
      <c r="H928" s="155"/>
      <c r="I928" s="156"/>
      <c r="J928" s="156"/>
      <c r="K928" s="156"/>
      <c r="L928" s="156"/>
      <c r="M928" s="156"/>
      <c r="N928" s="156"/>
      <c r="O928" s="156"/>
      <c r="P928" s="156"/>
      <c r="Q928" s="155"/>
      <c r="R928" s="190"/>
      <c r="S928" s="191"/>
    </row>
    <row r="929" ht="29.25" hidden="1" customHeight="1">
      <c r="A929" s="155"/>
      <c r="B929" s="155"/>
      <c r="C929" s="155"/>
      <c r="D929" s="155"/>
      <c r="E929" s="155"/>
      <c r="F929" s="198"/>
      <c r="G929" s="155"/>
      <c r="H929" s="155"/>
      <c r="I929" s="156"/>
      <c r="J929" s="156"/>
      <c r="K929" s="156"/>
      <c r="L929" s="156"/>
      <c r="M929" s="156"/>
      <c r="N929" s="156"/>
      <c r="O929" s="156"/>
      <c r="P929" s="156"/>
      <c r="Q929" s="155"/>
      <c r="R929" s="190"/>
      <c r="S929" s="191"/>
    </row>
    <row r="930" ht="29.25" hidden="1" customHeight="1">
      <c r="A930" s="155"/>
      <c r="B930" s="155"/>
      <c r="C930" s="155"/>
      <c r="D930" s="155"/>
      <c r="E930" s="155"/>
      <c r="F930" s="198"/>
      <c r="G930" s="155"/>
      <c r="H930" s="155"/>
      <c r="I930" s="156"/>
      <c r="J930" s="156"/>
      <c r="K930" s="156"/>
      <c r="L930" s="156"/>
      <c r="M930" s="156"/>
      <c r="N930" s="156"/>
      <c r="O930" s="156"/>
      <c r="P930" s="156"/>
      <c r="Q930" s="155"/>
      <c r="R930" s="190"/>
      <c r="S930" s="191"/>
    </row>
    <row r="931" ht="29.25" hidden="1" customHeight="1">
      <c r="A931" s="155"/>
      <c r="B931" s="155"/>
      <c r="C931" s="155"/>
      <c r="D931" s="155"/>
      <c r="E931" s="155"/>
      <c r="F931" s="198"/>
      <c r="G931" s="155"/>
      <c r="H931" s="155"/>
      <c r="I931" s="156"/>
      <c r="J931" s="156"/>
      <c r="K931" s="156"/>
      <c r="L931" s="156"/>
      <c r="M931" s="156"/>
      <c r="N931" s="156"/>
      <c r="O931" s="156"/>
      <c r="P931" s="156"/>
      <c r="Q931" s="155"/>
      <c r="R931" s="190"/>
      <c r="S931" s="191"/>
    </row>
    <row r="932" ht="29.25" hidden="1" customHeight="1">
      <c r="A932" s="155"/>
      <c r="B932" s="155"/>
      <c r="C932" s="155"/>
      <c r="D932" s="155"/>
      <c r="E932" s="155"/>
      <c r="F932" s="198"/>
      <c r="G932" s="155"/>
      <c r="H932" s="155"/>
      <c r="I932" s="156"/>
      <c r="J932" s="156"/>
      <c r="K932" s="156"/>
      <c r="L932" s="156"/>
      <c r="M932" s="156"/>
      <c r="N932" s="156"/>
      <c r="O932" s="156"/>
      <c r="P932" s="156"/>
      <c r="Q932" s="155"/>
      <c r="R932" s="190"/>
      <c r="S932" s="191"/>
    </row>
    <row r="933" ht="29.25" hidden="1" customHeight="1">
      <c r="A933" s="155"/>
      <c r="B933" s="155"/>
      <c r="C933" s="155"/>
      <c r="D933" s="155"/>
      <c r="E933" s="155"/>
      <c r="F933" s="198"/>
      <c r="G933" s="155"/>
      <c r="H933" s="155"/>
      <c r="I933" s="156"/>
      <c r="J933" s="156"/>
      <c r="K933" s="156"/>
      <c r="L933" s="156"/>
      <c r="M933" s="156"/>
      <c r="N933" s="156"/>
      <c r="O933" s="156"/>
      <c r="P933" s="156"/>
      <c r="Q933" s="155"/>
      <c r="R933" s="190"/>
      <c r="S933" s="191"/>
    </row>
    <row r="934" ht="29.25" hidden="1" customHeight="1">
      <c r="A934" s="155"/>
      <c r="B934" s="155"/>
      <c r="C934" s="155"/>
      <c r="D934" s="155"/>
      <c r="E934" s="155"/>
      <c r="F934" s="198"/>
      <c r="G934" s="155"/>
      <c r="H934" s="155"/>
      <c r="I934" s="156"/>
      <c r="J934" s="156"/>
      <c r="K934" s="156"/>
      <c r="L934" s="156"/>
      <c r="M934" s="156"/>
      <c r="N934" s="156"/>
      <c r="O934" s="156"/>
      <c r="P934" s="156"/>
      <c r="Q934" s="155"/>
      <c r="R934" s="190"/>
      <c r="S934" s="191"/>
    </row>
    <row r="935" ht="29.25" hidden="1" customHeight="1">
      <c r="A935" s="155"/>
      <c r="B935" s="155"/>
      <c r="C935" s="155"/>
      <c r="D935" s="155"/>
      <c r="E935" s="155"/>
      <c r="F935" s="198"/>
      <c r="G935" s="155"/>
      <c r="H935" s="155"/>
      <c r="I935" s="156"/>
      <c r="J935" s="156"/>
      <c r="K935" s="156"/>
      <c r="L935" s="156"/>
      <c r="M935" s="156"/>
      <c r="N935" s="156"/>
      <c r="O935" s="156"/>
      <c r="P935" s="156"/>
      <c r="Q935" s="155"/>
      <c r="R935" s="190"/>
      <c r="S935" s="191"/>
    </row>
    <row r="936" ht="29.25" hidden="1" customHeight="1">
      <c r="A936" s="155"/>
      <c r="B936" s="155"/>
      <c r="C936" s="155"/>
      <c r="D936" s="155"/>
      <c r="E936" s="155"/>
      <c r="F936" s="198"/>
      <c r="G936" s="155"/>
      <c r="H936" s="155"/>
      <c r="I936" s="156"/>
      <c r="J936" s="156"/>
      <c r="K936" s="156"/>
      <c r="L936" s="156"/>
      <c r="M936" s="156"/>
      <c r="N936" s="156"/>
      <c r="O936" s="156"/>
      <c r="P936" s="156"/>
      <c r="Q936" s="155"/>
      <c r="R936" s="190"/>
      <c r="S936" s="191"/>
    </row>
    <row r="937" ht="29.25" hidden="1" customHeight="1">
      <c r="A937" s="155"/>
      <c r="B937" s="155"/>
      <c r="C937" s="155"/>
      <c r="D937" s="155"/>
      <c r="E937" s="155"/>
      <c r="F937" s="198"/>
      <c r="G937" s="155"/>
      <c r="H937" s="155"/>
      <c r="I937" s="156"/>
      <c r="J937" s="156"/>
      <c r="K937" s="156"/>
      <c r="L937" s="156"/>
      <c r="M937" s="156"/>
      <c r="N937" s="156"/>
      <c r="O937" s="156"/>
      <c r="P937" s="156"/>
      <c r="Q937" s="155"/>
      <c r="R937" s="190"/>
      <c r="S937" s="191"/>
    </row>
    <row r="938" ht="29.25" hidden="1" customHeight="1">
      <c r="A938" s="155"/>
      <c r="B938" s="155"/>
      <c r="C938" s="155"/>
      <c r="D938" s="155"/>
      <c r="E938" s="155"/>
      <c r="F938" s="198"/>
      <c r="G938" s="155"/>
      <c r="H938" s="155"/>
      <c r="I938" s="156"/>
      <c r="J938" s="156"/>
      <c r="K938" s="156"/>
      <c r="L938" s="156"/>
      <c r="M938" s="156"/>
      <c r="N938" s="156"/>
      <c r="O938" s="156"/>
      <c r="P938" s="156"/>
      <c r="Q938" s="155"/>
      <c r="R938" s="190"/>
      <c r="S938" s="191"/>
    </row>
    <row r="939" ht="29.25" hidden="1" customHeight="1">
      <c r="A939" s="155"/>
      <c r="B939" s="155"/>
      <c r="C939" s="155"/>
      <c r="D939" s="155"/>
      <c r="E939" s="155"/>
      <c r="F939" s="198"/>
      <c r="G939" s="155"/>
      <c r="H939" s="155"/>
      <c r="I939" s="156"/>
      <c r="J939" s="156"/>
      <c r="K939" s="156"/>
      <c r="L939" s="156"/>
      <c r="M939" s="156"/>
      <c r="N939" s="156"/>
      <c r="O939" s="156"/>
      <c r="P939" s="156"/>
      <c r="Q939" s="155"/>
      <c r="R939" s="190"/>
      <c r="S939" s="191"/>
    </row>
    <row r="940" ht="29.25" hidden="1" customHeight="1">
      <c r="A940" s="155"/>
      <c r="B940" s="155"/>
      <c r="C940" s="155"/>
      <c r="D940" s="155"/>
      <c r="E940" s="155"/>
      <c r="F940" s="198"/>
      <c r="G940" s="155"/>
      <c r="H940" s="155"/>
      <c r="I940" s="156"/>
      <c r="J940" s="156"/>
      <c r="K940" s="156"/>
      <c r="L940" s="156"/>
      <c r="M940" s="156"/>
      <c r="N940" s="156"/>
      <c r="O940" s="156"/>
      <c r="P940" s="156"/>
      <c r="Q940" s="155"/>
      <c r="R940" s="190"/>
      <c r="S940" s="191"/>
    </row>
    <row r="941" ht="29.25" hidden="1" customHeight="1">
      <c r="A941" s="155"/>
      <c r="B941" s="155"/>
      <c r="C941" s="155"/>
      <c r="D941" s="155"/>
      <c r="E941" s="155"/>
      <c r="F941" s="198"/>
      <c r="G941" s="155"/>
      <c r="H941" s="155"/>
      <c r="I941" s="156"/>
      <c r="J941" s="156"/>
      <c r="K941" s="156"/>
      <c r="L941" s="156"/>
      <c r="M941" s="156"/>
      <c r="N941" s="156"/>
      <c r="O941" s="156"/>
      <c r="P941" s="156"/>
      <c r="Q941" s="155"/>
      <c r="R941" s="190"/>
      <c r="S941" s="191"/>
    </row>
    <row r="942" ht="29.25" hidden="1" customHeight="1">
      <c r="A942" s="155"/>
      <c r="B942" s="155"/>
      <c r="C942" s="155"/>
      <c r="D942" s="155"/>
      <c r="E942" s="155"/>
      <c r="F942" s="198"/>
      <c r="G942" s="155"/>
      <c r="H942" s="155"/>
      <c r="I942" s="156"/>
      <c r="J942" s="156"/>
      <c r="K942" s="156"/>
      <c r="L942" s="156"/>
      <c r="M942" s="156"/>
      <c r="N942" s="156"/>
      <c r="O942" s="156"/>
      <c r="P942" s="156"/>
      <c r="Q942" s="155"/>
      <c r="R942" s="190"/>
      <c r="S942" s="191"/>
    </row>
    <row r="943" ht="29.25" hidden="1" customHeight="1">
      <c r="A943" s="155"/>
      <c r="B943" s="155"/>
      <c r="C943" s="155"/>
      <c r="D943" s="155"/>
      <c r="E943" s="155"/>
      <c r="F943" s="198"/>
      <c r="G943" s="155"/>
      <c r="H943" s="155"/>
      <c r="I943" s="156"/>
      <c r="J943" s="156"/>
      <c r="K943" s="156"/>
      <c r="L943" s="156"/>
      <c r="M943" s="156"/>
      <c r="N943" s="156"/>
      <c r="O943" s="156"/>
      <c r="P943" s="156"/>
      <c r="Q943" s="155"/>
      <c r="R943" s="190"/>
      <c r="S943" s="191"/>
    </row>
    <row r="944" ht="29.25" hidden="1" customHeight="1">
      <c r="A944" s="155"/>
      <c r="B944" s="155"/>
      <c r="C944" s="155"/>
      <c r="D944" s="155"/>
      <c r="E944" s="155"/>
      <c r="F944" s="198"/>
      <c r="G944" s="155"/>
      <c r="H944" s="155"/>
      <c r="I944" s="156"/>
      <c r="J944" s="156"/>
      <c r="K944" s="156"/>
      <c r="L944" s="156"/>
      <c r="M944" s="156"/>
      <c r="N944" s="156"/>
      <c r="O944" s="156"/>
      <c r="P944" s="156"/>
      <c r="Q944" s="155"/>
      <c r="R944" s="190"/>
      <c r="S944" s="191"/>
    </row>
    <row r="945" ht="29.25" hidden="1" customHeight="1">
      <c r="A945" s="155"/>
      <c r="B945" s="155"/>
      <c r="C945" s="155"/>
      <c r="D945" s="155"/>
      <c r="E945" s="155"/>
      <c r="F945" s="198"/>
      <c r="G945" s="155"/>
      <c r="H945" s="155"/>
      <c r="I945" s="156"/>
      <c r="J945" s="156"/>
      <c r="K945" s="156"/>
      <c r="L945" s="156"/>
      <c r="M945" s="156"/>
      <c r="N945" s="156"/>
      <c r="O945" s="156"/>
      <c r="P945" s="156"/>
      <c r="Q945" s="155"/>
      <c r="R945" s="190"/>
      <c r="S945" s="191"/>
    </row>
    <row r="946" ht="29.25" hidden="1" customHeight="1">
      <c r="A946" s="155"/>
      <c r="B946" s="155"/>
      <c r="C946" s="155"/>
      <c r="D946" s="155"/>
      <c r="E946" s="155"/>
      <c r="F946" s="198"/>
      <c r="G946" s="155"/>
      <c r="H946" s="155"/>
      <c r="I946" s="156"/>
      <c r="J946" s="156"/>
      <c r="K946" s="156"/>
      <c r="L946" s="156"/>
      <c r="M946" s="156"/>
      <c r="N946" s="156"/>
      <c r="O946" s="156"/>
      <c r="P946" s="156"/>
      <c r="Q946" s="155"/>
      <c r="R946" s="190"/>
      <c r="S946" s="191"/>
    </row>
    <row r="947" ht="29.25" hidden="1" customHeight="1">
      <c r="A947" s="155"/>
      <c r="B947" s="155"/>
      <c r="C947" s="155"/>
      <c r="D947" s="155"/>
      <c r="E947" s="155"/>
      <c r="F947" s="198"/>
      <c r="G947" s="155"/>
      <c r="H947" s="155"/>
      <c r="I947" s="156"/>
      <c r="J947" s="156"/>
      <c r="K947" s="156"/>
      <c r="L947" s="156"/>
      <c r="M947" s="156"/>
      <c r="N947" s="156"/>
      <c r="O947" s="156"/>
      <c r="P947" s="156"/>
      <c r="Q947" s="155"/>
      <c r="R947" s="190"/>
      <c r="S947" s="191"/>
    </row>
    <row r="948" ht="29.25" hidden="1" customHeight="1">
      <c r="A948" s="155"/>
      <c r="B948" s="155"/>
      <c r="C948" s="155"/>
      <c r="D948" s="155"/>
      <c r="E948" s="155"/>
      <c r="F948" s="198"/>
      <c r="G948" s="155"/>
      <c r="H948" s="155"/>
      <c r="I948" s="156"/>
      <c r="J948" s="156"/>
      <c r="K948" s="156"/>
      <c r="L948" s="156"/>
      <c r="M948" s="156"/>
      <c r="N948" s="156"/>
      <c r="O948" s="156"/>
      <c r="P948" s="156"/>
      <c r="Q948" s="155"/>
      <c r="R948" s="190"/>
      <c r="S948" s="191"/>
    </row>
    <row r="949" ht="29.25" hidden="1" customHeight="1">
      <c r="A949" s="155"/>
      <c r="B949" s="155"/>
      <c r="C949" s="155"/>
      <c r="D949" s="155"/>
      <c r="E949" s="155"/>
      <c r="F949" s="198"/>
      <c r="G949" s="155"/>
      <c r="H949" s="155"/>
      <c r="I949" s="156"/>
      <c r="J949" s="156"/>
      <c r="K949" s="156"/>
      <c r="L949" s="156"/>
      <c r="M949" s="156"/>
      <c r="N949" s="156"/>
      <c r="O949" s="156"/>
      <c r="P949" s="156"/>
      <c r="Q949" s="155"/>
      <c r="R949" s="190"/>
      <c r="S949" s="191"/>
    </row>
    <row r="950" ht="29.25" hidden="1" customHeight="1">
      <c r="A950" s="155"/>
      <c r="B950" s="155"/>
      <c r="C950" s="155"/>
      <c r="D950" s="155"/>
      <c r="E950" s="155"/>
      <c r="F950" s="198"/>
      <c r="G950" s="155"/>
      <c r="H950" s="155"/>
      <c r="I950" s="156"/>
      <c r="J950" s="156"/>
      <c r="K950" s="156"/>
      <c r="L950" s="156"/>
      <c r="M950" s="156"/>
      <c r="N950" s="156"/>
      <c r="O950" s="156"/>
      <c r="P950" s="156"/>
      <c r="Q950" s="155"/>
      <c r="R950" s="190"/>
      <c r="S950" s="191"/>
    </row>
    <row r="951" ht="29.25" hidden="1" customHeight="1">
      <c r="A951" s="155"/>
      <c r="B951" s="155"/>
      <c r="C951" s="155"/>
      <c r="D951" s="155"/>
      <c r="E951" s="155"/>
      <c r="F951" s="198"/>
      <c r="G951" s="155"/>
      <c r="H951" s="155"/>
      <c r="I951" s="156"/>
      <c r="J951" s="156"/>
      <c r="K951" s="156"/>
      <c r="L951" s="156"/>
      <c r="M951" s="156"/>
      <c r="N951" s="156"/>
      <c r="O951" s="156"/>
      <c r="P951" s="156"/>
      <c r="Q951" s="155"/>
      <c r="R951" s="190"/>
      <c r="S951" s="191"/>
    </row>
    <row r="952" ht="29.25" hidden="1" customHeight="1">
      <c r="A952" s="155"/>
      <c r="B952" s="155"/>
      <c r="C952" s="155"/>
      <c r="D952" s="155"/>
      <c r="E952" s="155"/>
      <c r="F952" s="198"/>
      <c r="G952" s="155"/>
      <c r="H952" s="155"/>
      <c r="I952" s="156"/>
      <c r="J952" s="156"/>
      <c r="K952" s="156"/>
      <c r="L952" s="156"/>
      <c r="M952" s="156"/>
      <c r="N952" s="156"/>
      <c r="O952" s="156"/>
      <c r="P952" s="156"/>
      <c r="Q952" s="155"/>
      <c r="R952" s="190"/>
      <c r="S952" s="191"/>
    </row>
    <row r="953" ht="29.25" hidden="1" customHeight="1">
      <c r="A953" s="155"/>
      <c r="B953" s="155"/>
      <c r="C953" s="155"/>
      <c r="D953" s="155"/>
      <c r="E953" s="155"/>
      <c r="F953" s="198"/>
      <c r="G953" s="155"/>
      <c r="H953" s="155"/>
      <c r="I953" s="156"/>
      <c r="J953" s="156"/>
      <c r="K953" s="156"/>
      <c r="L953" s="156"/>
      <c r="M953" s="156"/>
      <c r="N953" s="156"/>
      <c r="O953" s="156"/>
      <c r="P953" s="156"/>
      <c r="Q953" s="155"/>
      <c r="R953" s="190"/>
      <c r="S953" s="191"/>
    </row>
    <row r="954" ht="29.25" hidden="1" customHeight="1">
      <c r="A954" s="155"/>
      <c r="B954" s="155"/>
      <c r="C954" s="155"/>
      <c r="D954" s="155"/>
      <c r="E954" s="155"/>
      <c r="F954" s="198"/>
      <c r="G954" s="155"/>
      <c r="H954" s="155"/>
      <c r="I954" s="156"/>
      <c r="J954" s="156"/>
      <c r="K954" s="156"/>
      <c r="L954" s="156"/>
      <c r="M954" s="156"/>
      <c r="N954" s="156"/>
      <c r="O954" s="156"/>
      <c r="P954" s="156"/>
      <c r="Q954" s="155"/>
      <c r="R954" s="190"/>
      <c r="S954" s="191"/>
    </row>
    <row r="955" ht="29.25" hidden="1" customHeight="1">
      <c r="A955" s="155"/>
      <c r="B955" s="155"/>
      <c r="C955" s="155"/>
      <c r="D955" s="155"/>
      <c r="E955" s="155"/>
      <c r="F955" s="198"/>
      <c r="G955" s="155"/>
      <c r="H955" s="155"/>
      <c r="I955" s="156"/>
      <c r="J955" s="156"/>
      <c r="K955" s="156"/>
      <c r="L955" s="156"/>
      <c r="M955" s="156"/>
      <c r="N955" s="156"/>
      <c r="O955" s="156"/>
      <c r="P955" s="156"/>
      <c r="Q955" s="155"/>
      <c r="R955" s="190"/>
      <c r="S955" s="191"/>
    </row>
    <row r="956" ht="29.25" hidden="1" customHeight="1">
      <c r="A956" s="155"/>
      <c r="B956" s="155"/>
      <c r="C956" s="155"/>
      <c r="D956" s="155"/>
      <c r="E956" s="155"/>
      <c r="F956" s="198"/>
      <c r="G956" s="155"/>
      <c r="H956" s="155"/>
      <c r="I956" s="156"/>
      <c r="J956" s="156"/>
      <c r="K956" s="156"/>
      <c r="L956" s="156"/>
      <c r="M956" s="156"/>
      <c r="N956" s="156"/>
      <c r="O956" s="156"/>
      <c r="P956" s="156"/>
      <c r="Q956" s="155"/>
      <c r="R956" s="190"/>
      <c r="S956" s="191"/>
    </row>
    <row r="957" ht="29.25" hidden="1" customHeight="1">
      <c r="A957" s="155"/>
      <c r="B957" s="155"/>
      <c r="C957" s="155"/>
      <c r="D957" s="155"/>
      <c r="E957" s="155"/>
      <c r="F957" s="198"/>
      <c r="G957" s="155"/>
      <c r="H957" s="155"/>
      <c r="I957" s="156"/>
      <c r="J957" s="156"/>
      <c r="K957" s="156"/>
      <c r="L957" s="156"/>
      <c r="M957" s="156"/>
      <c r="N957" s="156"/>
      <c r="O957" s="156"/>
      <c r="P957" s="156"/>
      <c r="Q957" s="155"/>
      <c r="R957" s="190"/>
      <c r="S957" s="191"/>
    </row>
    <row r="958" ht="29.25" hidden="1" customHeight="1">
      <c r="A958" s="155"/>
      <c r="B958" s="155"/>
      <c r="C958" s="155"/>
      <c r="D958" s="155"/>
      <c r="E958" s="155"/>
      <c r="F958" s="198"/>
      <c r="G958" s="155"/>
      <c r="H958" s="155"/>
      <c r="I958" s="156"/>
      <c r="J958" s="156"/>
      <c r="K958" s="156"/>
      <c r="L958" s="156"/>
      <c r="M958" s="156"/>
      <c r="N958" s="156"/>
      <c r="O958" s="156"/>
      <c r="P958" s="156"/>
      <c r="Q958" s="155"/>
      <c r="R958" s="190"/>
      <c r="S958" s="191"/>
    </row>
    <row r="959" ht="29.25" hidden="1" customHeight="1">
      <c r="A959" s="155"/>
      <c r="B959" s="155"/>
      <c r="C959" s="155"/>
      <c r="D959" s="155"/>
      <c r="E959" s="155"/>
      <c r="F959" s="198"/>
      <c r="G959" s="155"/>
      <c r="H959" s="155"/>
      <c r="I959" s="156"/>
      <c r="J959" s="156"/>
      <c r="K959" s="156"/>
      <c r="L959" s="156"/>
      <c r="M959" s="156"/>
      <c r="N959" s="156"/>
      <c r="O959" s="156"/>
      <c r="P959" s="156"/>
      <c r="Q959" s="155"/>
      <c r="R959" s="190"/>
      <c r="S959" s="191"/>
    </row>
    <row r="960" ht="29.25" hidden="1" customHeight="1">
      <c r="A960" s="155"/>
      <c r="B960" s="155"/>
      <c r="C960" s="155"/>
      <c r="D960" s="155"/>
      <c r="E960" s="155"/>
      <c r="F960" s="198"/>
      <c r="G960" s="155"/>
      <c r="H960" s="155"/>
      <c r="I960" s="156"/>
      <c r="J960" s="156"/>
      <c r="K960" s="156"/>
      <c r="L960" s="156"/>
      <c r="M960" s="156"/>
      <c r="N960" s="156"/>
      <c r="O960" s="156"/>
      <c r="P960" s="156"/>
      <c r="Q960" s="155"/>
      <c r="R960" s="190"/>
      <c r="S960" s="191"/>
    </row>
    <row r="961" ht="29.25" hidden="1" customHeight="1">
      <c r="A961" s="155"/>
      <c r="B961" s="155"/>
      <c r="C961" s="155"/>
      <c r="D961" s="155"/>
      <c r="E961" s="155"/>
      <c r="F961" s="198"/>
      <c r="G961" s="155"/>
      <c r="H961" s="155"/>
      <c r="I961" s="156"/>
      <c r="J961" s="156"/>
      <c r="K961" s="156"/>
      <c r="L961" s="156"/>
      <c r="M961" s="156"/>
      <c r="N961" s="156"/>
      <c r="O961" s="156"/>
      <c r="P961" s="156"/>
      <c r="Q961" s="155"/>
      <c r="R961" s="190"/>
      <c r="S961" s="191"/>
    </row>
    <row r="962" ht="29.25" hidden="1" customHeight="1">
      <c r="A962" s="155"/>
      <c r="B962" s="155"/>
      <c r="C962" s="155"/>
      <c r="D962" s="155"/>
      <c r="E962" s="155"/>
      <c r="F962" s="198"/>
      <c r="G962" s="155"/>
      <c r="H962" s="155"/>
      <c r="I962" s="156"/>
      <c r="J962" s="156"/>
      <c r="K962" s="156"/>
      <c r="L962" s="156"/>
      <c r="M962" s="156"/>
      <c r="N962" s="156"/>
      <c r="O962" s="156"/>
      <c r="P962" s="156"/>
      <c r="Q962" s="155"/>
      <c r="R962" s="190"/>
      <c r="S962" s="191"/>
    </row>
    <row r="963" ht="29.25" hidden="1" customHeight="1">
      <c r="A963" s="155"/>
      <c r="B963" s="155"/>
      <c r="C963" s="155"/>
      <c r="D963" s="155"/>
      <c r="E963" s="155"/>
      <c r="F963" s="198"/>
      <c r="G963" s="155"/>
      <c r="H963" s="155"/>
      <c r="I963" s="156"/>
      <c r="J963" s="156"/>
      <c r="K963" s="156"/>
      <c r="L963" s="156"/>
      <c r="M963" s="156"/>
      <c r="N963" s="156"/>
      <c r="O963" s="156"/>
      <c r="P963" s="156"/>
      <c r="Q963" s="155"/>
      <c r="R963" s="190"/>
      <c r="S963" s="191"/>
    </row>
    <row r="964" ht="29.25" hidden="1" customHeight="1">
      <c r="A964" s="155"/>
      <c r="B964" s="155"/>
      <c r="C964" s="155"/>
      <c r="D964" s="155"/>
      <c r="E964" s="155"/>
      <c r="F964" s="198"/>
      <c r="G964" s="155"/>
      <c r="H964" s="155"/>
      <c r="I964" s="156"/>
      <c r="J964" s="156"/>
      <c r="K964" s="156"/>
      <c r="L964" s="156"/>
      <c r="M964" s="156"/>
      <c r="N964" s="156"/>
      <c r="O964" s="156"/>
      <c r="P964" s="156"/>
      <c r="Q964" s="155"/>
      <c r="R964" s="190"/>
      <c r="S964" s="191"/>
    </row>
    <row r="965" ht="29.25" hidden="1" customHeight="1">
      <c r="A965" s="155"/>
      <c r="B965" s="155"/>
      <c r="C965" s="155"/>
      <c r="D965" s="155"/>
      <c r="E965" s="155"/>
      <c r="F965" s="198"/>
      <c r="G965" s="155"/>
      <c r="H965" s="155"/>
      <c r="I965" s="156"/>
      <c r="J965" s="156"/>
      <c r="K965" s="156"/>
      <c r="L965" s="156"/>
      <c r="M965" s="156"/>
      <c r="N965" s="156"/>
      <c r="O965" s="156"/>
      <c r="P965" s="156"/>
      <c r="Q965" s="155"/>
      <c r="R965" s="190"/>
      <c r="S965" s="191"/>
    </row>
    <row r="966" ht="29.25" hidden="1" customHeight="1">
      <c r="A966" s="155"/>
      <c r="B966" s="155"/>
      <c r="C966" s="155"/>
      <c r="D966" s="155"/>
      <c r="E966" s="155"/>
      <c r="F966" s="198"/>
      <c r="G966" s="155"/>
      <c r="H966" s="155"/>
      <c r="I966" s="156"/>
      <c r="J966" s="156"/>
      <c r="K966" s="156"/>
      <c r="L966" s="156"/>
      <c r="M966" s="156"/>
      <c r="N966" s="156"/>
      <c r="O966" s="156"/>
      <c r="P966" s="156"/>
      <c r="Q966" s="155"/>
      <c r="R966" s="190"/>
      <c r="S966" s="191"/>
    </row>
    <row r="967" ht="29.25" hidden="1" customHeight="1">
      <c r="A967" s="155"/>
      <c r="B967" s="155"/>
      <c r="C967" s="155"/>
      <c r="D967" s="155"/>
      <c r="E967" s="155"/>
      <c r="F967" s="198"/>
      <c r="G967" s="155"/>
      <c r="H967" s="155"/>
      <c r="I967" s="156"/>
      <c r="J967" s="156"/>
      <c r="K967" s="156"/>
      <c r="L967" s="156"/>
      <c r="M967" s="156"/>
      <c r="N967" s="156"/>
      <c r="O967" s="156"/>
      <c r="P967" s="156"/>
      <c r="Q967" s="155"/>
      <c r="R967" s="190"/>
      <c r="S967" s="191"/>
    </row>
    <row r="968" ht="29.25" hidden="1" customHeight="1">
      <c r="A968" s="155"/>
      <c r="B968" s="155"/>
      <c r="C968" s="155"/>
      <c r="D968" s="155"/>
      <c r="E968" s="155"/>
      <c r="F968" s="198"/>
      <c r="G968" s="155"/>
      <c r="H968" s="155"/>
      <c r="I968" s="156"/>
      <c r="J968" s="156"/>
      <c r="K968" s="156"/>
      <c r="L968" s="156"/>
      <c r="M968" s="156"/>
      <c r="N968" s="156"/>
      <c r="O968" s="156"/>
      <c r="P968" s="156"/>
      <c r="Q968" s="155"/>
      <c r="R968" s="190"/>
      <c r="S968" s="191"/>
    </row>
    <row r="969" ht="29.25" hidden="1" customHeight="1">
      <c r="A969" s="155"/>
      <c r="B969" s="155"/>
      <c r="C969" s="155"/>
      <c r="D969" s="155"/>
      <c r="E969" s="155"/>
      <c r="F969" s="198"/>
      <c r="G969" s="155"/>
      <c r="H969" s="155"/>
      <c r="I969" s="156"/>
      <c r="J969" s="156"/>
      <c r="K969" s="156"/>
      <c r="L969" s="156"/>
      <c r="M969" s="156"/>
      <c r="N969" s="156"/>
      <c r="O969" s="156"/>
      <c r="P969" s="156"/>
      <c r="Q969" s="155"/>
      <c r="R969" s="190"/>
      <c r="S969" s="191"/>
    </row>
    <row r="970" ht="29.25" hidden="1" customHeight="1">
      <c r="A970" s="155"/>
      <c r="B970" s="155"/>
      <c r="C970" s="155"/>
      <c r="D970" s="155"/>
      <c r="E970" s="155"/>
      <c r="F970" s="198"/>
      <c r="G970" s="155"/>
      <c r="H970" s="155"/>
      <c r="I970" s="156"/>
      <c r="J970" s="156"/>
      <c r="K970" s="156"/>
      <c r="L970" s="156"/>
      <c r="M970" s="156"/>
      <c r="N970" s="156"/>
      <c r="O970" s="156"/>
      <c r="P970" s="156"/>
      <c r="Q970" s="155"/>
      <c r="R970" s="190"/>
      <c r="S970" s="191"/>
    </row>
    <row r="971" ht="29.25" hidden="1" customHeight="1">
      <c r="A971" s="155"/>
      <c r="B971" s="155"/>
      <c r="C971" s="155"/>
      <c r="D971" s="155"/>
      <c r="E971" s="155"/>
      <c r="F971" s="198"/>
      <c r="G971" s="155"/>
      <c r="H971" s="155"/>
      <c r="I971" s="156"/>
      <c r="J971" s="156"/>
      <c r="K971" s="156"/>
      <c r="L971" s="156"/>
      <c r="M971" s="156"/>
      <c r="N971" s="156"/>
      <c r="O971" s="156"/>
      <c r="P971" s="156"/>
      <c r="Q971" s="155"/>
      <c r="R971" s="190"/>
      <c r="S971" s="191"/>
    </row>
    <row r="972" ht="29.25" hidden="1" customHeight="1">
      <c r="A972" s="155"/>
      <c r="B972" s="155"/>
      <c r="C972" s="155"/>
      <c r="D972" s="155"/>
      <c r="E972" s="155"/>
      <c r="F972" s="198"/>
      <c r="G972" s="155"/>
      <c r="H972" s="155"/>
      <c r="I972" s="156"/>
      <c r="J972" s="156"/>
      <c r="K972" s="156"/>
      <c r="L972" s="156"/>
      <c r="M972" s="156"/>
      <c r="N972" s="156"/>
      <c r="O972" s="156"/>
      <c r="P972" s="156"/>
      <c r="Q972" s="155"/>
      <c r="R972" s="190"/>
      <c r="S972" s="191"/>
    </row>
    <row r="973" ht="29.25" hidden="1" customHeight="1">
      <c r="A973" s="155"/>
      <c r="B973" s="155"/>
      <c r="C973" s="155"/>
      <c r="D973" s="155"/>
      <c r="E973" s="155"/>
      <c r="F973" s="198"/>
      <c r="G973" s="155"/>
      <c r="H973" s="155"/>
      <c r="I973" s="156"/>
      <c r="J973" s="156"/>
      <c r="K973" s="156"/>
      <c r="L973" s="156"/>
      <c r="M973" s="156"/>
      <c r="N973" s="156"/>
      <c r="O973" s="156"/>
      <c r="P973" s="156"/>
      <c r="Q973" s="155"/>
      <c r="R973" s="190"/>
      <c r="S973" s="191"/>
    </row>
    <row r="974" ht="29.25" hidden="1" customHeight="1">
      <c r="A974" s="155"/>
      <c r="B974" s="155"/>
      <c r="C974" s="155"/>
      <c r="D974" s="155"/>
      <c r="E974" s="155"/>
      <c r="F974" s="198"/>
      <c r="G974" s="155"/>
      <c r="H974" s="155"/>
      <c r="I974" s="156"/>
      <c r="J974" s="156"/>
      <c r="K974" s="156"/>
      <c r="L974" s="156"/>
      <c r="M974" s="156"/>
      <c r="N974" s="156"/>
      <c r="O974" s="156"/>
      <c r="P974" s="156"/>
      <c r="Q974" s="155"/>
      <c r="R974" s="190"/>
      <c r="S974" s="191"/>
    </row>
    <row r="975" ht="29.25" hidden="1" customHeight="1">
      <c r="A975" s="155"/>
      <c r="B975" s="155"/>
      <c r="C975" s="155"/>
      <c r="D975" s="155"/>
      <c r="E975" s="155"/>
      <c r="F975" s="198"/>
      <c r="G975" s="155"/>
      <c r="H975" s="155"/>
      <c r="I975" s="156"/>
      <c r="J975" s="156"/>
      <c r="K975" s="156"/>
      <c r="L975" s="156"/>
      <c r="M975" s="156"/>
      <c r="N975" s="156"/>
      <c r="O975" s="156"/>
      <c r="P975" s="156"/>
      <c r="Q975" s="155"/>
      <c r="R975" s="190"/>
      <c r="S975" s="191"/>
    </row>
    <row r="976" ht="29.25" hidden="1" customHeight="1">
      <c r="A976" s="155"/>
      <c r="B976" s="155"/>
      <c r="C976" s="155"/>
      <c r="D976" s="155"/>
      <c r="E976" s="155"/>
      <c r="F976" s="198"/>
      <c r="G976" s="155"/>
      <c r="H976" s="155"/>
      <c r="I976" s="156"/>
      <c r="J976" s="156"/>
      <c r="K976" s="156"/>
      <c r="L976" s="156"/>
      <c r="M976" s="156"/>
      <c r="N976" s="156"/>
      <c r="O976" s="156"/>
      <c r="P976" s="156"/>
      <c r="Q976" s="155"/>
      <c r="R976" s="190"/>
      <c r="S976" s="191"/>
    </row>
    <row r="977" ht="29.25" hidden="1" customHeight="1">
      <c r="A977" s="155"/>
      <c r="B977" s="155"/>
      <c r="C977" s="155"/>
      <c r="D977" s="155"/>
      <c r="E977" s="155"/>
      <c r="F977" s="198"/>
      <c r="G977" s="155"/>
      <c r="H977" s="155"/>
      <c r="I977" s="156"/>
      <c r="J977" s="156"/>
      <c r="K977" s="156"/>
      <c r="L977" s="156"/>
      <c r="M977" s="156"/>
      <c r="N977" s="156"/>
      <c r="O977" s="156"/>
      <c r="P977" s="156"/>
      <c r="Q977" s="155"/>
      <c r="R977" s="190"/>
      <c r="S977" s="191"/>
    </row>
    <row r="978" ht="29.25" hidden="1" customHeight="1">
      <c r="A978" s="155"/>
      <c r="B978" s="155"/>
      <c r="C978" s="155"/>
      <c r="D978" s="155"/>
      <c r="E978" s="155"/>
      <c r="F978" s="198"/>
      <c r="G978" s="155"/>
      <c r="H978" s="155"/>
      <c r="I978" s="156"/>
      <c r="J978" s="156"/>
      <c r="K978" s="156"/>
      <c r="L978" s="156"/>
      <c r="M978" s="156"/>
      <c r="N978" s="156"/>
      <c r="O978" s="156"/>
      <c r="P978" s="156"/>
      <c r="Q978" s="155"/>
      <c r="R978" s="190"/>
      <c r="S978" s="191"/>
    </row>
    <row r="979" ht="29.25" hidden="1" customHeight="1">
      <c r="A979" s="155"/>
      <c r="B979" s="155"/>
      <c r="C979" s="155"/>
      <c r="D979" s="155"/>
      <c r="E979" s="155"/>
      <c r="F979" s="198"/>
      <c r="G979" s="155"/>
      <c r="H979" s="155"/>
      <c r="I979" s="156"/>
      <c r="J979" s="156"/>
      <c r="K979" s="156"/>
      <c r="L979" s="156"/>
      <c r="M979" s="156"/>
      <c r="N979" s="156"/>
      <c r="O979" s="156"/>
      <c r="P979" s="156"/>
      <c r="Q979" s="155"/>
      <c r="R979" s="190"/>
      <c r="S979" s="191"/>
    </row>
    <row r="980" ht="29.25" hidden="1" customHeight="1">
      <c r="A980" s="155"/>
      <c r="B980" s="155"/>
      <c r="C980" s="155"/>
      <c r="D980" s="155"/>
      <c r="E980" s="155"/>
      <c r="F980" s="198"/>
      <c r="G980" s="155"/>
      <c r="H980" s="155"/>
      <c r="I980" s="156"/>
      <c r="J980" s="156"/>
      <c r="K980" s="156"/>
      <c r="L980" s="156"/>
      <c r="M980" s="156"/>
      <c r="N980" s="156"/>
      <c r="O980" s="156"/>
      <c r="P980" s="156"/>
      <c r="Q980" s="155"/>
      <c r="R980" s="190"/>
      <c r="S980" s="191"/>
    </row>
    <row r="981" ht="29.25" hidden="1" customHeight="1">
      <c r="A981" s="155"/>
      <c r="B981" s="155"/>
      <c r="C981" s="155"/>
      <c r="D981" s="155"/>
      <c r="E981" s="155"/>
      <c r="F981" s="198"/>
      <c r="G981" s="155"/>
      <c r="H981" s="155"/>
      <c r="I981" s="156"/>
      <c r="J981" s="156"/>
      <c r="K981" s="156"/>
      <c r="L981" s="156"/>
      <c r="M981" s="156"/>
      <c r="N981" s="156"/>
      <c r="O981" s="156"/>
      <c r="P981" s="156"/>
      <c r="Q981" s="155"/>
      <c r="R981" s="190"/>
      <c r="S981" s="191"/>
    </row>
    <row r="982" ht="29.25" hidden="1" customHeight="1">
      <c r="A982" s="155"/>
      <c r="B982" s="155"/>
      <c r="C982" s="155"/>
      <c r="D982" s="155"/>
      <c r="E982" s="155"/>
      <c r="F982" s="198"/>
      <c r="G982" s="155"/>
      <c r="H982" s="155"/>
      <c r="I982" s="156"/>
      <c r="J982" s="156"/>
      <c r="K982" s="156"/>
      <c r="L982" s="156"/>
      <c r="M982" s="156"/>
      <c r="N982" s="156"/>
      <c r="O982" s="156"/>
      <c r="P982" s="156"/>
      <c r="Q982" s="155"/>
      <c r="R982" s="190"/>
      <c r="S982" s="191"/>
    </row>
    <row r="983" ht="29.25" hidden="1" customHeight="1">
      <c r="A983" s="155"/>
      <c r="B983" s="155"/>
      <c r="C983" s="155"/>
      <c r="D983" s="155"/>
      <c r="E983" s="155"/>
      <c r="F983" s="198"/>
      <c r="G983" s="155"/>
      <c r="H983" s="155"/>
      <c r="I983" s="156"/>
      <c r="J983" s="156"/>
      <c r="K983" s="156"/>
      <c r="L983" s="156"/>
      <c r="M983" s="156"/>
      <c r="N983" s="156"/>
      <c r="O983" s="156"/>
      <c r="P983" s="156"/>
      <c r="Q983" s="155"/>
      <c r="R983" s="190"/>
      <c r="S983" s="191"/>
    </row>
    <row r="984" ht="29.25" hidden="1" customHeight="1">
      <c r="A984" s="155"/>
      <c r="B984" s="155"/>
      <c r="C984" s="155"/>
      <c r="D984" s="155"/>
      <c r="E984" s="155"/>
      <c r="F984" s="198"/>
      <c r="G984" s="155"/>
      <c r="H984" s="155"/>
      <c r="I984" s="156"/>
      <c r="J984" s="156"/>
      <c r="K984" s="156"/>
      <c r="L984" s="156"/>
      <c r="M984" s="156"/>
      <c r="N984" s="156"/>
      <c r="O984" s="156"/>
      <c r="P984" s="156"/>
      <c r="Q984" s="155"/>
      <c r="R984" s="190"/>
      <c r="S984" s="191"/>
    </row>
    <row r="985" ht="29.25" hidden="1" customHeight="1">
      <c r="A985" s="155"/>
      <c r="B985" s="155"/>
      <c r="C985" s="155"/>
      <c r="D985" s="155"/>
      <c r="E985" s="155"/>
      <c r="F985" s="198"/>
      <c r="G985" s="155"/>
      <c r="H985" s="155"/>
      <c r="I985" s="156"/>
      <c r="J985" s="156"/>
      <c r="K985" s="156"/>
      <c r="L985" s="156"/>
      <c r="M985" s="156"/>
      <c r="N985" s="156"/>
      <c r="O985" s="156"/>
      <c r="P985" s="156"/>
      <c r="Q985" s="155"/>
      <c r="R985" s="190"/>
      <c r="S985" s="191"/>
    </row>
    <row r="986" ht="29.25" hidden="1" customHeight="1">
      <c r="A986" s="155"/>
      <c r="B986" s="155"/>
      <c r="C986" s="155"/>
      <c r="D986" s="155"/>
      <c r="E986" s="155"/>
      <c r="F986" s="198"/>
      <c r="G986" s="155"/>
      <c r="H986" s="155"/>
      <c r="I986" s="156"/>
      <c r="J986" s="156"/>
      <c r="K986" s="156"/>
      <c r="L986" s="156"/>
      <c r="M986" s="156"/>
      <c r="N986" s="156"/>
      <c r="O986" s="156"/>
      <c r="P986" s="156"/>
      <c r="Q986" s="155"/>
      <c r="R986" s="190"/>
      <c r="S986" s="191"/>
    </row>
    <row r="987" ht="29.25" hidden="1" customHeight="1">
      <c r="A987" s="155"/>
      <c r="B987" s="155"/>
      <c r="C987" s="155"/>
      <c r="D987" s="155"/>
      <c r="E987" s="155"/>
      <c r="F987" s="198"/>
      <c r="G987" s="155"/>
      <c r="H987" s="155"/>
      <c r="I987" s="156"/>
      <c r="J987" s="156"/>
      <c r="K987" s="156"/>
      <c r="L987" s="156"/>
      <c r="M987" s="156"/>
      <c r="N987" s="156"/>
      <c r="O987" s="156"/>
      <c r="P987" s="156"/>
      <c r="Q987" s="155"/>
      <c r="R987" s="190"/>
      <c r="S987" s="191"/>
    </row>
    <row r="988" ht="29.25" hidden="1" customHeight="1">
      <c r="A988" s="155"/>
      <c r="B988" s="155"/>
      <c r="C988" s="155"/>
      <c r="D988" s="155"/>
      <c r="E988" s="155"/>
      <c r="F988" s="198"/>
      <c r="G988" s="155"/>
      <c r="H988" s="155"/>
      <c r="I988" s="156"/>
      <c r="J988" s="156"/>
      <c r="K988" s="156"/>
      <c r="L988" s="156"/>
      <c r="M988" s="156"/>
      <c r="N988" s="156"/>
      <c r="O988" s="156"/>
      <c r="P988" s="156"/>
      <c r="Q988" s="155"/>
      <c r="R988" s="190"/>
      <c r="S988" s="191"/>
    </row>
    <row r="989" ht="29.25" hidden="1" customHeight="1">
      <c r="A989" s="155"/>
      <c r="B989" s="155"/>
      <c r="C989" s="155"/>
      <c r="D989" s="155"/>
      <c r="E989" s="155"/>
      <c r="F989" s="198"/>
      <c r="G989" s="155"/>
      <c r="H989" s="155"/>
      <c r="I989" s="156"/>
      <c r="J989" s="156"/>
      <c r="K989" s="156"/>
      <c r="L989" s="156"/>
      <c r="M989" s="156"/>
      <c r="N989" s="156"/>
      <c r="O989" s="156"/>
      <c r="P989" s="156"/>
      <c r="Q989" s="155"/>
      <c r="R989" s="190"/>
      <c r="S989" s="191"/>
    </row>
    <row r="990" ht="29.25" hidden="1" customHeight="1">
      <c r="A990" s="155"/>
      <c r="B990" s="155"/>
      <c r="C990" s="155"/>
      <c r="D990" s="155"/>
      <c r="E990" s="155"/>
      <c r="F990" s="198"/>
      <c r="G990" s="155"/>
      <c r="H990" s="155"/>
      <c r="I990" s="156"/>
      <c r="J990" s="156"/>
      <c r="K990" s="156"/>
      <c r="L990" s="156"/>
      <c r="M990" s="156"/>
      <c r="N990" s="156"/>
      <c r="O990" s="156"/>
      <c r="P990" s="156"/>
      <c r="Q990" s="155"/>
      <c r="R990" s="190"/>
      <c r="S990" s="191"/>
    </row>
    <row r="991" ht="29.25" hidden="1" customHeight="1">
      <c r="A991" s="155"/>
      <c r="B991" s="155"/>
      <c r="C991" s="155"/>
      <c r="D991" s="155"/>
      <c r="E991" s="155"/>
      <c r="F991" s="198"/>
      <c r="G991" s="155"/>
      <c r="H991" s="155"/>
      <c r="I991" s="156"/>
      <c r="J991" s="156"/>
      <c r="K991" s="156"/>
      <c r="L991" s="156"/>
      <c r="M991" s="156"/>
      <c r="N991" s="156"/>
      <c r="O991" s="156"/>
      <c r="P991" s="156"/>
      <c r="Q991" s="155"/>
      <c r="R991" s="190"/>
      <c r="S991" s="191"/>
    </row>
    <row r="992" ht="29.25" hidden="1" customHeight="1">
      <c r="A992" s="155"/>
      <c r="B992" s="155"/>
      <c r="C992" s="155"/>
      <c r="D992" s="155"/>
      <c r="E992" s="155"/>
      <c r="F992" s="198"/>
      <c r="G992" s="155"/>
      <c r="H992" s="155"/>
      <c r="I992" s="156"/>
      <c r="J992" s="156"/>
      <c r="K992" s="156"/>
      <c r="L992" s="156"/>
      <c r="M992" s="156"/>
      <c r="N992" s="156"/>
      <c r="O992" s="156"/>
      <c r="P992" s="156"/>
      <c r="Q992" s="155"/>
      <c r="R992" s="190"/>
      <c r="S992" s="191"/>
    </row>
    <row r="993" ht="29.25" hidden="1" customHeight="1">
      <c r="A993" s="155"/>
      <c r="B993" s="155"/>
      <c r="C993" s="155"/>
      <c r="D993" s="155"/>
      <c r="E993" s="155"/>
      <c r="F993" s="198"/>
      <c r="G993" s="155"/>
      <c r="H993" s="155"/>
      <c r="I993" s="156"/>
      <c r="J993" s="156"/>
      <c r="K993" s="156"/>
      <c r="L993" s="156"/>
      <c r="M993" s="156"/>
      <c r="N993" s="156"/>
      <c r="O993" s="156"/>
      <c r="P993" s="156"/>
      <c r="Q993" s="155"/>
      <c r="R993" s="190"/>
      <c r="S993" s="191"/>
    </row>
    <row r="994" ht="29.25" hidden="1" customHeight="1">
      <c r="A994" s="155"/>
      <c r="B994" s="155"/>
      <c r="C994" s="155"/>
      <c r="D994" s="155"/>
      <c r="E994" s="155"/>
      <c r="F994" s="198"/>
      <c r="G994" s="155"/>
      <c r="H994" s="155"/>
      <c r="I994" s="156"/>
      <c r="J994" s="156"/>
      <c r="K994" s="156"/>
      <c r="L994" s="156"/>
      <c r="M994" s="156"/>
      <c r="N994" s="156"/>
      <c r="O994" s="156"/>
      <c r="P994" s="156"/>
      <c r="Q994" s="155"/>
      <c r="R994" s="190"/>
      <c r="S994" s="191"/>
    </row>
    <row r="995" ht="29.25" hidden="1" customHeight="1">
      <c r="A995" s="155"/>
      <c r="B995" s="155"/>
      <c r="C995" s="155"/>
      <c r="D995" s="155"/>
      <c r="E995" s="155"/>
      <c r="F995" s="198"/>
      <c r="G995" s="155"/>
      <c r="H995" s="155"/>
      <c r="I995" s="156"/>
      <c r="J995" s="156"/>
      <c r="K995" s="156"/>
      <c r="L995" s="156"/>
      <c r="M995" s="156"/>
      <c r="N995" s="156"/>
      <c r="O995" s="156"/>
      <c r="P995" s="156"/>
      <c r="Q995" s="155"/>
      <c r="R995" s="190"/>
      <c r="S995" s="191"/>
    </row>
    <row r="996" ht="29.25" hidden="1" customHeight="1">
      <c r="A996" s="155"/>
      <c r="B996" s="155"/>
      <c r="C996" s="155"/>
      <c r="D996" s="155"/>
      <c r="E996" s="155"/>
      <c r="F996" s="198"/>
      <c r="G996" s="155"/>
      <c r="H996" s="155"/>
      <c r="I996" s="156"/>
      <c r="J996" s="156"/>
      <c r="K996" s="156"/>
      <c r="L996" s="156"/>
      <c r="M996" s="156"/>
      <c r="N996" s="156"/>
      <c r="O996" s="156"/>
      <c r="P996" s="156"/>
      <c r="Q996" s="155"/>
      <c r="R996" s="190"/>
      <c r="S996" s="191"/>
    </row>
    <row r="997" ht="29.25" hidden="1" customHeight="1">
      <c r="A997" s="155"/>
      <c r="B997" s="155"/>
      <c r="C997" s="155"/>
      <c r="D997" s="155"/>
      <c r="E997" s="155"/>
      <c r="F997" s="198"/>
      <c r="G997" s="155"/>
      <c r="H997" s="155"/>
      <c r="I997" s="156"/>
      <c r="J997" s="156"/>
      <c r="K997" s="156"/>
      <c r="L997" s="156"/>
      <c r="M997" s="156"/>
      <c r="N997" s="156"/>
      <c r="O997" s="156"/>
      <c r="P997" s="156"/>
      <c r="Q997" s="155"/>
      <c r="R997" s="190"/>
      <c r="S997" s="191"/>
    </row>
    <row r="998" ht="29.25" hidden="1" customHeight="1">
      <c r="A998" s="155"/>
      <c r="B998" s="155"/>
      <c r="C998" s="155"/>
      <c r="D998" s="155"/>
      <c r="E998" s="155"/>
      <c r="F998" s="198"/>
      <c r="G998" s="155"/>
      <c r="H998" s="155"/>
      <c r="I998" s="156"/>
      <c r="J998" s="156"/>
      <c r="K998" s="156"/>
      <c r="L998" s="156"/>
      <c r="M998" s="156"/>
      <c r="N998" s="156"/>
      <c r="O998" s="156"/>
      <c r="P998" s="156"/>
      <c r="Q998" s="155"/>
      <c r="R998" s="190"/>
      <c r="S998" s="191"/>
    </row>
    <row r="999" ht="29.25" hidden="1" customHeight="1">
      <c r="A999" s="155"/>
      <c r="B999" s="155"/>
      <c r="C999" s="155"/>
      <c r="D999" s="155"/>
      <c r="E999" s="155"/>
      <c r="F999" s="198"/>
      <c r="G999" s="155"/>
      <c r="H999" s="155"/>
      <c r="I999" s="156"/>
      <c r="J999" s="156"/>
      <c r="K999" s="156"/>
      <c r="L999" s="156"/>
      <c r="M999" s="156"/>
      <c r="N999" s="156"/>
      <c r="O999" s="156"/>
      <c r="P999" s="156"/>
      <c r="Q999" s="155"/>
      <c r="R999" s="190"/>
      <c r="S999" s="191"/>
    </row>
    <row r="1000" ht="29.25" hidden="1" customHeight="1">
      <c r="A1000" s="155"/>
      <c r="B1000" s="155"/>
      <c r="C1000" s="155"/>
      <c r="D1000" s="155"/>
      <c r="E1000" s="155"/>
      <c r="F1000" s="198"/>
      <c r="G1000" s="155"/>
      <c r="H1000" s="155"/>
      <c r="I1000" s="156"/>
      <c r="J1000" s="156"/>
      <c r="K1000" s="156"/>
      <c r="L1000" s="156"/>
      <c r="M1000" s="156"/>
      <c r="N1000" s="156"/>
      <c r="O1000" s="156"/>
      <c r="P1000" s="156"/>
      <c r="Q1000" s="155"/>
      <c r="R1000" s="190"/>
      <c r="S1000" s="191"/>
    </row>
  </sheetData>
  <mergeCells count="2">
    <mergeCell ref="K1:O1"/>
    <mergeCell ref="A2:A8"/>
  </mergeCells>
  <conditionalFormatting sqref="K5:O8">
    <cfRule type="containsBlanks" dxfId="17" priority="1">
      <formula>LEN(TRIM(K5))=0</formula>
    </cfRule>
  </conditionalFormatting>
  <conditionalFormatting sqref="Q9">
    <cfRule type="cellIs" dxfId="18" priority="2" operator="greaterThan">
      <formula>3</formula>
    </cfRule>
  </conditionalFormatting>
  <conditionalFormatting sqref="F1:F6 F10:F1000">
    <cfRule type="cellIs" dxfId="10" priority="3" operator="greaterThan">
      <formula>$S$3</formula>
    </cfRule>
  </conditionalFormatting>
  <conditionalFormatting sqref="F1:F6 F10:F1000">
    <cfRule type="cellIs" dxfId="19" priority="4" operator="lessThan">
      <formula>$S$3</formula>
    </cfRule>
  </conditionalFormatting>
  <conditionalFormatting sqref="F1:F6 F10:F1000">
    <cfRule type="cellIs" dxfId="5" priority="5" operator="lessThan">
      <formula>$S$5</formula>
    </cfRule>
  </conditionalFormatting>
  <conditionalFormatting sqref="F9:G9">
    <cfRule type="cellIs" dxfId="5" priority="6" operator="greaterThanOrEqual">
      <formula>4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1.0"/>
    <col customWidth="1" min="2" max="2" width="9.29"/>
    <col customWidth="1" min="3" max="3" width="2.14"/>
    <col customWidth="1" min="4" max="4" width="7.86"/>
    <col customWidth="1" min="5" max="5" width="10.71"/>
    <col customWidth="1" min="6" max="6" width="11.29"/>
    <col customWidth="1" min="7" max="7" width="7.43"/>
    <col customWidth="1" min="8" max="8" width="11.14"/>
    <col customWidth="1" min="9" max="9" width="13.0"/>
    <col customWidth="1" min="10" max="10" width="46.43"/>
    <col customWidth="1" min="11" max="11" width="8.0"/>
    <col customWidth="1" min="12" max="12" width="6.71"/>
    <col customWidth="1" min="13" max="13" width="9.29"/>
    <col customWidth="1" min="14" max="14" width="9.86"/>
    <col customWidth="1" min="15" max="15" width="2.14"/>
    <col customWidth="1" hidden="1" min="16" max="21" width="8.86"/>
    <col customWidth="1" min="22" max="22" width="17.71"/>
    <col customWidth="1" hidden="1" min="23" max="26" width="8.86"/>
  </cols>
  <sheetData>
    <row r="1">
      <c r="A1" s="204" t="s">
        <v>24</v>
      </c>
      <c r="B1" s="205" t="s">
        <v>6237</v>
      </c>
      <c r="C1" s="206"/>
      <c r="D1" s="207" t="s">
        <v>25</v>
      </c>
      <c r="E1" s="207" t="s">
        <v>21</v>
      </c>
      <c r="F1" s="208" t="s">
        <v>6077</v>
      </c>
      <c r="G1" s="208" t="s">
        <v>6318</v>
      </c>
      <c r="H1" s="209" t="s">
        <v>2</v>
      </c>
      <c r="I1" s="209" t="s">
        <v>6206</v>
      </c>
      <c r="J1" s="209" t="s">
        <v>6135</v>
      </c>
      <c r="K1" s="208" t="s">
        <v>6238</v>
      </c>
      <c r="L1" s="208" t="s">
        <v>6239</v>
      </c>
      <c r="M1" s="208" t="s">
        <v>6240</v>
      </c>
      <c r="N1" s="210" t="s">
        <v>7</v>
      </c>
      <c r="O1" s="206"/>
      <c r="P1" s="207" t="s">
        <v>6188</v>
      </c>
      <c r="Q1" s="208" t="s">
        <v>6319</v>
      </c>
      <c r="R1" s="208" t="s">
        <v>6132</v>
      </c>
      <c r="S1" s="208" t="s">
        <v>6134</v>
      </c>
      <c r="T1" s="208" t="s">
        <v>6147</v>
      </c>
      <c r="U1" s="211"/>
      <c r="V1" s="212" t="s">
        <v>6320</v>
      </c>
      <c r="W1" s="207"/>
      <c r="X1" s="209"/>
      <c r="Y1" s="208" t="s">
        <v>6321</v>
      </c>
      <c r="Z1" s="213"/>
    </row>
    <row r="2">
      <c r="A2" s="214" t="s">
        <v>684</v>
      </c>
      <c r="B2" s="215">
        <v>10780.0</v>
      </c>
      <c r="C2" s="216" t="s">
        <v>6322</v>
      </c>
      <c r="D2" s="217">
        <v>17668.0</v>
      </c>
      <c r="E2" s="218">
        <v>44565.0</v>
      </c>
      <c r="F2" s="219">
        <v>0.3541666666666667</v>
      </c>
      <c r="G2" s="220" t="s">
        <v>6323</v>
      </c>
      <c r="H2" s="221" t="s">
        <v>14</v>
      </c>
      <c r="I2" s="222" t="s">
        <v>6219</v>
      </c>
      <c r="J2" s="223" t="s">
        <v>6189</v>
      </c>
      <c r="K2" s="224"/>
      <c r="L2" s="224" t="s">
        <v>6242</v>
      </c>
      <c r="M2" s="224"/>
      <c r="N2" s="225"/>
      <c r="O2" s="216" t="s">
        <v>6322</v>
      </c>
      <c r="P2" s="226" t="s">
        <v>6242</v>
      </c>
      <c r="Q2" s="227" t="e">
        <v>#VALUE!</v>
      </c>
      <c r="R2" s="228" t="e">
        <v>#VALUE!</v>
      </c>
      <c r="S2" s="220" t="e">
        <v>#VALUE!</v>
      </c>
      <c r="T2" s="220" t="e">
        <v>#VALUE!</v>
      </c>
      <c r="U2" s="221">
        <v>1.0</v>
      </c>
      <c r="V2" s="229" t="e">
        <v>#N/A</v>
      </c>
      <c r="W2" s="24" t="e">
        <v>#N/A</v>
      </c>
      <c r="X2" s="222" t="s">
        <v>6324</v>
      </c>
      <c r="Y2" s="222" t="e">
        <v>#N/A</v>
      </c>
      <c r="Z2" s="224" t="s">
        <v>6325</v>
      </c>
    </row>
    <row r="3">
      <c r="A3" s="214" t="s">
        <v>2827</v>
      </c>
      <c r="B3" s="215">
        <v>14212.0</v>
      </c>
      <c r="C3" s="216" t="s">
        <v>6322</v>
      </c>
      <c r="D3" s="217">
        <v>21952.0</v>
      </c>
      <c r="E3" s="218">
        <v>44565.0</v>
      </c>
      <c r="F3" s="219">
        <v>0.3541666666666667</v>
      </c>
      <c r="G3" s="220" t="s">
        <v>6323</v>
      </c>
      <c r="H3" s="221" t="s">
        <v>14</v>
      </c>
      <c r="I3" s="222" t="s">
        <v>6219</v>
      </c>
      <c r="J3" s="223" t="s">
        <v>6091</v>
      </c>
      <c r="K3" s="224"/>
      <c r="L3" s="224" t="s">
        <v>6242</v>
      </c>
      <c r="M3" s="224" t="s">
        <v>6242</v>
      </c>
      <c r="N3" s="225"/>
      <c r="O3" s="216" t="s">
        <v>6322</v>
      </c>
      <c r="P3" s="226" t="e">
        <v>#VALUE!</v>
      </c>
      <c r="Q3" s="227" t="e">
        <v>#VALUE!</v>
      </c>
      <c r="R3" s="228" t="e">
        <v>#VALUE!</v>
      </c>
      <c r="S3" s="220" t="e">
        <v>#VALUE!</v>
      </c>
      <c r="T3" s="220" t="e">
        <v>#VALUE!</v>
      </c>
      <c r="U3" s="221">
        <v>0.0</v>
      </c>
      <c r="V3" s="229" t="s">
        <v>6215</v>
      </c>
      <c r="W3" s="24" t="s">
        <v>6326</v>
      </c>
      <c r="X3" s="222" t="s">
        <v>6326</v>
      </c>
      <c r="Y3" s="222" t="s">
        <v>6327</v>
      </c>
      <c r="Z3" s="224" t="s">
        <v>6325</v>
      </c>
    </row>
    <row r="4">
      <c r="A4" s="214" t="s">
        <v>2556</v>
      </c>
      <c r="B4" s="215">
        <v>13850.0</v>
      </c>
      <c r="C4" s="216" t="s">
        <v>6322</v>
      </c>
      <c r="D4" s="217">
        <v>27494.0</v>
      </c>
      <c r="E4" s="218">
        <v>44565.0</v>
      </c>
      <c r="F4" s="219">
        <v>0.375</v>
      </c>
      <c r="G4" s="220" t="s">
        <v>6328</v>
      </c>
      <c r="H4" s="221" t="s">
        <v>14</v>
      </c>
      <c r="I4" s="222" t="s">
        <v>6222</v>
      </c>
      <c r="J4" s="223" t="s">
        <v>6202</v>
      </c>
      <c r="K4" s="224"/>
      <c r="L4" s="224" t="s">
        <v>6242</v>
      </c>
      <c r="M4" s="224"/>
      <c r="N4" s="225"/>
      <c r="O4" s="216" t="s">
        <v>6322</v>
      </c>
      <c r="P4" s="226" t="e">
        <v>#VALUE!</v>
      </c>
      <c r="Q4" s="227" t="e">
        <v>#VALUE!</v>
      </c>
      <c r="R4" s="228" t="e">
        <v>#VALUE!</v>
      </c>
      <c r="S4" s="220" t="e">
        <v>#VALUE!</v>
      </c>
      <c r="T4" s="220" t="e">
        <v>#VALUE!</v>
      </c>
      <c r="U4" s="221">
        <v>0.0</v>
      </c>
      <c r="V4" s="229" t="s">
        <v>5</v>
      </c>
      <c r="W4" s="24" t="s">
        <v>6329</v>
      </c>
      <c r="X4" s="222" t="s">
        <v>6329</v>
      </c>
      <c r="Y4" s="222" t="s">
        <v>6327</v>
      </c>
      <c r="Z4" s="224" t="s">
        <v>6325</v>
      </c>
    </row>
    <row r="5">
      <c r="A5" s="214" t="s">
        <v>241</v>
      </c>
      <c r="B5" s="215">
        <v>9630.0</v>
      </c>
      <c r="C5" s="216" t="s">
        <v>6322</v>
      </c>
      <c r="D5" s="217">
        <v>26628.0</v>
      </c>
      <c r="E5" s="218">
        <v>44565.0</v>
      </c>
      <c r="F5" s="219">
        <v>0.375</v>
      </c>
      <c r="G5" s="220" t="s">
        <v>6328</v>
      </c>
      <c r="H5" s="221" t="s">
        <v>14</v>
      </c>
      <c r="I5" s="222" t="s">
        <v>6219</v>
      </c>
      <c r="J5" s="223" t="s">
        <v>6199</v>
      </c>
      <c r="K5" s="224"/>
      <c r="L5" s="224" t="s">
        <v>6242</v>
      </c>
      <c r="M5" s="224"/>
      <c r="N5" s="225"/>
      <c r="O5" s="216" t="s">
        <v>6322</v>
      </c>
      <c r="P5" s="226" t="e">
        <v>#VALUE!</v>
      </c>
      <c r="Q5" s="227" t="e">
        <v>#VALUE!</v>
      </c>
      <c r="R5" s="228" t="e">
        <v>#VALUE!</v>
      </c>
      <c r="S5" s="220" t="e">
        <v>#VALUE!</v>
      </c>
      <c r="T5" s="220" t="e">
        <v>#VALUE!</v>
      </c>
      <c r="U5" s="221">
        <v>0.0</v>
      </c>
      <c r="V5" s="229" t="s">
        <v>5</v>
      </c>
      <c r="W5" s="24" t="s">
        <v>6329</v>
      </c>
      <c r="X5" s="222" t="s">
        <v>6329</v>
      </c>
      <c r="Y5" s="222" t="s">
        <v>6327</v>
      </c>
      <c r="Z5" s="224" t="s">
        <v>6325</v>
      </c>
    </row>
    <row r="6">
      <c r="A6" s="214" t="s">
        <v>4536</v>
      </c>
      <c r="B6" s="215">
        <v>16235.0</v>
      </c>
      <c r="C6" s="216" t="s">
        <v>6322</v>
      </c>
      <c r="D6" s="217">
        <v>21675.0</v>
      </c>
      <c r="E6" s="218">
        <v>44565.0</v>
      </c>
      <c r="F6" s="219">
        <v>0.3958333333333333</v>
      </c>
      <c r="G6" s="220" t="s">
        <v>6323</v>
      </c>
      <c r="H6" s="221" t="s">
        <v>12</v>
      </c>
      <c r="I6" s="222" t="s">
        <v>6221</v>
      </c>
      <c r="J6" s="223" t="s">
        <v>6189</v>
      </c>
      <c r="K6" s="224"/>
      <c r="L6" s="224" t="s">
        <v>6242</v>
      </c>
      <c r="M6" s="224"/>
      <c r="N6" s="225"/>
      <c r="O6" s="216" t="s">
        <v>6322</v>
      </c>
      <c r="P6" s="226" t="s">
        <v>6242</v>
      </c>
      <c r="Q6" s="227" t="e">
        <v>#VALUE!</v>
      </c>
      <c r="R6" s="228" t="e">
        <v>#VALUE!</v>
      </c>
      <c r="S6" s="220" t="e">
        <v>#VALUE!</v>
      </c>
      <c r="T6" s="220" t="e">
        <v>#VALUE!</v>
      </c>
      <c r="U6" s="221">
        <v>1.0</v>
      </c>
      <c r="V6" s="229" t="s">
        <v>6216</v>
      </c>
      <c r="W6" s="24" t="s">
        <v>6324</v>
      </c>
      <c r="X6" s="222" t="s">
        <v>6324</v>
      </c>
      <c r="Y6" s="222" t="s">
        <v>6327</v>
      </c>
      <c r="Z6" s="224" t="s">
        <v>6325</v>
      </c>
    </row>
    <row r="7">
      <c r="A7" s="214" t="s">
        <v>4741</v>
      </c>
      <c r="B7" s="215">
        <v>16505.0</v>
      </c>
      <c r="C7" s="216" t="s">
        <v>6322</v>
      </c>
      <c r="D7" s="217">
        <v>21464.0</v>
      </c>
      <c r="E7" s="218">
        <v>44565.0</v>
      </c>
      <c r="F7" s="219">
        <v>0.3958333333333333</v>
      </c>
      <c r="G7" s="220" t="s">
        <v>6323</v>
      </c>
      <c r="H7" s="221" t="s">
        <v>14</v>
      </c>
      <c r="I7" s="222" t="s">
        <v>6219</v>
      </c>
      <c r="J7" s="223" t="s">
        <v>6195</v>
      </c>
      <c r="K7" s="224"/>
      <c r="L7" s="224" t="s">
        <v>6242</v>
      </c>
      <c r="M7" s="224"/>
      <c r="N7" s="225"/>
      <c r="O7" s="216" t="s">
        <v>6322</v>
      </c>
      <c r="P7" s="226" t="s">
        <v>6242</v>
      </c>
      <c r="Q7" s="227" t="e">
        <v>#VALUE!</v>
      </c>
      <c r="R7" s="228" t="e">
        <v>#VALUE!</v>
      </c>
      <c r="S7" s="220" t="e">
        <v>#VALUE!</v>
      </c>
      <c r="T7" s="220" t="e">
        <v>#VALUE!</v>
      </c>
      <c r="U7" s="221">
        <v>1.0</v>
      </c>
      <c r="V7" s="229" t="s">
        <v>6216</v>
      </c>
      <c r="W7" s="24" t="s">
        <v>6324</v>
      </c>
      <c r="X7" s="222" t="s">
        <v>6324</v>
      </c>
      <c r="Y7" s="222" t="s">
        <v>6327</v>
      </c>
      <c r="Z7" s="224" t="s">
        <v>6325</v>
      </c>
    </row>
    <row r="8">
      <c r="A8" s="214" t="s">
        <v>1678</v>
      </c>
      <c r="B8" s="215">
        <v>12749.0</v>
      </c>
      <c r="C8" s="216" t="s">
        <v>6322</v>
      </c>
      <c r="D8" s="217">
        <v>14564.0</v>
      </c>
      <c r="E8" s="218">
        <v>44565.0</v>
      </c>
      <c r="F8" s="219">
        <v>0.40625</v>
      </c>
      <c r="G8" s="220" t="s">
        <v>6323</v>
      </c>
      <c r="H8" s="221" t="s">
        <v>14</v>
      </c>
      <c r="I8" s="222" t="s">
        <v>6219</v>
      </c>
      <c r="J8" s="223" t="s">
        <v>6137</v>
      </c>
      <c r="K8" s="224"/>
      <c r="L8" s="224" t="s">
        <v>6242</v>
      </c>
      <c r="M8" s="224"/>
      <c r="N8" s="225"/>
      <c r="O8" s="216" t="s">
        <v>6322</v>
      </c>
      <c r="P8" s="226" t="e">
        <v>#VALUE!</v>
      </c>
      <c r="Q8" s="227" t="e">
        <v>#VALUE!</v>
      </c>
      <c r="R8" s="228" t="e">
        <v>#VALUE!</v>
      </c>
      <c r="S8" s="220" t="e">
        <v>#VALUE!</v>
      </c>
      <c r="T8" s="220" t="e">
        <v>#VALUE!</v>
      </c>
      <c r="U8" s="221">
        <v>0.0</v>
      </c>
      <c r="V8" s="229" t="s">
        <v>5</v>
      </c>
      <c r="W8" s="24" t="s">
        <v>6329</v>
      </c>
      <c r="X8" s="222" t="s">
        <v>6329</v>
      </c>
      <c r="Y8" s="222" t="s">
        <v>6327</v>
      </c>
      <c r="Z8" s="224" t="s">
        <v>6325</v>
      </c>
    </row>
    <row r="9">
      <c r="A9" s="214" t="s">
        <v>55</v>
      </c>
      <c r="B9" s="215">
        <v>9171.0</v>
      </c>
      <c r="C9" s="216" t="s">
        <v>6322</v>
      </c>
      <c r="D9" s="217">
        <v>20896.0</v>
      </c>
      <c r="E9" s="218">
        <v>44565.0</v>
      </c>
      <c r="F9" s="219">
        <v>0.40625</v>
      </c>
      <c r="G9" s="220" t="s">
        <v>6328</v>
      </c>
      <c r="H9" s="221" t="s">
        <v>14</v>
      </c>
      <c r="I9" s="222" t="s">
        <v>6222</v>
      </c>
      <c r="J9" s="223" t="s">
        <v>6083</v>
      </c>
      <c r="K9" s="224"/>
      <c r="L9" s="224" t="s">
        <v>6242</v>
      </c>
      <c r="M9" s="224"/>
      <c r="N9" s="225"/>
      <c r="O9" s="216" t="s">
        <v>6322</v>
      </c>
      <c r="P9" s="226" t="e">
        <v>#VALUE!</v>
      </c>
      <c r="Q9" s="227" t="e">
        <v>#VALUE!</v>
      </c>
      <c r="R9" s="228" t="e">
        <v>#VALUE!</v>
      </c>
      <c r="S9" s="220" t="e">
        <v>#VALUE!</v>
      </c>
      <c r="T9" s="220" t="e">
        <v>#VALUE!</v>
      </c>
      <c r="U9" s="221">
        <v>0.0</v>
      </c>
      <c r="V9" s="229" t="s">
        <v>5</v>
      </c>
      <c r="W9" s="24" t="s">
        <v>6329</v>
      </c>
      <c r="X9" s="222" t="s">
        <v>6329</v>
      </c>
      <c r="Y9" s="222" t="s">
        <v>6327</v>
      </c>
      <c r="Z9" s="224" t="s">
        <v>6325</v>
      </c>
    </row>
    <row r="10">
      <c r="A10" s="214" t="s">
        <v>664</v>
      </c>
      <c r="B10" s="215">
        <v>10741.0</v>
      </c>
      <c r="C10" s="216" t="s">
        <v>6322</v>
      </c>
      <c r="D10" s="217">
        <v>18129.0</v>
      </c>
      <c r="E10" s="218">
        <v>44565.0</v>
      </c>
      <c r="F10" s="219">
        <v>0.4166666666666667</v>
      </c>
      <c r="G10" s="220" t="s">
        <v>6328</v>
      </c>
      <c r="H10" s="221" t="s">
        <v>14</v>
      </c>
      <c r="I10" s="222" t="s">
        <v>6219</v>
      </c>
      <c r="J10" s="223" t="s">
        <v>6199</v>
      </c>
      <c r="K10" s="224"/>
      <c r="L10" s="224" t="s">
        <v>6242</v>
      </c>
      <c r="M10" s="224"/>
      <c r="N10" s="225"/>
      <c r="O10" s="216" t="s">
        <v>6322</v>
      </c>
      <c r="P10" s="226" t="e">
        <v>#VALUE!</v>
      </c>
      <c r="Q10" s="227" t="e">
        <v>#VALUE!</v>
      </c>
      <c r="R10" s="228" t="e">
        <v>#VALUE!</v>
      </c>
      <c r="S10" s="220" t="e">
        <v>#VALUE!</v>
      </c>
      <c r="T10" s="220" t="e">
        <v>#VALUE!</v>
      </c>
      <c r="U10" s="221">
        <v>0.0</v>
      </c>
      <c r="V10" s="229" t="s">
        <v>5</v>
      </c>
      <c r="W10" s="24" t="s">
        <v>6329</v>
      </c>
      <c r="X10" s="222" t="s">
        <v>6329</v>
      </c>
      <c r="Y10" s="222" t="s">
        <v>6327</v>
      </c>
      <c r="Z10" s="224" t="s">
        <v>6325</v>
      </c>
    </row>
    <row r="11">
      <c r="A11" s="214" t="s">
        <v>3509</v>
      </c>
      <c r="B11" s="215">
        <v>15046.0</v>
      </c>
      <c r="C11" s="216" t="s">
        <v>6322</v>
      </c>
      <c r="D11" s="217">
        <v>35872.0</v>
      </c>
      <c r="E11" s="218">
        <v>44565.0</v>
      </c>
      <c r="F11" s="219">
        <v>0.4479166666666667</v>
      </c>
      <c r="G11" s="220" t="s">
        <v>6323</v>
      </c>
      <c r="H11" s="221" t="s">
        <v>14</v>
      </c>
      <c r="I11" s="222" t="s">
        <v>6219</v>
      </c>
      <c r="J11" s="223" t="s">
        <v>6154</v>
      </c>
      <c r="K11" s="224"/>
      <c r="L11" s="224" t="s">
        <v>6242</v>
      </c>
      <c r="M11" s="224" t="s">
        <v>6242</v>
      </c>
      <c r="N11" s="225"/>
      <c r="O11" s="216" t="s">
        <v>6322</v>
      </c>
      <c r="P11" s="226" t="e">
        <v>#VALUE!</v>
      </c>
      <c r="Q11" s="227" t="e">
        <v>#VALUE!</v>
      </c>
      <c r="R11" s="228" t="e">
        <v>#VALUE!</v>
      </c>
      <c r="S11" s="220" t="e">
        <v>#VALUE!</v>
      </c>
      <c r="T11" s="220" t="e">
        <v>#VALUE!</v>
      </c>
      <c r="U11" s="221">
        <v>0.0</v>
      </c>
      <c r="V11" s="229" t="s">
        <v>6215</v>
      </c>
      <c r="W11" s="24" t="s">
        <v>6326</v>
      </c>
      <c r="X11" s="222" t="s">
        <v>6326</v>
      </c>
      <c r="Y11" s="222" t="s">
        <v>6327</v>
      </c>
      <c r="Z11" s="224" t="s">
        <v>6325</v>
      </c>
    </row>
    <row r="12">
      <c r="A12" s="214" t="s">
        <v>4217</v>
      </c>
      <c r="B12" s="215">
        <v>15862.0</v>
      </c>
      <c r="C12" s="216" t="s">
        <v>6322</v>
      </c>
      <c r="D12" s="217">
        <v>15971.0</v>
      </c>
      <c r="E12" s="218">
        <v>44565.0</v>
      </c>
      <c r="F12" s="219">
        <v>0.4583333333333333</v>
      </c>
      <c r="G12" s="220" t="s">
        <v>6323</v>
      </c>
      <c r="H12" s="221" t="s">
        <v>14</v>
      </c>
      <c r="I12" s="222" t="s">
        <v>6219</v>
      </c>
      <c r="J12" s="223" t="s">
        <v>6196</v>
      </c>
      <c r="K12" s="224"/>
      <c r="L12" s="224" t="s">
        <v>6242</v>
      </c>
      <c r="M12" s="224" t="s">
        <v>6242</v>
      </c>
      <c r="N12" s="225"/>
      <c r="O12" s="216" t="s">
        <v>6322</v>
      </c>
      <c r="P12" s="226" t="s">
        <v>6242</v>
      </c>
      <c r="Q12" s="227" t="e">
        <v>#VALUE!</v>
      </c>
      <c r="R12" s="228" t="e">
        <v>#VALUE!</v>
      </c>
      <c r="S12" s="220" t="e">
        <v>#VALUE!</v>
      </c>
      <c r="T12" s="220" t="e">
        <v>#VALUE!</v>
      </c>
      <c r="U12" s="221">
        <v>1.0</v>
      </c>
      <c r="V12" s="229" t="s">
        <v>6220</v>
      </c>
      <c r="W12" s="24" t="s">
        <v>6330</v>
      </c>
      <c r="X12" s="222" t="s">
        <v>6330</v>
      </c>
      <c r="Y12" s="222" t="s">
        <v>6327</v>
      </c>
      <c r="Z12" s="224" t="s">
        <v>6325</v>
      </c>
    </row>
    <row r="13">
      <c r="A13" s="214" t="s">
        <v>5421</v>
      </c>
      <c r="B13" s="215">
        <v>17372.0</v>
      </c>
      <c r="C13" s="216" t="s">
        <v>6322</v>
      </c>
      <c r="D13" s="217">
        <v>28927.0</v>
      </c>
      <c r="E13" s="218">
        <v>44565.0</v>
      </c>
      <c r="F13" s="219">
        <v>0.4583333333333333</v>
      </c>
      <c r="G13" s="220" t="s">
        <v>6323</v>
      </c>
      <c r="H13" s="221" t="s">
        <v>14</v>
      </c>
      <c r="I13" s="222" t="s">
        <v>6222</v>
      </c>
      <c r="J13" s="223" t="s">
        <v>6126</v>
      </c>
      <c r="K13" s="224"/>
      <c r="L13" s="224" t="s">
        <v>6242</v>
      </c>
      <c r="M13" s="224" t="s">
        <v>6242</v>
      </c>
      <c r="N13" s="224"/>
      <c r="O13" s="216" t="s">
        <v>6322</v>
      </c>
      <c r="P13" s="226" t="e">
        <v>#VALUE!</v>
      </c>
      <c r="Q13" s="227" t="e">
        <v>#VALUE!</v>
      </c>
      <c r="R13" s="228" t="e">
        <v>#VALUE!</v>
      </c>
      <c r="S13" s="220" t="e">
        <v>#VALUE!</v>
      </c>
      <c r="T13" s="220" t="e">
        <v>#VALUE!</v>
      </c>
      <c r="U13" s="221">
        <v>0.0</v>
      </c>
      <c r="V13" s="229" t="s">
        <v>6215</v>
      </c>
      <c r="W13" s="24" t="s">
        <v>6326</v>
      </c>
      <c r="X13" s="222" t="s">
        <v>6326</v>
      </c>
      <c r="Y13" s="222" t="s">
        <v>6327</v>
      </c>
      <c r="Z13" s="224" t="s">
        <v>6325</v>
      </c>
    </row>
    <row r="14">
      <c r="A14" s="214" t="s">
        <v>2520</v>
      </c>
      <c r="B14" s="215">
        <v>13800.0</v>
      </c>
      <c r="C14" s="216" t="s">
        <v>6322</v>
      </c>
      <c r="D14" s="217">
        <v>21061.0</v>
      </c>
      <c r="E14" s="218">
        <v>44565.0</v>
      </c>
      <c r="F14" s="219">
        <v>0.46875</v>
      </c>
      <c r="G14" s="220" t="s">
        <v>6323</v>
      </c>
      <c r="H14" s="221" t="s">
        <v>14</v>
      </c>
      <c r="I14" s="222" t="s">
        <v>6222</v>
      </c>
      <c r="J14" s="223" t="s">
        <v>6117</v>
      </c>
      <c r="K14" s="225"/>
      <c r="L14" s="224" t="s">
        <v>6242</v>
      </c>
      <c r="M14" s="224" t="s">
        <v>6242</v>
      </c>
      <c r="N14" s="225"/>
      <c r="O14" s="216" t="s">
        <v>6322</v>
      </c>
      <c r="P14" s="226" t="e">
        <v>#VALUE!</v>
      </c>
      <c r="Q14" s="227" t="e">
        <v>#VALUE!</v>
      </c>
      <c r="R14" s="228" t="e">
        <v>#VALUE!</v>
      </c>
      <c r="S14" s="220" t="e">
        <v>#VALUE!</v>
      </c>
      <c r="T14" s="220" t="e">
        <v>#VALUE!</v>
      </c>
      <c r="U14" s="221">
        <v>0.0</v>
      </c>
      <c r="V14" s="229" t="s">
        <v>6215</v>
      </c>
      <c r="W14" s="24" t="s">
        <v>6326</v>
      </c>
      <c r="X14" s="222" t="s">
        <v>6326</v>
      </c>
      <c r="Y14" s="222" t="s">
        <v>6327</v>
      </c>
      <c r="Z14" s="224" t="s">
        <v>6325</v>
      </c>
    </row>
    <row r="15">
      <c r="A15" s="214" t="s">
        <v>5080</v>
      </c>
      <c r="B15" s="215">
        <v>16942.0</v>
      </c>
      <c r="C15" s="216" t="s">
        <v>6322</v>
      </c>
      <c r="D15" s="217">
        <v>21275.0</v>
      </c>
      <c r="E15" s="218">
        <v>44565.0</v>
      </c>
      <c r="F15" s="219">
        <v>0.4583333333333333</v>
      </c>
      <c r="G15" s="220" t="s">
        <v>6323</v>
      </c>
      <c r="H15" s="221" t="s">
        <v>12</v>
      </c>
      <c r="I15" s="222" t="s">
        <v>6212</v>
      </c>
      <c r="J15" s="223" t="s">
        <v>6089</v>
      </c>
      <c r="K15" s="224" t="s">
        <v>6242</v>
      </c>
      <c r="L15" s="224"/>
      <c r="M15" s="224"/>
      <c r="N15" s="225"/>
      <c r="O15" s="216" t="s">
        <v>6322</v>
      </c>
      <c r="P15" s="226" t="e">
        <v>#VALUE!</v>
      </c>
      <c r="Q15" s="227" t="e">
        <v>#VALUE!</v>
      </c>
      <c r="R15" s="228" t="e">
        <v>#VALUE!</v>
      </c>
      <c r="S15" s="220" t="e">
        <v>#VALUE!</v>
      </c>
      <c r="T15" s="220" t="e">
        <v>#VALUE!</v>
      </c>
      <c r="U15" s="221">
        <v>0.0</v>
      </c>
      <c r="V15" s="229" t="s">
        <v>6213</v>
      </c>
      <c r="W15" s="24" t="s">
        <v>6331</v>
      </c>
      <c r="X15" s="222" t="s">
        <v>6331</v>
      </c>
      <c r="Y15" s="222" t="s">
        <v>6327</v>
      </c>
      <c r="Z15" s="224" t="s">
        <v>6325</v>
      </c>
    </row>
    <row r="16">
      <c r="A16" s="214" t="s">
        <v>5951</v>
      </c>
      <c r="B16" s="215">
        <v>17815.0</v>
      </c>
      <c r="C16" s="216" t="s">
        <v>6322</v>
      </c>
      <c r="D16" s="217">
        <v>26567.0</v>
      </c>
      <c r="E16" s="218">
        <v>44565.0</v>
      </c>
      <c r="F16" s="219">
        <v>0.4583333333333333</v>
      </c>
      <c r="G16" s="220" t="s">
        <v>6328</v>
      </c>
      <c r="H16" s="221" t="s">
        <v>12</v>
      </c>
      <c r="I16" s="222" t="s">
        <v>6212</v>
      </c>
      <c r="J16" s="223" t="s">
        <v>6217</v>
      </c>
      <c r="K16" s="224" t="s">
        <v>6242</v>
      </c>
      <c r="L16" s="224"/>
      <c r="M16" s="224"/>
      <c r="N16" s="225"/>
      <c r="O16" s="216" t="s">
        <v>6322</v>
      </c>
      <c r="P16" s="226" t="e">
        <v>#VALUE!</v>
      </c>
      <c r="Q16" s="227" t="e">
        <v>#VALUE!</v>
      </c>
      <c r="R16" s="228" t="e">
        <v>#VALUE!</v>
      </c>
      <c r="S16" s="220" t="e">
        <v>#VALUE!</v>
      </c>
      <c r="T16" s="220" t="e">
        <v>#VALUE!</v>
      </c>
      <c r="U16" s="221">
        <v>0.0</v>
      </c>
      <c r="V16" s="229" t="s">
        <v>6213</v>
      </c>
      <c r="W16" s="24" t="s">
        <v>6331</v>
      </c>
      <c r="X16" s="222" t="s">
        <v>6331</v>
      </c>
      <c r="Y16" s="222" t="s">
        <v>6327</v>
      </c>
      <c r="Z16" s="224" t="s">
        <v>6325</v>
      </c>
    </row>
    <row r="17">
      <c r="A17" s="214" t="s">
        <v>3531</v>
      </c>
      <c r="B17" s="215">
        <v>15069.0</v>
      </c>
      <c r="C17" s="216" t="s">
        <v>6322</v>
      </c>
      <c r="D17" s="217">
        <v>17192.0</v>
      </c>
      <c r="E17" s="218">
        <v>44565.0</v>
      </c>
      <c r="F17" s="219">
        <v>0.46875</v>
      </c>
      <c r="G17" s="220" t="s">
        <v>6323</v>
      </c>
      <c r="H17" s="221" t="s">
        <v>12</v>
      </c>
      <c r="I17" s="222" t="s">
        <v>6221</v>
      </c>
      <c r="J17" s="223" t="s">
        <v>6193</v>
      </c>
      <c r="K17" s="224"/>
      <c r="L17" s="224" t="s">
        <v>6242</v>
      </c>
      <c r="M17" s="224"/>
      <c r="N17" s="224"/>
      <c r="O17" s="216" t="s">
        <v>6322</v>
      </c>
      <c r="P17" s="226" t="s">
        <v>6242</v>
      </c>
      <c r="Q17" s="227" t="e">
        <v>#VALUE!</v>
      </c>
      <c r="R17" s="228" t="e">
        <v>#VALUE!</v>
      </c>
      <c r="S17" s="220" t="e">
        <v>#VALUE!</v>
      </c>
      <c r="T17" s="220" t="e">
        <v>#VALUE!</v>
      </c>
      <c r="U17" s="221">
        <v>1.0</v>
      </c>
      <c r="V17" s="229" t="s">
        <v>6216</v>
      </c>
      <c r="W17" s="24" t="s">
        <v>6324</v>
      </c>
      <c r="X17" s="222" t="s">
        <v>6324</v>
      </c>
      <c r="Y17" s="222" t="s">
        <v>6327</v>
      </c>
      <c r="Z17" s="224" t="s">
        <v>6325</v>
      </c>
    </row>
    <row r="18">
      <c r="A18" s="214" t="s">
        <v>883</v>
      </c>
      <c r="B18" s="215">
        <v>11255.0</v>
      </c>
      <c r="C18" s="216" t="s">
        <v>6322</v>
      </c>
      <c r="D18" s="217">
        <v>12029.0</v>
      </c>
      <c r="E18" s="218">
        <v>44565.0</v>
      </c>
      <c r="F18" s="219">
        <v>0.4791666666666667</v>
      </c>
      <c r="G18" s="220" t="s">
        <v>6328</v>
      </c>
      <c r="H18" s="221" t="s">
        <v>13</v>
      </c>
      <c r="I18" s="222" t="s">
        <v>6212</v>
      </c>
      <c r="J18" s="223" t="s">
        <v>6199</v>
      </c>
      <c r="K18" s="224"/>
      <c r="L18" s="224" t="s">
        <v>6242</v>
      </c>
      <c r="M18" s="224"/>
      <c r="N18" s="224"/>
      <c r="O18" s="216" t="s">
        <v>6322</v>
      </c>
      <c r="P18" s="226" t="e">
        <v>#VALUE!</v>
      </c>
      <c r="Q18" s="227" t="e">
        <v>#VALUE!</v>
      </c>
      <c r="R18" s="228" t="e">
        <v>#VALUE!</v>
      </c>
      <c r="S18" s="220" t="e">
        <v>#VALUE!</v>
      </c>
      <c r="T18" s="220" t="e">
        <v>#VALUE!</v>
      </c>
      <c r="U18" s="221">
        <v>0.0</v>
      </c>
      <c r="V18" s="229" t="s">
        <v>5</v>
      </c>
      <c r="W18" s="24" t="s">
        <v>6329</v>
      </c>
      <c r="X18" s="222" t="s">
        <v>6329</v>
      </c>
      <c r="Y18" s="222" t="s">
        <v>6327</v>
      </c>
      <c r="Z18" s="224" t="s">
        <v>6325</v>
      </c>
    </row>
    <row r="19">
      <c r="A19" s="214" t="s">
        <v>4021</v>
      </c>
      <c r="B19" s="215">
        <v>15648.0</v>
      </c>
      <c r="C19" s="216" t="s">
        <v>6322</v>
      </c>
      <c r="D19" s="217">
        <v>25882.0</v>
      </c>
      <c r="E19" s="218">
        <v>44565.0</v>
      </c>
      <c r="F19" s="219">
        <v>0.4895833333333333</v>
      </c>
      <c r="G19" s="220" t="s">
        <v>6328</v>
      </c>
      <c r="H19" s="221" t="s">
        <v>14</v>
      </c>
      <c r="I19" s="222" t="s">
        <v>6222</v>
      </c>
      <c r="J19" s="223" t="s">
        <v>6196</v>
      </c>
      <c r="K19" s="224"/>
      <c r="L19" s="224" t="s">
        <v>6242</v>
      </c>
      <c r="M19" s="224" t="s">
        <v>6242</v>
      </c>
      <c r="N19" s="225"/>
      <c r="O19" s="216" t="s">
        <v>6322</v>
      </c>
      <c r="P19" s="226" t="s">
        <v>6242</v>
      </c>
      <c r="Q19" s="227" t="e">
        <v>#VALUE!</v>
      </c>
      <c r="R19" s="228" t="e">
        <v>#VALUE!</v>
      </c>
      <c r="S19" s="220" t="e">
        <v>#VALUE!</v>
      </c>
      <c r="T19" s="220" t="e">
        <v>#VALUE!</v>
      </c>
      <c r="U19" s="221">
        <v>1.0</v>
      </c>
      <c r="V19" s="229" t="s">
        <v>6220</v>
      </c>
      <c r="W19" s="24" t="s">
        <v>6330</v>
      </c>
      <c r="X19" s="222" t="s">
        <v>6330</v>
      </c>
      <c r="Y19" s="222" t="s">
        <v>6327</v>
      </c>
      <c r="Z19" s="224" t="s">
        <v>6325</v>
      </c>
    </row>
    <row r="20">
      <c r="A20" s="214" t="s">
        <v>3378</v>
      </c>
      <c r="B20" s="215">
        <v>14880.0</v>
      </c>
      <c r="C20" s="216" t="s">
        <v>6322</v>
      </c>
      <c r="D20" s="217">
        <v>18785.0</v>
      </c>
      <c r="E20" s="218">
        <v>44565.0</v>
      </c>
      <c r="F20" s="219">
        <v>0.4791666666666667</v>
      </c>
      <c r="G20" s="220" t="s">
        <v>6323</v>
      </c>
      <c r="H20" s="221" t="s">
        <v>13</v>
      </c>
      <c r="I20" s="222" t="s">
        <v>6221</v>
      </c>
      <c r="J20" s="223" t="s">
        <v>6196</v>
      </c>
      <c r="K20" s="225"/>
      <c r="L20" s="224" t="s">
        <v>6242</v>
      </c>
      <c r="M20" s="224" t="s">
        <v>6242</v>
      </c>
      <c r="N20" s="224"/>
      <c r="O20" s="216" t="s">
        <v>6322</v>
      </c>
      <c r="P20" s="226" t="s">
        <v>6242</v>
      </c>
      <c r="Q20" s="227" t="e">
        <v>#VALUE!</v>
      </c>
      <c r="R20" s="228" t="e">
        <v>#VALUE!</v>
      </c>
      <c r="S20" s="220" t="e">
        <v>#VALUE!</v>
      </c>
      <c r="T20" s="220" t="e">
        <v>#VALUE!</v>
      </c>
      <c r="U20" s="221">
        <v>1.0</v>
      </c>
      <c r="V20" s="229" t="s">
        <v>6220</v>
      </c>
      <c r="W20" s="24" t="s">
        <v>6330</v>
      </c>
      <c r="X20" s="222" t="s">
        <v>6330</v>
      </c>
      <c r="Y20" s="222" t="s">
        <v>6327</v>
      </c>
      <c r="Z20" s="224" t="s">
        <v>6325</v>
      </c>
    </row>
    <row r="21">
      <c r="A21" s="214" t="s">
        <v>4297</v>
      </c>
      <c r="B21" s="215">
        <v>15952.0</v>
      </c>
      <c r="C21" s="216" t="s">
        <v>6322</v>
      </c>
      <c r="D21" s="217">
        <v>21231.0</v>
      </c>
      <c r="E21" s="218">
        <v>44565.0</v>
      </c>
      <c r="F21" s="219">
        <v>0.4895833333333333</v>
      </c>
      <c r="G21" s="220" t="s">
        <v>6328</v>
      </c>
      <c r="H21" s="221" t="s">
        <v>12</v>
      </c>
      <c r="I21" s="222" t="s">
        <v>6221</v>
      </c>
      <c r="J21" s="223" t="s">
        <v>6192</v>
      </c>
      <c r="K21" s="224"/>
      <c r="L21" s="224" t="s">
        <v>6242</v>
      </c>
      <c r="M21" s="224"/>
      <c r="N21" s="225"/>
      <c r="O21" s="216" t="s">
        <v>6322</v>
      </c>
      <c r="P21" s="226" t="s">
        <v>6242</v>
      </c>
      <c r="Q21" s="227" t="e">
        <v>#VALUE!</v>
      </c>
      <c r="R21" s="228" t="e">
        <v>#VALUE!</v>
      </c>
      <c r="S21" s="220" t="e">
        <v>#VALUE!</v>
      </c>
      <c r="T21" s="220" t="e">
        <v>#VALUE!</v>
      </c>
      <c r="U21" s="221">
        <v>1.0</v>
      </c>
      <c r="V21" s="229" t="s">
        <v>6216</v>
      </c>
      <c r="W21" s="24" t="s">
        <v>6324</v>
      </c>
      <c r="X21" s="222" t="s">
        <v>6324</v>
      </c>
      <c r="Y21" s="222" t="s">
        <v>6327</v>
      </c>
      <c r="Z21" s="224" t="s">
        <v>6325</v>
      </c>
    </row>
    <row r="22">
      <c r="A22" s="214" t="s">
        <v>5786</v>
      </c>
      <c r="B22" s="215">
        <v>17479.0</v>
      </c>
      <c r="C22" s="216" t="s">
        <v>6322</v>
      </c>
      <c r="D22" s="217">
        <v>25841.0</v>
      </c>
      <c r="E22" s="218">
        <v>44565.0</v>
      </c>
      <c r="F22" s="219">
        <v>0.4895833333333333</v>
      </c>
      <c r="G22" s="220" t="s">
        <v>6323</v>
      </c>
      <c r="H22" s="221" t="s">
        <v>12</v>
      </c>
      <c r="I22" s="222" t="s">
        <v>6212</v>
      </c>
      <c r="J22" s="223" t="s">
        <v>6139</v>
      </c>
      <c r="K22" s="224" t="s">
        <v>6242</v>
      </c>
      <c r="L22" s="224"/>
      <c r="M22" s="224"/>
      <c r="N22" s="225"/>
      <c r="O22" s="216" t="s">
        <v>6322</v>
      </c>
      <c r="P22" s="226" t="e">
        <v>#VALUE!</v>
      </c>
      <c r="Q22" s="227" t="s">
        <v>6242</v>
      </c>
      <c r="R22" s="228" t="e">
        <v>#VALUE!</v>
      </c>
      <c r="S22" s="220" t="e">
        <v>#VALUE!</v>
      </c>
      <c r="T22" s="220" t="e">
        <v>#VALUE!</v>
      </c>
      <c r="U22" s="221">
        <v>1.0</v>
      </c>
      <c r="V22" s="229" t="s">
        <v>6214</v>
      </c>
      <c r="W22" s="24" t="s">
        <v>6332</v>
      </c>
      <c r="X22" s="222" t="s">
        <v>6332</v>
      </c>
      <c r="Y22" s="222" t="s">
        <v>6327</v>
      </c>
      <c r="Z22" s="224" t="s">
        <v>6325</v>
      </c>
    </row>
    <row r="23">
      <c r="A23" s="214" t="s">
        <v>5948</v>
      </c>
      <c r="B23" s="215">
        <v>17802.0</v>
      </c>
      <c r="C23" s="216" t="s">
        <v>6322</v>
      </c>
      <c r="D23" s="217">
        <v>17369.0</v>
      </c>
      <c r="E23" s="218">
        <v>44565.0</v>
      </c>
      <c r="F23" s="219">
        <v>0.5</v>
      </c>
      <c r="G23" s="220" t="s">
        <v>6328</v>
      </c>
      <c r="H23" s="221" t="s">
        <v>13</v>
      </c>
      <c r="I23" s="222" t="s">
        <v>6212</v>
      </c>
      <c r="J23" s="223" t="s">
        <v>6199</v>
      </c>
      <c r="K23" s="224" t="s">
        <v>6242</v>
      </c>
      <c r="L23" s="224"/>
      <c r="M23" s="224"/>
      <c r="N23" s="225"/>
      <c r="O23" s="216" t="s">
        <v>6322</v>
      </c>
      <c r="P23" s="226" t="e">
        <v>#VALUE!</v>
      </c>
      <c r="Q23" s="227" t="e">
        <v>#VALUE!</v>
      </c>
      <c r="R23" s="228" t="e">
        <v>#VALUE!</v>
      </c>
      <c r="S23" s="220" t="e">
        <v>#VALUE!</v>
      </c>
      <c r="T23" s="220" t="e">
        <v>#VALUE!</v>
      </c>
      <c r="U23" s="221">
        <v>0.0</v>
      </c>
      <c r="V23" s="229" t="s">
        <v>6213</v>
      </c>
      <c r="W23" s="24" t="s">
        <v>6331</v>
      </c>
      <c r="X23" s="222" t="s">
        <v>6331</v>
      </c>
      <c r="Y23" s="222" t="s">
        <v>6327</v>
      </c>
      <c r="Z23" s="224" t="s">
        <v>6325</v>
      </c>
    </row>
    <row r="24">
      <c r="A24" s="214" t="s">
        <v>5949</v>
      </c>
      <c r="B24" s="215">
        <v>17788.0</v>
      </c>
      <c r="C24" s="216" t="s">
        <v>6322</v>
      </c>
      <c r="D24" s="217">
        <v>11506.0</v>
      </c>
      <c r="E24" s="218">
        <v>44565.0</v>
      </c>
      <c r="F24" s="219">
        <v>0.5208333333333334</v>
      </c>
      <c r="G24" s="220" t="s">
        <v>6328</v>
      </c>
      <c r="H24" s="221" t="s">
        <v>12</v>
      </c>
      <c r="I24" s="222" t="s">
        <v>6212</v>
      </c>
      <c r="J24" s="223" t="s">
        <v>6095</v>
      </c>
      <c r="K24" s="224" t="s">
        <v>6242</v>
      </c>
      <c r="L24" s="224"/>
      <c r="M24" s="224"/>
      <c r="N24" s="225"/>
      <c r="O24" s="216" t="s">
        <v>6322</v>
      </c>
      <c r="P24" s="226" t="e">
        <v>#VALUE!</v>
      </c>
      <c r="Q24" s="227" t="e">
        <v>#VALUE!</v>
      </c>
      <c r="R24" s="228" t="e">
        <v>#VALUE!</v>
      </c>
      <c r="S24" s="220" t="e">
        <v>#VALUE!</v>
      </c>
      <c r="T24" s="220" t="e">
        <v>#VALUE!</v>
      </c>
      <c r="U24" s="221">
        <v>0.0</v>
      </c>
      <c r="V24" s="229" t="s">
        <v>6213</v>
      </c>
      <c r="W24" s="24" t="s">
        <v>6331</v>
      </c>
      <c r="X24" s="222" t="s">
        <v>6331</v>
      </c>
      <c r="Y24" s="222" t="s">
        <v>6327</v>
      </c>
      <c r="Z24" s="224" t="s">
        <v>6325</v>
      </c>
    </row>
    <row r="25">
      <c r="A25" s="214" t="s">
        <v>2583</v>
      </c>
      <c r="B25" s="215">
        <v>13887.0</v>
      </c>
      <c r="C25" s="216" t="s">
        <v>6322</v>
      </c>
      <c r="D25" s="217">
        <v>26068.0</v>
      </c>
      <c r="E25" s="218">
        <v>44565.0</v>
      </c>
      <c r="F25" s="219">
        <v>0.5520833333333334</v>
      </c>
      <c r="G25" s="220" t="s">
        <v>6328</v>
      </c>
      <c r="H25" s="221" t="s">
        <v>14</v>
      </c>
      <c r="I25" s="222" t="s">
        <v>6219</v>
      </c>
      <c r="J25" s="223" t="s">
        <v>6192</v>
      </c>
      <c r="K25" s="224"/>
      <c r="L25" s="224" t="s">
        <v>6242</v>
      </c>
      <c r="M25" s="224"/>
      <c r="N25" s="225"/>
      <c r="O25" s="216" t="s">
        <v>6322</v>
      </c>
      <c r="P25" s="226" t="s">
        <v>6242</v>
      </c>
      <c r="Q25" s="227" t="e">
        <v>#VALUE!</v>
      </c>
      <c r="R25" s="228" t="e">
        <v>#VALUE!</v>
      </c>
      <c r="S25" s="220" t="e">
        <v>#VALUE!</v>
      </c>
      <c r="T25" s="220" t="e">
        <v>#VALUE!</v>
      </c>
      <c r="U25" s="221">
        <v>1.0</v>
      </c>
      <c r="V25" s="229" t="s">
        <v>6216</v>
      </c>
      <c r="W25" s="24" t="s">
        <v>6324</v>
      </c>
      <c r="X25" s="222" t="s">
        <v>6324</v>
      </c>
      <c r="Y25" s="222" t="s">
        <v>6327</v>
      </c>
      <c r="Z25" s="224" t="s">
        <v>6325</v>
      </c>
    </row>
    <row r="26">
      <c r="A26" s="214" t="s">
        <v>533</v>
      </c>
      <c r="B26" s="215">
        <v>10400.0</v>
      </c>
      <c r="C26" s="216" t="s">
        <v>6322</v>
      </c>
      <c r="D26" s="217">
        <v>23351.0</v>
      </c>
      <c r="E26" s="218">
        <v>44565.0</v>
      </c>
      <c r="F26" s="219">
        <v>0.5520833333333334</v>
      </c>
      <c r="G26" s="220" t="s">
        <v>6328</v>
      </c>
      <c r="H26" s="221" t="s">
        <v>14</v>
      </c>
      <c r="I26" s="222" t="s">
        <v>6222</v>
      </c>
      <c r="J26" s="223" t="s">
        <v>6099</v>
      </c>
      <c r="K26" s="224"/>
      <c r="L26" s="224" t="s">
        <v>6242</v>
      </c>
      <c r="M26" s="224"/>
      <c r="N26" s="224"/>
      <c r="O26" s="216" t="s">
        <v>6322</v>
      </c>
      <c r="P26" s="226" t="e">
        <v>#VALUE!</v>
      </c>
      <c r="Q26" s="227" t="e">
        <v>#VALUE!</v>
      </c>
      <c r="R26" s="228" t="e">
        <v>#VALUE!</v>
      </c>
      <c r="S26" s="220" t="e">
        <v>#VALUE!</v>
      </c>
      <c r="T26" s="220" t="e">
        <v>#VALUE!</v>
      </c>
      <c r="U26" s="221">
        <v>0.0</v>
      </c>
      <c r="V26" s="229" t="s">
        <v>5</v>
      </c>
      <c r="W26" s="24" t="s">
        <v>6329</v>
      </c>
      <c r="X26" s="222" t="s">
        <v>6329</v>
      </c>
      <c r="Y26" s="222" t="s">
        <v>6327</v>
      </c>
      <c r="Z26" s="224" t="s">
        <v>6325</v>
      </c>
    </row>
    <row r="27">
      <c r="A27" s="214" t="s">
        <v>1562</v>
      </c>
      <c r="B27" s="215">
        <v>12593.0</v>
      </c>
      <c r="C27" s="216" t="s">
        <v>6322</v>
      </c>
      <c r="D27" s="217">
        <v>30103.0</v>
      </c>
      <c r="E27" s="218">
        <v>44565.0</v>
      </c>
      <c r="F27" s="219">
        <v>0.5625</v>
      </c>
      <c r="G27" s="220" t="s">
        <v>6323</v>
      </c>
      <c r="H27" s="221" t="s">
        <v>14</v>
      </c>
      <c r="I27" s="222" t="s">
        <v>6222</v>
      </c>
      <c r="J27" s="223" t="s">
        <v>6142</v>
      </c>
      <c r="K27" s="224"/>
      <c r="L27" s="224" t="s">
        <v>6242</v>
      </c>
      <c r="M27" s="224" t="s">
        <v>6242</v>
      </c>
      <c r="N27" s="225"/>
      <c r="O27" s="216" t="s">
        <v>6322</v>
      </c>
      <c r="P27" s="226" t="e">
        <v>#VALUE!</v>
      </c>
      <c r="Q27" s="227" t="s">
        <v>6242</v>
      </c>
      <c r="R27" s="228" t="e">
        <v>#VALUE!</v>
      </c>
      <c r="S27" s="220" t="e">
        <v>#VALUE!</v>
      </c>
      <c r="T27" s="220" t="e">
        <v>#VALUE!</v>
      </c>
      <c r="U27" s="221">
        <v>1.0</v>
      </c>
      <c r="V27" s="229" t="s">
        <v>6220</v>
      </c>
      <c r="W27" s="24" t="s">
        <v>6330</v>
      </c>
      <c r="X27" s="222" t="s">
        <v>6330</v>
      </c>
      <c r="Y27" s="222" t="s">
        <v>6327</v>
      </c>
      <c r="Z27" s="224" t="s">
        <v>6325</v>
      </c>
    </row>
    <row r="28">
      <c r="A28" s="214" t="s">
        <v>917</v>
      </c>
      <c r="B28" s="215">
        <v>11355.0</v>
      </c>
      <c r="C28" s="216" t="s">
        <v>6322</v>
      </c>
      <c r="D28" s="217">
        <v>21117.0</v>
      </c>
      <c r="E28" s="218">
        <v>44565.0</v>
      </c>
      <c r="F28" s="219">
        <v>0.5729166666666666</v>
      </c>
      <c r="G28" s="220" t="s">
        <v>6323</v>
      </c>
      <c r="H28" s="221" t="s">
        <v>14</v>
      </c>
      <c r="I28" s="222" t="s">
        <v>6222</v>
      </c>
      <c r="J28" s="223" t="s">
        <v>6196</v>
      </c>
      <c r="K28" s="224"/>
      <c r="L28" s="224" t="s">
        <v>6242</v>
      </c>
      <c r="M28" s="224" t="s">
        <v>6242</v>
      </c>
      <c r="N28" s="225"/>
      <c r="O28" s="216" t="s">
        <v>6322</v>
      </c>
      <c r="P28" s="226" t="s">
        <v>6242</v>
      </c>
      <c r="Q28" s="227" t="e">
        <v>#VALUE!</v>
      </c>
      <c r="R28" s="228" t="e">
        <v>#VALUE!</v>
      </c>
      <c r="S28" s="220" t="e">
        <v>#VALUE!</v>
      </c>
      <c r="T28" s="220" t="e">
        <v>#VALUE!</v>
      </c>
      <c r="U28" s="221">
        <v>1.0</v>
      </c>
      <c r="V28" s="229" t="s">
        <v>6220</v>
      </c>
      <c r="W28" s="24" t="s">
        <v>6330</v>
      </c>
      <c r="X28" s="222" t="s">
        <v>6330</v>
      </c>
      <c r="Y28" s="222" t="s">
        <v>6327</v>
      </c>
      <c r="Z28" s="224" t="s">
        <v>6325</v>
      </c>
    </row>
    <row r="29">
      <c r="A29" s="214" t="s">
        <v>3547</v>
      </c>
      <c r="B29" s="215">
        <v>15483.0</v>
      </c>
      <c r="C29" s="216" t="s">
        <v>6322</v>
      </c>
      <c r="D29" s="217">
        <v>27630.0</v>
      </c>
      <c r="E29" s="218">
        <v>44565.0</v>
      </c>
      <c r="F29" s="219">
        <v>0.5729166666666666</v>
      </c>
      <c r="G29" s="220" t="s">
        <v>6328</v>
      </c>
      <c r="H29" s="221" t="s">
        <v>14</v>
      </c>
      <c r="I29" s="222" t="s">
        <v>6222</v>
      </c>
      <c r="J29" s="223" t="s">
        <v>6091</v>
      </c>
      <c r="K29" s="224"/>
      <c r="L29" s="224" t="s">
        <v>6242</v>
      </c>
      <c r="M29" s="224"/>
      <c r="N29" s="224"/>
      <c r="O29" s="216" t="s">
        <v>6322</v>
      </c>
      <c r="P29" s="226" t="e">
        <v>#VALUE!</v>
      </c>
      <c r="Q29" s="227" t="e">
        <v>#VALUE!</v>
      </c>
      <c r="R29" s="228" t="e">
        <v>#VALUE!</v>
      </c>
      <c r="S29" s="220" t="e">
        <v>#VALUE!</v>
      </c>
      <c r="T29" s="220" t="e">
        <v>#VALUE!</v>
      </c>
      <c r="U29" s="221">
        <v>0.0</v>
      </c>
      <c r="V29" s="229" t="s">
        <v>5</v>
      </c>
      <c r="W29" s="24" t="s">
        <v>6329</v>
      </c>
      <c r="X29" s="222" t="s">
        <v>6329</v>
      </c>
      <c r="Y29" s="222" t="s">
        <v>6327</v>
      </c>
      <c r="Z29" s="224" t="s">
        <v>6325</v>
      </c>
    </row>
    <row r="30">
      <c r="A30" s="214" t="s">
        <v>393</v>
      </c>
      <c r="B30" s="215">
        <v>10055.0</v>
      </c>
      <c r="C30" s="230" t="s">
        <v>6322</v>
      </c>
      <c r="D30" s="217">
        <v>22515.0</v>
      </c>
      <c r="E30" s="218">
        <v>44565.0</v>
      </c>
      <c r="F30" s="219">
        <v>0.5729166666666666</v>
      </c>
      <c r="G30" s="231" t="s">
        <v>6328</v>
      </c>
      <c r="H30" s="221" t="s">
        <v>14</v>
      </c>
      <c r="I30" s="222" t="s">
        <v>6219</v>
      </c>
      <c r="J30" s="223" t="s">
        <v>6199</v>
      </c>
      <c r="K30" s="224"/>
      <c r="L30" s="224" t="s">
        <v>6242</v>
      </c>
      <c r="M30" s="224"/>
      <c r="N30" s="224"/>
      <c r="O30" s="216" t="s">
        <v>6322</v>
      </c>
      <c r="P30" s="226" t="e">
        <v>#VALUE!</v>
      </c>
      <c r="Q30" s="227" t="e">
        <v>#VALUE!</v>
      </c>
      <c r="R30" s="228" t="e">
        <v>#VALUE!</v>
      </c>
      <c r="S30" s="220" t="e">
        <v>#VALUE!</v>
      </c>
      <c r="T30" s="220" t="e">
        <v>#VALUE!</v>
      </c>
      <c r="U30" s="221">
        <v>0.0</v>
      </c>
      <c r="V30" s="229" t="s">
        <v>5</v>
      </c>
      <c r="W30" s="24" t="s">
        <v>6329</v>
      </c>
      <c r="X30" s="222" t="s">
        <v>6329</v>
      </c>
      <c r="Y30" s="222" t="s">
        <v>6327</v>
      </c>
      <c r="Z30" s="224" t="s">
        <v>6325</v>
      </c>
    </row>
    <row r="31">
      <c r="A31" s="214" t="s">
        <v>5903</v>
      </c>
      <c r="B31" s="215">
        <v>17738.0</v>
      </c>
      <c r="C31" s="230" t="s">
        <v>6322</v>
      </c>
      <c r="D31" s="217">
        <v>24348.0</v>
      </c>
      <c r="E31" s="218">
        <v>44565.0</v>
      </c>
      <c r="F31" s="219">
        <v>0.5729166666666666</v>
      </c>
      <c r="G31" s="231" t="s">
        <v>6323</v>
      </c>
      <c r="H31" s="221" t="s">
        <v>13</v>
      </c>
      <c r="I31" s="222" t="s">
        <v>6212</v>
      </c>
      <c r="J31" s="223" t="s">
        <v>6091</v>
      </c>
      <c r="K31" s="224" t="s">
        <v>6242</v>
      </c>
      <c r="L31" s="224"/>
      <c r="M31" s="224"/>
      <c r="N31" s="225"/>
      <c r="O31" s="216" t="s">
        <v>6322</v>
      </c>
      <c r="P31" s="226" t="e">
        <v>#VALUE!</v>
      </c>
      <c r="Q31" s="227" t="e">
        <v>#VALUE!</v>
      </c>
      <c r="R31" s="228" t="e">
        <v>#VALUE!</v>
      </c>
      <c r="S31" s="220" t="e">
        <v>#VALUE!</v>
      </c>
      <c r="T31" s="220" t="e">
        <v>#VALUE!</v>
      </c>
      <c r="U31" s="221">
        <v>0.0</v>
      </c>
      <c r="V31" s="229" t="s">
        <v>6213</v>
      </c>
      <c r="W31" s="24" t="s">
        <v>6331</v>
      </c>
      <c r="X31" s="222" t="s">
        <v>6331</v>
      </c>
      <c r="Y31" s="222" t="s">
        <v>6327</v>
      </c>
      <c r="Z31" s="224" t="s">
        <v>6325</v>
      </c>
    </row>
    <row r="32">
      <c r="A32" s="214" t="s">
        <v>1500</v>
      </c>
      <c r="B32" s="215">
        <v>12499.0</v>
      </c>
      <c r="C32" s="230" t="s">
        <v>6322</v>
      </c>
      <c r="D32" s="217">
        <v>20699.0</v>
      </c>
      <c r="E32" s="218">
        <v>44565.0</v>
      </c>
      <c r="F32" s="219">
        <v>0.5833333333333334</v>
      </c>
      <c r="G32" s="231" t="s">
        <v>6328</v>
      </c>
      <c r="H32" s="221" t="s">
        <v>14</v>
      </c>
      <c r="I32" s="222" t="s">
        <v>6222</v>
      </c>
      <c r="J32" s="223" t="s">
        <v>6196</v>
      </c>
      <c r="K32" s="224"/>
      <c r="L32" s="224" t="s">
        <v>6242</v>
      </c>
      <c r="M32" s="224"/>
      <c r="N32" s="225"/>
      <c r="O32" s="216" t="s">
        <v>6322</v>
      </c>
      <c r="P32" s="226" t="s">
        <v>6242</v>
      </c>
      <c r="Q32" s="227" t="e">
        <v>#VALUE!</v>
      </c>
      <c r="R32" s="228" t="e">
        <v>#VALUE!</v>
      </c>
      <c r="S32" s="220" t="e">
        <v>#VALUE!</v>
      </c>
      <c r="T32" s="220" t="e">
        <v>#VALUE!</v>
      </c>
      <c r="U32" s="221">
        <v>1.0</v>
      </c>
      <c r="V32" s="229" t="s">
        <v>6216</v>
      </c>
      <c r="W32" s="24" t="s">
        <v>6324</v>
      </c>
      <c r="X32" s="222" t="s">
        <v>6324</v>
      </c>
      <c r="Y32" s="222" t="s">
        <v>6327</v>
      </c>
      <c r="Z32" s="224" t="s">
        <v>6325</v>
      </c>
    </row>
    <row r="33">
      <c r="A33" s="214" t="s">
        <v>127</v>
      </c>
      <c r="B33" s="215">
        <v>9273.0</v>
      </c>
      <c r="C33" s="230" t="s">
        <v>6322</v>
      </c>
      <c r="D33" s="217">
        <v>32428.0</v>
      </c>
      <c r="E33" s="218">
        <v>44565.0</v>
      </c>
      <c r="F33" s="219">
        <v>0.5833333333333334</v>
      </c>
      <c r="G33" s="231" t="s">
        <v>6323</v>
      </c>
      <c r="H33" s="221" t="s">
        <v>12</v>
      </c>
      <c r="I33" s="222" t="s">
        <v>6212</v>
      </c>
      <c r="J33" s="223" t="s">
        <v>6083</v>
      </c>
      <c r="K33" s="225"/>
      <c r="L33" s="224" t="s">
        <v>6242</v>
      </c>
      <c r="M33" s="224"/>
      <c r="N33" s="225"/>
      <c r="O33" s="216" t="s">
        <v>6322</v>
      </c>
      <c r="P33" s="226" t="e">
        <v>#VALUE!</v>
      </c>
      <c r="Q33" s="227" t="e">
        <v>#VALUE!</v>
      </c>
      <c r="R33" s="228" t="e">
        <v>#VALUE!</v>
      </c>
      <c r="S33" s="220" t="e">
        <v>#VALUE!</v>
      </c>
      <c r="T33" s="220" t="e">
        <v>#VALUE!</v>
      </c>
      <c r="U33" s="221">
        <v>0.0</v>
      </c>
      <c r="V33" s="229" t="s">
        <v>5</v>
      </c>
      <c r="W33" s="24" t="s">
        <v>6329</v>
      </c>
      <c r="X33" s="222" t="s">
        <v>6329</v>
      </c>
      <c r="Y33" s="222" t="s">
        <v>6327</v>
      </c>
      <c r="Z33" s="224" t="s">
        <v>6325</v>
      </c>
    </row>
    <row r="34">
      <c r="A34" s="214" t="s">
        <v>4890</v>
      </c>
      <c r="B34" s="215">
        <v>16703.0</v>
      </c>
      <c r="C34" s="230" t="s">
        <v>6322</v>
      </c>
      <c r="D34" s="217">
        <v>22337.0</v>
      </c>
      <c r="E34" s="218">
        <v>44565.0</v>
      </c>
      <c r="F34" s="219">
        <v>0.5833333333333334</v>
      </c>
      <c r="G34" s="231" t="s">
        <v>6323</v>
      </c>
      <c r="H34" s="221" t="s">
        <v>13</v>
      </c>
      <c r="I34" s="222" t="s">
        <v>6212</v>
      </c>
      <c r="J34" s="223" t="s">
        <v>6118</v>
      </c>
      <c r="K34" s="225"/>
      <c r="L34" s="224" t="s">
        <v>6242</v>
      </c>
      <c r="M34" s="224"/>
      <c r="N34" s="224"/>
      <c r="O34" s="216" t="s">
        <v>6322</v>
      </c>
      <c r="P34" s="226" t="e">
        <v>#VALUE!</v>
      </c>
      <c r="Q34" s="227" t="e">
        <v>#VALUE!</v>
      </c>
      <c r="R34" s="228" t="e">
        <v>#VALUE!</v>
      </c>
      <c r="S34" s="220" t="e">
        <v>#VALUE!</v>
      </c>
      <c r="T34" s="220" t="e">
        <v>#VALUE!</v>
      </c>
      <c r="U34" s="221">
        <v>0.0</v>
      </c>
      <c r="V34" s="229" t="s">
        <v>5</v>
      </c>
      <c r="W34" s="24" t="s">
        <v>6329</v>
      </c>
      <c r="X34" s="222" t="s">
        <v>6329</v>
      </c>
      <c r="Y34" s="222" t="s">
        <v>6327</v>
      </c>
      <c r="Z34" s="224" t="s">
        <v>6325</v>
      </c>
    </row>
    <row r="35">
      <c r="A35" s="214" t="s">
        <v>5953</v>
      </c>
      <c r="B35" s="215">
        <v>17826.0</v>
      </c>
      <c r="C35" s="230" t="s">
        <v>6322</v>
      </c>
      <c r="D35" s="217">
        <v>23296.0</v>
      </c>
      <c r="E35" s="218">
        <v>44565.0</v>
      </c>
      <c r="F35" s="219">
        <v>0.5833333333333334</v>
      </c>
      <c r="G35" s="231" t="s">
        <v>6328</v>
      </c>
      <c r="H35" s="221" t="s">
        <v>12</v>
      </c>
      <c r="I35" s="222" t="s">
        <v>6212</v>
      </c>
      <c r="J35" s="223" t="s">
        <v>6120</v>
      </c>
      <c r="K35" s="224" t="s">
        <v>6242</v>
      </c>
      <c r="L35" s="224"/>
      <c r="M35" s="224"/>
      <c r="N35" s="224"/>
      <c r="O35" s="216" t="s">
        <v>6322</v>
      </c>
      <c r="P35" s="226" t="e">
        <v>#VALUE!</v>
      </c>
      <c r="Q35" s="227" t="e">
        <v>#VALUE!</v>
      </c>
      <c r="R35" s="228" t="e">
        <v>#VALUE!</v>
      </c>
      <c r="S35" s="220" t="e">
        <v>#VALUE!</v>
      </c>
      <c r="T35" s="220" t="e">
        <v>#VALUE!</v>
      </c>
      <c r="U35" s="221">
        <v>0.0</v>
      </c>
      <c r="V35" s="229" t="s">
        <v>6213</v>
      </c>
      <c r="W35" s="24" t="s">
        <v>6331</v>
      </c>
      <c r="X35" s="222" t="s">
        <v>6331</v>
      </c>
      <c r="Y35" s="222" t="s">
        <v>6327</v>
      </c>
      <c r="Z35" s="224" t="s">
        <v>6325</v>
      </c>
    </row>
    <row r="36">
      <c r="A36" s="214" t="s">
        <v>711</v>
      </c>
      <c r="B36" s="215">
        <v>10875.0</v>
      </c>
      <c r="C36" s="230" t="s">
        <v>6322</v>
      </c>
      <c r="D36" s="217">
        <v>19553.0</v>
      </c>
      <c r="E36" s="218">
        <v>44565.0</v>
      </c>
      <c r="F36" s="219">
        <v>0.59375</v>
      </c>
      <c r="G36" s="231" t="s">
        <v>6323</v>
      </c>
      <c r="H36" s="221" t="s">
        <v>12</v>
      </c>
      <c r="I36" s="222" t="s">
        <v>6221</v>
      </c>
      <c r="J36" s="223" t="s">
        <v>6196</v>
      </c>
      <c r="K36" s="225"/>
      <c r="L36" s="224" t="s">
        <v>6242</v>
      </c>
      <c r="M36" s="224"/>
      <c r="N36" s="225"/>
      <c r="O36" s="216" t="s">
        <v>6322</v>
      </c>
      <c r="P36" s="226" t="s">
        <v>6242</v>
      </c>
      <c r="Q36" s="227" t="e">
        <v>#VALUE!</v>
      </c>
      <c r="R36" s="228" t="e">
        <v>#VALUE!</v>
      </c>
      <c r="S36" s="220" t="e">
        <v>#VALUE!</v>
      </c>
      <c r="T36" s="220" t="e">
        <v>#VALUE!</v>
      </c>
      <c r="U36" s="221">
        <v>1.0</v>
      </c>
      <c r="V36" s="229" t="s">
        <v>6216</v>
      </c>
      <c r="W36" s="24" t="s">
        <v>6324</v>
      </c>
      <c r="X36" s="222" t="s">
        <v>6324</v>
      </c>
      <c r="Y36" s="222" t="s">
        <v>6327</v>
      </c>
      <c r="Z36" s="224" t="s">
        <v>6325</v>
      </c>
    </row>
    <row r="37">
      <c r="A37" s="214" t="s">
        <v>1534</v>
      </c>
      <c r="B37" s="215">
        <v>12552.0</v>
      </c>
      <c r="C37" s="230" t="s">
        <v>6322</v>
      </c>
      <c r="D37" s="217">
        <v>28248.0</v>
      </c>
      <c r="E37" s="218">
        <v>44565.0</v>
      </c>
      <c r="F37" s="219">
        <v>0.59375</v>
      </c>
      <c r="G37" s="231" t="s">
        <v>6323</v>
      </c>
      <c r="H37" s="221" t="s">
        <v>14</v>
      </c>
      <c r="I37" s="222" t="s">
        <v>6222</v>
      </c>
      <c r="J37" s="223" t="s">
        <v>6142</v>
      </c>
      <c r="K37" s="225"/>
      <c r="L37" s="224" t="s">
        <v>6242</v>
      </c>
      <c r="M37" s="224"/>
      <c r="N37" s="225"/>
      <c r="O37" s="216" t="s">
        <v>6322</v>
      </c>
      <c r="P37" s="226" t="e">
        <v>#VALUE!</v>
      </c>
      <c r="Q37" s="227" t="s">
        <v>6242</v>
      </c>
      <c r="R37" s="228" t="e">
        <v>#VALUE!</v>
      </c>
      <c r="S37" s="220" t="e">
        <v>#VALUE!</v>
      </c>
      <c r="T37" s="220" t="e">
        <v>#VALUE!</v>
      </c>
      <c r="U37" s="221">
        <v>1.0</v>
      </c>
      <c r="V37" s="229" t="s">
        <v>6216</v>
      </c>
      <c r="W37" s="24" t="s">
        <v>6324</v>
      </c>
      <c r="X37" s="222" t="s">
        <v>6324</v>
      </c>
      <c r="Y37" s="222" t="s">
        <v>6327</v>
      </c>
      <c r="Z37" s="224" t="s">
        <v>6325</v>
      </c>
    </row>
    <row r="38">
      <c r="A38" s="214" t="s">
        <v>5420</v>
      </c>
      <c r="B38" s="215">
        <v>17371.0</v>
      </c>
      <c r="C38" s="230" t="s">
        <v>6322</v>
      </c>
      <c r="D38" s="217">
        <v>31691.0</v>
      </c>
      <c r="E38" s="218">
        <v>44565.0</v>
      </c>
      <c r="F38" s="219">
        <v>0.6041666666666666</v>
      </c>
      <c r="G38" s="231" t="s">
        <v>6323</v>
      </c>
      <c r="H38" s="221" t="s">
        <v>12</v>
      </c>
      <c r="I38" s="222" t="s">
        <v>6212</v>
      </c>
      <c r="J38" s="223" t="s">
        <v>6126</v>
      </c>
      <c r="K38" s="224" t="s">
        <v>6242</v>
      </c>
      <c r="L38" s="224"/>
      <c r="M38" s="224"/>
      <c r="N38" s="225"/>
      <c r="O38" s="216" t="s">
        <v>6322</v>
      </c>
      <c r="P38" s="226" t="e">
        <v>#VALUE!</v>
      </c>
      <c r="Q38" s="227" t="e">
        <v>#VALUE!</v>
      </c>
      <c r="R38" s="228" t="e">
        <v>#VALUE!</v>
      </c>
      <c r="S38" s="220" t="e">
        <v>#VALUE!</v>
      </c>
      <c r="T38" s="220" t="e">
        <v>#VALUE!</v>
      </c>
      <c r="U38" s="221">
        <v>0.0</v>
      </c>
      <c r="V38" s="229" t="s">
        <v>6213</v>
      </c>
      <c r="W38" s="24" t="s">
        <v>6331</v>
      </c>
      <c r="X38" s="222" t="s">
        <v>6331</v>
      </c>
      <c r="Y38" s="222" t="s">
        <v>6327</v>
      </c>
      <c r="Z38" s="224" t="s">
        <v>6325</v>
      </c>
    </row>
    <row r="39">
      <c r="A39" s="214" t="s">
        <v>341</v>
      </c>
      <c r="B39" s="215">
        <v>9918.0</v>
      </c>
      <c r="C39" s="230" t="s">
        <v>6322</v>
      </c>
      <c r="D39" s="217">
        <v>19828.0</v>
      </c>
      <c r="E39" s="218">
        <v>44565.0</v>
      </c>
      <c r="F39" s="219">
        <v>0.6041666666666666</v>
      </c>
      <c r="G39" s="231" t="s">
        <v>6328</v>
      </c>
      <c r="H39" s="221" t="s">
        <v>13</v>
      </c>
      <c r="I39" s="222" t="s">
        <v>6212</v>
      </c>
      <c r="J39" s="223" t="s">
        <v>6194</v>
      </c>
      <c r="K39" s="225"/>
      <c r="L39" s="224" t="s">
        <v>6242</v>
      </c>
      <c r="M39" s="224"/>
      <c r="N39" s="225"/>
      <c r="O39" s="216" t="s">
        <v>6322</v>
      </c>
      <c r="P39" s="226" t="s">
        <v>6242</v>
      </c>
      <c r="Q39" s="227" t="e">
        <v>#VALUE!</v>
      </c>
      <c r="R39" s="228" t="e">
        <v>#VALUE!</v>
      </c>
      <c r="S39" s="220" t="e">
        <v>#VALUE!</v>
      </c>
      <c r="T39" s="220" t="e">
        <v>#VALUE!</v>
      </c>
      <c r="U39" s="221">
        <v>1.0</v>
      </c>
      <c r="V39" s="229" t="s">
        <v>6216</v>
      </c>
      <c r="W39" s="24" t="s">
        <v>6324</v>
      </c>
      <c r="X39" s="222" t="s">
        <v>6324</v>
      </c>
      <c r="Y39" s="222" t="s">
        <v>6327</v>
      </c>
      <c r="Z39" s="224" t="s">
        <v>6325</v>
      </c>
    </row>
    <row r="40">
      <c r="A40" s="214" t="s">
        <v>285</v>
      </c>
      <c r="B40" s="215">
        <v>9775.0</v>
      </c>
      <c r="C40" s="230" t="s">
        <v>6322</v>
      </c>
      <c r="D40" s="217">
        <v>16906.0</v>
      </c>
      <c r="E40" s="218">
        <v>44565.0</v>
      </c>
      <c r="F40" s="219">
        <v>0.5833333333333334</v>
      </c>
      <c r="G40" s="231" t="s">
        <v>6328</v>
      </c>
      <c r="H40" s="221" t="s">
        <v>14</v>
      </c>
      <c r="I40" s="222" t="s">
        <v>6219</v>
      </c>
      <c r="J40" s="223" t="s">
        <v>6094</v>
      </c>
      <c r="K40" s="224"/>
      <c r="L40" s="224" t="s">
        <v>6242</v>
      </c>
      <c r="M40" s="224" t="s">
        <v>6242</v>
      </c>
      <c r="N40" s="225"/>
      <c r="O40" s="216" t="s">
        <v>6322</v>
      </c>
      <c r="P40" s="226" t="e">
        <v>#VALUE!</v>
      </c>
      <c r="Q40" s="227" t="e">
        <v>#VALUE!</v>
      </c>
      <c r="R40" s="228" t="e">
        <v>#VALUE!</v>
      </c>
      <c r="S40" s="220" t="e">
        <v>#VALUE!</v>
      </c>
      <c r="T40" s="220" t="e">
        <v>#VALUE!</v>
      </c>
      <c r="U40" s="221">
        <v>0.0</v>
      </c>
      <c r="V40" s="229" t="s">
        <v>6215</v>
      </c>
      <c r="W40" s="24" t="s">
        <v>6326</v>
      </c>
      <c r="X40" s="222" t="s">
        <v>6326</v>
      </c>
      <c r="Y40" s="222" t="s">
        <v>6327</v>
      </c>
      <c r="Z40" s="224" t="s">
        <v>6325</v>
      </c>
    </row>
    <row r="41">
      <c r="A41" s="214" t="s">
        <v>4042</v>
      </c>
      <c r="B41" s="215">
        <v>15671.0</v>
      </c>
      <c r="C41" s="216" t="s">
        <v>6322</v>
      </c>
      <c r="D41" s="217">
        <v>23935.0</v>
      </c>
      <c r="E41" s="218">
        <v>44565.0</v>
      </c>
      <c r="F41" s="219">
        <v>0.6458333333333334</v>
      </c>
      <c r="G41" s="220" t="s">
        <v>6323</v>
      </c>
      <c r="H41" s="221" t="s">
        <v>14</v>
      </c>
      <c r="I41" s="222" t="s">
        <v>6222</v>
      </c>
      <c r="J41" s="223" t="s">
        <v>6196</v>
      </c>
      <c r="K41" s="225"/>
      <c r="L41" s="224" t="s">
        <v>6242</v>
      </c>
      <c r="M41" s="224"/>
      <c r="N41" s="225"/>
      <c r="O41" s="216" t="s">
        <v>6322</v>
      </c>
      <c r="P41" s="226" t="s">
        <v>6242</v>
      </c>
      <c r="Q41" s="227" t="e">
        <v>#VALUE!</v>
      </c>
      <c r="R41" s="228" t="e">
        <v>#VALUE!</v>
      </c>
      <c r="S41" s="220" t="e">
        <v>#VALUE!</v>
      </c>
      <c r="T41" s="220" t="e">
        <v>#VALUE!</v>
      </c>
      <c r="U41" s="221">
        <v>1.0</v>
      </c>
      <c r="V41" s="229" t="s">
        <v>6216</v>
      </c>
      <c r="W41" s="24" t="s">
        <v>6324</v>
      </c>
      <c r="X41" s="222" t="s">
        <v>6324</v>
      </c>
      <c r="Y41" s="222" t="s">
        <v>6327</v>
      </c>
      <c r="Z41" s="224" t="s">
        <v>6325</v>
      </c>
    </row>
    <row r="42">
      <c r="A42" s="214" t="s">
        <v>2081</v>
      </c>
      <c r="B42" s="215">
        <v>13240.0</v>
      </c>
      <c r="C42" s="216" t="s">
        <v>6322</v>
      </c>
      <c r="D42" s="217">
        <v>14574.0</v>
      </c>
      <c r="E42" s="218">
        <v>44565.0</v>
      </c>
      <c r="F42" s="219">
        <v>0.59375</v>
      </c>
      <c r="G42" s="220" t="s">
        <v>6323</v>
      </c>
      <c r="H42" s="221" t="s">
        <v>14</v>
      </c>
      <c r="I42" s="222" t="s">
        <v>6219</v>
      </c>
      <c r="J42" s="223" t="s">
        <v>6158</v>
      </c>
      <c r="K42" s="225"/>
      <c r="L42" s="224" t="s">
        <v>6242</v>
      </c>
      <c r="M42" s="224"/>
      <c r="N42" s="225"/>
      <c r="O42" s="216" t="s">
        <v>6322</v>
      </c>
      <c r="P42" s="226" t="e">
        <v>#VALUE!</v>
      </c>
      <c r="Q42" s="227" t="e">
        <v>#VALUE!</v>
      </c>
      <c r="R42" s="228" t="e">
        <v>#VALUE!</v>
      </c>
      <c r="S42" s="220" t="e">
        <v>#VALUE!</v>
      </c>
      <c r="T42" s="220" t="e">
        <v>#VALUE!</v>
      </c>
      <c r="U42" s="221">
        <v>0.0</v>
      </c>
      <c r="V42" s="229" t="s">
        <v>5</v>
      </c>
      <c r="W42" s="24" t="s">
        <v>6329</v>
      </c>
      <c r="X42" s="222" t="s">
        <v>6329</v>
      </c>
      <c r="Y42" s="222" t="s">
        <v>6327</v>
      </c>
      <c r="Z42" s="224" t="s">
        <v>6325</v>
      </c>
    </row>
    <row r="43">
      <c r="A43" s="214" t="s">
        <v>5950</v>
      </c>
      <c r="B43" s="215">
        <v>17807.0</v>
      </c>
      <c r="C43" s="216" t="s">
        <v>6322</v>
      </c>
      <c r="D43" s="217">
        <v>27578.0</v>
      </c>
      <c r="E43" s="218">
        <v>44565.0</v>
      </c>
      <c r="F43" s="219">
        <v>0.6145833333333334</v>
      </c>
      <c r="G43" s="220" t="s">
        <v>6328</v>
      </c>
      <c r="H43" s="221" t="s">
        <v>12</v>
      </c>
      <c r="I43" s="222" t="s">
        <v>6212</v>
      </c>
      <c r="J43" s="223" t="s">
        <v>6199</v>
      </c>
      <c r="K43" s="224" t="s">
        <v>6242</v>
      </c>
      <c r="L43" s="224"/>
      <c r="M43" s="224"/>
      <c r="N43" s="225"/>
      <c r="O43" s="216" t="s">
        <v>6322</v>
      </c>
      <c r="P43" s="226" t="e">
        <v>#VALUE!</v>
      </c>
      <c r="Q43" s="227" t="e">
        <v>#VALUE!</v>
      </c>
      <c r="R43" s="228" t="e">
        <v>#VALUE!</v>
      </c>
      <c r="S43" s="220" t="e">
        <v>#VALUE!</v>
      </c>
      <c r="T43" s="220" t="e">
        <v>#VALUE!</v>
      </c>
      <c r="U43" s="221">
        <v>0.0</v>
      </c>
      <c r="V43" s="229" t="s">
        <v>6213</v>
      </c>
      <c r="W43" s="24" t="s">
        <v>6331</v>
      </c>
      <c r="X43" s="222" t="s">
        <v>6331</v>
      </c>
      <c r="Y43" s="222" t="s">
        <v>6327</v>
      </c>
      <c r="Z43" s="224" t="s">
        <v>6325</v>
      </c>
    </row>
    <row r="44">
      <c r="A44" s="214" t="s">
        <v>4071</v>
      </c>
      <c r="B44" s="215">
        <v>15703.0</v>
      </c>
      <c r="C44" s="216" t="s">
        <v>6322</v>
      </c>
      <c r="D44" s="217">
        <v>22279.0</v>
      </c>
      <c r="E44" s="218">
        <v>44565.0</v>
      </c>
      <c r="F44" s="219">
        <v>0.6145833333333334</v>
      </c>
      <c r="G44" s="220" t="s">
        <v>6328</v>
      </c>
      <c r="H44" s="221" t="s">
        <v>14</v>
      </c>
      <c r="I44" s="222" t="s">
        <v>6219</v>
      </c>
      <c r="J44" s="223" t="s">
        <v>6142</v>
      </c>
      <c r="K44" s="224"/>
      <c r="L44" s="224" t="s">
        <v>6242</v>
      </c>
      <c r="M44" s="224"/>
      <c r="N44" s="225"/>
      <c r="O44" s="216" t="s">
        <v>6322</v>
      </c>
      <c r="P44" s="226" t="e">
        <v>#VALUE!</v>
      </c>
      <c r="Q44" s="227" t="s">
        <v>6242</v>
      </c>
      <c r="R44" s="228" t="e">
        <v>#VALUE!</v>
      </c>
      <c r="S44" s="220" t="e">
        <v>#VALUE!</v>
      </c>
      <c r="T44" s="220" t="e">
        <v>#VALUE!</v>
      </c>
      <c r="U44" s="221">
        <v>1.0</v>
      </c>
      <c r="V44" s="229" t="s">
        <v>6216</v>
      </c>
      <c r="W44" s="24" t="s">
        <v>6324</v>
      </c>
      <c r="X44" s="222" t="s">
        <v>6324</v>
      </c>
      <c r="Y44" s="222" t="s">
        <v>6327</v>
      </c>
      <c r="Z44" s="224" t="s">
        <v>6325</v>
      </c>
    </row>
    <row r="45">
      <c r="A45" s="214" t="s">
        <v>5672</v>
      </c>
      <c r="B45" s="215">
        <v>13604.0</v>
      </c>
      <c r="C45" s="216" t="s">
        <v>6322</v>
      </c>
      <c r="D45" s="217">
        <v>24561.0</v>
      </c>
      <c r="E45" s="218">
        <v>44565.0</v>
      </c>
      <c r="F45" s="219">
        <v>0.6041666666666666</v>
      </c>
      <c r="G45" s="220" t="s">
        <v>6328</v>
      </c>
      <c r="H45" s="221" t="s">
        <v>14</v>
      </c>
      <c r="I45" s="222" t="s">
        <v>6222</v>
      </c>
      <c r="J45" s="223" t="s">
        <v>6117</v>
      </c>
      <c r="K45" s="225"/>
      <c r="L45" s="224" t="s">
        <v>6242</v>
      </c>
      <c r="M45" s="224"/>
      <c r="N45" s="225"/>
      <c r="O45" s="216" t="s">
        <v>6322</v>
      </c>
      <c r="P45" s="226" t="e">
        <v>#VALUE!</v>
      </c>
      <c r="Q45" s="227" t="e">
        <v>#VALUE!</v>
      </c>
      <c r="R45" s="228" t="e">
        <v>#VALUE!</v>
      </c>
      <c r="S45" s="220" t="e">
        <v>#VALUE!</v>
      </c>
      <c r="T45" s="220" t="e">
        <v>#VALUE!</v>
      </c>
      <c r="U45" s="221">
        <v>0.0</v>
      </c>
      <c r="V45" s="229" t="e">
        <v>#N/A</v>
      </c>
      <c r="W45" s="24" t="e">
        <v>#N/A</v>
      </c>
      <c r="X45" s="222" t="s">
        <v>6329</v>
      </c>
      <c r="Y45" s="222" t="e">
        <v>#N/A</v>
      </c>
      <c r="Z45" s="224" t="s">
        <v>6325</v>
      </c>
    </row>
    <row r="46">
      <c r="A46" s="214" t="s">
        <v>693</v>
      </c>
      <c r="B46" s="215">
        <v>10801.0</v>
      </c>
      <c r="C46" s="216" t="s">
        <v>6322</v>
      </c>
      <c r="D46" s="217">
        <v>28794.0</v>
      </c>
      <c r="E46" s="218">
        <v>44565.0</v>
      </c>
      <c r="F46" s="219">
        <v>0.6041666666666666</v>
      </c>
      <c r="G46" s="220" t="s">
        <v>6323</v>
      </c>
      <c r="H46" s="221" t="s">
        <v>14</v>
      </c>
      <c r="I46" s="222" t="s">
        <v>6222</v>
      </c>
      <c r="J46" s="223" t="s">
        <v>6082</v>
      </c>
      <c r="K46" s="224"/>
      <c r="L46" s="224" t="s">
        <v>6242</v>
      </c>
      <c r="M46" s="224" t="s">
        <v>6242</v>
      </c>
      <c r="N46" s="225"/>
      <c r="O46" s="216" t="s">
        <v>6322</v>
      </c>
      <c r="P46" s="226" t="e">
        <v>#VALUE!</v>
      </c>
      <c r="Q46" s="227" t="e">
        <v>#VALUE!</v>
      </c>
      <c r="R46" s="228" t="e">
        <v>#VALUE!</v>
      </c>
      <c r="S46" s="220" t="e">
        <v>#VALUE!</v>
      </c>
      <c r="T46" s="220" t="e">
        <v>#VALUE!</v>
      </c>
      <c r="U46" s="221">
        <v>0.0</v>
      </c>
      <c r="V46" s="229" t="s">
        <v>6215</v>
      </c>
      <c r="W46" s="24" t="s">
        <v>6326</v>
      </c>
      <c r="X46" s="222" t="s">
        <v>6326</v>
      </c>
      <c r="Y46" s="222" t="s">
        <v>6327</v>
      </c>
      <c r="Z46" s="224" t="s">
        <v>6325</v>
      </c>
    </row>
    <row r="47">
      <c r="A47" s="214" t="s">
        <v>1612</v>
      </c>
      <c r="B47" s="215">
        <v>12662.0</v>
      </c>
      <c r="C47" s="230" t="s">
        <v>6322</v>
      </c>
      <c r="D47" s="217">
        <v>25947.0</v>
      </c>
      <c r="E47" s="218">
        <v>44565.0</v>
      </c>
      <c r="F47" s="219">
        <v>0.6458333333333334</v>
      </c>
      <c r="G47" s="220" t="s">
        <v>6323</v>
      </c>
      <c r="H47" s="221" t="s">
        <v>14</v>
      </c>
      <c r="I47" s="222" t="s">
        <v>6219</v>
      </c>
      <c r="J47" s="223" t="s">
        <v>6091</v>
      </c>
      <c r="K47" s="225"/>
      <c r="L47" s="224" t="s">
        <v>6242</v>
      </c>
      <c r="M47" s="224"/>
      <c r="N47" s="225"/>
      <c r="O47" s="216" t="s">
        <v>6322</v>
      </c>
      <c r="P47" s="226" t="e">
        <v>#VALUE!</v>
      </c>
      <c r="Q47" s="227" t="e">
        <v>#VALUE!</v>
      </c>
      <c r="R47" s="228" t="e">
        <v>#VALUE!</v>
      </c>
      <c r="S47" s="220" t="e">
        <v>#VALUE!</v>
      </c>
      <c r="T47" s="220" t="e">
        <v>#VALUE!</v>
      </c>
      <c r="U47" s="221">
        <v>0.0</v>
      </c>
      <c r="V47" s="229" t="s">
        <v>5</v>
      </c>
      <c r="W47" s="24" t="s">
        <v>6329</v>
      </c>
      <c r="X47" s="222" t="s">
        <v>6329</v>
      </c>
      <c r="Y47" s="222" t="s">
        <v>6327</v>
      </c>
      <c r="Z47" s="224" t="s">
        <v>6325</v>
      </c>
    </row>
    <row r="48">
      <c r="A48" s="214" t="s">
        <v>3797</v>
      </c>
      <c r="B48" s="215">
        <v>15388.0</v>
      </c>
      <c r="C48" s="230" t="s">
        <v>6322</v>
      </c>
      <c r="D48" s="217">
        <v>20125.0</v>
      </c>
      <c r="E48" s="218">
        <v>44565.0</v>
      </c>
      <c r="F48" s="219">
        <v>0.6354166666666666</v>
      </c>
      <c r="G48" s="220" t="s">
        <v>6323</v>
      </c>
      <c r="H48" s="221" t="s">
        <v>12</v>
      </c>
      <c r="I48" s="222" t="s">
        <v>6221</v>
      </c>
      <c r="J48" s="223" t="s">
        <v>6196</v>
      </c>
      <c r="K48" s="225"/>
      <c r="L48" s="224" t="s">
        <v>6242</v>
      </c>
      <c r="M48" s="224"/>
      <c r="N48" s="224"/>
      <c r="O48" s="216" t="s">
        <v>6322</v>
      </c>
      <c r="P48" s="226" t="s">
        <v>6242</v>
      </c>
      <c r="Q48" s="227" t="e">
        <v>#VALUE!</v>
      </c>
      <c r="R48" s="228" t="e">
        <v>#VALUE!</v>
      </c>
      <c r="S48" s="220" t="e">
        <v>#VALUE!</v>
      </c>
      <c r="T48" s="220" t="e">
        <v>#VALUE!</v>
      </c>
      <c r="U48" s="221">
        <v>1.0</v>
      </c>
      <c r="V48" s="229" t="s">
        <v>6216</v>
      </c>
      <c r="W48" s="24" t="s">
        <v>6324</v>
      </c>
      <c r="X48" s="222" t="s">
        <v>6324</v>
      </c>
      <c r="Y48" s="222" t="s">
        <v>6327</v>
      </c>
      <c r="Z48" s="224" t="s">
        <v>6325</v>
      </c>
    </row>
    <row r="49">
      <c r="A49" s="214" t="s">
        <v>4701</v>
      </c>
      <c r="B49" s="215">
        <v>16455.0</v>
      </c>
      <c r="C49" s="230" t="s">
        <v>6322</v>
      </c>
      <c r="D49" s="217">
        <v>27691.0</v>
      </c>
      <c r="E49" s="218">
        <v>44565.0</v>
      </c>
      <c r="F49" s="219">
        <v>0.6875</v>
      </c>
      <c r="G49" s="220" t="s">
        <v>6323</v>
      </c>
      <c r="H49" s="221" t="s">
        <v>12</v>
      </c>
      <c r="I49" s="222" t="s">
        <v>6212</v>
      </c>
      <c r="J49" s="223" t="s">
        <v>6126</v>
      </c>
      <c r="K49" s="224" t="s">
        <v>6242</v>
      </c>
      <c r="L49" s="224"/>
      <c r="M49" s="224"/>
      <c r="N49" s="224"/>
      <c r="O49" s="216" t="s">
        <v>6322</v>
      </c>
      <c r="P49" s="226" t="e">
        <v>#VALUE!</v>
      </c>
      <c r="Q49" s="227" t="e">
        <v>#VALUE!</v>
      </c>
      <c r="R49" s="228" t="e">
        <v>#VALUE!</v>
      </c>
      <c r="S49" s="220" t="e">
        <v>#VALUE!</v>
      </c>
      <c r="T49" s="220" t="e">
        <v>#VALUE!</v>
      </c>
      <c r="U49" s="221">
        <v>0.0</v>
      </c>
      <c r="V49" s="229" t="s">
        <v>6213</v>
      </c>
      <c r="W49" s="24" t="s">
        <v>6331</v>
      </c>
      <c r="X49" s="222" t="s">
        <v>6331</v>
      </c>
      <c r="Y49" s="222" t="s">
        <v>6327</v>
      </c>
      <c r="Z49" s="224" t="s">
        <v>6325</v>
      </c>
    </row>
    <row r="50">
      <c r="A50" s="214" t="s">
        <v>779</v>
      </c>
      <c r="B50" s="215">
        <v>11037.0</v>
      </c>
      <c r="C50" s="230" t="s">
        <v>6322</v>
      </c>
      <c r="D50" s="217">
        <v>30904.0</v>
      </c>
      <c r="E50" s="218">
        <v>44565.0</v>
      </c>
      <c r="F50" s="219">
        <v>0.6458333333333334</v>
      </c>
      <c r="G50" s="220" t="s">
        <v>6323</v>
      </c>
      <c r="H50" s="221" t="s">
        <v>14</v>
      </c>
      <c r="I50" s="222" t="s">
        <v>6219</v>
      </c>
      <c r="J50" s="223" t="s">
        <v>6089</v>
      </c>
      <c r="K50" s="225"/>
      <c r="L50" s="224" t="s">
        <v>6242</v>
      </c>
      <c r="M50" s="224"/>
      <c r="N50" s="224"/>
      <c r="O50" s="216" t="s">
        <v>6322</v>
      </c>
      <c r="P50" s="226" t="e">
        <v>#VALUE!</v>
      </c>
      <c r="Q50" s="227" t="e">
        <v>#VALUE!</v>
      </c>
      <c r="R50" s="228" t="e">
        <v>#VALUE!</v>
      </c>
      <c r="S50" s="220" t="e">
        <v>#VALUE!</v>
      </c>
      <c r="T50" s="220" t="e">
        <v>#VALUE!</v>
      </c>
      <c r="U50" s="221">
        <v>0.0</v>
      </c>
      <c r="V50" s="229" t="s">
        <v>5</v>
      </c>
      <c r="W50" s="24" t="s">
        <v>6329</v>
      </c>
      <c r="X50" s="222" t="s">
        <v>6329</v>
      </c>
      <c r="Y50" s="222" t="s">
        <v>6327</v>
      </c>
      <c r="Z50" s="224" t="s">
        <v>6325</v>
      </c>
    </row>
    <row r="51">
      <c r="A51" s="214" t="s">
        <v>3919</v>
      </c>
      <c r="B51" s="215">
        <v>15534.0</v>
      </c>
      <c r="C51" s="230" t="s">
        <v>6322</v>
      </c>
      <c r="D51" s="217">
        <v>23905.0</v>
      </c>
      <c r="E51" s="218">
        <v>44565.0</v>
      </c>
      <c r="F51" s="219">
        <v>0.6354166666666666</v>
      </c>
      <c r="G51" s="220" t="s">
        <v>6328</v>
      </c>
      <c r="H51" s="221" t="s">
        <v>14</v>
      </c>
      <c r="I51" s="222" t="s">
        <v>6219</v>
      </c>
      <c r="J51" s="223" t="s">
        <v>6117</v>
      </c>
      <c r="K51" s="225"/>
      <c r="L51" s="224" t="s">
        <v>6242</v>
      </c>
      <c r="M51" s="224"/>
      <c r="N51" s="224"/>
      <c r="O51" s="216" t="s">
        <v>6322</v>
      </c>
      <c r="P51" s="226" t="e">
        <v>#VALUE!</v>
      </c>
      <c r="Q51" s="227" t="e">
        <v>#VALUE!</v>
      </c>
      <c r="R51" s="228" t="e">
        <v>#VALUE!</v>
      </c>
      <c r="S51" s="220" t="e">
        <v>#VALUE!</v>
      </c>
      <c r="T51" s="220" t="e">
        <v>#VALUE!</v>
      </c>
      <c r="U51" s="221">
        <v>0.0</v>
      </c>
      <c r="V51" s="229" t="s">
        <v>5</v>
      </c>
      <c r="W51" s="24" t="s">
        <v>6329</v>
      </c>
      <c r="X51" s="222" t="s">
        <v>6329</v>
      </c>
      <c r="Y51" s="222" t="s">
        <v>6327</v>
      </c>
      <c r="Z51" s="224" t="s">
        <v>6325</v>
      </c>
    </row>
    <row r="52">
      <c r="A52" s="214" t="s">
        <v>5848</v>
      </c>
      <c r="B52" s="215">
        <v>17716.0</v>
      </c>
      <c r="C52" s="230" t="s">
        <v>6322</v>
      </c>
      <c r="D52" s="217">
        <v>17940.0</v>
      </c>
      <c r="E52" s="218">
        <v>44565.0</v>
      </c>
      <c r="F52" s="219">
        <v>0.6666666666666666</v>
      </c>
      <c r="G52" s="220" t="s">
        <v>6323</v>
      </c>
      <c r="H52" s="221" t="s">
        <v>12</v>
      </c>
      <c r="I52" s="222" t="s">
        <v>6212</v>
      </c>
      <c r="J52" s="223" t="s">
        <v>6190</v>
      </c>
      <c r="K52" s="224" t="s">
        <v>6242</v>
      </c>
      <c r="L52" s="224"/>
      <c r="M52" s="224"/>
      <c r="N52" s="224"/>
      <c r="O52" s="216" t="s">
        <v>6322</v>
      </c>
      <c r="P52" s="226" t="s">
        <v>6242</v>
      </c>
      <c r="Q52" s="227" t="e">
        <v>#VALUE!</v>
      </c>
      <c r="R52" s="228" t="e">
        <v>#VALUE!</v>
      </c>
      <c r="S52" s="220" t="e">
        <v>#VALUE!</v>
      </c>
      <c r="T52" s="220" t="e">
        <v>#VALUE!</v>
      </c>
      <c r="U52" s="221">
        <v>1.0</v>
      </c>
      <c r="V52" s="229" t="s">
        <v>6214</v>
      </c>
      <c r="W52" s="24" t="s">
        <v>6332</v>
      </c>
      <c r="X52" s="222" t="s">
        <v>6332</v>
      </c>
      <c r="Y52" s="222" t="s">
        <v>6327</v>
      </c>
      <c r="Z52" s="224" t="s">
        <v>6325</v>
      </c>
    </row>
    <row r="53">
      <c r="A53" s="214" t="s">
        <v>641</v>
      </c>
      <c r="B53" s="215">
        <v>10693.0</v>
      </c>
      <c r="C53" s="230" t="s">
        <v>6322</v>
      </c>
      <c r="D53" s="217">
        <v>27131.0</v>
      </c>
      <c r="E53" s="218">
        <v>44565.0</v>
      </c>
      <c r="F53" s="219">
        <v>0.6979166666666666</v>
      </c>
      <c r="G53" s="220" t="s">
        <v>6323</v>
      </c>
      <c r="H53" s="221" t="s">
        <v>12</v>
      </c>
      <c r="I53" s="222" t="s">
        <v>6212</v>
      </c>
      <c r="J53" s="223" t="s">
        <v>6139</v>
      </c>
      <c r="K53" s="225"/>
      <c r="L53" s="224" t="s">
        <v>6242</v>
      </c>
      <c r="M53" s="224"/>
      <c r="N53" s="224"/>
      <c r="O53" s="216" t="s">
        <v>6322</v>
      </c>
      <c r="P53" s="226" t="e">
        <v>#VALUE!</v>
      </c>
      <c r="Q53" s="227" t="s">
        <v>6242</v>
      </c>
      <c r="R53" s="228" t="e">
        <v>#VALUE!</v>
      </c>
      <c r="S53" s="220" t="e">
        <v>#VALUE!</v>
      </c>
      <c r="T53" s="220" t="e">
        <v>#VALUE!</v>
      </c>
      <c r="U53" s="221">
        <v>1.0</v>
      </c>
      <c r="V53" s="229" t="s">
        <v>6216</v>
      </c>
      <c r="W53" s="24" t="s">
        <v>6324</v>
      </c>
      <c r="X53" s="222" t="s">
        <v>6324</v>
      </c>
      <c r="Y53" s="222" t="s">
        <v>6327</v>
      </c>
      <c r="Z53" s="224" t="s">
        <v>6325</v>
      </c>
    </row>
    <row r="54">
      <c r="A54" s="214" t="s">
        <v>5923</v>
      </c>
      <c r="B54" s="215">
        <v>17818.0</v>
      </c>
      <c r="C54" s="230" t="s">
        <v>6322</v>
      </c>
      <c r="D54" s="217">
        <v>18630.0</v>
      </c>
      <c r="E54" s="218">
        <v>44565.0</v>
      </c>
      <c r="F54" s="219">
        <v>0.6145833333333334</v>
      </c>
      <c r="G54" s="220" t="s">
        <v>6328</v>
      </c>
      <c r="H54" s="221" t="s">
        <v>12</v>
      </c>
      <c r="I54" s="222" t="s">
        <v>6212</v>
      </c>
      <c r="J54" s="223" t="s">
        <v>6101</v>
      </c>
      <c r="K54" s="224" t="s">
        <v>6242</v>
      </c>
      <c r="L54" s="224"/>
      <c r="M54" s="224"/>
      <c r="N54" s="224"/>
      <c r="O54" s="216" t="s">
        <v>6322</v>
      </c>
      <c r="P54" s="226" t="e">
        <v>#VALUE!</v>
      </c>
      <c r="Q54" s="227" t="e">
        <v>#VALUE!</v>
      </c>
      <c r="R54" s="228" t="e">
        <v>#VALUE!</v>
      </c>
      <c r="S54" s="220" t="e">
        <v>#VALUE!</v>
      </c>
      <c r="T54" s="220" t="e">
        <v>#VALUE!</v>
      </c>
      <c r="U54" s="221">
        <v>0.0</v>
      </c>
      <c r="V54" s="229" t="s">
        <v>6213</v>
      </c>
      <c r="W54" s="24" t="s">
        <v>6331</v>
      </c>
      <c r="X54" s="222" t="s">
        <v>6331</v>
      </c>
      <c r="Y54" s="222" t="s">
        <v>6327</v>
      </c>
      <c r="Z54" s="224" t="s">
        <v>6325</v>
      </c>
    </row>
    <row r="55" hidden="1">
      <c r="A55" s="214" t="str">
        <f>IFS($B55=FALSE,"",$B55,VLOOKUP($B55,'PATIENT DATA (072721)'!A:C, 2, 0))</f>
        <v/>
      </c>
      <c r="B55" s="215"/>
      <c r="C55" s="230" t="str">
        <f>IF(COUNTIF('PATIENT DATA (072721)'!A:A, B55)=0, "X","✓")</f>
        <v>X</v>
      </c>
      <c r="D55" s="217" t="str">
        <f>IFS($B55=FALSE,"",$B55,VLOOKUP($B55,'PATIENT DATA (072721)'!A:C, 3, 0))</f>
        <v/>
      </c>
      <c r="E55" s="218">
        <v>44565.0</v>
      </c>
      <c r="F55" s="219" t="str">
        <f>ifs($B55="","",$B55, VLOOKUP($B55&amp;$E55, 'VISIT DATA'!A:O,3,0))</f>
        <v/>
      </c>
      <c r="G55" s="220"/>
      <c r="H55" s="221"/>
      <c r="I55" s="222" t="str">
        <f>VLOOKUP($B55&amp;$E55,'VISIT DATA'!A:J, 9, FALSE)</f>
        <v>#N/A</v>
      </c>
      <c r="J55" s="223" t="str">
        <f>VLOOKUP(B55&amp;E55,'VISIT DATA'!A:N,10,FALSE)</f>
        <v>#N/A</v>
      </c>
      <c r="K55" s="225"/>
      <c r="L55" s="224"/>
      <c r="M55" s="224"/>
      <c r="N55" s="224"/>
      <c r="O55" s="216" t="str">
        <f t="shared" ref="O55:O99" si="1">IF(OR(K55 = "x",L55 = "x",M55 = "x"),"✓", "X")</f>
        <v>X</v>
      </c>
      <c r="P55" s="226" t="str">
        <f t="shared" ref="P55:P99" si="2">ifs(SEARCH($P$1,$J55)&gt;=1,"X")</f>
        <v>#N/A</v>
      </c>
      <c r="Q55" s="227" t="str">
        <f t="shared" ref="Q55:Q99" si="3">ifs(SEARCH($Q$1,$J55)&gt;=1,"X")</f>
        <v>#N/A</v>
      </c>
      <c r="R55" s="228" t="str">
        <f t="shared" ref="R55:R99" si="4">ifs(SEARCH($R$1,$J55)&gt;=1,"X")</f>
        <v>#N/A</v>
      </c>
      <c r="S55" s="220" t="str">
        <f t="shared" ref="S55:S99" si="5">ifs(SEARCH($S$1,$J55)&gt;=1,"X")</f>
        <v>#N/A</v>
      </c>
      <c r="T55" s="220" t="str">
        <f t="shared" ref="T55:T99" si="6">ifs(SEARCH($T$1,$J55)&gt;=1,"X")</f>
        <v>#N/A</v>
      </c>
      <c r="U55" s="221">
        <f t="shared" ref="U55:U99" si="7">countif($P55:$T55,"X")</f>
        <v>0</v>
      </c>
      <c r="V55" s="229" t="str">
        <f>ifs($N55="",VLOOKUP($B55&amp;$E55,'VISIT DATA'!$A$2:$J100,7,FALSE), $N55="SWAB","OUTSA-RW",$N55="SWQU","OUTSA-SaQu", AND($L55="X",$M55="X",$N55="QUEST"),"OUT-UAQPre",$N55="QUEST","OUT-UAQ", $N55="Walk in","ColUATele")</f>
        <v>#N/A</v>
      </c>
      <c r="W55" s="24" t="str">
        <f t="shared" ref="W55:W99" si="8">ifs($V55="UA-NWPT","UA-NWPT : UA New Patient",$V55="UA","UA : Urine Analysis In House",$V55="UA-Prelim","UA-Prelim : Preliminary UA Test",$V55="OUT-UAQ","OUT-UAQ : Quest Out UA",$V55="OUT-UAQPre", "OUT-UAQPre : OUT UA Prelim Quest",$V55="OUTSA-SaQu","OUTSA-SaQu : Saliva Out Quest",$V55="ColUATele","Collected Telemed",$V55="OUTUA-PrRW", "OUTUA-PrRW : OUT UA Prelimin Redwood",$V55="OUTUA-FURW", "OUTUA-FURW : OUT UA FU Redwood",$V55="OUTUA-NWRW", "OUTUA-NWRW : OUT UA New Redwood",$V55="OUTSA-RW", "OUTSA-RW : OUT Saliva Redwood")</f>
        <v>#N/A</v>
      </c>
      <c r="X55" s="222" t="str">
        <f t="shared" ref="X55:X99" si="9">ifs($B55="","",and($K55="X",$L55="X",$M55="X",$N55="SWAB"), "ERROR",and($K55="X",$L55="X",$N55="SWAB"), "ERROR", and($L55="X",$N55="SWAB"), "OUTSA-RW : OUT Saliva Redwood", and($K55="X",$M55="X", $N55="SWAB"),"ERROR", and($M55="X",$N55="SWAB"), "OUTSA-RW : OUT Saliva Redwood", and($K55="X",$N55="SWAB"),"OUTSA-RW : OUT Saliva Redwood",and($K55="X",$L55="X"),"ERROR", and($K55="X",$M55="X"),"ERROR",and($M55="X",$U55=1), "OUTUA-PrRW : OUT UA Prelimin Redwood", and($K55="X",$U55=1), "OUTUA-NWRW : OUT UA New Redwood", and($L55="X",$U55=1), "OUTUA-FURW : OUT UA FU Redwood", and($L55="X",$M55="X",$U55=1), "OUTUA-PrRW : OUT UA Prelimin Redwood", $K55="X","UA-NWPT : UA New Patient", and($L55="X",$M55="X"),"UA-Prelim : Preliminary UA Test",and($L55="X",$N55="SWAB"),"OUTSA-RW : OUT Saliva Redwood",$L55="X","UA : Urine Analysis In House",$M55="X","UA-Prelim : Preliminary UA Test")</f>
        <v/>
      </c>
      <c r="Y55" s="222" t="str">
        <f t="shared" ref="Y55:Y99" si="10">IFS($B55="","",X55=W55,"MATCH",X55&lt;&gt;W55,"NO MATCH")</f>
        <v/>
      </c>
      <c r="Z55" s="224" t="str">
        <f t="shared" ref="Z55:Z99" si="11">IF((countif($B$2:$B100,$B55)&gt;1),"Repeat"," ")</f>
        <v> </v>
      </c>
    </row>
    <row r="56" hidden="1">
      <c r="A56" s="214" t="str">
        <f>IFS($B56=FALSE,"",$B56,VLOOKUP($B56,'PATIENT DATA (072721)'!A:C, 2, 0))</f>
        <v/>
      </c>
      <c r="B56" s="215"/>
      <c r="C56" s="230" t="str">
        <f>IF(COUNTIF('PATIENT DATA (072721)'!A:A, B56)=0, "X","✓")</f>
        <v>X</v>
      </c>
      <c r="D56" s="217" t="str">
        <f>IFS($B56=FALSE,"",$B56,VLOOKUP($B56,'PATIENT DATA (072721)'!A:C, 3, 0))</f>
        <v/>
      </c>
      <c r="E56" s="218">
        <v>44565.0</v>
      </c>
      <c r="F56" s="219" t="str">
        <f>ifs($B56="","",$B56, VLOOKUP($B56&amp;$E56, 'VISIT DATA'!A:O,3,0))</f>
        <v/>
      </c>
      <c r="G56" s="220"/>
      <c r="H56" s="221"/>
      <c r="I56" s="222" t="str">
        <f>VLOOKUP($B56&amp;$E56,'VISIT DATA'!A:J, 9, FALSE)</f>
        <v>#N/A</v>
      </c>
      <c r="J56" s="223" t="str">
        <f>VLOOKUP(B56&amp;E56,'VISIT DATA'!A:N,10,FALSE)</f>
        <v>#N/A</v>
      </c>
      <c r="K56" s="225"/>
      <c r="L56" s="224"/>
      <c r="M56" s="224"/>
      <c r="N56" s="224"/>
      <c r="O56" s="216" t="str">
        <f t="shared" si="1"/>
        <v>X</v>
      </c>
      <c r="P56" s="226" t="str">
        <f t="shared" si="2"/>
        <v>#N/A</v>
      </c>
      <c r="Q56" s="227" t="str">
        <f t="shared" si="3"/>
        <v>#N/A</v>
      </c>
      <c r="R56" s="228" t="str">
        <f t="shared" si="4"/>
        <v>#N/A</v>
      </c>
      <c r="S56" s="220" t="str">
        <f t="shared" si="5"/>
        <v>#N/A</v>
      </c>
      <c r="T56" s="220" t="str">
        <f t="shared" si="6"/>
        <v>#N/A</v>
      </c>
      <c r="U56" s="221">
        <f t="shared" si="7"/>
        <v>0</v>
      </c>
      <c r="V56" s="229" t="str">
        <f>ifs($N56="",VLOOKUP($B56&amp;$E56,'VISIT DATA'!$A$2:$J100,7,FALSE), $N56="SWAB","OUTSA-RW",$N56="SWQU","OUTSA-SaQu", AND($L56="X",$M56="X",$N56="QUEST"),"OUT-UAQPre",$N56="QUEST","OUT-UAQ", $N56="Walk in","ColUATele")</f>
        <v>#N/A</v>
      </c>
      <c r="W56" s="24" t="str">
        <f t="shared" si="8"/>
        <v>#N/A</v>
      </c>
      <c r="X56" s="222" t="str">
        <f t="shared" si="9"/>
        <v/>
      </c>
      <c r="Y56" s="222" t="str">
        <f t="shared" si="10"/>
        <v/>
      </c>
      <c r="Z56" s="224" t="str">
        <f t="shared" si="11"/>
        <v> </v>
      </c>
    </row>
    <row r="57" hidden="1">
      <c r="A57" s="214" t="str">
        <f>IFS($B57=FALSE,"",$B57,VLOOKUP($B57,'PATIENT DATA (072721)'!A:C, 2, 0))</f>
        <v/>
      </c>
      <c r="B57" s="215"/>
      <c r="C57" s="230" t="str">
        <f>IF(COUNTIF('PATIENT DATA (072721)'!A:A, B57)=0, "X","✓")</f>
        <v>X</v>
      </c>
      <c r="D57" s="217" t="str">
        <f>IFS($B57=FALSE,"",$B57,VLOOKUP($B57,'PATIENT DATA (072721)'!A:C, 3, 0))</f>
        <v/>
      </c>
      <c r="E57" s="218">
        <v>44565.0</v>
      </c>
      <c r="F57" s="219" t="str">
        <f>ifs($B57="","",$B57, VLOOKUP($B57&amp;$E57, 'VISIT DATA'!A:O,3,0))</f>
        <v/>
      </c>
      <c r="G57" s="220"/>
      <c r="H57" s="221"/>
      <c r="I57" s="222" t="str">
        <f>VLOOKUP($B57&amp;$E57,'VISIT DATA'!A:J, 9, FALSE)</f>
        <v>#N/A</v>
      </c>
      <c r="J57" s="223" t="str">
        <f>VLOOKUP(B57&amp;E57,'VISIT DATA'!A:N,10,FALSE)</f>
        <v>#N/A</v>
      </c>
      <c r="K57" s="225"/>
      <c r="L57" s="224"/>
      <c r="M57" s="224"/>
      <c r="N57" s="224"/>
      <c r="O57" s="216" t="str">
        <f t="shared" si="1"/>
        <v>X</v>
      </c>
      <c r="P57" s="226" t="str">
        <f t="shared" si="2"/>
        <v>#N/A</v>
      </c>
      <c r="Q57" s="227" t="str">
        <f t="shared" si="3"/>
        <v>#N/A</v>
      </c>
      <c r="R57" s="228" t="str">
        <f t="shared" si="4"/>
        <v>#N/A</v>
      </c>
      <c r="S57" s="220" t="str">
        <f t="shared" si="5"/>
        <v>#N/A</v>
      </c>
      <c r="T57" s="220" t="str">
        <f t="shared" si="6"/>
        <v>#N/A</v>
      </c>
      <c r="U57" s="221">
        <f t="shared" si="7"/>
        <v>0</v>
      </c>
      <c r="V57" s="229" t="str">
        <f>ifs($N57="",VLOOKUP($B57&amp;$E57,'VISIT DATA'!$A$2:$J100,7,FALSE), $N57="SWAB","OUTSA-RW",$N57="SWQU","OUTSA-SaQu", AND($L57="X",$M57="X",$N57="QUEST"),"OUT-UAQPre",$N57="QUEST","OUT-UAQ", $N57="Walk in","ColUATele")</f>
        <v>#N/A</v>
      </c>
      <c r="W57" s="24" t="str">
        <f t="shared" si="8"/>
        <v>#N/A</v>
      </c>
      <c r="X57" s="222" t="str">
        <f t="shared" si="9"/>
        <v/>
      </c>
      <c r="Y57" s="222" t="str">
        <f t="shared" si="10"/>
        <v/>
      </c>
      <c r="Z57" s="224" t="str">
        <f t="shared" si="11"/>
        <v> </v>
      </c>
    </row>
    <row r="58" hidden="1">
      <c r="A58" s="214" t="str">
        <f>IFS($B58=FALSE,"",$B58,VLOOKUP($B58,'PATIENT DATA (072721)'!A:C, 2, 0))</f>
        <v/>
      </c>
      <c r="B58" s="215"/>
      <c r="C58" s="230" t="str">
        <f>IF(COUNTIF('PATIENT DATA (072721)'!A:A, B58)=0, "X","✓")</f>
        <v>X</v>
      </c>
      <c r="D58" s="217" t="str">
        <f>IFS($B58=FALSE,"",$B58,VLOOKUP($B58,'PATIENT DATA (072721)'!A:C, 3, 0))</f>
        <v/>
      </c>
      <c r="E58" s="218">
        <v>44565.0</v>
      </c>
      <c r="F58" s="219" t="str">
        <f>ifs($B58="","",$B58, VLOOKUP($B58&amp;$E58, 'VISIT DATA'!A:O,3,0))</f>
        <v/>
      </c>
      <c r="G58" s="220"/>
      <c r="H58" s="221"/>
      <c r="I58" s="222" t="str">
        <f>VLOOKUP($B58&amp;$E58,'VISIT DATA'!A:J, 9, FALSE)</f>
        <v>#N/A</v>
      </c>
      <c r="J58" s="223" t="str">
        <f>VLOOKUP(B58&amp;E58,'VISIT DATA'!A:N,10,FALSE)</f>
        <v>#N/A</v>
      </c>
      <c r="K58" s="225"/>
      <c r="L58" s="224"/>
      <c r="M58" s="224"/>
      <c r="N58" s="224"/>
      <c r="O58" s="216" t="str">
        <f t="shared" si="1"/>
        <v>X</v>
      </c>
      <c r="P58" s="226" t="str">
        <f t="shared" si="2"/>
        <v>#N/A</v>
      </c>
      <c r="Q58" s="227" t="str">
        <f t="shared" si="3"/>
        <v>#N/A</v>
      </c>
      <c r="R58" s="228" t="str">
        <f t="shared" si="4"/>
        <v>#N/A</v>
      </c>
      <c r="S58" s="220" t="str">
        <f t="shared" si="5"/>
        <v>#N/A</v>
      </c>
      <c r="T58" s="220" t="str">
        <f t="shared" si="6"/>
        <v>#N/A</v>
      </c>
      <c r="U58" s="221">
        <f t="shared" si="7"/>
        <v>0</v>
      </c>
      <c r="V58" s="229" t="str">
        <f>ifs($N58="",VLOOKUP($B58&amp;$E58,'VISIT DATA'!$A$2:$J100,7,FALSE), $N58="SWAB","OUTSA-RW",$N58="SWQU","OUTSA-SaQu", AND($L58="X",$M58="X",$N58="QUEST"),"OUT-UAQPre",$N58="QUEST","OUT-UAQ", $N58="Walk in","ColUATele")</f>
        <v>#N/A</v>
      </c>
      <c r="W58" s="24" t="str">
        <f t="shared" si="8"/>
        <v>#N/A</v>
      </c>
      <c r="X58" s="222" t="str">
        <f t="shared" si="9"/>
        <v/>
      </c>
      <c r="Y58" s="222" t="str">
        <f t="shared" si="10"/>
        <v/>
      </c>
      <c r="Z58" s="224" t="str">
        <f t="shared" si="11"/>
        <v> </v>
      </c>
    </row>
    <row r="59" hidden="1">
      <c r="A59" s="214" t="str">
        <f>IFS($B59=FALSE,"",$B59,VLOOKUP($B59,'PATIENT DATA (072721)'!A:C, 2, 0))</f>
        <v/>
      </c>
      <c r="B59" s="215"/>
      <c r="C59" s="230" t="str">
        <f>IF(COUNTIF('PATIENT DATA (072721)'!A:A, B59)=0, "X","✓")</f>
        <v>X</v>
      </c>
      <c r="D59" s="217" t="str">
        <f>IFS($B59=FALSE,"",$B59,VLOOKUP($B59,'PATIENT DATA (072721)'!A:C, 3, 0))</f>
        <v/>
      </c>
      <c r="E59" s="218">
        <v>44565.0</v>
      </c>
      <c r="F59" s="219" t="str">
        <f>ifs($B59="","",$B59, VLOOKUP($B59&amp;$E59, 'VISIT DATA'!A:O,3,0))</f>
        <v/>
      </c>
      <c r="G59" s="220"/>
      <c r="H59" s="221"/>
      <c r="I59" s="222" t="str">
        <f>VLOOKUP($B59&amp;$E59,'VISIT DATA'!A:J, 9, FALSE)</f>
        <v>#N/A</v>
      </c>
      <c r="J59" s="223" t="str">
        <f>VLOOKUP(B59&amp;E59,'VISIT DATA'!A:N,10,FALSE)</f>
        <v>#N/A</v>
      </c>
      <c r="K59" s="225"/>
      <c r="L59" s="224"/>
      <c r="M59" s="224"/>
      <c r="N59" s="224"/>
      <c r="O59" s="216" t="str">
        <f t="shared" si="1"/>
        <v>X</v>
      </c>
      <c r="P59" s="226" t="str">
        <f t="shared" si="2"/>
        <v>#N/A</v>
      </c>
      <c r="Q59" s="227" t="str">
        <f t="shared" si="3"/>
        <v>#N/A</v>
      </c>
      <c r="R59" s="228" t="str">
        <f t="shared" si="4"/>
        <v>#N/A</v>
      </c>
      <c r="S59" s="220" t="str">
        <f t="shared" si="5"/>
        <v>#N/A</v>
      </c>
      <c r="T59" s="220" t="str">
        <f t="shared" si="6"/>
        <v>#N/A</v>
      </c>
      <c r="U59" s="221">
        <f t="shared" si="7"/>
        <v>0</v>
      </c>
      <c r="V59" s="229" t="str">
        <f>ifs($N59="",VLOOKUP($B59&amp;$E59,'VISIT DATA'!$A$2:$J100,7,FALSE), $N59="SWAB","OUTSA-RW",$N59="SWQU","OUTSA-SaQu", AND($L59="X",$M59="X",$N59="QUEST"),"OUT-UAQPre",$N59="QUEST","OUT-UAQ", $N59="Walk in","ColUATele")</f>
        <v>#N/A</v>
      </c>
      <c r="W59" s="24" t="str">
        <f t="shared" si="8"/>
        <v>#N/A</v>
      </c>
      <c r="X59" s="222" t="str">
        <f t="shared" si="9"/>
        <v/>
      </c>
      <c r="Y59" s="222" t="str">
        <f t="shared" si="10"/>
        <v/>
      </c>
      <c r="Z59" s="224" t="str">
        <f t="shared" si="11"/>
        <v> </v>
      </c>
    </row>
    <row r="60" hidden="1">
      <c r="A60" s="214" t="str">
        <f>IFS($B60=FALSE,"",$B60,VLOOKUP($B60,'PATIENT DATA (072721)'!A:C, 2, 0))</f>
        <v/>
      </c>
      <c r="B60" s="215"/>
      <c r="C60" s="230" t="str">
        <f>IF(COUNTIF('PATIENT DATA (072721)'!A:A, B60)=0, "X","✓")</f>
        <v>X</v>
      </c>
      <c r="D60" s="217" t="str">
        <f>IFS($B60=FALSE,"",$B60,VLOOKUP($B60,'PATIENT DATA (072721)'!A:C, 3, 0))</f>
        <v/>
      </c>
      <c r="E60" s="218">
        <v>44565.0</v>
      </c>
      <c r="F60" s="219" t="str">
        <f>ifs($B60="","",$B60, VLOOKUP($B60&amp;$E60, 'VISIT DATA'!A:O,3,0))</f>
        <v/>
      </c>
      <c r="G60" s="220"/>
      <c r="H60" s="221"/>
      <c r="I60" s="222" t="str">
        <f>VLOOKUP($B60&amp;$E60,'VISIT DATA'!A:J, 9, FALSE)</f>
        <v>#N/A</v>
      </c>
      <c r="J60" s="223" t="str">
        <f>VLOOKUP(B60&amp;E60,'VISIT DATA'!A:N,10,FALSE)</f>
        <v>#N/A</v>
      </c>
      <c r="K60" s="225"/>
      <c r="L60" s="224"/>
      <c r="M60" s="224"/>
      <c r="N60" s="224"/>
      <c r="O60" s="216" t="str">
        <f t="shared" si="1"/>
        <v>X</v>
      </c>
      <c r="P60" s="226" t="str">
        <f t="shared" si="2"/>
        <v>#N/A</v>
      </c>
      <c r="Q60" s="227" t="str">
        <f t="shared" si="3"/>
        <v>#N/A</v>
      </c>
      <c r="R60" s="228" t="str">
        <f t="shared" si="4"/>
        <v>#N/A</v>
      </c>
      <c r="S60" s="220" t="str">
        <f t="shared" si="5"/>
        <v>#N/A</v>
      </c>
      <c r="T60" s="220" t="str">
        <f t="shared" si="6"/>
        <v>#N/A</v>
      </c>
      <c r="U60" s="221">
        <f t="shared" si="7"/>
        <v>0</v>
      </c>
      <c r="V60" s="229" t="str">
        <f>ifs($N60="",VLOOKUP($B60&amp;$E60,'VISIT DATA'!$A$2:$J100,7,FALSE), $N60="SWAB","OUTSA-RW",$N60="SWQU","OUTSA-SaQu", AND($L60="X",$M60="X",$N60="QUEST"),"OUT-UAQPre",$N60="QUEST","OUT-UAQ", $N60="Walk in","ColUATele")</f>
        <v>#N/A</v>
      </c>
      <c r="W60" s="24" t="str">
        <f t="shared" si="8"/>
        <v>#N/A</v>
      </c>
      <c r="X60" s="222" t="str">
        <f t="shared" si="9"/>
        <v/>
      </c>
      <c r="Y60" s="222" t="str">
        <f t="shared" si="10"/>
        <v/>
      </c>
      <c r="Z60" s="224" t="str">
        <f t="shared" si="11"/>
        <v> </v>
      </c>
    </row>
    <row r="61" hidden="1">
      <c r="A61" s="214" t="str">
        <f>IFS($B61=FALSE,"",$B61,VLOOKUP($B61,'PATIENT DATA (072721)'!A:C, 2, 0))</f>
        <v/>
      </c>
      <c r="B61" s="215"/>
      <c r="C61" s="230" t="str">
        <f>IF(COUNTIF('PATIENT DATA (072721)'!A:A, B61)=0, "X","✓")</f>
        <v>X</v>
      </c>
      <c r="D61" s="217" t="str">
        <f>IFS($B61=FALSE,"",$B61,VLOOKUP($B61,'PATIENT DATA (072721)'!A:C, 3, 0))</f>
        <v/>
      </c>
      <c r="E61" s="218">
        <v>44565.0</v>
      </c>
      <c r="F61" s="219" t="str">
        <f>ifs($B61="","",$B61, VLOOKUP($B61&amp;$E61, 'VISIT DATA'!A:O,3,0))</f>
        <v/>
      </c>
      <c r="G61" s="220"/>
      <c r="H61" s="221"/>
      <c r="I61" s="222" t="str">
        <f>VLOOKUP($B61&amp;$E61,'VISIT DATA'!A:J, 9, FALSE)</f>
        <v>#N/A</v>
      </c>
      <c r="J61" s="223" t="str">
        <f>VLOOKUP(B61&amp;E61,'VISIT DATA'!A:N,10,FALSE)</f>
        <v>#N/A</v>
      </c>
      <c r="K61" s="225"/>
      <c r="L61" s="224"/>
      <c r="M61" s="224"/>
      <c r="N61" s="224"/>
      <c r="O61" s="216" t="str">
        <f t="shared" si="1"/>
        <v>X</v>
      </c>
      <c r="P61" s="226" t="str">
        <f t="shared" si="2"/>
        <v>#N/A</v>
      </c>
      <c r="Q61" s="227" t="str">
        <f t="shared" si="3"/>
        <v>#N/A</v>
      </c>
      <c r="R61" s="228" t="str">
        <f t="shared" si="4"/>
        <v>#N/A</v>
      </c>
      <c r="S61" s="220" t="str">
        <f t="shared" si="5"/>
        <v>#N/A</v>
      </c>
      <c r="T61" s="220" t="str">
        <f t="shared" si="6"/>
        <v>#N/A</v>
      </c>
      <c r="U61" s="221">
        <f t="shared" si="7"/>
        <v>0</v>
      </c>
      <c r="V61" s="229" t="str">
        <f>ifs($N61="",VLOOKUP($B61&amp;$E61,'VISIT DATA'!$A$2:$J100,7,FALSE), $N61="SWAB","OUTSA-RW",$N61="SWQU","OUTSA-SaQu", AND($L61="X",$M61="X",$N61="QUEST"),"OUT-UAQPre",$N61="QUEST","OUT-UAQ", $N61="Walk in","ColUATele")</f>
        <v>#N/A</v>
      </c>
      <c r="W61" s="24" t="str">
        <f t="shared" si="8"/>
        <v>#N/A</v>
      </c>
      <c r="X61" s="222" t="str">
        <f t="shared" si="9"/>
        <v/>
      </c>
      <c r="Y61" s="222" t="str">
        <f t="shared" si="10"/>
        <v/>
      </c>
      <c r="Z61" s="224" t="str">
        <f t="shared" si="11"/>
        <v> </v>
      </c>
    </row>
    <row r="62" hidden="1">
      <c r="A62" s="214" t="str">
        <f>IFS($B62=FALSE,"",$B62,VLOOKUP($B62,'PATIENT DATA (072721)'!A:C, 2, 0))</f>
        <v/>
      </c>
      <c r="B62" s="215"/>
      <c r="C62" s="230" t="str">
        <f>IF(COUNTIF('PATIENT DATA (072721)'!A:A, B62)=0, "X","✓")</f>
        <v>X</v>
      </c>
      <c r="D62" s="217" t="str">
        <f>IFS($B62=FALSE,"",$B62,VLOOKUP($B62,'PATIENT DATA (072721)'!A:C, 3, 0))</f>
        <v/>
      </c>
      <c r="E62" s="218">
        <v>44565.0</v>
      </c>
      <c r="F62" s="219" t="str">
        <f>ifs($B62="","",$B62, VLOOKUP($B62&amp;$E62, 'VISIT DATA'!A:O,3,0))</f>
        <v/>
      </c>
      <c r="G62" s="220"/>
      <c r="H62" s="221"/>
      <c r="I62" s="222" t="str">
        <f>VLOOKUP($B62&amp;$E62,'VISIT DATA'!A:J, 9, FALSE)</f>
        <v>#N/A</v>
      </c>
      <c r="J62" s="223" t="str">
        <f>VLOOKUP(B62&amp;E62,'VISIT DATA'!A:N,10,FALSE)</f>
        <v>#N/A</v>
      </c>
      <c r="K62" s="225"/>
      <c r="L62" s="224"/>
      <c r="M62" s="224"/>
      <c r="N62" s="224"/>
      <c r="O62" s="216" t="str">
        <f t="shared" si="1"/>
        <v>X</v>
      </c>
      <c r="P62" s="226" t="str">
        <f t="shared" si="2"/>
        <v>#N/A</v>
      </c>
      <c r="Q62" s="227" t="str">
        <f t="shared" si="3"/>
        <v>#N/A</v>
      </c>
      <c r="R62" s="228" t="str">
        <f t="shared" si="4"/>
        <v>#N/A</v>
      </c>
      <c r="S62" s="220" t="str">
        <f t="shared" si="5"/>
        <v>#N/A</v>
      </c>
      <c r="T62" s="220" t="str">
        <f t="shared" si="6"/>
        <v>#N/A</v>
      </c>
      <c r="U62" s="221">
        <f t="shared" si="7"/>
        <v>0</v>
      </c>
      <c r="V62" s="229" t="str">
        <f>ifs($N62="",VLOOKUP($B62&amp;$E62,'VISIT DATA'!$A$2:$J100,7,FALSE), $N62="SWAB","OUTSA-RW",$N62="SWQU","OUTSA-SaQu", AND($L62="X",$M62="X",$N62="QUEST"),"OUT-UAQPre",$N62="QUEST","OUT-UAQ", $N62="Walk in","ColUATele")</f>
        <v>#N/A</v>
      </c>
      <c r="W62" s="24" t="str">
        <f t="shared" si="8"/>
        <v>#N/A</v>
      </c>
      <c r="X62" s="222" t="str">
        <f t="shared" si="9"/>
        <v/>
      </c>
      <c r="Y62" s="222" t="str">
        <f t="shared" si="10"/>
        <v/>
      </c>
      <c r="Z62" s="224" t="str">
        <f t="shared" si="11"/>
        <v> </v>
      </c>
    </row>
    <row r="63" hidden="1">
      <c r="A63" s="214" t="str">
        <f>IFS($B63=FALSE,"",$B63,VLOOKUP($B63,'PATIENT DATA (072721)'!A:C, 2, 0))</f>
        <v/>
      </c>
      <c r="B63" s="215"/>
      <c r="C63" s="230" t="str">
        <f>IF(COUNTIF('PATIENT DATA (072721)'!A:A, B63)=0, "X","✓")</f>
        <v>X</v>
      </c>
      <c r="D63" s="217" t="str">
        <f>IFS($B63=FALSE,"",$B63,VLOOKUP($B63,'PATIENT DATA (072721)'!A:C, 3, 0))</f>
        <v/>
      </c>
      <c r="E63" s="218">
        <v>44565.0</v>
      </c>
      <c r="F63" s="219" t="str">
        <f>ifs($B63="","",$B63, VLOOKUP($B63&amp;$E63, 'VISIT DATA'!A:O,3,0))</f>
        <v/>
      </c>
      <c r="G63" s="220"/>
      <c r="H63" s="221"/>
      <c r="I63" s="222" t="str">
        <f>VLOOKUP($B63&amp;$E63,'VISIT DATA'!A:J, 9, FALSE)</f>
        <v>#N/A</v>
      </c>
      <c r="J63" s="223" t="str">
        <f>VLOOKUP(B63&amp;E63,'VISIT DATA'!A:N,10,FALSE)</f>
        <v>#N/A</v>
      </c>
      <c r="K63" s="225"/>
      <c r="L63" s="224"/>
      <c r="M63" s="224"/>
      <c r="N63" s="224"/>
      <c r="O63" s="216" t="str">
        <f t="shared" si="1"/>
        <v>X</v>
      </c>
      <c r="P63" s="226" t="str">
        <f t="shared" si="2"/>
        <v>#N/A</v>
      </c>
      <c r="Q63" s="227" t="str">
        <f t="shared" si="3"/>
        <v>#N/A</v>
      </c>
      <c r="R63" s="228" t="str">
        <f t="shared" si="4"/>
        <v>#N/A</v>
      </c>
      <c r="S63" s="220" t="str">
        <f t="shared" si="5"/>
        <v>#N/A</v>
      </c>
      <c r="T63" s="220" t="str">
        <f t="shared" si="6"/>
        <v>#N/A</v>
      </c>
      <c r="U63" s="221">
        <f t="shared" si="7"/>
        <v>0</v>
      </c>
      <c r="V63" s="229" t="str">
        <f>ifs($N63="",VLOOKUP($B63&amp;$E63,'VISIT DATA'!$A$2:$J100,7,FALSE), $N63="SWAB","OUTSA-RW",$N63="SWQU","OUTSA-SaQu", AND($L63="X",$M63="X",$N63="QUEST"),"OUT-UAQPre",$N63="QUEST","OUT-UAQ", $N63="Walk in","ColUATele")</f>
        <v>#N/A</v>
      </c>
      <c r="W63" s="24" t="str">
        <f t="shared" si="8"/>
        <v>#N/A</v>
      </c>
      <c r="X63" s="222" t="str">
        <f t="shared" si="9"/>
        <v/>
      </c>
      <c r="Y63" s="222" t="str">
        <f t="shared" si="10"/>
        <v/>
      </c>
      <c r="Z63" s="224" t="str">
        <f t="shared" si="11"/>
        <v> </v>
      </c>
    </row>
    <row r="64" hidden="1">
      <c r="A64" s="214" t="str">
        <f>IFS($B64=FALSE,"",$B64,VLOOKUP($B64,'PATIENT DATA (072721)'!A:C, 2, 0))</f>
        <v/>
      </c>
      <c r="B64" s="215"/>
      <c r="C64" s="230" t="str">
        <f>IF(COUNTIF('PATIENT DATA (072721)'!A:A, B64)=0, "X","✓")</f>
        <v>X</v>
      </c>
      <c r="D64" s="217" t="str">
        <f>IFS($B64=FALSE,"",$B64,VLOOKUP($B64,'PATIENT DATA (072721)'!A:C, 3, 0))</f>
        <v/>
      </c>
      <c r="E64" s="218">
        <v>44565.0</v>
      </c>
      <c r="F64" s="219" t="str">
        <f>ifs($B64="","",$B64, VLOOKUP($B64&amp;$E64, 'VISIT DATA'!A:O,3,0))</f>
        <v/>
      </c>
      <c r="G64" s="220"/>
      <c r="H64" s="221"/>
      <c r="I64" s="222" t="str">
        <f>VLOOKUP($B64&amp;$E64,'VISIT DATA'!A:J, 9, FALSE)</f>
        <v>#N/A</v>
      </c>
      <c r="J64" s="223" t="str">
        <f>VLOOKUP(B64&amp;E64,'VISIT DATA'!A:N,10,FALSE)</f>
        <v>#N/A</v>
      </c>
      <c r="K64" s="225"/>
      <c r="L64" s="224"/>
      <c r="M64" s="224"/>
      <c r="N64" s="224"/>
      <c r="O64" s="216" t="str">
        <f t="shared" si="1"/>
        <v>X</v>
      </c>
      <c r="P64" s="226" t="str">
        <f t="shared" si="2"/>
        <v>#N/A</v>
      </c>
      <c r="Q64" s="227" t="str">
        <f t="shared" si="3"/>
        <v>#N/A</v>
      </c>
      <c r="R64" s="228" t="str">
        <f t="shared" si="4"/>
        <v>#N/A</v>
      </c>
      <c r="S64" s="220" t="str">
        <f t="shared" si="5"/>
        <v>#N/A</v>
      </c>
      <c r="T64" s="220" t="str">
        <f t="shared" si="6"/>
        <v>#N/A</v>
      </c>
      <c r="U64" s="221">
        <f t="shared" si="7"/>
        <v>0</v>
      </c>
      <c r="V64" s="229" t="str">
        <f>ifs($N64="",VLOOKUP($B64&amp;$E64,'VISIT DATA'!$A$2:$J100,7,FALSE), $N64="SWAB","OUTSA-RW",$N64="SWQU","OUTSA-SaQu", AND($L64="X",$M64="X",$N64="QUEST"),"OUT-UAQPre",$N64="QUEST","OUT-UAQ", $N64="Walk in","ColUATele")</f>
        <v>#N/A</v>
      </c>
      <c r="W64" s="24" t="str">
        <f t="shared" si="8"/>
        <v>#N/A</v>
      </c>
      <c r="X64" s="222" t="str">
        <f t="shared" si="9"/>
        <v/>
      </c>
      <c r="Y64" s="222" t="str">
        <f t="shared" si="10"/>
        <v/>
      </c>
      <c r="Z64" s="224" t="str">
        <f t="shared" si="11"/>
        <v> </v>
      </c>
    </row>
    <row r="65" hidden="1">
      <c r="A65" s="214" t="str">
        <f>IFS($B65=FALSE,"",$B65,VLOOKUP($B65,'PATIENT DATA (072721)'!A:C, 2, 0))</f>
        <v/>
      </c>
      <c r="B65" s="215"/>
      <c r="C65" s="230" t="str">
        <f>IF(COUNTIF('PATIENT DATA (072721)'!A:A, B65)=0, "X","✓")</f>
        <v>X</v>
      </c>
      <c r="D65" s="217" t="str">
        <f>IFS($B65=FALSE,"",$B65,VLOOKUP($B65,'PATIENT DATA (072721)'!A:C, 3, 0))</f>
        <v/>
      </c>
      <c r="E65" s="218">
        <v>44565.0</v>
      </c>
      <c r="F65" s="219" t="str">
        <f>ifs($B65="","",$B65, VLOOKUP($B65&amp;$E65, 'VISIT DATA'!A:O,3,0))</f>
        <v/>
      </c>
      <c r="G65" s="220"/>
      <c r="H65" s="221"/>
      <c r="I65" s="222" t="str">
        <f>VLOOKUP($B65&amp;$E65,'VISIT DATA'!A:J, 9, FALSE)</f>
        <v>#N/A</v>
      </c>
      <c r="J65" s="223" t="str">
        <f>VLOOKUP(B65&amp;E65,'VISIT DATA'!A:N,10,FALSE)</f>
        <v>#N/A</v>
      </c>
      <c r="K65" s="225"/>
      <c r="L65" s="224"/>
      <c r="M65" s="224"/>
      <c r="N65" s="224"/>
      <c r="O65" s="216" t="str">
        <f t="shared" si="1"/>
        <v>X</v>
      </c>
      <c r="P65" s="226" t="str">
        <f t="shared" si="2"/>
        <v>#N/A</v>
      </c>
      <c r="Q65" s="227" t="str">
        <f t="shared" si="3"/>
        <v>#N/A</v>
      </c>
      <c r="R65" s="228" t="str">
        <f t="shared" si="4"/>
        <v>#N/A</v>
      </c>
      <c r="S65" s="220" t="str">
        <f t="shared" si="5"/>
        <v>#N/A</v>
      </c>
      <c r="T65" s="220" t="str">
        <f t="shared" si="6"/>
        <v>#N/A</v>
      </c>
      <c r="U65" s="221">
        <f t="shared" si="7"/>
        <v>0</v>
      </c>
      <c r="V65" s="229" t="str">
        <f>ifs($N65="",VLOOKUP($B65&amp;$E65,'VISIT DATA'!$A$2:$J100,7,FALSE), $N65="SWAB","OUTSA-RW",$N65="SWQU","OUTSA-SaQu", AND($L65="X",$M65="X",$N65="QUEST"),"OUT-UAQPre",$N65="QUEST","OUT-UAQ", $N65="Walk in","ColUATele")</f>
        <v>#N/A</v>
      </c>
      <c r="W65" s="24" t="str">
        <f t="shared" si="8"/>
        <v>#N/A</v>
      </c>
      <c r="X65" s="222" t="str">
        <f t="shared" si="9"/>
        <v/>
      </c>
      <c r="Y65" s="222" t="str">
        <f t="shared" si="10"/>
        <v/>
      </c>
      <c r="Z65" s="224" t="str">
        <f t="shared" si="11"/>
        <v> </v>
      </c>
    </row>
    <row r="66" hidden="1">
      <c r="A66" s="214" t="str">
        <f>IFS($B66=FALSE,"",$B66,VLOOKUP($B66,'PATIENT DATA (072721)'!A:C, 2, 0))</f>
        <v/>
      </c>
      <c r="B66" s="215"/>
      <c r="C66" s="230" t="str">
        <f>IF(COUNTIF('PATIENT DATA (072721)'!A:A, B66)=0, "X","✓")</f>
        <v>X</v>
      </c>
      <c r="D66" s="217" t="str">
        <f>IFS($B66=FALSE,"",$B66,VLOOKUP($B66,'PATIENT DATA (072721)'!A:C, 3, 0))</f>
        <v/>
      </c>
      <c r="E66" s="218">
        <v>44565.0</v>
      </c>
      <c r="F66" s="219" t="str">
        <f>ifs($B66="","",$B66, VLOOKUP($B66&amp;$E66, 'VISIT DATA'!A:O,3,0))</f>
        <v/>
      </c>
      <c r="G66" s="220"/>
      <c r="H66" s="221"/>
      <c r="I66" s="222" t="str">
        <f>VLOOKUP($B66&amp;$E66,'VISIT DATA'!A:J, 9, FALSE)</f>
        <v>#N/A</v>
      </c>
      <c r="J66" s="223" t="str">
        <f>VLOOKUP(B66&amp;E66,'VISIT DATA'!A:N,10,FALSE)</f>
        <v>#N/A</v>
      </c>
      <c r="K66" s="225"/>
      <c r="L66" s="224"/>
      <c r="M66" s="224"/>
      <c r="N66" s="224"/>
      <c r="O66" s="216" t="str">
        <f t="shared" si="1"/>
        <v>X</v>
      </c>
      <c r="P66" s="226" t="str">
        <f t="shared" si="2"/>
        <v>#N/A</v>
      </c>
      <c r="Q66" s="227" t="str">
        <f t="shared" si="3"/>
        <v>#N/A</v>
      </c>
      <c r="R66" s="228" t="str">
        <f t="shared" si="4"/>
        <v>#N/A</v>
      </c>
      <c r="S66" s="220" t="str">
        <f t="shared" si="5"/>
        <v>#N/A</v>
      </c>
      <c r="T66" s="220" t="str">
        <f t="shared" si="6"/>
        <v>#N/A</v>
      </c>
      <c r="U66" s="221">
        <f t="shared" si="7"/>
        <v>0</v>
      </c>
      <c r="V66" s="229" t="str">
        <f>ifs($N66="",VLOOKUP($B66&amp;$E66,'VISIT DATA'!$A$2:$J100,7,FALSE), $N66="SWAB","OUTSA-RW",$N66="SWQU","OUTSA-SaQu", AND($L66="X",$M66="X",$N66="QUEST"),"OUT-UAQPre",$N66="QUEST","OUT-UAQ", $N66="Walk in","ColUATele")</f>
        <v>#N/A</v>
      </c>
      <c r="W66" s="24" t="str">
        <f t="shared" si="8"/>
        <v>#N/A</v>
      </c>
      <c r="X66" s="222" t="str">
        <f t="shared" si="9"/>
        <v/>
      </c>
      <c r="Y66" s="222" t="str">
        <f t="shared" si="10"/>
        <v/>
      </c>
      <c r="Z66" s="224" t="str">
        <f t="shared" si="11"/>
        <v> </v>
      </c>
    </row>
    <row r="67" hidden="1">
      <c r="A67" s="214" t="str">
        <f>IFS($B67=FALSE,"",$B67,VLOOKUP($B67,'PATIENT DATA (072721)'!A:C, 2, 0))</f>
        <v/>
      </c>
      <c r="B67" s="215"/>
      <c r="C67" s="230" t="str">
        <f>IF(COUNTIF('PATIENT DATA (072721)'!A:A, B67)=0, "X","✓")</f>
        <v>X</v>
      </c>
      <c r="D67" s="217" t="str">
        <f>IFS($B67=FALSE,"",$B67,VLOOKUP($B67,'PATIENT DATA (072721)'!A:C, 3, 0))</f>
        <v/>
      </c>
      <c r="E67" s="218">
        <v>44565.0</v>
      </c>
      <c r="F67" s="219" t="str">
        <f>ifs($B67="","",$B67, VLOOKUP($B67&amp;$E67, 'VISIT DATA'!A:O,3,0))</f>
        <v/>
      </c>
      <c r="G67" s="220"/>
      <c r="H67" s="221"/>
      <c r="I67" s="222" t="str">
        <f>VLOOKUP($B67&amp;$E67,'VISIT DATA'!A:J, 9, FALSE)</f>
        <v>#N/A</v>
      </c>
      <c r="J67" s="223" t="str">
        <f>VLOOKUP(B67&amp;E67,'VISIT DATA'!A:N,10,FALSE)</f>
        <v>#N/A</v>
      </c>
      <c r="K67" s="225"/>
      <c r="L67" s="224"/>
      <c r="M67" s="224"/>
      <c r="N67" s="224"/>
      <c r="O67" s="216" t="str">
        <f t="shared" si="1"/>
        <v>X</v>
      </c>
      <c r="P67" s="226" t="str">
        <f t="shared" si="2"/>
        <v>#N/A</v>
      </c>
      <c r="Q67" s="227" t="str">
        <f t="shared" si="3"/>
        <v>#N/A</v>
      </c>
      <c r="R67" s="228" t="str">
        <f t="shared" si="4"/>
        <v>#N/A</v>
      </c>
      <c r="S67" s="220" t="str">
        <f t="shared" si="5"/>
        <v>#N/A</v>
      </c>
      <c r="T67" s="220" t="str">
        <f t="shared" si="6"/>
        <v>#N/A</v>
      </c>
      <c r="U67" s="221">
        <f t="shared" si="7"/>
        <v>0</v>
      </c>
      <c r="V67" s="229" t="str">
        <f>ifs($N67="",VLOOKUP($B67&amp;$E67,'VISIT DATA'!$A$2:$J100,7,FALSE), $N67="SWAB","OUTSA-RW",$N67="SWQU","OUTSA-SaQu", AND($L67="X",$M67="X",$N67="QUEST"),"OUT-UAQPre",$N67="QUEST","OUT-UAQ", $N67="Walk in","ColUATele")</f>
        <v>#N/A</v>
      </c>
      <c r="W67" s="24" t="str">
        <f t="shared" si="8"/>
        <v>#N/A</v>
      </c>
      <c r="X67" s="222" t="str">
        <f t="shared" si="9"/>
        <v/>
      </c>
      <c r="Y67" s="222" t="str">
        <f t="shared" si="10"/>
        <v/>
      </c>
      <c r="Z67" s="224" t="str">
        <f t="shared" si="11"/>
        <v> </v>
      </c>
    </row>
    <row r="68" hidden="1">
      <c r="A68" s="214" t="str">
        <f>IFS($B68=FALSE,"",$B68,VLOOKUP($B68,'PATIENT DATA (072721)'!A:C, 2, 0))</f>
        <v/>
      </c>
      <c r="B68" s="215"/>
      <c r="C68" s="230" t="str">
        <f>IF(COUNTIF('PATIENT DATA (072721)'!A:A, B68)=0, "X","✓")</f>
        <v>X</v>
      </c>
      <c r="D68" s="217" t="str">
        <f>IFS($B68=FALSE,"",$B68,VLOOKUP($B68,'PATIENT DATA (072721)'!A:C, 3, 0))</f>
        <v/>
      </c>
      <c r="E68" s="218">
        <v>44565.0</v>
      </c>
      <c r="F68" s="219" t="str">
        <f>ifs($B68="","",$B68, VLOOKUP($B68&amp;$E68, 'VISIT DATA'!A:O,3,0))</f>
        <v/>
      </c>
      <c r="G68" s="220"/>
      <c r="H68" s="221"/>
      <c r="I68" s="222" t="str">
        <f>VLOOKUP($B68&amp;$E68,'VISIT DATA'!A:J, 9, FALSE)</f>
        <v>#N/A</v>
      </c>
      <c r="J68" s="223" t="str">
        <f>VLOOKUP(B68&amp;E68,'VISIT DATA'!A:N,10,FALSE)</f>
        <v>#N/A</v>
      </c>
      <c r="K68" s="225"/>
      <c r="L68" s="224"/>
      <c r="M68" s="224"/>
      <c r="N68" s="224"/>
      <c r="O68" s="216" t="str">
        <f t="shared" si="1"/>
        <v>X</v>
      </c>
      <c r="P68" s="226" t="str">
        <f t="shared" si="2"/>
        <v>#N/A</v>
      </c>
      <c r="Q68" s="227" t="str">
        <f t="shared" si="3"/>
        <v>#N/A</v>
      </c>
      <c r="R68" s="228" t="str">
        <f t="shared" si="4"/>
        <v>#N/A</v>
      </c>
      <c r="S68" s="220" t="str">
        <f t="shared" si="5"/>
        <v>#N/A</v>
      </c>
      <c r="T68" s="220" t="str">
        <f t="shared" si="6"/>
        <v>#N/A</v>
      </c>
      <c r="U68" s="221">
        <f t="shared" si="7"/>
        <v>0</v>
      </c>
      <c r="V68" s="229" t="str">
        <f>ifs($N68="",VLOOKUP($B68&amp;$E68,'VISIT DATA'!$A$2:$J100,7,FALSE), $N68="SWAB","OUTSA-RW",$N68="SWQU","OUTSA-SaQu", AND($L68="X",$M68="X",$N68="QUEST"),"OUT-UAQPre",$N68="QUEST","OUT-UAQ", $N68="Walk in","ColUATele")</f>
        <v>#N/A</v>
      </c>
      <c r="W68" s="24" t="str">
        <f t="shared" si="8"/>
        <v>#N/A</v>
      </c>
      <c r="X68" s="222" t="str">
        <f t="shared" si="9"/>
        <v/>
      </c>
      <c r="Y68" s="222" t="str">
        <f t="shared" si="10"/>
        <v/>
      </c>
      <c r="Z68" s="224" t="str">
        <f t="shared" si="11"/>
        <v> </v>
      </c>
    </row>
    <row r="69" hidden="1">
      <c r="A69" s="214" t="str">
        <f>IFS($B69=FALSE,"",$B69,VLOOKUP($B69,'PATIENT DATA (072721)'!A:C, 2, 0))</f>
        <v/>
      </c>
      <c r="B69" s="215"/>
      <c r="C69" s="230" t="str">
        <f>IF(COUNTIF('PATIENT DATA (072721)'!A:A, B69)=0, "X","✓")</f>
        <v>X</v>
      </c>
      <c r="D69" s="217" t="str">
        <f>IFS($B69=FALSE,"",$B69,VLOOKUP($B69,'PATIENT DATA (072721)'!A:C, 3, 0))</f>
        <v/>
      </c>
      <c r="E69" s="218">
        <v>44565.0</v>
      </c>
      <c r="F69" s="219" t="str">
        <f>ifs($B69="","",$B69, VLOOKUP($B69&amp;$E69, 'VISIT DATA'!A:O,3,0))</f>
        <v/>
      </c>
      <c r="G69" s="220"/>
      <c r="H69" s="221"/>
      <c r="I69" s="222" t="str">
        <f>VLOOKUP($B69&amp;$E69,'VISIT DATA'!A:J, 9, FALSE)</f>
        <v>#N/A</v>
      </c>
      <c r="J69" s="223" t="str">
        <f>VLOOKUP(B69&amp;E69,'VISIT DATA'!A:N,10,FALSE)</f>
        <v>#N/A</v>
      </c>
      <c r="K69" s="225"/>
      <c r="L69" s="224"/>
      <c r="M69" s="224"/>
      <c r="N69" s="224"/>
      <c r="O69" s="216" t="str">
        <f t="shared" si="1"/>
        <v>X</v>
      </c>
      <c r="P69" s="226" t="str">
        <f t="shared" si="2"/>
        <v>#N/A</v>
      </c>
      <c r="Q69" s="227" t="str">
        <f t="shared" si="3"/>
        <v>#N/A</v>
      </c>
      <c r="R69" s="228" t="str">
        <f t="shared" si="4"/>
        <v>#N/A</v>
      </c>
      <c r="S69" s="220" t="str">
        <f t="shared" si="5"/>
        <v>#N/A</v>
      </c>
      <c r="T69" s="220" t="str">
        <f t="shared" si="6"/>
        <v>#N/A</v>
      </c>
      <c r="U69" s="221">
        <f t="shared" si="7"/>
        <v>0</v>
      </c>
      <c r="V69" s="229" t="str">
        <f>ifs($N69="",VLOOKUP($B69&amp;$E69,'VISIT DATA'!$A$2:$J100,7,FALSE), $N69="SWAB","OUTSA-RW",$N69="SWQU","OUTSA-SaQu", AND($L69="X",$M69="X",$N69="QUEST"),"OUT-UAQPre",$N69="QUEST","OUT-UAQ", $N69="Walk in","ColUATele")</f>
        <v>#N/A</v>
      </c>
      <c r="W69" s="24" t="str">
        <f t="shared" si="8"/>
        <v>#N/A</v>
      </c>
      <c r="X69" s="222" t="str">
        <f t="shared" si="9"/>
        <v/>
      </c>
      <c r="Y69" s="222" t="str">
        <f t="shared" si="10"/>
        <v/>
      </c>
      <c r="Z69" s="224" t="str">
        <f t="shared" si="11"/>
        <v> </v>
      </c>
    </row>
    <row r="70" hidden="1">
      <c r="A70" s="214" t="str">
        <f>IFS($B70=FALSE,"",$B70,VLOOKUP($B70,'PATIENT DATA (072721)'!A:C, 2, 0))</f>
        <v/>
      </c>
      <c r="B70" s="215"/>
      <c r="C70" s="230" t="str">
        <f>IF(COUNTIF('PATIENT DATA (072721)'!A:A, B70)=0, "X","✓")</f>
        <v>X</v>
      </c>
      <c r="D70" s="217" t="str">
        <f>IFS($B70=FALSE,"",$B70,VLOOKUP($B70,'PATIENT DATA (072721)'!A:C, 3, 0))</f>
        <v/>
      </c>
      <c r="E70" s="218">
        <v>44565.0</v>
      </c>
      <c r="F70" s="219" t="str">
        <f>ifs($B70="","",$B70, VLOOKUP($B70&amp;$E70, 'VISIT DATA'!A:O,3,0))</f>
        <v/>
      </c>
      <c r="G70" s="220"/>
      <c r="H70" s="221"/>
      <c r="I70" s="222" t="str">
        <f>VLOOKUP($B70&amp;$E70,'VISIT DATA'!A:J, 9, FALSE)</f>
        <v>#N/A</v>
      </c>
      <c r="J70" s="223" t="str">
        <f>VLOOKUP(B70&amp;E70,'VISIT DATA'!A:N,10,FALSE)</f>
        <v>#N/A</v>
      </c>
      <c r="K70" s="225"/>
      <c r="L70" s="224"/>
      <c r="M70" s="224"/>
      <c r="N70" s="224"/>
      <c r="O70" s="216" t="str">
        <f t="shared" si="1"/>
        <v>X</v>
      </c>
      <c r="P70" s="226" t="str">
        <f t="shared" si="2"/>
        <v>#N/A</v>
      </c>
      <c r="Q70" s="227" t="str">
        <f t="shared" si="3"/>
        <v>#N/A</v>
      </c>
      <c r="R70" s="228" t="str">
        <f t="shared" si="4"/>
        <v>#N/A</v>
      </c>
      <c r="S70" s="220" t="str">
        <f t="shared" si="5"/>
        <v>#N/A</v>
      </c>
      <c r="T70" s="220" t="str">
        <f t="shared" si="6"/>
        <v>#N/A</v>
      </c>
      <c r="U70" s="221">
        <f t="shared" si="7"/>
        <v>0</v>
      </c>
      <c r="V70" s="229" t="str">
        <f>ifs($N70="",VLOOKUP($B70&amp;$E70,'VISIT DATA'!$A$2:$J100,7,FALSE), $N70="SWAB","OUTSA-RW",$N70="SWQU","OUTSA-SaQu", AND($L70="X",$M70="X",$N70="QUEST"),"OUT-UAQPre",$N70="QUEST","OUT-UAQ", $N70="Walk in","ColUATele")</f>
        <v>#N/A</v>
      </c>
      <c r="W70" s="24" t="str">
        <f t="shared" si="8"/>
        <v>#N/A</v>
      </c>
      <c r="X70" s="222" t="str">
        <f t="shared" si="9"/>
        <v/>
      </c>
      <c r="Y70" s="222" t="str">
        <f t="shared" si="10"/>
        <v/>
      </c>
      <c r="Z70" s="224" t="str">
        <f t="shared" si="11"/>
        <v> </v>
      </c>
    </row>
    <row r="71" hidden="1">
      <c r="A71" s="214" t="str">
        <f>IFS($B71=FALSE,"",$B71,VLOOKUP($B71,'PATIENT DATA (072721)'!A:C, 2, 0))</f>
        <v/>
      </c>
      <c r="B71" s="215"/>
      <c r="C71" s="230" t="str">
        <f>IF(COUNTIF('PATIENT DATA (072721)'!A:A, B71)=0, "X","✓")</f>
        <v>X</v>
      </c>
      <c r="D71" s="217" t="str">
        <f>IFS($B71=FALSE,"",$B71,VLOOKUP($B71,'PATIENT DATA (072721)'!A:C, 3, 0))</f>
        <v/>
      </c>
      <c r="E71" s="218">
        <v>44565.0</v>
      </c>
      <c r="F71" s="219" t="str">
        <f>ifs($B71="","",$B71, VLOOKUP($B71&amp;$E71, 'VISIT DATA'!A:O,3,0))</f>
        <v/>
      </c>
      <c r="G71" s="220"/>
      <c r="H71" s="221"/>
      <c r="I71" s="222" t="str">
        <f>VLOOKUP($B71&amp;$E71,'VISIT DATA'!A:J, 9, FALSE)</f>
        <v>#N/A</v>
      </c>
      <c r="J71" s="223" t="str">
        <f>VLOOKUP(B71&amp;E71,'VISIT DATA'!A:N,10,FALSE)</f>
        <v>#N/A</v>
      </c>
      <c r="K71" s="225"/>
      <c r="L71" s="224"/>
      <c r="M71" s="224"/>
      <c r="N71" s="224"/>
      <c r="O71" s="216" t="str">
        <f t="shared" si="1"/>
        <v>X</v>
      </c>
      <c r="P71" s="226" t="str">
        <f t="shared" si="2"/>
        <v>#N/A</v>
      </c>
      <c r="Q71" s="227" t="str">
        <f t="shared" si="3"/>
        <v>#N/A</v>
      </c>
      <c r="R71" s="228" t="str">
        <f t="shared" si="4"/>
        <v>#N/A</v>
      </c>
      <c r="S71" s="220" t="str">
        <f t="shared" si="5"/>
        <v>#N/A</v>
      </c>
      <c r="T71" s="220" t="str">
        <f t="shared" si="6"/>
        <v>#N/A</v>
      </c>
      <c r="U71" s="221">
        <f t="shared" si="7"/>
        <v>0</v>
      </c>
      <c r="V71" s="229" t="str">
        <f>ifs($N71="",VLOOKUP($B71&amp;$E71,'VISIT DATA'!$A$2:$J100,7,FALSE), $N71="SWAB","OUTSA-RW",$N71="SWQU","OUTSA-SaQu", AND($L71="X",$M71="X",$N71="QUEST"),"OUT-UAQPre",$N71="QUEST","OUT-UAQ", $N71="Walk in","ColUATele")</f>
        <v>#N/A</v>
      </c>
      <c r="W71" s="24" t="str">
        <f t="shared" si="8"/>
        <v>#N/A</v>
      </c>
      <c r="X71" s="222" t="str">
        <f t="shared" si="9"/>
        <v/>
      </c>
      <c r="Y71" s="222" t="str">
        <f t="shared" si="10"/>
        <v/>
      </c>
      <c r="Z71" s="224" t="str">
        <f t="shared" si="11"/>
        <v> </v>
      </c>
    </row>
    <row r="72" hidden="1">
      <c r="A72" s="214" t="str">
        <f>IFS($B72=FALSE,"",$B72,VLOOKUP($B72,'PATIENT DATA (072721)'!A:C, 2, 0))</f>
        <v/>
      </c>
      <c r="B72" s="215"/>
      <c r="C72" s="230" t="str">
        <f>IF(COUNTIF('PATIENT DATA (072721)'!A:A, B72)=0, "X","✓")</f>
        <v>X</v>
      </c>
      <c r="D72" s="217" t="str">
        <f>IFS($B72=FALSE,"",$B72,VLOOKUP($B72,'PATIENT DATA (072721)'!A:C, 3, 0))</f>
        <v/>
      </c>
      <c r="E72" s="218">
        <v>44565.0</v>
      </c>
      <c r="F72" s="219" t="str">
        <f>ifs($B72="","",$B72, VLOOKUP($B72&amp;$E72, 'VISIT DATA'!A:O,3,0))</f>
        <v/>
      </c>
      <c r="G72" s="220"/>
      <c r="H72" s="221"/>
      <c r="I72" s="222" t="str">
        <f>VLOOKUP($B72&amp;$E72,'VISIT DATA'!A:J, 9, FALSE)</f>
        <v>#N/A</v>
      </c>
      <c r="J72" s="223" t="str">
        <f>VLOOKUP(B72&amp;E72,'VISIT DATA'!A:N,10,FALSE)</f>
        <v>#N/A</v>
      </c>
      <c r="K72" s="225"/>
      <c r="L72" s="224"/>
      <c r="M72" s="224"/>
      <c r="N72" s="224"/>
      <c r="O72" s="216" t="str">
        <f t="shared" si="1"/>
        <v>X</v>
      </c>
      <c r="P72" s="226" t="str">
        <f t="shared" si="2"/>
        <v>#N/A</v>
      </c>
      <c r="Q72" s="227" t="str">
        <f t="shared" si="3"/>
        <v>#N/A</v>
      </c>
      <c r="R72" s="228" t="str">
        <f t="shared" si="4"/>
        <v>#N/A</v>
      </c>
      <c r="S72" s="220" t="str">
        <f t="shared" si="5"/>
        <v>#N/A</v>
      </c>
      <c r="T72" s="220" t="str">
        <f t="shared" si="6"/>
        <v>#N/A</v>
      </c>
      <c r="U72" s="221">
        <f t="shared" si="7"/>
        <v>0</v>
      </c>
      <c r="V72" s="229" t="str">
        <f>ifs($N72="",VLOOKUP($B72&amp;$E72,'VISIT DATA'!$A$2:$J100,7,FALSE), $N72="SWAB","OUTSA-RW",$N72="SWQU","OUTSA-SaQu", AND($L72="X",$M72="X",$N72="QUEST"),"OUT-UAQPre",$N72="QUEST","OUT-UAQ", $N72="Walk in","ColUATele")</f>
        <v>#N/A</v>
      </c>
      <c r="W72" s="24" t="str">
        <f t="shared" si="8"/>
        <v>#N/A</v>
      </c>
      <c r="X72" s="222" t="str">
        <f t="shared" si="9"/>
        <v/>
      </c>
      <c r="Y72" s="222" t="str">
        <f t="shared" si="10"/>
        <v/>
      </c>
      <c r="Z72" s="224" t="str">
        <f t="shared" si="11"/>
        <v> </v>
      </c>
    </row>
    <row r="73" hidden="1">
      <c r="A73" s="214" t="str">
        <f>IFS($B73=FALSE,"",$B73,VLOOKUP($B73,'PATIENT DATA (072721)'!A:C, 2, 0))</f>
        <v/>
      </c>
      <c r="B73" s="215"/>
      <c r="C73" s="230" t="str">
        <f>IF(COUNTIF('PATIENT DATA (072721)'!A:A, B73)=0, "X","✓")</f>
        <v>X</v>
      </c>
      <c r="D73" s="217" t="str">
        <f>IFS($B73=FALSE,"",$B73,VLOOKUP($B73,'PATIENT DATA (072721)'!A:C, 3, 0))</f>
        <v/>
      </c>
      <c r="E73" s="218">
        <v>44565.0</v>
      </c>
      <c r="F73" s="219" t="str">
        <f>ifs($B73="","",$B73, VLOOKUP($B73&amp;$E73, 'VISIT DATA'!A:O,3,0))</f>
        <v/>
      </c>
      <c r="G73" s="220"/>
      <c r="H73" s="221"/>
      <c r="I73" s="222" t="str">
        <f>VLOOKUP($B73&amp;$E73,'VISIT DATA'!A:J, 9, FALSE)</f>
        <v>#N/A</v>
      </c>
      <c r="J73" s="223" t="str">
        <f>VLOOKUP(B73&amp;E73,'VISIT DATA'!A:N,10,FALSE)</f>
        <v>#N/A</v>
      </c>
      <c r="K73" s="225"/>
      <c r="L73" s="224"/>
      <c r="M73" s="224"/>
      <c r="N73" s="224"/>
      <c r="O73" s="216" t="str">
        <f t="shared" si="1"/>
        <v>X</v>
      </c>
      <c r="P73" s="226" t="str">
        <f t="shared" si="2"/>
        <v>#N/A</v>
      </c>
      <c r="Q73" s="227" t="str">
        <f t="shared" si="3"/>
        <v>#N/A</v>
      </c>
      <c r="R73" s="228" t="str">
        <f t="shared" si="4"/>
        <v>#N/A</v>
      </c>
      <c r="S73" s="220" t="str">
        <f t="shared" si="5"/>
        <v>#N/A</v>
      </c>
      <c r="T73" s="220" t="str">
        <f t="shared" si="6"/>
        <v>#N/A</v>
      </c>
      <c r="U73" s="221">
        <f t="shared" si="7"/>
        <v>0</v>
      </c>
      <c r="V73" s="229" t="str">
        <f>ifs($N73="",VLOOKUP($B73&amp;$E73,'VISIT DATA'!$A$2:$J100,7,FALSE), $N73="SWAB","OUTSA-RW",$N73="SWQU","OUTSA-SaQu", AND($L73="X",$M73="X",$N73="QUEST"),"OUT-UAQPre",$N73="QUEST","OUT-UAQ", $N73="Walk in","ColUATele")</f>
        <v>#N/A</v>
      </c>
      <c r="W73" s="24" t="str">
        <f t="shared" si="8"/>
        <v>#N/A</v>
      </c>
      <c r="X73" s="222" t="str">
        <f t="shared" si="9"/>
        <v/>
      </c>
      <c r="Y73" s="222" t="str">
        <f t="shared" si="10"/>
        <v/>
      </c>
      <c r="Z73" s="224" t="str">
        <f t="shared" si="11"/>
        <v> </v>
      </c>
    </row>
    <row r="74" hidden="1">
      <c r="A74" s="214" t="str">
        <f>IFS($B74=FALSE,"",$B74,VLOOKUP($B74,'PATIENT DATA (072721)'!A:C, 2, 0))</f>
        <v/>
      </c>
      <c r="B74" s="215"/>
      <c r="C74" s="230" t="str">
        <f>IF(COUNTIF('PATIENT DATA (072721)'!A:A, B74)=0, "X","✓")</f>
        <v>X</v>
      </c>
      <c r="D74" s="217" t="str">
        <f>IFS($B74=FALSE,"",$B74,VLOOKUP($B74,'PATIENT DATA (072721)'!A:C, 3, 0))</f>
        <v/>
      </c>
      <c r="E74" s="218">
        <v>44565.0</v>
      </c>
      <c r="F74" s="219" t="str">
        <f>ifs($B74="","",$B74, VLOOKUP($B74&amp;$E74, 'VISIT DATA'!A:O,3,0))</f>
        <v/>
      </c>
      <c r="G74" s="220"/>
      <c r="H74" s="221"/>
      <c r="I74" s="222" t="str">
        <f>VLOOKUP($B74&amp;$E74,'VISIT DATA'!A:J, 9, FALSE)</f>
        <v>#N/A</v>
      </c>
      <c r="J74" s="223" t="str">
        <f>VLOOKUP(B74&amp;E74,'VISIT DATA'!A:N,10,FALSE)</f>
        <v>#N/A</v>
      </c>
      <c r="K74" s="225"/>
      <c r="L74" s="224"/>
      <c r="M74" s="224"/>
      <c r="N74" s="224"/>
      <c r="O74" s="216" t="str">
        <f t="shared" si="1"/>
        <v>X</v>
      </c>
      <c r="P74" s="226" t="str">
        <f t="shared" si="2"/>
        <v>#N/A</v>
      </c>
      <c r="Q74" s="227" t="str">
        <f t="shared" si="3"/>
        <v>#N/A</v>
      </c>
      <c r="R74" s="228" t="str">
        <f t="shared" si="4"/>
        <v>#N/A</v>
      </c>
      <c r="S74" s="220" t="str">
        <f t="shared" si="5"/>
        <v>#N/A</v>
      </c>
      <c r="T74" s="220" t="str">
        <f t="shared" si="6"/>
        <v>#N/A</v>
      </c>
      <c r="U74" s="221">
        <f t="shared" si="7"/>
        <v>0</v>
      </c>
      <c r="V74" s="229" t="str">
        <f>ifs($N74="",VLOOKUP($B74&amp;$E74,'VISIT DATA'!$A$2:$J100,7,FALSE), $N74="SWAB","OUTSA-RW",$N74="SWQU","OUTSA-SaQu", AND($L74="X",$M74="X",$N74="QUEST"),"OUT-UAQPre",$N74="QUEST","OUT-UAQ", $N74="Walk in","ColUATele")</f>
        <v>#N/A</v>
      </c>
      <c r="W74" s="24" t="str">
        <f t="shared" si="8"/>
        <v>#N/A</v>
      </c>
      <c r="X74" s="222" t="str">
        <f t="shared" si="9"/>
        <v/>
      </c>
      <c r="Y74" s="222" t="str">
        <f t="shared" si="10"/>
        <v/>
      </c>
      <c r="Z74" s="224" t="str">
        <f t="shared" si="11"/>
        <v> </v>
      </c>
    </row>
    <row r="75" hidden="1">
      <c r="A75" s="214" t="str">
        <f>IFS($B75=FALSE,"",$B75,VLOOKUP($B75,'PATIENT DATA (072721)'!A:C, 2, 0))</f>
        <v/>
      </c>
      <c r="B75" s="215"/>
      <c r="C75" s="230" t="str">
        <f>IF(COUNTIF('PATIENT DATA (072721)'!A:A, B75)=0, "X","✓")</f>
        <v>X</v>
      </c>
      <c r="D75" s="217" t="str">
        <f>IFS($B75=FALSE,"",$B75,VLOOKUP($B75,'PATIENT DATA (072721)'!A:C, 3, 0))</f>
        <v/>
      </c>
      <c r="E75" s="218">
        <v>44565.0</v>
      </c>
      <c r="F75" s="219" t="str">
        <f>ifs($B75="","",$B75, VLOOKUP($B75&amp;$E75, 'VISIT DATA'!A:O,3,0))</f>
        <v/>
      </c>
      <c r="G75" s="220"/>
      <c r="H75" s="221"/>
      <c r="I75" s="222" t="str">
        <f>VLOOKUP($B75&amp;$E75,'VISIT DATA'!A:J, 9, FALSE)</f>
        <v>#N/A</v>
      </c>
      <c r="J75" s="223" t="str">
        <f>VLOOKUP(B75&amp;E75,'VISIT DATA'!A:N,10,FALSE)</f>
        <v>#N/A</v>
      </c>
      <c r="K75" s="225"/>
      <c r="L75" s="224"/>
      <c r="M75" s="224"/>
      <c r="N75" s="224"/>
      <c r="O75" s="216" t="str">
        <f t="shared" si="1"/>
        <v>X</v>
      </c>
      <c r="P75" s="226" t="str">
        <f t="shared" si="2"/>
        <v>#N/A</v>
      </c>
      <c r="Q75" s="227" t="str">
        <f t="shared" si="3"/>
        <v>#N/A</v>
      </c>
      <c r="R75" s="228" t="str">
        <f t="shared" si="4"/>
        <v>#N/A</v>
      </c>
      <c r="S75" s="220" t="str">
        <f t="shared" si="5"/>
        <v>#N/A</v>
      </c>
      <c r="T75" s="220" t="str">
        <f t="shared" si="6"/>
        <v>#N/A</v>
      </c>
      <c r="U75" s="221">
        <f t="shared" si="7"/>
        <v>0</v>
      </c>
      <c r="V75" s="229" t="str">
        <f>ifs($N75="",VLOOKUP($B75&amp;$E75,'VISIT DATA'!$A$2:$J100,7,FALSE), $N75="SWAB","OUTSA-RW",$N75="SWQU","OUTSA-SaQu", AND($L75="X",$M75="X",$N75="QUEST"),"OUT-UAQPre",$N75="QUEST","OUT-UAQ", $N75="Walk in","ColUATele")</f>
        <v>#N/A</v>
      </c>
      <c r="W75" s="24" t="str">
        <f t="shared" si="8"/>
        <v>#N/A</v>
      </c>
      <c r="X75" s="222" t="str">
        <f t="shared" si="9"/>
        <v/>
      </c>
      <c r="Y75" s="222" t="str">
        <f t="shared" si="10"/>
        <v/>
      </c>
      <c r="Z75" s="224" t="str">
        <f t="shared" si="11"/>
        <v> </v>
      </c>
    </row>
    <row r="76" hidden="1">
      <c r="A76" s="214" t="str">
        <f>IFS($B76=FALSE,"",$B76,VLOOKUP($B76,'PATIENT DATA (072721)'!A:C, 2, 0))</f>
        <v/>
      </c>
      <c r="B76" s="215"/>
      <c r="C76" s="230" t="str">
        <f>IF(COUNTIF('PATIENT DATA (072721)'!A:A, B76)=0, "X","✓")</f>
        <v>X</v>
      </c>
      <c r="D76" s="217" t="str">
        <f>IFS($B76=FALSE,"",$B76,VLOOKUP($B76,'PATIENT DATA (072721)'!A:C, 3, 0))</f>
        <v/>
      </c>
      <c r="E76" s="218">
        <v>44565.0</v>
      </c>
      <c r="F76" s="219" t="str">
        <f>ifs($B76="","",$B76, VLOOKUP($B76&amp;$E76, 'VISIT DATA'!A:O,3,0))</f>
        <v/>
      </c>
      <c r="G76" s="220"/>
      <c r="H76" s="221"/>
      <c r="I76" s="222" t="str">
        <f>VLOOKUP($B76&amp;$E76,'VISIT DATA'!A:J, 9, FALSE)</f>
        <v>#N/A</v>
      </c>
      <c r="J76" s="223" t="str">
        <f>VLOOKUP(B76&amp;E76,'VISIT DATA'!A:N,10,FALSE)</f>
        <v>#N/A</v>
      </c>
      <c r="K76" s="225"/>
      <c r="L76" s="224"/>
      <c r="M76" s="224"/>
      <c r="N76" s="224"/>
      <c r="O76" s="216" t="str">
        <f t="shared" si="1"/>
        <v>X</v>
      </c>
      <c r="P76" s="226" t="str">
        <f t="shared" si="2"/>
        <v>#N/A</v>
      </c>
      <c r="Q76" s="227" t="str">
        <f t="shared" si="3"/>
        <v>#N/A</v>
      </c>
      <c r="R76" s="228" t="str">
        <f t="shared" si="4"/>
        <v>#N/A</v>
      </c>
      <c r="S76" s="220" t="str">
        <f t="shared" si="5"/>
        <v>#N/A</v>
      </c>
      <c r="T76" s="220" t="str">
        <f t="shared" si="6"/>
        <v>#N/A</v>
      </c>
      <c r="U76" s="221">
        <f t="shared" si="7"/>
        <v>0</v>
      </c>
      <c r="V76" s="229" t="str">
        <f>ifs($N76="",VLOOKUP($B76&amp;$E76,'VISIT DATA'!$A$2:$J100,7,FALSE), $N76="SWAB","OUTSA-RW",$N76="SWQU","OUTSA-SaQu", AND($L76="X",$M76="X",$N76="QUEST"),"OUT-UAQPre",$N76="QUEST","OUT-UAQ", $N76="Walk in","ColUATele")</f>
        <v>#N/A</v>
      </c>
      <c r="W76" s="24" t="str">
        <f t="shared" si="8"/>
        <v>#N/A</v>
      </c>
      <c r="X76" s="222" t="str">
        <f t="shared" si="9"/>
        <v/>
      </c>
      <c r="Y76" s="222" t="str">
        <f t="shared" si="10"/>
        <v/>
      </c>
      <c r="Z76" s="224" t="str">
        <f t="shared" si="11"/>
        <v> </v>
      </c>
    </row>
    <row r="77" hidden="1">
      <c r="A77" s="214" t="str">
        <f>IFS($B77=FALSE,"",$B77,VLOOKUP($B77,'PATIENT DATA (072721)'!A:C, 2, 0))</f>
        <v/>
      </c>
      <c r="B77" s="215"/>
      <c r="C77" s="230" t="str">
        <f>IF(COUNTIF('PATIENT DATA (072721)'!A:A, B77)=0, "X","✓")</f>
        <v>X</v>
      </c>
      <c r="D77" s="217" t="str">
        <f>IFS($B77=FALSE,"",$B77,VLOOKUP($B77,'PATIENT DATA (072721)'!A:C, 3, 0))</f>
        <v/>
      </c>
      <c r="E77" s="218">
        <v>44565.0</v>
      </c>
      <c r="F77" s="219" t="str">
        <f>ifs($B77="","",$B77, VLOOKUP($B77&amp;$E77, 'VISIT DATA'!A:O,3,0))</f>
        <v/>
      </c>
      <c r="G77" s="220"/>
      <c r="H77" s="221"/>
      <c r="I77" s="222" t="str">
        <f>VLOOKUP($B77&amp;$E77,'VISIT DATA'!A:J, 9, FALSE)</f>
        <v>#N/A</v>
      </c>
      <c r="J77" s="223" t="str">
        <f>VLOOKUP(B77&amp;E77,'VISIT DATA'!A:N,10,FALSE)</f>
        <v>#N/A</v>
      </c>
      <c r="K77" s="225"/>
      <c r="L77" s="224"/>
      <c r="M77" s="224"/>
      <c r="N77" s="224"/>
      <c r="O77" s="216" t="str">
        <f t="shared" si="1"/>
        <v>X</v>
      </c>
      <c r="P77" s="226" t="str">
        <f t="shared" si="2"/>
        <v>#N/A</v>
      </c>
      <c r="Q77" s="227" t="str">
        <f t="shared" si="3"/>
        <v>#N/A</v>
      </c>
      <c r="R77" s="228" t="str">
        <f t="shared" si="4"/>
        <v>#N/A</v>
      </c>
      <c r="S77" s="220" t="str">
        <f t="shared" si="5"/>
        <v>#N/A</v>
      </c>
      <c r="T77" s="220" t="str">
        <f t="shared" si="6"/>
        <v>#N/A</v>
      </c>
      <c r="U77" s="221">
        <f t="shared" si="7"/>
        <v>0</v>
      </c>
      <c r="V77" s="229" t="str">
        <f>ifs($N77="",VLOOKUP($B77&amp;$E77,'VISIT DATA'!$A$2:$J100,7,FALSE), $N77="SWAB","OUTSA-RW",$N77="SWQU","OUTSA-SaQu", AND($L77="X",$M77="X",$N77="QUEST"),"OUT-UAQPre",$N77="QUEST","OUT-UAQ", $N77="Walk in","ColUATele")</f>
        <v>#N/A</v>
      </c>
      <c r="W77" s="24" t="str">
        <f t="shared" si="8"/>
        <v>#N/A</v>
      </c>
      <c r="X77" s="222" t="str">
        <f t="shared" si="9"/>
        <v/>
      </c>
      <c r="Y77" s="222" t="str">
        <f t="shared" si="10"/>
        <v/>
      </c>
      <c r="Z77" s="224" t="str">
        <f t="shared" si="11"/>
        <v> </v>
      </c>
    </row>
    <row r="78" hidden="1">
      <c r="A78" s="214" t="str">
        <f>IFS($B78=FALSE,"",$B78,VLOOKUP($B78,'PATIENT DATA (072721)'!A:C, 2, 0))</f>
        <v/>
      </c>
      <c r="B78" s="215"/>
      <c r="C78" s="230" t="str">
        <f>IF(COUNTIF('PATIENT DATA (072721)'!A:A, B78)=0, "X","✓")</f>
        <v>X</v>
      </c>
      <c r="D78" s="217" t="str">
        <f>IFS($B78=FALSE,"",$B78,VLOOKUP($B78,'PATIENT DATA (072721)'!A:C, 3, 0))</f>
        <v/>
      </c>
      <c r="E78" s="218">
        <v>44565.0</v>
      </c>
      <c r="F78" s="219" t="str">
        <f>ifs($B78="","",$B78, VLOOKUP($B78&amp;$E78, 'VISIT DATA'!A:O,3,0))</f>
        <v/>
      </c>
      <c r="G78" s="220"/>
      <c r="H78" s="221"/>
      <c r="I78" s="222" t="str">
        <f>VLOOKUP($B78&amp;$E78,'VISIT DATA'!A:J, 9, FALSE)</f>
        <v>#N/A</v>
      </c>
      <c r="J78" s="223" t="str">
        <f>VLOOKUP(B78&amp;E78,'VISIT DATA'!A:N,10,FALSE)</f>
        <v>#N/A</v>
      </c>
      <c r="K78" s="225"/>
      <c r="L78" s="224"/>
      <c r="M78" s="224"/>
      <c r="N78" s="224"/>
      <c r="O78" s="216" t="str">
        <f t="shared" si="1"/>
        <v>X</v>
      </c>
      <c r="P78" s="226" t="str">
        <f t="shared" si="2"/>
        <v>#N/A</v>
      </c>
      <c r="Q78" s="227" t="str">
        <f t="shared" si="3"/>
        <v>#N/A</v>
      </c>
      <c r="R78" s="228" t="str">
        <f t="shared" si="4"/>
        <v>#N/A</v>
      </c>
      <c r="S78" s="220" t="str">
        <f t="shared" si="5"/>
        <v>#N/A</v>
      </c>
      <c r="T78" s="220" t="str">
        <f t="shared" si="6"/>
        <v>#N/A</v>
      </c>
      <c r="U78" s="221">
        <f t="shared" si="7"/>
        <v>0</v>
      </c>
      <c r="V78" s="229" t="str">
        <f>ifs($N78="",VLOOKUP($B78&amp;$E78,'VISIT DATA'!$A$2:$J100,7,FALSE), $N78="SWAB","OUTSA-RW",$N78="SWQU","OUTSA-SaQu", AND($L78="X",$M78="X",$N78="QUEST"),"OUT-UAQPre",$N78="QUEST","OUT-UAQ", $N78="Walk in","ColUATele")</f>
        <v>#N/A</v>
      </c>
      <c r="W78" s="24" t="str">
        <f t="shared" si="8"/>
        <v>#N/A</v>
      </c>
      <c r="X78" s="222" t="str">
        <f t="shared" si="9"/>
        <v/>
      </c>
      <c r="Y78" s="222" t="str">
        <f t="shared" si="10"/>
        <v/>
      </c>
      <c r="Z78" s="224" t="str">
        <f t="shared" si="11"/>
        <v> </v>
      </c>
    </row>
    <row r="79" hidden="1">
      <c r="A79" s="214" t="str">
        <f>IFS($B79=FALSE,"",$B79,VLOOKUP($B79,'PATIENT DATA (072721)'!A:C, 2, 0))</f>
        <v/>
      </c>
      <c r="B79" s="215"/>
      <c r="C79" s="230" t="str">
        <f>IF(COUNTIF('PATIENT DATA (072721)'!A:A, B79)=0, "X","✓")</f>
        <v>X</v>
      </c>
      <c r="D79" s="217" t="str">
        <f>IFS($B79=FALSE,"",$B79,VLOOKUP($B79,'PATIENT DATA (072721)'!A:C, 3, 0))</f>
        <v/>
      </c>
      <c r="E79" s="218">
        <v>44565.0</v>
      </c>
      <c r="F79" s="219" t="str">
        <f>ifs($B79="","",$B79, VLOOKUP($B79&amp;$E79, 'VISIT DATA'!A:O,3,0))</f>
        <v/>
      </c>
      <c r="G79" s="220"/>
      <c r="H79" s="221"/>
      <c r="I79" s="222" t="str">
        <f>VLOOKUP($B79&amp;$E79,'VISIT DATA'!A:J, 9, FALSE)</f>
        <v>#N/A</v>
      </c>
      <c r="J79" s="223" t="str">
        <f>VLOOKUP(B79&amp;E79,'VISIT DATA'!A:N,10,FALSE)</f>
        <v>#N/A</v>
      </c>
      <c r="K79" s="225"/>
      <c r="L79" s="224"/>
      <c r="M79" s="224"/>
      <c r="N79" s="224"/>
      <c r="O79" s="216" t="str">
        <f t="shared" si="1"/>
        <v>X</v>
      </c>
      <c r="P79" s="226" t="str">
        <f t="shared" si="2"/>
        <v>#N/A</v>
      </c>
      <c r="Q79" s="227" t="str">
        <f t="shared" si="3"/>
        <v>#N/A</v>
      </c>
      <c r="R79" s="228" t="str">
        <f t="shared" si="4"/>
        <v>#N/A</v>
      </c>
      <c r="S79" s="220" t="str">
        <f t="shared" si="5"/>
        <v>#N/A</v>
      </c>
      <c r="T79" s="220" t="str">
        <f t="shared" si="6"/>
        <v>#N/A</v>
      </c>
      <c r="U79" s="221">
        <f t="shared" si="7"/>
        <v>0</v>
      </c>
      <c r="V79" s="229" t="str">
        <f>ifs($N79="",VLOOKUP($B79&amp;$E79,'VISIT DATA'!$A$2:$J100,7,FALSE), $N79="SWAB","OUTSA-RW",$N79="SWQU","OUTSA-SaQu", AND($L79="X",$M79="X",$N79="QUEST"),"OUT-UAQPre",$N79="QUEST","OUT-UAQ", $N79="Walk in","ColUATele")</f>
        <v>#N/A</v>
      </c>
      <c r="W79" s="24" t="str">
        <f t="shared" si="8"/>
        <v>#N/A</v>
      </c>
      <c r="X79" s="222" t="str">
        <f t="shared" si="9"/>
        <v/>
      </c>
      <c r="Y79" s="222" t="str">
        <f t="shared" si="10"/>
        <v/>
      </c>
      <c r="Z79" s="224" t="str">
        <f t="shared" si="11"/>
        <v> </v>
      </c>
    </row>
    <row r="80" hidden="1">
      <c r="A80" s="214" t="str">
        <f>IFS($B80=FALSE,"",$B80,VLOOKUP($B80,'PATIENT DATA (072721)'!A:C, 2, 0))</f>
        <v/>
      </c>
      <c r="B80" s="215"/>
      <c r="C80" s="230" t="str">
        <f>IF(COUNTIF('PATIENT DATA (072721)'!A:A, B80)=0, "X","✓")</f>
        <v>X</v>
      </c>
      <c r="D80" s="217" t="str">
        <f>IFS($B80=FALSE,"",$B80,VLOOKUP($B80,'PATIENT DATA (072721)'!A:C, 3, 0))</f>
        <v/>
      </c>
      <c r="E80" s="218">
        <v>44565.0</v>
      </c>
      <c r="F80" s="219" t="str">
        <f>ifs($B80="","",$B80, VLOOKUP($B80&amp;$E80, 'VISIT DATA'!A:O,3,0))</f>
        <v/>
      </c>
      <c r="G80" s="220"/>
      <c r="H80" s="221"/>
      <c r="I80" s="222" t="str">
        <f>VLOOKUP($B80&amp;$E80,'VISIT DATA'!A:J, 9, FALSE)</f>
        <v>#N/A</v>
      </c>
      <c r="J80" s="223" t="str">
        <f>VLOOKUP(B80&amp;E80,'VISIT DATA'!A:N,10,FALSE)</f>
        <v>#N/A</v>
      </c>
      <c r="K80" s="225"/>
      <c r="L80" s="224"/>
      <c r="M80" s="224"/>
      <c r="N80" s="224"/>
      <c r="O80" s="216" t="str">
        <f t="shared" si="1"/>
        <v>X</v>
      </c>
      <c r="P80" s="226" t="str">
        <f t="shared" si="2"/>
        <v>#N/A</v>
      </c>
      <c r="Q80" s="227" t="str">
        <f t="shared" si="3"/>
        <v>#N/A</v>
      </c>
      <c r="R80" s="228" t="str">
        <f t="shared" si="4"/>
        <v>#N/A</v>
      </c>
      <c r="S80" s="220" t="str">
        <f t="shared" si="5"/>
        <v>#N/A</v>
      </c>
      <c r="T80" s="220" t="str">
        <f t="shared" si="6"/>
        <v>#N/A</v>
      </c>
      <c r="U80" s="221">
        <f t="shared" si="7"/>
        <v>0</v>
      </c>
      <c r="V80" s="229" t="str">
        <f>ifs($N80="",VLOOKUP($B80&amp;$E80,'VISIT DATA'!$A$2:$J100,7,FALSE), $N80="SWAB","OUTSA-RW",$N80="SWQU","OUTSA-SaQu", AND($L80="X",$M80="X",$N80="QUEST"),"OUT-UAQPre",$N80="QUEST","OUT-UAQ", $N80="Walk in","ColUATele")</f>
        <v>#N/A</v>
      </c>
      <c r="W80" s="24" t="str">
        <f t="shared" si="8"/>
        <v>#N/A</v>
      </c>
      <c r="X80" s="222" t="str">
        <f t="shared" si="9"/>
        <v/>
      </c>
      <c r="Y80" s="222" t="str">
        <f t="shared" si="10"/>
        <v/>
      </c>
      <c r="Z80" s="224" t="str">
        <f t="shared" si="11"/>
        <v> </v>
      </c>
    </row>
    <row r="81" hidden="1">
      <c r="A81" s="214" t="str">
        <f>IFS($B81=FALSE,"",$B81,VLOOKUP($B81,'PATIENT DATA (072721)'!A:C, 2, 0))</f>
        <v/>
      </c>
      <c r="B81" s="215"/>
      <c r="C81" s="230" t="str">
        <f>IF(COUNTIF('PATIENT DATA (072721)'!A:A, B81)=0, "X","✓")</f>
        <v>X</v>
      </c>
      <c r="D81" s="217" t="str">
        <f>IFS($B81=FALSE,"",$B81,VLOOKUP($B81,'PATIENT DATA (072721)'!A:C, 3, 0))</f>
        <v/>
      </c>
      <c r="E81" s="218">
        <v>44565.0</v>
      </c>
      <c r="F81" s="219" t="str">
        <f>ifs($B81="","",$B81, VLOOKUP($B81&amp;$E81, 'VISIT DATA'!A:O,3,0))</f>
        <v/>
      </c>
      <c r="G81" s="220"/>
      <c r="H81" s="221"/>
      <c r="I81" s="222" t="str">
        <f>VLOOKUP($B81&amp;$E81,'VISIT DATA'!A:J, 9, FALSE)</f>
        <v>#N/A</v>
      </c>
      <c r="J81" s="223" t="str">
        <f>VLOOKUP(B81&amp;E81,'VISIT DATA'!A:N,10,FALSE)</f>
        <v>#N/A</v>
      </c>
      <c r="K81" s="225"/>
      <c r="L81" s="224"/>
      <c r="M81" s="224"/>
      <c r="N81" s="224"/>
      <c r="O81" s="216" t="str">
        <f t="shared" si="1"/>
        <v>X</v>
      </c>
      <c r="P81" s="226" t="str">
        <f t="shared" si="2"/>
        <v>#N/A</v>
      </c>
      <c r="Q81" s="227" t="str">
        <f t="shared" si="3"/>
        <v>#N/A</v>
      </c>
      <c r="R81" s="228" t="str">
        <f t="shared" si="4"/>
        <v>#N/A</v>
      </c>
      <c r="S81" s="220" t="str">
        <f t="shared" si="5"/>
        <v>#N/A</v>
      </c>
      <c r="T81" s="220" t="str">
        <f t="shared" si="6"/>
        <v>#N/A</v>
      </c>
      <c r="U81" s="221">
        <f t="shared" si="7"/>
        <v>0</v>
      </c>
      <c r="V81" s="229" t="str">
        <f>ifs($N81="",VLOOKUP($B81&amp;$E81,'VISIT DATA'!$A$2:$J100,7,FALSE), $N81="SWAB","OUTSA-RW",$N81="SWQU","OUTSA-SaQu", AND($L81="X",$M81="X",$N81="QUEST"),"OUT-UAQPre",$N81="QUEST","OUT-UAQ", $N81="Walk in","ColUATele")</f>
        <v>#N/A</v>
      </c>
      <c r="W81" s="24" t="str">
        <f t="shared" si="8"/>
        <v>#N/A</v>
      </c>
      <c r="X81" s="222" t="str">
        <f t="shared" si="9"/>
        <v/>
      </c>
      <c r="Y81" s="222" t="str">
        <f t="shared" si="10"/>
        <v/>
      </c>
      <c r="Z81" s="224" t="str">
        <f t="shared" si="11"/>
        <v> </v>
      </c>
    </row>
    <row r="82" hidden="1">
      <c r="A82" s="214" t="str">
        <f>IFS($B82=FALSE,"",$B82,VLOOKUP($B82,'PATIENT DATA (072721)'!A:C, 2, 0))</f>
        <v/>
      </c>
      <c r="B82" s="215"/>
      <c r="C82" s="230" t="str">
        <f>IF(COUNTIF('PATIENT DATA (072721)'!A:A, B82)=0, "X","✓")</f>
        <v>X</v>
      </c>
      <c r="D82" s="217" t="str">
        <f>IFS($B82=FALSE,"",$B82,VLOOKUP($B82,'PATIENT DATA (072721)'!A:C, 3, 0))</f>
        <v/>
      </c>
      <c r="E82" s="218">
        <v>44565.0</v>
      </c>
      <c r="F82" s="219" t="str">
        <f>ifs($B82="","",$B82, VLOOKUP($B82&amp;$E82, 'VISIT DATA'!A:O,3,0))</f>
        <v/>
      </c>
      <c r="G82" s="220"/>
      <c r="H82" s="221"/>
      <c r="I82" s="222" t="str">
        <f>VLOOKUP($B82&amp;$E82,'VISIT DATA'!A:J, 9, FALSE)</f>
        <v>#N/A</v>
      </c>
      <c r="J82" s="223" t="str">
        <f>VLOOKUP(B82&amp;E82,'VISIT DATA'!A:N,10,FALSE)</f>
        <v>#N/A</v>
      </c>
      <c r="K82" s="225"/>
      <c r="L82" s="224"/>
      <c r="M82" s="224"/>
      <c r="N82" s="224"/>
      <c r="O82" s="216" t="str">
        <f t="shared" si="1"/>
        <v>X</v>
      </c>
      <c r="P82" s="226" t="str">
        <f t="shared" si="2"/>
        <v>#N/A</v>
      </c>
      <c r="Q82" s="227" t="str">
        <f t="shared" si="3"/>
        <v>#N/A</v>
      </c>
      <c r="R82" s="228" t="str">
        <f t="shared" si="4"/>
        <v>#N/A</v>
      </c>
      <c r="S82" s="220" t="str">
        <f t="shared" si="5"/>
        <v>#N/A</v>
      </c>
      <c r="T82" s="220" t="str">
        <f t="shared" si="6"/>
        <v>#N/A</v>
      </c>
      <c r="U82" s="221">
        <f t="shared" si="7"/>
        <v>0</v>
      </c>
      <c r="V82" s="229" t="str">
        <f>ifs($N82="",VLOOKUP($B82&amp;$E82,'VISIT DATA'!$A$2:$J100,7,FALSE), $N82="SWAB","OUTSA-RW",$N82="SWQU","OUTSA-SaQu", AND($L82="X",$M82="X",$N82="QUEST"),"OUT-UAQPre",$N82="QUEST","OUT-UAQ", $N82="Walk in","ColUATele")</f>
        <v>#N/A</v>
      </c>
      <c r="W82" s="24" t="str">
        <f t="shared" si="8"/>
        <v>#N/A</v>
      </c>
      <c r="X82" s="222" t="str">
        <f t="shared" si="9"/>
        <v/>
      </c>
      <c r="Y82" s="222" t="str">
        <f t="shared" si="10"/>
        <v/>
      </c>
      <c r="Z82" s="224" t="str">
        <f t="shared" si="11"/>
        <v> </v>
      </c>
    </row>
    <row r="83" hidden="1">
      <c r="A83" s="214" t="str">
        <f>IFS($B83=FALSE,"",$B83,VLOOKUP($B83,'PATIENT DATA (072721)'!A:C, 2, 0))</f>
        <v/>
      </c>
      <c r="B83" s="215"/>
      <c r="C83" s="230" t="str">
        <f>IF(COUNTIF('PATIENT DATA (072721)'!A:A, B83)=0, "X","✓")</f>
        <v>X</v>
      </c>
      <c r="D83" s="217" t="str">
        <f>IFS($B83=FALSE,"",$B83,VLOOKUP($B83,'PATIENT DATA (072721)'!A:C, 3, 0))</f>
        <v/>
      </c>
      <c r="E83" s="218">
        <v>44565.0</v>
      </c>
      <c r="F83" s="219" t="str">
        <f>ifs($B83="","",$B83, VLOOKUP($B83&amp;$E83, 'VISIT DATA'!A:O,3,0))</f>
        <v/>
      </c>
      <c r="G83" s="220"/>
      <c r="H83" s="221"/>
      <c r="I83" s="222" t="str">
        <f>VLOOKUP($B83&amp;$E83,'VISIT DATA'!A:J, 9, FALSE)</f>
        <v>#N/A</v>
      </c>
      <c r="J83" s="223" t="str">
        <f>VLOOKUP(B83&amp;E83,'VISIT DATA'!A:N,10,FALSE)</f>
        <v>#N/A</v>
      </c>
      <c r="K83" s="225"/>
      <c r="L83" s="224"/>
      <c r="M83" s="224"/>
      <c r="N83" s="224"/>
      <c r="O83" s="216" t="str">
        <f t="shared" si="1"/>
        <v>X</v>
      </c>
      <c r="P83" s="226" t="str">
        <f t="shared" si="2"/>
        <v>#N/A</v>
      </c>
      <c r="Q83" s="227" t="str">
        <f t="shared" si="3"/>
        <v>#N/A</v>
      </c>
      <c r="R83" s="228" t="str">
        <f t="shared" si="4"/>
        <v>#N/A</v>
      </c>
      <c r="S83" s="220" t="str">
        <f t="shared" si="5"/>
        <v>#N/A</v>
      </c>
      <c r="T83" s="220" t="str">
        <f t="shared" si="6"/>
        <v>#N/A</v>
      </c>
      <c r="U83" s="221">
        <f t="shared" si="7"/>
        <v>0</v>
      </c>
      <c r="V83" s="229" t="str">
        <f>ifs($N83="",VLOOKUP($B83&amp;$E83,'VISIT DATA'!$A$2:$J100,7,FALSE), $N83="SWAB","OUTSA-RW",$N83="SWQU","OUTSA-SaQu", AND($L83="X",$M83="X",$N83="QUEST"),"OUT-UAQPre",$N83="QUEST","OUT-UAQ", $N83="Walk in","ColUATele")</f>
        <v>#N/A</v>
      </c>
      <c r="W83" s="24" t="str">
        <f t="shared" si="8"/>
        <v>#N/A</v>
      </c>
      <c r="X83" s="222" t="str">
        <f t="shared" si="9"/>
        <v/>
      </c>
      <c r="Y83" s="222" t="str">
        <f t="shared" si="10"/>
        <v/>
      </c>
      <c r="Z83" s="224" t="str">
        <f t="shared" si="11"/>
        <v> </v>
      </c>
    </row>
    <row r="84" hidden="1">
      <c r="A84" s="214" t="str">
        <f>IFS($B84=FALSE,"",$B84,VLOOKUP($B84,'PATIENT DATA (072721)'!A:C, 2, 0))</f>
        <v/>
      </c>
      <c r="B84" s="215"/>
      <c r="C84" s="230" t="str">
        <f>IF(COUNTIF('PATIENT DATA (072721)'!A:A, B84)=0, "X","✓")</f>
        <v>X</v>
      </c>
      <c r="D84" s="217" t="str">
        <f>IFS($B84=FALSE,"",$B84,VLOOKUP($B84,'PATIENT DATA (072721)'!A:C, 3, 0))</f>
        <v/>
      </c>
      <c r="E84" s="218">
        <v>44565.0</v>
      </c>
      <c r="F84" s="219" t="str">
        <f>ifs($B84="","",$B84, VLOOKUP($B84&amp;$E84, 'VISIT DATA'!A:O,3,0))</f>
        <v/>
      </c>
      <c r="G84" s="220"/>
      <c r="H84" s="221"/>
      <c r="I84" s="222" t="str">
        <f>VLOOKUP($B84&amp;$E84,'VISIT DATA'!A:J, 9, FALSE)</f>
        <v>#N/A</v>
      </c>
      <c r="J84" s="223" t="str">
        <f>VLOOKUP(B84&amp;E84,'VISIT DATA'!A:N,10,FALSE)</f>
        <v>#N/A</v>
      </c>
      <c r="K84" s="225"/>
      <c r="L84" s="224"/>
      <c r="M84" s="224"/>
      <c r="N84" s="224"/>
      <c r="O84" s="216" t="str">
        <f t="shared" si="1"/>
        <v>X</v>
      </c>
      <c r="P84" s="226" t="str">
        <f t="shared" si="2"/>
        <v>#N/A</v>
      </c>
      <c r="Q84" s="227" t="str">
        <f t="shared" si="3"/>
        <v>#N/A</v>
      </c>
      <c r="R84" s="228" t="str">
        <f t="shared" si="4"/>
        <v>#N/A</v>
      </c>
      <c r="S84" s="220" t="str">
        <f t="shared" si="5"/>
        <v>#N/A</v>
      </c>
      <c r="T84" s="220" t="str">
        <f t="shared" si="6"/>
        <v>#N/A</v>
      </c>
      <c r="U84" s="221">
        <f t="shared" si="7"/>
        <v>0</v>
      </c>
      <c r="V84" s="229" t="str">
        <f>ifs($N84="",VLOOKUP($B84&amp;$E84,'VISIT DATA'!$A$2:$J100,7,FALSE), $N84="SWAB","OUTSA-RW",$N84="SWQU","OUTSA-SaQu", AND($L84="X",$M84="X",$N84="QUEST"),"OUT-UAQPre",$N84="QUEST","OUT-UAQ", $N84="Walk in","ColUATele")</f>
        <v>#N/A</v>
      </c>
      <c r="W84" s="24" t="str">
        <f t="shared" si="8"/>
        <v>#N/A</v>
      </c>
      <c r="X84" s="222" t="str">
        <f t="shared" si="9"/>
        <v/>
      </c>
      <c r="Y84" s="222" t="str">
        <f t="shared" si="10"/>
        <v/>
      </c>
      <c r="Z84" s="224" t="str">
        <f t="shared" si="11"/>
        <v> </v>
      </c>
    </row>
    <row r="85" hidden="1">
      <c r="A85" s="214" t="str">
        <f>IFS($B85=FALSE,"",$B85,VLOOKUP($B85,'PATIENT DATA (072721)'!A:C, 2, 0))</f>
        <v/>
      </c>
      <c r="B85" s="215"/>
      <c r="C85" s="230" t="str">
        <f>IF(COUNTIF('PATIENT DATA (072721)'!A:A, B85)=0, "X","✓")</f>
        <v>X</v>
      </c>
      <c r="D85" s="217" t="str">
        <f>IFS($B85=FALSE,"",$B85,VLOOKUP($B85,'PATIENT DATA (072721)'!A:C, 3, 0))</f>
        <v/>
      </c>
      <c r="E85" s="218">
        <v>44565.0</v>
      </c>
      <c r="F85" s="219" t="str">
        <f>ifs($B85="","",$B85, VLOOKUP($B85&amp;$E85, 'VISIT DATA'!A:O,3,0))</f>
        <v/>
      </c>
      <c r="G85" s="220"/>
      <c r="H85" s="221"/>
      <c r="I85" s="222" t="str">
        <f>VLOOKUP($B85&amp;$E85,'VISIT DATA'!A:J, 9, FALSE)</f>
        <v>#N/A</v>
      </c>
      <c r="J85" s="223" t="str">
        <f>VLOOKUP(B85&amp;E85,'VISIT DATA'!A:N,10,FALSE)</f>
        <v>#N/A</v>
      </c>
      <c r="K85" s="225"/>
      <c r="L85" s="224"/>
      <c r="M85" s="224"/>
      <c r="N85" s="224"/>
      <c r="O85" s="216" t="str">
        <f t="shared" si="1"/>
        <v>X</v>
      </c>
      <c r="P85" s="226" t="str">
        <f t="shared" si="2"/>
        <v>#N/A</v>
      </c>
      <c r="Q85" s="227" t="str">
        <f t="shared" si="3"/>
        <v>#N/A</v>
      </c>
      <c r="R85" s="228" t="str">
        <f t="shared" si="4"/>
        <v>#N/A</v>
      </c>
      <c r="S85" s="220" t="str">
        <f t="shared" si="5"/>
        <v>#N/A</v>
      </c>
      <c r="T85" s="220" t="str">
        <f t="shared" si="6"/>
        <v>#N/A</v>
      </c>
      <c r="U85" s="221">
        <f t="shared" si="7"/>
        <v>0</v>
      </c>
      <c r="V85" s="229" t="str">
        <f>ifs($N85="",VLOOKUP($B85&amp;$E85,'VISIT DATA'!$A$2:$J100,7,FALSE), $N85="SWAB","OUTSA-RW",$N85="SWQU","OUTSA-SaQu", AND($L85="X",$M85="X",$N85="QUEST"),"OUT-UAQPre",$N85="QUEST","OUT-UAQ", $N85="Walk in","ColUATele")</f>
        <v>#N/A</v>
      </c>
      <c r="W85" s="24" t="str">
        <f t="shared" si="8"/>
        <v>#N/A</v>
      </c>
      <c r="X85" s="222" t="str">
        <f t="shared" si="9"/>
        <v/>
      </c>
      <c r="Y85" s="222" t="str">
        <f t="shared" si="10"/>
        <v/>
      </c>
      <c r="Z85" s="224" t="str">
        <f t="shared" si="11"/>
        <v> </v>
      </c>
    </row>
    <row r="86" hidden="1">
      <c r="A86" s="214" t="str">
        <f>IFS($B86=FALSE,"",$B86,VLOOKUP($B86,'PATIENT DATA (072721)'!A:C, 2, 0))</f>
        <v/>
      </c>
      <c r="B86" s="215"/>
      <c r="C86" s="230" t="str">
        <f>IF(COUNTIF('PATIENT DATA (072721)'!A:A, B86)=0, "X","✓")</f>
        <v>X</v>
      </c>
      <c r="D86" s="217" t="str">
        <f>IFS($B86=FALSE,"",$B86,VLOOKUP($B86,'PATIENT DATA (072721)'!A:C, 3, 0))</f>
        <v/>
      </c>
      <c r="E86" s="218">
        <v>44565.0</v>
      </c>
      <c r="F86" s="219" t="str">
        <f>ifs($B86="","",$B86, VLOOKUP($B86&amp;$E86, 'VISIT DATA'!A:O,3,0))</f>
        <v/>
      </c>
      <c r="G86" s="220"/>
      <c r="H86" s="221"/>
      <c r="I86" s="222" t="str">
        <f>VLOOKUP($B86&amp;$E86,'VISIT DATA'!A:J, 9, FALSE)</f>
        <v>#N/A</v>
      </c>
      <c r="J86" s="223" t="str">
        <f>VLOOKUP(B86&amp;E86,'VISIT DATA'!A:N,10,FALSE)</f>
        <v>#N/A</v>
      </c>
      <c r="K86" s="225"/>
      <c r="L86" s="224"/>
      <c r="M86" s="224"/>
      <c r="N86" s="224"/>
      <c r="O86" s="216" t="str">
        <f t="shared" si="1"/>
        <v>X</v>
      </c>
      <c r="P86" s="226" t="str">
        <f t="shared" si="2"/>
        <v>#N/A</v>
      </c>
      <c r="Q86" s="227" t="str">
        <f t="shared" si="3"/>
        <v>#N/A</v>
      </c>
      <c r="R86" s="228" t="str">
        <f t="shared" si="4"/>
        <v>#N/A</v>
      </c>
      <c r="S86" s="220" t="str">
        <f t="shared" si="5"/>
        <v>#N/A</v>
      </c>
      <c r="T86" s="220" t="str">
        <f t="shared" si="6"/>
        <v>#N/A</v>
      </c>
      <c r="U86" s="221">
        <f t="shared" si="7"/>
        <v>0</v>
      </c>
      <c r="V86" s="229" t="str">
        <f>ifs($N86="",VLOOKUP($B86&amp;$E86,'VISIT DATA'!$A$2:$J100,7,FALSE), $N86="SWAB","OUTSA-RW",$N86="SWQU","OUTSA-SaQu", AND($L86="X",$M86="X",$N86="QUEST"),"OUT-UAQPre",$N86="QUEST","OUT-UAQ", $N86="Walk in","ColUATele")</f>
        <v>#N/A</v>
      </c>
      <c r="W86" s="24" t="str">
        <f t="shared" si="8"/>
        <v>#N/A</v>
      </c>
      <c r="X86" s="222" t="str">
        <f t="shared" si="9"/>
        <v/>
      </c>
      <c r="Y86" s="222" t="str">
        <f t="shared" si="10"/>
        <v/>
      </c>
      <c r="Z86" s="224" t="str">
        <f t="shared" si="11"/>
        <v> </v>
      </c>
    </row>
    <row r="87" hidden="1">
      <c r="A87" s="214" t="str">
        <f>IFS($B87=FALSE,"",$B87,VLOOKUP($B87,'PATIENT DATA (072721)'!A:C, 2, 0))</f>
        <v/>
      </c>
      <c r="B87" s="215"/>
      <c r="C87" s="230" t="str">
        <f>IF(COUNTIF('PATIENT DATA (072721)'!A:A, B87)=0, "X","✓")</f>
        <v>X</v>
      </c>
      <c r="D87" s="217" t="str">
        <f>IFS($B87=FALSE,"",$B87,VLOOKUP($B87,'PATIENT DATA (072721)'!A:C, 3, 0))</f>
        <v/>
      </c>
      <c r="E87" s="218">
        <v>44565.0</v>
      </c>
      <c r="F87" s="219" t="str">
        <f>ifs($B87="","",$B87, VLOOKUP($B87&amp;$E87, 'VISIT DATA'!A:O,3,0))</f>
        <v/>
      </c>
      <c r="G87" s="220"/>
      <c r="H87" s="221"/>
      <c r="I87" s="222" t="str">
        <f>VLOOKUP($B87&amp;$E87,'VISIT DATA'!A:J, 9, FALSE)</f>
        <v>#N/A</v>
      </c>
      <c r="J87" s="223" t="str">
        <f>VLOOKUP(B87&amp;E87,'VISIT DATA'!A:N,10,FALSE)</f>
        <v>#N/A</v>
      </c>
      <c r="K87" s="225"/>
      <c r="L87" s="224"/>
      <c r="M87" s="224"/>
      <c r="N87" s="224"/>
      <c r="O87" s="216" t="str">
        <f t="shared" si="1"/>
        <v>X</v>
      </c>
      <c r="P87" s="226" t="str">
        <f t="shared" si="2"/>
        <v>#N/A</v>
      </c>
      <c r="Q87" s="227" t="str">
        <f t="shared" si="3"/>
        <v>#N/A</v>
      </c>
      <c r="R87" s="228" t="str">
        <f t="shared" si="4"/>
        <v>#N/A</v>
      </c>
      <c r="S87" s="220" t="str">
        <f t="shared" si="5"/>
        <v>#N/A</v>
      </c>
      <c r="T87" s="220" t="str">
        <f t="shared" si="6"/>
        <v>#N/A</v>
      </c>
      <c r="U87" s="221">
        <f t="shared" si="7"/>
        <v>0</v>
      </c>
      <c r="V87" s="229" t="str">
        <f>ifs($N87="",VLOOKUP($B87&amp;$E87,'VISIT DATA'!$A$2:$J100,7,FALSE), $N87="SWAB","OUTSA-RW",$N87="SWQU","OUTSA-SaQu", AND($L87="X",$M87="X",$N87="QUEST"),"OUT-UAQPre",$N87="QUEST","OUT-UAQ", $N87="Walk in","ColUATele")</f>
        <v>#N/A</v>
      </c>
      <c r="W87" s="24" t="str">
        <f t="shared" si="8"/>
        <v>#N/A</v>
      </c>
      <c r="X87" s="222" t="str">
        <f t="shared" si="9"/>
        <v/>
      </c>
      <c r="Y87" s="222" t="str">
        <f t="shared" si="10"/>
        <v/>
      </c>
      <c r="Z87" s="224" t="str">
        <f t="shared" si="11"/>
        <v> </v>
      </c>
    </row>
    <row r="88" hidden="1">
      <c r="A88" s="214" t="str">
        <f>IFS($B88=FALSE,"",$B88,VLOOKUP($B88,'PATIENT DATA (072721)'!A:C, 2, 0))</f>
        <v/>
      </c>
      <c r="B88" s="215"/>
      <c r="C88" s="230" t="str">
        <f>IF(COUNTIF('PATIENT DATA (072721)'!A:A, B88)=0, "X","✓")</f>
        <v>X</v>
      </c>
      <c r="D88" s="217" t="str">
        <f>IFS($B88=FALSE,"",$B88,VLOOKUP($B88,'PATIENT DATA (072721)'!A:C, 3, 0))</f>
        <v/>
      </c>
      <c r="E88" s="218">
        <v>44565.0</v>
      </c>
      <c r="F88" s="219" t="str">
        <f>ifs($B88="","",$B88, VLOOKUP($B88&amp;$E88, 'VISIT DATA'!A:O,3,0))</f>
        <v/>
      </c>
      <c r="G88" s="220"/>
      <c r="H88" s="221"/>
      <c r="I88" s="222" t="str">
        <f>VLOOKUP($B88&amp;$E88,'VISIT DATA'!A:J, 9, FALSE)</f>
        <v>#N/A</v>
      </c>
      <c r="J88" s="223" t="str">
        <f>VLOOKUP(B88&amp;E88,'VISIT DATA'!A:N,10,FALSE)</f>
        <v>#N/A</v>
      </c>
      <c r="K88" s="225"/>
      <c r="L88" s="224"/>
      <c r="M88" s="224"/>
      <c r="N88" s="224"/>
      <c r="O88" s="216" t="str">
        <f t="shared" si="1"/>
        <v>X</v>
      </c>
      <c r="P88" s="226" t="str">
        <f t="shared" si="2"/>
        <v>#N/A</v>
      </c>
      <c r="Q88" s="227" t="str">
        <f t="shared" si="3"/>
        <v>#N/A</v>
      </c>
      <c r="R88" s="228" t="str">
        <f t="shared" si="4"/>
        <v>#N/A</v>
      </c>
      <c r="S88" s="220" t="str">
        <f t="shared" si="5"/>
        <v>#N/A</v>
      </c>
      <c r="T88" s="220" t="str">
        <f t="shared" si="6"/>
        <v>#N/A</v>
      </c>
      <c r="U88" s="221">
        <f t="shared" si="7"/>
        <v>0</v>
      </c>
      <c r="V88" s="229" t="str">
        <f>ifs($N88="",VLOOKUP($B88&amp;$E88,'VISIT DATA'!$A$2:$J100,7,FALSE), $N88="SWAB","OUTSA-RW",$N88="SWQU","OUTSA-SaQu", AND($L88="X",$M88="X",$N88="QUEST"),"OUT-UAQPre",$N88="QUEST","OUT-UAQ", $N88="Walk in","ColUATele")</f>
        <v>#N/A</v>
      </c>
      <c r="W88" s="24" t="str">
        <f t="shared" si="8"/>
        <v>#N/A</v>
      </c>
      <c r="X88" s="222" t="str">
        <f t="shared" si="9"/>
        <v/>
      </c>
      <c r="Y88" s="222" t="str">
        <f t="shared" si="10"/>
        <v/>
      </c>
      <c r="Z88" s="224" t="str">
        <f t="shared" si="11"/>
        <v> </v>
      </c>
    </row>
    <row r="89" hidden="1">
      <c r="A89" s="214" t="str">
        <f>IFS($B89=FALSE,"",$B89,VLOOKUP($B89,'PATIENT DATA (072721)'!A:C, 2, 0))</f>
        <v/>
      </c>
      <c r="B89" s="215"/>
      <c r="C89" s="230" t="str">
        <f>IF(COUNTIF('PATIENT DATA (072721)'!A:A, B89)=0, "X","✓")</f>
        <v>X</v>
      </c>
      <c r="D89" s="217" t="str">
        <f>IFS($B89=FALSE,"",$B89,VLOOKUP($B89,'PATIENT DATA (072721)'!A:C, 3, 0))</f>
        <v/>
      </c>
      <c r="E89" s="218">
        <v>44565.0</v>
      </c>
      <c r="F89" s="219" t="str">
        <f>ifs($B89="","",$B89, VLOOKUP($B89&amp;$E89, 'VISIT DATA'!A:O,3,0))</f>
        <v/>
      </c>
      <c r="G89" s="220"/>
      <c r="H89" s="221"/>
      <c r="I89" s="222" t="str">
        <f>VLOOKUP($B89&amp;$E89,'VISIT DATA'!A:J, 9, FALSE)</f>
        <v>#N/A</v>
      </c>
      <c r="J89" s="223" t="str">
        <f>VLOOKUP(B89&amp;E89,'VISIT DATA'!A:N,10,FALSE)</f>
        <v>#N/A</v>
      </c>
      <c r="K89" s="225"/>
      <c r="L89" s="224"/>
      <c r="M89" s="224"/>
      <c r="N89" s="224"/>
      <c r="O89" s="216" t="str">
        <f t="shared" si="1"/>
        <v>X</v>
      </c>
      <c r="P89" s="226" t="str">
        <f t="shared" si="2"/>
        <v>#N/A</v>
      </c>
      <c r="Q89" s="227" t="str">
        <f t="shared" si="3"/>
        <v>#N/A</v>
      </c>
      <c r="R89" s="228" t="str">
        <f t="shared" si="4"/>
        <v>#N/A</v>
      </c>
      <c r="S89" s="220" t="str">
        <f t="shared" si="5"/>
        <v>#N/A</v>
      </c>
      <c r="T89" s="220" t="str">
        <f t="shared" si="6"/>
        <v>#N/A</v>
      </c>
      <c r="U89" s="221">
        <f t="shared" si="7"/>
        <v>0</v>
      </c>
      <c r="V89" s="229" t="str">
        <f>ifs($N89="",VLOOKUP($B89&amp;$E89,'VISIT DATA'!$A$2:$J100,7,FALSE), $N89="SWAB","OUTSA-RW",$N89="SWQU","OUTSA-SaQu", AND($L89="X",$M89="X",$N89="QUEST"),"OUT-UAQPre",$N89="QUEST","OUT-UAQ", $N89="Walk in","ColUATele")</f>
        <v>#N/A</v>
      </c>
      <c r="W89" s="24" t="str">
        <f t="shared" si="8"/>
        <v>#N/A</v>
      </c>
      <c r="X89" s="222" t="str">
        <f t="shared" si="9"/>
        <v/>
      </c>
      <c r="Y89" s="222" t="str">
        <f t="shared" si="10"/>
        <v/>
      </c>
      <c r="Z89" s="224" t="str">
        <f t="shared" si="11"/>
        <v> </v>
      </c>
    </row>
    <row r="90" hidden="1">
      <c r="A90" s="214" t="str">
        <f>IFS($B90=FALSE,"",$B90,VLOOKUP($B90,'PATIENT DATA (072721)'!A:C, 2, 0))</f>
        <v/>
      </c>
      <c r="B90" s="215"/>
      <c r="C90" s="230" t="str">
        <f>IF(COUNTIF('PATIENT DATA (072721)'!A:A, B90)=0, "X","✓")</f>
        <v>X</v>
      </c>
      <c r="D90" s="217" t="str">
        <f>IFS($B90=FALSE,"",$B90,VLOOKUP($B90,'PATIENT DATA (072721)'!A:C, 3, 0))</f>
        <v/>
      </c>
      <c r="E90" s="218">
        <v>44565.0</v>
      </c>
      <c r="F90" s="219" t="str">
        <f>ifs($B90="","",$B90, VLOOKUP($B90&amp;$E90, 'VISIT DATA'!A:O,3,0))</f>
        <v/>
      </c>
      <c r="G90" s="220"/>
      <c r="H90" s="221"/>
      <c r="I90" s="222" t="str">
        <f>VLOOKUP($B90&amp;$E90,'VISIT DATA'!A:J, 9, FALSE)</f>
        <v>#N/A</v>
      </c>
      <c r="J90" s="223" t="str">
        <f>VLOOKUP(B90&amp;E90,'VISIT DATA'!A:N,10,FALSE)</f>
        <v>#N/A</v>
      </c>
      <c r="K90" s="225"/>
      <c r="L90" s="224"/>
      <c r="M90" s="224"/>
      <c r="N90" s="224"/>
      <c r="O90" s="216" t="str">
        <f t="shared" si="1"/>
        <v>X</v>
      </c>
      <c r="P90" s="226" t="str">
        <f t="shared" si="2"/>
        <v>#N/A</v>
      </c>
      <c r="Q90" s="227" t="str">
        <f t="shared" si="3"/>
        <v>#N/A</v>
      </c>
      <c r="R90" s="228" t="str">
        <f t="shared" si="4"/>
        <v>#N/A</v>
      </c>
      <c r="S90" s="220" t="str">
        <f t="shared" si="5"/>
        <v>#N/A</v>
      </c>
      <c r="T90" s="220" t="str">
        <f t="shared" si="6"/>
        <v>#N/A</v>
      </c>
      <c r="U90" s="221">
        <f t="shared" si="7"/>
        <v>0</v>
      </c>
      <c r="V90" s="229" t="str">
        <f>ifs($N90="",VLOOKUP($B90&amp;$E90,'VISIT DATA'!$A$2:$J100,7,FALSE), $N90="SWAB","OUTSA-RW",$N90="SWQU","OUTSA-SaQu", AND($L90="X",$M90="X",$N90="QUEST"),"OUT-UAQPre",$N90="QUEST","OUT-UAQ", $N90="Walk in","ColUATele")</f>
        <v>#N/A</v>
      </c>
      <c r="W90" s="24" t="str">
        <f t="shared" si="8"/>
        <v>#N/A</v>
      </c>
      <c r="X90" s="222" t="str">
        <f t="shared" si="9"/>
        <v/>
      </c>
      <c r="Y90" s="222" t="str">
        <f t="shared" si="10"/>
        <v/>
      </c>
      <c r="Z90" s="224" t="str">
        <f t="shared" si="11"/>
        <v> </v>
      </c>
    </row>
    <row r="91" hidden="1">
      <c r="A91" s="214" t="str">
        <f>IFS($B91=FALSE,"",$B91,VLOOKUP($B91,'PATIENT DATA (072721)'!A:C, 2, 0))</f>
        <v/>
      </c>
      <c r="B91" s="215"/>
      <c r="C91" s="230" t="str">
        <f>IF(COUNTIF('PATIENT DATA (072721)'!A:A, B91)=0, "X","✓")</f>
        <v>X</v>
      </c>
      <c r="D91" s="217" t="str">
        <f>IFS($B91=FALSE,"",$B91,VLOOKUP($B91,'PATIENT DATA (072721)'!A:C, 3, 0))</f>
        <v/>
      </c>
      <c r="E91" s="218">
        <v>44565.0</v>
      </c>
      <c r="F91" s="219" t="str">
        <f>ifs($B91="","",$B91, VLOOKUP($B91&amp;$E91, 'VISIT DATA'!A:O,3,0))</f>
        <v/>
      </c>
      <c r="G91" s="220"/>
      <c r="H91" s="221"/>
      <c r="I91" s="222" t="str">
        <f>VLOOKUP($B91&amp;$E91,'VISIT DATA'!A:J, 9, FALSE)</f>
        <v>#N/A</v>
      </c>
      <c r="J91" s="223" t="str">
        <f>VLOOKUP(B91&amp;E91,'VISIT DATA'!A:N,10,FALSE)</f>
        <v>#N/A</v>
      </c>
      <c r="K91" s="225"/>
      <c r="L91" s="224"/>
      <c r="M91" s="224"/>
      <c r="N91" s="224"/>
      <c r="O91" s="216" t="str">
        <f t="shared" si="1"/>
        <v>X</v>
      </c>
      <c r="P91" s="226" t="str">
        <f t="shared" si="2"/>
        <v>#N/A</v>
      </c>
      <c r="Q91" s="227" t="str">
        <f t="shared" si="3"/>
        <v>#N/A</v>
      </c>
      <c r="R91" s="228" t="str">
        <f t="shared" si="4"/>
        <v>#N/A</v>
      </c>
      <c r="S91" s="220" t="str">
        <f t="shared" si="5"/>
        <v>#N/A</v>
      </c>
      <c r="T91" s="220" t="str">
        <f t="shared" si="6"/>
        <v>#N/A</v>
      </c>
      <c r="U91" s="221">
        <f t="shared" si="7"/>
        <v>0</v>
      </c>
      <c r="V91" s="229" t="str">
        <f>ifs($N91="",VLOOKUP($B91&amp;$E91,'VISIT DATA'!$A$2:$J100,7,FALSE), $N91="SWAB","OUTSA-RW",$N91="SWQU","OUTSA-SaQu", AND($L91="X",$M91="X",$N91="QUEST"),"OUT-UAQPre",$N91="QUEST","OUT-UAQ", $N91="Walk in","ColUATele")</f>
        <v>#N/A</v>
      </c>
      <c r="W91" s="24" t="str">
        <f t="shared" si="8"/>
        <v>#N/A</v>
      </c>
      <c r="X91" s="222" t="str">
        <f t="shared" si="9"/>
        <v/>
      </c>
      <c r="Y91" s="222" t="str">
        <f t="shared" si="10"/>
        <v/>
      </c>
      <c r="Z91" s="224" t="str">
        <f t="shared" si="11"/>
        <v> </v>
      </c>
    </row>
    <row r="92" hidden="1">
      <c r="A92" s="214" t="str">
        <f>IFS($B92=FALSE,"",$B92,VLOOKUP($B92,'PATIENT DATA (072721)'!A:C, 2, 0))</f>
        <v/>
      </c>
      <c r="B92" s="215"/>
      <c r="C92" s="230" t="str">
        <f>IF(COUNTIF('PATIENT DATA (072721)'!A:A, B92)=0, "X","✓")</f>
        <v>X</v>
      </c>
      <c r="D92" s="217" t="str">
        <f>IFS($B92=FALSE,"",$B92,VLOOKUP($B92,'PATIENT DATA (072721)'!A:C, 3, 0))</f>
        <v/>
      </c>
      <c r="E92" s="218">
        <v>44565.0</v>
      </c>
      <c r="F92" s="219" t="str">
        <f>ifs($B92="","",$B92, VLOOKUP($B92&amp;$E92, 'VISIT DATA'!A:O,3,0))</f>
        <v/>
      </c>
      <c r="G92" s="220"/>
      <c r="H92" s="221"/>
      <c r="I92" s="222" t="str">
        <f>VLOOKUP($B92&amp;$E92,'VISIT DATA'!A:J, 9, FALSE)</f>
        <v>#N/A</v>
      </c>
      <c r="J92" s="223" t="str">
        <f>VLOOKUP(B92&amp;E92,'VISIT DATA'!A:N,10,FALSE)</f>
        <v>#N/A</v>
      </c>
      <c r="K92" s="225"/>
      <c r="L92" s="224"/>
      <c r="M92" s="224"/>
      <c r="N92" s="224"/>
      <c r="O92" s="216" t="str">
        <f t="shared" si="1"/>
        <v>X</v>
      </c>
      <c r="P92" s="226" t="str">
        <f t="shared" si="2"/>
        <v>#N/A</v>
      </c>
      <c r="Q92" s="227" t="str">
        <f t="shared" si="3"/>
        <v>#N/A</v>
      </c>
      <c r="R92" s="228" t="str">
        <f t="shared" si="4"/>
        <v>#N/A</v>
      </c>
      <c r="S92" s="220" t="str">
        <f t="shared" si="5"/>
        <v>#N/A</v>
      </c>
      <c r="T92" s="220" t="str">
        <f t="shared" si="6"/>
        <v>#N/A</v>
      </c>
      <c r="U92" s="221">
        <f t="shared" si="7"/>
        <v>0</v>
      </c>
      <c r="V92" s="229" t="str">
        <f>ifs($N92="",VLOOKUP($B92&amp;$E92,'VISIT DATA'!$A$2:$J100,7,FALSE), $N92="SWAB","OUTSA-RW",$N92="SWQU","OUTSA-SaQu", AND($L92="X",$M92="X",$N92="QUEST"),"OUT-UAQPre",$N92="QUEST","OUT-UAQ", $N92="Walk in","ColUATele")</f>
        <v>#N/A</v>
      </c>
      <c r="W92" s="24" t="str">
        <f t="shared" si="8"/>
        <v>#N/A</v>
      </c>
      <c r="X92" s="222" t="str">
        <f t="shared" si="9"/>
        <v/>
      </c>
      <c r="Y92" s="222" t="str">
        <f t="shared" si="10"/>
        <v/>
      </c>
      <c r="Z92" s="224" t="str">
        <f t="shared" si="11"/>
        <v> </v>
      </c>
    </row>
    <row r="93" hidden="1">
      <c r="A93" s="214" t="str">
        <f>IFS($B93=FALSE,"",$B93,VLOOKUP($B93,'PATIENT DATA (072721)'!A:C, 2, 0))</f>
        <v/>
      </c>
      <c r="B93" s="215"/>
      <c r="C93" s="230" t="str">
        <f>IF(COUNTIF('PATIENT DATA (072721)'!A:A, B93)=0, "X","✓")</f>
        <v>X</v>
      </c>
      <c r="D93" s="217" t="str">
        <f>IFS($B93=FALSE,"",$B93,VLOOKUP($B93,'PATIENT DATA (072721)'!A:C, 3, 0))</f>
        <v/>
      </c>
      <c r="E93" s="218">
        <v>44565.0</v>
      </c>
      <c r="F93" s="219" t="str">
        <f>ifs($B93="","",$B93, VLOOKUP($B93&amp;$E93, 'VISIT DATA'!A:O,3,0))</f>
        <v/>
      </c>
      <c r="G93" s="220"/>
      <c r="H93" s="221"/>
      <c r="I93" s="222" t="str">
        <f>VLOOKUP($B93&amp;$E93,'VISIT DATA'!A:J, 9, FALSE)</f>
        <v>#N/A</v>
      </c>
      <c r="J93" s="223" t="str">
        <f>VLOOKUP(B93&amp;E93,'VISIT DATA'!A:N,10,FALSE)</f>
        <v>#N/A</v>
      </c>
      <c r="K93" s="225"/>
      <c r="L93" s="224"/>
      <c r="M93" s="224"/>
      <c r="N93" s="224"/>
      <c r="O93" s="216" t="str">
        <f t="shared" si="1"/>
        <v>X</v>
      </c>
      <c r="P93" s="226" t="str">
        <f t="shared" si="2"/>
        <v>#N/A</v>
      </c>
      <c r="Q93" s="227" t="str">
        <f t="shared" si="3"/>
        <v>#N/A</v>
      </c>
      <c r="R93" s="228" t="str">
        <f t="shared" si="4"/>
        <v>#N/A</v>
      </c>
      <c r="S93" s="220" t="str">
        <f t="shared" si="5"/>
        <v>#N/A</v>
      </c>
      <c r="T93" s="220" t="str">
        <f t="shared" si="6"/>
        <v>#N/A</v>
      </c>
      <c r="U93" s="221">
        <f t="shared" si="7"/>
        <v>0</v>
      </c>
      <c r="V93" s="229" t="str">
        <f>ifs($N93="",VLOOKUP($B93&amp;$E93,'VISIT DATA'!$A$2:$J100,7,FALSE), $N93="SWAB","OUTSA-RW",$N93="SWQU","OUTSA-SaQu", AND($L93="X",$M93="X",$N93="QUEST"),"OUT-UAQPre",$N93="QUEST","OUT-UAQ", $N93="Walk in","ColUATele")</f>
        <v>#N/A</v>
      </c>
      <c r="W93" s="24" t="str">
        <f t="shared" si="8"/>
        <v>#N/A</v>
      </c>
      <c r="X93" s="222" t="str">
        <f t="shared" si="9"/>
        <v/>
      </c>
      <c r="Y93" s="222" t="str">
        <f t="shared" si="10"/>
        <v/>
      </c>
      <c r="Z93" s="224" t="str">
        <f t="shared" si="11"/>
        <v> </v>
      </c>
    </row>
    <row r="94" hidden="1">
      <c r="A94" s="214" t="str">
        <f>IFS($B94=FALSE,"",$B94,VLOOKUP($B94,'PATIENT DATA (072721)'!A:C, 2, 0))</f>
        <v/>
      </c>
      <c r="B94" s="215"/>
      <c r="C94" s="230" t="str">
        <f>IF(COUNTIF('PATIENT DATA (072721)'!A:A, B94)=0, "X","✓")</f>
        <v>X</v>
      </c>
      <c r="D94" s="217" t="str">
        <f>IFS($B94=FALSE,"",$B94,VLOOKUP($B94,'PATIENT DATA (072721)'!A:C, 3, 0))</f>
        <v/>
      </c>
      <c r="E94" s="218">
        <v>44565.0</v>
      </c>
      <c r="F94" s="219" t="str">
        <f>ifs($B94="","",$B94, VLOOKUP($B94&amp;$E94, 'VISIT DATA'!A:O,3,0))</f>
        <v/>
      </c>
      <c r="G94" s="220"/>
      <c r="H94" s="221"/>
      <c r="I94" s="222" t="str">
        <f>VLOOKUP($B94&amp;$E94,'VISIT DATA'!A:J, 9, FALSE)</f>
        <v>#N/A</v>
      </c>
      <c r="J94" s="223" t="str">
        <f>VLOOKUP(B94&amp;E94,'VISIT DATA'!A:N,10,FALSE)</f>
        <v>#N/A</v>
      </c>
      <c r="K94" s="225"/>
      <c r="L94" s="224"/>
      <c r="M94" s="224"/>
      <c r="N94" s="224"/>
      <c r="O94" s="216" t="str">
        <f t="shared" si="1"/>
        <v>X</v>
      </c>
      <c r="P94" s="226" t="str">
        <f t="shared" si="2"/>
        <v>#N/A</v>
      </c>
      <c r="Q94" s="227" t="str">
        <f t="shared" si="3"/>
        <v>#N/A</v>
      </c>
      <c r="R94" s="228" t="str">
        <f t="shared" si="4"/>
        <v>#N/A</v>
      </c>
      <c r="S94" s="220" t="str">
        <f t="shared" si="5"/>
        <v>#N/A</v>
      </c>
      <c r="T94" s="220" t="str">
        <f t="shared" si="6"/>
        <v>#N/A</v>
      </c>
      <c r="U94" s="221">
        <f t="shared" si="7"/>
        <v>0</v>
      </c>
      <c r="V94" s="229" t="str">
        <f>ifs($N94="",VLOOKUP($B94&amp;$E94,'VISIT DATA'!$A$2:$J100,7,FALSE), $N94="SWAB","OUTSA-RW",$N94="SWQU","OUTSA-SaQu", AND($L94="X",$M94="X",$N94="QUEST"),"OUT-UAQPre",$N94="QUEST","OUT-UAQ", $N94="Walk in","ColUATele")</f>
        <v>#N/A</v>
      </c>
      <c r="W94" s="24" t="str">
        <f t="shared" si="8"/>
        <v>#N/A</v>
      </c>
      <c r="X94" s="222" t="str">
        <f t="shared" si="9"/>
        <v/>
      </c>
      <c r="Y94" s="222" t="str">
        <f t="shared" si="10"/>
        <v/>
      </c>
      <c r="Z94" s="224" t="str">
        <f t="shared" si="11"/>
        <v> </v>
      </c>
    </row>
    <row r="95" hidden="1">
      <c r="A95" s="214" t="str">
        <f>IFS($B95=FALSE,"",$B95,VLOOKUP($B95,'PATIENT DATA (072721)'!A:C, 2, 0))</f>
        <v/>
      </c>
      <c r="B95" s="215"/>
      <c r="C95" s="230" t="str">
        <f>IF(COUNTIF('PATIENT DATA (072721)'!A:A, B95)=0, "X","✓")</f>
        <v>X</v>
      </c>
      <c r="D95" s="217" t="str">
        <f>IFS($B95=FALSE,"",$B95,VLOOKUP($B95,'PATIENT DATA (072721)'!A:C, 3, 0))</f>
        <v/>
      </c>
      <c r="E95" s="218">
        <v>44565.0</v>
      </c>
      <c r="F95" s="219" t="str">
        <f>ifs($B95="","",$B95, VLOOKUP($B95&amp;$E95, 'VISIT DATA'!A:O,3,0))</f>
        <v/>
      </c>
      <c r="G95" s="220"/>
      <c r="H95" s="221"/>
      <c r="I95" s="222" t="str">
        <f>VLOOKUP($B95&amp;$E95,'VISIT DATA'!A:J, 9, FALSE)</f>
        <v>#N/A</v>
      </c>
      <c r="J95" s="223" t="str">
        <f>VLOOKUP(B95&amp;E95,'VISIT DATA'!A:N,10,FALSE)</f>
        <v>#N/A</v>
      </c>
      <c r="K95" s="225"/>
      <c r="L95" s="224"/>
      <c r="M95" s="224"/>
      <c r="N95" s="224"/>
      <c r="O95" s="216" t="str">
        <f t="shared" si="1"/>
        <v>X</v>
      </c>
      <c r="P95" s="226" t="str">
        <f t="shared" si="2"/>
        <v>#N/A</v>
      </c>
      <c r="Q95" s="227" t="str">
        <f t="shared" si="3"/>
        <v>#N/A</v>
      </c>
      <c r="R95" s="228" t="str">
        <f t="shared" si="4"/>
        <v>#N/A</v>
      </c>
      <c r="S95" s="220" t="str">
        <f t="shared" si="5"/>
        <v>#N/A</v>
      </c>
      <c r="T95" s="220" t="str">
        <f t="shared" si="6"/>
        <v>#N/A</v>
      </c>
      <c r="U95" s="221">
        <f t="shared" si="7"/>
        <v>0</v>
      </c>
      <c r="V95" s="229" t="str">
        <f>ifs($N95="",VLOOKUP($B95&amp;$E95,'VISIT DATA'!$A$2:$J100,7,FALSE), $N95="SWAB","OUTSA-RW",$N95="SWQU","OUTSA-SaQu", AND($L95="X",$M95="X",$N95="QUEST"),"OUT-UAQPre",$N95="QUEST","OUT-UAQ", $N95="Walk in","ColUATele")</f>
        <v>#N/A</v>
      </c>
      <c r="W95" s="24" t="str">
        <f t="shared" si="8"/>
        <v>#N/A</v>
      </c>
      <c r="X95" s="222" t="str">
        <f t="shared" si="9"/>
        <v/>
      </c>
      <c r="Y95" s="222" t="str">
        <f t="shared" si="10"/>
        <v/>
      </c>
      <c r="Z95" s="224" t="str">
        <f t="shared" si="11"/>
        <v> </v>
      </c>
    </row>
    <row r="96" hidden="1">
      <c r="A96" s="214" t="str">
        <f>IFS($B96=FALSE,"",$B96,VLOOKUP($B96,'PATIENT DATA (072721)'!A:C, 2, 0))</f>
        <v/>
      </c>
      <c r="B96" s="215"/>
      <c r="C96" s="230" t="str">
        <f>IF(COUNTIF('PATIENT DATA (072721)'!A:A, B96)=0, "X","✓")</f>
        <v>X</v>
      </c>
      <c r="D96" s="217" t="str">
        <f>IFS($B96=FALSE,"",$B96,VLOOKUP($B96,'PATIENT DATA (072721)'!A:C, 3, 0))</f>
        <v/>
      </c>
      <c r="E96" s="218">
        <v>44565.0</v>
      </c>
      <c r="F96" s="219" t="str">
        <f>ifs($B96="","",$B96, VLOOKUP($B96&amp;$E96, 'VISIT DATA'!A:O,3,0))</f>
        <v/>
      </c>
      <c r="G96" s="220"/>
      <c r="H96" s="221"/>
      <c r="I96" s="222" t="str">
        <f>VLOOKUP($B96&amp;$E96,'VISIT DATA'!A:J, 9, FALSE)</f>
        <v>#N/A</v>
      </c>
      <c r="J96" s="223" t="str">
        <f>VLOOKUP(B96&amp;E96,'VISIT DATA'!A:N,10,FALSE)</f>
        <v>#N/A</v>
      </c>
      <c r="K96" s="225"/>
      <c r="L96" s="224"/>
      <c r="M96" s="224"/>
      <c r="N96" s="224"/>
      <c r="O96" s="216" t="str">
        <f t="shared" si="1"/>
        <v>X</v>
      </c>
      <c r="P96" s="226" t="str">
        <f t="shared" si="2"/>
        <v>#N/A</v>
      </c>
      <c r="Q96" s="227" t="str">
        <f t="shared" si="3"/>
        <v>#N/A</v>
      </c>
      <c r="R96" s="228" t="str">
        <f t="shared" si="4"/>
        <v>#N/A</v>
      </c>
      <c r="S96" s="220" t="str">
        <f t="shared" si="5"/>
        <v>#N/A</v>
      </c>
      <c r="T96" s="220" t="str">
        <f t="shared" si="6"/>
        <v>#N/A</v>
      </c>
      <c r="U96" s="221">
        <f t="shared" si="7"/>
        <v>0</v>
      </c>
      <c r="V96" s="229" t="str">
        <f>ifs($N96="",VLOOKUP($B96&amp;$E96,'VISIT DATA'!$A$2:$J100,7,FALSE), $N96="SWAB","OUTSA-RW",$N96="SWQU","OUTSA-SaQu", AND($L96="X",$M96="X",$N96="QUEST"),"OUT-UAQPre",$N96="QUEST","OUT-UAQ", $N96="Walk in","ColUATele")</f>
        <v>#N/A</v>
      </c>
      <c r="W96" s="24" t="str">
        <f t="shared" si="8"/>
        <v>#N/A</v>
      </c>
      <c r="X96" s="222" t="str">
        <f t="shared" si="9"/>
        <v/>
      </c>
      <c r="Y96" s="222" t="str">
        <f t="shared" si="10"/>
        <v/>
      </c>
      <c r="Z96" s="224" t="str">
        <f t="shared" si="11"/>
        <v> </v>
      </c>
    </row>
    <row r="97" hidden="1">
      <c r="A97" s="214" t="str">
        <f>IFS($B97=FALSE,"",$B97,VLOOKUP($B97,'PATIENT DATA (072721)'!A:C, 2, 0))</f>
        <v/>
      </c>
      <c r="B97" s="215"/>
      <c r="C97" s="230" t="str">
        <f>IF(COUNTIF('PATIENT DATA (072721)'!A:A, B97)=0, "X","✓")</f>
        <v>X</v>
      </c>
      <c r="D97" s="217" t="str">
        <f>IFS($B97=FALSE,"",$B97,VLOOKUP($B97,'PATIENT DATA (072721)'!A:C, 3, 0))</f>
        <v/>
      </c>
      <c r="E97" s="218">
        <v>44565.0</v>
      </c>
      <c r="F97" s="219" t="str">
        <f>ifs($B97="","",$B97, VLOOKUP($B97&amp;$E97, 'VISIT DATA'!A:O,3,0))</f>
        <v/>
      </c>
      <c r="G97" s="220"/>
      <c r="H97" s="221"/>
      <c r="I97" s="222" t="str">
        <f>VLOOKUP($B97&amp;$E97,'VISIT DATA'!A:J, 9, FALSE)</f>
        <v>#N/A</v>
      </c>
      <c r="J97" s="223" t="str">
        <f>VLOOKUP(B97&amp;E97,'VISIT DATA'!A:N,10,FALSE)</f>
        <v>#N/A</v>
      </c>
      <c r="K97" s="225"/>
      <c r="L97" s="224"/>
      <c r="M97" s="224"/>
      <c r="N97" s="224"/>
      <c r="O97" s="216" t="str">
        <f t="shared" si="1"/>
        <v>X</v>
      </c>
      <c r="P97" s="226" t="str">
        <f t="shared" si="2"/>
        <v>#N/A</v>
      </c>
      <c r="Q97" s="227" t="str">
        <f t="shared" si="3"/>
        <v>#N/A</v>
      </c>
      <c r="R97" s="228" t="str">
        <f t="shared" si="4"/>
        <v>#N/A</v>
      </c>
      <c r="S97" s="220" t="str">
        <f t="shared" si="5"/>
        <v>#N/A</v>
      </c>
      <c r="T97" s="220" t="str">
        <f t="shared" si="6"/>
        <v>#N/A</v>
      </c>
      <c r="U97" s="221">
        <f t="shared" si="7"/>
        <v>0</v>
      </c>
      <c r="V97" s="229" t="str">
        <f>ifs($N97="",VLOOKUP($B97&amp;$E97,'VISIT DATA'!$A$2:$J100,7,FALSE), $N97="SWAB","OUTSA-RW",$N97="SWQU","OUTSA-SaQu", AND($L97="X",$M97="X",$N97="QUEST"),"OUT-UAQPre",$N97="QUEST","OUT-UAQ", $N97="Walk in","ColUATele")</f>
        <v>#N/A</v>
      </c>
      <c r="W97" s="24" t="str">
        <f t="shared" si="8"/>
        <v>#N/A</v>
      </c>
      <c r="X97" s="222" t="str">
        <f t="shared" si="9"/>
        <v/>
      </c>
      <c r="Y97" s="222" t="str">
        <f t="shared" si="10"/>
        <v/>
      </c>
      <c r="Z97" s="224" t="str">
        <f t="shared" si="11"/>
        <v> </v>
      </c>
    </row>
    <row r="98" hidden="1">
      <c r="A98" s="214" t="str">
        <f>IFS($B98=FALSE,"",$B98,VLOOKUP($B98,'PATIENT DATA (072721)'!A:C, 2, 0))</f>
        <v/>
      </c>
      <c r="B98" s="215"/>
      <c r="C98" s="230" t="str">
        <f>IF(COUNTIF('PATIENT DATA (072721)'!A:A, B98)=0, "X","✓")</f>
        <v>X</v>
      </c>
      <c r="D98" s="217" t="str">
        <f>IFS($B98=FALSE,"",$B98,VLOOKUP($B98,'PATIENT DATA (072721)'!A:C, 3, 0))</f>
        <v/>
      </c>
      <c r="E98" s="218">
        <v>44565.0</v>
      </c>
      <c r="F98" s="219" t="str">
        <f>ifs($B98="","",$B98, VLOOKUP($B98&amp;$E98, 'VISIT DATA'!A:O,3,0))</f>
        <v/>
      </c>
      <c r="G98" s="220"/>
      <c r="H98" s="221"/>
      <c r="I98" s="222" t="str">
        <f>VLOOKUP($B98&amp;$E98,'VISIT DATA'!A:J, 9, FALSE)</f>
        <v>#N/A</v>
      </c>
      <c r="J98" s="223" t="str">
        <f>VLOOKUP(B98&amp;E98,'VISIT DATA'!A:N,10,FALSE)</f>
        <v>#N/A</v>
      </c>
      <c r="K98" s="225"/>
      <c r="L98" s="224"/>
      <c r="M98" s="224"/>
      <c r="N98" s="224"/>
      <c r="O98" s="216" t="str">
        <f t="shared" si="1"/>
        <v>X</v>
      </c>
      <c r="P98" s="226" t="str">
        <f t="shared" si="2"/>
        <v>#N/A</v>
      </c>
      <c r="Q98" s="227" t="str">
        <f t="shared" si="3"/>
        <v>#N/A</v>
      </c>
      <c r="R98" s="228" t="str">
        <f t="shared" si="4"/>
        <v>#N/A</v>
      </c>
      <c r="S98" s="220" t="str">
        <f t="shared" si="5"/>
        <v>#N/A</v>
      </c>
      <c r="T98" s="220" t="str">
        <f t="shared" si="6"/>
        <v>#N/A</v>
      </c>
      <c r="U98" s="221">
        <f t="shared" si="7"/>
        <v>0</v>
      </c>
      <c r="V98" s="229" t="str">
        <f>ifs($N98="",VLOOKUP($B98&amp;$E98,'VISIT DATA'!$A$2:$J100,7,FALSE), $N98="SWAB","OUTSA-RW",$N98="SWQU","OUTSA-SaQu", AND($L98="X",$M98="X",$N98="QUEST"),"OUT-UAQPre",$N98="QUEST","OUT-UAQ", $N98="Walk in","ColUATele")</f>
        <v>#N/A</v>
      </c>
      <c r="W98" s="24" t="str">
        <f t="shared" si="8"/>
        <v>#N/A</v>
      </c>
      <c r="X98" s="222" t="str">
        <f t="shared" si="9"/>
        <v/>
      </c>
      <c r="Y98" s="222" t="str">
        <f t="shared" si="10"/>
        <v/>
      </c>
      <c r="Z98" s="224" t="str">
        <f t="shared" si="11"/>
        <v> </v>
      </c>
    </row>
    <row r="99" hidden="1">
      <c r="A99" s="214" t="str">
        <f>IFS($B99=FALSE,"",$B99,VLOOKUP($B99,'PATIENT DATA (072721)'!A:C, 2, 0))</f>
        <v/>
      </c>
      <c r="B99" s="215"/>
      <c r="C99" s="230" t="str">
        <f>IF(COUNTIF('PATIENT DATA (072721)'!A:A, B99)=0, "X","✓")</f>
        <v>X</v>
      </c>
      <c r="D99" s="217" t="str">
        <f>IFS($B99=FALSE,"",$B99,VLOOKUP($B99,'PATIENT DATA (072721)'!A:C, 3, 0))</f>
        <v/>
      </c>
      <c r="E99" s="218">
        <v>44565.0</v>
      </c>
      <c r="F99" s="219" t="str">
        <f>ifs($B99="","",$B99, VLOOKUP($B99&amp;$E99, 'VISIT DATA'!A:O,3,0))</f>
        <v/>
      </c>
      <c r="G99" s="220"/>
      <c r="H99" s="221"/>
      <c r="I99" s="222" t="str">
        <f>VLOOKUP($B99&amp;$E99,'VISIT DATA'!A:J, 9, FALSE)</f>
        <v>#N/A</v>
      </c>
      <c r="J99" s="223" t="str">
        <f>VLOOKUP(B99&amp;E99,'VISIT DATA'!A:N,10,FALSE)</f>
        <v>#N/A</v>
      </c>
      <c r="K99" s="225"/>
      <c r="L99" s="224"/>
      <c r="M99" s="224"/>
      <c r="N99" s="224"/>
      <c r="O99" s="216" t="str">
        <f t="shared" si="1"/>
        <v>X</v>
      </c>
      <c r="P99" s="226" t="str">
        <f t="shared" si="2"/>
        <v>#N/A</v>
      </c>
      <c r="Q99" s="227" t="str">
        <f t="shared" si="3"/>
        <v>#N/A</v>
      </c>
      <c r="R99" s="228" t="str">
        <f t="shared" si="4"/>
        <v>#N/A</v>
      </c>
      <c r="S99" s="220" t="str">
        <f t="shared" si="5"/>
        <v>#N/A</v>
      </c>
      <c r="T99" s="220" t="str">
        <f t="shared" si="6"/>
        <v>#N/A</v>
      </c>
      <c r="U99" s="221">
        <f t="shared" si="7"/>
        <v>0</v>
      </c>
      <c r="V99" s="229" t="str">
        <f>ifs($N99="",VLOOKUP($B99&amp;$E99,'VISIT DATA'!$A$2:$J100,7,FALSE), $N99="SWAB","OUTSA-RW",$N99="SWQU","OUTSA-SaQu", AND($L99="X",$M99="X",$N99="QUEST"),"OUT-UAQPre",$N99="QUEST","OUT-UAQ", $N99="Walk in","ColUATele")</f>
        <v>#N/A</v>
      </c>
      <c r="W99" s="24" t="str">
        <f t="shared" si="8"/>
        <v>#N/A</v>
      </c>
      <c r="X99" s="222" t="str">
        <f t="shared" si="9"/>
        <v/>
      </c>
      <c r="Y99" s="222" t="str">
        <f t="shared" si="10"/>
        <v/>
      </c>
      <c r="Z99" s="224" t="str">
        <f t="shared" si="11"/>
        <v> </v>
      </c>
    </row>
    <row r="100">
      <c r="A100" s="232"/>
      <c r="B100" s="232"/>
      <c r="C100" s="232"/>
      <c r="D100" s="233"/>
      <c r="E100" s="233"/>
      <c r="F100" s="234"/>
      <c r="G100" s="232"/>
      <c r="H100" s="235"/>
      <c r="I100" s="232"/>
      <c r="J100" s="232"/>
      <c r="K100" s="236" t="s">
        <v>6333</v>
      </c>
      <c r="L100" s="237">
        <v>53.0</v>
      </c>
      <c r="M100" s="236" t="s">
        <v>6334</v>
      </c>
      <c r="N100" s="237">
        <v>11.0</v>
      </c>
      <c r="O100" s="238"/>
      <c r="P100" s="238"/>
      <c r="Q100" s="238"/>
      <c r="R100" s="238"/>
      <c r="S100" s="238"/>
      <c r="T100" s="238"/>
      <c r="U100" s="238"/>
      <c r="V100" s="239"/>
      <c r="W100" s="238"/>
      <c r="X100" s="238"/>
      <c r="Y100" s="238"/>
      <c r="Z100" s="238"/>
    </row>
  </sheetData>
  <autoFilter ref="$A$1:$Z$100">
    <filterColumn colId="14">
      <filters blank="1">
        <filter val="✓"/>
      </filters>
    </filterColumn>
  </autoFilter>
  <customSheetViews>
    <customSheetView guid="{20F5F3BA-172D-4727-943D-E296FD1F3EFA}" filter="1" showAutoFilter="1">
      <autoFilter ref="$A$1:$Z$100"/>
    </customSheetView>
  </customSheetViews>
  <conditionalFormatting sqref="A1:X100">
    <cfRule type="expression" dxfId="5" priority="1">
      <formula>$X1="ERROR"</formula>
    </cfRule>
  </conditionalFormatting>
  <conditionalFormatting sqref="A1:D99 E1:E100 F1:Z99">
    <cfRule type="expression" dxfId="5" priority="2">
      <formula>$Y1="NO MATCH"</formula>
    </cfRule>
  </conditionalFormatting>
  <conditionalFormatting sqref="C2:C99 O2:O99">
    <cfRule type="containsText" dxfId="5" priority="3" operator="containsText" text="X">
      <formula>NOT(ISERROR(SEARCH(("X"),(C2))))</formula>
    </cfRule>
  </conditionalFormatting>
  <conditionalFormatting sqref="A1:D99 E1:E100 F1:Z99">
    <cfRule type="expression" dxfId="4" priority="4">
      <formula>$Z1="Repeat"</formula>
    </cfRule>
  </conditionalFormatting>
  <conditionalFormatting sqref="V2:V99">
    <cfRule type="expression" dxfId="10" priority="5">
      <formula>$N2="QUEST"</formula>
    </cfRule>
  </conditionalFormatting>
  <conditionalFormatting sqref="C2:C99 O2:O99">
    <cfRule type="containsText" dxfId="10" priority="6" operator="containsText" text="✓">
      <formula>NOT(ISERROR(SEARCH(("✓"),(C2))))</formula>
    </cfRule>
  </conditionalFormatting>
  <conditionalFormatting sqref="A1:D99 E1:E100 F1:U99">
    <cfRule type="expression" dxfId="20" priority="7">
      <formula>$J1="MOLINA DUAL COMPLETE NEW MEXICO"</formula>
    </cfRule>
  </conditionalFormatting>
  <conditionalFormatting sqref="A1:D99 E1:E100 F1:U99">
    <cfRule type="expression" dxfId="20" priority="8">
      <formula>$J1="MOLINA DUAL COMPLETE TEXAS"</formula>
    </cfRule>
  </conditionalFormatting>
  <conditionalFormatting sqref="A1:D99 E1:E100 F1:U99">
    <cfRule type="expression" dxfId="20" priority="9">
      <formula>$J1="MOLINA MARKETPLACE TEXAS"</formula>
    </cfRule>
  </conditionalFormatting>
  <conditionalFormatting sqref="K1:K99">
    <cfRule type="containsText" dxfId="6" priority="10" operator="containsText" text="x">
      <formula>NOT(ISERROR(SEARCH(("x"),(K1))))</formula>
    </cfRule>
  </conditionalFormatting>
  <conditionalFormatting sqref="M1:M99">
    <cfRule type="containsText" dxfId="21" priority="11" operator="containsText" text="X">
      <formula>NOT(ISERROR(SEARCH(("X"),(M1))))</formula>
    </cfRule>
  </conditionalFormatting>
  <conditionalFormatting sqref="L1:L99">
    <cfRule type="containsText" dxfId="22" priority="12" operator="containsText" text="X">
      <formula>NOT(ISERROR(SEARCH(("X"),(L1))))</formula>
    </cfRule>
  </conditionalFormatting>
  <conditionalFormatting sqref="C1:C99 O1:O99">
    <cfRule type="containsBlanks" dxfId="23" priority="13">
      <formula>LEN(TRIM(C1))=0</formula>
    </cfRule>
  </conditionalFormatting>
  <conditionalFormatting sqref="J1:J99 N1:O1 Z1">
    <cfRule type="containsText" dxfId="24" priority="14" operator="containsText" text="Molina">
      <formula>NOT(ISERROR(SEARCH(("Molina"),(J1))))</formula>
    </cfRule>
  </conditionalFormatting>
  <conditionalFormatting sqref="K1:M99">
    <cfRule type="containsBlanks" dxfId="25" priority="15">
      <formula>LEN(TRIM(K1))=0</formula>
    </cfRule>
  </conditionalFormatting>
  <conditionalFormatting sqref="O1:O99 A2:D99 E2:E100 F2:N99 P2:Z99">
    <cfRule type="expression" dxfId="10" priority="16">
      <formula>$N1="SWAB"</formula>
    </cfRule>
  </conditionalFormatting>
  <conditionalFormatting sqref="J1:J99">
    <cfRule type="containsText" dxfId="5" priority="17" operator="containsText" text="Self Pay">
      <formula>NOT(ISERROR(SEARCH(("Self Pay"),(J1))))</formula>
    </cfRule>
  </conditionalFormatting>
  <conditionalFormatting sqref="J1:J99">
    <cfRule type="containsText" dxfId="5" priority="18" operator="containsText" text="Self-Pay">
      <formula>NOT(ISERROR(SEARCH(("Self-Pay"),(J1))))</formula>
    </cfRule>
  </conditionalFormatting>
  <conditionalFormatting sqref="J1:J99">
    <cfRule type="containsText" dxfId="5" priority="19" operator="containsText" text="Third Party">
      <formula>NOT(ISERROR(SEARCH(("Third Party"),(J1))))</formula>
    </cfRule>
  </conditionalFormatting>
  <conditionalFormatting sqref="A1:D99 E1:E100 F1:U99">
    <cfRule type="expression" dxfId="26" priority="20">
      <formula>$J1="SUPERIOR HEALTH PLAN"</formula>
    </cfRule>
  </conditionalFormatting>
  <conditionalFormatting sqref="A1:D99 E1:E100 F1:U99">
    <cfRule type="expression" dxfId="26" priority="21">
      <formula>$J1="AMBETTER - SUPERIOR"</formula>
    </cfRule>
  </conditionalFormatting>
  <conditionalFormatting sqref="A1:D99 E1:E100 F1:U99">
    <cfRule type="expression" dxfId="19" priority="22">
      <formula>$J1="Wellmed - Humana"</formula>
    </cfRule>
  </conditionalFormatting>
  <conditionalFormatting sqref="A1:D99 E1:E100 F1:U99">
    <cfRule type="expression" dxfId="19" priority="23">
      <formula>$J1="WELLMED - AARP MEDICARE COMPLETE"</formula>
    </cfRule>
  </conditionalFormatting>
  <conditionalFormatting sqref="A1:D99 E1:E100 F1:U99">
    <cfRule type="expression" dxfId="19" priority="24">
      <formula>$J1="WELLMED - AMERIVANTAGE"</formula>
    </cfRule>
  </conditionalFormatting>
  <conditionalFormatting sqref="A1:D99 E1:E100 F1:U99">
    <cfRule type="expression" dxfId="19" priority="25">
      <formula>$J1="WELLMED - CIGNA HEALTHSPRING"</formula>
    </cfRule>
  </conditionalFormatting>
  <conditionalFormatting sqref="A1:D99 E1:E100 F1:U99">
    <cfRule type="expression" dxfId="19" priority="26">
      <formula>$J1="WELLMED - UHC CHRONIC COMPLETE HMO C-SNP"</formula>
    </cfRule>
  </conditionalFormatting>
  <conditionalFormatting sqref="A1:D99 E1:E100 F1:U99">
    <cfRule type="expression" dxfId="19" priority="27">
      <formula>$J1="WELLMED - UHC DUAL COMPLETE HMO SNP"</formula>
    </cfRule>
  </conditionalFormatting>
  <conditionalFormatting sqref="A1:D99 E1:E100 F1:U99">
    <cfRule type="expression" dxfId="19" priority="28">
      <formula>$J1="WELLMED - UHC DUAL COMPLETE SNP"</formula>
    </cfRule>
  </conditionalFormatting>
  <conditionalFormatting sqref="A1:D99 E1:E100 F1:U99">
    <cfRule type="expression" dxfId="20" priority="29">
      <formula>$J1="MOLINA DUAL COMPLETE NEW MEXICO"</formula>
    </cfRule>
  </conditionalFormatting>
  <conditionalFormatting sqref="A1:D99 E1:E100 F1:U99">
    <cfRule type="expression" dxfId="20" priority="30">
      <formula>$J1="MOLINA DUAL COMPLETE TEXAS"</formula>
    </cfRule>
  </conditionalFormatting>
  <conditionalFormatting sqref="A1:D99 E1:E100 F1:U99">
    <cfRule type="expression" dxfId="20" priority="31">
      <formula>$J1="MOLINA MARKETPLACE TEXAS"</formula>
    </cfRule>
  </conditionalFormatting>
  <conditionalFormatting sqref="A1:D99 E1:E100 F1:U99">
    <cfRule type="expression" dxfId="20" priority="32">
      <formula>$J1="MOLINA MEDICAID TEXAS"</formula>
    </cfRule>
  </conditionalFormatting>
  <conditionalFormatting sqref="A1:D99 E1:E100 F1:U99">
    <cfRule type="expression" dxfId="27" priority="33">
      <formula>$J1="HUMANA OPEN ACCESS PLAN"</formula>
    </cfRule>
  </conditionalFormatting>
  <conditionalFormatting sqref="A1:D99 E1:E100 F1:U99">
    <cfRule type="expression" dxfId="28" priority="34">
      <formula>$J1="HUMANA CHOICE CARE"</formula>
    </cfRule>
  </conditionalFormatting>
  <conditionalFormatting sqref="V1:W99">
    <cfRule type="expression" dxfId="11" priority="35">
      <formula>$V1="UA"</formula>
    </cfRule>
  </conditionalFormatting>
  <conditionalFormatting sqref="V1:W99">
    <cfRule type="expression" dxfId="12" priority="36">
      <formula>$V1="OUTUA-PrRW"</formula>
    </cfRule>
  </conditionalFormatting>
  <conditionalFormatting sqref="V1:W99">
    <cfRule type="expression" dxfId="12" priority="37">
      <formula>$V1="OUT-UAQPre"</formula>
    </cfRule>
  </conditionalFormatting>
  <conditionalFormatting sqref="V1:W99">
    <cfRule type="expression" dxfId="13" priority="38">
      <formula>$V1="UA-Prelim"</formula>
    </cfRule>
  </conditionalFormatting>
  <conditionalFormatting sqref="V1:W99">
    <cfRule type="expression" dxfId="6" priority="39">
      <formula>$V1="UA-NWPT"</formula>
    </cfRule>
  </conditionalFormatting>
  <conditionalFormatting sqref="N1:N100 O1:O99">
    <cfRule type="expression" dxfId="5" priority="40">
      <formula>$O1="X"</formula>
    </cfRule>
  </conditionalFormatting>
  <conditionalFormatting sqref="V1:W99">
    <cfRule type="expression" dxfId="10" priority="41">
      <formula>$V1="OUT-UAQ"</formula>
    </cfRule>
  </conditionalFormatting>
  <conditionalFormatting sqref="V1:W99">
    <cfRule type="expression" dxfId="10" priority="42">
      <formula>$V1="OUTUA-FURW"</formula>
    </cfRule>
  </conditionalFormatting>
  <conditionalFormatting sqref="V1:W99">
    <cfRule type="expression" dxfId="14" priority="43">
      <formula>$V1="OUTSA-SaQu"</formula>
    </cfRule>
  </conditionalFormatting>
  <conditionalFormatting sqref="V1:W99">
    <cfRule type="expression" dxfId="14" priority="44">
      <formula>$V1="OUTSA-RW"</formula>
    </cfRule>
  </conditionalFormatting>
  <dataValidations>
    <dataValidation type="list" allowBlank="1" showErrorMessage="1" sqref="H2:H99">
      <formula1>"CH,DA,DC,DM,FA,LM"</formula1>
    </dataValidation>
    <dataValidation type="list" allowBlank="1" showErrorMessage="1" sqref="J2:J99">
      <formula1>Data!$A$2:$A100</formula1>
    </dataValidation>
    <dataValidation type="custom" allowBlank="1" showDropDown="1" showInputMessage="1" showErrorMessage="1" prompt="CAPITALS" sqref="A1:A99">
      <formula1>ISERROR(SEARCH((exact(upper(B:N),B:N)),(A1)))</formula1>
    </dataValidation>
    <dataValidation type="list" allowBlank="1" showErrorMessage="1" sqref="F2:F99">
      <formula1>Data!$B$1:$B$44</formula1>
    </dataValidation>
    <dataValidation type="custom" allowBlank="1" showDropDown="1" showInputMessage="1" showErrorMessage="1" prompt="CAPITALS" sqref="B1:B99">
      <formula1>ISERROR(SEARCH((exact(upper(B:O),B:O)),(B1)))</formula1>
    </dataValidation>
    <dataValidation type="list" allowBlank="1" showErrorMessage="1" sqref="G2:G99">
      <formula1>"F,M"</formula1>
    </dataValidation>
    <dataValidation type="list" allowBlank="1" showErrorMessage="1" sqref="K2:M99">
      <formula1>"X"</formula1>
    </dataValidation>
    <dataValidation type="list" allowBlank="1" showInputMessage="1" showErrorMessage="1" prompt="Click and enter a value from range 'Insurance Data'!C2:C608" sqref="E2:E99">
      <formula1>Data!$C:$C</formula1>
    </dataValidation>
    <dataValidation type="list" allowBlank="1" showErrorMessage="1" sqref="I2:I99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27.57"/>
    <col customWidth="1" min="2" max="2" width="6.43"/>
    <col customWidth="1" min="3" max="3" width="2.14"/>
    <col customWidth="1" min="4" max="4" width="9.71"/>
    <col customWidth="1" min="5" max="5" width="10.71"/>
    <col customWidth="1" min="6" max="6" width="11.57"/>
    <col customWidth="1" min="7" max="7" width="8.43"/>
    <col customWidth="1" min="8" max="8" width="8.29"/>
    <col customWidth="1" min="9" max="9" width="12.71"/>
    <col customWidth="1" min="10" max="10" width="36.71"/>
    <col customWidth="1" min="11" max="11" width="8.29"/>
    <col customWidth="1" min="12" max="12" width="8.57"/>
    <col customWidth="1" min="13" max="13" width="7.57"/>
    <col customWidth="1" min="14" max="14" width="7.0"/>
    <col customWidth="1" min="15" max="15" width="2.14"/>
    <col customWidth="1" hidden="1" min="16" max="20" width="12.57"/>
    <col customWidth="1" hidden="1" min="21" max="21" width="2.14"/>
    <col customWidth="1" min="22" max="22" width="14.86"/>
    <col customWidth="1" hidden="1" min="23" max="24" width="34.57"/>
    <col customWidth="1" hidden="1" min="25" max="25" width="12.14"/>
    <col customWidth="1" hidden="1" min="26" max="26" width="1.57"/>
    <col customWidth="1" min="27" max="27" width="9.57"/>
  </cols>
  <sheetData>
    <row r="1">
      <c r="A1" s="204" t="s">
        <v>24</v>
      </c>
      <c r="B1" s="205" t="s">
        <v>6237</v>
      </c>
      <c r="C1" s="206"/>
      <c r="D1" s="207" t="s">
        <v>25</v>
      </c>
      <c r="E1" s="207"/>
      <c r="F1" s="240" t="s">
        <v>6335</v>
      </c>
      <c r="G1" s="208" t="s">
        <v>6336</v>
      </c>
      <c r="H1" s="209" t="s">
        <v>2</v>
      </c>
      <c r="I1" s="209" t="s">
        <v>6206</v>
      </c>
      <c r="J1" s="209" t="s">
        <v>6135</v>
      </c>
      <c r="K1" s="208" t="s">
        <v>6337</v>
      </c>
      <c r="L1" s="208" t="s">
        <v>6338</v>
      </c>
      <c r="M1" s="208" t="s">
        <v>6339</v>
      </c>
      <c r="N1" s="210" t="s">
        <v>7</v>
      </c>
      <c r="O1" s="206"/>
      <c r="P1" s="207" t="s">
        <v>6188</v>
      </c>
      <c r="Q1" s="208" t="s">
        <v>6319</v>
      </c>
      <c r="R1" s="208" t="s">
        <v>6132</v>
      </c>
      <c r="S1" s="208" t="s">
        <v>6134</v>
      </c>
      <c r="T1" s="208" t="s">
        <v>6147</v>
      </c>
      <c r="U1" s="211"/>
      <c r="V1" s="212" t="s">
        <v>6320</v>
      </c>
      <c r="W1" s="207"/>
      <c r="X1" s="209"/>
      <c r="Y1" s="208" t="s">
        <v>6321</v>
      </c>
      <c r="Z1" s="213"/>
      <c r="AA1" s="241"/>
    </row>
    <row r="2">
      <c r="A2" s="214" t="str">
        <f>IFS($B2=FALSE,"",$B2,VLOOKUP($B2,'PATIENT DATA (072721)'!A:C, 2, 0))</f>
        <v/>
      </c>
      <c r="B2" s="215"/>
      <c r="C2" s="216" t="str">
        <f>IF(COUNTIF('PATIENT DATA (072721)'!A:A, B2)=0, "X","✓")</f>
        <v>X</v>
      </c>
      <c r="D2" s="226" t="str">
        <f>IFS($B2=FALSE,"",$B2,VLOOKUP($B2,'PATIENT DATA (072721)'!A:C, 3, 0))</f>
        <v/>
      </c>
      <c r="E2" s="218"/>
      <c r="F2" s="219" t="str">
        <f>ifs($B2="","",$B2, VLOOKUP($B2&amp;$E2, 'VISIT DATA'!A:O,3,0))</f>
        <v/>
      </c>
      <c r="G2" s="220"/>
      <c r="H2" s="221"/>
      <c r="I2" s="222" t="str">
        <f>VLOOKUP($B2&amp;$E2,'VISIT DATA'!A:J, 9, FALSE)</f>
        <v>#N/A</v>
      </c>
      <c r="J2" s="223" t="str">
        <f>VLOOKUP(B2&amp;E2,'VISIT DATA'!A:N,10,FALSE)</f>
        <v>#N/A</v>
      </c>
      <c r="K2" s="242"/>
      <c r="L2" s="224"/>
      <c r="M2" s="224"/>
      <c r="N2" s="225"/>
      <c r="O2" s="216" t="str">
        <f t="shared" ref="O2:O99" si="1">IF(OR(K2 = "x",L2 = "x",M2 = "x"),"✓", "X")</f>
        <v>X</v>
      </c>
      <c r="P2" s="226" t="str">
        <f t="shared" ref="P2:P99" si="2">ifs(SEARCH($P$1,$J2)&gt;=1,"X")</f>
        <v>#N/A</v>
      </c>
      <c r="Q2" s="227" t="str">
        <f t="shared" ref="Q2:Q99" si="3">ifs(SEARCH($Q$1,$J2)&gt;=1,"X")</f>
        <v>#N/A</v>
      </c>
      <c r="R2" s="228" t="str">
        <f t="shared" ref="R2:R99" si="4">ifs(SEARCH($R$1,$J2)&gt;=1,"X")</f>
        <v>#N/A</v>
      </c>
      <c r="S2" s="220" t="str">
        <f t="shared" ref="S2:S99" si="5">ifs(SEARCH($S$1,$J2)&gt;=1,"X")</f>
        <v>#N/A</v>
      </c>
      <c r="T2" s="220" t="str">
        <f t="shared" ref="T2:T99" si="6">ifs(SEARCH($T$1,$J2)&gt;=1,"X")</f>
        <v>#N/A</v>
      </c>
      <c r="U2" s="221">
        <f t="shared" ref="U2:U99" si="7">countif($P2:$T2,"X")</f>
        <v>0</v>
      </c>
      <c r="V2" s="229" t="str">
        <f>ifs($N2="",VLOOKUP($B2&amp;$E2,'VISIT DATA'!$A$2:$J100,7,FALSE), $N2="SWAB","OUTSA-RW",$N2="SWQU","OUTSA-SaQu", AND($L2="X",$M2="X",$N2="QUEST"),"OUT-UAQPre",$N2="QUEST","OUT-UAQ", $N2="Walk in","ColUATele")</f>
        <v>#N/A</v>
      </c>
      <c r="W2" s="24" t="str">
        <f t="shared" ref="W2:W99" si="8">ifs($V2="UA-NWPT","UA-NWPT : UA New Patient",$V2="UA","UA : Urine Analysis In House",$V2="UA-Prelim","UA-Prelim : Preliminary UA Test",$V2="OUT-UAQ","OUT-UAQ : Quest Out UA",$V2="OUT-UAQPre", "OUT-UAQPre : OUT UA Prelim Quest",$V2="OUTSA-SaQu","OUTSA-SaQu : Saliva Out Quest",$V2="ColUATele","Collected Telemed",$V2="OUTUA-PrRW", "OUTUA-PrRW : OUT UA Prelimin Redwood",$V2="OUTUA-FURW", "OUTUA-FURW : OUT UA FU Redwood",$V2="OUTUA-NWRW", "OUTUA-NWRW : OUT UA New Redwood",$V2="OUTSA-RW", "OUTSA-RW : OUT Saliva Redwood")</f>
        <v>#N/A</v>
      </c>
      <c r="X2" s="222" t="str">
        <f t="shared" ref="X2:X99" si="9">ifs($B2="","",and($K2="X",$L2="X",$M2="X",$N2="SWAB"), "ERROR",and($K2="X",$L2="X",$N2="SWAB"), "ERROR", and($L2="X",$N2="SWAB"), "OUTSA-RW : OUT Saliva Redwood", and($K2="X",$M2="X", $N2="SWAB"),"ERROR", and($M2="X",$N2="SWAB"), "OUTSA-RW : OUT Saliva Redwood", and($K2="X",$N2="SWAB"),"OUTSA-RW : OUT Saliva Redwood",and($K2="X",$L2="X"),"ERROR", and($K2="X",$M2="X"),"ERROR",and($M2="X",$U2=1), "OUTUA-PrRW : OUT UA Prelimin Redwood", and($K2="X",$U2=1), "OUTUA-NWRW : OUT UA New Redwood", and($L2="X",$U2=1), "OUTUA-FURW : OUT UA FU Redwood", and($L2="X",$M2="X",$U2=1), "OUTUA-PrRW : OUT UA Prelimin Redwood", $K2="X","UA-NWPT : UA New Patient", and($L2="X",$M2="X"),"UA-Prelim : Preliminary UA Test",and($L2="X",$N2="SWAB"),"OUTSA-RW : OUT Saliva Redwood",$L2="X","UA : Urine Analysis In House",$M2="X","UA-Prelim : Preliminary UA Test")</f>
        <v/>
      </c>
      <c r="Y2" s="222" t="str">
        <f t="shared" ref="Y2:Y99" si="10">IFS($B2="","",X2=W2,"MATCH",X2&lt;&gt;W2,"NO MATCH")</f>
        <v/>
      </c>
      <c r="Z2" s="224" t="str">
        <f t="shared" ref="Z2:Z99" si="11">IF((countif($B$2:$B100,$B2)&gt;1),"Repeat"," ")</f>
        <v> </v>
      </c>
      <c r="AA2" s="243"/>
    </row>
    <row r="3">
      <c r="A3" s="214" t="str">
        <f>IFS($B3=FALSE,"",$B3,VLOOKUP($B3,'PATIENT DATA (072721)'!A:C, 2, 0))</f>
        <v/>
      </c>
      <c r="B3" s="215"/>
      <c r="C3" s="216" t="str">
        <f>IF(COUNTIF('PATIENT DATA (072721)'!A:A, B3)=0, "X","✓")</f>
        <v>X</v>
      </c>
      <c r="D3" s="226" t="str">
        <f>IFS($B3=FALSE,"",$B3,VLOOKUP($B3,'PATIENT DATA (072721)'!A:C, 3, 0))</f>
        <v/>
      </c>
      <c r="E3" s="218"/>
      <c r="F3" s="219" t="str">
        <f>ifs($B3="","",$B3, VLOOKUP($B3&amp;$E3, 'VISIT DATA'!A:O,3,0))</f>
        <v/>
      </c>
      <c r="G3" s="220"/>
      <c r="H3" s="221"/>
      <c r="I3" s="222" t="str">
        <f>VLOOKUP($B3&amp;$E3,'VISIT DATA'!A:J, 9, FALSE)</f>
        <v>#N/A</v>
      </c>
      <c r="J3" s="223" t="str">
        <f>VLOOKUP(B3&amp;E3,'VISIT DATA'!A:N,10,FALSE)</f>
        <v>#N/A</v>
      </c>
      <c r="K3" s="224"/>
      <c r="L3" s="224"/>
      <c r="M3" s="224"/>
      <c r="N3" s="225"/>
      <c r="O3" s="216" t="str">
        <f t="shared" si="1"/>
        <v>X</v>
      </c>
      <c r="P3" s="226" t="str">
        <f t="shared" si="2"/>
        <v>#N/A</v>
      </c>
      <c r="Q3" s="227" t="str">
        <f t="shared" si="3"/>
        <v>#N/A</v>
      </c>
      <c r="R3" s="228" t="str">
        <f t="shared" si="4"/>
        <v>#N/A</v>
      </c>
      <c r="S3" s="220" t="str">
        <f t="shared" si="5"/>
        <v>#N/A</v>
      </c>
      <c r="T3" s="220" t="str">
        <f t="shared" si="6"/>
        <v>#N/A</v>
      </c>
      <c r="U3" s="221">
        <f t="shared" si="7"/>
        <v>0</v>
      </c>
      <c r="V3" s="229" t="str">
        <f>ifs($N3="",VLOOKUP($B3&amp;$E3,'VISIT DATA'!$A$2:$J100,7,FALSE), $N3="SWAB","OUTSA-RW",$N3="SWQU","OUTSA-SaQu", AND($L3="X",$M3="X",$N3="QUEST"),"OUT-UAQPre",$N3="QUEST","OUT-UAQ", $N3="Walk in","ColUATele")</f>
        <v>#N/A</v>
      </c>
      <c r="W3" s="24" t="str">
        <f t="shared" si="8"/>
        <v>#N/A</v>
      </c>
      <c r="X3" s="222" t="str">
        <f t="shared" si="9"/>
        <v/>
      </c>
      <c r="Y3" s="222" t="str">
        <f t="shared" si="10"/>
        <v/>
      </c>
      <c r="Z3" s="224" t="str">
        <f t="shared" si="11"/>
        <v> </v>
      </c>
      <c r="AA3" s="243"/>
    </row>
    <row r="4">
      <c r="A4" s="214" t="str">
        <f>IFS($B4=FALSE,"",$B4,VLOOKUP($B4,'PATIENT DATA (072721)'!A:C, 2, 0))</f>
        <v/>
      </c>
      <c r="B4" s="215"/>
      <c r="C4" s="216" t="str">
        <f>IF(COUNTIF('PATIENT DATA (072721)'!A:A, B4)=0, "X","✓")</f>
        <v>X</v>
      </c>
      <c r="D4" s="226" t="str">
        <f>IFS($B4=FALSE,"",$B4,VLOOKUP($B4,'PATIENT DATA (072721)'!A:C, 3, 0))</f>
        <v/>
      </c>
      <c r="E4" s="218"/>
      <c r="F4" s="219" t="str">
        <f>ifs($B4="","",$B4, VLOOKUP($B4&amp;$E4, 'VISIT DATA'!A:O,3,0))</f>
        <v/>
      </c>
      <c r="G4" s="220"/>
      <c r="H4" s="221"/>
      <c r="I4" s="222" t="str">
        <f>VLOOKUP($B4&amp;$E4,'VISIT DATA'!A:J, 9, FALSE)</f>
        <v>#N/A</v>
      </c>
      <c r="J4" s="223" t="str">
        <f>VLOOKUP(B4&amp;E4,'VISIT DATA'!A:N,10,FALSE)</f>
        <v>#N/A</v>
      </c>
      <c r="K4" s="242"/>
      <c r="L4" s="224"/>
      <c r="M4" s="224"/>
      <c r="N4" s="225"/>
      <c r="O4" s="216" t="str">
        <f t="shared" si="1"/>
        <v>X</v>
      </c>
      <c r="P4" s="226" t="str">
        <f t="shared" si="2"/>
        <v>#N/A</v>
      </c>
      <c r="Q4" s="227" t="str">
        <f t="shared" si="3"/>
        <v>#N/A</v>
      </c>
      <c r="R4" s="228" t="str">
        <f t="shared" si="4"/>
        <v>#N/A</v>
      </c>
      <c r="S4" s="220" t="str">
        <f t="shared" si="5"/>
        <v>#N/A</v>
      </c>
      <c r="T4" s="220" t="str">
        <f t="shared" si="6"/>
        <v>#N/A</v>
      </c>
      <c r="U4" s="221">
        <f t="shared" si="7"/>
        <v>0</v>
      </c>
      <c r="V4" s="229" t="str">
        <f>ifs($N4="",VLOOKUP($B4&amp;$E4,'VISIT DATA'!$A$2:$J100,7,FALSE), $N4="SWAB","OUTSA-RW",$N4="SWQU","OUTSA-SaQu", AND($L4="X",$M4="X",$N4="QUEST"),"OUT-UAQPre",$N4="QUEST","OUT-UAQ", $N4="Walk in","ColUATele")</f>
        <v>#N/A</v>
      </c>
      <c r="W4" s="24" t="str">
        <f t="shared" si="8"/>
        <v>#N/A</v>
      </c>
      <c r="X4" s="222" t="str">
        <f t="shared" si="9"/>
        <v/>
      </c>
      <c r="Y4" s="222" t="str">
        <f t="shared" si="10"/>
        <v/>
      </c>
      <c r="Z4" s="224" t="str">
        <f t="shared" si="11"/>
        <v> </v>
      </c>
      <c r="AA4" s="243"/>
    </row>
    <row r="5">
      <c r="A5" s="214" t="str">
        <f>IFS($B5=FALSE,"",$B5,VLOOKUP($B5,'PATIENT DATA (072721)'!A:C, 2, 0))</f>
        <v/>
      </c>
      <c r="B5" s="215"/>
      <c r="C5" s="216" t="str">
        <f>IF(COUNTIF('PATIENT DATA (072721)'!A:A, B5)=0, "X","✓")</f>
        <v>X</v>
      </c>
      <c r="D5" s="226" t="str">
        <f>IFS($B5=FALSE,"",$B5,VLOOKUP($B5,'PATIENT DATA (072721)'!A:C, 3, 0))</f>
        <v/>
      </c>
      <c r="E5" s="218"/>
      <c r="F5" s="219" t="str">
        <f>ifs($B5="","",$B5, VLOOKUP($B5&amp;$E5, 'VISIT DATA'!A:O,3,0))</f>
        <v/>
      </c>
      <c r="G5" s="220"/>
      <c r="H5" s="221"/>
      <c r="I5" s="222" t="str">
        <f>VLOOKUP($B5&amp;$E5,'VISIT DATA'!A:J, 9, FALSE)</f>
        <v>#N/A</v>
      </c>
      <c r="J5" s="223" t="str">
        <f>VLOOKUP(B5&amp;E5,'VISIT DATA'!A:N,10,FALSE)</f>
        <v>#N/A</v>
      </c>
      <c r="K5" s="224"/>
      <c r="L5" s="224"/>
      <c r="M5" s="224"/>
      <c r="N5" s="225"/>
      <c r="O5" s="216" t="str">
        <f t="shared" si="1"/>
        <v>X</v>
      </c>
      <c r="P5" s="226" t="str">
        <f t="shared" si="2"/>
        <v>#N/A</v>
      </c>
      <c r="Q5" s="227" t="str">
        <f t="shared" si="3"/>
        <v>#N/A</v>
      </c>
      <c r="R5" s="228" t="str">
        <f t="shared" si="4"/>
        <v>#N/A</v>
      </c>
      <c r="S5" s="220" t="str">
        <f t="shared" si="5"/>
        <v>#N/A</v>
      </c>
      <c r="T5" s="220" t="str">
        <f t="shared" si="6"/>
        <v>#N/A</v>
      </c>
      <c r="U5" s="221">
        <f t="shared" si="7"/>
        <v>0</v>
      </c>
      <c r="V5" s="229" t="str">
        <f>ifs($N5="",VLOOKUP($B5&amp;$E5,'VISIT DATA'!$A$2:$J100,7,FALSE), $N5="SWAB","OUTSA-RW",$N5="SWQU","OUTSA-SaQu", AND($L5="X",$M5="X",$N5="QUEST"),"OUT-UAQPre",$N5="QUEST","OUT-UAQ", $N5="Walk in","ColUATele")</f>
        <v>#N/A</v>
      </c>
      <c r="W5" s="24" t="str">
        <f t="shared" si="8"/>
        <v>#N/A</v>
      </c>
      <c r="X5" s="222" t="str">
        <f t="shared" si="9"/>
        <v/>
      </c>
      <c r="Y5" s="222" t="str">
        <f t="shared" si="10"/>
        <v/>
      </c>
      <c r="Z5" s="224" t="str">
        <f t="shared" si="11"/>
        <v> </v>
      </c>
      <c r="AA5" s="243"/>
    </row>
    <row r="6">
      <c r="A6" s="214" t="str">
        <f>IFS($B6=FALSE,"",$B6,VLOOKUP($B6,'PATIENT DATA (072721)'!A:C, 2, 0))</f>
        <v/>
      </c>
      <c r="B6" s="215"/>
      <c r="C6" s="216" t="str">
        <f>IF(COUNTIF('PATIENT DATA (072721)'!A:A, B6)=0, "X","✓")</f>
        <v>X</v>
      </c>
      <c r="D6" s="226" t="str">
        <f>IFS($B6=FALSE,"",$B6,VLOOKUP($B6,'PATIENT DATA (072721)'!A:C, 3, 0))</f>
        <v/>
      </c>
      <c r="E6" s="218"/>
      <c r="F6" s="219" t="str">
        <f>ifs($B6="","",$B6, VLOOKUP($B6&amp;$E6, 'VISIT DATA'!A:O,3,0))</f>
        <v/>
      </c>
      <c r="G6" s="220"/>
      <c r="H6" s="221"/>
      <c r="I6" s="222" t="str">
        <f>VLOOKUP($B6&amp;$E6,'VISIT DATA'!A:J, 9, FALSE)</f>
        <v>#N/A</v>
      </c>
      <c r="J6" s="223" t="str">
        <f>VLOOKUP(B6&amp;E6,'VISIT DATA'!A:N,10,FALSE)</f>
        <v>#N/A</v>
      </c>
      <c r="K6" s="242"/>
      <c r="L6" s="224"/>
      <c r="M6" s="224"/>
      <c r="N6" s="225"/>
      <c r="O6" s="216" t="str">
        <f t="shared" si="1"/>
        <v>X</v>
      </c>
      <c r="P6" s="226" t="str">
        <f t="shared" si="2"/>
        <v>#N/A</v>
      </c>
      <c r="Q6" s="227" t="str">
        <f t="shared" si="3"/>
        <v>#N/A</v>
      </c>
      <c r="R6" s="228" t="str">
        <f t="shared" si="4"/>
        <v>#N/A</v>
      </c>
      <c r="S6" s="220" t="str">
        <f t="shared" si="5"/>
        <v>#N/A</v>
      </c>
      <c r="T6" s="220" t="str">
        <f t="shared" si="6"/>
        <v>#N/A</v>
      </c>
      <c r="U6" s="221">
        <f t="shared" si="7"/>
        <v>0</v>
      </c>
      <c r="V6" s="229" t="str">
        <f>ifs($N6="",VLOOKUP($B6&amp;$E6,'VISIT DATA'!$A$2:$J100,7,FALSE), $N6="SWAB","OUTSA-RW",$N6="SWQU","OUTSA-SaQu", AND($L6="X",$M6="X",$N6="QUEST"),"OUT-UAQPre",$N6="QUEST","OUT-UAQ", $N6="Walk in","ColUATele")</f>
        <v>#N/A</v>
      </c>
      <c r="W6" s="24" t="str">
        <f t="shared" si="8"/>
        <v>#N/A</v>
      </c>
      <c r="X6" s="222" t="str">
        <f t="shared" si="9"/>
        <v/>
      </c>
      <c r="Y6" s="222" t="str">
        <f t="shared" si="10"/>
        <v/>
      </c>
      <c r="Z6" s="224" t="str">
        <f t="shared" si="11"/>
        <v> </v>
      </c>
      <c r="AA6" s="243"/>
    </row>
    <row r="7">
      <c r="A7" s="214" t="str">
        <f>IFS($B7=FALSE,"",$B7,VLOOKUP($B7,'PATIENT DATA (072721)'!A:C, 2, 0))</f>
        <v/>
      </c>
      <c r="B7" s="215"/>
      <c r="C7" s="216" t="str">
        <f>IF(COUNTIF('PATIENT DATA (072721)'!A:A, B7)=0, "X","✓")</f>
        <v>X</v>
      </c>
      <c r="D7" s="226" t="str">
        <f>IFS($B7=FALSE,"",$B7,VLOOKUP($B7,'PATIENT DATA (072721)'!A:C, 3, 0))</f>
        <v/>
      </c>
      <c r="E7" s="218"/>
      <c r="F7" s="219" t="str">
        <f>ifs($B7="","",$B7, VLOOKUP($B7&amp;$E7, 'VISIT DATA'!A:O,3,0))</f>
        <v/>
      </c>
      <c r="G7" s="220"/>
      <c r="H7" s="221"/>
      <c r="I7" s="222" t="str">
        <f>VLOOKUP($B7&amp;$E7,'VISIT DATA'!A:J, 9, FALSE)</f>
        <v>#N/A</v>
      </c>
      <c r="J7" s="223" t="str">
        <f>VLOOKUP(B7&amp;E7,'VISIT DATA'!A:N,10,FALSE)</f>
        <v>#N/A</v>
      </c>
      <c r="K7" s="242"/>
      <c r="L7" s="224"/>
      <c r="M7" s="224"/>
      <c r="N7" s="225"/>
      <c r="O7" s="216" t="str">
        <f t="shared" si="1"/>
        <v>X</v>
      </c>
      <c r="P7" s="226" t="str">
        <f t="shared" si="2"/>
        <v>#N/A</v>
      </c>
      <c r="Q7" s="227" t="str">
        <f t="shared" si="3"/>
        <v>#N/A</v>
      </c>
      <c r="R7" s="228" t="str">
        <f t="shared" si="4"/>
        <v>#N/A</v>
      </c>
      <c r="S7" s="220" t="str">
        <f t="shared" si="5"/>
        <v>#N/A</v>
      </c>
      <c r="T7" s="220" t="str">
        <f t="shared" si="6"/>
        <v>#N/A</v>
      </c>
      <c r="U7" s="221">
        <f t="shared" si="7"/>
        <v>0</v>
      </c>
      <c r="V7" s="229" t="str">
        <f>ifs($N7="",VLOOKUP($B7&amp;$E7,'VISIT DATA'!$A$2:$J100,7,FALSE), $N7="SWAB","OUTSA-RW",$N7="SWQU","OUTSA-SaQu", AND($L7="X",$M7="X",$N7="QUEST"),"OUT-UAQPre",$N7="QUEST","OUT-UAQ", $N7="Walk in","ColUATele")</f>
        <v>#N/A</v>
      </c>
      <c r="W7" s="24" t="str">
        <f t="shared" si="8"/>
        <v>#N/A</v>
      </c>
      <c r="X7" s="222" t="str">
        <f t="shared" si="9"/>
        <v/>
      </c>
      <c r="Y7" s="222" t="str">
        <f t="shared" si="10"/>
        <v/>
      </c>
      <c r="Z7" s="224" t="str">
        <f t="shared" si="11"/>
        <v> </v>
      </c>
      <c r="AA7" s="243"/>
    </row>
    <row r="8">
      <c r="A8" s="214" t="str">
        <f>IFS($B8=FALSE,"",$B8,VLOOKUP($B8,'PATIENT DATA (072721)'!A:C, 2, 0))</f>
        <v/>
      </c>
      <c r="B8" s="215"/>
      <c r="C8" s="216" t="str">
        <f>IF(COUNTIF('PATIENT DATA (072721)'!A:A, B8)=0, "X","✓")</f>
        <v>X</v>
      </c>
      <c r="D8" s="226" t="str">
        <f>IFS($B8=FALSE,"",$B8,VLOOKUP($B8,'PATIENT DATA (072721)'!A:C, 3, 0))</f>
        <v/>
      </c>
      <c r="E8" s="218"/>
      <c r="F8" s="219" t="str">
        <f>ifs($B8="","",$B8, VLOOKUP($B8&amp;$E8, 'VISIT DATA'!A:O,3,0))</f>
        <v/>
      </c>
      <c r="G8" s="220"/>
      <c r="H8" s="221"/>
      <c r="I8" s="222" t="str">
        <f>VLOOKUP($B8&amp;$E8,'VISIT DATA'!A:J, 9, FALSE)</f>
        <v>#N/A</v>
      </c>
      <c r="J8" s="223" t="str">
        <f>VLOOKUP(B8&amp;E8,'VISIT DATA'!A:N,10,FALSE)</f>
        <v>#N/A</v>
      </c>
      <c r="K8" s="242"/>
      <c r="L8" s="224"/>
      <c r="M8" s="224"/>
      <c r="N8" s="225"/>
      <c r="O8" s="216" t="str">
        <f t="shared" si="1"/>
        <v>X</v>
      </c>
      <c r="P8" s="226" t="str">
        <f t="shared" si="2"/>
        <v>#N/A</v>
      </c>
      <c r="Q8" s="227" t="str">
        <f t="shared" si="3"/>
        <v>#N/A</v>
      </c>
      <c r="R8" s="228" t="str">
        <f t="shared" si="4"/>
        <v>#N/A</v>
      </c>
      <c r="S8" s="220" t="str">
        <f t="shared" si="5"/>
        <v>#N/A</v>
      </c>
      <c r="T8" s="220" t="str">
        <f t="shared" si="6"/>
        <v>#N/A</v>
      </c>
      <c r="U8" s="221">
        <f t="shared" si="7"/>
        <v>0</v>
      </c>
      <c r="V8" s="229" t="str">
        <f>ifs($N8="",VLOOKUP($B8&amp;$E8,'VISIT DATA'!$A$2:$J100,7,FALSE), $N8="SWAB","OUTSA-RW",$N8="SWQU","OUTSA-SaQu", AND($L8="X",$M8="X",$N8="QUEST"),"OUT-UAQPre",$N8="QUEST","OUT-UAQ", $N8="Walk in","ColUATele")</f>
        <v>#N/A</v>
      </c>
      <c r="W8" s="24" t="str">
        <f t="shared" si="8"/>
        <v>#N/A</v>
      </c>
      <c r="X8" s="222" t="str">
        <f t="shared" si="9"/>
        <v/>
      </c>
      <c r="Y8" s="222" t="str">
        <f t="shared" si="10"/>
        <v/>
      </c>
      <c r="Z8" s="224" t="str">
        <f t="shared" si="11"/>
        <v> </v>
      </c>
      <c r="AA8" s="243"/>
    </row>
    <row r="9">
      <c r="A9" s="214" t="str">
        <f>IFS($B9=FALSE,"",$B9,VLOOKUP($B9,'PATIENT DATA (072721)'!A:C, 2, 0))</f>
        <v/>
      </c>
      <c r="B9" s="215"/>
      <c r="C9" s="216" t="str">
        <f>IF(COUNTIF('PATIENT DATA (072721)'!A:A, B9)=0, "X","✓")</f>
        <v>X</v>
      </c>
      <c r="D9" s="226" t="str">
        <f>IFS($B9=FALSE,"",$B9,VLOOKUP($B9,'PATIENT DATA (072721)'!A:C, 3, 0))</f>
        <v/>
      </c>
      <c r="E9" s="218"/>
      <c r="F9" s="219" t="str">
        <f>ifs($B9="","",$B9, VLOOKUP($B9&amp;$E9, 'VISIT DATA'!A:O,3,0))</f>
        <v/>
      </c>
      <c r="G9" s="220"/>
      <c r="H9" s="221"/>
      <c r="I9" s="222" t="str">
        <f>VLOOKUP($B9&amp;$E9,'VISIT DATA'!A:J, 9, FALSE)</f>
        <v>#N/A</v>
      </c>
      <c r="J9" s="223" t="str">
        <f>VLOOKUP(B9&amp;E9,'VISIT DATA'!A:N,10,FALSE)</f>
        <v>#N/A</v>
      </c>
      <c r="K9" s="242"/>
      <c r="L9" s="224"/>
      <c r="M9" s="224"/>
      <c r="N9" s="225"/>
      <c r="O9" s="216" t="str">
        <f t="shared" si="1"/>
        <v>X</v>
      </c>
      <c r="P9" s="226" t="str">
        <f t="shared" si="2"/>
        <v>#N/A</v>
      </c>
      <c r="Q9" s="227" t="str">
        <f t="shared" si="3"/>
        <v>#N/A</v>
      </c>
      <c r="R9" s="228" t="str">
        <f t="shared" si="4"/>
        <v>#N/A</v>
      </c>
      <c r="S9" s="220" t="str">
        <f t="shared" si="5"/>
        <v>#N/A</v>
      </c>
      <c r="T9" s="220" t="str">
        <f t="shared" si="6"/>
        <v>#N/A</v>
      </c>
      <c r="U9" s="221">
        <f t="shared" si="7"/>
        <v>0</v>
      </c>
      <c r="V9" s="229" t="str">
        <f>ifs($N9="",VLOOKUP($B9&amp;$E9,'VISIT DATA'!$A$2:$J100,7,FALSE), $N9="SWAB","OUTSA-RW",$N9="SWQU","OUTSA-SaQu", AND($L9="X",$M9="X",$N9="QUEST"),"OUT-UAQPre",$N9="QUEST","OUT-UAQ", $N9="Walk in","ColUATele")</f>
        <v>#N/A</v>
      </c>
      <c r="W9" s="24" t="str">
        <f t="shared" si="8"/>
        <v>#N/A</v>
      </c>
      <c r="X9" s="222" t="str">
        <f t="shared" si="9"/>
        <v/>
      </c>
      <c r="Y9" s="222" t="str">
        <f t="shared" si="10"/>
        <v/>
      </c>
      <c r="Z9" s="224" t="str">
        <f t="shared" si="11"/>
        <v> </v>
      </c>
      <c r="AA9" s="243"/>
    </row>
    <row r="10">
      <c r="A10" s="214" t="str">
        <f>IFS($B10=FALSE,"",$B10,VLOOKUP($B10,'PATIENT DATA (072721)'!A:C, 2, 0))</f>
        <v/>
      </c>
      <c r="B10" s="215"/>
      <c r="C10" s="216" t="str">
        <f>IF(COUNTIF('PATIENT DATA (072721)'!A:A, B10)=0, "X","✓")</f>
        <v>X</v>
      </c>
      <c r="D10" s="226" t="str">
        <f>IFS($B10=FALSE,"",$B10,VLOOKUP($B10,'PATIENT DATA (072721)'!A:C, 3, 0))</f>
        <v/>
      </c>
      <c r="E10" s="218"/>
      <c r="F10" s="219" t="str">
        <f>ifs($B10="","",$B10, VLOOKUP($B10&amp;$E10, 'VISIT DATA'!A:O,3,0))</f>
        <v/>
      </c>
      <c r="G10" s="220"/>
      <c r="H10" s="221"/>
      <c r="I10" s="222" t="str">
        <f>VLOOKUP($B10&amp;$E10,'VISIT DATA'!A:J, 9, FALSE)</f>
        <v>#N/A</v>
      </c>
      <c r="J10" s="223" t="str">
        <f>VLOOKUP(B10&amp;E10,'VISIT DATA'!A:N,10,FALSE)</f>
        <v>#N/A</v>
      </c>
      <c r="K10" s="242"/>
      <c r="L10" s="224"/>
      <c r="M10" s="224"/>
      <c r="N10" s="225"/>
      <c r="O10" s="216" t="str">
        <f t="shared" si="1"/>
        <v>X</v>
      </c>
      <c r="P10" s="226" t="str">
        <f t="shared" si="2"/>
        <v>#N/A</v>
      </c>
      <c r="Q10" s="227" t="str">
        <f t="shared" si="3"/>
        <v>#N/A</v>
      </c>
      <c r="R10" s="228" t="str">
        <f t="shared" si="4"/>
        <v>#N/A</v>
      </c>
      <c r="S10" s="220" t="str">
        <f t="shared" si="5"/>
        <v>#N/A</v>
      </c>
      <c r="T10" s="220" t="str">
        <f t="shared" si="6"/>
        <v>#N/A</v>
      </c>
      <c r="U10" s="221">
        <f t="shared" si="7"/>
        <v>0</v>
      </c>
      <c r="V10" s="229" t="str">
        <f>ifs($N10="",VLOOKUP($B10&amp;$E10,'VISIT DATA'!$A$2:$J100,7,FALSE), $N10="SWAB","OUTSA-RW",$N10="SWQU","OUTSA-SaQu", AND($L10="X",$M10="X",$N10="QUEST"),"OUT-UAQPre",$N10="QUEST","OUT-UAQ", $N10="Walk in","ColUATele")</f>
        <v>#N/A</v>
      </c>
      <c r="W10" s="24" t="str">
        <f t="shared" si="8"/>
        <v>#N/A</v>
      </c>
      <c r="X10" s="222" t="str">
        <f t="shared" si="9"/>
        <v/>
      </c>
      <c r="Y10" s="222" t="str">
        <f t="shared" si="10"/>
        <v/>
      </c>
      <c r="Z10" s="224" t="str">
        <f t="shared" si="11"/>
        <v> </v>
      </c>
      <c r="AA10" s="243"/>
    </row>
    <row r="11">
      <c r="A11" s="214" t="str">
        <f>IFS($B11=FALSE,"",$B11,VLOOKUP($B11,'PATIENT DATA (072721)'!A:C, 2, 0))</f>
        <v/>
      </c>
      <c r="B11" s="215"/>
      <c r="C11" s="216" t="str">
        <f>IF(COUNTIF('PATIENT DATA (072721)'!A:A, B11)=0, "X","✓")</f>
        <v>X</v>
      </c>
      <c r="D11" s="226" t="str">
        <f>IFS($B11=FALSE,"",$B11,VLOOKUP($B11,'PATIENT DATA (072721)'!A:C, 3, 0))</f>
        <v/>
      </c>
      <c r="E11" s="218"/>
      <c r="F11" s="219" t="str">
        <f>ifs($B11="","",$B11, VLOOKUP($B11&amp;$E11, 'VISIT DATA'!A:O,3,0))</f>
        <v/>
      </c>
      <c r="G11" s="220"/>
      <c r="H11" s="221"/>
      <c r="I11" s="222" t="str">
        <f>VLOOKUP($B11&amp;$E11,'VISIT DATA'!A:J, 9, FALSE)</f>
        <v>#N/A</v>
      </c>
      <c r="J11" s="223" t="str">
        <f>VLOOKUP(B11&amp;E11,'VISIT DATA'!A:N,10,FALSE)</f>
        <v>#N/A</v>
      </c>
      <c r="K11" s="242"/>
      <c r="L11" s="224"/>
      <c r="M11" s="224"/>
      <c r="N11" s="225"/>
      <c r="O11" s="216" t="str">
        <f t="shared" si="1"/>
        <v>X</v>
      </c>
      <c r="P11" s="226" t="str">
        <f t="shared" si="2"/>
        <v>#N/A</v>
      </c>
      <c r="Q11" s="227" t="str">
        <f t="shared" si="3"/>
        <v>#N/A</v>
      </c>
      <c r="R11" s="228" t="str">
        <f t="shared" si="4"/>
        <v>#N/A</v>
      </c>
      <c r="S11" s="220" t="str">
        <f t="shared" si="5"/>
        <v>#N/A</v>
      </c>
      <c r="T11" s="220" t="str">
        <f t="shared" si="6"/>
        <v>#N/A</v>
      </c>
      <c r="U11" s="221">
        <f t="shared" si="7"/>
        <v>0</v>
      </c>
      <c r="V11" s="229" t="str">
        <f>ifs($N11="",VLOOKUP($B11&amp;$E11,'VISIT DATA'!$A$2:$J100,7,FALSE), $N11="SWAB","OUTSA-RW",$N11="SWQU","OUTSA-SaQu", AND($L11="X",$M11="X",$N11="QUEST"),"OUT-UAQPre",$N11="QUEST","OUT-UAQ", $N11="Walk in","ColUATele")</f>
        <v>#N/A</v>
      </c>
      <c r="W11" s="24" t="str">
        <f t="shared" si="8"/>
        <v>#N/A</v>
      </c>
      <c r="X11" s="222" t="str">
        <f t="shared" si="9"/>
        <v/>
      </c>
      <c r="Y11" s="222" t="str">
        <f t="shared" si="10"/>
        <v/>
      </c>
      <c r="Z11" s="224" t="str">
        <f t="shared" si="11"/>
        <v> </v>
      </c>
      <c r="AA11" s="243"/>
    </row>
    <row r="12">
      <c r="A12" s="214" t="str">
        <f>IFS($B12=FALSE,"",$B12,VLOOKUP($B12,'PATIENT DATA (072721)'!A:C, 2, 0))</f>
        <v/>
      </c>
      <c r="B12" s="215"/>
      <c r="C12" s="216" t="str">
        <f>IF(COUNTIF('PATIENT DATA (072721)'!A:A, B12)=0, "X","✓")</f>
        <v>X</v>
      </c>
      <c r="D12" s="226" t="str">
        <f>IFS($B12=FALSE,"",$B12,VLOOKUP($B12,'PATIENT DATA (072721)'!A:C, 3, 0))</f>
        <v/>
      </c>
      <c r="E12" s="218"/>
      <c r="F12" s="219" t="str">
        <f>ifs($B12="","",$B12, VLOOKUP($B12&amp;$E12, 'VISIT DATA'!A:O,3,0))</f>
        <v/>
      </c>
      <c r="G12" s="220"/>
      <c r="H12" s="221"/>
      <c r="I12" s="222" t="str">
        <f>VLOOKUP($B12&amp;$E12,'VISIT DATA'!A:J, 9, FALSE)</f>
        <v>#N/A</v>
      </c>
      <c r="J12" s="223" t="str">
        <f>VLOOKUP(B12&amp;E12,'VISIT DATA'!A:N,10,FALSE)</f>
        <v>#N/A</v>
      </c>
      <c r="K12" s="242"/>
      <c r="L12" s="224"/>
      <c r="M12" s="224"/>
      <c r="N12" s="225"/>
      <c r="O12" s="216" t="str">
        <f t="shared" si="1"/>
        <v>X</v>
      </c>
      <c r="P12" s="226" t="str">
        <f t="shared" si="2"/>
        <v>#N/A</v>
      </c>
      <c r="Q12" s="227" t="str">
        <f t="shared" si="3"/>
        <v>#N/A</v>
      </c>
      <c r="R12" s="228" t="str">
        <f t="shared" si="4"/>
        <v>#N/A</v>
      </c>
      <c r="S12" s="220" t="str">
        <f t="shared" si="5"/>
        <v>#N/A</v>
      </c>
      <c r="T12" s="220" t="str">
        <f t="shared" si="6"/>
        <v>#N/A</v>
      </c>
      <c r="U12" s="221">
        <f t="shared" si="7"/>
        <v>0</v>
      </c>
      <c r="V12" s="229" t="str">
        <f>ifs($N12="",VLOOKUP($B12&amp;$E12,'VISIT DATA'!$A$2:$J100,7,FALSE), $N12="SWAB","OUTSA-RW",$N12="SWQU","OUTSA-SaQu", AND($L12="X",$M12="X",$N12="QUEST"),"OUT-UAQPre",$N12="QUEST","OUT-UAQ", $N12="Walk in","ColUATele")</f>
        <v>#N/A</v>
      </c>
      <c r="W12" s="24" t="str">
        <f t="shared" si="8"/>
        <v>#N/A</v>
      </c>
      <c r="X12" s="222" t="str">
        <f t="shared" si="9"/>
        <v/>
      </c>
      <c r="Y12" s="222" t="str">
        <f t="shared" si="10"/>
        <v/>
      </c>
      <c r="Z12" s="224" t="str">
        <f t="shared" si="11"/>
        <v> </v>
      </c>
      <c r="AA12" s="243"/>
    </row>
    <row r="13">
      <c r="A13" s="214" t="str">
        <f>IFS($B13=FALSE,"",$B13,VLOOKUP($B13,'PATIENT DATA (072721)'!A:C, 2, 0))</f>
        <v/>
      </c>
      <c r="B13" s="215"/>
      <c r="C13" s="216" t="str">
        <f>IF(COUNTIF('PATIENT DATA (072721)'!A:A, B13)=0, "X","✓")</f>
        <v>X</v>
      </c>
      <c r="D13" s="226" t="str">
        <f>IFS($B13=FALSE,"",$B13,VLOOKUP($B13,'PATIENT DATA (072721)'!A:C, 3, 0))</f>
        <v/>
      </c>
      <c r="E13" s="218"/>
      <c r="F13" s="219" t="str">
        <f>ifs($B13="","",$B13, VLOOKUP($B13&amp;$E13, 'VISIT DATA'!A:O,3,0))</f>
        <v/>
      </c>
      <c r="G13" s="220"/>
      <c r="H13" s="221"/>
      <c r="I13" s="222" t="str">
        <f>VLOOKUP($B13&amp;$E13,'VISIT DATA'!A:J, 9, FALSE)</f>
        <v>#N/A</v>
      </c>
      <c r="J13" s="223" t="str">
        <f>VLOOKUP(B13&amp;E13,'VISIT DATA'!A:N,10,FALSE)</f>
        <v>#N/A</v>
      </c>
      <c r="K13" s="242"/>
      <c r="L13" s="224"/>
      <c r="M13" s="224"/>
      <c r="N13" s="225"/>
      <c r="O13" s="216" t="str">
        <f t="shared" si="1"/>
        <v>X</v>
      </c>
      <c r="P13" s="226" t="str">
        <f t="shared" si="2"/>
        <v>#N/A</v>
      </c>
      <c r="Q13" s="227" t="str">
        <f t="shared" si="3"/>
        <v>#N/A</v>
      </c>
      <c r="R13" s="228" t="str">
        <f t="shared" si="4"/>
        <v>#N/A</v>
      </c>
      <c r="S13" s="220" t="str">
        <f t="shared" si="5"/>
        <v>#N/A</v>
      </c>
      <c r="T13" s="220" t="str">
        <f t="shared" si="6"/>
        <v>#N/A</v>
      </c>
      <c r="U13" s="221">
        <f t="shared" si="7"/>
        <v>0</v>
      </c>
      <c r="V13" s="229" t="str">
        <f>ifs($N13="",VLOOKUP($B13&amp;$E13,'VISIT DATA'!$A$2:$J100,7,FALSE), $N13="SWAB","OUTSA-RW",$N13="SWQU","OUTSA-SaQu", AND($L13="X",$M13="X",$N13="QUEST"),"OUT-UAQPre",$N13="QUEST","OUT-UAQ", $N13="Walk in","ColUATele")</f>
        <v>#N/A</v>
      </c>
      <c r="W13" s="24" t="str">
        <f t="shared" si="8"/>
        <v>#N/A</v>
      </c>
      <c r="X13" s="222" t="str">
        <f t="shared" si="9"/>
        <v/>
      </c>
      <c r="Y13" s="222" t="str">
        <f t="shared" si="10"/>
        <v/>
      </c>
      <c r="Z13" s="224" t="str">
        <f t="shared" si="11"/>
        <v> </v>
      </c>
      <c r="AA13" s="243"/>
    </row>
    <row r="14">
      <c r="A14" s="214" t="str">
        <f>IFS($B14=FALSE,"",$B14,VLOOKUP($B14,'PATIENT DATA (072721)'!A:C, 2, 0))</f>
        <v/>
      </c>
      <c r="B14" s="215"/>
      <c r="C14" s="216" t="str">
        <f>IF(COUNTIF('PATIENT DATA (072721)'!A:A, B14)=0, "X","✓")</f>
        <v>X</v>
      </c>
      <c r="D14" s="226" t="str">
        <f>IFS($B14=FALSE,"",$B14,VLOOKUP($B14,'PATIENT DATA (072721)'!A:C, 3, 0))</f>
        <v/>
      </c>
      <c r="E14" s="218"/>
      <c r="F14" s="219" t="str">
        <f>ifs($B14="","",$B14, VLOOKUP($B14&amp;$E14, 'VISIT DATA'!A:O,3,0))</f>
        <v/>
      </c>
      <c r="G14" s="220"/>
      <c r="H14" s="221"/>
      <c r="I14" s="222" t="str">
        <f>VLOOKUP($B14&amp;$E14,'VISIT DATA'!A:J, 9, FALSE)</f>
        <v>#N/A</v>
      </c>
      <c r="J14" s="223" t="str">
        <f>VLOOKUP(B14&amp;E14,'VISIT DATA'!A:N,10,FALSE)</f>
        <v>#N/A</v>
      </c>
      <c r="K14" s="225"/>
      <c r="L14" s="224"/>
      <c r="M14" s="224"/>
      <c r="N14" s="225"/>
      <c r="O14" s="216" t="str">
        <f t="shared" si="1"/>
        <v>X</v>
      </c>
      <c r="P14" s="226" t="str">
        <f t="shared" si="2"/>
        <v>#N/A</v>
      </c>
      <c r="Q14" s="227" t="str">
        <f t="shared" si="3"/>
        <v>#N/A</v>
      </c>
      <c r="R14" s="228" t="str">
        <f t="shared" si="4"/>
        <v>#N/A</v>
      </c>
      <c r="S14" s="220" t="str">
        <f t="shared" si="5"/>
        <v>#N/A</v>
      </c>
      <c r="T14" s="220" t="str">
        <f t="shared" si="6"/>
        <v>#N/A</v>
      </c>
      <c r="U14" s="221">
        <f t="shared" si="7"/>
        <v>0</v>
      </c>
      <c r="V14" s="229" t="str">
        <f>ifs($N14="",VLOOKUP($B14&amp;$E14,'VISIT DATA'!$A$2:$J100,7,FALSE), $N14="SWAB","OUTSA-RW",$N14="SWQU","OUTSA-SaQu", AND($L14="X",$M14="X",$N14="QUEST"),"OUT-UAQPre",$N14="QUEST","OUT-UAQ", $N14="Walk in","ColUATele")</f>
        <v>#N/A</v>
      </c>
      <c r="W14" s="24" t="str">
        <f t="shared" si="8"/>
        <v>#N/A</v>
      </c>
      <c r="X14" s="222" t="str">
        <f t="shared" si="9"/>
        <v/>
      </c>
      <c r="Y14" s="222" t="str">
        <f t="shared" si="10"/>
        <v/>
      </c>
      <c r="Z14" s="224" t="str">
        <f t="shared" si="11"/>
        <v> </v>
      </c>
      <c r="AA14" s="244"/>
    </row>
    <row r="15">
      <c r="A15" s="214" t="str">
        <f>IFS($B15=FALSE,"",$B15,VLOOKUP($B15,'PATIENT DATA (072721)'!A:C, 2, 0))</f>
        <v/>
      </c>
      <c r="B15" s="215"/>
      <c r="C15" s="216" t="str">
        <f>IF(COUNTIF('PATIENT DATA (072721)'!A:A, B15)=0, "X","✓")</f>
        <v>X</v>
      </c>
      <c r="D15" s="226" t="str">
        <f>IFS($B15=FALSE,"",$B15,VLOOKUP($B15,'PATIENT DATA (072721)'!A:C, 3, 0))</f>
        <v/>
      </c>
      <c r="E15" s="218"/>
      <c r="F15" s="219" t="str">
        <f>ifs($B15="","",$B15, VLOOKUP($B15&amp;$E15, 'VISIT DATA'!A:O,3,0))</f>
        <v/>
      </c>
      <c r="G15" s="220"/>
      <c r="H15" s="221"/>
      <c r="I15" s="222" t="str">
        <f>VLOOKUP($B15&amp;$E15,'VISIT DATA'!A:J, 9, FALSE)</f>
        <v>#N/A</v>
      </c>
      <c r="J15" s="223" t="str">
        <f>VLOOKUP(B15&amp;E15,'VISIT DATA'!A:N,10,FALSE)</f>
        <v>#N/A</v>
      </c>
      <c r="K15" s="225"/>
      <c r="L15" s="224"/>
      <c r="M15" s="224"/>
      <c r="N15" s="225"/>
      <c r="O15" s="216" t="str">
        <f t="shared" si="1"/>
        <v>X</v>
      </c>
      <c r="P15" s="226" t="str">
        <f t="shared" si="2"/>
        <v>#N/A</v>
      </c>
      <c r="Q15" s="227" t="str">
        <f t="shared" si="3"/>
        <v>#N/A</v>
      </c>
      <c r="R15" s="228" t="str">
        <f t="shared" si="4"/>
        <v>#N/A</v>
      </c>
      <c r="S15" s="220" t="str">
        <f t="shared" si="5"/>
        <v>#N/A</v>
      </c>
      <c r="T15" s="220" t="str">
        <f t="shared" si="6"/>
        <v>#N/A</v>
      </c>
      <c r="U15" s="221">
        <f t="shared" si="7"/>
        <v>0</v>
      </c>
      <c r="V15" s="229" t="str">
        <f>ifs($N15="",VLOOKUP($B15&amp;$E15,'VISIT DATA'!$A$2:$J100,7,FALSE), $N15="SWAB","OUTSA-RW",$N15="SWQU","OUTSA-SaQu", AND($L15="X",$M15="X",$N15="QUEST"),"OUT-UAQPre",$N15="QUEST","OUT-UAQ", $N15="Walk in","ColUATele")</f>
        <v>#N/A</v>
      </c>
      <c r="W15" s="24" t="str">
        <f t="shared" si="8"/>
        <v>#N/A</v>
      </c>
      <c r="X15" s="222" t="str">
        <f t="shared" si="9"/>
        <v/>
      </c>
      <c r="Y15" s="222" t="str">
        <f t="shared" si="10"/>
        <v/>
      </c>
      <c r="Z15" s="224" t="str">
        <f t="shared" si="11"/>
        <v> </v>
      </c>
      <c r="AA15" s="244"/>
    </row>
    <row r="16">
      <c r="A16" s="214" t="str">
        <f>IFS($B16=FALSE,"",$B16,VLOOKUP($B16,'PATIENT DATA (072721)'!A:C, 2, 0))</f>
        <v/>
      </c>
      <c r="B16" s="215"/>
      <c r="C16" s="216" t="str">
        <f>IF(COUNTIF('PATIENT DATA (072721)'!A:A, B16)=0, "X","✓")</f>
        <v>X</v>
      </c>
      <c r="D16" s="226" t="str">
        <f>IFS($B16=FALSE,"",$B16,VLOOKUP($B16,'PATIENT DATA (072721)'!A:C, 3, 0))</f>
        <v/>
      </c>
      <c r="E16" s="218"/>
      <c r="F16" s="219" t="str">
        <f>ifs($B16="","",$B16, VLOOKUP($B16&amp;$E16, 'VISIT DATA'!A:O,3,0))</f>
        <v/>
      </c>
      <c r="G16" s="220"/>
      <c r="H16" s="221"/>
      <c r="I16" s="222" t="str">
        <f>VLOOKUP($B16&amp;$E16,'VISIT DATA'!A:J, 9, FALSE)</f>
        <v>#N/A</v>
      </c>
      <c r="J16" s="223" t="str">
        <f>VLOOKUP(B16&amp;E16,'VISIT DATA'!A:N,10,FALSE)</f>
        <v>#N/A</v>
      </c>
      <c r="K16" s="224"/>
      <c r="L16" s="224"/>
      <c r="M16" s="224"/>
      <c r="N16" s="225"/>
      <c r="O16" s="216" t="str">
        <f t="shared" si="1"/>
        <v>X</v>
      </c>
      <c r="P16" s="226" t="str">
        <f t="shared" si="2"/>
        <v>#N/A</v>
      </c>
      <c r="Q16" s="227" t="str">
        <f t="shared" si="3"/>
        <v>#N/A</v>
      </c>
      <c r="R16" s="228" t="str">
        <f t="shared" si="4"/>
        <v>#N/A</v>
      </c>
      <c r="S16" s="220" t="str">
        <f t="shared" si="5"/>
        <v>#N/A</v>
      </c>
      <c r="T16" s="220" t="str">
        <f t="shared" si="6"/>
        <v>#N/A</v>
      </c>
      <c r="U16" s="221">
        <f t="shared" si="7"/>
        <v>0</v>
      </c>
      <c r="V16" s="229" t="str">
        <f>ifs($N16="",VLOOKUP($B16&amp;$E16,'VISIT DATA'!$A$2:$J100,7,FALSE), $N16="SWAB","OUTSA-RW",$N16="SWQU","OUTSA-SaQu", AND($L16="X",$M16="X",$N16="QUEST"),"OUT-UAQPre",$N16="QUEST","OUT-UAQ", $N16="Walk in","ColUATele")</f>
        <v>#N/A</v>
      </c>
      <c r="W16" s="24" t="str">
        <f t="shared" si="8"/>
        <v>#N/A</v>
      </c>
      <c r="X16" s="222" t="str">
        <f t="shared" si="9"/>
        <v/>
      </c>
      <c r="Y16" s="222" t="str">
        <f t="shared" si="10"/>
        <v/>
      </c>
      <c r="Z16" s="224" t="str">
        <f t="shared" si="11"/>
        <v> </v>
      </c>
      <c r="AA16" s="244"/>
    </row>
    <row r="17">
      <c r="A17" s="214" t="str">
        <f>IFS($B17=FALSE,"",$B17,VLOOKUP($B17,'PATIENT DATA (072721)'!A:C, 2, 0))</f>
        <v/>
      </c>
      <c r="B17" s="215"/>
      <c r="C17" s="216" t="str">
        <f>IF(COUNTIF('PATIENT DATA (072721)'!A:A, B17)=0, "X","✓")</f>
        <v>X</v>
      </c>
      <c r="D17" s="226" t="str">
        <f>IFS($B17=FALSE,"",$B17,VLOOKUP($B17,'PATIENT DATA (072721)'!A:C, 3, 0))</f>
        <v/>
      </c>
      <c r="E17" s="218"/>
      <c r="F17" s="219" t="str">
        <f>ifs($B17="","",$B17, VLOOKUP($B17&amp;$E17, 'VISIT DATA'!A:O,3,0))</f>
        <v/>
      </c>
      <c r="G17" s="220"/>
      <c r="H17" s="221"/>
      <c r="I17" s="222" t="str">
        <f>VLOOKUP($B17&amp;$E17,'VISIT DATA'!A:J, 9, FALSE)</f>
        <v>#N/A</v>
      </c>
      <c r="J17" s="223" t="str">
        <f>VLOOKUP(B17&amp;E17,'VISIT DATA'!A:N,10,FALSE)</f>
        <v>#N/A</v>
      </c>
      <c r="K17" s="225"/>
      <c r="L17" s="224"/>
      <c r="M17" s="224"/>
      <c r="N17" s="224"/>
      <c r="O17" s="216" t="str">
        <f t="shared" si="1"/>
        <v>X</v>
      </c>
      <c r="P17" s="226" t="str">
        <f t="shared" si="2"/>
        <v>#N/A</v>
      </c>
      <c r="Q17" s="227" t="str">
        <f t="shared" si="3"/>
        <v>#N/A</v>
      </c>
      <c r="R17" s="228" t="str">
        <f t="shared" si="4"/>
        <v>#N/A</v>
      </c>
      <c r="S17" s="220" t="str">
        <f t="shared" si="5"/>
        <v>#N/A</v>
      </c>
      <c r="T17" s="220" t="str">
        <f t="shared" si="6"/>
        <v>#N/A</v>
      </c>
      <c r="U17" s="221">
        <f t="shared" si="7"/>
        <v>0</v>
      </c>
      <c r="V17" s="229" t="str">
        <f>ifs($N17="",VLOOKUP($B17&amp;$E17,'VISIT DATA'!$A$2:$J100,7,FALSE), $N17="SWAB","OUTSA-RW",$N17="SWQU","OUTSA-SaQu", AND($L17="X",$M17="X",$N17="QUEST"),"OUT-UAQPre",$N17="QUEST","OUT-UAQ", $N17="Walk in","ColUATele")</f>
        <v>#N/A</v>
      </c>
      <c r="W17" s="24" t="str">
        <f t="shared" si="8"/>
        <v>#N/A</v>
      </c>
      <c r="X17" s="222" t="str">
        <f t="shared" si="9"/>
        <v/>
      </c>
      <c r="Y17" s="222" t="str">
        <f t="shared" si="10"/>
        <v/>
      </c>
      <c r="Z17" s="224" t="str">
        <f t="shared" si="11"/>
        <v> </v>
      </c>
      <c r="AA17" s="245"/>
    </row>
    <row r="18">
      <c r="A18" s="214" t="str">
        <f>IFS($B18=FALSE,"",$B18,VLOOKUP($B18,'PATIENT DATA (072721)'!A:C, 2, 0))</f>
        <v/>
      </c>
      <c r="B18" s="215"/>
      <c r="C18" s="216" t="str">
        <f>IF(COUNTIF('PATIENT DATA (072721)'!A:A, B18)=0, "X","✓")</f>
        <v>X</v>
      </c>
      <c r="D18" s="226" t="str">
        <f>IFS($B18=FALSE,"",$B18,VLOOKUP($B18,'PATIENT DATA (072721)'!A:C, 3, 0))</f>
        <v/>
      </c>
      <c r="E18" s="218"/>
      <c r="F18" s="219" t="str">
        <f>ifs($B18="","",$B18, VLOOKUP($B18&amp;$E18, 'VISIT DATA'!A:O,3,0))</f>
        <v/>
      </c>
      <c r="G18" s="220"/>
      <c r="H18" s="221"/>
      <c r="I18" s="222" t="str">
        <f>VLOOKUP($B18&amp;$E18,'VISIT DATA'!A:J, 9, FALSE)</f>
        <v>#N/A</v>
      </c>
      <c r="J18" s="223" t="str">
        <f>VLOOKUP(B18&amp;E18,'VISIT DATA'!A:N,10,FALSE)</f>
        <v>#N/A</v>
      </c>
      <c r="K18" s="224"/>
      <c r="L18" s="224"/>
      <c r="M18" s="224"/>
      <c r="N18" s="224"/>
      <c r="O18" s="216" t="str">
        <f t="shared" si="1"/>
        <v>X</v>
      </c>
      <c r="P18" s="226" t="str">
        <f t="shared" si="2"/>
        <v>#N/A</v>
      </c>
      <c r="Q18" s="227" t="str">
        <f t="shared" si="3"/>
        <v>#N/A</v>
      </c>
      <c r="R18" s="228" t="str">
        <f t="shared" si="4"/>
        <v>#N/A</v>
      </c>
      <c r="S18" s="220" t="str">
        <f t="shared" si="5"/>
        <v>#N/A</v>
      </c>
      <c r="T18" s="220" t="str">
        <f t="shared" si="6"/>
        <v>#N/A</v>
      </c>
      <c r="U18" s="221">
        <f t="shared" si="7"/>
        <v>0</v>
      </c>
      <c r="V18" s="229" t="str">
        <f>ifs($N18="",VLOOKUP($B18&amp;$E18,'VISIT DATA'!$A$2:$J100,7,FALSE), $N18="SWAB","OUTSA-RW",$N18="SWQU","OUTSA-SaQu", AND($L18="X",$M18="X",$N18="QUEST"),"OUT-UAQPre",$N18="QUEST","OUT-UAQ", $N18="Walk in","ColUATele")</f>
        <v>#N/A</v>
      </c>
      <c r="W18" s="24" t="str">
        <f t="shared" si="8"/>
        <v>#N/A</v>
      </c>
      <c r="X18" s="222" t="str">
        <f t="shared" si="9"/>
        <v/>
      </c>
      <c r="Y18" s="222" t="str">
        <f t="shared" si="10"/>
        <v/>
      </c>
      <c r="Z18" s="224" t="str">
        <f t="shared" si="11"/>
        <v> </v>
      </c>
      <c r="AA18" s="244"/>
    </row>
    <row r="19">
      <c r="A19" s="214" t="str">
        <f>IFS($B19=FALSE,"",$B19,VLOOKUP($B19,'PATIENT DATA (072721)'!A:C, 2, 0))</f>
        <v/>
      </c>
      <c r="B19" s="215"/>
      <c r="C19" s="216" t="str">
        <f>IF(COUNTIF('PATIENT DATA (072721)'!A:A, B19)=0, "X","✓")</f>
        <v>X</v>
      </c>
      <c r="D19" s="226" t="str">
        <f>IFS($B19=FALSE,"",$B19,VLOOKUP($B19,'PATIENT DATA (072721)'!A:C, 3, 0))</f>
        <v/>
      </c>
      <c r="E19" s="218"/>
      <c r="F19" s="219" t="str">
        <f>ifs($B19="","",$B19, VLOOKUP($B19&amp;$E19, 'VISIT DATA'!A:O,3,0))</f>
        <v/>
      </c>
      <c r="G19" s="220"/>
      <c r="H19" s="221"/>
      <c r="I19" s="222" t="str">
        <f>VLOOKUP($B19&amp;$E19,'VISIT DATA'!A:J, 9, FALSE)</f>
        <v>#N/A</v>
      </c>
      <c r="J19" s="223" t="str">
        <f>VLOOKUP(B19&amp;E19,'VISIT DATA'!A:N,10,FALSE)</f>
        <v>#N/A</v>
      </c>
      <c r="K19" s="225"/>
      <c r="L19" s="224"/>
      <c r="M19" s="224"/>
      <c r="N19" s="225"/>
      <c r="O19" s="216" t="str">
        <f t="shared" si="1"/>
        <v>X</v>
      </c>
      <c r="P19" s="226" t="str">
        <f t="shared" si="2"/>
        <v>#N/A</v>
      </c>
      <c r="Q19" s="227" t="str">
        <f t="shared" si="3"/>
        <v>#N/A</v>
      </c>
      <c r="R19" s="228" t="str">
        <f t="shared" si="4"/>
        <v>#N/A</v>
      </c>
      <c r="S19" s="220" t="str">
        <f t="shared" si="5"/>
        <v>#N/A</v>
      </c>
      <c r="T19" s="220" t="str">
        <f t="shared" si="6"/>
        <v>#N/A</v>
      </c>
      <c r="U19" s="221">
        <f t="shared" si="7"/>
        <v>0</v>
      </c>
      <c r="V19" s="229" t="str">
        <f>ifs($N19="",VLOOKUP($B19&amp;$E19,'VISIT DATA'!$A$2:$J100,7,FALSE), $N19="SWAB","OUTSA-RW",$N19="SWQU","OUTSA-SaQu", AND($L19="X",$M19="X",$N19="QUEST"),"OUT-UAQPre",$N19="QUEST","OUT-UAQ", $N19="Walk in","ColUATele")</f>
        <v>#N/A</v>
      </c>
      <c r="W19" s="24" t="str">
        <f t="shared" si="8"/>
        <v>#N/A</v>
      </c>
      <c r="X19" s="222" t="str">
        <f t="shared" si="9"/>
        <v/>
      </c>
      <c r="Y19" s="222" t="str">
        <f t="shared" si="10"/>
        <v/>
      </c>
      <c r="Z19" s="224" t="str">
        <f t="shared" si="11"/>
        <v> </v>
      </c>
      <c r="AA19" s="244"/>
    </row>
    <row r="20">
      <c r="A20" s="214" t="str">
        <f>IFS($B20=FALSE,"",$B20,VLOOKUP($B20,'PATIENT DATA (072721)'!A:C, 2, 0))</f>
        <v/>
      </c>
      <c r="B20" s="215"/>
      <c r="C20" s="216" t="str">
        <f>IF(COUNTIF('PATIENT DATA (072721)'!A:A, B20)=0, "X","✓")</f>
        <v>X</v>
      </c>
      <c r="D20" s="226" t="str">
        <f>IFS($B20=FALSE,"",$B20,VLOOKUP($B20,'PATIENT DATA (072721)'!A:C, 3, 0))</f>
        <v/>
      </c>
      <c r="E20" s="218"/>
      <c r="F20" s="219" t="str">
        <f>ifs($B20="","",$B20, VLOOKUP($B20&amp;$E20, 'VISIT DATA'!A:O,3,0))</f>
        <v/>
      </c>
      <c r="G20" s="220"/>
      <c r="H20" s="221"/>
      <c r="I20" s="222" t="str">
        <f>VLOOKUP($B20&amp;$E20,'VISIT DATA'!A:J, 9, FALSE)</f>
        <v>#N/A</v>
      </c>
      <c r="J20" s="223" t="str">
        <f>VLOOKUP(B20&amp;E20,'VISIT DATA'!A:N,10,FALSE)</f>
        <v>#N/A</v>
      </c>
      <c r="K20" s="225"/>
      <c r="L20" s="224"/>
      <c r="M20" s="224"/>
      <c r="N20" s="224"/>
      <c r="O20" s="216" t="str">
        <f t="shared" si="1"/>
        <v>X</v>
      </c>
      <c r="P20" s="226" t="str">
        <f t="shared" si="2"/>
        <v>#N/A</v>
      </c>
      <c r="Q20" s="227" t="str">
        <f t="shared" si="3"/>
        <v>#N/A</v>
      </c>
      <c r="R20" s="228" t="str">
        <f t="shared" si="4"/>
        <v>#N/A</v>
      </c>
      <c r="S20" s="220" t="str">
        <f t="shared" si="5"/>
        <v>#N/A</v>
      </c>
      <c r="T20" s="220" t="str">
        <f t="shared" si="6"/>
        <v>#N/A</v>
      </c>
      <c r="U20" s="221">
        <f t="shared" si="7"/>
        <v>0</v>
      </c>
      <c r="V20" s="229" t="str">
        <f>ifs($N20="",VLOOKUP($B20&amp;$E20,'VISIT DATA'!$A$2:$J100,7,FALSE), $N20="SWAB","OUTSA-RW",$N20="SWQU","OUTSA-SaQu", AND($L20="X",$M20="X",$N20="QUEST"),"OUT-UAQPre",$N20="QUEST","OUT-UAQ", $N20="Walk in","ColUATele")</f>
        <v>#N/A</v>
      </c>
      <c r="W20" s="24" t="str">
        <f t="shared" si="8"/>
        <v>#N/A</v>
      </c>
      <c r="X20" s="222" t="str">
        <f t="shared" si="9"/>
        <v/>
      </c>
      <c r="Y20" s="222" t="str">
        <f t="shared" si="10"/>
        <v/>
      </c>
      <c r="Z20" s="224" t="str">
        <f t="shared" si="11"/>
        <v> </v>
      </c>
      <c r="AA20" s="244"/>
    </row>
    <row r="21">
      <c r="A21" s="214" t="str">
        <f>IFS($B21=FALSE,"",$B21,VLOOKUP($B21,'PATIENT DATA (072721)'!A:C, 2, 0))</f>
        <v/>
      </c>
      <c r="B21" s="215"/>
      <c r="C21" s="216" t="str">
        <f>IF(COUNTIF('PATIENT DATA (072721)'!A:A, B21)=0, "X","✓")</f>
        <v>X</v>
      </c>
      <c r="D21" s="226" t="str">
        <f>IFS($B21=FALSE,"",$B21,VLOOKUP($B21,'PATIENT DATA (072721)'!A:C, 3, 0))</f>
        <v/>
      </c>
      <c r="E21" s="218"/>
      <c r="F21" s="219" t="str">
        <f>ifs($B21="","",$B21, VLOOKUP($B21&amp;$E21, 'VISIT DATA'!A:O,3,0))</f>
        <v/>
      </c>
      <c r="G21" s="220"/>
      <c r="H21" s="221"/>
      <c r="I21" s="222" t="str">
        <f>VLOOKUP($B21&amp;$E21,'VISIT DATA'!A:J, 9, FALSE)</f>
        <v>#N/A</v>
      </c>
      <c r="J21" s="223" t="str">
        <f>VLOOKUP(B21&amp;E21,'VISIT DATA'!A:N,10,FALSE)</f>
        <v>#N/A</v>
      </c>
      <c r="K21" s="225"/>
      <c r="L21" s="224"/>
      <c r="M21" s="224"/>
      <c r="N21" s="225"/>
      <c r="O21" s="216" t="str">
        <f t="shared" si="1"/>
        <v>X</v>
      </c>
      <c r="P21" s="226" t="str">
        <f t="shared" si="2"/>
        <v>#N/A</v>
      </c>
      <c r="Q21" s="227" t="str">
        <f t="shared" si="3"/>
        <v>#N/A</v>
      </c>
      <c r="R21" s="228" t="str">
        <f t="shared" si="4"/>
        <v>#N/A</v>
      </c>
      <c r="S21" s="220" t="str">
        <f t="shared" si="5"/>
        <v>#N/A</v>
      </c>
      <c r="T21" s="220" t="str">
        <f t="shared" si="6"/>
        <v>#N/A</v>
      </c>
      <c r="U21" s="221">
        <f t="shared" si="7"/>
        <v>0</v>
      </c>
      <c r="V21" s="229" t="str">
        <f>ifs($N21="",VLOOKUP($B21&amp;$E21,'VISIT DATA'!$A$2:$J100,7,FALSE), $N21="SWAB","OUTSA-RW",$N21="SWQU","OUTSA-SaQu", AND($L21="X",$M21="X",$N21="QUEST"),"OUT-UAQPre",$N21="QUEST","OUT-UAQ", $N21="Walk in","ColUATele")</f>
        <v>#N/A</v>
      </c>
      <c r="W21" s="24" t="str">
        <f t="shared" si="8"/>
        <v>#N/A</v>
      </c>
      <c r="X21" s="222" t="str">
        <f t="shared" si="9"/>
        <v/>
      </c>
      <c r="Y21" s="222" t="str">
        <f t="shared" si="10"/>
        <v/>
      </c>
      <c r="Z21" s="224" t="str">
        <f t="shared" si="11"/>
        <v> </v>
      </c>
      <c r="AA21" s="244"/>
    </row>
    <row r="22">
      <c r="A22" s="214" t="str">
        <f>IFS($B22=FALSE,"",$B22,VLOOKUP($B22,'PATIENT DATA (072721)'!A:C, 2, 0))</f>
        <v/>
      </c>
      <c r="B22" s="215"/>
      <c r="C22" s="216" t="str">
        <f>IF(COUNTIF('PATIENT DATA (072721)'!A:A, B22)=0, "X","✓")</f>
        <v>X</v>
      </c>
      <c r="D22" s="226" t="str">
        <f>IFS($B22=FALSE,"",$B22,VLOOKUP($B22,'PATIENT DATA (072721)'!A:C, 3, 0))</f>
        <v/>
      </c>
      <c r="E22" s="218"/>
      <c r="F22" s="219" t="str">
        <f>ifs($B22="","",$B22, VLOOKUP($B22&amp;$E22, 'VISIT DATA'!A:O,3,0))</f>
        <v/>
      </c>
      <c r="G22" s="220"/>
      <c r="H22" s="221"/>
      <c r="I22" s="222" t="str">
        <f>VLOOKUP($B22&amp;$E22,'VISIT DATA'!A:J, 9, FALSE)</f>
        <v>#N/A</v>
      </c>
      <c r="J22" s="223" t="str">
        <f>VLOOKUP(B22&amp;E22,'VISIT DATA'!A:N,10,FALSE)</f>
        <v>#N/A</v>
      </c>
      <c r="K22" s="225"/>
      <c r="L22" s="224"/>
      <c r="M22" s="224"/>
      <c r="N22" s="225"/>
      <c r="O22" s="216" t="str">
        <f t="shared" si="1"/>
        <v>X</v>
      </c>
      <c r="P22" s="226" t="str">
        <f t="shared" si="2"/>
        <v>#N/A</v>
      </c>
      <c r="Q22" s="227" t="str">
        <f t="shared" si="3"/>
        <v>#N/A</v>
      </c>
      <c r="R22" s="228" t="str">
        <f t="shared" si="4"/>
        <v>#N/A</v>
      </c>
      <c r="S22" s="220" t="str">
        <f t="shared" si="5"/>
        <v>#N/A</v>
      </c>
      <c r="T22" s="220" t="str">
        <f t="shared" si="6"/>
        <v>#N/A</v>
      </c>
      <c r="U22" s="221">
        <f t="shared" si="7"/>
        <v>0</v>
      </c>
      <c r="V22" s="229" t="str">
        <f>ifs($N22="",VLOOKUP($B22&amp;$E22,'VISIT DATA'!$A$2:$J100,7,FALSE), $N22="SWAB","OUTSA-RW",$N22="SWQU","OUTSA-SaQu", AND($L22="X",$M22="X",$N22="QUEST"),"OUT-UAQPre",$N22="QUEST","OUT-UAQ", $N22="Walk in","ColUATele")</f>
        <v>#N/A</v>
      </c>
      <c r="W22" s="24" t="str">
        <f t="shared" si="8"/>
        <v>#N/A</v>
      </c>
      <c r="X22" s="222" t="str">
        <f t="shared" si="9"/>
        <v/>
      </c>
      <c r="Y22" s="222" t="str">
        <f t="shared" si="10"/>
        <v/>
      </c>
      <c r="Z22" s="224" t="str">
        <f t="shared" si="11"/>
        <v> </v>
      </c>
      <c r="AA22" s="244"/>
    </row>
    <row r="23">
      <c r="A23" s="214" t="str">
        <f>IFS($B23=FALSE,"",$B23,VLOOKUP($B23,'PATIENT DATA (072721)'!A:C, 2, 0))</f>
        <v/>
      </c>
      <c r="B23" s="215"/>
      <c r="C23" s="216" t="str">
        <f>IF(COUNTIF('PATIENT DATA (072721)'!A:A, B23)=0, "X","✓")</f>
        <v>X</v>
      </c>
      <c r="D23" s="226" t="str">
        <f>IFS($B23=FALSE,"",$B23,VLOOKUP($B23,'PATIENT DATA (072721)'!A:C, 3, 0))</f>
        <v/>
      </c>
      <c r="E23" s="218"/>
      <c r="F23" s="219" t="str">
        <f>ifs($B23="","",$B23, VLOOKUP($B23&amp;$E23, 'VISIT DATA'!A:O,3,0))</f>
        <v/>
      </c>
      <c r="G23" s="220"/>
      <c r="H23" s="221"/>
      <c r="I23" s="222" t="str">
        <f>VLOOKUP($B23&amp;$E23,'VISIT DATA'!A:J, 9, FALSE)</f>
        <v>#N/A</v>
      </c>
      <c r="J23" s="223" t="str">
        <f>VLOOKUP(B23&amp;E23,'VISIT DATA'!A:N,10,FALSE)</f>
        <v>#N/A</v>
      </c>
      <c r="K23" s="225"/>
      <c r="L23" s="224"/>
      <c r="M23" s="224"/>
      <c r="N23" s="225"/>
      <c r="O23" s="216" t="str">
        <f t="shared" si="1"/>
        <v>X</v>
      </c>
      <c r="P23" s="226" t="str">
        <f t="shared" si="2"/>
        <v>#N/A</v>
      </c>
      <c r="Q23" s="227" t="str">
        <f t="shared" si="3"/>
        <v>#N/A</v>
      </c>
      <c r="R23" s="228" t="str">
        <f t="shared" si="4"/>
        <v>#N/A</v>
      </c>
      <c r="S23" s="220" t="str">
        <f t="shared" si="5"/>
        <v>#N/A</v>
      </c>
      <c r="T23" s="220" t="str">
        <f t="shared" si="6"/>
        <v>#N/A</v>
      </c>
      <c r="U23" s="221">
        <f t="shared" si="7"/>
        <v>0</v>
      </c>
      <c r="V23" s="229" t="str">
        <f>ifs($N23="",VLOOKUP($B23&amp;$E23,'VISIT DATA'!$A$2:$J100,7,FALSE), $N23="SWAB","OUTSA-RW",$N23="SWQU","OUTSA-SaQu", AND($L23="X",$M23="X",$N23="QUEST"),"OUT-UAQPre",$N23="QUEST","OUT-UAQ", $N23="Walk in","ColUATele")</f>
        <v>#N/A</v>
      </c>
      <c r="W23" s="24" t="str">
        <f t="shared" si="8"/>
        <v>#N/A</v>
      </c>
      <c r="X23" s="222" t="str">
        <f t="shared" si="9"/>
        <v/>
      </c>
      <c r="Y23" s="222" t="str">
        <f t="shared" si="10"/>
        <v/>
      </c>
      <c r="Z23" s="224" t="str">
        <f t="shared" si="11"/>
        <v> </v>
      </c>
      <c r="AA23" s="244"/>
    </row>
    <row r="24">
      <c r="A24" s="214" t="str">
        <f>IFS($B24=FALSE,"",$B24,VLOOKUP($B24,'PATIENT DATA (072721)'!A:C, 2, 0))</f>
        <v/>
      </c>
      <c r="B24" s="215"/>
      <c r="C24" s="216" t="str">
        <f>IF(COUNTIF('PATIENT DATA (072721)'!A:A, B24)=0, "X","✓")</f>
        <v>X</v>
      </c>
      <c r="D24" s="226" t="str">
        <f>IFS($B24=FALSE,"",$B24,VLOOKUP($B24,'PATIENT DATA (072721)'!A:C, 3, 0))</f>
        <v/>
      </c>
      <c r="E24" s="218"/>
      <c r="F24" s="219" t="str">
        <f>ifs($B24="","",$B24, VLOOKUP($B24&amp;$E24, 'VISIT DATA'!A:O,3,0))</f>
        <v/>
      </c>
      <c r="G24" s="220"/>
      <c r="H24" s="221"/>
      <c r="I24" s="222" t="str">
        <f>VLOOKUP($B24&amp;$E24,'VISIT DATA'!A:J, 9, FALSE)</f>
        <v>#N/A</v>
      </c>
      <c r="J24" s="223" t="str">
        <f>VLOOKUP(B24&amp;E24,'VISIT DATA'!A:N,10,FALSE)</f>
        <v>#N/A</v>
      </c>
      <c r="K24" s="225"/>
      <c r="L24" s="224"/>
      <c r="M24" s="224"/>
      <c r="N24" s="225"/>
      <c r="O24" s="216" t="str">
        <f t="shared" si="1"/>
        <v>X</v>
      </c>
      <c r="P24" s="226" t="str">
        <f t="shared" si="2"/>
        <v>#N/A</v>
      </c>
      <c r="Q24" s="227" t="str">
        <f t="shared" si="3"/>
        <v>#N/A</v>
      </c>
      <c r="R24" s="228" t="str">
        <f t="shared" si="4"/>
        <v>#N/A</v>
      </c>
      <c r="S24" s="220" t="str">
        <f t="shared" si="5"/>
        <v>#N/A</v>
      </c>
      <c r="T24" s="220" t="str">
        <f t="shared" si="6"/>
        <v>#N/A</v>
      </c>
      <c r="U24" s="221">
        <f t="shared" si="7"/>
        <v>0</v>
      </c>
      <c r="V24" s="229" t="str">
        <f>ifs($N24="",VLOOKUP($B24&amp;$E24,'VISIT DATA'!$A$2:$J100,7,FALSE), $N24="SWAB","OUTSA-RW",$N24="SWQU","OUTSA-SaQu", AND($L24="X",$M24="X",$N24="QUEST"),"OUT-UAQPre",$N24="QUEST","OUT-UAQ", $N24="Walk in","ColUATele")</f>
        <v>#N/A</v>
      </c>
      <c r="W24" s="24" t="str">
        <f t="shared" si="8"/>
        <v>#N/A</v>
      </c>
      <c r="X24" s="222" t="str">
        <f t="shared" si="9"/>
        <v/>
      </c>
      <c r="Y24" s="222" t="str">
        <f t="shared" si="10"/>
        <v/>
      </c>
      <c r="Z24" s="224" t="str">
        <f t="shared" si="11"/>
        <v> </v>
      </c>
      <c r="AA24" s="244"/>
    </row>
    <row r="25">
      <c r="A25" s="214" t="str">
        <f>IFS($B25=FALSE,"",$B25,VLOOKUP($B25,'PATIENT DATA (072721)'!A:C, 2, 0))</f>
        <v/>
      </c>
      <c r="B25" s="215"/>
      <c r="C25" s="216" t="str">
        <f>IF(COUNTIF('PATIENT DATA (072721)'!A:A, B25)=0, "X","✓")</f>
        <v>X</v>
      </c>
      <c r="D25" s="226" t="str">
        <f>IFS($B25=FALSE,"",$B25,VLOOKUP($B25,'PATIENT DATA (072721)'!A:C, 3, 0))</f>
        <v/>
      </c>
      <c r="E25" s="218"/>
      <c r="F25" s="219" t="str">
        <f>ifs($B25="","",$B25, VLOOKUP($B25&amp;$E25, 'VISIT DATA'!A:O,3,0))</f>
        <v/>
      </c>
      <c r="G25" s="220"/>
      <c r="H25" s="221"/>
      <c r="I25" s="222" t="str">
        <f>VLOOKUP($B25&amp;$E25,'VISIT DATA'!A:J, 9, FALSE)</f>
        <v>#N/A</v>
      </c>
      <c r="J25" s="223" t="str">
        <f>VLOOKUP(B25&amp;E25,'VISIT DATA'!A:N,10,FALSE)</f>
        <v>#N/A</v>
      </c>
      <c r="K25" s="224"/>
      <c r="L25" s="224"/>
      <c r="M25" s="224"/>
      <c r="N25" s="225"/>
      <c r="O25" s="216" t="str">
        <f t="shared" si="1"/>
        <v>X</v>
      </c>
      <c r="P25" s="226" t="str">
        <f t="shared" si="2"/>
        <v>#N/A</v>
      </c>
      <c r="Q25" s="227" t="str">
        <f t="shared" si="3"/>
        <v>#N/A</v>
      </c>
      <c r="R25" s="228" t="str">
        <f t="shared" si="4"/>
        <v>#N/A</v>
      </c>
      <c r="S25" s="220" t="str">
        <f t="shared" si="5"/>
        <v>#N/A</v>
      </c>
      <c r="T25" s="220" t="str">
        <f t="shared" si="6"/>
        <v>#N/A</v>
      </c>
      <c r="U25" s="221">
        <f t="shared" si="7"/>
        <v>0</v>
      </c>
      <c r="V25" s="229" t="str">
        <f>ifs($N25="",VLOOKUP($B25&amp;$E25,'VISIT DATA'!$A$2:$J100,7,FALSE), $N25="SWAB","OUTSA-RW",$N25="SWQU","OUTSA-SaQu", AND($L25="X",$M25="X",$N25="QUEST"),"OUT-UAQPre",$N25="QUEST","OUT-UAQ", $N25="Walk in","ColUATele")</f>
        <v>#N/A</v>
      </c>
      <c r="W25" s="24" t="str">
        <f t="shared" si="8"/>
        <v>#N/A</v>
      </c>
      <c r="X25" s="222" t="str">
        <f t="shared" si="9"/>
        <v/>
      </c>
      <c r="Y25" s="222" t="str">
        <f t="shared" si="10"/>
        <v/>
      </c>
      <c r="Z25" s="224" t="str">
        <f t="shared" si="11"/>
        <v> </v>
      </c>
      <c r="AA25" s="244"/>
    </row>
    <row r="26">
      <c r="A26" s="214" t="str">
        <f>IFS($B26=FALSE,"",$B26,VLOOKUP($B26,'PATIENT DATA (072721)'!A:C, 2, 0))</f>
        <v/>
      </c>
      <c r="B26" s="215"/>
      <c r="C26" s="216" t="str">
        <f>IF(COUNTIF('PATIENT DATA (072721)'!A:A, B26)=0, "X","✓")</f>
        <v>X</v>
      </c>
      <c r="D26" s="226" t="str">
        <f>IFS($B26=FALSE,"",$B26,VLOOKUP($B26,'PATIENT DATA (072721)'!A:C, 3, 0))</f>
        <v/>
      </c>
      <c r="E26" s="218"/>
      <c r="F26" s="219" t="str">
        <f>ifs($B26="","",$B26, VLOOKUP($B26&amp;$E26, 'VISIT DATA'!A:O,3,0))</f>
        <v/>
      </c>
      <c r="G26" s="220"/>
      <c r="H26" s="221"/>
      <c r="I26" s="222" t="str">
        <f>VLOOKUP($B26&amp;$E26,'VISIT DATA'!A:J, 9, FALSE)</f>
        <v>#N/A</v>
      </c>
      <c r="J26" s="223" t="str">
        <f>VLOOKUP(B26&amp;E26,'VISIT DATA'!A:N,10,FALSE)</f>
        <v>#N/A</v>
      </c>
      <c r="K26" s="224"/>
      <c r="L26" s="224"/>
      <c r="M26" s="224"/>
      <c r="N26" s="224"/>
      <c r="O26" s="216" t="str">
        <f t="shared" si="1"/>
        <v>X</v>
      </c>
      <c r="P26" s="226" t="str">
        <f t="shared" si="2"/>
        <v>#N/A</v>
      </c>
      <c r="Q26" s="227" t="str">
        <f t="shared" si="3"/>
        <v>#N/A</v>
      </c>
      <c r="R26" s="228" t="str">
        <f t="shared" si="4"/>
        <v>#N/A</v>
      </c>
      <c r="S26" s="220" t="str">
        <f t="shared" si="5"/>
        <v>#N/A</v>
      </c>
      <c r="T26" s="220" t="str">
        <f t="shared" si="6"/>
        <v>#N/A</v>
      </c>
      <c r="U26" s="221">
        <f t="shared" si="7"/>
        <v>0</v>
      </c>
      <c r="V26" s="229" t="str">
        <f>ifs($N26="",VLOOKUP($B26&amp;$E26,'VISIT DATA'!$A$2:$J100,7,FALSE), $N26="SWAB","OUTSA-RW",$N26="SWQU","OUTSA-SaQu", AND($L26="X",$M26="X",$N26="QUEST"),"OUT-UAQPre",$N26="QUEST","OUT-UAQ", $N26="Walk in","ColUATele")</f>
        <v>#N/A</v>
      </c>
      <c r="W26" s="24" t="str">
        <f t="shared" si="8"/>
        <v>#N/A</v>
      </c>
      <c r="X26" s="222" t="str">
        <f t="shared" si="9"/>
        <v/>
      </c>
      <c r="Y26" s="222" t="str">
        <f t="shared" si="10"/>
        <v/>
      </c>
      <c r="Z26" s="224" t="str">
        <f t="shared" si="11"/>
        <v> </v>
      </c>
      <c r="AA26" s="245"/>
    </row>
    <row r="27">
      <c r="A27" s="214" t="str">
        <f>IFS($B27=FALSE,"",$B27,VLOOKUP($B27,'PATIENT DATA (072721)'!A:C, 2, 0))</f>
        <v/>
      </c>
      <c r="B27" s="215"/>
      <c r="C27" s="216" t="str">
        <f>IF(COUNTIF('PATIENT DATA (072721)'!A:A, B27)=0, "X","✓")</f>
        <v>X</v>
      </c>
      <c r="D27" s="226" t="str">
        <f>IFS($B27=FALSE,"",$B27,VLOOKUP($B27,'PATIENT DATA (072721)'!A:C, 3, 0))</f>
        <v/>
      </c>
      <c r="E27" s="218"/>
      <c r="F27" s="219" t="str">
        <f>ifs($B27="","",$B27, VLOOKUP($B27&amp;$E27, 'VISIT DATA'!A:O,3,0))</f>
        <v/>
      </c>
      <c r="G27" s="220"/>
      <c r="H27" s="221"/>
      <c r="I27" s="222" t="str">
        <f>VLOOKUP($B27&amp;$E27,'VISIT DATA'!A:J, 9, FALSE)</f>
        <v>#N/A</v>
      </c>
      <c r="J27" s="223" t="str">
        <f>VLOOKUP(B27&amp;E27,'VISIT DATA'!A:N,10,FALSE)</f>
        <v>#N/A</v>
      </c>
      <c r="K27" s="224"/>
      <c r="L27" s="224"/>
      <c r="M27" s="224"/>
      <c r="N27" s="225"/>
      <c r="O27" s="216" t="str">
        <f t="shared" si="1"/>
        <v>X</v>
      </c>
      <c r="P27" s="226" t="str">
        <f t="shared" si="2"/>
        <v>#N/A</v>
      </c>
      <c r="Q27" s="227" t="str">
        <f t="shared" si="3"/>
        <v>#N/A</v>
      </c>
      <c r="R27" s="228" t="str">
        <f t="shared" si="4"/>
        <v>#N/A</v>
      </c>
      <c r="S27" s="220" t="str">
        <f t="shared" si="5"/>
        <v>#N/A</v>
      </c>
      <c r="T27" s="220" t="str">
        <f t="shared" si="6"/>
        <v>#N/A</v>
      </c>
      <c r="U27" s="221">
        <f t="shared" si="7"/>
        <v>0</v>
      </c>
      <c r="V27" s="229" t="str">
        <f>ifs($N27="",VLOOKUP($B27&amp;$E27,'VISIT DATA'!$A$2:$J100,7,FALSE), $N27="SWAB","OUTSA-RW",$N27="SWQU","OUTSA-SaQu", AND($L27="X",$M27="X",$N27="QUEST"),"OUT-UAQPre",$N27="QUEST","OUT-UAQ", $N27="Walk in","ColUATele")</f>
        <v>#N/A</v>
      </c>
      <c r="W27" s="24" t="str">
        <f t="shared" si="8"/>
        <v>#N/A</v>
      </c>
      <c r="X27" s="222" t="str">
        <f t="shared" si="9"/>
        <v/>
      </c>
      <c r="Y27" s="222" t="str">
        <f t="shared" si="10"/>
        <v/>
      </c>
      <c r="Z27" s="224" t="str">
        <f t="shared" si="11"/>
        <v> </v>
      </c>
      <c r="AA27" s="244"/>
    </row>
    <row r="28">
      <c r="A28" s="214" t="str">
        <f>IFS($B28=FALSE,"",$B28,VLOOKUP($B28,'PATIENT DATA (072721)'!A:C, 2, 0))</f>
        <v/>
      </c>
      <c r="B28" s="215"/>
      <c r="C28" s="216" t="str">
        <f>IF(COUNTIF('PATIENT DATA (072721)'!A:A, B28)=0, "X","✓")</f>
        <v>X</v>
      </c>
      <c r="D28" s="226" t="str">
        <f>IFS($B28=FALSE,"",$B28,VLOOKUP($B28,'PATIENT DATA (072721)'!A:C, 3, 0))</f>
        <v/>
      </c>
      <c r="E28" s="218"/>
      <c r="F28" s="219" t="str">
        <f>ifs($B28="","",$B28, VLOOKUP($B28&amp;$E28, 'VISIT DATA'!A:O,3,0))</f>
        <v/>
      </c>
      <c r="G28" s="220"/>
      <c r="H28" s="221"/>
      <c r="I28" s="222" t="str">
        <f>VLOOKUP($B28&amp;$E28,'VISIT DATA'!A:J, 9, FALSE)</f>
        <v>#N/A</v>
      </c>
      <c r="J28" s="223" t="str">
        <f>VLOOKUP(B28&amp;E28,'VISIT DATA'!A:N,10,FALSE)</f>
        <v>#N/A</v>
      </c>
      <c r="K28" s="224"/>
      <c r="L28" s="224"/>
      <c r="M28" s="224"/>
      <c r="N28" s="225"/>
      <c r="O28" s="216" t="str">
        <f t="shared" si="1"/>
        <v>X</v>
      </c>
      <c r="P28" s="226" t="str">
        <f t="shared" si="2"/>
        <v>#N/A</v>
      </c>
      <c r="Q28" s="227" t="str">
        <f t="shared" si="3"/>
        <v>#N/A</v>
      </c>
      <c r="R28" s="228" t="str">
        <f t="shared" si="4"/>
        <v>#N/A</v>
      </c>
      <c r="S28" s="220" t="str">
        <f t="shared" si="5"/>
        <v>#N/A</v>
      </c>
      <c r="T28" s="220" t="str">
        <f t="shared" si="6"/>
        <v>#N/A</v>
      </c>
      <c r="U28" s="221">
        <f t="shared" si="7"/>
        <v>0</v>
      </c>
      <c r="V28" s="229" t="str">
        <f>ifs($N28="",VLOOKUP($B28&amp;$E28,'VISIT DATA'!$A$2:$J100,7,FALSE), $N28="SWAB","OUTSA-RW",$N28="SWQU","OUTSA-SaQu", AND($L28="X",$M28="X",$N28="QUEST"),"OUT-UAQPre",$N28="QUEST","OUT-UAQ", $N28="Walk in","ColUATele")</f>
        <v>#N/A</v>
      </c>
      <c r="W28" s="24" t="str">
        <f t="shared" si="8"/>
        <v>#N/A</v>
      </c>
      <c r="X28" s="222" t="str">
        <f t="shared" si="9"/>
        <v/>
      </c>
      <c r="Y28" s="222" t="str">
        <f t="shared" si="10"/>
        <v/>
      </c>
      <c r="Z28" s="224" t="str">
        <f t="shared" si="11"/>
        <v> </v>
      </c>
      <c r="AA28" s="244"/>
    </row>
    <row r="29">
      <c r="A29" s="214" t="str">
        <f>IFS($B29=FALSE,"",$B29,VLOOKUP($B29,'PATIENT DATA (072721)'!A:C, 2, 0))</f>
        <v/>
      </c>
      <c r="B29" s="246"/>
      <c r="C29" s="216" t="str">
        <f>IF(COUNTIF('PATIENT DATA (072721)'!A:A, B29)=0, "X","✓")</f>
        <v>X</v>
      </c>
      <c r="D29" s="226" t="str">
        <f>IFS($B29=FALSE,"",$B29,VLOOKUP($B29,'PATIENT DATA (072721)'!A:C, 3, 0))</f>
        <v/>
      </c>
      <c r="E29" s="218"/>
      <c r="F29" s="219" t="str">
        <f>ifs($B29="","",$B29, VLOOKUP($B29&amp;$E29, 'VISIT DATA'!A:O,3,0))</f>
        <v/>
      </c>
      <c r="G29" s="220"/>
      <c r="H29" s="221"/>
      <c r="I29" s="222" t="str">
        <f>VLOOKUP($B29&amp;$E29,'VISIT DATA'!A:J, 9, FALSE)</f>
        <v>#N/A</v>
      </c>
      <c r="J29" s="223" t="str">
        <f>VLOOKUP(B29&amp;E29,'VISIT DATA'!A:N,10,FALSE)</f>
        <v>#N/A</v>
      </c>
      <c r="K29" s="224"/>
      <c r="L29" s="224"/>
      <c r="M29" s="224"/>
      <c r="N29" s="224"/>
      <c r="O29" s="216" t="str">
        <f t="shared" si="1"/>
        <v>X</v>
      </c>
      <c r="P29" s="226" t="str">
        <f t="shared" si="2"/>
        <v>#N/A</v>
      </c>
      <c r="Q29" s="227" t="str">
        <f t="shared" si="3"/>
        <v>#N/A</v>
      </c>
      <c r="R29" s="228" t="str">
        <f t="shared" si="4"/>
        <v>#N/A</v>
      </c>
      <c r="S29" s="220" t="str">
        <f t="shared" si="5"/>
        <v>#N/A</v>
      </c>
      <c r="T29" s="220" t="str">
        <f t="shared" si="6"/>
        <v>#N/A</v>
      </c>
      <c r="U29" s="221">
        <f t="shared" si="7"/>
        <v>0</v>
      </c>
      <c r="V29" s="229" t="str">
        <f>ifs($N29="",VLOOKUP($B29&amp;$E29,'VISIT DATA'!$A$2:$J100,7,FALSE), $N29="SWAB","OUTSA-RW",$N29="SWQU","OUTSA-SaQu", AND($L29="X",$M29="X",$N29="QUEST"),"OUT-UAQPre",$N29="QUEST","OUT-UAQ", $N29="Walk in","ColUATele")</f>
        <v>#N/A</v>
      </c>
      <c r="W29" s="24" t="str">
        <f t="shared" si="8"/>
        <v>#N/A</v>
      </c>
      <c r="X29" s="222" t="str">
        <f t="shared" si="9"/>
        <v/>
      </c>
      <c r="Y29" s="222" t="str">
        <f t="shared" si="10"/>
        <v/>
      </c>
      <c r="Z29" s="224" t="str">
        <f t="shared" si="11"/>
        <v> </v>
      </c>
      <c r="AA29" s="245"/>
    </row>
    <row r="30">
      <c r="A30" s="214" t="str">
        <f>IFS($B30=FALSE,"",$B30,VLOOKUP($B30,'PATIENT DATA (072721)'!A:C, 2, 0))</f>
        <v/>
      </c>
      <c r="B30" s="215"/>
      <c r="C30" s="230" t="str">
        <f>IF(COUNTIF('PATIENT DATA (072721)'!A:A, B30)=0, "X","✓")</f>
        <v>X</v>
      </c>
      <c r="D30" s="226" t="str">
        <f>IFS($B30=FALSE,"",$B30,VLOOKUP($B30,'PATIENT DATA (072721)'!A:C, 3, 0))</f>
        <v/>
      </c>
      <c r="E30" s="218"/>
      <c r="F30" s="219" t="str">
        <f>ifs($B30="","",$B30, VLOOKUP($B30&amp;$E30, 'VISIT DATA'!A:O,3,0))</f>
        <v/>
      </c>
      <c r="G30" s="231"/>
      <c r="H30" s="221"/>
      <c r="I30" s="222" t="str">
        <f>VLOOKUP($B30&amp;$E30,'VISIT DATA'!A:J, 9, FALSE)</f>
        <v>#N/A</v>
      </c>
      <c r="J30" s="223" t="str">
        <f>VLOOKUP(B30&amp;E30,'VISIT DATA'!A:N,10,FALSE)</f>
        <v>#N/A</v>
      </c>
      <c r="K30" s="224"/>
      <c r="L30" s="224"/>
      <c r="M30" s="224"/>
      <c r="N30" s="225"/>
      <c r="O30" s="216" t="str">
        <f t="shared" si="1"/>
        <v>X</v>
      </c>
      <c r="P30" s="226" t="str">
        <f t="shared" si="2"/>
        <v>#N/A</v>
      </c>
      <c r="Q30" s="227" t="str">
        <f t="shared" si="3"/>
        <v>#N/A</v>
      </c>
      <c r="R30" s="228" t="str">
        <f t="shared" si="4"/>
        <v>#N/A</v>
      </c>
      <c r="S30" s="220" t="str">
        <f t="shared" si="5"/>
        <v>#N/A</v>
      </c>
      <c r="T30" s="220" t="str">
        <f t="shared" si="6"/>
        <v>#N/A</v>
      </c>
      <c r="U30" s="221">
        <f t="shared" si="7"/>
        <v>0</v>
      </c>
      <c r="V30" s="229" t="str">
        <f>ifs($N30="",VLOOKUP($B30&amp;$E30,'VISIT DATA'!$A$2:$J100,7,FALSE), $N30="SWAB","OUTSA-RW",$N30="SWQU","OUTSA-SaQu", AND($L30="X",$M30="X",$N30="QUEST"),"OUT-UAQPre",$N30="QUEST","OUT-UAQ", $N30="Walk in","ColUATele")</f>
        <v>#N/A</v>
      </c>
      <c r="W30" s="24" t="str">
        <f t="shared" si="8"/>
        <v>#N/A</v>
      </c>
      <c r="X30" s="222" t="str">
        <f t="shared" si="9"/>
        <v/>
      </c>
      <c r="Y30" s="222" t="str">
        <f t="shared" si="10"/>
        <v/>
      </c>
      <c r="Z30" s="224" t="str">
        <f t="shared" si="11"/>
        <v> </v>
      </c>
      <c r="AA30" s="244"/>
    </row>
    <row r="31">
      <c r="A31" s="214" t="str">
        <f>IFS($B31=FALSE,"",$B31,VLOOKUP($B31,'PATIENT DATA (072721)'!A:C, 2, 0))</f>
        <v/>
      </c>
      <c r="B31" s="215"/>
      <c r="C31" s="230" t="str">
        <f>IF(COUNTIF('PATIENT DATA (072721)'!A:A, B31)=0, "X","✓")</f>
        <v>X</v>
      </c>
      <c r="D31" s="226" t="str">
        <f>IFS($B31=FALSE,"",$B31,VLOOKUP($B31,'PATIENT DATA (072721)'!A:C, 3, 0))</f>
        <v/>
      </c>
      <c r="E31" s="218"/>
      <c r="F31" s="219" t="str">
        <f>ifs($B31="","",$B31, VLOOKUP($B31&amp;$E31, 'VISIT DATA'!A:O,3,0))</f>
        <v/>
      </c>
      <c r="G31" s="231"/>
      <c r="H31" s="221"/>
      <c r="I31" s="222" t="str">
        <f>VLOOKUP($B31&amp;$E31,'VISIT DATA'!A:J, 9, FALSE)</f>
        <v>#N/A</v>
      </c>
      <c r="J31" s="223" t="str">
        <f>VLOOKUP(B31&amp;E31,'VISIT DATA'!A:N,10,FALSE)</f>
        <v>#N/A</v>
      </c>
      <c r="K31" s="225"/>
      <c r="L31" s="224"/>
      <c r="M31" s="224"/>
      <c r="N31" s="225"/>
      <c r="O31" s="216" t="str">
        <f t="shared" si="1"/>
        <v>X</v>
      </c>
      <c r="P31" s="226" t="str">
        <f t="shared" si="2"/>
        <v>#N/A</v>
      </c>
      <c r="Q31" s="227" t="str">
        <f t="shared" si="3"/>
        <v>#N/A</v>
      </c>
      <c r="R31" s="228" t="str">
        <f t="shared" si="4"/>
        <v>#N/A</v>
      </c>
      <c r="S31" s="220" t="str">
        <f t="shared" si="5"/>
        <v>#N/A</v>
      </c>
      <c r="T31" s="220" t="str">
        <f t="shared" si="6"/>
        <v>#N/A</v>
      </c>
      <c r="U31" s="221">
        <f t="shared" si="7"/>
        <v>0</v>
      </c>
      <c r="V31" s="229" t="str">
        <f>ifs($N31="",VLOOKUP($B31&amp;$E31,'VISIT DATA'!$A$2:$J100,7,FALSE), $N31="SWAB","OUTSA-RW",$N31="SWQU","OUTSA-SaQu", AND($L31="X",$M31="X",$N31="QUEST"),"OUT-UAQPre",$N31="QUEST","OUT-UAQ", $N31="Walk in","ColUATele")</f>
        <v>#N/A</v>
      </c>
      <c r="W31" s="24" t="str">
        <f t="shared" si="8"/>
        <v>#N/A</v>
      </c>
      <c r="X31" s="222" t="str">
        <f t="shared" si="9"/>
        <v/>
      </c>
      <c r="Y31" s="222" t="str">
        <f t="shared" si="10"/>
        <v/>
      </c>
      <c r="Z31" s="224" t="str">
        <f t="shared" si="11"/>
        <v> </v>
      </c>
      <c r="AA31" s="244"/>
    </row>
    <row r="32">
      <c r="A32" s="214" t="str">
        <f>IFS($B32=FALSE,"",$B32,VLOOKUP($B32,'PATIENT DATA (072721)'!A:C, 2, 0))</f>
        <v/>
      </c>
      <c r="B32" s="215"/>
      <c r="C32" s="230" t="str">
        <f>IF(COUNTIF('PATIENT DATA (072721)'!A:A, B32)=0, "X","✓")</f>
        <v>X</v>
      </c>
      <c r="D32" s="226" t="str">
        <f>IFS($B32=FALSE,"",$B32,VLOOKUP($B32,'PATIENT DATA (072721)'!A:C, 3, 0))</f>
        <v/>
      </c>
      <c r="E32" s="218"/>
      <c r="F32" s="219" t="str">
        <f>ifs($B32="","",$B32, VLOOKUP($B32&amp;$E32, 'VISIT DATA'!A:O,3,0))</f>
        <v/>
      </c>
      <c r="G32" s="231"/>
      <c r="H32" s="221"/>
      <c r="I32" s="222" t="str">
        <f>VLOOKUP($B32&amp;$E32,'VISIT DATA'!A:J, 9, FALSE)</f>
        <v>#N/A</v>
      </c>
      <c r="J32" s="223" t="str">
        <f>VLOOKUP(B32&amp;E32,'VISIT DATA'!A:N,10,FALSE)</f>
        <v>#N/A</v>
      </c>
      <c r="K32" s="224"/>
      <c r="L32" s="224"/>
      <c r="M32" s="224"/>
      <c r="N32" s="225"/>
      <c r="O32" s="216" t="str">
        <f t="shared" si="1"/>
        <v>X</v>
      </c>
      <c r="P32" s="226" t="str">
        <f t="shared" si="2"/>
        <v>#N/A</v>
      </c>
      <c r="Q32" s="227" t="str">
        <f t="shared" si="3"/>
        <v>#N/A</v>
      </c>
      <c r="R32" s="228" t="str">
        <f t="shared" si="4"/>
        <v>#N/A</v>
      </c>
      <c r="S32" s="220" t="str">
        <f t="shared" si="5"/>
        <v>#N/A</v>
      </c>
      <c r="T32" s="220" t="str">
        <f t="shared" si="6"/>
        <v>#N/A</v>
      </c>
      <c r="U32" s="221">
        <f t="shared" si="7"/>
        <v>0</v>
      </c>
      <c r="V32" s="229" t="str">
        <f>ifs($N32="",VLOOKUP($B32&amp;$E32,'VISIT DATA'!$A$2:$J100,7,FALSE), $N32="SWAB","OUTSA-RW",$N32="SWQU","OUTSA-SaQu", AND($L32="X",$M32="X",$N32="QUEST"),"OUT-UAQPre",$N32="QUEST","OUT-UAQ", $N32="Walk in","ColUATele")</f>
        <v>#N/A</v>
      </c>
      <c r="W32" s="24" t="str">
        <f t="shared" si="8"/>
        <v>#N/A</v>
      </c>
      <c r="X32" s="222" t="str">
        <f t="shared" si="9"/>
        <v/>
      </c>
      <c r="Y32" s="222" t="str">
        <f t="shared" si="10"/>
        <v/>
      </c>
      <c r="Z32" s="224" t="str">
        <f t="shared" si="11"/>
        <v> </v>
      </c>
      <c r="AA32" s="244"/>
    </row>
    <row r="33">
      <c r="A33" s="214" t="str">
        <f>IFS($B33=FALSE,"",$B33,VLOOKUP($B33,'PATIENT DATA (072721)'!A:C, 2, 0))</f>
        <v/>
      </c>
      <c r="B33" s="215"/>
      <c r="C33" s="230" t="str">
        <f>IF(COUNTIF('PATIENT DATA (072721)'!A:A, B33)=0, "X","✓")</f>
        <v>X</v>
      </c>
      <c r="D33" s="226" t="str">
        <f>IFS($B33=FALSE,"",$B33,VLOOKUP($B33,'PATIENT DATA (072721)'!A:C, 3, 0))</f>
        <v/>
      </c>
      <c r="E33" s="218"/>
      <c r="F33" s="219" t="str">
        <f>ifs($B33="","",$B33, VLOOKUP($B33&amp;$E33, 'VISIT DATA'!A:O,3,0))</f>
        <v/>
      </c>
      <c r="G33" s="231"/>
      <c r="H33" s="221"/>
      <c r="I33" s="222" t="str">
        <f>VLOOKUP($B33&amp;$E33,'VISIT DATA'!A:J, 9, FALSE)</f>
        <v>#N/A</v>
      </c>
      <c r="J33" s="223" t="str">
        <f>VLOOKUP(B33&amp;E33,'VISIT DATA'!A:N,10,FALSE)</f>
        <v>#N/A</v>
      </c>
      <c r="K33" s="225"/>
      <c r="L33" s="224"/>
      <c r="M33" s="224"/>
      <c r="N33" s="225"/>
      <c r="O33" s="216" t="str">
        <f t="shared" si="1"/>
        <v>X</v>
      </c>
      <c r="P33" s="226" t="str">
        <f t="shared" si="2"/>
        <v>#N/A</v>
      </c>
      <c r="Q33" s="227" t="str">
        <f t="shared" si="3"/>
        <v>#N/A</v>
      </c>
      <c r="R33" s="228" t="str">
        <f t="shared" si="4"/>
        <v>#N/A</v>
      </c>
      <c r="S33" s="220" t="str">
        <f t="shared" si="5"/>
        <v>#N/A</v>
      </c>
      <c r="T33" s="220" t="str">
        <f t="shared" si="6"/>
        <v>#N/A</v>
      </c>
      <c r="U33" s="221">
        <f t="shared" si="7"/>
        <v>0</v>
      </c>
      <c r="V33" s="229" t="str">
        <f>ifs($N33="",VLOOKUP($B33&amp;$E33,'VISIT DATA'!$A$2:$J100,7,FALSE), $N33="SWAB","OUTSA-RW",$N33="SWQU","OUTSA-SaQu", AND($L33="X",$M33="X",$N33="QUEST"),"OUT-UAQPre",$N33="QUEST","OUT-UAQ", $N33="Walk in","ColUATele")</f>
        <v>#N/A</v>
      </c>
      <c r="W33" s="24" t="str">
        <f t="shared" si="8"/>
        <v>#N/A</v>
      </c>
      <c r="X33" s="222" t="str">
        <f t="shared" si="9"/>
        <v/>
      </c>
      <c r="Y33" s="222" t="str">
        <f t="shared" si="10"/>
        <v/>
      </c>
      <c r="Z33" s="224" t="str">
        <f t="shared" si="11"/>
        <v> </v>
      </c>
      <c r="AA33" s="244"/>
    </row>
    <row r="34">
      <c r="A34" s="214" t="str">
        <f>IFS($B34=FALSE,"",$B34,VLOOKUP($B34,'PATIENT DATA (072721)'!A:C, 2, 0))</f>
        <v/>
      </c>
      <c r="B34" s="215"/>
      <c r="C34" s="230" t="str">
        <f>IF(COUNTIF('PATIENT DATA (072721)'!A:A, B34)=0, "X","✓")</f>
        <v>X</v>
      </c>
      <c r="D34" s="226" t="str">
        <f>IFS($B34=FALSE,"",$B34,VLOOKUP($B34,'PATIENT DATA (072721)'!A:C, 3, 0))</f>
        <v/>
      </c>
      <c r="E34" s="218"/>
      <c r="F34" s="219" t="str">
        <f>ifs($B34="","",$B34, VLOOKUP($B34&amp;$E34, 'VISIT DATA'!A:O,3,0))</f>
        <v/>
      </c>
      <c r="G34" s="231"/>
      <c r="H34" s="221"/>
      <c r="I34" s="222" t="str">
        <f>VLOOKUP($B34&amp;$E34,'VISIT DATA'!A:J, 9, FALSE)</f>
        <v>#N/A</v>
      </c>
      <c r="J34" s="223" t="str">
        <f>VLOOKUP(B34&amp;E34,'VISIT DATA'!A:N,10,FALSE)</f>
        <v>#N/A</v>
      </c>
      <c r="K34" s="225"/>
      <c r="L34" s="224"/>
      <c r="M34" s="224"/>
      <c r="N34" s="225"/>
      <c r="O34" s="216" t="str">
        <f t="shared" si="1"/>
        <v>X</v>
      </c>
      <c r="P34" s="226" t="str">
        <f t="shared" si="2"/>
        <v>#N/A</v>
      </c>
      <c r="Q34" s="227" t="str">
        <f t="shared" si="3"/>
        <v>#N/A</v>
      </c>
      <c r="R34" s="228" t="str">
        <f t="shared" si="4"/>
        <v>#N/A</v>
      </c>
      <c r="S34" s="220" t="str">
        <f t="shared" si="5"/>
        <v>#N/A</v>
      </c>
      <c r="T34" s="220" t="str">
        <f t="shared" si="6"/>
        <v>#N/A</v>
      </c>
      <c r="U34" s="221">
        <f t="shared" si="7"/>
        <v>0</v>
      </c>
      <c r="V34" s="229" t="str">
        <f>ifs($N34="",VLOOKUP($B34&amp;$E34,'VISIT DATA'!$A$2:$J100,7,FALSE), $N34="SWAB","OUTSA-RW",$N34="SWQU","OUTSA-SaQu", AND($L34="X",$M34="X",$N34="QUEST"),"OUT-UAQPre",$N34="QUEST","OUT-UAQ", $N34="Walk in","ColUATele")</f>
        <v>#N/A</v>
      </c>
      <c r="W34" s="24" t="str">
        <f t="shared" si="8"/>
        <v>#N/A</v>
      </c>
      <c r="X34" s="222" t="str">
        <f t="shared" si="9"/>
        <v/>
      </c>
      <c r="Y34" s="222" t="str">
        <f t="shared" si="10"/>
        <v/>
      </c>
      <c r="Z34" s="224" t="str">
        <f t="shared" si="11"/>
        <v> </v>
      </c>
      <c r="AA34" s="244"/>
    </row>
    <row r="35">
      <c r="A35" s="214" t="str">
        <f>IFS($B35=FALSE,"",$B35,VLOOKUP($B35,'PATIENT DATA (072721)'!A:C, 2, 0))</f>
        <v/>
      </c>
      <c r="B35" s="215"/>
      <c r="C35" s="230" t="str">
        <f>IF(COUNTIF('PATIENT DATA (072721)'!A:A, B35)=0, "X","✓")</f>
        <v>X</v>
      </c>
      <c r="D35" s="226" t="str">
        <f>IFS($B35=FALSE,"",$B35,VLOOKUP($B35,'PATIENT DATA (072721)'!A:C, 3, 0))</f>
        <v/>
      </c>
      <c r="E35" s="218"/>
      <c r="F35" s="219" t="str">
        <f>ifs($B35="","",$B35, VLOOKUP($B35&amp;$E35, 'VISIT DATA'!A:O,3,0))</f>
        <v/>
      </c>
      <c r="G35" s="231"/>
      <c r="H35" s="221"/>
      <c r="I35" s="222" t="str">
        <f>VLOOKUP($B35&amp;$E35,'VISIT DATA'!A:J, 9, FALSE)</f>
        <v>#N/A</v>
      </c>
      <c r="J35" s="223" t="str">
        <f>VLOOKUP(B35&amp;E35,'VISIT DATA'!A:N,10,FALSE)</f>
        <v>#N/A</v>
      </c>
      <c r="K35" s="224"/>
      <c r="L35" s="224"/>
      <c r="M35" s="224"/>
      <c r="N35" s="224"/>
      <c r="O35" s="216" t="str">
        <f t="shared" si="1"/>
        <v>X</v>
      </c>
      <c r="P35" s="226" t="str">
        <f t="shared" si="2"/>
        <v>#N/A</v>
      </c>
      <c r="Q35" s="227" t="str">
        <f t="shared" si="3"/>
        <v>#N/A</v>
      </c>
      <c r="R35" s="228" t="str">
        <f t="shared" si="4"/>
        <v>#N/A</v>
      </c>
      <c r="S35" s="220" t="str">
        <f t="shared" si="5"/>
        <v>#N/A</v>
      </c>
      <c r="T35" s="220" t="str">
        <f t="shared" si="6"/>
        <v>#N/A</v>
      </c>
      <c r="U35" s="221">
        <f t="shared" si="7"/>
        <v>0</v>
      </c>
      <c r="V35" s="229" t="str">
        <f>ifs($N35="",VLOOKUP($B35&amp;$E35,'VISIT DATA'!$A$2:$J100,7,FALSE), $N35="SWAB","OUTSA-RW",$N35="SWQU","OUTSA-SaQu", AND($L35="X",$M35="X",$N35="QUEST"),"OUT-UAQPre",$N35="QUEST","OUT-UAQ", $N35="Walk in","ColUATele")</f>
        <v>#N/A</v>
      </c>
      <c r="W35" s="24" t="str">
        <f t="shared" si="8"/>
        <v>#N/A</v>
      </c>
      <c r="X35" s="222" t="str">
        <f t="shared" si="9"/>
        <v/>
      </c>
      <c r="Y35" s="222" t="str">
        <f t="shared" si="10"/>
        <v/>
      </c>
      <c r="Z35" s="224" t="str">
        <f t="shared" si="11"/>
        <v> </v>
      </c>
      <c r="AA35" s="244"/>
    </row>
    <row r="36">
      <c r="A36" s="214" t="str">
        <f>IFS($B36=FALSE,"",$B36,VLOOKUP($B36,'PATIENT DATA (072721)'!A:C, 2, 0))</f>
        <v/>
      </c>
      <c r="B36" s="215"/>
      <c r="C36" s="230" t="str">
        <f>IF(COUNTIF('PATIENT DATA (072721)'!A:A, B36)=0, "X","✓")</f>
        <v>X</v>
      </c>
      <c r="D36" s="226" t="str">
        <f>IFS($B36=FALSE,"",$B36,VLOOKUP($B36,'PATIENT DATA (072721)'!A:C, 3, 0))</f>
        <v/>
      </c>
      <c r="E36" s="218"/>
      <c r="F36" s="219" t="str">
        <f>ifs($B36="","",$B36, VLOOKUP($B36&amp;$E36, 'VISIT DATA'!A:O,3,0))</f>
        <v/>
      </c>
      <c r="G36" s="231"/>
      <c r="H36" s="221"/>
      <c r="I36" s="222" t="str">
        <f>VLOOKUP($B36&amp;$E36,'VISIT DATA'!A:J, 9, FALSE)</f>
        <v>#N/A</v>
      </c>
      <c r="J36" s="223" t="str">
        <f>VLOOKUP(B36&amp;E36,'VISIT DATA'!A:N,10,FALSE)</f>
        <v>#N/A</v>
      </c>
      <c r="K36" s="225"/>
      <c r="L36" s="224"/>
      <c r="M36" s="224"/>
      <c r="N36" s="225"/>
      <c r="O36" s="216" t="str">
        <f t="shared" si="1"/>
        <v>X</v>
      </c>
      <c r="P36" s="226" t="str">
        <f t="shared" si="2"/>
        <v>#N/A</v>
      </c>
      <c r="Q36" s="227" t="str">
        <f t="shared" si="3"/>
        <v>#N/A</v>
      </c>
      <c r="R36" s="228" t="str">
        <f t="shared" si="4"/>
        <v>#N/A</v>
      </c>
      <c r="S36" s="220" t="str">
        <f t="shared" si="5"/>
        <v>#N/A</v>
      </c>
      <c r="T36" s="220" t="str">
        <f t="shared" si="6"/>
        <v>#N/A</v>
      </c>
      <c r="U36" s="221">
        <f t="shared" si="7"/>
        <v>0</v>
      </c>
      <c r="V36" s="229" t="str">
        <f>ifs($N36="",VLOOKUP($B36&amp;$E36,'VISIT DATA'!$A$2:$J100,7,FALSE), $N36="SWAB","OUTSA-RW",$N36="SWQU","OUTSA-SaQu", AND($L36="X",$M36="X",$N36="QUEST"),"OUT-UAQPre",$N36="QUEST","OUT-UAQ", $N36="Walk in","ColUATele")</f>
        <v>#N/A</v>
      </c>
      <c r="W36" s="24" t="str">
        <f t="shared" si="8"/>
        <v>#N/A</v>
      </c>
      <c r="X36" s="222" t="str">
        <f t="shared" si="9"/>
        <v/>
      </c>
      <c r="Y36" s="222" t="str">
        <f t="shared" si="10"/>
        <v/>
      </c>
      <c r="Z36" s="224" t="str">
        <f t="shared" si="11"/>
        <v> </v>
      </c>
      <c r="AA36" s="244"/>
    </row>
    <row r="37">
      <c r="A37" s="214" t="str">
        <f>IFS($B37=FALSE,"",$B37,VLOOKUP($B37,'PATIENT DATA (072721)'!A:C, 2, 0))</f>
        <v/>
      </c>
      <c r="B37" s="215"/>
      <c r="C37" s="230" t="str">
        <f>IF(COUNTIF('PATIENT DATA (072721)'!A:A, B37)=0, "X","✓")</f>
        <v>X</v>
      </c>
      <c r="D37" s="226" t="str">
        <f>IFS($B37=FALSE,"",$B37,VLOOKUP($B37,'PATIENT DATA (072721)'!A:C, 3, 0))</f>
        <v/>
      </c>
      <c r="E37" s="218"/>
      <c r="F37" s="219" t="str">
        <f>ifs($B37="","",$B37, VLOOKUP($B37&amp;$E37, 'VISIT DATA'!A:O,3,0))</f>
        <v/>
      </c>
      <c r="G37" s="231"/>
      <c r="H37" s="221"/>
      <c r="I37" s="222" t="str">
        <f>VLOOKUP($B37&amp;$E37,'VISIT DATA'!A:J, 9, FALSE)</f>
        <v>#N/A</v>
      </c>
      <c r="J37" s="223" t="str">
        <f>VLOOKUP(B37&amp;E37,'VISIT DATA'!A:N,10,FALSE)</f>
        <v>#N/A</v>
      </c>
      <c r="K37" s="225"/>
      <c r="L37" s="224"/>
      <c r="M37" s="224"/>
      <c r="N37" s="225"/>
      <c r="O37" s="216" t="str">
        <f t="shared" si="1"/>
        <v>X</v>
      </c>
      <c r="P37" s="226" t="str">
        <f t="shared" si="2"/>
        <v>#N/A</v>
      </c>
      <c r="Q37" s="227" t="str">
        <f t="shared" si="3"/>
        <v>#N/A</v>
      </c>
      <c r="R37" s="228" t="str">
        <f t="shared" si="4"/>
        <v>#N/A</v>
      </c>
      <c r="S37" s="220" t="str">
        <f t="shared" si="5"/>
        <v>#N/A</v>
      </c>
      <c r="T37" s="220" t="str">
        <f t="shared" si="6"/>
        <v>#N/A</v>
      </c>
      <c r="U37" s="221">
        <f t="shared" si="7"/>
        <v>0</v>
      </c>
      <c r="V37" s="229" t="str">
        <f>ifs($N37="",VLOOKUP($B37&amp;$E37,'VISIT DATA'!$A$2:$J100,7,FALSE), $N37="SWAB","OUTSA-RW",$N37="SWQU","OUTSA-SaQu", AND($L37="X",$M37="X",$N37="QUEST"),"OUT-UAQPre",$N37="QUEST","OUT-UAQ", $N37="Walk in","ColUATele")</f>
        <v>#N/A</v>
      </c>
      <c r="W37" s="24" t="str">
        <f t="shared" si="8"/>
        <v>#N/A</v>
      </c>
      <c r="X37" s="222" t="str">
        <f t="shared" si="9"/>
        <v/>
      </c>
      <c r="Y37" s="222" t="str">
        <f t="shared" si="10"/>
        <v/>
      </c>
      <c r="Z37" s="224" t="str">
        <f t="shared" si="11"/>
        <v> </v>
      </c>
      <c r="AA37" s="244"/>
    </row>
    <row r="38">
      <c r="A38" s="214" t="str">
        <f>IFS($B38=FALSE,"",$B38,VLOOKUP($B38,'PATIENT DATA (072721)'!A:C, 2, 0))</f>
        <v/>
      </c>
      <c r="B38" s="215"/>
      <c r="C38" s="230" t="str">
        <f>IF(COUNTIF('PATIENT DATA (072721)'!A:A, B38)=0, "X","✓")</f>
        <v>X</v>
      </c>
      <c r="D38" s="226" t="str">
        <f>IFS($B38=FALSE,"",$B38,VLOOKUP($B38,'PATIENT DATA (072721)'!A:C, 3, 0))</f>
        <v/>
      </c>
      <c r="E38" s="218"/>
      <c r="F38" s="219" t="str">
        <f>ifs($B38="","",$B38, VLOOKUP($B38&amp;$E38, 'VISIT DATA'!A:O,3,0))</f>
        <v/>
      </c>
      <c r="G38" s="231"/>
      <c r="H38" s="221"/>
      <c r="I38" s="222" t="str">
        <f>VLOOKUP($B38&amp;$E38,'VISIT DATA'!A:J, 9, FALSE)</f>
        <v>#N/A</v>
      </c>
      <c r="J38" s="223" t="str">
        <f>VLOOKUP(B38&amp;E38,'VISIT DATA'!A:N,10,FALSE)</f>
        <v>#N/A</v>
      </c>
      <c r="K38" s="225"/>
      <c r="L38" s="224"/>
      <c r="M38" s="224"/>
      <c r="N38" s="225"/>
      <c r="O38" s="216" t="str">
        <f t="shared" si="1"/>
        <v>X</v>
      </c>
      <c r="P38" s="226" t="str">
        <f t="shared" si="2"/>
        <v>#N/A</v>
      </c>
      <c r="Q38" s="227" t="str">
        <f t="shared" si="3"/>
        <v>#N/A</v>
      </c>
      <c r="R38" s="228" t="str">
        <f t="shared" si="4"/>
        <v>#N/A</v>
      </c>
      <c r="S38" s="220" t="str">
        <f t="shared" si="5"/>
        <v>#N/A</v>
      </c>
      <c r="T38" s="220" t="str">
        <f t="shared" si="6"/>
        <v>#N/A</v>
      </c>
      <c r="U38" s="221">
        <f t="shared" si="7"/>
        <v>0</v>
      </c>
      <c r="V38" s="229" t="str">
        <f>ifs($N38="",VLOOKUP($B38&amp;$E38,'VISIT DATA'!$A$2:$J100,7,FALSE), $N38="SWAB","OUTSA-RW",$N38="SWQU","OUTSA-SaQu", AND($L38="X",$M38="X",$N38="QUEST"),"OUT-UAQPre",$N38="QUEST","OUT-UAQ", $N38="Walk in","ColUATele")</f>
        <v>#N/A</v>
      </c>
      <c r="W38" s="24" t="str">
        <f t="shared" si="8"/>
        <v>#N/A</v>
      </c>
      <c r="X38" s="222" t="str">
        <f t="shared" si="9"/>
        <v/>
      </c>
      <c r="Y38" s="222" t="str">
        <f t="shared" si="10"/>
        <v/>
      </c>
      <c r="Z38" s="224" t="str">
        <f t="shared" si="11"/>
        <v> </v>
      </c>
      <c r="AA38" s="244"/>
    </row>
    <row r="39">
      <c r="A39" s="214" t="str">
        <f>IFS($B39=FALSE,"",$B39,VLOOKUP($B39,'PATIENT DATA (072721)'!A:C, 2, 0))</f>
        <v/>
      </c>
      <c r="B39" s="215"/>
      <c r="C39" s="230" t="str">
        <f>IF(COUNTIF('PATIENT DATA (072721)'!A:A, B39)=0, "X","✓")</f>
        <v>X</v>
      </c>
      <c r="D39" s="226" t="str">
        <f>IFS($B39=FALSE,"",$B39,VLOOKUP($B39,'PATIENT DATA (072721)'!A:C, 3, 0))</f>
        <v/>
      </c>
      <c r="E39" s="218"/>
      <c r="F39" s="219" t="str">
        <f>ifs($B39="","",$B39, VLOOKUP($B39&amp;$E39, 'VISIT DATA'!A:O,3,0))</f>
        <v/>
      </c>
      <c r="G39" s="231"/>
      <c r="H39" s="221"/>
      <c r="I39" s="222" t="str">
        <f>VLOOKUP($B39&amp;$E39,'VISIT DATA'!A:J, 9, FALSE)</f>
        <v>#N/A</v>
      </c>
      <c r="J39" s="223" t="str">
        <f>VLOOKUP(B39&amp;E39,'VISIT DATA'!A:N,10,FALSE)</f>
        <v>#N/A</v>
      </c>
      <c r="K39" s="225"/>
      <c r="L39" s="224"/>
      <c r="M39" s="224"/>
      <c r="N39" s="225"/>
      <c r="O39" s="216" t="str">
        <f t="shared" si="1"/>
        <v>X</v>
      </c>
      <c r="P39" s="226" t="str">
        <f t="shared" si="2"/>
        <v>#N/A</v>
      </c>
      <c r="Q39" s="227" t="str">
        <f t="shared" si="3"/>
        <v>#N/A</v>
      </c>
      <c r="R39" s="228" t="str">
        <f t="shared" si="4"/>
        <v>#N/A</v>
      </c>
      <c r="S39" s="220" t="str">
        <f t="shared" si="5"/>
        <v>#N/A</v>
      </c>
      <c r="T39" s="220" t="str">
        <f t="shared" si="6"/>
        <v>#N/A</v>
      </c>
      <c r="U39" s="221">
        <f t="shared" si="7"/>
        <v>0</v>
      </c>
      <c r="V39" s="229" t="str">
        <f>ifs($N39="",VLOOKUP($B39&amp;$E39,'VISIT DATA'!$A$2:$J100,7,FALSE), $N39="SWAB","OUTSA-RW",$N39="SWQU","OUTSA-SaQu", AND($L39="X",$M39="X",$N39="QUEST"),"OUT-UAQPre",$N39="QUEST","OUT-UAQ", $N39="Walk in","ColUATele")</f>
        <v>#N/A</v>
      </c>
      <c r="W39" s="24" t="str">
        <f t="shared" si="8"/>
        <v>#N/A</v>
      </c>
      <c r="X39" s="222" t="str">
        <f t="shared" si="9"/>
        <v/>
      </c>
      <c r="Y39" s="222" t="str">
        <f t="shared" si="10"/>
        <v/>
      </c>
      <c r="Z39" s="224" t="str">
        <f t="shared" si="11"/>
        <v> </v>
      </c>
      <c r="AA39" s="244"/>
    </row>
    <row r="40">
      <c r="A40" s="214" t="str">
        <f>IFS($B40=FALSE,"",$B40,VLOOKUP($B40,'PATIENT DATA (072721)'!A:C, 2, 0))</f>
        <v/>
      </c>
      <c r="B40" s="215"/>
      <c r="C40" s="230" t="str">
        <f>IF(COUNTIF('PATIENT DATA (072721)'!A:A, B40)=0, "X","✓")</f>
        <v>X</v>
      </c>
      <c r="D40" s="226" t="str">
        <f>IFS($B40=FALSE,"",$B40,VLOOKUP($B40,'PATIENT DATA (072721)'!A:C, 3, 0))</f>
        <v/>
      </c>
      <c r="E40" s="218"/>
      <c r="F40" s="219" t="str">
        <f>ifs($B40="","",$B40, VLOOKUP($B40&amp;$E40, 'VISIT DATA'!A:O,3,0))</f>
        <v/>
      </c>
      <c r="G40" s="231"/>
      <c r="H40" s="221"/>
      <c r="I40" s="222" t="str">
        <f>VLOOKUP($B40&amp;$E40,'VISIT DATA'!A:J, 9, FALSE)</f>
        <v>#N/A</v>
      </c>
      <c r="J40" s="223" t="str">
        <f>VLOOKUP(B40&amp;E40,'VISIT DATA'!A:N,10,FALSE)</f>
        <v>#N/A</v>
      </c>
      <c r="K40" s="224"/>
      <c r="L40" s="224"/>
      <c r="M40" s="224"/>
      <c r="N40" s="225"/>
      <c r="O40" s="216" t="str">
        <f t="shared" si="1"/>
        <v>X</v>
      </c>
      <c r="P40" s="226" t="str">
        <f t="shared" si="2"/>
        <v>#N/A</v>
      </c>
      <c r="Q40" s="227" t="str">
        <f t="shared" si="3"/>
        <v>#N/A</v>
      </c>
      <c r="R40" s="228" t="str">
        <f t="shared" si="4"/>
        <v>#N/A</v>
      </c>
      <c r="S40" s="220" t="str">
        <f t="shared" si="5"/>
        <v>#N/A</v>
      </c>
      <c r="T40" s="220" t="str">
        <f t="shared" si="6"/>
        <v>#N/A</v>
      </c>
      <c r="U40" s="221">
        <f t="shared" si="7"/>
        <v>0</v>
      </c>
      <c r="V40" s="229" t="str">
        <f>ifs($N40="",VLOOKUP($B40&amp;$E40,'VISIT DATA'!$A$2:$J100,7,FALSE), $N40="SWAB","OUTSA-RW",$N40="SWQU","OUTSA-SaQu", AND($L40="X",$M40="X",$N40="QUEST"),"OUT-UAQPre",$N40="QUEST","OUT-UAQ", $N40="Walk in","ColUATele")</f>
        <v>#N/A</v>
      </c>
      <c r="W40" s="24" t="str">
        <f t="shared" si="8"/>
        <v>#N/A</v>
      </c>
      <c r="X40" s="222" t="str">
        <f t="shared" si="9"/>
        <v/>
      </c>
      <c r="Y40" s="222" t="str">
        <f t="shared" si="10"/>
        <v/>
      </c>
      <c r="Z40" s="224" t="str">
        <f t="shared" si="11"/>
        <v> </v>
      </c>
      <c r="AA40" s="244"/>
    </row>
    <row r="41">
      <c r="A41" s="214" t="str">
        <f>IFS($B41=FALSE,"",$B41,VLOOKUP($B41,'PATIENT DATA (072721)'!A:C, 2, 0))</f>
        <v/>
      </c>
      <c r="B41" s="215"/>
      <c r="C41" s="216" t="str">
        <f>IF(COUNTIF('PATIENT DATA (072721)'!A:A, B41)=0, "X","✓")</f>
        <v>X</v>
      </c>
      <c r="D41" s="226" t="str">
        <f>IFS($B41=FALSE,"",$B41,VLOOKUP($B41,'PATIENT DATA (072721)'!A:C, 3, 0))</f>
        <v/>
      </c>
      <c r="E41" s="218"/>
      <c r="F41" s="219" t="str">
        <f>ifs($B41="","",$B41, VLOOKUP($B41&amp;$E41, 'VISIT DATA'!A:O,3,0))</f>
        <v/>
      </c>
      <c r="G41" s="220"/>
      <c r="H41" s="221"/>
      <c r="I41" s="222" t="str">
        <f>VLOOKUP($B41&amp;$E41,'VISIT DATA'!A:J, 9, FALSE)</f>
        <v>#N/A</v>
      </c>
      <c r="J41" s="223" t="str">
        <f>VLOOKUP(B41&amp;E41,'VISIT DATA'!A:N,10,FALSE)</f>
        <v>#N/A</v>
      </c>
      <c r="K41" s="225"/>
      <c r="L41" s="224"/>
      <c r="M41" s="224"/>
      <c r="N41" s="225"/>
      <c r="O41" s="216" t="str">
        <f t="shared" si="1"/>
        <v>X</v>
      </c>
      <c r="P41" s="226" t="str">
        <f t="shared" si="2"/>
        <v>#N/A</v>
      </c>
      <c r="Q41" s="227" t="str">
        <f t="shared" si="3"/>
        <v>#N/A</v>
      </c>
      <c r="R41" s="228" t="str">
        <f t="shared" si="4"/>
        <v>#N/A</v>
      </c>
      <c r="S41" s="220" t="str">
        <f t="shared" si="5"/>
        <v>#N/A</v>
      </c>
      <c r="T41" s="220" t="str">
        <f t="shared" si="6"/>
        <v>#N/A</v>
      </c>
      <c r="U41" s="221">
        <f t="shared" si="7"/>
        <v>0</v>
      </c>
      <c r="V41" s="229" t="str">
        <f>ifs($N41="",VLOOKUP($B41&amp;$E41,'VISIT DATA'!$A$2:$J100,7,FALSE), $N41="SWAB","OUTSA-RW",$N41="SWQU","OUTSA-SaQu", AND($L41="X",$M41="X",$N41="QUEST"),"OUT-UAQPre",$N41="QUEST","OUT-UAQ", $N41="Walk in","ColUATele")</f>
        <v>#N/A</v>
      </c>
      <c r="W41" s="24" t="str">
        <f t="shared" si="8"/>
        <v>#N/A</v>
      </c>
      <c r="X41" s="222" t="str">
        <f t="shared" si="9"/>
        <v/>
      </c>
      <c r="Y41" s="222" t="str">
        <f t="shared" si="10"/>
        <v/>
      </c>
      <c r="Z41" s="224" t="str">
        <f t="shared" si="11"/>
        <v> </v>
      </c>
      <c r="AA41" s="244"/>
    </row>
    <row r="42">
      <c r="A42" s="214" t="str">
        <f>IFS($B42=FALSE,"",$B42,VLOOKUP($B42,'PATIENT DATA (072721)'!A:C, 2, 0))</f>
        <v/>
      </c>
      <c r="B42" s="215"/>
      <c r="C42" s="216" t="str">
        <f>IF(COUNTIF('PATIENT DATA (072721)'!A:A, B42)=0, "X","✓")</f>
        <v>X</v>
      </c>
      <c r="D42" s="226" t="str">
        <f>IFS($B42=FALSE,"",$B42,VLOOKUP($B42,'PATIENT DATA (072721)'!A:C, 3, 0))</f>
        <v/>
      </c>
      <c r="E42" s="218"/>
      <c r="F42" s="219" t="str">
        <f>ifs($B42="","",$B42, VLOOKUP($B42&amp;$E42, 'VISIT DATA'!A:O,3,0))</f>
        <v/>
      </c>
      <c r="G42" s="220"/>
      <c r="H42" s="221"/>
      <c r="I42" s="222" t="str">
        <f>VLOOKUP($B42&amp;$E42,'VISIT DATA'!A:J, 9, FALSE)</f>
        <v>#N/A</v>
      </c>
      <c r="J42" s="223" t="str">
        <f>VLOOKUP(B42&amp;E42,'VISIT DATA'!A:N,10,FALSE)</f>
        <v>#N/A</v>
      </c>
      <c r="K42" s="225"/>
      <c r="L42" s="224"/>
      <c r="M42" s="224"/>
      <c r="N42" s="225"/>
      <c r="O42" s="216" t="str">
        <f t="shared" si="1"/>
        <v>X</v>
      </c>
      <c r="P42" s="226" t="str">
        <f t="shared" si="2"/>
        <v>#N/A</v>
      </c>
      <c r="Q42" s="227" t="str">
        <f t="shared" si="3"/>
        <v>#N/A</v>
      </c>
      <c r="R42" s="228" t="str">
        <f t="shared" si="4"/>
        <v>#N/A</v>
      </c>
      <c r="S42" s="220" t="str">
        <f t="shared" si="5"/>
        <v>#N/A</v>
      </c>
      <c r="T42" s="220" t="str">
        <f t="shared" si="6"/>
        <v>#N/A</v>
      </c>
      <c r="U42" s="221">
        <f t="shared" si="7"/>
        <v>0</v>
      </c>
      <c r="V42" s="229" t="str">
        <f>ifs($N42="",VLOOKUP($B42&amp;$E42,'VISIT DATA'!$A$2:$J100,7,FALSE), $N42="SWAB","OUTSA-RW",$N42="SWQU","OUTSA-SaQu", AND($L42="X",$M42="X",$N42="QUEST"),"OUT-UAQPre",$N42="QUEST","OUT-UAQ", $N42="Walk in","ColUATele")</f>
        <v>#N/A</v>
      </c>
      <c r="W42" s="24" t="str">
        <f t="shared" si="8"/>
        <v>#N/A</v>
      </c>
      <c r="X42" s="222" t="str">
        <f t="shared" si="9"/>
        <v/>
      </c>
      <c r="Y42" s="222" t="str">
        <f t="shared" si="10"/>
        <v/>
      </c>
      <c r="Z42" s="224" t="str">
        <f t="shared" si="11"/>
        <v> </v>
      </c>
      <c r="AA42" s="244"/>
    </row>
    <row r="43">
      <c r="A43" s="214" t="str">
        <f>IFS($B43=FALSE,"",$B43,VLOOKUP($B43,'PATIENT DATA (072721)'!A:C, 2, 0))</f>
        <v/>
      </c>
      <c r="B43" s="215"/>
      <c r="C43" s="216" t="str">
        <f>IF(COUNTIF('PATIENT DATA (072721)'!A:A, B43)=0, "X","✓")</f>
        <v>X</v>
      </c>
      <c r="D43" s="226" t="str">
        <f>IFS($B43=FALSE,"",$B43,VLOOKUP($B43,'PATIENT DATA (072721)'!A:C, 3, 0))</f>
        <v/>
      </c>
      <c r="E43" s="218"/>
      <c r="F43" s="219" t="str">
        <f>ifs($B43="","",$B43, VLOOKUP($B43&amp;$E43, 'VISIT DATA'!A:O,3,0))</f>
        <v/>
      </c>
      <c r="G43" s="220"/>
      <c r="H43" s="221"/>
      <c r="I43" s="222" t="str">
        <f>VLOOKUP($B43&amp;$E43,'VISIT DATA'!A:J, 9, FALSE)</f>
        <v>#N/A</v>
      </c>
      <c r="J43" s="223" t="str">
        <f>VLOOKUP(B43&amp;E43,'VISIT DATA'!A:N,10,FALSE)</f>
        <v>#N/A</v>
      </c>
      <c r="K43" s="225"/>
      <c r="L43" s="224"/>
      <c r="M43" s="224"/>
      <c r="N43" s="225"/>
      <c r="O43" s="216" t="str">
        <f t="shared" si="1"/>
        <v>X</v>
      </c>
      <c r="P43" s="226" t="str">
        <f t="shared" si="2"/>
        <v>#N/A</v>
      </c>
      <c r="Q43" s="227" t="str">
        <f t="shared" si="3"/>
        <v>#N/A</v>
      </c>
      <c r="R43" s="228" t="str">
        <f t="shared" si="4"/>
        <v>#N/A</v>
      </c>
      <c r="S43" s="220" t="str">
        <f t="shared" si="5"/>
        <v>#N/A</v>
      </c>
      <c r="T43" s="220" t="str">
        <f t="shared" si="6"/>
        <v>#N/A</v>
      </c>
      <c r="U43" s="221">
        <f t="shared" si="7"/>
        <v>0</v>
      </c>
      <c r="V43" s="229" t="str">
        <f>ifs($N43="",VLOOKUP($B43&amp;$E43,'VISIT DATA'!$A$2:$J100,7,FALSE), $N43="SWAB","OUTSA-RW",$N43="SWQU","OUTSA-SaQu", AND($L43="X",$M43="X",$N43="QUEST"),"OUT-UAQPre",$N43="QUEST","OUT-UAQ", $N43="Walk in","ColUATele")</f>
        <v>#N/A</v>
      </c>
      <c r="W43" s="24" t="str">
        <f t="shared" si="8"/>
        <v>#N/A</v>
      </c>
      <c r="X43" s="222" t="str">
        <f t="shared" si="9"/>
        <v/>
      </c>
      <c r="Y43" s="222" t="str">
        <f t="shared" si="10"/>
        <v/>
      </c>
      <c r="Z43" s="224" t="str">
        <f t="shared" si="11"/>
        <v> </v>
      </c>
      <c r="AA43" s="244"/>
    </row>
    <row r="44">
      <c r="A44" s="214" t="str">
        <f>IFS($B44=FALSE,"",$B44,VLOOKUP($B44,'PATIENT DATA (072721)'!A:C, 2, 0))</f>
        <v/>
      </c>
      <c r="B44" s="215"/>
      <c r="C44" s="216" t="str">
        <f>IF(COUNTIF('PATIENT DATA (072721)'!A:A, B44)=0, "X","✓")</f>
        <v>X</v>
      </c>
      <c r="D44" s="226" t="str">
        <f>IFS($B44=FALSE,"",$B44,VLOOKUP($B44,'PATIENT DATA (072721)'!A:C, 3, 0))</f>
        <v/>
      </c>
      <c r="E44" s="218"/>
      <c r="F44" s="219" t="str">
        <f>ifs($B44="","",$B44, VLOOKUP($B44&amp;$E44, 'VISIT DATA'!A:O,3,0))</f>
        <v/>
      </c>
      <c r="G44" s="220"/>
      <c r="H44" s="221"/>
      <c r="I44" s="222" t="str">
        <f>VLOOKUP($B44&amp;$E44,'VISIT DATA'!A:J, 9, FALSE)</f>
        <v>#N/A</v>
      </c>
      <c r="J44" s="223" t="str">
        <f>VLOOKUP(B44&amp;E44,'VISIT DATA'!A:N,10,FALSE)</f>
        <v>#N/A</v>
      </c>
      <c r="K44" s="224"/>
      <c r="L44" s="224"/>
      <c r="M44" s="224"/>
      <c r="N44" s="225"/>
      <c r="O44" s="216" t="str">
        <f t="shared" si="1"/>
        <v>X</v>
      </c>
      <c r="P44" s="226" t="str">
        <f t="shared" si="2"/>
        <v>#N/A</v>
      </c>
      <c r="Q44" s="227" t="str">
        <f t="shared" si="3"/>
        <v>#N/A</v>
      </c>
      <c r="R44" s="228" t="str">
        <f t="shared" si="4"/>
        <v>#N/A</v>
      </c>
      <c r="S44" s="220" t="str">
        <f t="shared" si="5"/>
        <v>#N/A</v>
      </c>
      <c r="T44" s="220" t="str">
        <f t="shared" si="6"/>
        <v>#N/A</v>
      </c>
      <c r="U44" s="221">
        <f t="shared" si="7"/>
        <v>0</v>
      </c>
      <c r="V44" s="229" t="str">
        <f>ifs($N44="",VLOOKUP($B44&amp;$E44,'VISIT DATA'!$A$2:$J100,7,FALSE), $N44="SWAB","OUTSA-RW",$N44="SWQU","OUTSA-SaQu", AND($L44="X",$M44="X",$N44="QUEST"),"OUT-UAQPre",$N44="QUEST","OUT-UAQ", $N44="Walk in","ColUATele")</f>
        <v>#N/A</v>
      </c>
      <c r="W44" s="24" t="str">
        <f t="shared" si="8"/>
        <v>#N/A</v>
      </c>
      <c r="X44" s="222" t="str">
        <f t="shared" si="9"/>
        <v/>
      </c>
      <c r="Y44" s="222" t="str">
        <f t="shared" si="10"/>
        <v/>
      </c>
      <c r="Z44" s="224" t="str">
        <f t="shared" si="11"/>
        <v> </v>
      </c>
      <c r="AA44" s="244"/>
    </row>
    <row r="45">
      <c r="A45" s="214" t="str">
        <f>IFS($B45=FALSE,"",$B45,VLOOKUP($B45,'PATIENT DATA (072721)'!A:C, 2, 0))</f>
        <v/>
      </c>
      <c r="B45" s="215"/>
      <c r="C45" s="216" t="str">
        <f>IF(COUNTIF('PATIENT DATA (072721)'!A:A, B45)=0, "X","✓")</f>
        <v>X</v>
      </c>
      <c r="D45" s="226" t="str">
        <f>IFS($B45=FALSE,"",$B45,VLOOKUP($B45,'PATIENT DATA (072721)'!A:C, 3, 0))</f>
        <v/>
      </c>
      <c r="E45" s="218"/>
      <c r="F45" s="219" t="str">
        <f>ifs($B45="","",$B45, VLOOKUP($B45&amp;$E45, 'VISIT DATA'!A:O,3,0))</f>
        <v/>
      </c>
      <c r="G45" s="220"/>
      <c r="H45" s="221"/>
      <c r="I45" s="222" t="str">
        <f>VLOOKUP($B45&amp;$E45,'VISIT DATA'!A:J, 9, FALSE)</f>
        <v>#N/A</v>
      </c>
      <c r="J45" s="223" t="str">
        <f>VLOOKUP(B45&amp;E45,'VISIT DATA'!A:N,10,FALSE)</f>
        <v>#N/A</v>
      </c>
      <c r="K45" s="225"/>
      <c r="L45" s="224"/>
      <c r="M45" s="224"/>
      <c r="N45" s="225"/>
      <c r="O45" s="216" t="str">
        <f t="shared" si="1"/>
        <v>X</v>
      </c>
      <c r="P45" s="226" t="str">
        <f t="shared" si="2"/>
        <v>#N/A</v>
      </c>
      <c r="Q45" s="227" t="str">
        <f t="shared" si="3"/>
        <v>#N/A</v>
      </c>
      <c r="R45" s="228" t="str">
        <f t="shared" si="4"/>
        <v>#N/A</v>
      </c>
      <c r="S45" s="220" t="str">
        <f t="shared" si="5"/>
        <v>#N/A</v>
      </c>
      <c r="T45" s="220" t="str">
        <f t="shared" si="6"/>
        <v>#N/A</v>
      </c>
      <c r="U45" s="221">
        <f t="shared" si="7"/>
        <v>0</v>
      </c>
      <c r="V45" s="229" t="str">
        <f>ifs($N45="",VLOOKUP($B45&amp;$E45,'VISIT DATA'!$A$2:$J100,7,FALSE), $N45="SWAB","OUTSA-RW",$N45="SWQU","OUTSA-SaQu", AND($L45="X",$M45="X",$N45="QUEST"),"OUT-UAQPre",$N45="QUEST","OUT-UAQ", $N45="Walk in","ColUATele")</f>
        <v>#N/A</v>
      </c>
      <c r="W45" s="24" t="str">
        <f t="shared" si="8"/>
        <v>#N/A</v>
      </c>
      <c r="X45" s="222" t="str">
        <f t="shared" si="9"/>
        <v/>
      </c>
      <c r="Y45" s="222" t="str">
        <f t="shared" si="10"/>
        <v/>
      </c>
      <c r="Z45" s="224" t="str">
        <f t="shared" si="11"/>
        <v> </v>
      </c>
      <c r="AA45" s="244"/>
    </row>
    <row r="46">
      <c r="A46" s="214" t="str">
        <f>IFS($B46=FALSE,"",$B46,VLOOKUP($B46,'PATIENT DATA (072721)'!A:C, 2, 0))</f>
        <v/>
      </c>
      <c r="B46" s="215"/>
      <c r="C46" s="216" t="str">
        <f>IF(COUNTIF('PATIENT DATA (072721)'!A:A, B46)=0, "X","✓")</f>
        <v>X</v>
      </c>
      <c r="D46" s="226" t="str">
        <f>IFS($B46=FALSE,"",$B46,VLOOKUP($B46,'PATIENT DATA (072721)'!A:C, 3, 0))</f>
        <v/>
      </c>
      <c r="E46" s="218"/>
      <c r="F46" s="219" t="str">
        <f>ifs($B46="","",$B46, VLOOKUP($B46&amp;$E46, 'VISIT DATA'!A:O,3,0))</f>
        <v/>
      </c>
      <c r="G46" s="220"/>
      <c r="H46" s="221"/>
      <c r="I46" s="222" t="str">
        <f>VLOOKUP($B46&amp;$E46,'VISIT DATA'!A:J, 9, FALSE)</f>
        <v>#N/A</v>
      </c>
      <c r="J46" s="223" t="str">
        <f>VLOOKUP(B46&amp;E46,'VISIT DATA'!A:N,10,FALSE)</f>
        <v>#N/A</v>
      </c>
      <c r="K46" s="224"/>
      <c r="L46" s="224"/>
      <c r="M46" s="224"/>
      <c r="N46" s="225"/>
      <c r="O46" s="216" t="str">
        <f t="shared" si="1"/>
        <v>X</v>
      </c>
      <c r="P46" s="226" t="str">
        <f t="shared" si="2"/>
        <v>#N/A</v>
      </c>
      <c r="Q46" s="227" t="str">
        <f t="shared" si="3"/>
        <v>#N/A</v>
      </c>
      <c r="R46" s="228" t="str">
        <f t="shared" si="4"/>
        <v>#N/A</v>
      </c>
      <c r="S46" s="220" t="str">
        <f t="shared" si="5"/>
        <v>#N/A</v>
      </c>
      <c r="T46" s="220" t="str">
        <f t="shared" si="6"/>
        <v>#N/A</v>
      </c>
      <c r="U46" s="221">
        <f t="shared" si="7"/>
        <v>0</v>
      </c>
      <c r="V46" s="229" t="str">
        <f>ifs($N46="",VLOOKUP($B46&amp;$E46,'VISIT DATA'!$A$2:$J100,7,FALSE), $N46="SWAB","OUTSA-RW",$N46="SWQU","OUTSA-SaQu", AND($L46="X",$M46="X",$N46="QUEST"),"OUT-UAQPre",$N46="QUEST","OUT-UAQ", $N46="Walk in","ColUATele")</f>
        <v>#N/A</v>
      </c>
      <c r="W46" s="24" t="str">
        <f t="shared" si="8"/>
        <v>#N/A</v>
      </c>
      <c r="X46" s="222" t="str">
        <f t="shared" si="9"/>
        <v/>
      </c>
      <c r="Y46" s="222" t="str">
        <f t="shared" si="10"/>
        <v/>
      </c>
      <c r="Z46" s="224" t="str">
        <f t="shared" si="11"/>
        <v> </v>
      </c>
      <c r="AA46" s="244"/>
    </row>
    <row r="47">
      <c r="A47" s="214" t="str">
        <f>IFS($B47=FALSE,"",$B47,VLOOKUP($B47,'PATIENT DATA (072721)'!A:C, 2, 0))</f>
        <v/>
      </c>
      <c r="B47" s="215"/>
      <c r="C47" s="230" t="str">
        <f>IF(COUNTIF('PATIENT DATA (072721)'!A:A, B47)=0, "X","✓")</f>
        <v>X</v>
      </c>
      <c r="D47" s="226" t="str">
        <f>IFS($B47=FALSE,"",$B47,VLOOKUP($B47,'PATIENT DATA (072721)'!A:C, 3, 0))</f>
        <v/>
      </c>
      <c r="E47" s="218"/>
      <c r="F47" s="219" t="str">
        <f>ifs($B47="","",$B47, VLOOKUP($B47&amp;$E47, 'VISIT DATA'!A:O,3,0))</f>
        <v/>
      </c>
      <c r="G47" s="220"/>
      <c r="H47" s="221"/>
      <c r="I47" s="222" t="str">
        <f>VLOOKUP($B47&amp;$E47,'VISIT DATA'!A:J, 9, FALSE)</f>
        <v>#N/A</v>
      </c>
      <c r="J47" s="223" t="str">
        <f>VLOOKUP(B47&amp;E47,'VISIT DATA'!A:N,10,FALSE)</f>
        <v>#N/A</v>
      </c>
      <c r="K47" s="225"/>
      <c r="L47" s="224"/>
      <c r="M47" s="224"/>
      <c r="N47" s="225"/>
      <c r="O47" s="216" t="str">
        <f t="shared" si="1"/>
        <v>X</v>
      </c>
      <c r="P47" s="226" t="str">
        <f t="shared" si="2"/>
        <v>#N/A</v>
      </c>
      <c r="Q47" s="227" t="str">
        <f t="shared" si="3"/>
        <v>#N/A</v>
      </c>
      <c r="R47" s="228" t="str">
        <f t="shared" si="4"/>
        <v>#N/A</v>
      </c>
      <c r="S47" s="220" t="str">
        <f t="shared" si="5"/>
        <v>#N/A</v>
      </c>
      <c r="T47" s="220" t="str">
        <f t="shared" si="6"/>
        <v>#N/A</v>
      </c>
      <c r="U47" s="221">
        <f t="shared" si="7"/>
        <v>0</v>
      </c>
      <c r="V47" s="229" t="str">
        <f>ifs($N47="",VLOOKUP($B47&amp;$E47,'VISIT DATA'!$A$2:$J100,7,FALSE), $N47="SWAB","OUTSA-RW",$N47="SWQU","OUTSA-SaQu", AND($L47="X",$M47="X",$N47="QUEST"),"OUT-UAQPre",$N47="QUEST","OUT-UAQ", $N47="Walk in","ColUATele")</f>
        <v>#N/A</v>
      </c>
      <c r="W47" s="24" t="str">
        <f t="shared" si="8"/>
        <v>#N/A</v>
      </c>
      <c r="X47" s="222" t="str">
        <f t="shared" si="9"/>
        <v/>
      </c>
      <c r="Y47" s="222" t="str">
        <f t="shared" si="10"/>
        <v/>
      </c>
      <c r="Z47" s="224" t="str">
        <f t="shared" si="11"/>
        <v> </v>
      </c>
      <c r="AA47" s="244"/>
    </row>
    <row r="48">
      <c r="A48" s="214" t="str">
        <f>IFS($B48=FALSE,"",$B48,VLOOKUP($B48,'PATIENT DATA (072721)'!A:C, 2, 0))</f>
        <v/>
      </c>
      <c r="B48" s="215"/>
      <c r="C48" s="230" t="str">
        <f>IF(COUNTIF('PATIENT DATA (072721)'!A:A, B48)=0, "X","✓")</f>
        <v>X</v>
      </c>
      <c r="D48" s="226" t="str">
        <f>IFS($B48=FALSE,"",$B48,VLOOKUP($B48,'PATIENT DATA (072721)'!A:C, 3, 0))</f>
        <v/>
      </c>
      <c r="E48" s="218"/>
      <c r="F48" s="219" t="str">
        <f>ifs($B48="","",$B48, VLOOKUP($B48&amp;$E48, 'VISIT DATA'!A:O,3,0))</f>
        <v/>
      </c>
      <c r="G48" s="220"/>
      <c r="H48" s="221"/>
      <c r="I48" s="222" t="str">
        <f>VLOOKUP($B48&amp;$E48,'VISIT DATA'!A:J, 9, FALSE)</f>
        <v>#N/A</v>
      </c>
      <c r="J48" s="223" t="str">
        <f>VLOOKUP(B48&amp;E48,'VISIT DATA'!A:N,10,FALSE)</f>
        <v>#N/A</v>
      </c>
      <c r="K48" s="225"/>
      <c r="L48" s="224"/>
      <c r="M48" s="224"/>
      <c r="N48" s="224"/>
      <c r="O48" s="216" t="str">
        <f t="shared" si="1"/>
        <v>X</v>
      </c>
      <c r="P48" s="226" t="str">
        <f t="shared" si="2"/>
        <v>#N/A</v>
      </c>
      <c r="Q48" s="227" t="str">
        <f t="shared" si="3"/>
        <v>#N/A</v>
      </c>
      <c r="R48" s="228" t="str">
        <f t="shared" si="4"/>
        <v>#N/A</v>
      </c>
      <c r="S48" s="220" t="str">
        <f t="shared" si="5"/>
        <v>#N/A</v>
      </c>
      <c r="T48" s="220" t="str">
        <f t="shared" si="6"/>
        <v>#N/A</v>
      </c>
      <c r="U48" s="221">
        <f t="shared" si="7"/>
        <v>0</v>
      </c>
      <c r="V48" s="229" t="str">
        <f>ifs($N48="",VLOOKUP($B48&amp;$E48,'VISIT DATA'!$A$2:$J100,7,FALSE), $N48="SWAB","OUTSA-RW",$N48="SWQU","OUTSA-SaQu", AND($L48="X",$M48="X",$N48="QUEST"),"OUT-UAQPre",$N48="QUEST","OUT-UAQ", $N48="Walk in","ColUATele")</f>
        <v>#N/A</v>
      </c>
      <c r="W48" s="24" t="str">
        <f t="shared" si="8"/>
        <v>#N/A</v>
      </c>
      <c r="X48" s="222" t="str">
        <f t="shared" si="9"/>
        <v/>
      </c>
      <c r="Y48" s="222" t="str">
        <f t="shared" si="10"/>
        <v/>
      </c>
      <c r="Z48" s="224" t="str">
        <f t="shared" si="11"/>
        <v> </v>
      </c>
      <c r="AA48" s="244"/>
    </row>
    <row r="49">
      <c r="A49" s="214" t="str">
        <f>IFS($B49=FALSE,"",$B49,VLOOKUP($B49,'PATIENT DATA (072721)'!A:C, 2, 0))</f>
        <v/>
      </c>
      <c r="B49" s="215"/>
      <c r="C49" s="247" t="str">
        <f>IF(COUNTIF('PATIENT DATA (072721)'!A:A, B49)=0, "X","✓")</f>
        <v>X</v>
      </c>
      <c r="D49" s="226" t="str">
        <f>IFS($B49=FALSE,"",$B49,VLOOKUP($B49,'PATIENT DATA (072721)'!A:C, 3, 0))</f>
        <v/>
      </c>
      <c r="E49" s="218"/>
      <c r="F49" s="219"/>
      <c r="G49" s="220"/>
      <c r="H49" s="221"/>
      <c r="I49" s="222" t="str">
        <f>VLOOKUP($B49&amp;$E49,'VISIT DATA'!A:J, 9, FALSE)</f>
        <v>#N/A</v>
      </c>
      <c r="J49" s="223" t="str">
        <f>VLOOKUP(B49&amp;E49,'VISIT DATA'!A:N,10,FALSE)</f>
        <v>#N/A</v>
      </c>
      <c r="K49" s="225"/>
      <c r="L49" s="224"/>
      <c r="M49" s="224"/>
      <c r="N49" s="225"/>
      <c r="O49" s="247" t="str">
        <f t="shared" si="1"/>
        <v>X</v>
      </c>
      <c r="P49" s="226" t="str">
        <f t="shared" si="2"/>
        <v>#N/A</v>
      </c>
      <c r="Q49" s="227" t="str">
        <f t="shared" si="3"/>
        <v>#N/A</v>
      </c>
      <c r="R49" s="228" t="str">
        <f t="shared" si="4"/>
        <v>#N/A</v>
      </c>
      <c r="S49" s="220" t="str">
        <f t="shared" si="5"/>
        <v>#N/A</v>
      </c>
      <c r="T49" s="220" t="str">
        <f t="shared" si="6"/>
        <v>#N/A</v>
      </c>
      <c r="U49" s="221">
        <f t="shared" si="7"/>
        <v>0</v>
      </c>
      <c r="V49" s="229" t="str">
        <f>ifs($N49="",VLOOKUP($B49&amp;$E49,'VISIT DATA'!$A$2:$J100,7,FALSE), $N49="SWAB","OUTSA-RW",$N49="SWQU","OUTSA-SaQu", AND($L49="X",$M49="X",$N49="QUEST"),"OUT-UAQPre",$N49="QUEST","OUT-UAQ", $N49="Walk in","ColUATele")</f>
        <v>#N/A</v>
      </c>
      <c r="W49" s="24" t="str">
        <f t="shared" si="8"/>
        <v>#N/A</v>
      </c>
      <c r="X49" s="222" t="str">
        <f t="shared" si="9"/>
        <v/>
      </c>
      <c r="Y49" s="222" t="str">
        <f t="shared" si="10"/>
        <v/>
      </c>
      <c r="Z49" s="224" t="str">
        <f t="shared" si="11"/>
        <v> </v>
      </c>
      <c r="AA49" s="244"/>
    </row>
    <row r="50">
      <c r="A50" s="248" t="str">
        <f>IFS($B50=FALSE,"",$B50,VLOOKUP($B50,'PATIENT DATA (072721)'!A:C, 2, 0))</f>
        <v/>
      </c>
      <c r="B50" s="249"/>
      <c r="C50" s="250" t="str">
        <f>IF(COUNTIF('PATIENT DATA (072721)'!A:A, B50)=0, "X","✓")</f>
        <v>X</v>
      </c>
      <c r="D50" s="251" t="str">
        <f>IFS($B50=FALSE,"",$B50,VLOOKUP($B50,'PATIENT DATA (072721)'!A:C, 3, 0))</f>
        <v/>
      </c>
      <c r="E50" s="252"/>
      <c r="F50" s="253" t="str">
        <f>ifs($B50="","",$B50, VLOOKUP($B50&amp;$E50, 'VISIT DATA'!A:O,3,0))</f>
        <v/>
      </c>
      <c r="G50" s="254"/>
      <c r="H50" s="255" t="str">
        <f>ifs($B50="","",$B50, VLOOKUP($B50&amp;$E50, 'VISIT DATA'!$A:$O,13,0))</f>
        <v/>
      </c>
      <c r="I50" s="256" t="str">
        <f>VLOOKUP($B50&amp;$E50,'VISIT DATA'!A:J, 9, FALSE)</f>
        <v>#N/A</v>
      </c>
      <c r="J50" s="257" t="str">
        <f>VLOOKUP(B50&amp;E50,'VISIT DATA'!A:N,10,FALSE)</f>
        <v>#N/A</v>
      </c>
      <c r="K50" s="258"/>
      <c r="L50" s="259"/>
      <c r="M50" s="259"/>
      <c r="N50" s="258"/>
      <c r="O50" s="260" t="str">
        <f t="shared" si="1"/>
        <v>X</v>
      </c>
      <c r="P50" s="226" t="str">
        <f t="shared" si="2"/>
        <v>#N/A</v>
      </c>
      <c r="Q50" s="227" t="str">
        <f t="shared" si="3"/>
        <v>#N/A</v>
      </c>
      <c r="R50" s="228" t="str">
        <f t="shared" si="4"/>
        <v>#N/A</v>
      </c>
      <c r="S50" s="220" t="str">
        <f t="shared" si="5"/>
        <v>#N/A</v>
      </c>
      <c r="T50" s="220" t="str">
        <f t="shared" si="6"/>
        <v>#N/A</v>
      </c>
      <c r="U50" s="221">
        <f t="shared" si="7"/>
        <v>0</v>
      </c>
      <c r="V50" s="261" t="str">
        <f>ifs($N50="",VLOOKUP($B50&amp;$E50,'VISIT DATA'!$A$2:$J100,7,FALSE), $N50="SWAB","OUTSA-RW",$N50="SWQU","OUTSA-SaQu", AND($L50="X",$M50="X",$N50="QUEST"),"OUT-UAQPre",$N50="QUEST","OUT-UAQ", $N50="Walk in","ColUATele")</f>
        <v>#N/A</v>
      </c>
      <c r="W50" s="24" t="str">
        <f t="shared" si="8"/>
        <v>#N/A</v>
      </c>
      <c r="X50" s="222" t="str">
        <f t="shared" si="9"/>
        <v/>
      </c>
      <c r="Y50" s="222" t="str">
        <f t="shared" si="10"/>
        <v/>
      </c>
      <c r="Z50" s="224" t="str">
        <f t="shared" si="11"/>
        <v> </v>
      </c>
      <c r="AA50" s="244"/>
    </row>
    <row r="51">
      <c r="A51" s="214" t="str">
        <f>IFS($B51=FALSE,"",$B51,VLOOKUP($B51,'PATIENT DATA (072721)'!A:C, 2, 0))</f>
        <v/>
      </c>
      <c r="B51" s="215"/>
      <c r="C51" s="230" t="str">
        <f>IF(COUNTIF('PATIENT DATA (072721)'!A:A, B51)=0, "X","✓")</f>
        <v>X</v>
      </c>
      <c r="D51" s="226" t="str">
        <f>IFS($B51=FALSE,"",$B51,VLOOKUP($B51,'PATIENT DATA (072721)'!A:C, 3, 0))</f>
        <v/>
      </c>
      <c r="E51" s="218"/>
      <c r="F51" s="219" t="str">
        <f>ifs($B51="","",$B51, VLOOKUP($B51&amp;$E51, 'VISIT DATA'!A:O,3,0))</f>
        <v/>
      </c>
      <c r="G51" s="231"/>
      <c r="H51" s="221" t="str">
        <f>ifs($B51="","",$B51, VLOOKUP($B51&amp;$E51, 'VISIT DATA'!$A:$O,13,0))</f>
        <v/>
      </c>
      <c r="I51" s="262" t="str">
        <f>VLOOKUP($B51&amp;$E51,'VISIT DATA'!A:J, 9, FALSE)</f>
        <v>#N/A</v>
      </c>
      <c r="J51" s="223" t="str">
        <f>VLOOKUP(B51&amp;E51,'VISIT DATA'!A:N,10,FALSE)</f>
        <v>#N/A</v>
      </c>
      <c r="K51" s="225"/>
      <c r="L51" s="224"/>
      <c r="M51" s="224"/>
      <c r="N51" s="225"/>
      <c r="O51" s="216" t="str">
        <f t="shared" si="1"/>
        <v>X</v>
      </c>
      <c r="P51" s="226" t="str">
        <f t="shared" si="2"/>
        <v>#N/A</v>
      </c>
      <c r="Q51" s="227" t="str">
        <f t="shared" si="3"/>
        <v>#N/A</v>
      </c>
      <c r="R51" s="228" t="str">
        <f t="shared" si="4"/>
        <v>#N/A</v>
      </c>
      <c r="S51" s="220" t="str">
        <f t="shared" si="5"/>
        <v>#N/A</v>
      </c>
      <c r="T51" s="220" t="str">
        <f t="shared" si="6"/>
        <v>#N/A</v>
      </c>
      <c r="U51" s="221">
        <f t="shared" si="7"/>
        <v>0</v>
      </c>
      <c r="V51" s="229" t="str">
        <f>ifs($N51="",VLOOKUP($B51&amp;$E51,'VISIT DATA'!$A$2:$J100,7,FALSE), $N51="SWAB","OUTSA-RW",$N51="SWQU","OUTSA-SaQu", AND($L51="X",$M51="X",$N51="QUEST"),"OUT-UAQPre",$N51="QUEST","OUT-UAQ", $N51="Walk in","ColUATele")</f>
        <v>#N/A</v>
      </c>
      <c r="W51" s="24" t="str">
        <f t="shared" si="8"/>
        <v>#N/A</v>
      </c>
      <c r="X51" s="222" t="str">
        <f t="shared" si="9"/>
        <v/>
      </c>
      <c r="Y51" s="222" t="str">
        <f t="shared" si="10"/>
        <v/>
      </c>
      <c r="Z51" s="224" t="str">
        <f t="shared" si="11"/>
        <v> </v>
      </c>
      <c r="AA51" s="244"/>
    </row>
    <row r="52">
      <c r="A52" s="214" t="str">
        <f>IFS($B52=FALSE,"",$B52,VLOOKUP($B52,'PATIENT DATA (072721)'!A:C, 2, 0))</f>
        <v/>
      </c>
      <c r="B52" s="215"/>
      <c r="C52" s="230" t="str">
        <f>IF(COUNTIF('PATIENT DATA (072721)'!A:A, B52)=0, "X","✓")</f>
        <v>X</v>
      </c>
      <c r="D52" s="226" t="str">
        <f>IFS($B52=FALSE,"",$B52,VLOOKUP($B52,'PATIENT DATA (072721)'!A:C, 3, 0))</f>
        <v/>
      </c>
      <c r="E52" s="218"/>
      <c r="F52" s="219" t="str">
        <f>ifs($B52="","",$B52, VLOOKUP($B52&amp;$E52, 'VISIT DATA'!A:O,3,0))</f>
        <v/>
      </c>
      <c r="G52" s="231"/>
      <c r="H52" s="221" t="str">
        <f>ifs($B52="","",$B52, VLOOKUP($B52&amp;$E52, 'VISIT DATA'!$A:$O,13,0))</f>
        <v/>
      </c>
      <c r="I52" s="262" t="str">
        <f>VLOOKUP($B52&amp;$E52,'VISIT DATA'!A:J, 9, FALSE)</f>
        <v>#N/A</v>
      </c>
      <c r="J52" s="223" t="str">
        <f>VLOOKUP(B52&amp;E52,'VISIT DATA'!A:N,10,FALSE)</f>
        <v>#N/A</v>
      </c>
      <c r="K52" s="225"/>
      <c r="L52" s="224"/>
      <c r="M52" s="224"/>
      <c r="N52" s="225"/>
      <c r="O52" s="216" t="str">
        <f t="shared" si="1"/>
        <v>X</v>
      </c>
      <c r="P52" s="226" t="str">
        <f t="shared" si="2"/>
        <v>#N/A</v>
      </c>
      <c r="Q52" s="227" t="str">
        <f t="shared" si="3"/>
        <v>#N/A</v>
      </c>
      <c r="R52" s="228" t="str">
        <f t="shared" si="4"/>
        <v>#N/A</v>
      </c>
      <c r="S52" s="220" t="str">
        <f t="shared" si="5"/>
        <v>#N/A</v>
      </c>
      <c r="T52" s="220" t="str">
        <f t="shared" si="6"/>
        <v>#N/A</v>
      </c>
      <c r="U52" s="221">
        <f t="shared" si="7"/>
        <v>0</v>
      </c>
      <c r="V52" s="229" t="str">
        <f>ifs($N52="",VLOOKUP($B52&amp;$E52,'VISIT DATA'!$A$2:$J100,7,FALSE), $N52="SWAB","OUTSA-RW",$N52="SWQU","OUTSA-SaQu", AND($L52="X",$M52="X",$N52="QUEST"),"OUT-UAQPre",$N52="QUEST","OUT-UAQ", $N52="Walk in","ColUATele")</f>
        <v>#N/A</v>
      </c>
      <c r="W52" s="24" t="str">
        <f t="shared" si="8"/>
        <v>#N/A</v>
      </c>
      <c r="X52" s="222" t="str">
        <f t="shared" si="9"/>
        <v/>
      </c>
      <c r="Y52" s="222" t="str">
        <f t="shared" si="10"/>
        <v/>
      </c>
      <c r="Z52" s="224" t="str">
        <f t="shared" si="11"/>
        <v> </v>
      </c>
      <c r="AA52" s="244"/>
    </row>
    <row r="53">
      <c r="A53" s="214" t="str">
        <f>IFS($B53=FALSE,"",$B53,VLOOKUP($B53,'PATIENT DATA (072721)'!A:C, 2, 0))</f>
        <v/>
      </c>
      <c r="B53" s="215"/>
      <c r="C53" s="230" t="str">
        <f>IF(COUNTIF('PATIENT DATA (072721)'!A:A, B53)=0, "X","✓")</f>
        <v>X</v>
      </c>
      <c r="D53" s="226" t="str">
        <f>IFS($B53=FALSE,"",$B53,VLOOKUP($B53,'PATIENT DATA (072721)'!A:C, 3, 0))</f>
        <v/>
      </c>
      <c r="E53" s="218"/>
      <c r="F53" s="219" t="str">
        <f>ifs($B53="","",$B53, VLOOKUP($B53&amp;$E53, 'VISIT DATA'!A:O,3,0))</f>
        <v/>
      </c>
      <c r="G53" s="231"/>
      <c r="H53" s="221" t="str">
        <f>ifs($B53="","",$B53, VLOOKUP($B53&amp;$E53, 'VISIT DATA'!$A:$O,13,0))</f>
        <v/>
      </c>
      <c r="I53" s="262" t="str">
        <f>VLOOKUP($B53&amp;$E53,'VISIT DATA'!A:J, 9, FALSE)</f>
        <v>#N/A</v>
      </c>
      <c r="J53" s="223" t="str">
        <f>VLOOKUP(B53&amp;E53,'VISIT DATA'!A:N,10,FALSE)</f>
        <v>#N/A</v>
      </c>
      <c r="K53" s="224"/>
      <c r="L53" s="224"/>
      <c r="M53" s="224"/>
      <c r="N53" s="225"/>
      <c r="O53" s="216" t="str">
        <f t="shared" si="1"/>
        <v>X</v>
      </c>
      <c r="P53" s="226" t="str">
        <f t="shared" si="2"/>
        <v>#N/A</v>
      </c>
      <c r="Q53" s="227" t="str">
        <f t="shared" si="3"/>
        <v>#N/A</v>
      </c>
      <c r="R53" s="228" t="str">
        <f t="shared" si="4"/>
        <v>#N/A</v>
      </c>
      <c r="S53" s="220" t="str">
        <f t="shared" si="5"/>
        <v>#N/A</v>
      </c>
      <c r="T53" s="220" t="str">
        <f t="shared" si="6"/>
        <v>#N/A</v>
      </c>
      <c r="U53" s="221">
        <f t="shared" si="7"/>
        <v>0</v>
      </c>
      <c r="V53" s="229" t="str">
        <f>ifs($N53="",VLOOKUP($B53&amp;$E53,'VISIT DATA'!$A$2:$J100,7,FALSE), $N53="SWAB","OUTSA-RW",$N53="SWQU","OUTSA-SaQu", AND($L53="X",$M53="X",$N53="QUEST"),"OUT-UAQPre",$N53="QUEST","OUT-UAQ", $N53="Walk in","ColUATele")</f>
        <v>#N/A</v>
      </c>
      <c r="W53" s="24" t="str">
        <f t="shared" si="8"/>
        <v>#N/A</v>
      </c>
      <c r="X53" s="222" t="str">
        <f t="shared" si="9"/>
        <v/>
      </c>
      <c r="Y53" s="222" t="str">
        <f t="shared" si="10"/>
        <v/>
      </c>
      <c r="Z53" s="224" t="str">
        <f t="shared" si="11"/>
        <v> </v>
      </c>
      <c r="AA53" s="244"/>
    </row>
    <row r="54">
      <c r="A54" s="214" t="str">
        <f>IFS($B54=FALSE,"",$B54,VLOOKUP($B54,'PATIENT DATA (072721)'!A:C, 2, 0))</f>
        <v/>
      </c>
      <c r="B54" s="215"/>
      <c r="C54" s="230" t="str">
        <f>IF(COUNTIF('PATIENT DATA (072721)'!A:A, B54)=0, "X","✓")</f>
        <v>X</v>
      </c>
      <c r="D54" s="226" t="str">
        <f>IFS($B54=FALSE,"",$B54,VLOOKUP($B54,'PATIENT DATA (072721)'!A:C, 3, 0))</f>
        <v/>
      </c>
      <c r="E54" s="218"/>
      <c r="F54" s="219" t="str">
        <f>ifs($B54="","",$B54, VLOOKUP($B54&amp;$E54, 'VISIT DATA'!A:O,3,0))</f>
        <v/>
      </c>
      <c r="G54" s="231"/>
      <c r="H54" s="221" t="str">
        <f>ifs($B54="","",$B54, VLOOKUP($B54&amp;$E54, 'VISIT DATA'!$A:$O,13,0))</f>
        <v/>
      </c>
      <c r="I54" s="262" t="str">
        <f>VLOOKUP($B54&amp;$E54,'VISIT DATA'!A:J, 9, FALSE)</f>
        <v>#N/A</v>
      </c>
      <c r="J54" s="223" t="str">
        <f>VLOOKUP(B54&amp;E54,'VISIT DATA'!A:N,10,FALSE)</f>
        <v>#N/A</v>
      </c>
      <c r="K54" s="225"/>
      <c r="L54" s="224"/>
      <c r="M54" s="224"/>
      <c r="N54" s="225"/>
      <c r="O54" s="216" t="str">
        <f t="shared" si="1"/>
        <v>X</v>
      </c>
      <c r="P54" s="226" t="str">
        <f t="shared" si="2"/>
        <v>#N/A</v>
      </c>
      <c r="Q54" s="227" t="str">
        <f t="shared" si="3"/>
        <v>#N/A</v>
      </c>
      <c r="R54" s="228" t="str">
        <f t="shared" si="4"/>
        <v>#N/A</v>
      </c>
      <c r="S54" s="220" t="str">
        <f t="shared" si="5"/>
        <v>#N/A</v>
      </c>
      <c r="T54" s="220" t="str">
        <f t="shared" si="6"/>
        <v>#N/A</v>
      </c>
      <c r="U54" s="221">
        <f t="shared" si="7"/>
        <v>0</v>
      </c>
      <c r="V54" s="229" t="str">
        <f>ifs($N54="",VLOOKUP($B54&amp;$E54,'VISIT DATA'!$A$2:$J100,7,FALSE), $N54="SWAB","OUTSA-RW",$N54="SWQU","OUTSA-SaQu", AND($L54="X",$M54="X",$N54="QUEST"),"OUT-UAQPre",$N54="QUEST","OUT-UAQ", $N54="Walk in","ColUATele")</f>
        <v>#N/A</v>
      </c>
      <c r="W54" s="24" t="str">
        <f t="shared" si="8"/>
        <v>#N/A</v>
      </c>
      <c r="X54" s="222" t="str">
        <f t="shared" si="9"/>
        <v/>
      </c>
      <c r="Y54" s="222" t="str">
        <f t="shared" si="10"/>
        <v/>
      </c>
      <c r="Z54" s="224" t="str">
        <f t="shared" si="11"/>
        <v> </v>
      </c>
      <c r="AA54" s="244"/>
    </row>
    <row r="55">
      <c r="A55" s="214" t="str">
        <f>IFS($B55=FALSE,"",$B55,VLOOKUP($B55,'PATIENT DATA (072721)'!A:C, 2, 0))</f>
        <v/>
      </c>
      <c r="B55" s="215"/>
      <c r="C55" s="230" t="str">
        <f>IF(COUNTIF('PATIENT DATA (072721)'!A:A, B55)=0, "X","✓")</f>
        <v>X</v>
      </c>
      <c r="D55" s="226" t="str">
        <f>IFS($B55=FALSE,"",$B55,VLOOKUP($B55,'PATIENT DATA (072721)'!A:C, 3, 0))</f>
        <v/>
      </c>
      <c r="E55" s="218"/>
      <c r="F55" s="219" t="str">
        <f>ifs($B55="","",$B55, VLOOKUP($B55&amp;$E55, 'VISIT DATA'!A:O,3,0))</f>
        <v/>
      </c>
      <c r="G55" s="231"/>
      <c r="H55" s="221" t="str">
        <f>ifs($B55="","",$B55, VLOOKUP($B55&amp;$E55, 'VISIT DATA'!$A:$O,13,0))</f>
        <v/>
      </c>
      <c r="I55" s="262" t="str">
        <f>VLOOKUP($B55&amp;$E55,'VISIT DATA'!A:J, 9, FALSE)</f>
        <v>#N/A</v>
      </c>
      <c r="J55" s="223" t="str">
        <f>VLOOKUP(B55&amp;E55,'VISIT DATA'!A:N,10,FALSE)</f>
        <v>#N/A</v>
      </c>
      <c r="K55" s="225"/>
      <c r="L55" s="224"/>
      <c r="M55" s="224"/>
      <c r="N55" s="225"/>
      <c r="O55" s="216" t="str">
        <f t="shared" si="1"/>
        <v>X</v>
      </c>
      <c r="P55" s="226" t="str">
        <f t="shared" si="2"/>
        <v>#N/A</v>
      </c>
      <c r="Q55" s="227" t="str">
        <f t="shared" si="3"/>
        <v>#N/A</v>
      </c>
      <c r="R55" s="228" t="str">
        <f t="shared" si="4"/>
        <v>#N/A</v>
      </c>
      <c r="S55" s="220" t="str">
        <f t="shared" si="5"/>
        <v>#N/A</v>
      </c>
      <c r="T55" s="220" t="str">
        <f t="shared" si="6"/>
        <v>#N/A</v>
      </c>
      <c r="U55" s="221">
        <f t="shared" si="7"/>
        <v>0</v>
      </c>
      <c r="V55" s="229" t="str">
        <f>ifs($N55="",VLOOKUP($B55&amp;$E55,'VISIT DATA'!$A$2:$J100,7,FALSE), $N55="SWAB","OUTSA-RW",$N55="SWQU","OUTSA-SaQu", AND($L55="X",$M55="X",$N55="QUEST"),"OUT-UAQPre",$N55="QUEST","OUT-UAQ", $N55="Walk in","ColUATele")</f>
        <v>#N/A</v>
      </c>
      <c r="W55" s="24" t="str">
        <f t="shared" si="8"/>
        <v>#N/A</v>
      </c>
      <c r="X55" s="222" t="str">
        <f t="shared" si="9"/>
        <v/>
      </c>
      <c r="Y55" s="222" t="str">
        <f t="shared" si="10"/>
        <v/>
      </c>
      <c r="Z55" s="224" t="str">
        <f t="shared" si="11"/>
        <v> </v>
      </c>
      <c r="AA55" s="244"/>
    </row>
    <row r="56">
      <c r="A56" s="214" t="str">
        <f>IFS($B56=FALSE,"",$B56,VLOOKUP($B56,'PATIENT DATA (072721)'!A:C, 2, 0))</f>
        <v/>
      </c>
      <c r="B56" s="215"/>
      <c r="C56" s="230" t="str">
        <f>IF(COUNTIF('PATIENT DATA (072721)'!A:A, B56)=0, "X","✓")</f>
        <v>X</v>
      </c>
      <c r="D56" s="226" t="str">
        <f>IFS($B56=FALSE,"",$B56,VLOOKUP($B56,'PATIENT DATA (072721)'!A:C, 3, 0))</f>
        <v/>
      </c>
      <c r="E56" s="218"/>
      <c r="F56" s="219" t="str">
        <f>ifs($B56="","",$B56, VLOOKUP($B56&amp;$E56, 'VISIT DATA'!A:O,3,0))</f>
        <v/>
      </c>
      <c r="G56" s="231"/>
      <c r="H56" s="221" t="str">
        <f>ifs($B56="","",$B56, VLOOKUP($B56&amp;$E56, 'VISIT DATA'!$A:$O,13,0))</f>
        <v/>
      </c>
      <c r="I56" s="262" t="str">
        <f>VLOOKUP($B56&amp;$E56,'VISIT DATA'!A:J, 9, FALSE)</f>
        <v>#N/A</v>
      </c>
      <c r="J56" s="223" t="str">
        <f>VLOOKUP(B56&amp;E56,'VISIT DATA'!A:N,10,FALSE)</f>
        <v>#N/A</v>
      </c>
      <c r="K56" s="225"/>
      <c r="L56" s="224"/>
      <c r="M56" s="224"/>
      <c r="N56" s="225"/>
      <c r="O56" s="216" t="str">
        <f t="shared" si="1"/>
        <v>X</v>
      </c>
      <c r="P56" s="226" t="str">
        <f t="shared" si="2"/>
        <v>#N/A</v>
      </c>
      <c r="Q56" s="227" t="str">
        <f t="shared" si="3"/>
        <v>#N/A</v>
      </c>
      <c r="R56" s="228" t="str">
        <f t="shared" si="4"/>
        <v>#N/A</v>
      </c>
      <c r="S56" s="220" t="str">
        <f t="shared" si="5"/>
        <v>#N/A</v>
      </c>
      <c r="T56" s="220" t="str">
        <f t="shared" si="6"/>
        <v>#N/A</v>
      </c>
      <c r="U56" s="221">
        <f t="shared" si="7"/>
        <v>0</v>
      </c>
      <c r="V56" s="229" t="str">
        <f>ifs($N56="",VLOOKUP($B56&amp;$E56,'VISIT DATA'!$A$2:$J100,7,FALSE), $N56="SWAB","OUTSA-RW",$N56="SWQU","OUTSA-SaQu", AND($L56="X",$M56="X",$N56="QUEST"),"OUT-UAQPre",$N56="QUEST","OUT-UAQ", $N56="Walk in","ColUATele")</f>
        <v>#N/A</v>
      </c>
      <c r="W56" s="24" t="str">
        <f t="shared" si="8"/>
        <v>#N/A</v>
      </c>
      <c r="X56" s="222" t="str">
        <f t="shared" si="9"/>
        <v/>
      </c>
      <c r="Y56" s="222" t="str">
        <f t="shared" si="10"/>
        <v/>
      </c>
      <c r="Z56" s="224" t="str">
        <f t="shared" si="11"/>
        <v> </v>
      </c>
      <c r="AA56" s="244"/>
    </row>
    <row r="57">
      <c r="A57" s="214" t="str">
        <f>IFS($B57=FALSE,"",$B57,VLOOKUP($B57,'PATIENT DATA (072721)'!A:C, 2, 0))</f>
        <v/>
      </c>
      <c r="B57" s="215"/>
      <c r="C57" s="230" t="str">
        <f>IF(COUNTIF('PATIENT DATA (072721)'!A:A, B57)=0, "X","✓")</f>
        <v>X</v>
      </c>
      <c r="D57" s="226" t="str">
        <f>IFS($B57=FALSE,"",$B57,VLOOKUP($B57,'PATIENT DATA (072721)'!A:C, 3, 0))</f>
        <v/>
      </c>
      <c r="E57" s="218"/>
      <c r="F57" s="219" t="str">
        <f>ifs($B57="","",$B57, VLOOKUP($B57&amp;$E57, 'VISIT DATA'!A:O,3,0))</f>
        <v/>
      </c>
      <c r="G57" s="231"/>
      <c r="H57" s="221" t="str">
        <f>ifs($B57="","",$B57, VLOOKUP($B57&amp;$E57, 'VISIT DATA'!$A:$O,13,0))</f>
        <v/>
      </c>
      <c r="I57" s="262" t="str">
        <f>VLOOKUP($B57&amp;$E57,'VISIT DATA'!A:J, 9, FALSE)</f>
        <v>#N/A</v>
      </c>
      <c r="J57" s="223" t="str">
        <f>VLOOKUP(B57&amp;E57,'VISIT DATA'!A:N,10,FALSE)</f>
        <v>#N/A</v>
      </c>
      <c r="K57" s="225"/>
      <c r="L57" s="224"/>
      <c r="M57" s="224"/>
      <c r="N57" s="225"/>
      <c r="O57" s="216" t="str">
        <f t="shared" si="1"/>
        <v>X</v>
      </c>
      <c r="P57" s="226" t="str">
        <f t="shared" si="2"/>
        <v>#N/A</v>
      </c>
      <c r="Q57" s="227" t="str">
        <f t="shared" si="3"/>
        <v>#N/A</v>
      </c>
      <c r="R57" s="228" t="str">
        <f t="shared" si="4"/>
        <v>#N/A</v>
      </c>
      <c r="S57" s="220" t="str">
        <f t="shared" si="5"/>
        <v>#N/A</v>
      </c>
      <c r="T57" s="220" t="str">
        <f t="shared" si="6"/>
        <v>#N/A</v>
      </c>
      <c r="U57" s="221">
        <f t="shared" si="7"/>
        <v>0</v>
      </c>
      <c r="V57" s="229" t="str">
        <f>ifs($N57="",VLOOKUP($B57&amp;$E57,'VISIT DATA'!$A$2:$J100,7,FALSE), $N57="SWAB","OUTSA-RW",$N57="SWQU","OUTSA-SaQu", AND($L57="X",$M57="X",$N57="QUEST"),"OUT-UAQPre",$N57="QUEST","OUT-UAQ", $N57="Walk in","ColUATele")</f>
        <v>#N/A</v>
      </c>
      <c r="W57" s="24" t="str">
        <f t="shared" si="8"/>
        <v>#N/A</v>
      </c>
      <c r="X57" s="222" t="str">
        <f t="shared" si="9"/>
        <v/>
      </c>
      <c r="Y57" s="222" t="str">
        <f t="shared" si="10"/>
        <v/>
      </c>
      <c r="Z57" s="224" t="str">
        <f t="shared" si="11"/>
        <v> </v>
      </c>
      <c r="AA57" s="244"/>
    </row>
    <row r="58">
      <c r="A58" s="214" t="str">
        <f>IFS($B58=FALSE,"",$B58,VLOOKUP($B58,'PATIENT DATA (072721)'!A:C, 2, 0))</f>
        <v/>
      </c>
      <c r="B58" s="215"/>
      <c r="C58" s="230" t="str">
        <f>IF(COUNTIF('PATIENT DATA (072721)'!A:A, B58)=0, "X","✓")</f>
        <v>X</v>
      </c>
      <c r="D58" s="226" t="str">
        <f>IFS($B58=FALSE,"",$B58,VLOOKUP($B58,'PATIENT DATA (072721)'!A:C, 3, 0))</f>
        <v/>
      </c>
      <c r="E58" s="218"/>
      <c r="F58" s="219" t="str">
        <f>ifs($B58="","",$B58, VLOOKUP($B58&amp;$E58, 'VISIT DATA'!A:O,3,0))</f>
        <v/>
      </c>
      <c r="G58" s="231"/>
      <c r="H58" s="221" t="str">
        <f>ifs($B58="","",$B58, VLOOKUP($B58&amp;$E58, 'VISIT DATA'!$A:$O,13,0))</f>
        <v/>
      </c>
      <c r="I58" s="262" t="str">
        <f>VLOOKUP($B58&amp;$E58,'VISIT DATA'!A:J, 9, FALSE)</f>
        <v>#N/A</v>
      </c>
      <c r="J58" s="223" t="str">
        <f>VLOOKUP(B58&amp;E58,'VISIT DATA'!A:N,10,FALSE)</f>
        <v>#N/A</v>
      </c>
      <c r="K58" s="224"/>
      <c r="L58" s="224"/>
      <c r="M58" s="224"/>
      <c r="N58" s="225"/>
      <c r="O58" s="216" t="str">
        <f t="shared" si="1"/>
        <v>X</v>
      </c>
      <c r="P58" s="226" t="str">
        <f t="shared" si="2"/>
        <v>#N/A</v>
      </c>
      <c r="Q58" s="227" t="str">
        <f t="shared" si="3"/>
        <v>#N/A</v>
      </c>
      <c r="R58" s="228" t="str">
        <f t="shared" si="4"/>
        <v>#N/A</v>
      </c>
      <c r="S58" s="220" t="str">
        <f t="shared" si="5"/>
        <v>#N/A</v>
      </c>
      <c r="T58" s="220" t="str">
        <f t="shared" si="6"/>
        <v>#N/A</v>
      </c>
      <c r="U58" s="221">
        <f t="shared" si="7"/>
        <v>0</v>
      </c>
      <c r="V58" s="229" t="str">
        <f>ifs($N58="",VLOOKUP($B58&amp;$E58,'VISIT DATA'!$A$2:$J100,7,FALSE), $N58="SWAB","OUTSA-RW",$N58="SWQU","OUTSA-SaQu", AND($L58="X",$M58="X",$N58="QUEST"),"OUT-UAQPre",$N58="QUEST","OUT-UAQ", $N58="Walk in","ColUATele")</f>
        <v>#N/A</v>
      </c>
      <c r="W58" s="24" t="str">
        <f t="shared" si="8"/>
        <v>#N/A</v>
      </c>
      <c r="X58" s="222" t="str">
        <f t="shared" si="9"/>
        <v/>
      </c>
      <c r="Y58" s="222" t="str">
        <f t="shared" si="10"/>
        <v/>
      </c>
      <c r="Z58" s="224" t="str">
        <f t="shared" si="11"/>
        <v> </v>
      </c>
      <c r="AA58" s="244"/>
    </row>
    <row r="59">
      <c r="A59" s="214" t="str">
        <f>IFS($B59=FALSE,"",$B59,VLOOKUP($B59,'PATIENT DATA (072721)'!A:C, 2, 0))</f>
        <v/>
      </c>
      <c r="B59" s="215"/>
      <c r="C59" s="230" t="str">
        <f>IF(COUNTIF('PATIENT DATA (072721)'!A:A, B59)=0, "X","✓")</f>
        <v>X</v>
      </c>
      <c r="D59" s="226" t="str">
        <f>IFS($B59=FALSE,"",$B59,VLOOKUP($B59,'PATIENT DATA (072721)'!A:C, 3, 0))</f>
        <v/>
      </c>
      <c r="E59" s="218"/>
      <c r="F59" s="219" t="str">
        <f>ifs($B59="","",$B59, VLOOKUP($B59&amp;$E59, 'VISIT DATA'!A:O,3,0))</f>
        <v/>
      </c>
      <c r="G59" s="231"/>
      <c r="H59" s="221" t="str">
        <f>ifs($B59="","",$B59, VLOOKUP($B59&amp;$E59, 'VISIT DATA'!$A:$O,13,0))</f>
        <v/>
      </c>
      <c r="I59" s="262" t="str">
        <f>VLOOKUP($B59&amp;$E59,'VISIT DATA'!A:J, 9, FALSE)</f>
        <v>#N/A</v>
      </c>
      <c r="J59" s="223" t="str">
        <f>VLOOKUP(B59&amp;E59,'VISIT DATA'!A:N,10,FALSE)</f>
        <v>#N/A</v>
      </c>
      <c r="K59" s="224"/>
      <c r="L59" s="224"/>
      <c r="M59" s="224"/>
      <c r="N59" s="225"/>
      <c r="O59" s="216" t="str">
        <f t="shared" si="1"/>
        <v>X</v>
      </c>
      <c r="P59" s="226" t="str">
        <f t="shared" si="2"/>
        <v>#N/A</v>
      </c>
      <c r="Q59" s="227" t="str">
        <f t="shared" si="3"/>
        <v>#N/A</v>
      </c>
      <c r="R59" s="228" t="str">
        <f t="shared" si="4"/>
        <v>#N/A</v>
      </c>
      <c r="S59" s="220" t="str">
        <f t="shared" si="5"/>
        <v>#N/A</v>
      </c>
      <c r="T59" s="220" t="str">
        <f t="shared" si="6"/>
        <v>#N/A</v>
      </c>
      <c r="U59" s="221">
        <f t="shared" si="7"/>
        <v>0</v>
      </c>
      <c r="V59" s="229" t="str">
        <f>ifs($N59="",VLOOKUP($B59&amp;$E59,'VISIT DATA'!$A$2:$J100,7,FALSE), $N59="SWAB","OUTSA-RW",$N59="SWQU","OUTSA-SaQu", AND($L59="X",$M59="X",$N59="QUEST"),"OUT-UAQPre",$N59="QUEST","OUT-UAQ", $N59="Walk in","ColUATele")</f>
        <v>#N/A</v>
      </c>
      <c r="W59" s="24" t="str">
        <f t="shared" si="8"/>
        <v>#N/A</v>
      </c>
      <c r="X59" s="222" t="str">
        <f t="shared" si="9"/>
        <v/>
      </c>
      <c r="Y59" s="222" t="str">
        <f t="shared" si="10"/>
        <v/>
      </c>
      <c r="Z59" s="224" t="str">
        <f t="shared" si="11"/>
        <v> </v>
      </c>
      <c r="AA59" s="244"/>
    </row>
    <row r="60">
      <c r="A60" s="214" t="str">
        <f>IFS($B60=FALSE,"",$B60,VLOOKUP($B60,'PATIENT DATA (072721)'!A:C, 2, 0))</f>
        <v/>
      </c>
      <c r="B60" s="215"/>
      <c r="C60" s="230" t="str">
        <f>IF(COUNTIF('PATIENT DATA (072721)'!A:A, B60)=0, "X","✓")</f>
        <v>X</v>
      </c>
      <c r="D60" s="226" t="str">
        <f>IFS($B60=FALSE,"",$B60,VLOOKUP($B60,'PATIENT DATA (072721)'!A:C, 3, 0))</f>
        <v/>
      </c>
      <c r="E60" s="218"/>
      <c r="F60" s="219" t="str">
        <f>ifs($B60="","",$B60, VLOOKUP($B60&amp;$E60, 'VISIT DATA'!A:O,3,0))</f>
        <v/>
      </c>
      <c r="G60" s="231"/>
      <c r="H60" s="221" t="str">
        <f>ifs($B60="","",$B60, VLOOKUP($B60&amp;$E60, 'VISIT DATA'!$A:$O,13,0))</f>
        <v/>
      </c>
      <c r="I60" s="262" t="str">
        <f>VLOOKUP($B60&amp;$E60,'VISIT DATA'!A:J, 9, FALSE)</f>
        <v>#N/A</v>
      </c>
      <c r="J60" s="223" t="str">
        <f>VLOOKUP(B60&amp;E60,'VISIT DATA'!A:N,10,FALSE)</f>
        <v>#N/A</v>
      </c>
      <c r="K60" s="225"/>
      <c r="L60" s="224"/>
      <c r="M60" s="224"/>
      <c r="N60" s="225"/>
      <c r="O60" s="216" t="str">
        <f t="shared" si="1"/>
        <v>X</v>
      </c>
      <c r="P60" s="226" t="str">
        <f t="shared" si="2"/>
        <v>#N/A</v>
      </c>
      <c r="Q60" s="227" t="str">
        <f t="shared" si="3"/>
        <v>#N/A</v>
      </c>
      <c r="R60" s="228" t="str">
        <f t="shared" si="4"/>
        <v>#N/A</v>
      </c>
      <c r="S60" s="220" t="str">
        <f t="shared" si="5"/>
        <v>#N/A</v>
      </c>
      <c r="T60" s="220" t="str">
        <f t="shared" si="6"/>
        <v>#N/A</v>
      </c>
      <c r="U60" s="221">
        <f t="shared" si="7"/>
        <v>0</v>
      </c>
      <c r="V60" s="229" t="str">
        <f>ifs($N60="",VLOOKUP($B60&amp;$E60,'VISIT DATA'!$A$2:$J100,7,FALSE), $N60="SWAB","OUTSA-RW",$N60="SWQU","OUTSA-SaQu", AND($L60="X",$M60="X",$N60="QUEST"),"OUT-UAQPre",$N60="QUEST","OUT-UAQ", $N60="Walk in","ColUATele")</f>
        <v>#N/A</v>
      </c>
      <c r="W60" s="24" t="str">
        <f t="shared" si="8"/>
        <v>#N/A</v>
      </c>
      <c r="X60" s="222" t="str">
        <f t="shared" si="9"/>
        <v/>
      </c>
      <c r="Y60" s="222" t="str">
        <f t="shared" si="10"/>
        <v/>
      </c>
      <c r="Z60" s="224" t="str">
        <f t="shared" si="11"/>
        <v> </v>
      </c>
      <c r="AA60" s="244"/>
    </row>
    <row r="61">
      <c r="A61" s="214" t="str">
        <f>IFS($B61=FALSE,"",$B61,VLOOKUP($B61,'PATIENT DATA (072721)'!A:C, 2, 0))</f>
        <v/>
      </c>
      <c r="B61" s="215"/>
      <c r="C61" s="230" t="str">
        <f>IF(COUNTIF('PATIENT DATA (072721)'!A:A, B61)=0, "X","✓")</f>
        <v>X</v>
      </c>
      <c r="D61" s="226" t="str">
        <f>IFS($B61=FALSE,"",$B61,VLOOKUP($B61,'PATIENT DATA (072721)'!A:C, 3, 0))</f>
        <v/>
      </c>
      <c r="E61" s="218"/>
      <c r="F61" s="219" t="str">
        <f>ifs($B61="","",$B61, VLOOKUP($B61&amp;$E61, 'VISIT DATA'!A:O,3,0))</f>
        <v/>
      </c>
      <c r="G61" s="231"/>
      <c r="H61" s="221" t="str">
        <f>ifs($B61="","",$B61, VLOOKUP($B61&amp;$E61, 'VISIT DATA'!$A:$O,13,0))</f>
        <v/>
      </c>
      <c r="I61" s="262" t="str">
        <f>VLOOKUP($B61&amp;$E61,'VISIT DATA'!A:J, 9, FALSE)</f>
        <v>#N/A</v>
      </c>
      <c r="J61" s="223" t="str">
        <f>VLOOKUP(B61&amp;E61,'VISIT DATA'!A:N,10,FALSE)</f>
        <v>#N/A</v>
      </c>
      <c r="K61" s="225"/>
      <c r="L61" s="224"/>
      <c r="M61" s="224"/>
      <c r="N61" s="225"/>
      <c r="O61" s="216" t="str">
        <f t="shared" si="1"/>
        <v>X</v>
      </c>
      <c r="P61" s="226" t="str">
        <f t="shared" si="2"/>
        <v>#N/A</v>
      </c>
      <c r="Q61" s="227" t="str">
        <f t="shared" si="3"/>
        <v>#N/A</v>
      </c>
      <c r="R61" s="228" t="str">
        <f t="shared" si="4"/>
        <v>#N/A</v>
      </c>
      <c r="S61" s="220" t="str">
        <f t="shared" si="5"/>
        <v>#N/A</v>
      </c>
      <c r="T61" s="220" t="str">
        <f t="shared" si="6"/>
        <v>#N/A</v>
      </c>
      <c r="U61" s="221">
        <f t="shared" si="7"/>
        <v>0</v>
      </c>
      <c r="V61" s="229" t="str">
        <f>ifs($N61="",VLOOKUP($B61&amp;$E61,'VISIT DATA'!$A$2:$J100,7,FALSE), $N61="SWAB","OUTSA-RW",$N61="SWQU","OUTSA-SaQu", AND($L61="X",$M61="X",$N61="QUEST"),"OUT-UAQPre",$N61="QUEST","OUT-UAQ", $N61="Walk in","ColUATele")</f>
        <v>#N/A</v>
      </c>
      <c r="W61" s="24" t="str">
        <f t="shared" si="8"/>
        <v>#N/A</v>
      </c>
      <c r="X61" s="222" t="str">
        <f t="shared" si="9"/>
        <v/>
      </c>
      <c r="Y61" s="222" t="str">
        <f t="shared" si="10"/>
        <v/>
      </c>
      <c r="Z61" s="224" t="str">
        <f t="shared" si="11"/>
        <v> </v>
      </c>
      <c r="AA61" s="244"/>
    </row>
    <row r="62">
      <c r="A62" s="214" t="str">
        <f>IFS($B62=FALSE,"",$B62,VLOOKUP($B62,'PATIENT DATA (072721)'!A:C, 2, 0))</f>
        <v/>
      </c>
      <c r="B62" s="215"/>
      <c r="C62" s="230" t="str">
        <f>IF(COUNTIF('PATIENT DATA (072721)'!A:A, B62)=0, "X","✓")</f>
        <v>X</v>
      </c>
      <c r="D62" s="226" t="str">
        <f>IFS($B62=FALSE,"",$B62,VLOOKUP($B62,'PATIENT DATA (072721)'!A:C, 3, 0))</f>
        <v/>
      </c>
      <c r="E62" s="218"/>
      <c r="F62" s="219" t="str">
        <f>ifs($B62="","",$B62, VLOOKUP($B62&amp;$E62, 'VISIT DATA'!A:O,3,0))</f>
        <v/>
      </c>
      <c r="G62" s="231"/>
      <c r="H62" s="221" t="str">
        <f>ifs($B62="","",$B62, VLOOKUP($B62&amp;$E62, 'VISIT DATA'!$A:$O,13,0))</f>
        <v/>
      </c>
      <c r="I62" s="262" t="str">
        <f>VLOOKUP($B62&amp;$E62,'VISIT DATA'!A:J, 9, FALSE)</f>
        <v>#N/A</v>
      </c>
      <c r="J62" s="223" t="str">
        <f>VLOOKUP(B62&amp;E62,'VISIT DATA'!A:N,10,FALSE)</f>
        <v>#N/A</v>
      </c>
      <c r="K62" s="225"/>
      <c r="L62" s="224"/>
      <c r="M62" s="224"/>
      <c r="N62" s="225"/>
      <c r="O62" s="216" t="str">
        <f t="shared" si="1"/>
        <v>X</v>
      </c>
      <c r="P62" s="226" t="str">
        <f t="shared" si="2"/>
        <v>#N/A</v>
      </c>
      <c r="Q62" s="227" t="str">
        <f t="shared" si="3"/>
        <v>#N/A</v>
      </c>
      <c r="R62" s="228" t="str">
        <f t="shared" si="4"/>
        <v>#N/A</v>
      </c>
      <c r="S62" s="220" t="str">
        <f t="shared" si="5"/>
        <v>#N/A</v>
      </c>
      <c r="T62" s="220" t="str">
        <f t="shared" si="6"/>
        <v>#N/A</v>
      </c>
      <c r="U62" s="221">
        <f t="shared" si="7"/>
        <v>0</v>
      </c>
      <c r="V62" s="229" t="str">
        <f>ifs($N62="",VLOOKUP($B62&amp;$E62,'VISIT DATA'!$A$2:$J100,7,FALSE), $N62="SWAB","OUTSA-RW",$N62="SWQU","OUTSA-SaQu", AND($L62="X",$M62="X",$N62="QUEST"),"OUT-UAQPre",$N62="QUEST","OUT-UAQ", $N62="Walk in","ColUATele")</f>
        <v>#N/A</v>
      </c>
      <c r="W62" s="24" t="str">
        <f t="shared" si="8"/>
        <v>#N/A</v>
      </c>
      <c r="X62" s="222" t="str">
        <f t="shared" si="9"/>
        <v/>
      </c>
      <c r="Y62" s="222" t="str">
        <f t="shared" si="10"/>
        <v/>
      </c>
      <c r="Z62" s="224" t="str">
        <f t="shared" si="11"/>
        <v> </v>
      </c>
      <c r="AA62" s="244"/>
    </row>
    <row r="63">
      <c r="A63" s="214" t="str">
        <f>IFS($B63=FALSE,"",$B63,VLOOKUP($B63,'PATIENT DATA (072721)'!A:C, 2, 0))</f>
        <v/>
      </c>
      <c r="B63" s="215"/>
      <c r="C63" s="230" t="str">
        <f>IF(COUNTIF('PATIENT DATA (072721)'!A:A, B63)=0, "X","✓")</f>
        <v>X</v>
      </c>
      <c r="D63" s="226" t="str">
        <f>IFS($B63=FALSE,"",$B63,VLOOKUP($B63,'PATIENT DATA (072721)'!A:C, 3, 0))</f>
        <v/>
      </c>
      <c r="E63" s="218"/>
      <c r="F63" s="219" t="str">
        <f>ifs($B63="","",$B63, VLOOKUP($B63&amp;$E63, 'VISIT DATA'!A:O,3,0))</f>
        <v/>
      </c>
      <c r="G63" s="231"/>
      <c r="H63" s="221" t="str">
        <f>ifs($B63="","",$B63, VLOOKUP($B63&amp;$E63, 'VISIT DATA'!$A:$O,13,0))</f>
        <v/>
      </c>
      <c r="I63" s="262" t="str">
        <f>VLOOKUP($B63&amp;$E63,'VISIT DATA'!A:J, 9, FALSE)</f>
        <v>#N/A</v>
      </c>
      <c r="J63" s="223" t="str">
        <f>VLOOKUP(B63&amp;E63,'VISIT DATA'!A:N,10,FALSE)</f>
        <v>#N/A</v>
      </c>
      <c r="K63" s="225"/>
      <c r="L63" s="224"/>
      <c r="M63" s="224"/>
      <c r="N63" s="225"/>
      <c r="O63" s="216" t="str">
        <f t="shared" si="1"/>
        <v>X</v>
      </c>
      <c r="P63" s="226" t="str">
        <f t="shared" si="2"/>
        <v>#N/A</v>
      </c>
      <c r="Q63" s="227" t="str">
        <f t="shared" si="3"/>
        <v>#N/A</v>
      </c>
      <c r="R63" s="228" t="str">
        <f t="shared" si="4"/>
        <v>#N/A</v>
      </c>
      <c r="S63" s="220" t="str">
        <f t="shared" si="5"/>
        <v>#N/A</v>
      </c>
      <c r="T63" s="220" t="str">
        <f t="shared" si="6"/>
        <v>#N/A</v>
      </c>
      <c r="U63" s="221">
        <f t="shared" si="7"/>
        <v>0</v>
      </c>
      <c r="V63" s="229" t="str">
        <f>ifs($N63="",VLOOKUP($B63&amp;$E63,'VISIT DATA'!$A$2:$J100,7,FALSE), $N63="SWAB","OUTSA-RW",$N63="SWQU","OUTSA-SaQu", AND($L63="X",$M63="X",$N63="QUEST"),"OUT-UAQPre",$N63="QUEST","OUT-UAQ", $N63="Walk in","ColUATele")</f>
        <v>#N/A</v>
      </c>
      <c r="W63" s="24" t="str">
        <f t="shared" si="8"/>
        <v>#N/A</v>
      </c>
      <c r="X63" s="222" t="str">
        <f t="shared" si="9"/>
        <v/>
      </c>
      <c r="Y63" s="222" t="str">
        <f t="shared" si="10"/>
        <v/>
      </c>
      <c r="Z63" s="224" t="str">
        <f t="shared" si="11"/>
        <v> </v>
      </c>
      <c r="AA63" s="244"/>
    </row>
    <row r="64">
      <c r="A64" s="214" t="str">
        <f>IFS($B64=FALSE,"",$B64,VLOOKUP($B64,'PATIENT DATA (072721)'!A:C, 2, 0))</f>
        <v/>
      </c>
      <c r="B64" s="215"/>
      <c r="C64" s="230" t="str">
        <f>IF(COUNTIF('PATIENT DATA (072721)'!A:A, B64)=0, "X","✓")</f>
        <v>X</v>
      </c>
      <c r="D64" s="226" t="str">
        <f>IFS($B64=FALSE,"",$B64,VLOOKUP($B64,'PATIENT DATA (072721)'!A:C, 3, 0))</f>
        <v/>
      </c>
      <c r="E64" s="218"/>
      <c r="F64" s="219" t="str">
        <f>ifs($B64="","",$B64, VLOOKUP($B64&amp;$E64, 'VISIT DATA'!A:O,3,0))</f>
        <v/>
      </c>
      <c r="G64" s="231"/>
      <c r="H64" s="221" t="str">
        <f>ifs($B64="","",$B64, VLOOKUP($B64&amp;$E64, 'VISIT DATA'!$A:$O,13,0))</f>
        <v/>
      </c>
      <c r="I64" s="262" t="str">
        <f>VLOOKUP($B64&amp;$E64,'VISIT DATA'!A:J, 9, FALSE)</f>
        <v>#N/A</v>
      </c>
      <c r="J64" s="223" t="str">
        <f>VLOOKUP(B64&amp;E64,'VISIT DATA'!A:N,10,FALSE)</f>
        <v>#N/A</v>
      </c>
      <c r="K64" s="225"/>
      <c r="L64" s="224"/>
      <c r="M64" s="224"/>
      <c r="N64" s="225"/>
      <c r="O64" s="216" t="str">
        <f t="shared" si="1"/>
        <v>X</v>
      </c>
      <c r="P64" s="226" t="str">
        <f t="shared" si="2"/>
        <v>#N/A</v>
      </c>
      <c r="Q64" s="227" t="str">
        <f t="shared" si="3"/>
        <v>#N/A</v>
      </c>
      <c r="R64" s="228" t="str">
        <f t="shared" si="4"/>
        <v>#N/A</v>
      </c>
      <c r="S64" s="220" t="str">
        <f t="shared" si="5"/>
        <v>#N/A</v>
      </c>
      <c r="T64" s="220" t="str">
        <f t="shared" si="6"/>
        <v>#N/A</v>
      </c>
      <c r="U64" s="221">
        <f t="shared" si="7"/>
        <v>0</v>
      </c>
      <c r="V64" s="229" t="str">
        <f>ifs($N64="",VLOOKUP($B64&amp;$E64,'VISIT DATA'!$A$2:$J100,7,FALSE), $N64="SWAB","OUTSA-RW",$N64="SWQU","OUTSA-SaQu", AND($L64="X",$M64="X",$N64="QUEST"),"OUT-UAQPre",$N64="QUEST","OUT-UAQ", $N64="Walk in","ColUATele")</f>
        <v>#N/A</v>
      </c>
      <c r="W64" s="24" t="str">
        <f t="shared" si="8"/>
        <v>#N/A</v>
      </c>
      <c r="X64" s="222" t="str">
        <f t="shared" si="9"/>
        <v/>
      </c>
      <c r="Y64" s="222" t="str">
        <f t="shared" si="10"/>
        <v/>
      </c>
      <c r="Z64" s="224" t="str">
        <f t="shared" si="11"/>
        <v> </v>
      </c>
      <c r="AA64" s="244"/>
    </row>
    <row r="65">
      <c r="A65" s="214" t="str">
        <f>IFS($B65=FALSE,"",$B65,VLOOKUP($B65,'PATIENT DATA (072721)'!A:C, 2, 0))</f>
        <v/>
      </c>
      <c r="B65" s="215"/>
      <c r="C65" s="230" t="str">
        <f>IF(COUNTIF('PATIENT DATA (072721)'!A:A, B65)=0, "X","✓")</f>
        <v>X</v>
      </c>
      <c r="D65" s="226" t="str">
        <f>IFS($B65=FALSE,"",$B65,VLOOKUP($B65,'PATIENT DATA (072721)'!A:C, 3, 0))</f>
        <v/>
      </c>
      <c r="E65" s="218"/>
      <c r="F65" s="219" t="str">
        <f>ifs($B65="","",$B65, VLOOKUP($B65&amp;$E65, 'VISIT DATA'!A:O,3,0))</f>
        <v/>
      </c>
      <c r="G65" s="231"/>
      <c r="H65" s="221" t="str">
        <f>ifs($B65="","",$B65, VLOOKUP($B65&amp;$E65, 'VISIT DATA'!$A:$O,13,0))</f>
        <v/>
      </c>
      <c r="I65" s="262" t="str">
        <f>VLOOKUP($B65&amp;$E65,'VISIT DATA'!A:J, 9, FALSE)</f>
        <v>#N/A</v>
      </c>
      <c r="J65" s="223" t="str">
        <f>VLOOKUP(B65&amp;E65,'VISIT DATA'!A:N,10,FALSE)</f>
        <v>#N/A</v>
      </c>
      <c r="K65" s="225"/>
      <c r="L65" s="224"/>
      <c r="M65" s="224"/>
      <c r="N65" s="225"/>
      <c r="O65" s="216" t="str">
        <f t="shared" si="1"/>
        <v>X</v>
      </c>
      <c r="P65" s="226" t="str">
        <f t="shared" si="2"/>
        <v>#N/A</v>
      </c>
      <c r="Q65" s="227" t="str">
        <f t="shared" si="3"/>
        <v>#N/A</v>
      </c>
      <c r="R65" s="228" t="str">
        <f t="shared" si="4"/>
        <v>#N/A</v>
      </c>
      <c r="S65" s="220" t="str">
        <f t="shared" si="5"/>
        <v>#N/A</v>
      </c>
      <c r="T65" s="220" t="str">
        <f t="shared" si="6"/>
        <v>#N/A</v>
      </c>
      <c r="U65" s="221">
        <f t="shared" si="7"/>
        <v>0</v>
      </c>
      <c r="V65" s="229" t="str">
        <f>ifs($N65="",VLOOKUP($B65&amp;$E65,'VISIT DATA'!$A$2:$J100,7,FALSE), $N65="SWAB","OUTSA-RW",$N65="SWQU","OUTSA-SaQu", AND($L65="X",$M65="X",$N65="QUEST"),"OUT-UAQPre",$N65="QUEST","OUT-UAQ", $N65="Walk in","ColUATele")</f>
        <v>#N/A</v>
      </c>
      <c r="W65" s="24" t="str">
        <f t="shared" si="8"/>
        <v>#N/A</v>
      </c>
      <c r="X65" s="222" t="str">
        <f t="shared" si="9"/>
        <v/>
      </c>
      <c r="Y65" s="222" t="str">
        <f t="shared" si="10"/>
        <v/>
      </c>
      <c r="Z65" s="224" t="str">
        <f t="shared" si="11"/>
        <v> </v>
      </c>
      <c r="AA65" s="244"/>
    </row>
    <row r="66">
      <c r="A66" s="214" t="str">
        <f>IFS($B66=FALSE,"",$B66,VLOOKUP($B66,'PATIENT DATA (072721)'!A:C, 2, 0))</f>
        <v/>
      </c>
      <c r="B66" s="215"/>
      <c r="C66" s="230" t="str">
        <f>IF(COUNTIF('PATIENT DATA (072721)'!A:A, B66)=0, "X","✓")</f>
        <v>X</v>
      </c>
      <c r="D66" s="226" t="str">
        <f>IFS($B66=FALSE,"",$B66,VLOOKUP($B66,'PATIENT DATA (072721)'!A:C, 3, 0))</f>
        <v/>
      </c>
      <c r="E66" s="218"/>
      <c r="F66" s="219" t="str">
        <f>ifs($B66="","",$B66, VLOOKUP($B66&amp;$E66, 'VISIT DATA'!A:O,3,0))</f>
        <v/>
      </c>
      <c r="G66" s="231"/>
      <c r="H66" s="221" t="str">
        <f>ifs($B66="","",$B66, VLOOKUP($B66&amp;$E66, 'VISIT DATA'!$A:$O,13,0))</f>
        <v/>
      </c>
      <c r="I66" s="262" t="str">
        <f>VLOOKUP($B66&amp;$E66,'VISIT DATA'!A:J, 9, FALSE)</f>
        <v>#N/A</v>
      </c>
      <c r="J66" s="223" t="str">
        <f>VLOOKUP(B66&amp;E66,'VISIT DATA'!A:N,10,FALSE)</f>
        <v>#N/A</v>
      </c>
      <c r="K66" s="225"/>
      <c r="L66" s="224"/>
      <c r="M66" s="224"/>
      <c r="N66" s="225"/>
      <c r="O66" s="216" t="str">
        <f t="shared" si="1"/>
        <v>X</v>
      </c>
      <c r="P66" s="226" t="str">
        <f t="shared" si="2"/>
        <v>#N/A</v>
      </c>
      <c r="Q66" s="227" t="str">
        <f t="shared" si="3"/>
        <v>#N/A</v>
      </c>
      <c r="R66" s="228" t="str">
        <f t="shared" si="4"/>
        <v>#N/A</v>
      </c>
      <c r="S66" s="220" t="str">
        <f t="shared" si="5"/>
        <v>#N/A</v>
      </c>
      <c r="T66" s="220" t="str">
        <f t="shared" si="6"/>
        <v>#N/A</v>
      </c>
      <c r="U66" s="221">
        <f t="shared" si="7"/>
        <v>0</v>
      </c>
      <c r="V66" s="229" t="str">
        <f>ifs($N66="",VLOOKUP($B66&amp;$E66,'VISIT DATA'!$A$2:$J100,7,FALSE), $N66="SWAB","OUTSA-RW",$N66="SWQU","OUTSA-SaQu", AND($L66="X",$M66="X",$N66="QUEST"),"OUT-UAQPre",$N66="QUEST","OUT-UAQ", $N66="Walk in","ColUATele")</f>
        <v>#N/A</v>
      </c>
      <c r="W66" s="24" t="str">
        <f t="shared" si="8"/>
        <v>#N/A</v>
      </c>
      <c r="X66" s="222" t="str">
        <f t="shared" si="9"/>
        <v/>
      </c>
      <c r="Y66" s="222" t="str">
        <f t="shared" si="10"/>
        <v/>
      </c>
      <c r="Z66" s="224" t="str">
        <f t="shared" si="11"/>
        <v> </v>
      </c>
      <c r="AA66" s="244"/>
    </row>
    <row r="67">
      <c r="A67" s="214" t="str">
        <f>IFS($B67=FALSE,"",$B67,VLOOKUP($B67,'PATIENT DATA (072721)'!A:C, 2, 0))</f>
        <v/>
      </c>
      <c r="B67" s="215"/>
      <c r="C67" s="230" t="str">
        <f>IF(COUNTIF('PATIENT DATA (072721)'!A:A, B67)=0, "X","✓")</f>
        <v>X</v>
      </c>
      <c r="D67" s="226" t="str">
        <f>IFS($B67=FALSE,"",$B67,VLOOKUP($B67,'PATIENT DATA (072721)'!A:C, 3, 0))</f>
        <v/>
      </c>
      <c r="E67" s="218"/>
      <c r="F67" s="219" t="str">
        <f>ifs($B67="","",$B67, VLOOKUP($B67&amp;$E67, 'VISIT DATA'!A:O,3,0))</f>
        <v/>
      </c>
      <c r="G67" s="231"/>
      <c r="H67" s="221" t="str">
        <f>ifs($B67="","",$B67, VLOOKUP($B67&amp;$E67, 'VISIT DATA'!$A:$O,13,0))</f>
        <v/>
      </c>
      <c r="I67" s="262" t="str">
        <f>VLOOKUP($B67&amp;$E67,'VISIT DATA'!A:J, 9, FALSE)</f>
        <v>#N/A</v>
      </c>
      <c r="J67" s="223" t="str">
        <f>VLOOKUP(B67&amp;E67,'VISIT DATA'!A:N,10,FALSE)</f>
        <v>#N/A</v>
      </c>
      <c r="K67" s="225"/>
      <c r="L67" s="224"/>
      <c r="M67" s="224"/>
      <c r="N67" s="225"/>
      <c r="O67" s="216" t="str">
        <f t="shared" si="1"/>
        <v>X</v>
      </c>
      <c r="P67" s="226" t="str">
        <f t="shared" si="2"/>
        <v>#N/A</v>
      </c>
      <c r="Q67" s="227" t="str">
        <f t="shared" si="3"/>
        <v>#N/A</v>
      </c>
      <c r="R67" s="228" t="str">
        <f t="shared" si="4"/>
        <v>#N/A</v>
      </c>
      <c r="S67" s="220" t="str">
        <f t="shared" si="5"/>
        <v>#N/A</v>
      </c>
      <c r="T67" s="220" t="str">
        <f t="shared" si="6"/>
        <v>#N/A</v>
      </c>
      <c r="U67" s="221">
        <f t="shared" si="7"/>
        <v>0</v>
      </c>
      <c r="V67" s="229" t="str">
        <f>ifs($N67="",VLOOKUP($B67&amp;$E67,'VISIT DATA'!$A$2:$J100,7,FALSE), $N67="SWAB","OUTSA-RW",$N67="SWQU","OUTSA-SaQu", AND($L67="X",$M67="X",$N67="QUEST"),"OUT-UAQPre",$N67="QUEST","OUT-UAQ", $N67="Walk in","ColUATele")</f>
        <v>#N/A</v>
      </c>
      <c r="W67" s="24" t="str">
        <f t="shared" si="8"/>
        <v>#N/A</v>
      </c>
      <c r="X67" s="222" t="str">
        <f t="shared" si="9"/>
        <v/>
      </c>
      <c r="Y67" s="222" t="str">
        <f t="shared" si="10"/>
        <v/>
      </c>
      <c r="Z67" s="224" t="str">
        <f t="shared" si="11"/>
        <v> </v>
      </c>
      <c r="AA67" s="244"/>
    </row>
    <row r="68">
      <c r="A68" s="214" t="str">
        <f>IFS($B68=FALSE,"",$B68,VLOOKUP($B68,'PATIENT DATA (072721)'!A:C, 2, 0))</f>
        <v/>
      </c>
      <c r="B68" s="215"/>
      <c r="C68" s="230" t="str">
        <f>IF(COUNTIF('PATIENT DATA (072721)'!A:A, B68)=0, "X","✓")</f>
        <v>X</v>
      </c>
      <c r="D68" s="226" t="str">
        <f>IFS($B68=FALSE,"",$B68,VLOOKUP($B68,'PATIENT DATA (072721)'!A:C, 3, 0))</f>
        <v/>
      </c>
      <c r="E68" s="218"/>
      <c r="F68" s="219" t="str">
        <f>ifs($B68="","",$B68, VLOOKUP($B68&amp;$E68, 'VISIT DATA'!A:O,3,0))</f>
        <v/>
      </c>
      <c r="G68" s="231"/>
      <c r="H68" s="221" t="str">
        <f>ifs($B68="","",$B68, VLOOKUP($B68&amp;$E68, 'VISIT DATA'!$A:$O,13,0))</f>
        <v/>
      </c>
      <c r="I68" s="262" t="str">
        <f>VLOOKUP($B68&amp;$E68,'VISIT DATA'!A:J, 9, FALSE)</f>
        <v>#N/A</v>
      </c>
      <c r="J68" s="223" t="str">
        <f>VLOOKUP(B68&amp;E68,'VISIT DATA'!A:N,10,FALSE)</f>
        <v>#N/A</v>
      </c>
      <c r="K68" s="225"/>
      <c r="L68" s="224"/>
      <c r="M68" s="224"/>
      <c r="N68" s="225"/>
      <c r="O68" s="216" t="str">
        <f t="shared" si="1"/>
        <v>X</v>
      </c>
      <c r="P68" s="226" t="str">
        <f t="shared" si="2"/>
        <v>#N/A</v>
      </c>
      <c r="Q68" s="227" t="str">
        <f t="shared" si="3"/>
        <v>#N/A</v>
      </c>
      <c r="R68" s="228" t="str">
        <f t="shared" si="4"/>
        <v>#N/A</v>
      </c>
      <c r="S68" s="220" t="str">
        <f t="shared" si="5"/>
        <v>#N/A</v>
      </c>
      <c r="T68" s="220" t="str">
        <f t="shared" si="6"/>
        <v>#N/A</v>
      </c>
      <c r="U68" s="221">
        <f t="shared" si="7"/>
        <v>0</v>
      </c>
      <c r="V68" s="229" t="str">
        <f>ifs($N68="",VLOOKUP($B68&amp;$E68,'VISIT DATA'!$A$2:$J100,7,FALSE), $N68="SWAB","OUTSA-RW",$N68="SWQU","OUTSA-SaQu", AND($L68="X",$M68="X",$N68="QUEST"),"OUT-UAQPre",$N68="QUEST","OUT-UAQ", $N68="Walk in","ColUATele")</f>
        <v>#N/A</v>
      </c>
      <c r="W68" s="24" t="str">
        <f t="shared" si="8"/>
        <v>#N/A</v>
      </c>
      <c r="X68" s="222" t="str">
        <f t="shared" si="9"/>
        <v/>
      </c>
      <c r="Y68" s="222" t="str">
        <f t="shared" si="10"/>
        <v/>
      </c>
      <c r="Z68" s="224" t="str">
        <f t="shared" si="11"/>
        <v> </v>
      </c>
      <c r="AA68" s="244"/>
    </row>
    <row r="69">
      <c r="A69" s="214" t="str">
        <f>IFS($B69=FALSE,"",$B69,VLOOKUP($B69,'PATIENT DATA (072721)'!A:C, 2, 0))</f>
        <v/>
      </c>
      <c r="B69" s="215"/>
      <c r="C69" s="230" t="str">
        <f>IF(COUNTIF('PATIENT DATA (072721)'!A:A, B69)=0, "X","✓")</f>
        <v>X</v>
      </c>
      <c r="D69" s="226" t="str">
        <f>IFS($B69=FALSE,"",$B69,VLOOKUP($B69,'PATIENT DATA (072721)'!A:C, 3, 0))</f>
        <v/>
      </c>
      <c r="E69" s="218"/>
      <c r="F69" s="219" t="str">
        <f>ifs($B69="","",$B69, VLOOKUP($B69&amp;$E69, 'VISIT DATA'!A:O,3,0))</f>
        <v/>
      </c>
      <c r="G69" s="231"/>
      <c r="H69" s="221" t="str">
        <f>ifs($B69="","",$B69, VLOOKUP($B69&amp;$E69, 'VISIT DATA'!$A:$O,13,0))</f>
        <v/>
      </c>
      <c r="I69" s="262" t="str">
        <f>VLOOKUP($B69&amp;$E69,'VISIT DATA'!A:J, 9, FALSE)</f>
        <v>#N/A</v>
      </c>
      <c r="J69" s="223" t="str">
        <f>VLOOKUP(B69&amp;E69,'VISIT DATA'!A:N,10,FALSE)</f>
        <v>#N/A</v>
      </c>
      <c r="K69" s="224"/>
      <c r="L69" s="224"/>
      <c r="M69" s="224"/>
      <c r="N69" s="225"/>
      <c r="O69" s="216" t="str">
        <f t="shared" si="1"/>
        <v>X</v>
      </c>
      <c r="P69" s="226" t="str">
        <f t="shared" si="2"/>
        <v>#N/A</v>
      </c>
      <c r="Q69" s="227" t="str">
        <f t="shared" si="3"/>
        <v>#N/A</v>
      </c>
      <c r="R69" s="228" t="str">
        <f t="shared" si="4"/>
        <v>#N/A</v>
      </c>
      <c r="S69" s="220" t="str">
        <f t="shared" si="5"/>
        <v>#N/A</v>
      </c>
      <c r="T69" s="220" t="str">
        <f t="shared" si="6"/>
        <v>#N/A</v>
      </c>
      <c r="U69" s="221">
        <f t="shared" si="7"/>
        <v>0</v>
      </c>
      <c r="V69" s="229" t="str">
        <f>ifs($N69="",VLOOKUP($B69&amp;$E69,'VISIT DATA'!$A$2:$J100,7,FALSE), $N69="SWAB","OUTSA-RW",$N69="SWQU","OUTSA-SaQu", AND($L69="X",$M69="X",$N69="QUEST"),"OUT-UAQPre",$N69="QUEST","OUT-UAQ", $N69="Walk in","ColUATele")</f>
        <v>#N/A</v>
      </c>
      <c r="W69" s="24" t="str">
        <f t="shared" si="8"/>
        <v>#N/A</v>
      </c>
      <c r="X69" s="222" t="str">
        <f t="shared" si="9"/>
        <v/>
      </c>
      <c r="Y69" s="222" t="str">
        <f t="shared" si="10"/>
        <v/>
      </c>
      <c r="Z69" s="224" t="str">
        <f t="shared" si="11"/>
        <v> </v>
      </c>
      <c r="AA69" s="244"/>
    </row>
    <row r="70">
      <c r="A70" s="214" t="str">
        <f>IFS($B70=FALSE,"",$B70,VLOOKUP($B70,'PATIENT DATA (072721)'!A:C, 2, 0))</f>
        <v/>
      </c>
      <c r="B70" s="215"/>
      <c r="C70" s="230" t="str">
        <f>IF(COUNTIF('PATIENT DATA (072721)'!A:A, B70)=0, "X","✓")</f>
        <v>X</v>
      </c>
      <c r="D70" s="226" t="str">
        <f>IFS($B70=FALSE,"",$B70,VLOOKUP($B70,'PATIENT DATA (072721)'!A:C, 3, 0))</f>
        <v/>
      </c>
      <c r="E70" s="218"/>
      <c r="F70" s="219" t="str">
        <f>ifs($B70="","",$B70, VLOOKUP($B70&amp;$E70, 'VISIT DATA'!A:O,3,0))</f>
        <v/>
      </c>
      <c r="G70" s="231"/>
      <c r="H70" s="221" t="str">
        <f>ifs($B70="","",$B70, VLOOKUP($B70&amp;$E70, 'VISIT DATA'!$A:$O,13,0))</f>
        <v/>
      </c>
      <c r="I70" s="262" t="str">
        <f>VLOOKUP($B70&amp;$E70,'VISIT DATA'!A:J, 9, FALSE)</f>
        <v>#N/A</v>
      </c>
      <c r="J70" s="223" t="str">
        <f>VLOOKUP(B70&amp;E70,'VISIT DATA'!A:N,10,FALSE)</f>
        <v>#N/A</v>
      </c>
      <c r="K70" s="224"/>
      <c r="L70" s="224"/>
      <c r="M70" s="224"/>
      <c r="N70" s="225"/>
      <c r="O70" s="216" t="str">
        <f t="shared" si="1"/>
        <v>X</v>
      </c>
      <c r="P70" s="226" t="str">
        <f t="shared" si="2"/>
        <v>#N/A</v>
      </c>
      <c r="Q70" s="227" t="str">
        <f t="shared" si="3"/>
        <v>#N/A</v>
      </c>
      <c r="R70" s="228" t="str">
        <f t="shared" si="4"/>
        <v>#N/A</v>
      </c>
      <c r="S70" s="220" t="str">
        <f t="shared" si="5"/>
        <v>#N/A</v>
      </c>
      <c r="T70" s="220" t="str">
        <f t="shared" si="6"/>
        <v>#N/A</v>
      </c>
      <c r="U70" s="221">
        <f t="shared" si="7"/>
        <v>0</v>
      </c>
      <c r="V70" s="229" t="str">
        <f>ifs($N70="",VLOOKUP($B70&amp;$E70,'VISIT DATA'!$A$2:$J100,7,FALSE), $N70="SWAB","OUTSA-RW",$N70="SWQU","OUTSA-SaQu", AND($L70="X",$M70="X",$N70="QUEST"),"OUT-UAQPre",$N70="QUEST","OUT-UAQ", $N70="Walk in","ColUATele")</f>
        <v>#N/A</v>
      </c>
      <c r="W70" s="24" t="str">
        <f t="shared" si="8"/>
        <v>#N/A</v>
      </c>
      <c r="X70" s="222" t="str">
        <f t="shared" si="9"/>
        <v/>
      </c>
      <c r="Y70" s="222" t="str">
        <f t="shared" si="10"/>
        <v/>
      </c>
      <c r="Z70" s="224" t="str">
        <f t="shared" si="11"/>
        <v> </v>
      </c>
      <c r="AA70" s="244"/>
    </row>
    <row r="71">
      <c r="A71" s="214" t="str">
        <f>IFS($B71=FALSE,"",$B71,VLOOKUP($B71,'PATIENT DATA (072721)'!A:C, 2, 0))</f>
        <v/>
      </c>
      <c r="B71" s="215"/>
      <c r="C71" s="230" t="str">
        <f>IF(COUNTIF('PATIENT DATA (072721)'!A:A, B71)=0, "X","✓")</f>
        <v>X</v>
      </c>
      <c r="D71" s="226" t="str">
        <f>IFS($B71=FALSE,"",$B71,VLOOKUP($B71,'PATIENT DATA (072721)'!A:C, 3, 0))</f>
        <v/>
      </c>
      <c r="E71" s="218"/>
      <c r="F71" s="219" t="str">
        <f>ifs($B71="","",$B71, VLOOKUP($B71&amp;$E71, 'VISIT DATA'!A:O,3,0))</f>
        <v/>
      </c>
      <c r="G71" s="231"/>
      <c r="H71" s="221" t="str">
        <f>ifs($B71="","",$B71, VLOOKUP($B71&amp;$E71, 'VISIT DATA'!$A:$O,13,0))</f>
        <v/>
      </c>
      <c r="I71" s="262" t="str">
        <f>VLOOKUP($B71&amp;$E71,'VISIT DATA'!A:J, 9, FALSE)</f>
        <v>#N/A</v>
      </c>
      <c r="J71" s="223" t="str">
        <f>VLOOKUP(B71&amp;E71,'VISIT DATA'!A:N,10,FALSE)</f>
        <v>#N/A</v>
      </c>
      <c r="K71" s="225"/>
      <c r="L71" s="224"/>
      <c r="M71" s="224"/>
      <c r="N71" s="225"/>
      <c r="O71" s="216" t="str">
        <f t="shared" si="1"/>
        <v>X</v>
      </c>
      <c r="P71" s="226" t="str">
        <f t="shared" si="2"/>
        <v>#N/A</v>
      </c>
      <c r="Q71" s="227" t="str">
        <f t="shared" si="3"/>
        <v>#N/A</v>
      </c>
      <c r="R71" s="228" t="str">
        <f t="shared" si="4"/>
        <v>#N/A</v>
      </c>
      <c r="S71" s="220" t="str">
        <f t="shared" si="5"/>
        <v>#N/A</v>
      </c>
      <c r="T71" s="220" t="str">
        <f t="shared" si="6"/>
        <v>#N/A</v>
      </c>
      <c r="U71" s="221">
        <f t="shared" si="7"/>
        <v>0</v>
      </c>
      <c r="V71" s="229" t="str">
        <f>ifs($N71="",VLOOKUP($B71&amp;$E71,'VISIT DATA'!$A$2:$J100,7,FALSE), $N71="SWAB","OUTSA-RW",$N71="SWQU","OUTSA-SaQu", AND($L71="X",$M71="X",$N71="QUEST"),"OUT-UAQPre",$N71="QUEST","OUT-UAQ", $N71="Walk in","ColUATele")</f>
        <v>#N/A</v>
      </c>
      <c r="W71" s="24" t="str">
        <f t="shared" si="8"/>
        <v>#N/A</v>
      </c>
      <c r="X71" s="222" t="str">
        <f t="shared" si="9"/>
        <v/>
      </c>
      <c r="Y71" s="222" t="str">
        <f t="shared" si="10"/>
        <v/>
      </c>
      <c r="Z71" s="224" t="str">
        <f t="shared" si="11"/>
        <v> </v>
      </c>
      <c r="AA71" s="244"/>
    </row>
    <row r="72">
      <c r="A72" s="214" t="str">
        <f>IFS($B72=FALSE,"",$B72,VLOOKUP($B72,'PATIENT DATA (072721)'!A:C, 2, 0))</f>
        <v/>
      </c>
      <c r="B72" s="215"/>
      <c r="C72" s="230" t="str">
        <f>IF(COUNTIF('PATIENT DATA (072721)'!A:A, B72)=0, "X","✓")</f>
        <v>X</v>
      </c>
      <c r="D72" s="226" t="str">
        <f>IFS($B72=FALSE,"",$B72,VLOOKUP($B72,'PATIENT DATA (072721)'!A:C, 3, 0))</f>
        <v/>
      </c>
      <c r="E72" s="218"/>
      <c r="F72" s="219" t="str">
        <f>ifs($B72="","",$B72, VLOOKUP($B72&amp;$E72, 'VISIT DATA'!A:O,3,0))</f>
        <v/>
      </c>
      <c r="G72" s="231"/>
      <c r="H72" s="221" t="str">
        <f>ifs($B72="","",$B72, VLOOKUP($B72&amp;$E72, 'VISIT DATA'!$A:$O,13,0))</f>
        <v/>
      </c>
      <c r="I72" s="262" t="str">
        <f>VLOOKUP($B72&amp;$E72,'VISIT DATA'!A:J, 9, FALSE)</f>
        <v>#N/A</v>
      </c>
      <c r="J72" s="223" t="str">
        <f>VLOOKUP(B72&amp;E72,'VISIT DATA'!A:N,10,FALSE)</f>
        <v>#N/A</v>
      </c>
      <c r="K72" s="225"/>
      <c r="L72" s="224"/>
      <c r="M72" s="224"/>
      <c r="N72" s="225"/>
      <c r="O72" s="216" t="str">
        <f t="shared" si="1"/>
        <v>X</v>
      </c>
      <c r="P72" s="226" t="str">
        <f t="shared" si="2"/>
        <v>#N/A</v>
      </c>
      <c r="Q72" s="227" t="str">
        <f t="shared" si="3"/>
        <v>#N/A</v>
      </c>
      <c r="R72" s="228" t="str">
        <f t="shared" si="4"/>
        <v>#N/A</v>
      </c>
      <c r="S72" s="220" t="str">
        <f t="shared" si="5"/>
        <v>#N/A</v>
      </c>
      <c r="T72" s="220" t="str">
        <f t="shared" si="6"/>
        <v>#N/A</v>
      </c>
      <c r="U72" s="221">
        <f t="shared" si="7"/>
        <v>0</v>
      </c>
      <c r="V72" s="229" t="str">
        <f>ifs($N72="",VLOOKUP($B72&amp;$E72,'VISIT DATA'!$A$2:$J100,7,FALSE), $N72="SWAB","OUTSA-RW",$N72="SWQU","OUTSA-SaQu", AND($L72="X",$M72="X",$N72="QUEST"),"OUT-UAQPre",$N72="QUEST","OUT-UAQ", $N72="Walk in","ColUATele")</f>
        <v>#N/A</v>
      </c>
      <c r="W72" s="24" t="str">
        <f t="shared" si="8"/>
        <v>#N/A</v>
      </c>
      <c r="X72" s="222" t="str">
        <f t="shared" si="9"/>
        <v/>
      </c>
      <c r="Y72" s="222" t="str">
        <f t="shared" si="10"/>
        <v/>
      </c>
      <c r="Z72" s="224" t="str">
        <f t="shared" si="11"/>
        <v> </v>
      </c>
      <c r="AA72" s="244"/>
    </row>
    <row r="73">
      <c r="A73" s="214" t="str">
        <f>IFS($B73=FALSE,"",$B73,VLOOKUP($B73,'PATIENT DATA (072721)'!A:C, 2, 0))</f>
        <v/>
      </c>
      <c r="B73" s="215"/>
      <c r="C73" s="230" t="str">
        <f>IF(COUNTIF('PATIENT DATA (072721)'!A:A, B73)=0, "X","✓")</f>
        <v>X</v>
      </c>
      <c r="D73" s="226" t="str">
        <f>IFS($B73=FALSE,"",$B73,VLOOKUP($B73,'PATIENT DATA (072721)'!A:C, 3, 0))</f>
        <v/>
      </c>
      <c r="E73" s="218"/>
      <c r="F73" s="219" t="str">
        <f>ifs($B73="","",$B73, VLOOKUP($B73&amp;$E73, 'VISIT DATA'!A:O,3,0))</f>
        <v/>
      </c>
      <c r="G73" s="231"/>
      <c r="H73" s="221" t="str">
        <f>ifs($B73="","",$B73, VLOOKUP($B73&amp;$E73, 'VISIT DATA'!$A:$O,13,0))</f>
        <v/>
      </c>
      <c r="I73" s="262" t="str">
        <f>VLOOKUP($B73&amp;$E73,'VISIT DATA'!A:J, 9, FALSE)</f>
        <v>#N/A</v>
      </c>
      <c r="J73" s="223" t="str">
        <f>VLOOKUP(B73&amp;E73,'VISIT DATA'!A:N,10,FALSE)</f>
        <v>#N/A</v>
      </c>
      <c r="K73" s="225"/>
      <c r="L73" s="224"/>
      <c r="M73" s="224"/>
      <c r="N73" s="225"/>
      <c r="O73" s="216" t="str">
        <f t="shared" si="1"/>
        <v>X</v>
      </c>
      <c r="P73" s="226" t="str">
        <f t="shared" si="2"/>
        <v>#N/A</v>
      </c>
      <c r="Q73" s="227" t="str">
        <f t="shared" si="3"/>
        <v>#N/A</v>
      </c>
      <c r="R73" s="228" t="str">
        <f t="shared" si="4"/>
        <v>#N/A</v>
      </c>
      <c r="S73" s="220" t="str">
        <f t="shared" si="5"/>
        <v>#N/A</v>
      </c>
      <c r="T73" s="220" t="str">
        <f t="shared" si="6"/>
        <v>#N/A</v>
      </c>
      <c r="U73" s="221">
        <f t="shared" si="7"/>
        <v>0</v>
      </c>
      <c r="V73" s="229" t="str">
        <f>ifs($N73="",VLOOKUP($B73&amp;$E73,'VISIT DATA'!$A$2:$J100,7,FALSE), $N73="SWAB","OUTSA-RW",$N73="SWQU","OUTSA-SaQu", AND($L73="X",$M73="X",$N73="QUEST"),"OUT-UAQPre",$N73="QUEST","OUT-UAQ", $N73="Walk in","ColUATele")</f>
        <v>#N/A</v>
      </c>
      <c r="W73" s="24" t="str">
        <f t="shared" si="8"/>
        <v>#N/A</v>
      </c>
      <c r="X73" s="222" t="str">
        <f t="shared" si="9"/>
        <v/>
      </c>
      <c r="Y73" s="222" t="str">
        <f t="shared" si="10"/>
        <v/>
      </c>
      <c r="Z73" s="224" t="str">
        <f t="shared" si="11"/>
        <v> </v>
      </c>
      <c r="AA73" s="244"/>
    </row>
    <row r="74">
      <c r="A74" s="214" t="str">
        <f>IFS($B74=FALSE,"",$B74,VLOOKUP($B74,'PATIENT DATA (072721)'!A:C, 2, 0))</f>
        <v/>
      </c>
      <c r="B74" s="215"/>
      <c r="C74" s="230" t="str">
        <f>IF(COUNTIF('PATIENT DATA (072721)'!A:A, B74)=0, "X","✓")</f>
        <v>X</v>
      </c>
      <c r="D74" s="226" t="str">
        <f>IFS($B74=FALSE,"",$B74,VLOOKUP($B74,'PATIENT DATA (072721)'!A:C, 3, 0))</f>
        <v/>
      </c>
      <c r="E74" s="218"/>
      <c r="F74" s="219" t="str">
        <f>ifs($B74="","",$B74, VLOOKUP($B74&amp;$E74, 'VISIT DATA'!A:O,3,0))</f>
        <v/>
      </c>
      <c r="G74" s="231"/>
      <c r="H74" s="221" t="str">
        <f>ifs($B74="","",$B74, VLOOKUP($B74&amp;$E74, 'VISIT DATA'!$A:$O,13,0))</f>
        <v/>
      </c>
      <c r="I74" s="262" t="str">
        <f>VLOOKUP($B74&amp;$E74,'VISIT DATA'!A:J, 9, FALSE)</f>
        <v>#N/A</v>
      </c>
      <c r="J74" s="223" t="str">
        <f>VLOOKUP(B74&amp;E74,'VISIT DATA'!A:N,10,FALSE)</f>
        <v>#N/A</v>
      </c>
      <c r="K74" s="225"/>
      <c r="L74" s="224"/>
      <c r="M74" s="224"/>
      <c r="N74" s="225"/>
      <c r="O74" s="216" t="str">
        <f t="shared" si="1"/>
        <v>X</v>
      </c>
      <c r="P74" s="226" t="str">
        <f t="shared" si="2"/>
        <v>#N/A</v>
      </c>
      <c r="Q74" s="227" t="str">
        <f t="shared" si="3"/>
        <v>#N/A</v>
      </c>
      <c r="R74" s="228" t="str">
        <f t="shared" si="4"/>
        <v>#N/A</v>
      </c>
      <c r="S74" s="220" t="str">
        <f t="shared" si="5"/>
        <v>#N/A</v>
      </c>
      <c r="T74" s="220" t="str">
        <f t="shared" si="6"/>
        <v>#N/A</v>
      </c>
      <c r="U74" s="221">
        <f t="shared" si="7"/>
        <v>0</v>
      </c>
      <c r="V74" s="229" t="str">
        <f>ifs($N74="",VLOOKUP($B74&amp;$E74,'VISIT DATA'!$A$2:$J100,7,FALSE), $N74="SWAB","OUTSA-RW",$N74="SWQU","OUTSA-SaQu", AND($L74="X",$M74="X",$N74="QUEST"),"OUT-UAQPre",$N74="QUEST","OUT-UAQ", $N74="Walk in","ColUATele")</f>
        <v>#N/A</v>
      </c>
      <c r="W74" s="24" t="str">
        <f t="shared" si="8"/>
        <v>#N/A</v>
      </c>
      <c r="X74" s="222" t="str">
        <f t="shared" si="9"/>
        <v/>
      </c>
      <c r="Y74" s="222" t="str">
        <f t="shared" si="10"/>
        <v/>
      </c>
      <c r="Z74" s="224" t="str">
        <f t="shared" si="11"/>
        <v> </v>
      </c>
      <c r="AA74" s="244"/>
    </row>
    <row r="75">
      <c r="A75" s="214" t="str">
        <f>IFS($B75=FALSE,"",$B75,VLOOKUP($B75,'PATIENT DATA (072721)'!A:C, 2, 0))</f>
        <v/>
      </c>
      <c r="B75" s="215"/>
      <c r="C75" s="230" t="str">
        <f>IF(COUNTIF('PATIENT DATA (072721)'!A:A, B75)=0, "X","✓")</f>
        <v>X</v>
      </c>
      <c r="D75" s="226" t="str">
        <f>IFS($B75=FALSE,"",$B75,VLOOKUP($B75,'PATIENT DATA (072721)'!A:C, 3, 0))</f>
        <v/>
      </c>
      <c r="E75" s="218"/>
      <c r="F75" s="219" t="str">
        <f>ifs($B75="","",$B75, VLOOKUP($B75&amp;$E75, 'VISIT DATA'!A:O,3,0))</f>
        <v/>
      </c>
      <c r="G75" s="231"/>
      <c r="H75" s="221" t="str">
        <f>ifs($B75="","",$B75, VLOOKUP($B75&amp;$E75, 'VISIT DATA'!$A:$O,13,0))</f>
        <v/>
      </c>
      <c r="I75" s="262" t="str">
        <f>VLOOKUP($B75&amp;$E75,'VISIT DATA'!A:J, 9, FALSE)</f>
        <v>#N/A</v>
      </c>
      <c r="J75" s="223" t="str">
        <f>VLOOKUP(B75&amp;E75,'VISIT DATA'!A:N,10,FALSE)</f>
        <v>#N/A</v>
      </c>
      <c r="K75" s="225"/>
      <c r="L75" s="224"/>
      <c r="M75" s="224"/>
      <c r="N75" s="225"/>
      <c r="O75" s="216" t="str">
        <f t="shared" si="1"/>
        <v>X</v>
      </c>
      <c r="P75" s="226" t="str">
        <f t="shared" si="2"/>
        <v>#N/A</v>
      </c>
      <c r="Q75" s="227" t="str">
        <f t="shared" si="3"/>
        <v>#N/A</v>
      </c>
      <c r="R75" s="228" t="str">
        <f t="shared" si="4"/>
        <v>#N/A</v>
      </c>
      <c r="S75" s="220" t="str">
        <f t="shared" si="5"/>
        <v>#N/A</v>
      </c>
      <c r="T75" s="220" t="str">
        <f t="shared" si="6"/>
        <v>#N/A</v>
      </c>
      <c r="U75" s="221">
        <f t="shared" si="7"/>
        <v>0</v>
      </c>
      <c r="V75" s="229" t="str">
        <f>ifs($N75="",VLOOKUP($B75&amp;$E75,'VISIT DATA'!$A$2:$J100,7,FALSE), $N75="SWAB","OUTSA-RW",$N75="SWQU","OUTSA-SaQu", AND($L75="X",$M75="X",$N75="QUEST"),"OUT-UAQPre",$N75="QUEST","OUT-UAQ", $N75="Walk in","ColUATele")</f>
        <v>#N/A</v>
      </c>
      <c r="W75" s="24" t="str">
        <f t="shared" si="8"/>
        <v>#N/A</v>
      </c>
      <c r="X75" s="222" t="str">
        <f t="shared" si="9"/>
        <v/>
      </c>
      <c r="Y75" s="222" t="str">
        <f t="shared" si="10"/>
        <v/>
      </c>
      <c r="Z75" s="224" t="str">
        <f t="shared" si="11"/>
        <v> </v>
      </c>
      <c r="AA75" s="244"/>
    </row>
    <row r="76">
      <c r="A76" s="214" t="str">
        <f>IFS($B76=FALSE,"",$B76,VLOOKUP($B76,'PATIENT DATA (072721)'!A:C, 2, 0))</f>
        <v/>
      </c>
      <c r="B76" s="215"/>
      <c r="C76" s="230" t="str">
        <f>IF(COUNTIF('PATIENT DATA (072721)'!A:A, B76)=0, "X","✓")</f>
        <v>X</v>
      </c>
      <c r="D76" s="226" t="str">
        <f>IFS($B76=FALSE,"",$B76,VLOOKUP($B76,'PATIENT DATA (072721)'!A:C, 3, 0))</f>
        <v/>
      </c>
      <c r="E76" s="218"/>
      <c r="F76" s="219" t="str">
        <f>ifs($B76="","",$B76, VLOOKUP($B76&amp;$E76, 'VISIT DATA'!A:O,3,0))</f>
        <v/>
      </c>
      <c r="G76" s="231"/>
      <c r="H76" s="221" t="str">
        <f>ifs($B76="","",$B76, VLOOKUP($B76&amp;$E76, 'VISIT DATA'!$A:$O,13,0))</f>
        <v/>
      </c>
      <c r="I76" s="262" t="str">
        <f>VLOOKUP($B76&amp;$E76,'VISIT DATA'!A:J, 9, FALSE)</f>
        <v>#N/A</v>
      </c>
      <c r="J76" s="223" t="str">
        <f>VLOOKUP(B76&amp;E76,'VISIT DATA'!A:N,10,FALSE)</f>
        <v>#N/A</v>
      </c>
      <c r="K76" s="225"/>
      <c r="L76" s="224"/>
      <c r="M76" s="224"/>
      <c r="N76" s="225"/>
      <c r="O76" s="216" t="str">
        <f t="shared" si="1"/>
        <v>X</v>
      </c>
      <c r="P76" s="226" t="str">
        <f t="shared" si="2"/>
        <v>#N/A</v>
      </c>
      <c r="Q76" s="227" t="str">
        <f t="shared" si="3"/>
        <v>#N/A</v>
      </c>
      <c r="R76" s="228" t="str">
        <f t="shared" si="4"/>
        <v>#N/A</v>
      </c>
      <c r="S76" s="220" t="str">
        <f t="shared" si="5"/>
        <v>#N/A</v>
      </c>
      <c r="T76" s="220" t="str">
        <f t="shared" si="6"/>
        <v>#N/A</v>
      </c>
      <c r="U76" s="221">
        <f t="shared" si="7"/>
        <v>0</v>
      </c>
      <c r="V76" s="229" t="str">
        <f>ifs($N76="",VLOOKUP($B76&amp;$E76,'VISIT DATA'!$A$2:$J100,7,FALSE), $N76="SWAB","OUTSA-RW",$N76="SWQU","OUTSA-SaQu", AND($L76="X",$M76="X",$N76="QUEST"),"OUT-UAQPre",$N76="QUEST","OUT-UAQ", $N76="Walk in","ColUATele")</f>
        <v>#N/A</v>
      </c>
      <c r="W76" s="24" t="str">
        <f t="shared" si="8"/>
        <v>#N/A</v>
      </c>
      <c r="X76" s="222" t="str">
        <f t="shared" si="9"/>
        <v/>
      </c>
      <c r="Y76" s="222" t="str">
        <f t="shared" si="10"/>
        <v/>
      </c>
      <c r="Z76" s="224" t="str">
        <f t="shared" si="11"/>
        <v> </v>
      </c>
      <c r="AA76" s="244"/>
    </row>
    <row r="77">
      <c r="A77" s="214" t="str">
        <f>IFS($B77=FALSE,"",$B77,VLOOKUP($B77,'PATIENT DATA (072721)'!A:C, 2, 0))</f>
        <v/>
      </c>
      <c r="B77" s="215"/>
      <c r="C77" s="230" t="str">
        <f>IF(COUNTIF('PATIENT DATA (072721)'!A:A, B77)=0, "X","✓")</f>
        <v>X</v>
      </c>
      <c r="D77" s="226" t="str">
        <f>IFS($B77=FALSE,"",$B77,VLOOKUP($B77,'PATIENT DATA (072721)'!A:C, 3, 0))</f>
        <v/>
      </c>
      <c r="E77" s="218"/>
      <c r="F77" s="219" t="str">
        <f>ifs($B77="","",$B77, VLOOKUP($B77&amp;$E77, 'VISIT DATA'!A:O,3,0))</f>
        <v/>
      </c>
      <c r="G77" s="231"/>
      <c r="H77" s="221" t="str">
        <f>ifs($B77="","",$B77, VLOOKUP($B77&amp;$E77, 'VISIT DATA'!$A:$O,13,0))</f>
        <v/>
      </c>
      <c r="I77" s="262" t="str">
        <f>VLOOKUP($B77&amp;$E77,'VISIT DATA'!A:J, 9, FALSE)</f>
        <v>#N/A</v>
      </c>
      <c r="J77" s="223" t="str">
        <f>VLOOKUP(B77&amp;E77,'VISIT DATA'!A:N,10,FALSE)</f>
        <v>#N/A</v>
      </c>
      <c r="K77" s="225"/>
      <c r="L77" s="224"/>
      <c r="M77" s="224"/>
      <c r="N77" s="225"/>
      <c r="O77" s="216" t="str">
        <f t="shared" si="1"/>
        <v>X</v>
      </c>
      <c r="P77" s="226" t="str">
        <f t="shared" si="2"/>
        <v>#N/A</v>
      </c>
      <c r="Q77" s="227" t="str">
        <f t="shared" si="3"/>
        <v>#N/A</v>
      </c>
      <c r="R77" s="228" t="str">
        <f t="shared" si="4"/>
        <v>#N/A</v>
      </c>
      <c r="S77" s="220" t="str">
        <f t="shared" si="5"/>
        <v>#N/A</v>
      </c>
      <c r="T77" s="220" t="str">
        <f t="shared" si="6"/>
        <v>#N/A</v>
      </c>
      <c r="U77" s="221">
        <f t="shared" si="7"/>
        <v>0</v>
      </c>
      <c r="V77" s="229" t="str">
        <f>ifs($N77="",VLOOKUP($B77&amp;$E77,'VISIT DATA'!$A$2:$J100,7,FALSE), $N77="SWAB","OUTSA-RW",$N77="SWQU","OUTSA-SaQu", AND($L77="X",$M77="X",$N77="QUEST"),"OUT-UAQPre",$N77="QUEST","OUT-UAQ", $N77="Walk in","ColUATele")</f>
        <v>#N/A</v>
      </c>
      <c r="W77" s="24" t="str">
        <f t="shared" si="8"/>
        <v>#N/A</v>
      </c>
      <c r="X77" s="222" t="str">
        <f t="shared" si="9"/>
        <v/>
      </c>
      <c r="Y77" s="222" t="str">
        <f t="shared" si="10"/>
        <v/>
      </c>
      <c r="Z77" s="224" t="str">
        <f t="shared" si="11"/>
        <v> </v>
      </c>
      <c r="AA77" s="244"/>
    </row>
    <row r="78">
      <c r="A78" s="214" t="str">
        <f>IFS($B78=FALSE,"",$B78,VLOOKUP($B78,'PATIENT DATA (072721)'!A:C, 2, 0))</f>
        <v/>
      </c>
      <c r="B78" s="215"/>
      <c r="C78" s="230" t="str">
        <f>IF(COUNTIF('PATIENT DATA (072721)'!A:A, B78)=0, "X","✓")</f>
        <v>X</v>
      </c>
      <c r="D78" s="226" t="str">
        <f>IFS($B78=FALSE,"",$B78,VLOOKUP($B78,'PATIENT DATA (072721)'!A:C, 3, 0))</f>
        <v/>
      </c>
      <c r="E78" s="218"/>
      <c r="F78" s="219" t="str">
        <f>ifs($B78="","",$B78, VLOOKUP($B78&amp;$E78, 'VISIT DATA'!A:O,3,0))</f>
        <v/>
      </c>
      <c r="G78" s="231"/>
      <c r="H78" s="221" t="str">
        <f>ifs($B78="","",$B78, VLOOKUP($B78&amp;$E78, 'VISIT DATA'!$A:$O,13,0))</f>
        <v/>
      </c>
      <c r="I78" s="262" t="str">
        <f>VLOOKUP($B78&amp;$E78,'VISIT DATA'!A:J, 9, FALSE)</f>
        <v>#N/A</v>
      </c>
      <c r="J78" s="223" t="str">
        <f>VLOOKUP(B78&amp;E78,'VISIT DATA'!A:N,10,FALSE)</f>
        <v>#N/A</v>
      </c>
      <c r="K78" s="225"/>
      <c r="L78" s="224"/>
      <c r="M78" s="224"/>
      <c r="N78" s="225"/>
      <c r="O78" s="216" t="str">
        <f t="shared" si="1"/>
        <v>X</v>
      </c>
      <c r="P78" s="226" t="str">
        <f t="shared" si="2"/>
        <v>#N/A</v>
      </c>
      <c r="Q78" s="227" t="str">
        <f t="shared" si="3"/>
        <v>#N/A</v>
      </c>
      <c r="R78" s="228" t="str">
        <f t="shared" si="4"/>
        <v>#N/A</v>
      </c>
      <c r="S78" s="220" t="str">
        <f t="shared" si="5"/>
        <v>#N/A</v>
      </c>
      <c r="T78" s="220" t="str">
        <f t="shared" si="6"/>
        <v>#N/A</v>
      </c>
      <c r="U78" s="221">
        <f t="shared" si="7"/>
        <v>0</v>
      </c>
      <c r="V78" s="229" t="str">
        <f>ifs($N78="",VLOOKUP($B78&amp;$E78,'VISIT DATA'!$A$2:$J100,7,FALSE), $N78="SWAB","OUTSA-RW",$N78="SWQU","OUTSA-SaQu", AND($L78="X",$M78="X",$N78="QUEST"),"OUT-UAQPre",$N78="QUEST","OUT-UAQ", $N78="Walk in","ColUATele")</f>
        <v>#N/A</v>
      </c>
      <c r="W78" s="24" t="str">
        <f t="shared" si="8"/>
        <v>#N/A</v>
      </c>
      <c r="X78" s="222" t="str">
        <f t="shared" si="9"/>
        <v/>
      </c>
      <c r="Y78" s="222" t="str">
        <f t="shared" si="10"/>
        <v/>
      </c>
      <c r="Z78" s="224" t="str">
        <f t="shared" si="11"/>
        <v> </v>
      </c>
      <c r="AA78" s="244"/>
    </row>
    <row r="79">
      <c r="A79" s="214" t="str">
        <f>IFS($B79=FALSE,"",$B79,VLOOKUP($B79,'PATIENT DATA (072721)'!A:C, 2, 0))</f>
        <v/>
      </c>
      <c r="B79" s="215"/>
      <c r="C79" s="230" t="str">
        <f>IF(COUNTIF('PATIENT DATA (072721)'!A:A, B79)=0, "X","✓")</f>
        <v>X</v>
      </c>
      <c r="D79" s="226" t="str">
        <f>IFS($B79=FALSE,"",$B79,VLOOKUP($B79,'PATIENT DATA (072721)'!A:C, 3, 0))</f>
        <v/>
      </c>
      <c r="E79" s="218"/>
      <c r="F79" s="219" t="str">
        <f>ifs($B79="","",$B79, VLOOKUP($B79&amp;$E79, 'VISIT DATA'!A:O,3,0))</f>
        <v/>
      </c>
      <c r="G79" s="231"/>
      <c r="H79" s="221" t="str">
        <f>ifs($B79="","",$B79, VLOOKUP($B79&amp;$E79, 'VISIT DATA'!$A:$O,13,0))</f>
        <v/>
      </c>
      <c r="I79" s="262" t="str">
        <f>VLOOKUP($B79&amp;$E79,'VISIT DATA'!A:J, 9, FALSE)</f>
        <v>#N/A</v>
      </c>
      <c r="J79" s="223" t="str">
        <f>VLOOKUP(B79&amp;E79,'VISIT DATA'!A:N,10,FALSE)</f>
        <v>#N/A</v>
      </c>
      <c r="K79" s="225"/>
      <c r="L79" s="224"/>
      <c r="M79" s="224"/>
      <c r="N79" s="225"/>
      <c r="O79" s="216" t="str">
        <f t="shared" si="1"/>
        <v>X</v>
      </c>
      <c r="P79" s="226" t="str">
        <f t="shared" si="2"/>
        <v>#N/A</v>
      </c>
      <c r="Q79" s="227" t="str">
        <f t="shared" si="3"/>
        <v>#N/A</v>
      </c>
      <c r="R79" s="228" t="str">
        <f t="shared" si="4"/>
        <v>#N/A</v>
      </c>
      <c r="S79" s="220" t="str">
        <f t="shared" si="5"/>
        <v>#N/A</v>
      </c>
      <c r="T79" s="220" t="str">
        <f t="shared" si="6"/>
        <v>#N/A</v>
      </c>
      <c r="U79" s="221">
        <f t="shared" si="7"/>
        <v>0</v>
      </c>
      <c r="V79" s="229" t="str">
        <f>ifs($N79="",VLOOKUP($B79&amp;$E79,'VISIT DATA'!$A$2:$J100,7,FALSE), $N79="SWAB","OUTSA-RW",$N79="SWQU","OUTSA-SaQu", AND($L79="X",$M79="X",$N79="QUEST"),"OUT-UAQPre",$N79="QUEST","OUT-UAQ", $N79="Walk in","ColUATele")</f>
        <v>#N/A</v>
      </c>
      <c r="W79" s="24" t="str">
        <f t="shared" si="8"/>
        <v>#N/A</v>
      </c>
      <c r="X79" s="222" t="str">
        <f t="shared" si="9"/>
        <v/>
      </c>
      <c r="Y79" s="222" t="str">
        <f t="shared" si="10"/>
        <v/>
      </c>
      <c r="Z79" s="224" t="str">
        <f t="shared" si="11"/>
        <v> </v>
      </c>
      <c r="AA79" s="244"/>
    </row>
    <row r="80">
      <c r="A80" s="214" t="str">
        <f>IFS($B80=FALSE,"",$B80,VLOOKUP($B80,'PATIENT DATA (072721)'!A:C, 2, 0))</f>
        <v/>
      </c>
      <c r="B80" s="215"/>
      <c r="C80" s="230" t="str">
        <f>IF(COUNTIF('PATIENT DATA (072721)'!A:A, B80)=0, "X","✓")</f>
        <v>X</v>
      </c>
      <c r="D80" s="226" t="str">
        <f>IFS($B80=FALSE,"",$B80,VLOOKUP($B80,'PATIENT DATA (072721)'!A:C, 3, 0))</f>
        <v/>
      </c>
      <c r="E80" s="218"/>
      <c r="F80" s="219" t="str">
        <f>ifs($B80="","",$B80, VLOOKUP($B80&amp;$E80, 'VISIT DATA'!A:O,3,0))</f>
        <v/>
      </c>
      <c r="G80" s="231"/>
      <c r="H80" s="221" t="str">
        <f>ifs($B80="","",$B80, VLOOKUP($B80&amp;$E80, 'VISIT DATA'!$A:$O,13,0))</f>
        <v/>
      </c>
      <c r="I80" s="262" t="str">
        <f>VLOOKUP($B80&amp;$E80,'VISIT DATA'!A:J, 9, FALSE)</f>
        <v>#N/A</v>
      </c>
      <c r="J80" s="223" t="str">
        <f>VLOOKUP(B80&amp;E80,'VISIT DATA'!A:N,10,FALSE)</f>
        <v>#N/A</v>
      </c>
      <c r="K80" s="225"/>
      <c r="L80" s="224"/>
      <c r="M80" s="224"/>
      <c r="N80" s="225"/>
      <c r="O80" s="216" t="str">
        <f t="shared" si="1"/>
        <v>X</v>
      </c>
      <c r="P80" s="226" t="str">
        <f t="shared" si="2"/>
        <v>#N/A</v>
      </c>
      <c r="Q80" s="227" t="str">
        <f t="shared" si="3"/>
        <v>#N/A</v>
      </c>
      <c r="R80" s="228" t="str">
        <f t="shared" si="4"/>
        <v>#N/A</v>
      </c>
      <c r="S80" s="220" t="str">
        <f t="shared" si="5"/>
        <v>#N/A</v>
      </c>
      <c r="T80" s="220" t="str">
        <f t="shared" si="6"/>
        <v>#N/A</v>
      </c>
      <c r="U80" s="221">
        <f t="shared" si="7"/>
        <v>0</v>
      </c>
      <c r="V80" s="229" t="str">
        <f>ifs($N80="",VLOOKUP($B80&amp;$E80,'VISIT DATA'!$A$2:$J100,7,FALSE), $N80="SWAB","OUTSA-RW",$N80="SWQU","OUTSA-SaQu", AND($L80="X",$M80="X",$N80="QUEST"),"OUT-UAQPre",$N80="QUEST","OUT-UAQ", $N80="Walk in","ColUATele")</f>
        <v>#N/A</v>
      </c>
      <c r="W80" s="24" t="str">
        <f t="shared" si="8"/>
        <v>#N/A</v>
      </c>
      <c r="X80" s="222" t="str">
        <f t="shared" si="9"/>
        <v/>
      </c>
      <c r="Y80" s="222" t="str">
        <f t="shared" si="10"/>
        <v/>
      </c>
      <c r="Z80" s="224" t="str">
        <f t="shared" si="11"/>
        <v> </v>
      </c>
      <c r="AA80" s="244"/>
    </row>
    <row r="81">
      <c r="A81" s="214" t="str">
        <f>IFS($B81=FALSE,"",$B81,VLOOKUP($B81,'PATIENT DATA (072721)'!A:C, 2, 0))</f>
        <v/>
      </c>
      <c r="B81" s="215"/>
      <c r="C81" s="230" t="str">
        <f>IF(COUNTIF('PATIENT DATA (072721)'!A:A, B81)=0, "X","✓")</f>
        <v>X</v>
      </c>
      <c r="D81" s="226" t="str">
        <f>IFS($B81=FALSE,"",$B81,VLOOKUP($B81,'PATIENT DATA (072721)'!A:C, 3, 0))</f>
        <v/>
      </c>
      <c r="E81" s="218"/>
      <c r="F81" s="219" t="str">
        <f>ifs($B81="","",$B81, VLOOKUP($B81&amp;$E81, 'VISIT DATA'!A:O,3,0))</f>
        <v/>
      </c>
      <c r="G81" s="231"/>
      <c r="H81" s="221" t="str">
        <f>ifs($B81="","",$B81, VLOOKUP($B81&amp;$E81, 'VISIT DATA'!$A:$O,13,0))</f>
        <v/>
      </c>
      <c r="I81" s="262" t="str">
        <f>VLOOKUP($B81&amp;$E81,'VISIT DATA'!A:J, 9, FALSE)</f>
        <v>#N/A</v>
      </c>
      <c r="J81" s="223" t="str">
        <f>VLOOKUP(B81&amp;E81,'VISIT DATA'!A:N,10,FALSE)</f>
        <v>#N/A</v>
      </c>
      <c r="K81" s="225"/>
      <c r="L81" s="224"/>
      <c r="M81" s="224"/>
      <c r="N81" s="225"/>
      <c r="O81" s="216" t="str">
        <f t="shared" si="1"/>
        <v>X</v>
      </c>
      <c r="P81" s="226" t="str">
        <f t="shared" si="2"/>
        <v>#N/A</v>
      </c>
      <c r="Q81" s="227" t="str">
        <f t="shared" si="3"/>
        <v>#N/A</v>
      </c>
      <c r="R81" s="228" t="str">
        <f t="shared" si="4"/>
        <v>#N/A</v>
      </c>
      <c r="S81" s="220" t="str">
        <f t="shared" si="5"/>
        <v>#N/A</v>
      </c>
      <c r="T81" s="220" t="str">
        <f t="shared" si="6"/>
        <v>#N/A</v>
      </c>
      <c r="U81" s="221">
        <f t="shared" si="7"/>
        <v>0</v>
      </c>
      <c r="V81" s="229" t="str">
        <f>ifs($N81="",VLOOKUP($B81&amp;$E81,'VISIT DATA'!$A$2:$J100,7,FALSE), $N81="SWAB","OUTSA-RW",$N81="SWQU","OUTSA-SaQu", AND($L81="X",$M81="X",$N81="QUEST"),"OUT-UAQPre",$N81="QUEST","OUT-UAQ", $N81="Walk in","ColUATele")</f>
        <v>#N/A</v>
      </c>
      <c r="W81" s="24" t="str">
        <f t="shared" si="8"/>
        <v>#N/A</v>
      </c>
      <c r="X81" s="222" t="str">
        <f t="shared" si="9"/>
        <v/>
      </c>
      <c r="Y81" s="222" t="str">
        <f t="shared" si="10"/>
        <v/>
      </c>
      <c r="Z81" s="224" t="str">
        <f t="shared" si="11"/>
        <v> </v>
      </c>
      <c r="AA81" s="244"/>
    </row>
    <row r="82">
      <c r="A82" s="214" t="str">
        <f>IFS($B82=FALSE,"",$B82,VLOOKUP($B82,'PATIENT DATA (072721)'!A:C, 2, 0))</f>
        <v/>
      </c>
      <c r="B82" s="215"/>
      <c r="C82" s="230" t="str">
        <f>IF(COUNTIF('PATIENT DATA (072721)'!A:A, B82)=0, "X","✓")</f>
        <v>X</v>
      </c>
      <c r="D82" s="226" t="str">
        <f>IFS($B82=FALSE,"",$B82,VLOOKUP($B82,'PATIENT DATA (072721)'!A:C, 3, 0))</f>
        <v/>
      </c>
      <c r="E82" s="218"/>
      <c r="F82" s="219" t="str">
        <f>ifs($B82="","",$B82, VLOOKUP($B82&amp;$E82, 'VISIT DATA'!A:O,3,0))</f>
        <v/>
      </c>
      <c r="G82" s="231"/>
      <c r="H82" s="221" t="str">
        <f>ifs($B82="","",$B82, VLOOKUP($B82&amp;$E82, 'VISIT DATA'!$A:$O,13,0))</f>
        <v/>
      </c>
      <c r="I82" s="262" t="str">
        <f>VLOOKUP($B82&amp;$E82,'VISIT DATA'!A:J, 9, FALSE)</f>
        <v>#N/A</v>
      </c>
      <c r="J82" s="223" t="str">
        <f>VLOOKUP(B82&amp;E82,'VISIT DATA'!A:N,10,FALSE)</f>
        <v>#N/A</v>
      </c>
      <c r="K82" s="225"/>
      <c r="L82" s="224"/>
      <c r="M82" s="224"/>
      <c r="N82" s="225"/>
      <c r="O82" s="216" t="str">
        <f t="shared" si="1"/>
        <v>X</v>
      </c>
      <c r="P82" s="226" t="str">
        <f t="shared" si="2"/>
        <v>#N/A</v>
      </c>
      <c r="Q82" s="227" t="str">
        <f t="shared" si="3"/>
        <v>#N/A</v>
      </c>
      <c r="R82" s="228" t="str">
        <f t="shared" si="4"/>
        <v>#N/A</v>
      </c>
      <c r="S82" s="220" t="str">
        <f t="shared" si="5"/>
        <v>#N/A</v>
      </c>
      <c r="T82" s="220" t="str">
        <f t="shared" si="6"/>
        <v>#N/A</v>
      </c>
      <c r="U82" s="221">
        <f t="shared" si="7"/>
        <v>0</v>
      </c>
      <c r="V82" s="229" t="str">
        <f>ifs($N82="",VLOOKUP($B82&amp;$E82,'VISIT DATA'!$A$2:$J100,7,FALSE), $N82="SWAB","OUTSA-RW",$N82="SWQU","OUTSA-SaQu", AND($L82="X",$M82="X",$N82="QUEST"),"OUT-UAQPre",$N82="QUEST","OUT-UAQ", $N82="Walk in","ColUATele")</f>
        <v>#N/A</v>
      </c>
      <c r="W82" s="24" t="str">
        <f t="shared" si="8"/>
        <v>#N/A</v>
      </c>
      <c r="X82" s="222" t="str">
        <f t="shared" si="9"/>
        <v/>
      </c>
      <c r="Y82" s="222" t="str">
        <f t="shared" si="10"/>
        <v/>
      </c>
      <c r="Z82" s="224" t="str">
        <f t="shared" si="11"/>
        <v> </v>
      </c>
      <c r="AA82" s="244"/>
    </row>
    <row r="83">
      <c r="A83" s="214" t="str">
        <f>IFS($B83=FALSE,"",$B83,VLOOKUP($B83,'PATIENT DATA (072721)'!A:C, 2, 0))</f>
        <v/>
      </c>
      <c r="B83" s="215"/>
      <c r="C83" s="230" t="str">
        <f>IF(COUNTIF('PATIENT DATA (072721)'!A:A, B83)=0, "X","✓")</f>
        <v>X</v>
      </c>
      <c r="D83" s="226" t="str">
        <f>IFS($B83=FALSE,"",$B83,VLOOKUP($B83,'PATIENT DATA (072721)'!A:C, 3, 0))</f>
        <v/>
      </c>
      <c r="E83" s="218"/>
      <c r="F83" s="219" t="str">
        <f>ifs($B83="","",$B83, VLOOKUP($B83&amp;$E83, 'VISIT DATA'!A:O,3,0))</f>
        <v/>
      </c>
      <c r="G83" s="231"/>
      <c r="H83" s="221" t="str">
        <f>ifs($B83="","",$B83, VLOOKUP($B83&amp;$E83, 'VISIT DATA'!$A:$O,13,0))</f>
        <v/>
      </c>
      <c r="I83" s="262" t="str">
        <f>VLOOKUP($B83&amp;$E83,'VISIT DATA'!A:J, 9, FALSE)</f>
        <v>#N/A</v>
      </c>
      <c r="J83" s="223" t="str">
        <f>VLOOKUP(B83&amp;E83,'VISIT DATA'!A:N,10,FALSE)</f>
        <v>#N/A</v>
      </c>
      <c r="K83" s="225"/>
      <c r="L83" s="224"/>
      <c r="M83" s="224"/>
      <c r="N83" s="225"/>
      <c r="O83" s="216" t="str">
        <f t="shared" si="1"/>
        <v>X</v>
      </c>
      <c r="P83" s="226" t="str">
        <f t="shared" si="2"/>
        <v>#N/A</v>
      </c>
      <c r="Q83" s="227" t="str">
        <f t="shared" si="3"/>
        <v>#N/A</v>
      </c>
      <c r="R83" s="228" t="str">
        <f t="shared" si="4"/>
        <v>#N/A</v>
      </c>
      <c r="S83" s="220" t="str">
        <f t="shared" si="5"/>
        <v>#N/A</v>
      </c>
      <c r="T83" s="220" t="str">
        <f t="shared" si="6"/>
        <v>#N/A</v>
      </c>
      <c r="U83" s="221">
        <f t="shared" si="7"/>
        <v>0</v>
      </c>
      <c r="V83" s="229" t="str">
        <f>ifs($N83="",VLOOKUP($B83&amp;$E83,'VISIT DATA'!$A$2:$J100,7,FALSE), $N83="SWAB","OUTSA-RW",$N83="SWQU","OUTSA-SaQu", AND($L83="X",$M83="X",$N83="QUEST"),"OUT-UAQPre",$N83="QUEST","OUT-UAQ", $N83="Walk in","ColUATele")</f>
        <v>#N/A</v>
      </c>
      <c r="W83" s="24" t="str">
        <f t="shared" si="8"/>
        <v>#N/A</v>
      </c>
      <c r="X83" s="222" t="str">
        <f t="shared" si="9"/>
        <v/>
      </c>
      <c r="Y83" s="222" t="str">
        <f t="shared" si="10"/>
        <v/>
      </c>
      <c r="Z83" s="224" t="str">
        <f t="shared" si="11"/>
        <v> </v>
      </c>
      <c r="AA83" s="244"/>
    </row>
    <row r="84">
      <c r="A84" s="214" t="str">
        <f>IFS($B84=FALSE,"",$B84,VLOOKUP($B84,'PATIENT DATA (072721)'!A:C, 2, 0))</f>
        <v/>
      </c>
      <c r="B84" s="215"/>
      <c r="C84" s="230" t="str">
        <f>IF(COUNTIF('PATIENT DATA (072721)'!A:A, B84)=0, "X","✓")</f>
        <v>X</v>
      </c>
      <c r="D84" s="226" t="str">
        <f>IFS($B84=FALSE,"",$B84,VLOOKUP($B84,'PATIENT DATA (072721)'!A:C, 3, 0))</f>
        <v/>
      </c>
      <c r="E84" s="218"/>
      <c r="F84" s="219" t="str">
        <f>ifs($B84="","",$B84, VLOOKUP($B84&amp;$E84, 'VISIT DATA'!A:O,3,0))</f>
        <v/>
      </c>
      <c r="G84" s="231"/>
      <c r="H84" s="221" t="str">
        <f>ifs($B84="","",$B84, VLOOKUP($B84&amp;$E84, 'VISIT DATA'!$A:$O,13,0))</f>
        <v/>
      </c>
      <c r="I84" s="262" t="str">
        <f>VLOOKUP($B84&amp;$E84,'VISIT DATA'!A:J, 9, FALSE)</f>
        <v>#N/A</v>
      </c>
      <c r="J84" s="223" t="str">
        <f>VLOOKUP(B84&amp;E84,'VISIT DATA'!A:N,10,FALSE)</f>
        <v>#N/A</v>
      </c>
      <c r="K84" s="225"/>
      <c r="L84" s="224"/>
      <c r="M84" s="224"/>
      <c r="N84" s="225"/>
      <c r="O84" s="216" t="str">
        <f t="shared" si="1"/>
        <v>X</v>
      </c>
      <c r="P84" s="226" t="str">
        <f t="shared" si="2"/>
        <v>#N/A</v>
      </c>
      <c r="Q84" s="227" t="str">
        <f t="shared" si="3"/>
        <v>#N/A</v>
      </c>
      <c r="R84" s="228" t="str">
        <f t="shared" si="4"/>
        <v>#N/A</v>
      </c>
      <c r="S84" s="220" t="str">
        <f t="shared" si="5"/>
        <v>#N/A</v>
      </c>
      <c r="T84" s="220" t="str">
        <f t="shared" si="6"/>
        <v>#N/A</v>
      </c>
      <c r="U84" s="221">
        <f t="shared" si="7"/>
        <v>0</v>
      </c>
      <c r="V84" s="229" t="str">
        <f>ifs($N84="",VLOOKUP($B84&amp;$E84,'VISIT DATA'!$A$2:$J100,7,FALSE), $N84="SWAB","OUTSA-RW",$N84="SWQU","OUTSA-SaQu", AND($L84="X",$M84="X",$N84="QUEST"),"OUT-UAQPre",$N84="QUEST","OUT-UAQ", $N84="Walk in","ColUATele")</f>
        <v>#N/A</v>
      </c>
      <c r="W84" s="24" t="str">
        <f t="shared" si="8"/>
        <v>#N/A</v>
      </c>
      <c r="X84" s="222" t="str">
        <f t="shared" si="9"/>
        <v/>
      </c>
      <c r="Y84" s="222" t="str">
        <f t="shared" si="10"/>
        <v/>
      </c>
      <c r="Z84" s="224" t="str">
        <f t="shared" si="11"/>
        <v> </v>
      </c>
      <c r="AA84" s="244"/>
    </row>
    <row r="85">
      <c r="A85" s="214" t="str">
        <f>IFS($B85=FALSE,"",$B85,VLOOKUP($B85,'PATIENT DATA (072721)'!A:C, 2, 0))</f>
        <v/>
      </c>
      <c r="B85" s="215"/>
      <c r="C85" s="230" t="str">
        <f>IF(COUNTIF('PATIENT DATA (072721)'!A:A, B85)=0, "X","✓")</f>
        <v>X</v>
      </c>
      <c r="D85" s="226" t="str">
        <f>IFS($B85=FALSE,"",$B85,VLOOKUP($B85,'PATIENT DATA (072721)'!A:C, 3, 0))</f>
        <v/>
      </c>
      <c r="E85" s="218"/>
      <c r="F85" s="219" t="str">
        <f>ifs($B85="","",$B85, VLOOKUP($B85&amp;$E85, 'VISIT DATA'!A:O,3,0))</f>
        <v/>
      </c>
      <c r="G85" s="231"/>
      <c r="H85" s="221" t="str">
        <f>ifs($B85="","",$B85, VLOOKUP($B85&amp;$E85, 'VISIT DATA'!$A:$O,13,0))</f>
        <v/>
      </c>
      <c r="I85" s="262" t="str">
        <f>VLOOKUP($B85&amp;$E85,'VISIT DATA'!A:J, 9, FALSE)</f>
        <v>#N/A</v>
      </c>
      <c r="J85" s="223" t="str">
        <f>VLOOKUP(B85&amp;E85,'VISIT DATA'!A:N,10,FALSE)</f>
        <v>#N/A</v>
      </c>
      <c r="K85" s="225"/>
      <c r="L85" s="224"/>
      <c r="M85" s="224"/>
      <c r="N85" s="225"/>
      <c r="O85" s="216" t="str">
        <f t="shared" si="1"/>
        <v>X</v>
      </c>
      <c r="P85" s="226" t="str">
        <f t="shared" si="2"/>
        <v>#N/A</v>
      </c>
      <c r="Q85" s="227" t="str">
        <f t="shared" si="3"/>
        <v>#N/A</v>
      </c>
      <c r="R85" s="228" t="str">
        <f t="shared" si="4"/>
        <v>#N/A</v>
      </c>
      <c r="S85" s="220" t="str">
        <f t="shared" si="5"/>
        <v>#N/A</v>
      </c>
      <c r="T85" s="220" t="str">
        <f t="shared" si="6"/>
        <v>#N/A</v>
      </c>
      <c r="U85" s="221">
        <f t="shared" si="7"/>
        <v>0</v>
      </c>
      <c r="V85" s="229" t="str">
        <f>ifs($N85="",VLOOKUP($B85&amp;$E85,'VISIT DATA'!$A$2:$J100,7,FALSE), $N85="SWAB","OUTSA-RW",$N85="SWQU","OUTSA-SaQu", AND($L85="X",$M85="X",$N85="QUEST"),"OUT-UAQPre",$N85="QUEST","OUT-UAQ", $N85="Walk in","ColUATele")</f>
        <v>#N/A</v>
      </c>
      <c r="W85" s="24" t="str">
        <f t="shared" si="8"/>
        <v>#N/A</v>
      </c>
      <c r="X85" s="222" t="str">
        <f t="shared" si="9"/>
        <v/>
      </c>
      <c r="Y85" s="222" t="str">
        <f t="shared" si="10"/>
        <v/>
      </c>
      <c r="Z85" s="224" t="str">
        <f t="shared" si="11"/>
        <v> </v>
      </c>
      <c r="AA85" s="244"/>
    </row>
    <row r="86">
      <c r="A86" s="214" t="str">
        <f>IFS($B86=FALSE,"",$B86,VLOOKUP($B86,'PATIENT DATA (072721)'!A:C, 2, 0))</f>
        <v/>
      </c>
      <c r="B86" s="215"/>
      <c r="C86" s="230" t="str">
        <f>IF(COUNTIF('PATIENT DATA (072721)'!A:A, B86)=0, "X","✓")</f>
        <v>X</v>
      </c>
      <c r="D86" s="226" t="str">
        <f>IFS($B86=FALSE,"",$B86,VLOOKUP($B86,'PATIENT DATA (072721)'!A:C, 3, 0))</f>
        <v/>
      </c>
      <c r="E86" s="218"/>
      <c r="F86" s="219" t="str">
        <f>ifs($B86="","",$B86, VLOOKUP($B86&amp;$E86, 'VISIT DATA'!A:O,3,0))</f>
        <v/>
      </c>
      <c r="G86" s="231"/>
      <c r="H86" s="221" t="str">
        <f>ifs($B86="","",$B86, VLOOKUP($B86&amp;$E86, 'VISIT DATA'!$A:$O,13,0))</f>
        <v/>
      </c>
      <c r="I86" s="262" t="str">
        <f>VLOOKUP($B86&amp;$E86,'VISIT DATA'!A:J, 9, FALSE)</f>
        <v>#N/A</v>
      </c>
      <c r="J86" s="223" t="str">
        <f>VLOOKUP(B86&amp;E86,'VISIT DATA'!A:N,10,FALSE)</f>
        <v>#N/A</v>
      </c>
      <c r="K86" s="225"/>
      <c r="L86" s="224"/>
      <c r="M86" s="224"/>
      <c r="N86" s="225"/>
      <c r="O86" s="216" t="str">
        <f t="shared" si="1"/>
        <v>X</v>
      </c>
      <c r="P86" s="226" t="str">
        <f t="shared" si="2"/>
        <v>#N/A</v>
      </c>
      <c r="Q86" s="227" t="str">
        <f t="shared" si="3"/>
        <v>#N/A</v>
      </c>
      <c r="R86" s="228" t="str">
        <f t="shared" si="4"/>
        <v>#N/A</v>
      </c>
      <c r="S86" s="220" t="str">
        <f t="shared" si="5"/>
        <v>#N/A</v>
      </c>
      <c r="T86" s="220" t="str">
        <f t="shared" si="6"/>
        <v>#N/A</v>
      </c>
      <c r="U86" s="221">
        <f t="shared" si="7"/>
        <v>0</v>
      </c>
      <c r="V86" s="229" t="str">
        <f>ifs($N86="",VLOOKUP($B86&amp;$E86,'VISIT DATA'!$A$2:$J100,7,FALSE), $N86="SWAB","OUTSA-RW",$N86="SWQU","OUTSA-SaQu", AND($L86="X",$M86="X",$N86="QUEST"),"OUT-UAQPre",$N86="QUEST","OUT-UAQ", $N86="Walk in","ColUATele")</f>
        <v>#N/A</v>
      </c>
      <c r="W86" s="24" t="str">
        <f t="shared" si="8"/>
        <v>#N/A</v>
      </c>
      <c r="X86" s="222" t="str">
        <f t="shared" si="9"/>
        <v/>
      </c>
      <c r="Y86" s="222" t="str">
        <f t="shared" si="10"/>
        <v/>
      </c>
      <c r="Z86" s="224" t="str">
        <f t="shared" si="11"/>
        <v> </v>
      </c>
      <c r="AA86" s="244"/>
    </row>
    <row r="87">
      <c r="A87" s="214" t="str">
        <f>IFS($B87=FALSE,"",$B87,VLOOKUP($B87,'PATIENT DATA (072721)'!A:C, 2, 0))</f>
        <v/>
      </c>
      <c r="B87" s="215"/>
      <c r="C87" s="230" t="str">
        <f>IF(COUNTIF('PATIENT DATA (072721)'!A:A, B87)=0, "X","✓")</f>
        <v>X</v>
      </c>
      <c r="D87" s="226" t="str">
        <f>IFS($B87=FALSE,"",$B87,VLOOKUP($B87,'PATIENT DATA (072721)'!A:C, 3, 0))</f>
        <v/>
      </c>
      <c r="E87" s="218"/>
      <c r="F87" s="219" t="str">
        <f>ifs($B87="","",$B87, VLOOKUP($B87&amp;$E87, 'VISIT DATA'!A:O,3,0))</f>
        <v/>
      </c>
      <c r="G87" s="231"/>
      <c r="H87" s="221" t="str">
        <f>ifs($B87="","",$B87, VLOOKUP($B87&amp;$E87, 'VISIT DATA'!$A:$O,13,0))</f>
        <v/>
      </c>
      <c r="I87" s="262" t="str">
        <f>VLOOKUP($B87&amp;$E87,'VISIT DATA'!A:J, 9, FALSE)</f>
        <v>#N/A</v>
      </c>
      <c r="J87" s="223" t="str">
        <f>VLOOKUP(B87&amp;E87,'VISIT DATA'!A:N,10,FALSE)</f>
        <v>#N/A</v>
      </c>
      <c r="K87" s="225"/>
      <c r="L87" s="224"/>
      <c r="M87" s="224"/>
      <c r="N87" s="225"/>
      <c r="O87" s="216" t="str">
        <f t="shared" si="1"/>
        <v>X</v>
      </c>
      <c r="P87" s="226" t="str">
        <f t="shared" si="2"/>
        <v>#N/A</v>
      </c>
      <c r="Q87" s="227" t="str">
        <f t="shared" si="3"/>
        <v>#N/A</v>
      </c>
      <c r="R87" s="228" t="str">
        <f t="shared" si="4"/>
        <v>#N/A</v>
      </c>
      <c r="S87" s="220" t="str">
        <f t="shared" si="5"/>
        <v>#N/A</v>
      </c>
      <c r="T87" s="220" t="str">
        <f t="shared" si="6"/>
        <v>#N/A</v>
      </c>
      <c r="U87" s="221">
        <f t="shared" si="7"/>
        <v>0</v>
      </c>
      <c r="V87" s="229" t="str">
        <f>ifs($N87="",VLOOKUP($B87&amp;$E87,'VISIT DATA'!$A$2:$J100,7,FALSE), $N87="SWAB","OUTSA-RW",$N87="SWQU","OUTSA-SaQu", AND($L87="X",$M87="X",$N87="QUEST"),"OUT-UAQPre",$N87="QUEST","OUT-UAQ", $N87="Walk in","ColUATele")</f>
        <v>#N/A</v>
      </c>
      <c r="W87" s="24" t="str">
        <f t="shared" si="8"/>
        <v>#N/A</v>
      </c>
      <c r="X87" s="222" t="str">
        <f t="shared" si="9"/>
        <v/>
      </c>
      <c r="Y87" s="222" t="str">
        <f t="shared" si="10"/>
        <v/>
      </c>
      <c r="Z87" s="224" t="str">
        <f t="shared" si="11"/>
        <v> </v>
      </c>
      <c r="AA87" s="244"/>
    </row>
    <row r="88">
      <c r="A88" s="214" t="str">
        <f>IFS($B88=FALSE,"",$B88,VLOOKUP($B88,'PATIENT DATA (072721)'!A:C, 2, 0))</f>
        <v/>
      </c>
      <c r="B88" s="215"/>
      <c r="C88" s="230" t="str">
        <f>IF(COUNTIF('PATIENT DATA (072721)'!A:A, B88)=0, "X","✓")</f>
        <v>X</v>
      </c>
      <c r="D88" s="226" t="str">
        <f>IFS($B88=FALSE,"",$B88,VLOOKUP($B88,'PATIENT DATA (072721)'!A:C, 3, 0))</f>
        <v/>
      </c>
      <c r="E88" s="218"/>
      <c r="F88" s="219" t="str">
        <f>ifs($B88="","",$B88, VLOOKUP($B88&amp;$E88, 'VISIT DATA'!A:O,3,0))</f>
        <v/>
      </c>
      <c r="G88" s="231"/>
      <c r="H88" s="221" t="str">
        <f>ifs($B88="","",$B88, VLOOKUP($B88&amp;$E88, 'VISIT DATA'!$A:$O,13,0))</f>
        <v/>
      </c>
      <c r="I88" s="262" t="str">
        <f>VLOOKUP($B88&amp;$E88,'VISIT DATA'!A:J, 9, FALSE)</f>
        <v>#N/A</v>
      </c>
      <c r="J88" s="223" t="str">
        <f>VLOOKUP(B88&amp;E88,'VISIT DATA'!A:N,10,FALSE)</f>
        <v>#N/A</v>
      </c>
      <c r="K88" s="225"/>
      <c r="L88" s="224"/>
      <c r="M88" s="224"/>
      <c r="N88" s="225"/>
      <c r="O88" s="216" t="str">
        <f t="shared" si="1"/>
        <v>X</v>
      </c>
      <c r="P88" s="226" t="str">
        <f t="shared" si="2"/>
        <v>#N/A</v>
      </c>
      <c r="Q88" s="227" t="str">
        <f t="shared" si="3"/>
        <v>#N/A</v>
      </c>
      <c r="R88" s="228" t="str">
        <f t="shared" si="4"/>
        <v>#N/A</v>
      </c>
      <c r="S88" s="220" t="str">
        <f t="shared" si="5"/>
        <v>#N/A</v>
      </c>
      <c r="T88" s="220" t="str">
        <f t="shared" si="6"/>
        <v>#N/A</v>
      </c>
      <c r="U88" s="221">
        <f t="shared" si="7"/>
        <v>0</v>
      </c>
      <c r="V88" s="229" t="str">
        <f>ifs($N88="",VLOOKUP($B88&amp;$E88,'VISIT DATA'!$A$2:$J100,7,FALSE), $N88="SWAB","OUTSA-RW",$N88="SWQU","OUTSA-SaQu", AND($L88="X",$M88="X",$N88="QUEST"),"OUT-UAQPre",$N88="QUEST","OUT-UAQ", $N88="Walk in","ColUATele")</f>
        <v>#N/A</v>
      </c>
      <c r="W88" s="24" t="str">
        <f t="shared" si="8"/>
        <v>#N/A</v>
      </c>
      <c r="X88" s="222" t="str">
        <f t="shared" si="9"/>
        <v/>
      </c>
      <c r="Y88" s="222" t="str">
        <f t="shared" si="10"/>
        <v/>
      </c>
      <c r="Z88" s="224" t="str">
        <f t="shared" si="11"/>
        <v> </v>
      </c>
      <c r="AA88" s="244"/>
    </row>
    <row r="89">
      <c r="A89" s="214" t="str">
        <f>IFS($B89=FALSE,"",$B89,VLOOKUP($B89,'PATIENT DATA (072721)'!A:C, 2, 0))</f>
        <v/>
      </c>
      <c r="B89" s="215"/>
      <c r="C89" s="230" t="str">
        <f>IF(COUNTIF('PATIENT DATA (072721)'!A:A, B89)=0, "X","✓")</f>
        <v>X</v>
      </c>
      <c r="D89" s="226" t="str">
        <f>IFS($B89=FALSE,"",$B89,VLOOKUP($B89,'PATIENT DATA (072721)'!A:C, 3, 0))</f>
        <v/>
      </c>
      <c r="E89" s="218"/>
      <c r="F89" s="219" t="str">
        <f>ifs($B89="","",$B89, VLOOKUP($B89&amp;$E89, 'VISIT DATA'!A:O,3,0))</f>
        <v/>
      </c>
      <c r="G89" s="231"/>
      <c r="H89" s="221" t="str">
        <f>ifs($B89="","",$B89, VLOOKUP($B89&amp;$E89, 'VISIT DATA'!$A:$O,13,0))</f>
        <v/>
      </c>
      <c r="I89" s="262" t="str">
        <f>VLOOKUP($B89&amp;$E89,'VISIT DATA'!A:J, 9, FALSE)</f>
        <v>#N/A</v>
      </c>
      <c r="J89" s="223" t="str">
        <f>VLOOKUP(B89&amp;E89,'VISIT DATA'!A:N,10,FALSE)</f>
        <v>#N/A</v>
      </c>
      <c r="K89" s="225"/>
      <c r="L89" s="224"/>
      <c r="M89" s="224"/>
      <c r="N89" s="225"/>
      <c r="O89" s="216" t="str">
        <f t="shared" si="1"/>
        <v>X</v>
      </c>
      <c r="P89" s="226" t="str">
        <f t="shared" si="2"/>
        <v>#N/A</v>
      </c>
      <c r="Q89" s="227" t="str">
        <f t="shared" si="3"/>
        <v>#N/A</v>
      </c>
      <c r="R89" s="228" t="str">
        <f t="shared" si="4"/>
        <v>#N/A</v>
      </c>
      <c r="S89" s="220" t="str">
        <f t="shared" si="5"/>
        <v>#N/A</v>
      </c>
      <c r="T89" s="220" t="str">
        <f t="shared" si="6"/>
        <v>#N/A</v>
      </c>
      <c r="U89" s="221">
        <f t="shared" si="7"/>
        <v>0</v>
      </c>
      <c r="V89" s="229" t="str">
        <f>ifs($N89="",VLOOKUP($B89&amp;$E89,'VISIT DATA'!$A$2:$J100,7,FALSE), $N89="SWAB","OUTSA-RW",$N89="SWQU","OUTSA-SaQu", AND($L89="X",$M89="X",$N89="QUEST"),"OUT-UAQPre",$N89="QUEST","OUT-UAQ", $N89="Walk in","ColUATele")</f>
        <v>#N/A</v>
      </c>
      <c r="W89" s="24" t="str">
        <f t="shared" si="8"/>
        <v>#N/A</v>
      </c>
      <c r="X89" s="222" t="str">
        <f t="shared" si="9"/>
        <v/>
      </c>
      <c r="Y89" s="222" t="str">
        <f t="shared" si="10"/>
        <v/>
      </c>
      <c r="Z89" s="224" t="str">
        <f t="shared" si="11"/>
        <v> </v>
      </c>
      <c r="AA89" s="244"/>
    </row>
    <row r="90">
      <c r="A90" s="214" t="str">
        <f>IFS($B90=FALSE,"",$B90,VLOOKUP($B90,'PATIENT DATA (072721)'!A:C, 2, 0))</f>
        <v/>
      </c>
      <c r="B90" s="215"/>
      <c r="C90" s="230" t="str">
        <f>IF(COUNTIF('PATIENT DATA (072721)'!A:A, B90)=0, "X","✓")</f>
        <v>X</v>
      </c>
      <c r="D90" s="226" t="str">
        <f>IFS($B90=FALSE,"",$B90,VLOOKUP($B90,'PATIENT DATA (072721)'!A:C, 3, 0))</f>
        <v/>
      </c>
      <c r="E90" s="218"/>
      <c r="F90" s="219" t="str">
        <f>ifs($B90="","",$B90, VLOOKUP($B90&amp;$E90, 'VISIT DATA'!A:O,3,0))</f>
        <v/>
      </c>
      <c r="G90" s="231"/>
      <c r="H90" s="221" t="str">
        <f>ifs($B90="","",$B90, VLOOKUP($B90&amp;$E90, 'VISIT DATA'!$A:$O,13,0))</f>
        <v/>
      </c>
      <c r="I90" s="262" t="str">
        <f>VLOOKUP($B90&amp;$E90,'VISIT DATA'!A:J, 9, FALSE)</f>
        <v>#N/A</v>
      </c>
      <c r="J90" s="223" t="str">
        <f>VLOOKUP(B90&amp;E90,'VISIT DATA'!A:N,10,FALSE)</f>
        <v>#N/A</v>
      </c>
      <c r="K90" s="225"/>
      <c r="L90" s="224"/>
      <c r="M90" s="224"/>
      <c r="N90" s="225"/>
      <c r="O90" s="216" t="str">
        <f t="shared" si="1"/>
        <v>X</v>
      </c>
      <c r="P90" s="226" t="str">
        <f t="shared" si="2"/>
        <v>#N/A</v>
      </c>
      <c r="Q90" s="227" t="str">
        <f t="shared" si="3"/>
        <v>#N/A</v>
      </c>
      <c r="R90" s="228" t="str">
        <f t="shared" si="4"/>
        <v>#N/A</v>
      </c>
      <c r="S90" s="220" t="str">
        <f t="shared" si="5"/>
        <v>#N/A</v>
      </c>
      <c r="T90" s="220" t="str">
        <f t="shared" si="6"/>
        <v>#N/A</v>
      </c>
      <c r="U90" s="221">
        <f t="shared" si="7"/>
        <v>0</v>
      </c>
      <c r="V90" s="229" t="str">
        <f>ifs($N90="",VLOOKUP($B90&amp;$E90,'VISIT DATA'!$A$2:$J100,7,FALSE), $N90="SWAB","OUTSA-RW",$N90="SWQU","OUTSA-SaQu", AND($L90="X",$M90="X",$N90="QUEST"),"OUT-UAQPre",$N90="QUEST","OUT-UAQ", $N90="Walk in","ColUATele")</f>
        <v>#N/A</v>
      </c>
      <c r="W90" s="24" t="str">
        <f t="shared" si="8"/>
        <v>#N/A</v>
      </c>
      <c r="X90" s="222" t="str">
        <f t="shared" si="9"/>
        <v/>
      </c>
      <c r="Y90" s="222" t="str">
        <f t="shared" si="10"/>
        <v/>
      </c>
      <c r="Z90" s="224" t="str">
        <f t="shared" si="11"/>
        <v> </v>
      </c>
      <c r="AA90" s="244"/>
    </row>
    <row r="91">
      <c r="A91" s="214" t="str">
        <f>IFS($B91=FALSE,"",$B91,VLOOKUP($B91,'PATIENT DATA (072721)'!A:C, 2, 0))</f>
        <v/>
      </c>
      <c r="B91" s="215"/>
      <c r="C91" s="230" t="str">
        <f>IF(COUNTIF('PATIENT DATA (072721)'!A:A, B91)=0, "X","✓")</f>
        <v>X</v>
      </c>
      <c r="D91" s="226" t="str">
        <f>IFS($B91=FALSE,"",$B91,VLOOKUP($B91,'PATIENT DATA (072721)'!A:C, 3, 0))</f>
        <v/>
      </c>
      <c r="E91" s="218"/>
      <c r="F91" s="219" t="str">
        <f>ifs($B91="","",$B91, VLOOKUP($B91&amp;$E91, 'VISIT DATA'!A:O,3,0))</f>
        <v/>
      </c>
      <c r="G91" s="231"/>
      <c r="H91" s="221" t="str">
        <f>ifs($B91="","",$B91, VLOOKUP($B91&amp;$E91, 'VISIT DATA'!$A:$O,13,0))</f>
        <v/>
      </c>
      <c r="I91" s="262" t="str">
        <f>VLOOKUP($B91&amp;$E91,'VISIT DATA'!A:J, 9, FALSE)</f>
        <v>#N/A</v>
      </c>
      <c r="J91" s="223" t="str">
        <f>VLOOKUP(B91&amp;E91,'VISIT DATA'!A:N,10,FALSE)</f>
        <v>#N/A</v>
      </c>
      <c r="K91" s="225"/>
      <c r="L91" s="224"/>
      <c r="M91" s="224"/>
      <c r="N91" s="225"/>
      <c r="O91" s="216" t="str">
        <f t="shared" si="1"/>
        <v>X</v>
      </c>
      <c r="P91" s="226" t="str">
        <f t="shared" si="2"/>
        <v>#N/A</v>
      </c>
      <c r="Q91" s="227" t="str">
        <f t="shared" si="3"/>
        <v>#N/A</v>
      </c>
      <c r="R91" s="228" t="str">
        <f t="shared" si="4"/>
        <v>#N/A</v>
      </c>
      <c r="S91" s="220" t="str">
        <f t="shared" si="5"/>
        <v>#N/A</v>
      </c>
      <c r="T91" s="220" t="str">
        <f t="shared" si="6"/>
        <v>#N/A</v>
      </c>
      <c r="U91" s="221">
        <f t="shared" si="7"/>
        <v>0</v>
      </c>
      <c r="V91" s="229" t="str">
        <f>ifs($N91="",VLOOKUP($B91&amp;$E91,'VISIT DATA'!$A$2:$J100,7,FALSE), $N91="SWAB","OUTSA-RW",$N91="SWQU","OUTSA-SaQu", AND($L91="X",$M91="X",$N91="QUEST"),"OUT-UAQPre",$N91="QUEST","OUT-UAQ", $N91="Walk in","ColUATele")</f>
        <v>#N/A</v>
      </c>
      <c r="W91" s="24" t="str">
        <f t="shared" si="8"/>
        <v>#N/A</v>
      </c>
      <c r="X91" s="222" t="str">
        <f t="shared" si="9"/>
        <v/>
      </c>
      <c r="Y91" s="222" t="str">
        <f t="shared" si="10"/>
        <v/>
      </c>
      <c r="Z91" s="224" t="str">
        <f t="shared" si="11"/>
        <v> </v>
      </c>
      <c r="AA91" s="244"/>
    </row>
    <row r="92">
      <c r="A92" s="214" t="str">
        <f>IFS($B92=FALSE,"",$B92,VLOOKUP($B92,'PATIENT DATA (072721)'!A:C, 2, 0))</f>
        <v/>
      </c>
      <c r="B92" s="215"/>
      <c r="C92" s="230" t="str">
        <f>IF(COUNTIF('PATIENT DATA (072721)'!A:A, B92)=0, "X","✓")</f>
        <v>X</v>
      </c>
      <c r="D92" s="226" t="str">
        <f>IFS($B92=FALSE,"",$B92,VLOOKUP($B92,'PATIENT DATA (072721)'!A:C, 3, 0))</f>
        <v/>
      </c>
      <c r="E92" s="218"/>
      <c r="F92" s="219" t="str">
        <f>ifs($B92="","",$B92, VLOOKUP($B92&amp;$E92, 'VISIT DATA'!A:O,3,0))</f>
        <v/>
      </c>
      <c r="G92" s="231"/>
      <c r="H92" s="221" t="str">
        <f>ifs($B92="","",$B92, VLOOKUP($B92&amp;$E92, 'VISIT DATA'!$A:$O,13,0))</f>
        <v/>
      </c>
      <c r="I92" s="262" t="str">
        <f>VLOOKUP($B92&amp;$E92,'VISIT DATA'!A:J, 9, FALSE)</f>
        <v>#N/A</v>
      </c>
      <c r="J92" s="223" t="str">
        <f>VLOOKUP(B92&amp;E92,'VISIT DATA'!A:N,10,FALSE)</f>
        <v>#N/A</v>
      </c>
      <c r="K92" s="225"/>
      <c r="L92" s="224"/>
      <c r="M92" s="224"/>
      <c r="N92" s="225"/>
      <c r="O92" s="216" t="str">
        <f t="shared" si="1"/>
        <v>X</v>
      </c>
      <c r="P92" s="226" t="str">
        <f t="shared" si="2"/>
        <v>#N/A</v>
      </c>
      <c r="Q92" s="227" t="str">
        <f t="shared" si="3"/>
        <v>#N/A</v>
      </c>
      <c r="R92" s="228" t="str">
        <f t="shared" si="4"/>
        <v>#N/A</v>
      </c>
      <c r="S92" s="220" t="str">
        <f t="shared" si="5"/>
        <v>#N/A</v>
      </c>
      <c r="T92" s="220" t="str">
        <f t="shared" si="6"/>
        <v>#N/A</v>
      </c>
      <c r="U92" s="221">
        <f t="shared" si="7"/>
        <v>0</v>
      </c>
      <c r="V92" s="229" t="str">
        <f>ifs($N92="",VLOOKUP($B92&amp;$E92,'VISIT DATA'!$A$2:$J100,7,FALSE), $N92="SWAB","OUTSA-RW",$N92="SWQU","OUTSA-SaQu", AND($L92="X",$M92="X",$N92="QUEST"),"OUT-UAQPre",$N92="QUEST","OUT-UAQ", $N92="Walk in","ColUATele")</f>
        <v>#N/A</v>
      </c>
      <c r="W92" s="24" t="str">
        <f t="shared" si="8"/>
        <v>#N/A</v>
      </c>
      <c r="X92" s="222" t="str">
        <f t="shared" si="9"/>
        <v/>
      </c>
      <c r="Y92" s="222" t="str">
        <f t="shared" si="10"/>
        <v/>
      </c>
      <c r="Z92" s="224" t="str">
        <f t="shared" si="11"/>
        <v> </v>
      </c>
      <c r="AA92" s="244"/>
    </row>
    <row r="93">
      <c r="A93" s="214" t="str">
        <f>IFS($B93=FALSE,"",$B93,VLOOKUP($B93,'PATIENT DATA (072721)'!A:C, 2, 0))</f>
        <v/>
      </c>
      <c r="B93" s="215"/>
      <c r="C93" s="230" t="str">
        <f>IF(COUNTIF('PATIENT DATA (072721)'!A:A, B93)=0, "X","✓")</f>
        <v>X</v>
      </c>
      <c r="D93" s="226" t="str">
        <f>IFS($B93=FALSE,"",$B93,VLOOKUP($B93,'PATIENT DATA (072721)'!A:C, 3, 0))</f>
        <v/>
      </c>
      <c r="E93" s="218"/>
      <c r="F93" s="219" t="str">
        <f>ifs($B93="","",$B93, VLOOKUP($B93&amp;$E93, 'VISIT DATA'!A:O,3,0))</f>
        <v/>
      </c>
      <c r="G93" s="231"/>
      <c r="H93" s="221" t="str">
        <f>ifs($B93="","",$B93, VLOOKUP($B93&amp;$E93, 'VISIT DATA'!$A:$O,13,0))</f>
        <v/>
      </c>
      <c r="I93" s="262" t="str">
        <f>VLOOKUP($B93&amp;$E93,'VISIT DATA'!A:J, 9, FALSE)</f>
        <v>#N/A</v>
      </c>
      <c r="J93" s="223" t="str">
        <f>VLOOKUP(B93&amp;E93,'VISIT DATA'!A:N,10,FALSE)</f>
        <v>#N/A</v>
      </c>
      <c r="K93" s="225"/>
      <c r="L93" s="224"/>
      <c r="M93" s="224"/>
      <c r="N93" s="225"/>
      <c r="O93" s="216" t="str">
        <f t="shared" si="1"/>
        <v>X</v>
      </c>
      <c r="P93" s="226" t="str">
        <f t="shared" si="2"/>
        <v>#N/A</v>
      </c>
      <c r="Q93" s="227" t="str">
        <f t="shared" si="3"/>
        <v>#N/A</v>
      </c>
      <c r="R93" s="228" t="str">
        <f t="shared" si="4"/>
        <v>#N/A</v>
      </c>
      <c r="S93" s="220" t="str">
        <f t="shared" si="5"/>
        <v>#N/A</v>
      </c>
      <c r="T93" s="220" t="str">
        <f t="shared" si="6"/>
        <v>#N/A</v>
      </c>
      <c r="U93" s="221">
        <f t="shared" si="7"/>
        <v>0</v>
      </c>
      <c r="V93" s="229" t="str">
        <f>ifs($N93="",VLOOKUP($B93&amp;$E93,'VISIT DATA'!$A$2:$J100,7,FALSE), $N93="SWAB","OUTSA-RW",$N93="SWQU","OUTSA-SaQu", AND($L93="X",$M93="X",$N93="QUEST"),"OUT-UAQPre",$N93="QUEST","OUT-UAQ", $N93="Walk in","ColUATele")</f>
        <v>#N/A</v>
      </c>
      <c r="W93" s="24" t="str">
        <f t="shared" si="8"/>
        <v>#N/A</v>
      </c>
      <c r="X93" s="222" t="str">
        <f t="shared" si="9"/>
        <v/>
      </c>
      <c r="Y93" s="222" t="str">
        <f t="shared" si="10"/>
        <v/>
      </c>
      <c r="Z93" s="224" t="str">
        <f t="shared" si="11"/>
        <v> </v>
      </c>
      <c r="AA93" s="244"/>
    </row>
    <row r="94">
      <c r="A94" s="214" t="str">
        <f>IFS($B94=FALSE,"",$B94,VLOOKUP($B94,'PATIENT DATA (072721)'!A:C, 2, 0))</f>
        <v/>
      </c>
      <c r="B94" s="215"/>
      <c r="C94" s="230" t="str">
        <f>IF(COUNTIF('PATIENT DATA (072721)'!A:A, B94)=0, "X","✓")</f>
        <v>X</v>
      </c>
      <c r="D94" s="226" t="str">
        <f>IFS($B94=FALSE,"",$B94,VLOOKUP($B94,'PATIENT DATA (072721)'!A:C, 3, 0))</f>
        <v/>
      </c>
      <c r="E94" s="218"/>
      <c r="F94" s="219" t="str">
        <f>ifs($B94="","",$B94, VLOOKUP($B94&amp;$E94, 'VISIT DATA'!A:O,3,0))</f>
        <v/>
      </c>
      <c r="G94" s="231"/>
      <c r="H94" s="221" t="str">
        <f>ifs($B94="","",$B94, VLOOKUP($B94&amp;$E94, 'VISIT DATA'!$A:$O,13,0))</f>
        <v/>
      </c>
      <c r="I94" s="262" t="str">
        <f>VLOOKUP($B94&amp;$E94,'VISIT DATA'!A:J, 9, FALSE)</f>
        <v>#N/A</v>
      </c>
      <c r="J94" s="223" t="str">
        <f>VLOOKUP(B94&amp;E94,'VISIT DATA'!A:N,10,FALSE)</f>
        <v>#N/A</v>
      </c>
      <c r="K94" s="225"/>
      <c r="L94" s="224"/>
      <c r="M94" s="224"/>
      <c r="N94" s="225"/>
      <c r="O94" s="216" t="str">
        <f t="shared" si="1"/>
        <v>X</v>
      </c>
      <c r="P94" s="226" t="str">
        <f t="shared" si="2"/>
        <v>#N/A</v>
      </c>
      <c r="Q94" s="227" t="str">
        <f t="shared" si="3"/>
        <v>#N/A</v>
      </c>
      <c r="R94" s="228" t="str">
        <f t="shared" si="4"/>
        <v>#N/A</v>
      </c>
      <c r="S94" s="220" t="str">
        <f t="shared" si="5"/>
        <v>#N/A</v>
      </c>
      <c r="T94" s="220" t="str">
        <f t="shared" si="6"/>
        <v>#N/A</v>
      </c>
      <c r="U94" s="221">
        <f t="shared" si="7"/>
        <v>0</v>
      </c>
      <c r="V94" s="229" t="str">
        <f>ifs($N94="",VLOOKUP($B94&amp;$E94,'VISIT DATA'!$A$2:$J100,7,FALSE), $N94="SWAB","OUTSA-RW",$N94="SWQU","OUTSA-SaQu", AND($L94="X",$M94="X",$N94="QUEST"),"OUT-UAQPre",$N94="QUEST","OUT-UAQ", $N94="Walk in","ColUATele")</f>
        <v>#N/A</v>
      </c>
      <c r="W94" s="24" t="str">
        <f t="shared" si="8"/>
        <v>#N/A</v>
      </c>
      <c r="X94" s="222" t="str">
        <f t="shared" si="9"/>
        <v/>
      </c>
      <c r="Y94" s="222" t="str">
        <f t="shared" si="10"/>
        <v/>
      </c>
      <c r="Z94" s="224" t="str">
        <f t="shared" si="11"/>
        <v> </v>
      </c>
      <c r="AA94" s="244"/>
    </row>
    <row r="95">
      <c r="A95" s="214" t="str">
        <f>IFS($B95=FALSE,"",$B95,VLOOKUP($B95,'PATIENT DATA (072721)'!A:C, 2, 0))</f>
        <v/>
      </c>
      <c r="B95" s="215"/>
      <c r="C95" s="230" t="str">
        <f>IF(COUNTIF('PATIENT DATA (072721)'!A:A, B95)=0, "X","✓")</f>
        <v>X</v>
      </c>
      <c r="D95" s="226" t="str">
        <f>IFS($B95=FALSE,"",$B95,VLOOKUP($B95,'PATIENT DATA (072721)'!A:C, 3, 0))</f>
        <v/>
      </c>
      <c r="E95" s="218"/>
      <c r="F95" s="219" t="str">
        <f>ifs($B95="","",$B95, VLOOKUP($B95&amp;$E95, 'VISIT DATA'!A:O,3,0))</f>
        <v/>
      </c>
      <c r="G95" s="231"/>
      <c r="H95" s="221" t="str">
        <f>ifs($B95="","",$B95, VLOOKUP($B95&amp;$E95, 'VISIT DATA'!$A:$O,13,0))</f>
        <v/>
      </c>
      <c r="I95" s="262" t="str">
        <f>VLOOKUP($B95&amp;$E95,'VISIT DATA'!A:J, 9, FALSE)</f>
        <v>#N/A</v>
      </c>
      <c r="J95" s="223" t="str">
        <f>VLOOKUP(B95&amp;E95,'VISIT DATA'!A:N,10,FALSE)</f>
        <v>#N/A</v>
      </c>
      <c r="K95" s="225"/>
      <c r="L95" s="224"/>
      <c r="M95" s="224"/>
      <c r="N95" s="225"/>
      <c r="O95" s="216" t="str">
        <f t="shared" si="1"/>
        <v>X</v>
      </c>
      <c r="P95" s="226" t="str">
        <f t="shared" si="2"/>
        <v>#N/A</v>
      </c>
      <c r="Q95" s="227" t="str">
        <f t="shared" si="3"/>
        <v>#N/A</v>
      </c>
      <c r="R95" s="228" t="str">
        <f t="shared" si="4"/>
        <v>#N/A</v>
      </c>
      <c r="S95" s="220" t="str">
        <f t="shared" si="5"/>
        <v>#N/A</v>
      </c>
      <c r="T95" s="220" t="str">
        <f t="shared" si="6"/>
        <v>#N/A</v>
      </c>
      <c r="U95" s="221">
        <f t="shared" si="7"/>
        <v>0</v>
      </c>
      <c r="V95" s="229" t="str">
        <f>ifs($N95="",VLOOKUP($B95&amp;$E95,'VISIT DATA'!$A$2:$J100,7,FALSE), $N95="SWAB","OUTSA-RW",$N95="SWQU","OUTSA-SaQu", AND($L95="X",$M95="X",$N95="QUEST"),"OUT-UAQPre",$N95="QUEST","OUT-UAQ", $N95="Walk in","ColUATele")</f>
        <v>#N/A</v>
      </c>
      <c r="W95" s="24" t="str">
        <f t="shared" si="8"/>
        <v>#N/A</v>
      </c>
      <c r="X95" s="222" t="str">
        <f t="shared" si="9"/>
        <v/>
      </c>
      <c r="Y95" s="222" t="str">
        <f t="shared" si="10"/>
        <v/>
      </c>
      <c r="Z95" s="224" t="str">
        <f t="shared" si="11"/>
        <v> </v>
      </c>
      <c r="AA95" s="244"/>
    </row>
    <row r="96">
      <c r="A96" s="214" t="str">
        <f>IFS($B96=FALSE,"",$B96,VLOOKUP($B96,'PATIENT DATA (072721)'!A:C, 2, 0))</f>
        <v/>
      </c>
      <c r="B96" s="215"/>
      <c r="C96" s="230" t="str">
        <f>IF(COUNTIF('PATIENT DATA (072721)'!A:A, B96)=0, "X","✓")</f>
        <v>X</v>
      </c>
      <c r="D96" s="226" t="str">
        <f>IFS($B96=FALSE,"",$B96,VLOOKUP($B96,'PATIENT DATA (072721)'!A:C, 3, 0))</f>
        <v/>
      </c>
      <c r="E96" s="218"/>
      <c r="F96" s="219" t="str">
        <f>ifs($B96="","",$B96, VLOOKUP($B96&amp;$E96, 'VISIT DATA'!A:O,3,0))</f>
        <v/>
      </c>
      <c r="G96" s="231"/>
      <c r="H96" s="221" t="str">
        <f>ifs($B96="","",$B96, VLOOKUP($B96&amp;$E96, 'VISIT DATA'!$A:$O,13,0))</f>
        <v/>
      </c>
      <c r="I96" s="262" t="str">
        <f>VLOOKUP($B96&amp;$E96,'VISIT DATA'!A:J, 9, FALSE)</f>
        <v>#N/A</v>
      </c>
      <c r="J96" s="223" t="str">
        <f>VLOOKUP(B96&amp;E96,'VISIT DATA'!A:N,10,FALSE)</f>
        <v>#N/A</v>
      </c>
      <c r="K96" s="225"/>
      <c r="L96" s="224"/>
      <c r="M96" s="224"/>
      <c r="N96" s="225"/>
      <c r="O96" s="216" t="str">
        <f t="shared" si="1"/>
        <v>X</v>
      </c>
      <c r="P96" s="226" t="str">
        <f t="shared" si="2"/>
        <v>#N/A</v>
      </c>
      <c r="Q96" s="227" t="str">
        <f t="shared" si="3"/>
        <v>#N/A</v>
      </c>
      <c r="R96" s="228" t="str">
        <f t="shared" si="4"/>
        <v>#N/A</v>
      </c>
      <c r="S96" s="220" t="str">
        <f t="shared" si="5"/>
        <v>#N/A</v>
      </c>
      <c r="T96" s="220" t="str">
        <f t="shared" si="6"/>
        <v>#N/A</v>
      </c>
      <c r="U96" s="221">
        <f t="shared" si="7"/>
        <v>0</v>
      </c>
      <c r="V96" s="229" t="str">
        <f>ifs($N96="",VLOOKUP($B96&amp;$E96,'VISIT DATA'!$A$2:$J100,7,FALSE), $N96="SWAB","OUTSA-RW",$N96="SWQU","OUTSA-SaQu", AND($L96="X",$M96="X",$N96="QUEST"),"OUT-UAQPre",$N96="QUEST","OUT-UAQ", $N96="Walk in","ColUATele")</f>
        <v>#N/A</v>
      </c>
      <c r="W96" s="24" t="str">
        <f t="shared" si="8"/>
        <v>#N/A</v>
      </c>
      <c r="X96" s="222" t="str">
        <f t="shared" si="9"/>
        <v/>
      </c>
      <c r="Y96" s="222" t="str">
        <f t="shared" si="10"/>
        <v/>
      </c>
      <c r="Z96" s="224" t="str">
        <f t="shared" si="11"/>
        <v> </v>
      </c>
      <c r="AA96" s="244"/>
    </row>
    <row r="97">
      <c r="A97" s="214" t="str">
        <f>IFS($B97=FALSE,"",$B97,VLOOKUP($B97,'PATIENT DATA (072721)'!A:C, 2, 0))</f>
        <v/>
      </c>
      <c r="B97" s="215"/>
      <c r="C97" s="230" t="str">
        <f>IF(COUNTIF('PATIENT DATA (072721)'!A:A, B97)=0, "X","✓")</f>
        <v>X</v>
      </c>
      <c r="D97" s="226" t="str">
        <f>IFS($B97=FALSE,"",$B97,VLOOKUP($B97,'PATIENT DATA (072721)'!A:C, 3, 0))</f>
        <v/>
      </c>
      <c r="E97" s="218"/>
      <c r="F97" s="219" t="str">
        <f>ifs($B97="","",$B97, VLOOKUP($B97&amp;$E97, 'VISIT DATA'!A:O,3,0))</f>
        <v/>
      </c>
      <c r="G97" s="231"/>
      <c r="H97" s="221" t="str">
        <f>ifs($B97="","",$B97, VLOOKUP($B97&amp;$E97, 'VISIT DATA'!$A:$O,13,0))</f>
        <v/>
      </c>
      <c r="I97" s="262" t="str">
        <f>VLOOKUP($B97&amp;$E97,'VISIT DATA'!A:J, 9, FALSE)</f>
        <v>#N/A</v>
      </c>
      <c r="J97" s="223" t="str">
        <f>VLOOKUP(B97&amp;E97,'VISIT DATA'!A:N,10,FALSE)</f>
        <v>#N/A</v>
      </c>
      <c r="K97" s="225"/>
      <c r="L97" s="224"/>
      <c r="M97" s="224"/>
      <c r="N97" s="225"/>
      <c r="O97" s="216" t="str">
        <f t="shared" si="1"/>
        <v>X</v>
      </c>
      <c r="P97" s="226" t="str">
        <f t="shared" si="2"/>
        <v>#N/A</v>
      </c>
      <c r="Q97" s="227" t="str">
        <f t="shared" si="3"/>
        <v>#N/A</v>
      </c>
      <c r="R97" s="228" t="str">
        <f t="shared" si="4"/>
        <v>#N/A</v>
      </c>
      <c r="S97" s="220" t="str">
        <f t="shared" si="5"/>
        <v>#N/A</v>
      </c>
      <c r="T97" s="220" t="str">
        <f t="shared" si="6"/>
        <v>#N/A</v>
      </c>
      <c r="U97" s="221">
        <f t="shared" si="7"/>
        <v>0</v>
      </c>
      <c r="V97" s="229" t="str">
        <f>ifs($N97="",VLOOKUP($B97&amp;$E97,'VISIT DATA'!$A$2:$J100,7,FALSE), $N97="SWAB","OUTSA-RW",$N97="SWQU","OUTSA-SaQu", AND($L97="X",$M97="X",$N97="QUEST"),"OUT-UAQPre",$N97="QUEST","OUT-UAQ", $N97="Walk in","ColUATele")</f>
        <v>#N/A</v>
      </c>
      <c r="W97" s="24" t="str">
        <f t="shared" si="8"/>
        <v>#N/A</v>
      </c>
      <c r="X97" s="222" t="str">
        <f t="shared" si="9"/>
        <v/>
      </c>
      <c r="Y97" s="222" t="str">
        <f t="shared" si="10"/>
        <v/>
      </c>
      <c r="Z97" s="224" t="str">
        <f t="shared" si="11"/>
        <v> </v>
      </c>
      <c r="AA97" s="244"/>
    </row>
    <row r="98">
      <c r="A98" s="214" t="str">
        <f>IFS($B98=FALSE,"",$B98,VLOOKUP($B98,'PATIENT DATA (072721)'!A:C, 2, 0))</f>
        <v/>
      </c>
      <c r="B98" s="215"/>
      <c r="C98" s="230" t="str">
        <f>IF(COUNTIF('PATIENT DATA (072721)'!A:A, B98)=0, "X","✓")</f>
        <v>X</v>
      </c>
      <c r="D98" s="226" t="str">
        <f>IFS($B98=FALSE,"",$B98,VLOOKUP($B98,'PATIENT DATA (072721)'!A:C, 3, 0))</f>
        <v/>
      </c>
      <c r="E98" s="218"/>
      <c r="F98" s="219" t="str">
        <f>ifs($B98="","",$B98, VLOOKUP($B98&amp;$E98, 'VISIT DATA'!A:O,3,0))</f>
        <v/>
      </c>
      <c r="G98" s="231"/>
      <c r="H98" s="221" t="str">
        <f>ifs($B98="","",$B98, VLOOKUP($B98&amp;$E98, 'VISIT DATA'!$A:$O,13,0))</f>
        <v/>
      </c>
      <c r="I98" s="262" t="str">
        <f>VLOOKUP($B98&amp;$E98,'VISIT DATA'!A:J, 9, FALSE)</f>
        <v>#N/A</v>
      </c>
      <c r="J98" s="223" t="str">
        <f>VLOOKUP(B98&amp;E98,'VISIT DATA'!A:N,10,FALSE)</f>
        <v>#N/A</v>
      </c>
      <c r="K98" s="225"/>
      <c r="L98" s="224"/>
      <c r="M98" s="224"/>
      <c r="N98" s="225"/>
      <c r="O98" s="216" t="str">
        <f t="shared" si="1"/>
        <v>X</v>
      </c>
      <c r="P98" s="226" t="str">
        <f t="shared" si="2"/>
        <v>#N/A</v>
      </c>
      <c r="Q98" s="227" t="str">
        <f t="shared" si="3"/>
        <v>#N/A</v>
      </c>
      <c r="R98" s="228" t="str">
        <f t="shared" si="4"/>
        <v>#N/A</v>
      </c>
      <c r="S98" s="220" t="str">
        <f t="shared" si="5"/>
        <v>#N/A</v>
      </c>
      <c r="T98" s="220" t="str">
        <f t="shared" si="6"/>
        <v>#N/A</v>
      </c>
      <c r="U98" s="221">
        <f t="shared" si="7"/>
        <v>0</v>
      </c>
      <c r="V98" s="229" t="str">
        <f>ifs($N98="",VLOOKUP($B98&amp;$E98,'VISIT DATA'!$A$2:$J100,7,FALSE), $N98="SWAB","OUTSA-RW",$N98="SWQU","OUTSA-SaQu", AND($L98="X",$M98="X",$N98="QUEST"),"OUT-UAQPre",$N98="QUEST","OUT-UAQ", $N98="Walk in","ColUATele")</f>
        <v>#N/A</v>
      </c>
      <c r="W98" s="24" t="str">
        <f t="shared" si="8"/>
        <v>#N/A</v>
      </c>
      <c r="X98" s="222" t="str">
        <f t="shared" si="9"/>
        <v/>
      </c>
      <c r="Y98" s="222" t="str">
        <f t="shared" si="10"/>
        <v/>
      </c>
      <c r="Z98" s="224" t="str">
        <f t="shared" si="11"/>
        <v> </v>
      </c>
      <c r="AA98" s="244"/>
    </row>
    <row r="99">
      <c r="A99" s="214" t="str">
        <f>IFS($B99=FALSE,"",$B99,VLOOKUP($B99,'PATIENT DATA (072721)'!A:C, 2, 0))</f>
        <v/>
      </c>
      <c r="B99" s="215"/>
      <c r="C99" s="230" t="str">
        <f>IF(COUNTIF('PATIENT DATA (072721)'!A:A, B99)=0, "X","✓")</f>
        <v>X</v>
      </c>
      <c r="D99" s="226" t="str">
        <f>IFS($B99=FALSE,"",$B99,VLOOKUP($B99,'PATIENT DATA (072721)'!A:C, 3, 0))</f>
        <v/>
      </c>
      <c r="E99" s="218"/>
      <c r="F99" s="219" t="str">
        <f>ifs($B99="","",$B99, VLOOKUP($B99&amp;$E99, 'VISIT DATA'!A:O,3,0))</f>
        <v/>
      </c>
      <c r="G99" s="231"/>
      <c r="H99" s="221" t="str">
        <f>ifs($B99="","",$B99, VLOOKUP($B99&amp;$E99, 'VISIT DATA'!$A:$O,13,0))</f>
        <v/>
      </c>
      <c r="I99" s="262" t="str">
        <f>VLOOKUP($B99&amp;$E99,'VISIT DATA'!A:J, 9, FALSE)</f>
        <v>#N/A</v>
      </c>
      <c r="J99" s="223" t="str">
        <f>VLOOKUP(B99&amp;E99,'VISIT DATA'!A:N,10,FALSE)</f>
        <v>#N/A</v>
      </c>
      <c r="K99" s="225"/>
      <c r="L99" s="224"/>
      <c r="M99" s="224"/>
      <c r="N99" s="225"/>
      <c r="O99" s="216" t="str">
        <f t="shared" si="1"/>
        <v>X</v>
      </c>
      <c r="P99" s="226" t="str">
        <f t="shared" si="2"/>
        <v>#N/A</v>
      </c>
      <c r="Q99" s="227" t="str">
        <f t="shared" si="3"/>
        <v>#N/A</v>
      </c>
      <c r="R99" s="228" t="str">
        <f t="shared" si="4"/>
        <v>#N/A</v>
      </c>
      <c r="S99" s="220" t="str">
        <f t="shared" si="5"/>
        <v>#N/A</v>
      </c>
      <c r="T99" s="220" t="str">
        <f t="shared" si="6"/>
        <v>#N/A</v>
      </c>
      <c r="U99" s="221">
        <f t="shared" si="7"/>
        <v>0</v>
      </c>
      <c r="V99" s="229" t="str">
        <f>ifs($N99="",VLOOKUP($B99&amp;$E99,'VISIT DATA'!$A$2:$J100,7,FALSE), $N99="SWAB","OUTSA-RW",$N99="SWQU","OUTSA-SaQu", AND($L99="X",$M99="X",$N99="QUEST"),"OUT-UAQPre",$N99="QUEST","OUT-UAQ", $N99="Walk in","ColUATele")</f>
        <v>#N/A</v>
      </c>
      <c r="W99" s="24" t="str">
        <f t="shared" si="8"/>
        <v>#N/A</v>
      </c>
      <c r="X99" s="222" t="str">
        <f t="shared" si="9"/>
        <v/>
      </c>
      <c r="Y99" s="222" t="str">
        <f t="shared" si="10"/>
        <v/>
      </c>
      <c r="Z99" s="224" t="str">
        <f t="shared" si="11"/>
        <v> </v>
      </c>
      <c r="AA99" s="244"/>
    </row>
    <row r="100">
      <c r="A100" s="232"/>
      <c r="B100" s="232"/>
      <c r="C100" s="232"/>
      <c r="D100" s="232"/>
      <c r="E100" s="263"/>
      <c r="F100" s="234"/>
      <c r="G100" s="232"/>
      <c r="H100" s="235"/>
      <c r="I100" s="232"/>
      <c r="J100" s="232"/>
      <c r="K100" s="236" t="s">
        <v>6333</v>
      </c>
      <c r="L100" s="237">
        <f>COUNTIFS(K1:L80, "X")</f>
        <v>0</v>
      </c>
      <c r="M100" s="236" t="s">
        <v>6334</v>
      </c>
      <c r="N100" s="237">
        <f>COUNTIFS(M1:M80, "X")</f>
        <v>0</v>
      </c>
      <c r="O100" s="238"/>
      <c r="P100" s="238"/>
      <c r="Q100" s="238"/>
      <c r="R100" s="238"/>
      <c r="S100" s="238"/>
      <c r="T100" s="238"/>
      <c r="U100" s="238"/>
      <c r="V100" s="239"/>
      <c r="W100" s="238"/>
      <c r="X100" s="238"/>
      <c r="Y100" s="238"/>
      <c r="Z100" s="238"/>
      <c r="AA100" s="238"/>
    </row>
  </sheetData>
  <customSheetViews>
    <customSheetView guid="{20F5F3BA-172D-4727-943D-E296FD1F3EFA}" filter="1" showAutoFilter="1">
      <autoFilter ref="$A$1:$AA$100"/>
    </customSheetView>
  </customSheetViews>
  <conditionalFormatting sqref="A1:X100">
    <cfRule type="expression" dxfId="5" priority="1">
      <formula>$X1="ERROR"</formula>
    </cfRule>
  </conditionalFormatting>
  <conditionalFormatting sqref="A1:Z99">
    <cfRule type="expression" dxfId="5" priority="2">
      <formula>$Y1="NO MATCH"</formula>
    </cfRule>
  </conditionalFormatting>
  <conditionalFormatting sqref="C2:C99 O2:O99">
    <cfRule type="containsText" dxfId="5" priority="3" operator="containsText" text="X">
      <formula>NOT(ISERROR(SEARCH(("X"),(C2))))</formula>
    </cfRule>
  </conditionalFormatting>
  <conditionalFormatting sqref="A1:Z99">
    <cfRule type="expression" dxfId="4" priority="4">
      <formula>$Z1="Repeat"</formula>
    </cfRule>
  </conditionalFormatting>
  <conditionalFormatting sqref="V2:V99">
    <cfRule type="expression" dxfId="10" priority="5">
      <formula>$N2="QUEST"</formula>
    </cfRule>
  </conditionalFormatting>
  <conditionalFormatting sqref="C2:C99 O2:O99">
    <cfRule type="containsText" dxfId="10" priority="6" operator="containsText" text="✓">
      <formula>NOT(ISERROR(SEARCH(("✓"),(C2))))</formula>
    </cfRule>
  </conditionalFormatting>
  <conditionalFormatting sqref="A1:U99">
    <cfRule type="expression" dxfId="20" priority="7">
      <formula>$J1="MOLINA DUAL COMPLETE NEW MEXICO"</formula>
    </cfRule>
  </conditionalFormatting>
  <conditionalFormatting sqref="A1:U99">
    <cfRule type="expression" dxfId="20" priority="8">
      <formula>$J1="MOLINA DUAL COMPLETE TEXAS"</formula>
    </cfRule>
  </conditionalFormatting>
  <conditionalFormatting sqref="A1:U99">
    <cfRule type="expression" dxfId="20" priority="9">
      <formula>$J1="MOLINA MARKETPLACE TEXAS"</formula>
    </cfRule>
  </conditionalFormatting>
  <conditionalFormatting sqref="K1:K99">
    <cfRule type="containsText" dxfId="6" priority="10" operator="containsText" text="x">
      <formula>NOT(ISERROR(SEARCH(("x"),(K1))))</formula>
    </cfRule>
  </conditionalFormatting>
  <conditionalFormatting sqref="M1:M99">
    <cfRule type="containsText" dxfId="21" priority="11" operator="containsText" text="X">
      <formula>NOT(ISERROR(SEARCH(("X"),(M1))))</formula>
    </cfRule>
  </conditionalFormatting>
  <conditionalFormatting sqref="L1:L99">
    <cfRule type="containsText" dxfId="22" priority="12" operator="containsText" text="X">
      <formula>NOT(ISERROR(SEARCH(("X"),(L1))))</formula>
    </cfRule>
  </conditionalFormatting>
  <conditionalFormatting sqref="C1:C99 O1:O99">
    <cfRule type="containsBlanks" dxfId="23" priority="13">
      <formula>LEN(TRIM(C1))=0</formula>
    </cfRule>
  </conditionalFormatting>
  <conditionalFormatting sqref="J1:J99 N1:O1 Z1">
    <cfRule type="containsText" dxfId="24" priority="14" operator="containsText" text="Molina">
      <formula>NOT(ISERROR(SEARCH(("Molina"),(J1))))</formula>
    </cfRule>
  </conditionalFormatting>
  <conditionalFormatting sqref="K1:M99">
    <cfRule type="containsBlanks" dxfId="25" priority="15">
      <formula>LEN(TRIM(K1))=0</formula>
    </cfRule>
  </conditionalFormatting>
  <conditionalFormatting sqref="O1:O99 A2:N99 P2:Z99">
    <cfRule type="expression" dxfId="10" priority="16">
      <formula>$N1="SWAB"</formula>
    </cfRule>
  </conditionalFormatting>
  <conditionalFormatting sqref="J1:J99">
    <cfRule type="containsText" dxfId="5" priority="17" operator="containsText" text="Self Pay">
      <formula>NOT(ISERROR(SEARCH(("Self Pay"),(J1))))</formula>
    </cfRule>
  </conditionalFormatting>
  <conditionalFormatting sqref="J1:J99">
    <cfRule type="containsText" dxfId="5" priority="18" operator="containsText" text="Self-Pay">
      <formula>NOT(ISERROR(SEARCH(("Self-Pay"),(J1))))</formula>
    </cfRule>
  </conditionalFormatting>
  <conditionalFormatting sqref="J1:J99">
    <cfRule type="containsText" dxfId="5" priority="19" operator="containsText" text="Third Party">
      <formula>NOT(ISERROR(SEARCH(("Third Party"),(J1))))</formula>
    </cfRule>
  </conditionalFormatting>
  <conditionalFormatting sqref="A1:U99">
    <cfRule type="expression" dxfId="26" priority="20">
      <formula>$J1="SUPERIOR HEALTH PLAN"</formula>
    </cfRule>
  </conditionalFormatting>
  <conditionalFormatting sqref="A1:U99">
    <cfRule type="expression" dxfId="26" priority="21">
      <formula>$J1="AMBETTER - SUPERIOR"</formula>
    </cfRule>
  </conditionalFormatting>
  <conditionalFormatting sqref="A1:U99">
    <cfRule type="expression" dxfId="19" priority="22">
      <formula>$J1="Wellmed - Humana"</formula>
    </cfRule>
  </conditionalFormatting>
  <conditionalFormatting sqref="A1:U99">
    <cfRule type="expression" dxfId="19" priority="23">
      <formula>$J1="WELLMED - AARP MEDICARE COMPLETE"</formula>
    </cfRule>
  </conditionalFormatting>
  <conditionalFormatting sqref="A1:U99">
    <cfRule type="expression" dxfId="19" priority="24">
      <formula>$J1="WELLMED - AMERIVANTAGE"</formula>
    </cfRule>
  </conditionalFormatting>
  <conditionalFormatting sqref="A1:U99">
    <cfRule type="expression" dxfId="19" priority="25">
      <formula>$J1="WELLMED - CIGNA HEALTHSPRING"</formula>
    </cfRule>
  </conditionalFormatting>
  <conditionalFormatting sqref="A1:U99">
    <cfRule type="expression" dxfId="19" priority="26">
      <formula>$J1="WELLMED - UHC CHRONIC COMPLETE HMO C-SNP"</formula>
    </cfRule>
  </conditionalFormatting>
  <conditionalFormatting sqref="A1:U99">
    <cfRule type="expression" dxfId="19" priority="27">
      <formula>$J1="WELLMED - UHC DUAL COMPLETE HMO SNP"</formula>
    </cfRule>
  </conditionalFormatting>
  <conditionalFormatting sqref="A1:U99">
    <cfRule type="expression" dxfId="19" priority="28">
      <formula>$J1="WELLMED - UHC DUAL COMPLETE SNP"</formula>
    </cfRule>
  </conditionalFormatting>
  <conditionalFormatting sqref="A1:U99">
    <cfRule type="expression" dxfId="20" priority="29">
      <formula>$J1="MOLINA DUAL COMPLETE NEW MEXICO"</formula>
    </cfRule>
  </conditionalFormatting>
  <conditionalFormatting sqref="A1:U99">
    <cfRule type="expression" dxfId="20" priority="30">
      <formula>$J1="MOLINA DUAL COMPLETE TEXAS"</formula>
    </cfRule>
  </conditionalFormatting>
  <conditionalFormatting sqref="A1:U99">
    <cfRule type="expression" dxfId="20" priority="31">
      <formula>$J1="MOLINA MARKETPLACE TEXAS"</formula>
    </cfRule>
  </conditionalFormatting>
  <conditionalFormatting sqref="A1:U99">
    <cfRule type="expression" dxfId="20" priority="32">
      <formula>$J1="MOLINA MEDICAID TEXAS"</formula>
    </cfRule>
  </conditionalFormatting>
  <conditionalFormatting sqref="A1:U99">
    <cfRule type="expression" dxfId="27" priority="33">
      <formula>$J1="HUMANA OPEN ACCESS PLAN"</formula>
    </cfRule>
  </conditionalFormatting>
  <conditionalFormatting sqref="A1:U99">
    <cfRule type="expression" dxfId="28" priority="34">
      <formula>$J1="HUMANA CHOICE CARE"</formula>
    </cfRule>
  </conditionalFormatting>
  <conditionalFormatting sqref="V1:W99">
    <cfRule type="expression" dxfId="11" priority="35">
      <formula>$V1="UA"</formula>
    </cfRule>
  </conditionalFormatting>
  <conditionalFormatting sqref="V1:W99">
    <cfRule type="expression" dxfId="12" priority="36">
      <formula>$V1="OUTUA-PrRW"</formula>
    </cfRule>
  </conditionalFormatting>
  <conditionalFormatting sqref="V1:W99">
    <cfRule type="expression" dxfId="12" priority="37">
      <formula>$V1="OUT-UAQPre"</formula>
    </cfRule>
  </conditionalFormatting>
  <conditionalFormatting sqref="V1:W99">
    <cfRule type="expression" dxfId="13" priority="38">
      <formula>$V1="UA-Prelim"</formula>
    </cfRule>
  </conditionalFormatting>
  <conditionalFormatting sqref="V1:W99">
    <cfRule type="expression" dxfId="6" priority="39">
      <formula>$V1="UA-NWPT"</formula>
    </cfRule>
  </conditionalFormatting>
  <conditionalFormatting sqref="N1:N100 O1:O99">
    <cfRule type="expression" dxfId="5" priority="40">
      <formula>$O1="X"</formula>
    </cfRule>
  </conditionalFormatting>
  <conditionalFormatting sqref="V1:W99">
    <cfRule type="expression" dxfId="10" priority="41">
      <formula>$V1="OUT-UAQ"</formula>
    </cfRule>
  </conditionalFormatting>
  <conditionalFormatting sqref="V1:W99">
    <cfRule type="expression" dxfId="10" priority="42">
      <formula>$V1="OUTUA-FURW"</formula>
    </cfRule>
  </conditionalFormatting>
  <conditionalFormatting sqref="V1:W99">
    <cfRule type="expression" dxfId="14" priority="43">
      <formula>$V1="OUTSA-SaQu"</formula>
    </cfRule>
  </conditionalFormatting>
  <conditionalFormatting sqref="V1:W99">
    <cfRule type="expression" dxfId="14" priority="44">
      <formula>$V1="OUTSA-RW"</formula>
    </cfRule>
  </conditionalFormatting>
  <dataValidations>
    <dataValidation type="list" allowBlank="1" showErrorMessage="1" sqref="H2:H99">
      <formula1>"CH,DA,DC,DM,FA,LM"</formula1>
    </dataValidation>
    <dataValidation type="list" allowBlank="1" showErrorMessage="1" sqref="J2:J99">
      <formula1>Data!$A$2:$A100</formula1>
    </dataValidation>
    <dataValidation type="custom" allowBlank="1" showDropDown="1" showInputMessage="1" showErrorMessage="1" prompt="CAPITALS" sqref="A1:A99">
      <formula1>ISERROR(SEARCH((exact(upper(B:N),B:N)),(A1)))</formula1>
    </dataValidation>
    <dataValidation type="list" allowBlank="1" showErrorMessage="1" sqref="F2:F99">
      <formula1>Data!$B$1:$B$44</formula1>
    </dataValidation>
    <dataValidation type="custom" allowBlank="1" showDropDown="1" showInputMessage="1" showErrorMessage="1" prompt="CAPITALS" sqref="B1:B99">
      <formula1>ISERROR(SEARCH((exact(upper(B:O),B:O)),(B1)))</formula1>
    </dataValidation>
    <dataValidation type="list" allowBlank="1" showErrorMessage="1" sqref="G2:G99">
      <formula1>"F,M"</formula1>
    </dataValidation>
    <dataValidation type="list" allowBlank="1" showErrorMessage="1" sqref="K2:M99">
      <formula1>"X"</formula1>
    </dataValidation>
    <dataValidation type="list" allowBlank="1" showInputMessage="1" showErrorMessage="1" prompt="Click and enter a value from range 'Insurance Data'!C2:C608" sqref="E2:E99">
      <formula1>Data!$C:$C</formula1>
    </dataValidation>
    <dataValidation type="list" allowBlank="1" showErrorMessage="1" sqref="I2:I99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1.57"/>
    <col customWidth="1" min="3" max="3" width="9.29"/>
    <col customWidth="1" min="4" max="4" width="9.71"/>
    <col customWidth="1" min="5" max="5" width="10.71"/>
    <col customWidth="1" min="6" max="6" width="11.29"/>
    <col customWidth="1" min="7" max="7" width="7.43"/>
    <col customWidth="1" min="8" max="8" width="11.14"/>
    <col customWidth="1" min="9" max="9" width="13.0"/>
    <col customWidth="1" min="10" max="10" width="46.43"/>
    <col customWidth="1" min="11" max="11" width="10.71"/>
    <col customWidth="1" min="12" max="12" width="9.43"/>
    <col customWidth="1" min="13" max="13" width="10.43"/>
    <col customWidth="1" min="14" max="14" width="9.86"/>
    <col customWidth="1" min="15" max="15" width="17.71"/>
  </cols>
  <sheetData>
    <row r="1">
      <c r="A1" s="264"/>
      <c r="B1" s="265" t="s">
        <v>24</v>
      </c>
      <c r="C1" s="265" t="s">
        <v>6237</v>
      </c>
      <c r="D1" s="265" t="s">
        <v>25</v>
      </c>
      <c r="E1" s="265" t="s">
        <v>21</v>
      </c>
      <c r="F1" s="265" t="s">
        <v>6077</v>
      </c>
      <c r="G1" s="265" t="s">
        <v>6318</v>
      </c>
      <c r="H1" s="265" t="s">
        <v>2</v>
      </c>
      <c r="I1" s="265" t="s">
        <v>6206</v>
      </c>
      <c r="J1" s="265" t="s">
        <v>6135</v>
      </c>
      <c r="K1" s="265" t="s">
        <v>6238</v>
      </c>
      <c r="L1" s="265" t="s">
        <v>6239</v>
      </c>
      <c r="M1" s="265" t="s">
        <v>6240</v>
      </c>
      <c r="N1" s="265" t="s">
        <v>7</v>
      </c>
      <c r="O1" s="265" t="s">
        <v>6320</v>
      </c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</row>
    <row r="2">
      <c r="A2" s="264"/>
      <c r="B2" s="265" t="s">
        <v>1522</v>
      </c>
      <c r="C2" s="265">
        <v>12538.0</v>
      </c>
      <c r="D2" s="266">
        <v>18832.0</v>
      </c>
      <c r="E2" s="266">
        <v>44564.0</v>
      </c>
      <c r="F2" s="267">
        <v>0.3333333333333333</v>
      </c>
      <c r="G2" s="265" t="s">
        <v>6328</v>
      </c>
      <c r="H2" s="265" t="s">
        <v>12</v>
      </c>
      <c r="I2" s="265" t="s">
        <v>6212</v>
      </c>
      <c r="J2" s="265" t="s">
        <v>6199</v>
      </c>
      <c r="K2" s="265"/>
      <c r="L2" s="265" t="s">
        <v>6242</v>
      </c>
      <c r="M2" s="265"/>
      <c r="N2" s="264"/>
      <c r="O2" s="265" t="s">
        <v>5</v>
      </c>
      <c r="P2" s="264"/>
      <c r="Q2" s="264"/>
      <c r="R2" s="264"/>
      <c r="S2" s="264"/>
      <c r="T2" s="264"/>
      <c r="U2" s="264"/>
      <c r="V2" s="264"/>
      <c r="W2" s="264"/>
      <c r="X2" s="264"/>
      <c r="Y2" s="264"/>
      <c r="Z2" s="264"/>
    </row>
    <row r="3">
      <c r="A3" s="264"/>
      <c r="B3" s="265" t="s">
        <v>3956</v>
      </c>
      <c r="C3" s="265">
        <v>15575.0</v>
      </c>
      <c r="D3" s="266">
        <v>25072.0</v>
      </c>
      <c r="E3" s="266">
        <v>44564.0</v>
      </c>
      <c r="F3" s="267">
        <v>0.3541666666666667</v>
      </c>
      <c r="G3" s="265" t="s">
        <v>6323</v>
      </c>
      <c r="H3" s="265" t="s">
        <v>12</v>
      </c>
      <c r="I3" s="265" t="s">
        <v>6212</v>
      </c>
      <c r="J3" s="265" t="s">
        <v>6082</v>
      </c>
      <c r="K3" s="265"/>
      <c r="L3" s="265" t="s">
        <v>6242</v>
      </c>
      <c r="M3" s="265"/>
      <c r="N3" s="264"/>
      <c r="O3" s="265" t="s">
        <v>5</v>
      </c>
      <c r="P3" s="264"/>
      <c r="Q3" s="264"/>
      <c r="R3" s="264"/>
      <c r="S3" s="264"/>
      <c r="T3" s="264"/>
      <c r="U3" s="264"/>
      <c r="V3" s="264"/>
      <c r="W3" s="264"/>
      <c r="X3" s="264"/>
      <c r="Y3" s="264"/>
      <c r="Z3" s="264"/>
    </row>
    <row r="4">
      <c r="A4" s="264"/>
      <c r="B4" s="265" t="s">
        <v>3140</v>
      </c>
      <c r="C4" s="265">
        <v>14600.0</v>
      </c>
      <c r="D4" s="266">
        <v>18872.0</v>
      </c>
      <c r="E4" s="266">
        <v>44564.0</v>
      </c>
      <c r="F4" s="267">
        <v>0.3333333333333333</v>
      </c>
      <c r="G4" s="265" t="s">
        <v>6323</v>
      </c>
      <c r="H4" s="265" t="s">
        <v>14</v>
      </c>
      <c r="I4" s="265" t="s">
        <v>6219</v>
      </c>
      <c r="J4" s="265" t="s">
        <v>6137</v>
      </c>
      <c r="K4" s="265"/>
      <c r="L4" s="265" t="s">
        <v>6242</v>
      </c>
      <c r="M4" s="265"/>
      <c r="N4" s="264"/>
      <c r="O4" s="265" t="s">
        <v>5</v>
      </c>
      <c r="P4" s="264"/>
      <c r="Q4" s="264"/>
      <c r="R4" s="264"/>
      <c r="S4" s="264"/>
      <c r="T4" s="264"/>
      <c r="U4" s="264"/>
      <c r="V4" s="264"/>
      <c r="W4" s="264"/>
      <c r="X4" s="264"/>
      <c r="Y4" s="264"/>
      <c r="Z4" s="264"/>
    </row>
    <row r="5">
      <c r="A5" s="264"/>
      <c r="B5" s="265" t="s">
        <v>4167</v>
      </c>
      <c r="C5" s="265">
        <v>15807.0</v>
      </c>
      <c r="D5" s="266">
        <v>22632.0</v>
      </c>
      <c r="E5" s="266">
        <v>44564.0</v>
      </c>
      <c r="F5" s="267">
        <v>0.3541666666666667</v>
      </c>
      <c r="G5" s="265" t="s">
        <v>6328</v>
      </c>
      <c r="H5" s="265" t="s">
        <v>14</v>
      </c>
      <c r="I5" s="265" t="s">
        <v>6219</v>
      </c>
      <c r="J5" s="265" t="s">
        <v>6186</v>
      </c>
      <c r="K5" s="265"/>
      <c r="L5" s="265" t="s">
        <v>6242</v>
      </c>
      <c r="M5" s="265"/>
      <c r="N5" s="264"/>
      <c r="O5" s="265" t="s">
        <v>5</v>
      </c>
      <c r="P5" s="264"/>
      <c r="Q5" s="264"/>
      <c r="R5" s="264"/>
      <c r="S5" s="264"/>
      <c r="T5" s="264"/>
      <c r="U5" s="264"/>
      <c r="V5" s="264"/>
      <c r="W5" s="264"/>
      <c r="X5" s="264"/>
      <c r="Y5" s="264"/>
      <c r="Z5" s="264"/>
    </row>
    <row r="6" hidden="1">
      <c r="A6" s="264"/>
      <c r="B6" s="265" t="s">
        <v>1051</v>
      </c>
      <c r="C6" s="265">
        <v>11670.0</v>
      </c>
      <c r="D6" s="266">
        <v>20486.0</v>
      </c>
      <c r="E6" s="266">
        <v>44564.0</v>
      </c>
      <c r="F6" s="267">
        <v>0.3645833333333333</v>
      </c>
      <c r="G6" s="265" t="s">
        <v>6323</v>
      </c>
      <c r="H6" s="265" t="s">
        <v>14</v>
      </c>
      <c r="I6" s="265" t="s">
        <v>6222</v>
      </c>
      <c r="J6" s="265" t="s">
        <v>6196</v>
      </c>
      <c r="K6" s="265"/>
      <c r="L6" s="265" t="s">
        <v>6242</v>
      </c>
      <c r="M6" s="265"/>
      <c r="N6" s="264"/>
      <c r="O6" s="265" t="s">
        <v>6216</v>
      </c>
      <c r="P6" s="264"/>
      <c r="Q6" s="264"/>
      <c r="R6" s="264"/>
      <c r="S6" s="264"/>
      <c r="T6" s="264"/>
      <c r="U6" s="264"/>
      <c r="V6" s="264"/>
      <c r="W6" s="264"/>
      <c r="X6" s="264"/>
      <c r="Y6" s="264"/>
      <c r="Z6" s="264"/>
    </row>
    <row r="7">
      <c r="A7" s="264"/>
      <c r="B7" s="265" t="s">
        <v>4967</v>
      </c>
      <c r="C7" s="265">
        <v>16796.0</v>
      </c>
      <c r="D7" s="266">
        <v>12606.0</v>
      </c>
      <c r="E7" s="266">
        <v>44564.0</v>
      </c>
      <c r="F7" s="267">
        <v>0.375</v>
      </c>
      <c r="G7" s="265" t="s">
        <v>6323</v>
      </c>
      <c r="H7" s="265" t="s">
        <v>13</v>
      </c>
      <c r="I7" s="265" t="s">
        <v>6221</v>
      </c>
      <c r="J7" s="265" t="s">
        <v>6137</v>
      </c>
      <c r="K7" s="265"/>
      <c r="L7" s="265" t="s">
        <v>6242</v>
      </c>
      <c r="M7" s="265"/>
      <c r="N7" s="264"/>
      <c r="O7" s="265" t="s">
        <v>5</v>
      </c>
      <c r="P7" s="264"/>
      <c r="Q7" s="264"/>
      <c r="R7" s="264"/>
      <c r="S7" s="264"/>
      <c r="T7" s="264"/>
      <c r="U7" s="264"/>
      <c r="V7" s="264"/>
      <c r="W7" s="264"/>
      <c r="X7" s="264"/>
      <c r="Y7" s="264"/>
      <c r="Z7" s="264"/>
    </row>
    <row r="8" hidden="1">
      <c r="A8" s="264"/>
      <c r="B8" s="265" t="s">
        <v>178</v>
      </c>
      <c r="C8" s="265">
        <v>9473.0</v>
      </c>
      <c r="D8" s="266">
        <v>17984.0</v>
      </c>
      <c r="E8" s="266">
        <v>44564.0</v>
      </c>
      <c r="F8" s="267">
        <v>0.3645833333333333</v>
      </c>
      <c r="G8" s="265" t="s">
        <v>6328</v>
      </c>
      <c r="H8" s="265" t="s">
        <v>14</v>
      </c>
      <c r="I8" s="265" t="s">
        <v>6219</v>
      </c>
      <c r="J8" s="265" t="s">
        <v>6196</v>
      </c>
      <c r="K8" s="265"/>
      <c r="L8" s="265" t="s">
        <v>6242</v>
      </c>
      <c r="M8" s="265"/>
      <c r="N8" s="264"/>
      <c r="O8" s="265" t="s">
        <v>6216</v>
      </c>
      <c r="P8" s="264"/>
      <c r="Q8" s="264"/>
      <c r="R8" s="264"/>
      <c r="S8" s="264"/>
      <c r="T8" s="264"/>
      <c r="U8" s="264"/>
      <c r="V8" s="264"/>
      <c r="W8" s="264"/>
      <c r="X8" s="264"/>
      <c r="Y8" s="264"/>
      <c r="Z8" s="264"/>
    </row>
    <row r="9" hidden="1">
      <c r="A9" s="264"/>
      <c r="B9" s="265" t="s">
        <v>3638</v>
      </c>
      <c r="C9" s="265">
        <v>15198.0</v>
      </c>
      <c r="D9" s="266">
        <v>21482.0</v>
      </c>
      <c r="E9" s="266">
        <v>44564.0</v>
      </c>
      <c r="F9" s="267">
        <v>0.375</v>
      </c>
      <c r="G9" s="265" t="s">
        <v>6323</v>
      </c>
      <c r="H9" s="265" t="s">
        <v>14</v>
      </c>
      <c r="I9" s="265" t="s">
        <v>6222</v>
      </c>
      <c r="J9" s="265" t="s">
        <v>6192</v>
      </c>
      <c r="K9" s="265"/>
      <c r="L9" s="265" t="s">
        <v>6242</v>
      </c>
      <c r="M9" s="265" t="s">
        <v>6242</v>
      </c>
      <c r="N9" s="264"/>
      <c r="O9" s="265" t="s">
        <v>6220</v>
      </c>
      <c r="P9" s="264"/>
      <c r="Q9" s="264"/>
      <c r="R9" s="264"/>
      <c r="S9" s="264"/>
      <c r="T9" s="264"/>
      <c r="U9" s="264"/>
      <c r="V9" s="264"/>
      <c r="W9" s="264"/>
      <c r="X9" s="264"/>
      <c r="Y9" s="264"/>
      <c r="Z9" s="264"/>
    </row>
    <row r="10">
      <c r="A10" s="264"/>
      <c r="B10" s="265" t="s">
        <v>5364</v>
      </c>
      <c r="C10" s="265">
        <v>17294.0</v>
      </c>
      <c r="D10" s="266">
        <v>28685.0</v>
      </c>
      <c r="E10" s="266">
        <v>44564.0</v>
      </c>
      <c r="F10" s="267">
        <v>0.3645833333333333</v>
      </c>
      <c r="G10" s="265" t="s">
        <v>6328</v>
      </c>
      <c r="H10" s="265" t="s">
        <v>13</v>
      </c>
      <c r="I10" s="265" t="s">
        <v>6212</v>
      </c>
      <c r="J10" s="265" t="s">
        <v>6082</v>
      </c>
      <c r="K10" s="265" t="s">
        <v>6242</v>
      </c>
      <c r="L10" s="265"/>
      <c r="M10" s="265"/>
      <c r="N10" s="264"/>
      <c r="O10" s="265" t="s">
        <v>6213</v>
      </c>
      <c r="P10" s="264"/>
      <c r="Q10" s="264"/>
      <c r="R10" s="264"/>
      <c r="S10" s="264"/>
      <c r="T10" s="264"/>
      <c r="U10" s="264"/>
      <c r="V10" s="264"/>
      <c r="W10" s="264"/>
      <c r="X10" s="264"/>
      <c r="Y10" s="264"/>
      <c r="Z10" s="264"/>
    </row>
    <row r="11">
      <c r="A11" s="264"/>
      <c r="B11" s="265" t="s">
        <v>325</v>
      </c>
      <c r="C11" s="265">
        <v>9861.0</v>
      </c>
      <c r="D11" s="266">
        <v>22756.0</v>
      </c>
      <c r="E11" s="266">
        <v>44564.0</v>
      </c>
      <c r="F11" s="267">
        <v>0.375</v>
      </c>
      <c r="G11" s="265" t="s">
        <v>6323</v>
      </c>
      <c r="H11" s="265" t="s">
        <v>14</v>
      </c>
      <c r="I11" s="265" t="s">
        <v>6219</v>
      </c>
      <c r="J11" s="265" t="s">
        <v>6082</v>
      </c>
      <c r="K11" s="265"/>
      <c r="L11" s="265" t="s">
        <v>6242</v>
      </c>
      <c r="M11" s="265"/>
      <c r="N11" s="264"/>
      <c r="O11" s="265" t="s">
        <v>5</v>
      </c>
      <c r="P11" s="264"/>
      <c r="Q11" s="264"/>
      <c r="R11" s="264"/>
      <c r="S11" s="264"/>
      <c r="T11" s="264"/>
      <c r="U11" s="264"/>
      <c r="V11" s="264"/>
      <c r="W11" s="264"/>
      <c r="X11" s="264"/>
      <c r="Y11" s="264"/>
      <c r="Z11" s="264"/>
    </row>
    <row r="12">
      <c r="A12" s="264"/>
      <c r="B12" s="265" t="s">
        <v>5928</v>
      </c>
      <c r="C12" s="265">
        <v>17733.0</v>
      </c>
      <c r="D12" s="266">
        <v>22321.0</v>
      </c>
      <c r="E12" s="266">
        <v>44564.0</v>
      </c>
      <c r="F12" s="267">
        <v>0.34375</v>
      </c>
      <c r="G12" s="265" t="s">
        <v>6328</v>
      </c>
      <c r="H12" s="265" t="s">
        <v>13</v>
      </c>
      <c r="I12" s="265" t="s">
        <v>6212</v>
      </c>
      <c r="J12" s="265" t="s">
        <v>6202</v>
      </c>
      <c r="K12" s="265" t="s">
        <v>6242</v>
      </c>
      <c r="L12" s="265"/>
      <c r="M12" s="265"/>
      <c r="N12" s="264"/>
      <c r="O12" s="265" t="s">
        <v>6213</v>
      </c>
      <c r="P12" s="264"/>
      <c r="Q12" s="264"/>
      <c r="R12" s="264"/>
      <c r="S12" s="264"/>
      <c r="T12" s="264"/>
      <c r="U12" s="264"/>
      <c r="V12" s="264"/>
      <c r="W12" s="264"/>
      <c r="X12" s="264"/>
      <c r="Y12" s="264"/>
      <c r="Z12" s="264"/>
    </row>
    <row r="13">
      <c r="A13" s="264"/>
      <c r="B13" s="265" t="s">
        <v>4382</v>
      </c>
      <c r="C13" s="265">
        <v>16051.0</v>
      </c>
      <c r="D13" s="266">
        <v>24194.0</v>
      </c>
      <c r="E13" s="266">
        <v>44564.0</v>
      </c>
      <c r="F13" s="267">
        <v>0.3958333333333333</v>
      </c>
      <c r="G13" s="265" t="s">
        <v>6328</v>
      </c>
      <c r="H13" s="265" t="s">
        <v>14</v>
      </c>
      <c r="I13" s="265" t="s">
        <v>6219</v>
      </c>
      <c r="J13" s="265" t="s">
        <v>6199</v>
      </c>
      <c r="K13" s="265"/>
      <c r="L13" s="265" t="s">
        <v>6242</v>
      </c>
      <c r="M13" s="265" t="s">
        <v>6242</v>
      </c>
      <c r="N13" s="264"/>
      <c r="O13" s="265" t="s">
        <v>6215</v>
      </c>
      <c r="P13" s="264"/>
      <c r="Q13" s="264"/>
      <c r="R13" s="264"/>
      <c r="S13" s="264"/>
      <c r="T13" s="264"/>
      <c r="U13" s="264"/>
      <c r="V13" s="264"/>
      <c r="W13" s="264"/>
      <c r="X13" s="264"/>
      <c r="Y13" s="264"/>
      <c r="Z13" s="264"/>
    </row>
    <row r="14">
      <c r="A14" s="264"/>
      <c r="B14" s="265" t="s">
        <v>4070</v>
      </c>
      <c r="C14" s="265">
        <v>15702.0</v>
      </c>
      <c r="D14" s="266">
        <v>25899.0</v>
      </c>
      <c r="E14" s="266">
        <v>44564.0</v>
      </c>
      <c r="F14" s="267">
        <v>0.3958333333333333</v>
      </c>
      <c r="G14" s="265" t="s">
        <v>6323</v>
      </c>
      <c r="H14" s="265" t="s">
        <v>14</v>
      </c>
      <c r="I14" s="265" t="s">
        <v>6222</v>
      </c>
      <c r="J14" s="265" t="s">
        <v>6124</v>
      </c>
      <c r="K14" s="265"/>
      <c r="L14" s="265" t="s">
        <v>6242</v>
      </c>
      <c r="M14" s="265"/>
      <c r="N14" s="264"/>
      <c r="O14" s="265" t="s">
        <v>5</v>
      </c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</row>
    <row r="15">
      <c r="A15" s="264"/>
      <c r="B15" s="265" t="s">
        <v>2865</v>
      </c>
      <c r="C15" s="265">
        <v>14263.0</v>
      </c>
      <c r="D15" s="266">
        <v>23301.0</v>
      </c>
      <c r="E15" s="266">
        <v>44564.0</v>
      </c>
      <c r="F15" s="267">
        <v>0.40625</v>
      </c>
      <c r="G15" s="265" t="s">
        <v>6328</v>
      </c>
      <c r="H15" s="265" t="s">
        <v>14</v>
      </c>
      <c r="I15" s="265" t="s">
        <v>6222</v>
      </c>
      <c r="J15" s="265" t="s">
        <v>6095</v>
      </c>
      <c r="K15" s="265"/>
      <c r="L15" s="265" t="s">
        <v>6242</v>
      </c>
      <c r="M15" s="265"/>
      <c r="N15" s="264"/>
      <c r="O15" s="265" t="s">
        <v>5</v>
      </c>
      <c r="P15" s="264"/>
      <c r="Q15" s="264"/>
      <c r="R15" s="264"/>
      <c r="S15" s="264"/>
      <c r="T15" s="264"/>
      <c r="U15" s="264"/>
      <c r="V15" s="264"/>
      <c r="W15" s="264"/>
      <c r="X15" s="264"/>
      <c r="Y15" s="264"/>
      <c r="Z15" s="264"/>
    </row>
    <row r="16" hidden="1">
      <c r="A16" s="264"/>
      <c r="B16" s="265" t="s">
        <v>246</v>
      </c>
      <c r="C16" s="265">
        <v>9651.0</v>
      </c>
      <c r="D16" s="266">
        <v>22812.0</v>
      </c>
      <c r="E16" s="266">
        <v>44564.0</v>
      </c>
      <c r="F16" s="267">
        <v>0.4270833333333333</v>
      </c>
      <c r="G16" s="265" t="s">
        <v>6323</v>
      </c>
      <c r="H16" s="265" t="s">
        <v>14</v>
      </c>
      <c r="I16" s="265" t="s">
        <v>6222</v>
      </c>
      <c r="J16" s="265" t="s">
        <v>6192</v>
      </c>
      <c r="K16" s="265"/>
      <c r="L16" s="265" t="s">
        <v>6242</v>
      </c>
      <c r="M16" s="265"/>
      <c r="N16" s="264"/>
      <c r="O16" s="265" t="s">
        <v>6216</v>
      </c>
      <c r="P16" s="264"/>
      <c r="Q16" s="264"/>
      <c r="R16" s="264"/>
      <c r="S16" s="264"/>
      <c r="T16" s="264"/>
      <c r="U16" s="264"/>
      <c r="V16" s="264"/>
      <c r="W16" s="264"/>
      <c r="X16" s="264"/>
      <c r="Y16" s="264"/>
      <c r="Z16" s="264"/>
    </row>
    <row r="17" hidden="1">
      <c r="A17" s="264"/>
      <c r="B17" s="265" t="s">
        <v>2664</v>
      </c>
      <c r="C17" s="265">
        <v>14001.0</v>
      </c>
      <c r="D17" s="266">
        <v>25773.0</v>
      </c>
      <c r="E17" s="266">
        <v>44564.0</v>
      </c>
      <c r="F17" s="267">
        <v>0.3958333333333333</v>
      </c>
      <c r="G17" s="265" t="s">
        <v>6323</v>
      </c>
      <c r="H17" s="265" t="s">
        <v>14</v>
      </c>
      <c r="I17" s="265" t="s">
        <v>6222</v>
      </c>
      <c r="J17" s="265" t="s">
        <v>6142</v>
      </c>
      <c r="K17" s="265"/>
      <c r="L17" s="265" t="s">
        <v>6242</v>
      </c>
      <c r="M17" s="265"/>
      <c r="N17" s="264"/>
      <c r="O17" s="265" t="s">
        <v>6216</v>
      </c>
      <c r="P17" s="264"/>
      <c r="Q17" s="264"/>
      <c r="R17" s="264"/>
      <c r="S17" s="264"/>
      <c r="T17" s="264"/>
      <c r="U17" s="264"/>
      <c r="V17" s="264"/>
      <c r="W17" s="264"/>
      <c r="X17" s="264"/>
      <c r="Y17" s="264"/>
      <c r="Z17" s="264"/>
    </row>
    <row r="18">
      <c r="A18" s="264"/>
      <c r="B18" s="265" t="s">
        <v>331</v>
      </c>
      <c r="C18" s="265">
        <v>9878.0</v>
      </c>
      <c r="D18" s="266">
        <v>26966.0</v>
      </c>
      <c r="E18" s="266">
        <v>44564.0</v>
      </c>
      <c r="F18" s="267">
        <v>0.4583333333333333</v>
      </c>
      <c r="G18" s="265" t="s">
        <v>6323</v>
      </c>
      <c r="H18" s="265" t="s">
        <v>14</v>
      </c>
      <c r="I18" s="265" t="s">
        <v>6222</v>
      </c>
      <c r="J18" s="265" t="s">
        <v>6126</v>
      </c>
      <c r="K18" s="265"/>
      <c r="L18" s="265" t="s">
        <v>6242</v>
      </c>
      <c r="M18" s="265"/>
      <c r="N18" s="264"/>
      <c r="O18" s="265" t="s">
        <v>5</v>
      </c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</row>
    <row r="19">
      <c r="A19" s="264"/>
      <c r="B19" s="265" t="s">
        <v>5937</v>
      </c>
      <c r="C19" s="265">
        <v>17799.0</v>
      </c>
      <c r="D19" s="266">
        <v>24580.0</v>
      </c>
      <c r="E19" s="266">
        <v>44564.0</v>
      </c>
      <c r="F19" s="267">
        <v>0.46875</v>
      </c>
      <c r="G19" s="265" t="s">
        <v>6323</v>
      </c>
      <c r="H19" s="265" t="s">
        <v>12</v>
      </c>
      <c r="I19" s="265" t="s">
        <v>6212</v>
      </c>
      <c r="J19" s="265" t="s">
        <v>6082</v>
      </c>
      <c r="K19" s="265" t="s">
        <v>6242</v>
      </c>
      <c r="L19" s="265"/>
      <c r="M19" s="265"/>
      <c r="N19" s="264"/>
      <c r="O19" s="265" t="s">
        <v>6213</v>
      </c>
      <c r="P19" s="264"/>
      <c r="Q19" s="264"/>
      <c r="R19" s="264"/>
      <c r="S19" s="264"/>
      <c r="T19" s="264"/>
      <c r="U19" s="264"/>
      <c r="V19" s="264"/>
      <c r="W19" s="264"/>
      <c r="X19" s="264"/>
      <c r="Y19" s="264"/>
      <c r="Z19" s="264"/>
    </row>
    <row r="20">
      <c r="A20" s="264"/>
      <c r="B20" s="265" t="s">
        <v>1084</v>
      </c>
      <c r="C20" s="265">
        <v>11736.0</v>
      </c>
      <c r="D20" s="266">
        <v>21851.0</v>
      </c>
      <c r="E20" s="266">
        <v>44564.0</v>
      </c>
      <c r="F20" s="267">
        <v>0.46875</v>
      </c>
      <c r="G20" s="265" t="s">
        <v>6323</v>
      </c>
      <c r="H20" s="265" t="s">
        <v>14</v>
      </c>
      <c r="I20" s="265" t="s">
        <v>6222</v>
      </c>
      <c r="J20" s="265" t="s">
        <v>6091</v>
      </c>
      <c r="K20" s="265"/>
      <c r="L20" s="265" t="s">
        <v>6242</v>
      </c>
      <c r="M20" s="265"/>
      <c r="N20" s="264"/>
      <c r="O20" s="265" t="s">
        <v>5</v>
      </c>
      <c r="P20" s="264"/>
      <c r="Q20" s="264"/>
      <c r="R20" s="264"/>
      <c r="S20" s="264"/>
      <c r="T20" s="264"/>
      <c r="U20" s="264"/>
      <c r="V20" s="264"/>
      <c r="W20" s="264"/>
      <c r="X20" s="264"/>
      <c r="Y20" s="264"/>
      <c r="Z20" s="264"/>
    </row>
    <row r="21">
      <c r="A21" s="264"/>
      <c r="B21" s="265" t="s">
        <v>2793</v>
      </c>
      <c r="C21" s="265">
        <v>14167.0</v>
      </c>
      <c r="D21" s="266">
        <v>30502.0</v>
      </c>
      <c r="E21" s="266">
        <v>44564.0</v>
      </c>
      <c r="F21" s="267">
        <v>0.4791666666666667</v>
      </c>
      <c r="G21" s="265" t="s">
        <v>6328</v>
      </c>
      <c r="H21" s="265" t="s">
        <v>14</v>
      </c>
      <c r="I21" s="265" t="s">
        <v>6222</v>
      </c>
      <c r="J21" s="265" t="s">
        <v>6199</v>
      </c>
      <c r="K21" s="265"/>
      <c r="L21" s="265" t="s">
        <v>6242</v>
      </c>
      <c r="M21" s="265"/>
      <c r="N21" s="264"/>
      <c r="O21" s="265" t="e">
        <v>#N/A</v>
      </c>
      <c r="P21" s="264"/>
      <c r="Q21" s="264"/>
      <c r="R21" s="264"/>
      <c r="S21" s="264"/>
      <c r="T21" s="264"/>
      <c r="U21" s="264"/>
      <c r="V21" s="264"/>
      <c r="W21" s="264"/>
      <c r="X21" s="264"/>
      <c r="Y21" s="264"/>
      <c r="Z21" s="264"/>
    </row>
    <row r="22">
      <c r="A22" s="264"/>
      <c r="B22" s="265" t="s">
        <v>312</v>
      </c>
      <c r="C22" s="265">
        <v>9838.0</v>
      </c>
      <c r="D22" s="266">
        <v>27927.0</v>
      </c>
      <c r="E22" s="266">
        <v>44564.0</v>
      </c>
      <c r="F22" s="267">
        <v>0.46875</v>
      </c>
      <c r="G22" s="265" t="s">
        <v>6323</v>
      </c>
      <c r="H22" s="265" t="s">
        <v>12</v>
      </c>
      <c r="I22" s="265" t="s">
        <v>6221</v>
      </c>
      <c r="J22" s="265" t="s">
        <v>6137</v>
      </c>
      <c r="K22" s="265"/>
      <c r="L22" s="265" t="s">
        <v>6242</v>
      </c>
      <c r="M22" s="265" t="s">
        <v>6242</v>
      </c>
      <c r="N22" s="264"/>
      <c r="O22" s="265" t="s">
        <v>6215</v>
      </c>
      <c r="P22" s="264"/>
      <c r="Q22" s="264"/>
      <c r="R22" s="264"/>
      <c r="S22" s="264"/>
      <c r="T22" s="264"/>
      <c r="U22" s="264"/>
      <c r="V22" s="264"/>
      <c r="W22" s="264"/>
      <c r="X22" s="264"/>
      <c r="Y22" s="264"/>
      <c r="Z22" s="264"/>
    </row>
    <row r="23">
      <c r="A23" s="264"/>
      <c r="B23" s="265" t="s">
        <v>410</v>
      </c>
      <c r="C23" s="265">
        <v>10094.0</v>
      </c>
      <c r="D23" s="266">
        <v>24190.0</v>
      </c>
      <c r="E23" s="266">
        <v>44564.0</v>
      </c>
      <c r="F23" s="267">
        <v>0.4791666666666667</v>
      </c>
      <c r="G23" s="265" t="s">
        <v>6323</v>
      </c>
      <c r="H23" s="265" t="s">
        <v>14</v>
      </c>
      <c r="I23" s="265" t="s">
        <v>6219</v>
      </c>
      <c r="J23" s="265" t="s">
        <v>6095</v>
      </c>
      <c r="K23" s="265"/>
      <c r="L23" s="265" t="s">
        <v>6242</v>
      </c>
      <c r="M23" s="265"/>
      <c r="N23" s="264"/>
      <c r="O23" s="265" t="s">
        <v>5</v>
      </c>
      <c r="P23" s="264"/>
      <c r="Q23" s="264"/>
      <c r="R23" s="264"/>
      <c r="S23" s="264"/>
      <c r="T23" s="264"/>
      <c r="U23" s="264"/>
      <c r="V23" s="264"/>
      <c r="W23" s="264"/>
      <c r="X23" s="264"/>
      <c r="Y23" s="264"/>
      <c r="Z23" s="264"/>
    </row>
    <row r="24">
      <c r="A24" s="264"/>
      <c r="B24" s="265" t="s">
        <v>4625</v>
      </c>
      <c r="C24" s="265">
        <v>16350.0</v>
      </c>
      <c r="D24" s="266">
        <v>22243.0</v>
      </c>
      <c r="E24" s="266">
        <v>44564.0</v>
      </c>
      <c r="F24" s="267">
        <v>0.4791666666666667</v>
      </c>
      <c r="G24" s="265" t="s">
        <v>6328</v>
      </c>
      <c r="H24" s="265" t="s">
        <v>14</v>
      </c>
      <c r="I24" s="265" t="s">
        <v>6222</v>
      </c>
      <c r="J24" s="265" t="s">
        <v>6117</v>
      </c>
      <c r="K24" s="265"/>
      <c r="L24" s="265" t="s">
        <v>6242</v>
      </c>
      <c r="M24" s="265"/>
      <c r="N24" s="264"/>
      <c r="O24" s="265" t="s">
        <v>5</v>
      </c>
      <c r="P24" s="264"/>
      <c r="Q24" s="264"/>
      <c r="R24" s="264"/>
      <c r="S24" s="264"/>
      <c r="T24" s="264"/>
      <c r="U24" s="264"/>
      <c r="V24" s="264"/>
      <c r="W24" s="264"/>
      <c r="X24" s="264"/>
      <c r="Y24" s="264"/>
      <c r="Z24" s="264"/>
    </row>
    <row r="25" hidden="1">
      <c r="A25" s="264"/>
      <c r="B25" s="265" t="s">
        <v>5391</v>
      </c>
      <c r="C25" s="265">
        <v>17334.0</v>
      </c>
      <c r="D25" s="266">
        <v>25243.0</v>
      </c>
      <c r="E25" s="266">
        <v>44564.0</v>
      </c>
      <c r="F25" s="267">
        <v>0.4895833333333333</v>
      </c>
      <c r="G25" s="265" t="s">
        <v>6328</v>
      </c>
      <c r="H25" s="265" t="s">
        <v>14</v>
      </c>
      <c r="I25" s="265" t="s">
        <v>6219</v>
      </c>
      <c r="J25" s="265" t="s">
        <v>6192</v>
      </c>
      <c r="K25" s="265"/>
      <c r="L25" s="265" t="s">
        <v>6242</v>
      </c>
      <c r="M25" s="265" t="s">
        <v>6242</v>
      </c>
      <c r="N25" s="264"/>
      <c r="O25" s="265" t="s">
        <v>6220</v>
      </c>
      <c r="P25" s="264"/>
      <c r="Q25" s="264"/>
      <c r="R25" s="264"/>
      <c r="S25" s="264"/>
      <c r="T25" s="264"/>
      <c r="U25" s="264"/>
      <c r="V25" s="264"/>
      <c r="W25" s="264"/>
      <c r="X25" s="264"/>
      <c r="Y25" s="264"/>
      <c r="Z25" s="264"/>
    </row>
    <row r="26">
      <c r="A26" s="264"/>
      <c r="B26" s="265" t="s">
        <v>591</v>
      </c>
      <c r="C26" s="265">
        <v>10573.0</v>
      </c>
      <c r="D26" s="266">
        <v>23562.0</v>
      </c>
      <c r="E26" s="266">
        <v>44564.0</v>
      </c>
      <c r="F26" s="267">
        <v>0.5</v>
      </c>
      <c r="G26" s="265" t="s">
        <v>6323</v>
      </c>
      <c r="H26" s="265" t="s">
        <v>14</v>
      </c>
      <c r="I26" s="265" t="s">
        <v>6222</v>
      </c>
      <c r="J26" s="265" t="s">
        <v>6199</v>
      </c>
      <c r="K26" s="265"/>
      <c r="L26" s="265" t="s">
        <v>6242</v>
      </c>
      <c r="M26" s="265" t="s">
        <v>6242</v>
      </c>
      <c r="N26" s="264"/>
      <c r="O26" s="265" t="s">
        <v>6215</v>
      </c>
      <c r="P26" s="264"/>
      <c r="Q26" s="264"/>
      <c r="R26" s="264"/>
      <c r="S26" s="264"/>
      <c r="T26" s="264"/>
      <c r="U26" s="264"/>
      <c r="V26" s="264"/>
      <c r="W26" s="264"/>
      <c r="X26" s="264"/>
      <c r="Y26" s="264"/>
      <c r="Z26" s="264"/>
    </row>
    <row r="27">
      <c r="A27" s="264"/>
      <c r="B27" s="265" t="s">
        <v>619</v>
      </c>
      <c r="C27" s="265">
        <v>10634.0</v>
      </c>
      <c r="D27" s="266">
        <v>14961.0</v>
      </c>
      <c r="E27" s="266">
        <v>44564.0</v>
      </c>
      <c r="F27" s="267">
        <v>0.5</v>
      </c>
      <c r="G27" s="265" t="s">
        <v>6323</v>
      </c>
      <c r="H27" s="265" t="s">
        <v>14</v>
      </c>
      <c r="I27" s="265" t="s">
        <v>6222</v>
      </c>
      <c r="J27" s="265" t="s">
        <v>6137</v>
      </c>
      <c r="K27" s="265"/>
      <c r="L27" s="265" t="s">
        <v>6242</v>
      </c>
      <c r="M27" s="265"/>
      <c r="N27" s="264"/>
      <c r="O27" s="265" t="s">
        <v>5</v>
      </c>
      <c r="P27" s="264"/>
      <c r="Q27" s="264"/>
      <c r="R27" s="264"/>
      <c r="S27" s="264"/>
      <c r="T27" s="264"/>
      <c r="U27" s="264"/>
      <c r="V27" s="264"/>
      <c r="W27" s="264"/>
      <c r="X27" s="264"/>
      <c r="Y27" s="264"/>
      <c r="Z27" s="264"/>
    </row>
    <row r="28">
      <c r="A28" s="264"/>
      <c r="B28" s="265" t="s">
        <v>1638</v>
      </c>
      <c r="C28" s="265">
        <v>12697.0</v>
      </c>
      <c r="D28" s="266">
        <v>30536.0</v>
      </c>
      <c r="E28" s="266">
        <v>44564.0</v>
      </c>
      <c r="F28" s="267">
        <v>0.5104166666666666</v>
      </c>
      <c r="G28" s="265" t="s">
        <v>6328</v>
      </c>
      <c r="H28" s="265" t="s">
        <v>14</v>
      </c>
      <c r="I28" s="265" t="s">
        <v>6219</v>
      </c>
      <c r="J28" s="265" t="s">
        <v>6084</v>
      </c>
      <c r="K28" s="265"/>
      <c r="L28" s="265" t="s">
        <v>6242</v>
      </c>
      <c r="M28" s="265" t="s">
        <v>6242</v>
      </c>
      <c r="N28" s="264"/>
      <c r="O28" s="265" t="s">
        <v>6215</v>
      </c>
      <c r="P28" s="264"/>
      <c r="Q28" s="264"/>
      <c r="R28" s="264"/>
      <c r="S28" s="264"/>
      <c r="T28" s="264"/>
      <c r="U28" s="264"/>
      <c r="V28" s="264"/>
      <c r="W28" s="264"/>
      <c r="X28" s="264"/>
      <c r="Y28" s="264"/>
      <c r="Z28" s="264"/>
    </row>
    <row r="29">
      <c r="A29" s="264"/>
      <c r="B29" s="265" t="s">
        <v>2976</v>
      </c>
      <c r="C29" s="265">
        <v>14392.0</v>
      </c>
      <c r="D29" s="266">
        <v>21549.0</v>
      </c>
      <c r="E29" s="266">
        <v>44564.0</v>
      </c>
      <c r="F29" s="267">
        <v>0.53125</v>
      </c>
      <c r="G29" s="265" t="s">
        <v>6323</v>
      </c>
      <c r="H29" s="265" t="s">
        <v>14</v>
      </c>
      <c r="I29" s="265" t="s">
        <v>6219</v>
      </c>
      <c r="J29" s="265" t="s">
        <v>6083</v>
      </c>
      <c r="K29" s="265"/>
      <c r="L29" s="265" t="s">
        <v>6242</v>
      </c>
      <c r="M29" s="265" t="s">
        <v>6242</v>
      </c>
      <c r="N29" s="264"/>
      <c r="O29" s="265" t="s">
        <v>6215</v>
      </c>
      <c r="P29" s="264"/>
      <c r="Q29" s="264"/>
      <c r="R29" s="264"/>
      <c r="S29" s="264"/>
      <c r="T29" s="264"/>
      <c r="U29" s="264"/>
      <c r="V29" s="264"/>
      <c r="W29" s="264"/>
      <c r="X29" s="264"/>
      <c r="Y29" s="264"/>
      <c r="Z29" s="264"/>
    </row>
    <row r="30">
      <c r="A30" s="264"/>
      <c r="B30" s="265" t="s">
        <v>1285</v>
      </c>
      <c r="C30" s="265">
        <v>12124.0</v>
      </c>
      <c r="D30" s="266">
        <v>13850.0</v>
      </c>
      <c r="E30" s="266">
        <v>44564.0</v>
      </c>
      <c r="F30" s="267">
        <v>0.5729166666666666</v>
      </c>
      <c r="G30" s="265" t="s">
        <v>6323</v>
      </c>
      <c r="H30" s="265" t="s">
        <v>14</v>
      </c>
      <c r="I30" s="265" t="s">
        <v>6222</v>
      </c>
      <c r="J30" s="265" t="s">
        <v>6094</v>
      </c>
      <c r="K30" s="265"/>
      <c r="L30" s="265" t="s">
        <v>6242</v>
      </c>
      <c r="M30" s="265" t="s">
        <v>6242</v>
      </c>
      <c r="N30" s="264"/>
      <c r="O30" s="265" t="s">
        <v>6215</v>
      </c>
      <c r="P30" s="264"/>
      <c r="Q30" s="264"/>
      <c r="R30" s="264"/>
      <c r="S30" s="264"/>
      <c r="T30" s="264"/>
      <c r="U30" s="264"/>
      <c r="V30" s="264"/>
      <c r="W30" s="264"/>
      <c r="X30" s="264"/>
      <c r="Y30" s="264"/>
      <c r="Z30" s="264"/>
    </row>
    <row r="31" hidden="1">
      <c r="A31" s="264"/>
      <c r="B31" s="265" t="s">
        <v>3728</v>
      </c>
      <c r="C31" s="265">
        <v>15307.0</v>
      </c>
      <c r="D31" s="266">
        <v>21690.0</v>
      </c>
      <c r="E31" s="266">
        <v>44564.0</v>
      </c>
      <c r="F31" s="267">
        <v>0.5729166666666666</v>
      </c>
      <c r="G31" s="265" t="s">
        <v>6323</v>
      </c>
      <c r="H31" s="265" t="s">
        <v>14</v>
      </c>
      <c r="I31" s="265" t="s">
        <v>6219</v>
      </c>
      <c r="J31" s="265" t="s">
        <v>6196</v>
      </c>
      <c r="K31" s="265"/>
      <c r="L31" s="265" t="s">
        <v>6242</v>
      </c>
      <c r="M31" s="265"/>
      <c r="N31" s="264"/>
      <c r="O31" s="265" t="s">
        <v>6216</v>
      </c>
      <c r="P31" s="264"/>
      <c r="Q31" s="264"/>
      <c r="R31" s="264"/>
      <c r="S31" s="264"/>
      <c r="T31" s="264"/>
      <c r="U31" s="264"/>
      <c r="V31" s="264"/>
      <c r="W31" s="264"/>
      <c r="X31" s="264"/>
      <c r="Y31" s="264"/>
      <c r="Z31" s="264"/>
    </row>
    <row r="32">
      <c r="A32" s="264"/>
      <c r="B32" s="265" t="s">
        <v>524</v>
      </c>
      <c r="C32" s="265">
        <v>10380.0</v>
      </c>
      <c r="D32" s="266">
        <v>17576.0</v>
      </c>
      <c r="E32" s="266">
        <v>44564.0</v>
      </c>
      <c r="F32" s="267">
        <v>0.5833333333333334</v>
      </c>
      <c r="G32" s="265" t="s">
        <v>6328</v>
      </c>
      <c r="H32" s="265" t="s">
        <v>14</v>
      </c>
      <c r="I32" s="265" t="s">
        <v>6222</v>
      </c>
      <c r="J32" s="265" t="s">
        <v>6199</v>
      </c>
      <c r="K32" s="265"/>
      <c r="L32" s="265" t="s">
        <v>6242</v>
      </c>
      <c r="M32" s="265"/>
      <c r="N32" s="264"/>
      <c r="O32" s="265" t="s">
        <v>5</v>
      </c>
      <c r="P32" s="264"/>
      <c r="Q32" s="264"/>
      <c r="R32" s="264"/>
      <c r="S32" s="264"/>
      <c r="T32" s="264"/>
      <c r="U32" s="264"/>
      <c r="V32" s="264"/>
      <c r="W32" s="264"/>
      <c r="X32" s="264"/>
      <c r="Y32" s="264"/>
      <c r="Z32" s="264"/>
    </row>
    <row r="33">
      <c r="A33" s="264"/>
      <c r="B33" s="265" t="s">
        <v>2078</v>
      </c>
      <c r="C33" s="265">
        <v>13234.0</v>
      </c>
      <c r="D33" s="266">
        <v>17399.0</v>
      </c>
      <c r="E33" s="266">
        <v>44564.0</v>
      </c>
      <c r="F33" s="267">
        <v>0.5833333333333334</v>
      </c>
      <c r="G33" s="265" t="s">
        <v>6328</v>
      </c>
      <c r="H33" s="265" t="s">
        <v>14</v>
      </c>
      <c r="I33" s="265" t="s">
        <v>6219</v>
      </c>
      <c r="J33" s="265" t="s">
        <v>6187</v>
      </c>
      <c r="K33" s="265"/>
      <c r="L33" s="265" t="s">
        <v>6242</v>
      </c>
      <c r="M33" s="265" t="s">
        <v>6242</v>
      </c>
      <c r="N33" s="264"/>
      <c r="O33" s="265" t="s">
        <v>6215</v>
      </c>
      <c r="P33" s="264"/>
      <c r="Q33" s="264"/>
      <c r="R33" s="264"/>
      <c r="S33" s="264"/>
      <c r="T33" s="264"/>
      <c r="U33" s="264"/>
      <c r="V33" s="264"/>
      <c r="W33" s="264"/>
      <c r="X33" s="264"/>
      <c r="Y33" s="264"/>
      <c r="Z33" s="264"/>
    </row>
    <row r="34">
      <c r="A34" s="264"/>
      <c r="B34" s="265" t="s">
        <v>2106</v>
      </c>
      <c r="C34" s="265">
        <v>13273.0</v>
      </c>
      <c r="D34" s="266">
        <v>30146.0</v>
      </c>
      <c r="E34" s="266">
        <v>44564.0</v>
      </c>
      <c r="F34" s="267">
        <v>0.5833333333333334</v>
      </c>
      <c r="G34" s="265" t="s">
        <v>6328</v>
      </c>
      <c r="H34" s="265" t="s">
        <v>14</v>
      </c>
      <c r="I34" s="265" t="s">
        <v>6219</v>
      </c>
      <c r="J34" s="265" t="s">
        <v>6154</v>
      </c>
      <c r="K34" s="265"/>
      <c r="L34" s="265" t="s">
        <v>6242</v>
      </c>
      <c r="M34" s="265" t="s">
        <v>6242</v>
      </c>
      <c r="N34" s="264"/>
      <c r="O34" s="265" t="s">
        <v>6215</v>
      </c>
      <c r="P34" s="264"/>
      <c r="Q34" s="264"/>
      <c r="R34" s="264"/>
      <c r="S34" s="264"/>
      <c r="T34" s="264"/>
      <c r="U34" s="264"/>
      <c r="V34" s="264"/>
      <c r="W34" s="264"/>
      <c r="X34" s="264"/>
      <c r="Y34" s="264"/>
      <c r="Z34" s="264"/>
    </row>
    <row r="35">
      <c r="A35" s="264"/>
      <c r="B35" s="265" t="s">
        <v>455</v>
      </c>
      <c r="C35" s="265">
        <v>10204.0</v>
      </c>
      <c r="D35" s="266">
        <v>30612.0</v>
      </c>
      <c r="E35" s="266">
        <v>44564.0</v>
      </c>
      <c r="F35" s="267">
        <v>0.5833333333333334</v>
      </c>
      <c r="G35" s="265" t="s">
        <v>6328</v>
      </c>
      <c r="H35" s="265" t="s">
        <v>14</v>
      </c>
      <c r="I35" s="265" t="s">
        <v>6222</v>
      </c>
      <c r="J35" s="265" t="s">
        <v>6091</v>
      </c>
      <c r="K35" s="265"/>
      <c r="L35" s="265" t="s">
        <v>6242</v>
      </c>
      <c r="M35" s="265"/>
      <c r="N35" s="264"/>
      <c r="O35" s="265" t="s">
        <v>5</v>
      </c>
      <c r="P35" s="264"/>
      <c r="Q35" s="264"/>
      <c r="R35" s="264"/>
      <c r="S35" s="264"/>
      <c r="T35" s="264"/>
      <c r="U35" s="264"/>
      <c r="V35" s="264"/>
      <c r="W35" s="264"/>
      <c r="X35" s="264"/>
      <c r="Y35" s="264"/>
      <c r="Z35" s="264"/>
    </row>
    <row r="36">
      <c r="A36" s="264"/>
      <c r="B36" s="265" t="s">
        <v>5771</v>
      </c>
      <c r="C36" s="265">
        <v>17730.0</v>
      </c>
      <c r="D36" s="266">
        <v>20478.0</v>
      </c>
      <c r="E36" s="266">
        <v>44564.0</v>
      </c>
      <c r="F36" s="267">
        <v>0.6041666666666666</v>
      </c>
      <c r="G36" s="265" t="s">
        <v>6323</v>
      </c>
      <c r="H36" s="265" t="s">
        <v>13</v>
      </c>
      <c r="I36" s="265" t="s">
        <v>6212</v>
      </c>
      <c r="J36" s="265" t="s">
        <v>6161</v>
      </c>
      <c r="K36" s="265" t="s">
        <v>6242</v>
      </c>
      <c r="L36" s="265"/>
      <c r="M36" s="265"/>
      <c r="N36" s="264"/>
      <c r="O36" s="265" t="s">
        <v>6213</v>
      </c>
      <c r="P36" s="264"/>
      <c r="Q36" s="264"/>
      <c r="R36" s="264"/>
      <c r="S36" s="264"/>
      <c r="T36" s="264"/>
      <c r="U36" s="264"/>
      <c r="V36" s="264"/>
      <c r="W36" s="264"/>
      <c r="X36" s="264"/>
      <c r="Y36" s="264"/>
      <c r="Z36" s="264"/>
    </row>
    <row r="37">
      <c r="A37" s="264"/>
      <c r="B37" s="265" t="s">
        <v>5746</v>
      </c>
      <c r="C37" s="265">
        <v>17575.0</v>
      </c>
      <c r="D37" s="266">
        <v>30266.0</v>
      </c>
      <c r="E37" s="266">
        <v>44564.0</v>
      </c>
      <c r="F37" s="267">
        <v>0.6041666666666666</v>
      </c>
      <c r="G37" s="265" t="s">
        <v>6323</v>
      </c>
      <c r="H37" s="265" t="s">
        <v>14</v>
      </c>
      <c r="I37" s="265" t="s">
        <v>6222</v>
      </c>
      <c r="J37" s="265" t="s">
        <v>6154</v>
      </c>
      <c r="K37" s="265"/>
      <c r="L37" s="265" t="s">
        <v>6242</v>
      </c>
      <c r="M37" s="265" t="s">
        <v>6242</v>
      </c>
      <c r="N37" s="264"/>
      <c r="O37" s="265" t="s">
        <v>6215</v>
      </c>
      <c r="P37" s="264"/>
      <c r="Q37" s="264"/>
      <c r="R37" s="264"/>
      <c r="S37" s="264"/>
      <c r="T37" s="264"/>
      <c r="U37" s="264"/>
      <c r="V37" s="264"/>
      <c r="W37" s="264"/>
      <c r="X37" s="264"/>
      <c r="Y37" s="264"/>
      <c r="Z37" s="264"/>
    </row>
    <row r="38" hidden="1">
      <c r="A38" s="264"/>
      <c r="B38" s="265" t="s">
        <v>5929</v>
      </c>
      <c r="C38" s="265">
        <v>17744.0</v>
      </c>
      <c r="D38" s="266">
        <v>25802.0</v>
      </c>
      <c r="E38" s="266">
        <v>44564.0</v>
      </c>
      <c r="F38" s="267">
        <v>0.3958333333333333</v>
      </c>
      <c r="G38" s="265" t="s">
        <v>6328</v>
      </c>
      <c r="H38" s="265" t="s">
        <v>13</v>
      </c>
      <c r="I38" s="265" t="s">
        <v>6212</v>
      </c>
      <c r="J38" s="265" t="s">
        <v>6142</v>
      </c>
      <c r="K38" s="265" t="s">
        <v>6242</v>
      </c>
      <c r="L38" s="265"/>
      <c r="M38" s="265"/>
      <c r="N38" s="264"/>
      <c r="O38" s="265" t="s">
        <v>6214</v>
      </c>
      <c r="P38" s="264"/>
      <c r="Q38" s="264"/>
      <c r="R38" s="264"/>
      <c r="S38" s="264"/>
      <c r="T38" s="264"/>
      <c r="U38" s="264"/>
      <c r="V38" s="264"/>
      <c r="W38" s="264"/>
      <c r="X38" s="264"/>
      <c r="Y38" s="264"/>
      <c r="Z38" s="264"/>
    </row>
    <row r="39">
      <c r="A39" s="264"/>
      <c r="B39" s="265" t="s">
        <v>73</v>
      </c>
      <c r="C39" s="265">
        <v>9199.0</v>
      </c>
      <c r="D39" s="266">
        <v>17981.0</v>
      </c>
      <c r="E39" s="266">
        <v>44564.0</v>
      </c>
      <c r="F39" s="267">
        <v>0.40625</v>
      </c>
      <c r="G39" s="265" t="s">
        <v>6323</v>
      </c>
      <c r="H39" s="265" t="s">
        <v>13</v>
      </c>
      <c r="I39" s="265" t="s">
        <v>6221</v>
      </c>
      <c r="J39" s="265" t="s">
        <v>6137</v>
      </c>
      <c r="K39" s="265"/>
      <c r="L39" s="265" t="s">
        <v>6242</v>
      </c>
      <c r="M39" s="265"/>
      <c r="N39" s="264"/>
      <c r="O39" s="265" t="s">
        <v>5</v>
      </c>
      <c r="P39" s="264"/>
      <c r="Q39" s="264"/>
      <c r="R39" s="264"/>
      <c r="S39" s="264"/>
      <c r="T39" s="264"/>
      <c r="U39" s="264"/>
      <c r="V39" s="264"/>
      <c r="W39" s="264"/>
      <c r="X39" s="264"/>
      <c r="Y39" s="264"/>
      <c r="Z39" s="264"/>
    </row>
    <row r="40">
      <c r="A40" s="264"/>
      <c r="B40" s="265" t="s">
        <v>2565</v>
      </c>
      <c r="C40" s="265">
        <v>13863.0</v>
      </c>
      <c r="D40" s="266">
        <v>29842.0</v>
      </c>
      <c r="E40" s="266">
        <v>44564.0</v>
      </c>
      <c r="F40" s="267">
        <v>0.4166666666666667</v>
      </c>
      <c r="G40" s="265" t="s">
        <v>6328</v>
      </c>
      <c r="H40" s="265" t="s">
        <v>13</v>
      </c>
      <c r="I40" s="265" t="s">
        <v>6212</v>
      </c>
      <c r="J40" s="265" t="s">
        <v>6174</v>
      </c>
      <c r="K40" s="265"/>
      <c r="L40" s="265" t="s">
        <v>6242</v>
      </c>
      <c r="M40" s="265" t="s">
        <v>6242</v>
      </c>
      <c r="N40" s="264"/>
      <c r="O40" s="265" t="s">
        <v>6215</v>
      </c>
      <c r="P40" s="264"/>
      <c r="Q40" s="264"/>
      <c r="R40" s="264"/>
      <c r="S40" s="264"/>
      <c r="T40" s="264"/>
      <c r="U40" s="264"/>
      <c r="V40" s="264"/>
      <c r="W40" s="264"/>
      <c r="X40" s="264"/>
      <c r="Y40" s="264"/>
      <c r="Z40" s="264"/>
    </row>
    <row r="41">
      <c r="A41" s="264"/>
      <c r="B41" s="265" t="s">
        <v>5934</v>
      </c>
      <c r="C41" s="265">
        <v>17379.0</v>
      </c>
      <c r="D41" s="266">
        <v>25124.0</v>
      </c>
      <c r="E41" s="266">
        <v>44564.0</v>
      </c>
      <c r="F41" s="267">
        <v>0.4166666666666667</v>
      </c>
      <c r="G41" s="265" t="s">
        <v>6328</v>
      </c>
      <c r="H41" s="265" t="s">
        <v>13</v>
      </c>
      <c r="I41" s="265" t="s">
        <v>6212</v>
      </c>
      <c r="J41" s="265" t="s">
        <v>6199</v>
      </c>
      <c r="K41" s="265" t="s">
        <v>6242</v>
      </c>
      <c r="L41" s="265"/>
      <c r="M41" s="265"/>
      <c r="N41" s="264"/>
      <c r="O41" s="265" t="s">
        <v>6213</v>
      </c>
      <c r="P41" s="264"/>
      <c r="Q41" s="264"/>
      <c r="R41" s="264"/>
      <c r="S41" s="264"/>
      <c r="T41" s="264"/>
      <c r="U41" s="264"/>
      <c r="V41" s="264"/>
      <c r="W41" s="264"/>
      <c r="X41" s="264"/>
      <c r="Y41" s="264"/>
      <c r="Z41" s="264"/>
    </row>
    <row r="42" hidden="1">
      <c r="A42" s="264"/>
      <c r="B42" s="265" t="s">
        <v>2693</v>
      </c>
      <c r="C42" s="265">
        <v>14035.0</v>
      </c>
      <c r="D42" s="266">
        <v>22362.0</v>
      </c>
      <c r="E42" s="266">
        <v>44564.0</v>
      </c>
      <c r="F42" s="267">
        <v>0.4270833333333333</v>
      </c>
      <c r="G42" s="265" t="s">
        <v>6323</v>
      </c>
      <c r="H42" s="265" t="s">
        <v>13</v>
      </c>
      <c r="I42" s="265" t="s">
        <v>6212</v>
      </c>
      <c r="J42" s="265" t="s">
        <v>6189</v>
      </c>
      <c r="K42" s="265"/>
      <c r="L42" s="265" t="s">
        <v>6242</v>
      </c>
      <c r="M42" s="265"/>
      <c r="N42" s="264"/>
      <c r="O42" s="265" t="s">
        <v>6216</v>
      </c>
      <c r="P42" s="264"/>
      <c r="Q42" s="264"/>
      <c r="R42" s="264"/>
      <c r="S42" s="264"/>
      <c r="T42" s="264"/>
      <c r="U42" s="264"/>
      <c r="V42" s="264"/>
      <c r="W42" s="264"/>
      <c r="X42" s="264"/>
      <c r="Y42" s="264"/>
      <c r="Z42" s="264"/>
    </row>
    <row r="43">
      <c r="A43" s="264"/>
      <c r="B43" s="265" t="s">
        <v>5936</v>
      </c>
      <c r="C43" s="265">
        <v>17658.0</v>
      </c>
      <c r="D43" s="266">
        <v>22123.0</v>
      </c>
      <c r="E43" s="266">
        <v>44564.0</v>
      </c>
      <c r="F43" s="267">
        <v>0.46875</v>
      </c>
      <c r="G43" s="265" t="s">
        <v>6323</v>
      </c>
      <c r="H43" s="265" t="s">
        <v>13</v>
      </c>
      <c r="I43" s="265" t="s">
        <v>6212</v>
      </c>
      <c r="J43" s="265" t="s">
        <v>6099</v>
      </c>
      <c r="K43" s="265" t="s">
        <v>6242</v>
      </c>
      <c r="L43" s="265"/>
      <c r="M43" s="265"/>
      <c r="N43" s="264"/>
      <c r="O43" s="265" t="s">
        <v>6213</v>
      </c>
      <c r="P43" s="264"/>
      <c r="Q43" s="264"/>
      <c r="R43" s="264"/>
      <c r="S43" s="264"/>
      <c r="T43" s="264"/>
      <c r="U43" s="264"/>
      <c r="V43" s="264"/>
      <c r="W43" s="264"/>
      <c r="X43" s="264"/>
      <c r="Y43" s="264"/>
      <c r="Z43" s="264"/>
    </row>
    <row r="44">
      <c r="A44" s="264"/>
      <c r="B44" s="265" t="s">
        <v>1881</v>
      </c>
      <c r="C44" s="265">
        <v>12990.0</v>
      </c>
      <c r="D44" s="266">
        <v>23448.0</v>
      </c>
      <c r="E44" s="266">
        <v>44564.0</v>
      </c>
      <c r="F44" s="267">
        <v>0.4791666666666667</v>
      </c>
      <c r="G44" s="265" t="s">
        <v>6328</v>
      </c>
      <c r="H44" s="265" t="s">
        <v>13</v>
      </c>
      <c r="I44" s="265" t="s">
        <v>6212</v>
      </c>
      <c r="J44" s="265" t="s">
        <v>6199</v>
      </c>
      <c r="K44" s="265"/>
      <c r="L44" s="265" t="s">
        <v>6242</v>
      </c>
      <c r="M44" s="265"/>
      <c r="N44" s="264"/>
      <c r="O44" s="265" t="s">
        <v>5</v>
      </c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</row>
    <row r="45">
      <c r="A45" s="264"/>
      <c r="B45" s="265" t="s">
        <v>4869</v>
      </c>
      <c r="C45" s="265">
        <v>16675.0</v>
      </c>
      <c r="D45" s="266">
        <v>11940.0</v>
      </c>
      <c r="E45" s="266">
        <v>44564.0</v>
      </c>
      <c r="F45" s="267">
        <v>0.625</v>
      </c>
      <c r="G45" s="265" t="s">
        <v>6323</v>
      </c>
      <c r="H45" s="265" t="s">
        <v>12</v>
      </c>
      <c r="I45" s="265" t="s">
        <v>6221</v>
      </c>
      <c r="J45" s="265" t="s">
        <v>6137</v>
      </c>
      <c r="K45" s="265"/>
      <c r="L45" s="265" t="s">
        <v>6242</v>
      </c>
      <c r="M45" s="265"/>
      <c r="N45" s="264"/>
      <c r="O45" s="265" t="s">
        <v>5</v>
      </c>
      <c r="P45" s="264"/>
      <c r="Q45" s="264"/>
      <c r="R45" s="264"/>
      <c r="S45" s="264"/>
      <c r="T45" s="264"/>
      <c r="U45" s="264"/>
      <c r="V45" s="264"/>
      <c r="W45" s="264"/>
      <c r="X45" s="264"/>
      <c r="Y45" s="264"/>
      <c r="Z45" s="264"/>
    </row>
    <row r="46">
      <c r="A46" s="264"/>
      <c r="B46" s="265" t="s">
        <v>5941</v>
      </c>
      <c r="C46" s="265">
        <v>17823.0</v>
      </c>
      <c r="D46" s="266">
        <v>26239.0</v>
      </c>
      <c r="E46" s="266">
        <v>44564.0</v>
      </c>
      <c r="F46" s="267">
        <v>0.65625</v>
      </c>
      <c r="G46" s="265" t="s">
        <v>6328</v>
      </c>
      <c r="H46" s="265" t="s">
        <v>13</v>
      </c>
      <c r="I46" s="265" t="s">
        <v>6212</v>
      </c>
      <c r="J46" s="265" t="s">
        <v>6082</v>
      </c>
      <c r="K46" s="265" t="s">
        <v>6242</v>
      </c>
      <c r="L46" s="265"/>
      <c r="M46" s="265"/>
      <c r="N46" s="264"/>
      <c r="O46" s="265" t="e">
        <v>#N/A</v>
      </c>
      <c r="P46" s="264"/>
      <c r="Q46" s="264"/>
      <c r="R46" s="264"/>
      <c r="S46" s="264"/>
      <c r="T46" s="264"/>
      <c r="U46" s="264"/>
      <c r="V46" s="264"/>
      <c r="W46" s="264"/>
      <c r="X46" s="264"/>
      <c r="Y46" s="264"/>
      <c r="Z46" s="264"/>
    </row>
    <row r="47">
      <c r="A47" s="264"/>
      <c r="B47" s="265" t="s">
        <v>125</v>
      </c>
      <c r="C47" s="265">
        <v>9271.0</v>
      </c>
      <c r="D47" s="266">
        <v>24708.0</v>
      </c>
      <c r="E47" s="266">
        <v>44564.0</v>
      </c>
      <c r="F47" s="267">
        <v>0.65625</v>
      </c>
      <c r="G47" s="265" t="s">
        <v>6323</v>
      </c>
      <c r="H47" s="265" t="s">
        <v>13</v>
      </c>
      <c r="I47" s="265" t="s">
        <v>6212</v>
      </c>
      <c r="J47" s="265" t="s">
        <v>6137</v>
      </c>
      <c r="K47" s="265"/>
      <c r="L47" s="265" t="s">
        <v>6242</v>
      </c>
      <c r="M47" s="265"/>
      <c r="N47" s="264"/>
      <c r="O47" s="265" t="s">
        <v>5</v>
      </c>
      <c r="P47" s="264"/>
      <c r="Q47" s="264"/>
      <c r="R47" s="264"/>
      <c r="S47" s="264"/>
      <c r="T47" s="264"/>
      <c r="U47" s="264"/>
      <c r="V47" s="264"/>
      <c r="W47" s="264"/>
      <c r="X47" s="264"/>
      <c r="Y47" s="264"/>
      <c r="Z47" s="264"/>
    </row>
    <row r="48">
      <c r="A48" s="264"/>
      <c r="B48" s="265" t="s">
        <v>5446</v>
      </c>
      <c r="C48" s="265">
        <v>17403.0</v>
      </c>
      <c r="D48" s="266">
        <v>26246.0</v>
      </c>
      <c r="E48" s="266">
        <v>44564.0</v>
      </c>
      <c r="F48" s="267">
        <v>0.65625</v>
      </c>
      <c r="G48" s="265" t="s">
        <v>6323</v>
      </c>
      <c r="H48" s="265" t="s">
        <v>13</v>
      </c>
      <c r="I48" s="265" t="s">
        <v>6212</v>
      </c>
      <c r="J48" s="265" t="s">
        <v>6160</v>
      </c>
      <c r="K48" s="265" t="s">
        <v>6242</v>
      </c>
      <c r="L48" s="265"/>
      <c r="M48" s="265"/>
      <c r="N48" s="264"/>
      <c r="O48" s="265" t="s">
        <v>6213</v>
      </c>
      <c r="P48" s="264"/>
      <c r="Q48" s="264"/>
      <c r="R48" s="264"/>
      <c r="S48" s="264"/>
      <c r="T48" s="264"/>
      <c r="U48" s="264"/>
      <c r="V48" s="264"/>
      <c r="W48" s="264"/>
      <c r="X48" s="264"/>
      <c r="Y48" s="264"/>
      <c r="Z48" s="264"/>
    </row>
    <row r="49">
      <c r="A49" s="264"/>
      <c r="B49" s="265" t="s">
        <v>5925</v>
      </c>
      <c r="C49" s="265">
        <v>17694.0</v>
      </c>
      <c r="D49" s="266">
        <v>23052.0</v>
      </c>
      <c r="E49" s="266">
        <v>44564.0</v>
      </c>
      <c r="F49" s="267">
        <v>0.65625</v>
      </c>
      <c r="G49" s="265" t="s">
        <v>6323</v>
      </c>
      <c r="H49" s="265" t="s">
        <v>13</v>
      </c>
      <c r="I49" s="265" t="s">
        <v>6212</v>
      </c>
      <c r="J49" s="265" t="s">
        <v>6130</v>
      </c>
      <c r="K49" s="265" t="s">
        <v>6242</v>
      </c>
      <c r="L49" s="265"/>
      <c r="M49" s="265"/>
      <c r="N49" s="264"/>
      <c r="O49" s="265" t="s">
        <v>6213</v>
      </c>
      <c r="P49" s="264"/>
      <c r="Q49" s="264"/>
      <c r="R49" s="264"/>
      <c r="S49" s="264"/>
      <c r="T49" s="264"/>
      <c r="U49" s="264"/>
      <c r="V49" s="264"/>
      <c r="W49" s="264"/>
      <c r="X49" s="264"/>
      <c r="Y49" s="264"/>
      <c r="Z49" s="264"/>
    </row>
    <row r="50" hidden="1">
      <c r="A50" s="264"/>
      <c r="B50" s="265" t="s">
        <v>4875</v>
      </c>
      <c r="C50" s="265">
        <v>16682.0</v>
      </c>
      <c r="D50" s="266">
        <v>20068.0</v>
      </c>
      <c r="E50" s="266">
        <v>44564.0</v>
      </c>
      <c r="F50" s="267">
        <v>0.65625</v>
      </c>
      <c r="G50" s="265" t="s">
        <v>6323</v>
      </c>
      <c r="H50" s="265" t="s">
        <v>13</v>
      </c>
      <c r="I50" s="265" t="s">
        <v>6221</v>
      </c>
      <c r="J50" s="265" t="s">
        <v>6194</v>
      </c>
      <c r="K50" s="265"/>
      <c r="L50" s="265" t="s">
        <v>6242</v>
      </c>
      <c r="M50" s="265"/>
      <c r="N50" s="264"/>
      <c r="O50" s="265" t="s">
        <v>6216</v>
      </c>
      <c r="P50" s="264"/>
      <c r="Q50" s="264"/>
      <c r="R50" s="264"/>
      <c r="S50" s="264"/>
      <c r="T50" s="264"/>
      <c r="U50" s="264"/>
      <c r="V50" s="264"/>
      <c r="W50" s="264"/>
      <c r="X50" s="264"/>
      <c r="Y50" s="264"/>
      <c r="Z50" s="264"/>
    </row>
    <row r="51">
      <c r="A51" s="264"/>
      <c r="B51" s="265" t="s">
        <v>247</v>
      </c>
      <c r="C51" s="265">
        <v>9652.0</v>
      </c>
      <c r="D51" s="266">
        <v>18328.0</v>
      </c>
      <c r="E51" s="266">
        <v>44564.0</v>
      </c>
      <c r="F51" s="267">
        <v>0.65625</v>
      </c>
      <c r="G51" s="265" t="s">
        <v>6328</v>
      </c>
      <c r="H51" s="265" t="s">
        <v>14</v>
      </c>
      <c r="I51" s="265" t="s">
        <v>6222</v>
      </c>
      <c r="J51" s="265" t="s">
        <v>6199</v>
      </c>
      <c r="K51" s="265"/>
      <c r="L51" s="265" t="s">
        <v>6242</v>
      </c>
      <c r="M51" s="265"/>
      <c r="N51" s="264"/>
      <c r="O51" s="265" t="s">
        <v>5</v>
      </c>
      <c r="P51" s="264"/>
      <c r="Q51" s="264"/>
      <c r="R51" s="264"/>
      <c r="S51" s="264"/>
      <c r="T51" s="264"/>
      <c r="U51" s="264"/>
      <c r="V51" s="264"/>
      <c r="W51" s="264"/>
      <c r="X51" s="264"/>
      <c r="Y51" s="264"/>
      <c r="Z51" s="264"/>
    </row>
    <row r="52">
      <c r="A52" s="264"/>
      <c r="B52" s="265" t="s">
        <v>4371</v>
      </c>
      <c r="C52" s="265">
        <v>16037.0</v>
      </c>
      <c r="D52" s="266">
        <v>16788.0</v>
      </c>
      <c r="E52" s="266">
        <v>44564.0</v>
      </c>
      <c r="F52" s="267">
        <v>0.65625</v>
      </c>
      <c r="G52" s="265" t="s">
        <v>6328</v>
      </c>
      <c r="H52" s="265" t="s">
        <v>13</v>
      </c>
      <c r="I52" s="265" t="s">
        <v>6212</v>
      </c>
      <c r="J52" s="265" t="s">
        <v>6174</v>
      </c>
      <c r="K52" s="265"/>
      <c r="L52" s="265" t="s">
        <v>6242</v>
      </c>
      <c r="M52" s="265"/>
      <c r="N52" s="264"/>
      <c r="O52" s="265" t="s">
        <v>5</v>
      </c>
      <c r="P52" s="264"/>
      <c r="Q52" s="264"/>
      <c r="R52" s="264"/>
      <c r="S52" s="264"/>
      <c r="T52" s="264"/>
      <c r="U52" s="264"/>
      <c r="V52" s="264"/>
      <c r="W52" s="264"/>
      <c r="X52" s="264"/>
      <c r="Y52" s="264"/>
      <c r="Z52" s="264"/>
    </row>
    <row r="53" hidden="1">
      <c r="A53" s="264"/>
      <c r="B53" s="265" t="s">
        <v>4136</v>
      </c>
      <c r="C53" s="265">
        <v>15772.0</v>
      </c>
      <c r="D53" s="266">
        <v>24343.0</v>
      </c>
      <c r="E53" s="266">
        <v>44564.0</v>
      </c>
      <c r="F53" s="267">
        <v>0.65625</v>
      </c>
      <c r="G53" s="265" t="s">
        <v>6323</v>
      </c>
      <c r="H53" s="265" t="s">
        <v>14</v>
      </c>
      <c r="I53" s="265" t="s">
        <v>6219</v>
      </c>
      <c r="J53" s="265" t="s">
        <v>6193</v>
      </c>
      <c r="K53" s="265"/>
      <c r="L53" s="265" t="s">
        <v>6242</v>
      </c>
      <c r="M53" s="265" t="s">
        <v>6242</v>
      </c>
      <c r="N53" s="264"/>
      <c r="O53" s="265" t="s">
        <v>6220</v>
      </c>
      <c r="P53" s="264"/>
      <c r="Q53" s="264"/>
      <c r="R53" s="264"/>
      <c r="S53" s="264"/>
      <c r="T53" s="264"/>
      <c r="U53" s="264"/>
      <c r="V53" s="264"/>
      <c r="W53" s="264"/>
      <c r="X53" s="264"/>
      <c r="Y53" s="264"/>
      <c r="Z53" s="264"/>
    </row>
    <row r="54" hidden="1">
      <c r="A54" s="264"/>
      <c r="B54" s="265" t="s">
        <v>425</v>
      </c>
      <c r="C54" s="265">
        <v>10141.0</v>
      </c>
      <c r="D54" s="266">
        <v>23797.0</v>
      </c>
      <c r="E54" s="266">
        <v>44564.0</v>
      </c>
      <c r="F54" s="267">
        <v>0.65625</v>
      </c>
      <c r="G54" s="265" t="s">
        <v>6323</v>
      </c>
      <c r="H54" s="265" t="s">
        <v>13</v>
      </c>
      <c r="I54" s="265" t="s">
        <v>6221</v>
      </c>
      <c r="J54" s="265" t="s">
        <v>6190</v>
      </c>
      <c r="K54" s="265"/>
      <c r="L54" s="265" t="s">
        <v>6242</v>
      </c>
      <c r="M54" s="265"/>
      <c r="N54" s="264"/>
      <c r="O54" s="265" t="s">
        <v>6216</v>
      </c>
      <c r="P54" s="264"/>
      <c r="Q54" s="264"/>
      <c r="R54" s="264"/>
      <c r="S54" s="264"/>
      <c r="T54" s="264"/>
      <c r="U54" s="264"/>
      <c r="V54" s="264"/>
      <c r="W54" s="264"/>
      <c r="X54" s="264"/>
      <c r="Y54" s="264"/>
      <c r="Z54" s="264"/>
    </row>
    <row r="55">
      <c r="A55" s="264"/>
      <c r="B55" s="265" t="s">
        <v>227</v>
      </c>
      <c r="C55" s="265">
        <v>9593.0</v>
      </c>
      <c r="D55" s="266">
        <v>23217.0</v>
      </c>
      <c r="E55" s="266">
        <v>44564.0</v>
      </c>
      <c r="F55" s="267">
        <v>0.65625</v>
      </c>
      <c r="G55" s="265" t="s">
        <v>6328</v>
      </c>
      <c r="H55" s="265" t="s">
        <v>14</v>
      </c>
      <c r="I55" s="265" t="s">
        <v>6222</v>
      </c>
      <c r="J55" s="265" t="s">
        <v>6199</v>
      </c>
      <c r="K55" s="265"/>
      <c r="L55" s="265" t="s">
        <v>6242</v>
      </c>
      <c r="M55" s="265"/>
      <c r="N55" s="264"/>
      <c r="O55" s="265" t="s">
        <v>5</v>
      </c>
      <c r="P55" s="264"/>
      <c r="Q55" s="264"/>
      <c r="R55" s="264"/>
      <c r="S55" s="264"/>
      <c r="T55" s="264"/>
      <c r="U55" s="264"/>
      <c r="V55" s="264"/>
      <c r="W55" s="264"/>
      <c r="X55" s="264"/>
      <c r="Y55" s="264"/>
      <c r="Z55" s="264"/>
    </row>
    <row r="56">
      <c r="A56" s="264"/>
      <c r="B56" s="265" t="s">
        <v>3005</v>
      </c>
      <c r="C56" s="265">
        <v>14434.0</v>
      </c>
      <c r="D56" s="266">
        <v>22526.0</v>
      </c>
      <c r="E56" s="266">
        <v>44564.0</v>
      </c>
      <c r="F56" s="267">
        <v>0.65625</v>
      </c>
      <c r="G56" s="265" t="s">
        <v>6323</v>
      </c>
      <c r="H56" s="265" t="s">
        <v>14</v>
      </c>
      <c r="I56" s="265" t="s">
        <v>6219</v>
      </c>
      <c r="J56" s="265" t="s">
        <v>6130</v>
      </c>
      <c r="K56" s="265"/>
      <c r="L56" s="265" t="s">
        <v>6242</v>
      </c>
      <c r="M56" s="265"/>
      <c r="N56" s="264"/>
      <c r="O56" s="265" t="s">
        <v>5</v>
      </c>
      <c r="P56" s="264"/>
      <c r="Q56" s="264"/>
      <c r="R56" s="264"/>
      <c r="S56" s="264"/>
      <c r="T56" s="264"/>
      <c r="U56" s="264"/>
      <c r="V56" s="264"/>
      <c r="W56" s="264"/>
      <c r="X56" s="264"/>
      <c r="Y56" s="264"/>
      <c r="Z56" s="264"/>
    </row>
    <row r="57" hidden="1">
      <c r="A57" s="264"/>
      <c r="B57" s="265" t="s">
        <v>3754</v>
      </c>
      <c r="C57" s="265">
        <v>15340.0</v>
      </c>
      <c r="D57" s="266">
        <v>20218.0</v>
      </c>
      <c r="E57" s="266">
        <v>44564.0</v>
      </c>
      <c r="F57" s="267">
        <v>0.65625</v>
      </c>
      <c r="G57" s="265" t="s">
        <v>6328</v>
      </c>
      <c r="H57" s="265" t="s">
        <v>14</v>
      </c>
      <c r="I57" s="265" t="s">
        <v>6219</v>
      </c>
      <c r="J57" s="265" t="s">
        <v>6190</v>
      </c>
      <c r="K57" s="265"/>
      <c r="L57" s="265" t="s">
        <v>6242</v>
      </c>
      <c r="M57" s="265" t="s">
        <v>6242</v>
      </c>
      <c r="N57" s="264"/>
      <c r="O57" s="265" t="s">
        <v>6220</v>
      </c>
      <c r="P57" s="264"/>
      <c r="Q57" s="264"/>
      <c r="R57" s="264"/>
      <c r="S57" s="264"/>
      <c r="T57" s="264"/>
      <c r="U57" s="264"/>
      <c r="V57" s="264"/>
      <c r="W57" s="264"/>
      <c r="X57" s="264"/>
      <c r="Y57" s="264"/>
      <c r="Z57" s="264"/>
    </row>
    <row r="58">
      <c r="A58" s="264"/>
      <c r="B58" s="265" t="s">
        <v>2232</v>
      </c>
      <c r="C58" s="265">
        <v>13442.0</v>
      </c>
      <c r="D58" s="266">
        <v>19087.0</v>
      </c>
      <c r="E58" s="266">
        <v>44564.0</v>
      </c>
      <c r="F58" s="267">
        <v>0.65625</v>
      </c>
      <c r="G58" s="265" t="s">
        <v>6328</v>
      </c>
      <c r="H58" s="265" t="s">
        <v>14</v>
      </c>
      <c r="I58" s="265" t="s">
        <v>6219</v>
      </c>
      <c r="J58" s="265" t="s">
        <v>6199</v>
      </c>
      <c r="K58" s="265"/>
      <c r="L58" s="265" t="s">
        <v>6242</v>
      </c>
      <c r="M58" s="265" t="s">
        <v>6242</v>
      </c>
      <c r="N58" s="264"/>
      <c r="O58" s="265" t="s">
        <v>6215</v>
      </c>
      <c r="P58" s="264"/>
      <c r="Q58" s="264"/>
      <c r="R58" s="264"/>
      <c r="S58" s="264"/>
      <c r="T58" s="264"/>
      <c r="U58" s="264"/>
      <c r="V58" s="264"/>
      <c r="W58" s="264"/>
      <c r="X58" s="264"/>
      <c r="Y58" s="264"/>
      <c r="Z58" s="264"/>
    </row>
    <row r="59" hidden="1">
      <c r="A59" s="264"/>
      <c r="B59" s="265" t="s">
        <v>1366</v>
      </c>
      <c r="C59" s="265">
        <v>12287.0</v>
      </c>
      <c r="D59" s="266">
        <v>26721.0</v>
      </c>
      <c r="E59" s="266">
        <v>44564.0</v>
      </c>
      <c r="F59" s="267">
        <v>0.6145833333333334</v>
      </c>
      <c r="G59" s="265" t="s">
        <v>6323</v>
      </c>
      <c r="H59" s="265" t="s">
        <v>14</v>
      </c>
      <c r="I59" s="265" t="s">
        <v>6222</v>
      </c>
      <c r="J59" s="265" t="s">
        <v>6196</v>
      </c>
      <c r="K59" s="265"/>
      <c r="L59" s="265" t="s">
        <v>6242</v>
      </c>
      <c r="M59" s="265"/>
      <c r="N59" s="264"/>
      <c r="O59" s="265" t="s">
        <v>5</v>
      </c>
      <c r="P59" s="264"/>
      <c r="Q59" s="264"/>
      <c r="R59" s="264"/>
      <c r="S59" s="264"/>
      <c r="T59" s="264"/>
      <c r="U59" s="264"/>
      <c r="V59" s="264"/>
      <c r="W59" s="264"/>
      <c r="X59" s="264"/>
      <c r="Y59" s="264"/>
      <c r="Z59" s="264"/>
    </row>
    <row r="60">
      <c r="A60" s="264"/>
      <c r="B60" s="265" t="s">
        <v>5933</v>
      </c>
      <c r="C60" s="265">
        <v>17678.0</v>
      </c>
      <c r="D60" s="266">
        <v>16948.0</v>
      </c>
      <c r="E60" s="266">
        <v>44564.0</v>
      </c>
      <c r="F60" s="267">
        <v>0.6458333333333334</v>
      </c>
      <c r="G60" s="265" t="s">
        <v>6328</v>
      </c>
      <c r="H60" s="265" t="s">
        <v>13</v>
      </c>
      <c r="I60" s="265" t="s">
        <v>6212</v>
      </c>
      <c r="J60" s="265" t="s">
        <v>6199</v>
      </c>
      <c r="K60" s="265" t="s">
        <v>6242</v>
      </c>
      <c r="L60" s="265"/>
      <c r="M60" s="265"/>
      <c r="N60" s="264"/>
      <c r="O60" s="265" t="s">
        <v>6213</v>
      </c>
      <c r="P60" s="264"/>
      <c r="Q60" s="264"/>
      <c r="R60" s="264"/>
      <c r="S60" s="264"/>
      <c r="T60" s="264"/>
      <c r="U60" s="264"/>
      <c r="V60" s="264"/>
      <c r="W60" s="264"/>
      <c r="X60" s="264"/>
      <c r="Y60" s="264"/>
      <c r="Z60" s="264"/>
    </row>
    <row r="61">
      <c r="A61" s="264"/>
      <c r="B61" s="265" t="s">
        <v>5940</v>
      </c>
      <c r="C61" s="265">
        <v>17814.0</v>
      </c>
      <c r="D61" s="266">
        <v>27895.0</v>
      </c>
      <c r="E61" s="266">
        <v>44564.0</v>
      </c>
      <c r="F61" s="267">
        <v>0.6458333333333334</v>
      </c>
      <c r="G61" s="265" t="s">
        <v>6328</v>
      </c>
      <c r="H61" s="265" t="s">
        <v>13</v>
      </c>
      <c r="I61" s="265" t="s">
        <v>6212</v>
      </c>
      <c r="J61" s="265" t="s">
        <v>6101</v>
      </c>
      <c r="K61" s="265" t="s">
        <v>6242</v>
      </c>
      <c r="L61" s="265"/>
      <c r="M61" s="265"/>
      <c r="N61" s="264"/>
      <c r="O61" s="265" t="s">
        <v>6213</v>
      </c>
      <c r="P61" s="264"/>
      <c r="Q61" s="264"/>
      <c r="R61" s="264"/>
      <c r="S61" s="264"/>
      <c r="T61" s="264"/>
      <c r="U61" s="264"/>
      <c r="V61" s="264"/>
      <c r="W61" s="264"/>
      <c r="X61" s="264"/>
      <c r="Y61" s="264"/>
      <c r="Z61" s="264"/>
    </row>
    <row r="62">
      <c r="A62" s="264"/>
      <c r="B62" s="265" t="s">
        <v>5939</v>
      </c>
      <c r="C62" s="265">
        <v>17812.0</v>
      </c>
      <c r="D62" s="266">
        <v>21219.0</v>
      </c>
      <c r="E62" s="266">
        <v>44564.0</v>
      </c>
      <c r="F62" s="267">
        <v>0.65625</v>
      </c>
      <c r="G62" s="265" t="s">
        <v>6323</v>
      </c>
      <c r="H62" s="265" t="s">
        <v>13</v>
      </c>
      <c r="I62" s="265" t="s">
        <v>6212</v>
      </c>
      <c r="J62" s="265" t="s">
        <v>6089</v>
      </c>
      <c r="K62" s="265" t="s">
        <v>6242</v>
      </c>
      <c r="L62" s="265"/>
      <c r="M62" s="265"/>
      <c r="N62" s="264"/>
      <c r="O62" s="265" t="s">
        <v>6213</v>
      </c>
      <c r="P62" s="264"/>
      <c r="Q62" s="264"/>
      <c r="R62" s="264"/>
      <c r="S62" s="264"/>
      <c r="T62" s="264"/>
      <c r="U62" s="264"/>
      <c r="V62" s="264"/>
      <c r="W62" s="264"/>
      <c r="X62" s="264"/>
      <c r="Y62" s="264"/>
      <c r="Z62" s="264"/>
    </row>
    <row r="63" hidden="1">
      <c r="A63" s="264"/>
      <c r="B63" s="265" t="s">
        <v>2764</v>
      </c>
      <c r="C63" s="265">
        <v>14125.0</v>
      </c>
      <c r="D63" s="266">
        <v>20213.0</v>
      </c>
      <c r="E63" s="266">
        <v>44564.0</v>
      </c>
      <c r="F63" s="267">
        <v>0.65625</v>
      </c>
      <c r="G63" s="265" t="s">
        <v>6323</v>
      </c>
      <c r="H63" s="265" t="s">
        <v>13</v>
      </c>
      <c r="I63" s="265" t="s">
        <v>6221</v>
      </c>
      <c r="J63" s="265" t="s">
        <v>6192</v>
      </c>
      <c r="K63" s="265"/>
      <c r="L63" s="265" t="s">
        <v>6242</v>
      </c>
      <c r="M63" s="265"/>
      <c r="N63" s="264"/>
      <c r="O63" s="265" t="s">
        <v>6216</v>
      </c>
      <c r="P63" s="264"/>
      <c r="Q63" s="264"/>
      <c r="R63" s="264"/>
      <c r="S63" s="264"/>
      <c r="T63" s="264"/>
      <c r="U63" s="264"/>
      <c r="V63" s="264"/>
      <c r="W63" s="264"/>
      <c r="X63" s="264"/>
      <c r="Y63" s="264"/>
      <c r="Z63" s="264"/>
    </row>
    <row r="64" hidden="1">
      <c r="A64" s="264"/>
      <c r="B64" s="265" t="s">
        <v>4041</v>
      </c>
      <c r="C64" s="265">
        <v>15670.0</v>
      </c>
      <c r="D64" s="266">
        <v>19901.0</v>
      </c>
      <c r="E64" s="266">
        <v>44564.0</v>
      </c>
      <c r="F64" s="267">
        <v>0.65625</v>
      </c>
      <c r="G64" s="265" t="s">
        <v>6328</v>
      </c>
      <c r="H64" s="265" t="s">
        <v>13</v>
      </c>
      <c r="I64" s="265" t="s">
        <v>6221</v>
      </c>
      <c r="J64" s="265" t="s">
        <v>6190</v>
      </c>
      <c r="K64" s="265"/>
      <c r="L64" s="265" t="s">
        <v>6242</v>
      </c>
      <c r="M64" s="265"/>
      <c r="N64" s="264"/>
      <c r="O64" s="265" t="s">
        <v>6216</v>
      </c>
      <c r="P64" s="264"/>
      <c r="Q64" s="264"/>
      <c r="R64" s="264"/>
      <c r="S64" s="264"/>
      <c r="T64" s="264"/>
      <c r="U64" s="264"/>
      <c r="V64" s="264"/>
      <c r="W64" s="264"/>
      <c r="X64" s="264"/>
      <c r="Y64" s="264"/>
      <c r="Z64" s="264"/>
    </row>
    <row r="65" hidden="1">
      <c r="A65" s="264"/>
      <c r="B65" s="265" t="s">
        <v>4697</v>
      </c>
      <c r="C65" s="265">
        <v>16449.0</v>
      </c>
      <c r="D65" s="266">
        <v>23434.0</v>
      </c>
      <c r="E65" s="266">
        <v>44564.0</v>
      </c>
      <c r="F65" s="267">
        <v>0.6145833333333334</v>
      </c>
      <c r="G65" s="265" t="s">
        <v>6328</v>
      </c>
      <c r="H65" s="265" t="s">
        <v>14</v>
      </c>
      <c r="I65" s="265" t="s">
        <v>6219</v>
      </c>
      <c r="J65" s="265" t="s">
        <v>6189</v>
      </c>
      <c r="K65" s="265"/>
      <c r="L65" s="265" t="s">
        <v>6242</v>
      </c>
      <c r="M65" s="265"/>
      <c r="N65" s="264"/>
      <c r="O65" s="265" t="s">
        <v>6216</v>
      </c>
      <c r="P65" s="264"/>
      <c r="Q65" s="264"/>
      <c r="R65" s="264"/>
      <c r="S65" s="264"/>
      <c r="T65" s="264"/>
      <c r="U65" s="264"/>
      <c r="V65" s="264"/>
      <c r="W65" s="264"/>
      <c r="X65" s="264"/>
      <c r="Y65" s="264"/>
      <c r="Z65" s="264"/>
    </row>
    <row r="66" hidden="1">
      <c r="A66" s="264"/>
      <c r="B66" s="265" t="s">
        <v>5938</v>
      </c>
      <c r="C66" s="265">
        <v>9592.0</v>
      </c>
      <c r="D66" s="266">
        <v>20695.0</v>
      </c>
      <c r="E66" s="266">
        <v>44564.0</v>
      </c>
      <c r="F66" s="267">
        <v>0.34375</v>
      </c>
      <c r="G66" s="265" t="s">
        <v>6323</v>
      </c>
      <c r="H66" s="265" t="s">
        <v>13</v>
      </c>
      <c r="I66" s="265" t="s">
        <v>6219</v>
      </c>
      <c r="J66" s="265" t="s">
        <v>6195</v>
      </c>
      <c r="K66" s="265"/>
      <c r="L66" s="265" t="s">
        <v>6242</v>
      </c>
      <c r="M66" s="265"/>
      <c r="N66" s="264"/>
      <c r="O66" s="265" t="s">
        <v>6216</v>
      </c>
      <c r="P66" s="264"/>
      <c r="Q66" s="264"/>
      <c r="R66" s="264"/>
      <c r="S66" s="264"/>
      <c r="T66" s="264"/>
      <c r="U66" s="264"/>
      <c r="V66" s="264"/>
      <c r="W66" s="264"/>
      <c r="X66" s="264"/>
      <c r="Y66" s="264"/>
      <c r="Z66" s="264"/>
    </row>
    <row r="67">
      <c r="A67" s="264"/>
      <c r="B67" s="264"/>
      <c r="C67" s="264"/>
      <c r="D67" s="264"/>
      <c r="E67" s="264"/>
      <c r="F67" s="264"/>
      <c r="G67" s="264"/>
      <c r="H67" s="264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264"/>
      <c r="V67" s="264"/>
      <c r="W67" s="264"/>
      <c r="X67" s="264"/>
      <c r="Y67" s="264"/>
      <c r="Z67" s="264"/>
    </row>
    <row r="68">
      <c r="A68" s="264"/>
      <c r="B68" s="265" t="s">
        <v>684</v>
      </c>
      <c r="C68" s="265">
        <v>10780.0</v>
      </c>
      <c r="D68" s="266">
        <v>17668.0</v>
      </c>
      <c r="E68" s="266">
        <v>44565.0</v>
      </c>
      <c r="F68" s="267">
        <v>0.3541666666666667</v>
      </c>
      <c r="G68" s="265" t="s">
        <v>6323</v>
      </c>
      <c r="H68" s="265" t="s">
        <v>14</v>
      </c>
      <c r="I68" s="265" t="s">
        <v>6219</v>
      </c>
      <c r="J68" s="265" t="s">
        <v>6189</v>
      </c>
      <c r="K68" s="265"/>
      <c r="L68" s="265" t="s">
        <v>6242</v>
      </c>
      <c r="M68" s="265"/>
      <c r="N68" s="264"/>
      <c r="O68" s="265" t="e">
        <v>#N/A</v>
      </c>
      <c r="P68" s="264"/>
      <c r="Q68" s="264"/>
      <c r="R68" s="264"/>
      <c r="S68" s="264"/>
      <c r="T68" s="264"/>
      <c r="U68" s="264"/>
      <c r="V68" s="264"/>
      <c r="W68" s="264"/>
      <c r="X68" s="264"/>
      <c r="Y68" s="264"/>
      <c r="Z68" s="264"/>
    </row>
    <row r="69">
      <c r="A69" s="264"/>
      <c r="B69" s="265" t="s">
        <v>2827</v>
      </c>
      <c r="C69" s="265">
        <v>14212.0</v>
      </c>
      <c r="D69" s="266">
        <v>21952.0</v>
      </c>
      <c r="E69" s="266">
        <v>44565.0</v>
      </c>
      <c r="F69" s="267">
        <v>0.3541666666666667</v>
      </c>
      <c r="G69" s="265" t="s">
        <v>6323</v>
      </c>
      <c r="H69" s="265" t="s">
        <v>14</v>
      </c>
      <c r="I69" s="265" t="s">
        <v>6219</v>
      </c>
      <c r="J69" s="265" t="s">
        <v>6091</v>
      </c>
      <c r="K69" s="265"/>
      <c r="L69" s="265" t="s">
        <v>6242</v>
      </c>
      <c r="M69" s="265" t="s">
        <v>6242</v>
      </c>
      <c r="N69" s="264"/>
      <c r="O69" s="265" t="s">
        <v>6215</v>
      </c>
      <c r="P69" s="264"/>
      <c r="Q69" s="264"/>
      <c r="R69" s="264"/>
      <c r="S69" s="264"/>
      <c r="T69" s="264"/>
      <c r="U69" s="264"/>
      <c r="V69" s="264"/>
      <c r="W69" s="264"/>
      <c r="X69" s="264"/>
      <c r="Y69" s="264"/>
      <c r="Z69" s="264"/>
    </row>
    <row r="70">
      <c r="A70" s="264"/>
      <c r="B70" s="265" t="s">
        <v>2556</v>
      </c>
      <c r="C70" s="265">
        <v>13850.0</v>
      </c>
      <c r="D70" s="266">
        <v>27494.0</v>
      </c>
      <c r="E70" s="266">
        <v>44565.0</v>
      </c>
      <c r="F70" s="267">
        <v>0.375</v>
      </c>
      <c r="G70" s="265" t="s">
        <v>6328</v>
      </c>
      <c r="H70" s="265" t="s">
        <v>14</v>
      </c>
      <c r="I70" s="265" t="s">
        <v>6222</v>
      </c>
      <c r="J70" s="265" t="s">
        <v>6202</v>
      </c>
      <c r="K70" s="265"/>
      <c r="L70" s="265" t="s">
        <v>6242</v>
      </c>
      <c r="M70" s="265"/>
      <c r="N70" s="264"/>
      <c r="O70" s="265" t="s">
        <v>5</v>
      </c>
      <c r="P70" s="264"/>
      <c r="Q70" s="264"/>
      <c r="R70" s="264"/>
      <c r="S70" s="264"/>
      <c r="T70" s="264"/>
      <c r="U70" s="264"/>
      <c r="V70" s="264"/>
      <c r="W70" s="264"/>
      <c r="X70" s="264"/>
      <c r="Y70" s="264"/>
      <c r="Z70" s="264"/>
    </row>
    <row r="71">
      <c r="A71" s="264"/>
      <c r="B71" s="265" t="s">
        <v>241</v>
      </c>
      <c r="C71" s="265">
        <v>9630.0</v>
      </c>
      <c r="D71" s="266">
        <v>26628.0</v>
      </c>
      <c r="E71" s="266">
        <v>44565.0</v>
      </c>
      <c r="F71" s="267">
        <v>0.375</v>
      </c>
      <c r="G71" s="265" t="s">
        <v>6328</v>
      </c>
      <c r="H71" s="265" t="s">
        <v>14</v>
      </c>
      <c r="I71" s="265" t="s">
        <v>6219</v>
      </c>
      <c r="J71" s="265" t="s">
        <v>6199</v>
      </c>
      <c r="K71" s="265"/>
      <c r="L71" s="265" t="s">
        <v>6242</v>
      </c>
      <c r="M71" s="265"/>
      <c r="N71" s="264"/>
      <c r="O71" s="265" t="s">
        <v>5</v>
      </c>
      <c r="P71" s="264"/>
      <c r="Q71" s="264"/>
      <c r="R71" s="264"/>
      <c r="S71" s="264"/>
      <c r="T71" s="264"/>
      <c r="U71" s="264"/>
      <c r="V71" s="264"/>
      <c r="W71" s="264"/>
      <c r="X71" s="264"/>
      <c r="Y71" s="264"/>
      <c r="Z71" s="264"/>
    </row>
    <row r="72">
      <c r="A72" s="264"/>
      <c r="B72" s="265" t="s">
        <v>4536</v>
      </c>
      <c r="C72" s="265">
        <v>16235.0</v>
      </c>
      <c r="D72" s="266">
        <v>21675.0</v>
      </c>
      <c r="E72" s="266">
        <v>44565.0</v>
      </c>
      <c r="F72" s="267">
        <v>0.3958333333333333</v>
      </c>
      <c r="G72" s="265" t="s">
        <v>6323</v>
      </c>
      <c r="H72" s="265" t="s">
        <v>12</v>
      </c>
      <c r="I72" s="265" t="s">
        <v>6221</v>
      </c>
      <c r="J72" s="265" t="s">
        <v>6189</v>
      </c>
      <c r="K72" s="265"/>
      <c r="L72" s="265" t="s">
        <v>6242</v>
      </c>
      <c r="M72" s="265"/>
      <c r="N72" s="264"/>
      <c r="O72" s="265" t="s">
        <v>6216</v>
      </c>
      <c r="P72" s="264"/>
      <c r="Q72" s="264"/>
      <c r="R72" s="264"/>
      <c r="S72" s="264"/>
      <c r="T72" s="264"/>
      <c r="U72" s="264"/>
      <c r="V72" s="264"/>
      <c r="W72" s="264"/>
      <c r="X72" s="264"/>
      <c r="Y72" s="264"/>
      <c r="Z72" s="264"/>
    </row>
    <row r="73">
      <c r="A73" s="264"/>
      <c r="B73" s="265" t="s">
        <v>4741</v>
      </c>
      <c r="C73" s="265">
        <v>16505.0</v>
      </c>
      <c r="D73" s="266">
        <v>21464.0</v>
      </c>
      <c r="E73" s="266">
        <v>44565.0</v>
      </c>
      <c r="F73" s="267">
        <v>0.3958333333333333</v>
      </c>
      <c r="G73" s="265" t="s">
        <v>6323</v>
      </c>
      <c r="H73" s="265" t="s">
        <v>14</v>
      </c>
      <c r="I73" s="265" t="s">
        <v>6219</v>
      </c>
      <c r="J73" s="265" t="s">
        <v>6195</v>
      </c>
      <c r="K73" s="265"/>
      <c r="L73" s="265" t="s">
        <v>6242</v>
      </c>
      <c r="M73" s="265"/>
      <c r="N73" s="264"/>
      <c r="O73" s="265" t="s">
        <v>6216</v>
      </c>
      <c r="P73" s="264"/>
      <c r="Q73" s="264"/>
      <c r="R73" s="264"/>
      <c r="S73" s="264"/>
      <c r="T73" s="264"/>
      <c r="U73" s="264"/>
      <c r="V73" s="264"/>
      <c r="W73" s="264"/>
      <c r="X73" s="264"/>
      <c r="Y73" s="264"/>
      <c r="Z73" s="264"/>
    </row>
    <row r="74">
      <c r="A74" s="264"/>
      <c r="B74" s="265" t="s">
        <v>1678</v>
      </c>
      <c r="C74" s="265">
        <v>12749.0</v>
      </c>
      <c r="D74" s="266">
        <v>14564.0</v>
      </c>
      <c r="E74" s="266">
        <v>44565.0</v>
      </c>
      <c r="F74" s="267">
        <v>0.40625</v>
      </c>
      <c r="G74" s="265" t="s">
        <v>6323</v>
      </c>
      <c r="H74" s="265" t="s">
        <v>14</v>
      </c>
      <c r="I74" s="265" t="s">
        <v>6219</v>
      </c>
      <c r="J74" s="265" t="s">
        <v>6137</v>
      </c>
      <c r="K74" s="265"/>
      <c r="L74" s="265" t="s">
        <v>6242</v>
      </c>
      <c r="M74" s="265"/>
      <c r="N74" s="264"/>
      <c r="O74" s="265" t="s">
        <v>5</v>
      </c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</row>
    <row r="75">
      <c r="A75" s="264"/>
      <c r="B75" s="265" t="s">
        <v>55</v>
      </c>
      <c r="C75" s="265">
        <v>9171.0</v>
      </c>
      <c r="D75" s="266">
        <v>20896.0</v>
      </c>
      <c r="E75" s="266">
        <v>44565.0</v>
      </c>
      <c r="F75" s="267">
        <v>0.40625</v>
      </c>
      <c r="G75" s="265" t="s">
        <v>6328</v>
      </c>
      <c r="H75" s="265" t="s">
        <v>14</v>
      </c>
      <c r="I75" s="265" t="s">
        <v>6222</v>
      </c>
      <c r="J75" s="265" t="s">
        <v>6083</v>
      </c>
      <c r="K75" s="265"/>
      <c r="L75" s="265" t="s">
        <v>6242</v>
      </c>
      <c r="M75" s="265"/>
      <c r="N75" s="264"/>
      <c r="O75" s="265" t="s">
        <v>5</v>
      </c>
      <c r="P75" s="264"/>
      <c r="Q75" s="264"/>
      <c r="R75" s="264"/>
      <c r="S75" s="264"/>
      <c r="T75" s="264"/>
      <c r="U75" s="264"/>
      <c r="V75" s="264"/>
      <c r="W75" s="264"/>
      <c r="X75" s="264"/>
      <c r="Y75" s="264"/>
      <c r="Z75" s="264"/>
    </row>
    <row r="76">
      <c r="A76" s="264"/>
      <c r="B76" s="265" t="s">
        <v>664</v>
      </c>
      <c r="C76" s="265">
        <v>10741.0</v>
      </c>
      <c r="D76" s="266">
        <v>18129.0</v>
      </c>
      <c r="E76" s="266">
        <v>44565.0</v>
      </c>
      <c r="F76" s="267">
        <v>0.4166666666666667</v>
      </c>
      <c r="G76" s="265" t="s">
        <v>6328</v>
      </c>
      <c r="H76" s="265" t="s">
        <v>14</v>
      </c>
      <c r="I76" s="265" t="s">
        <v>6219</v>
      </c>
      <c r="J76" s="265" t="s">
        <v>6199</v>
      </c>
      <c r="K76" s="265"/>
      <c r="L76" s="265" t="s">
        <v>6242</v>
      </c>
      <c r="M76" s="265"/>
      <c r="N76" s="264"/>
      <c r="O76" s="265" t="s">
        <v>5</v>
      </c>
      <c r="P76" s="264"/>
      <c r="Q76" s="264"/>
      <c r="R76" s="264"/>
      <c r="S76" s="264"/>
      <c r="T76" s="264"/>
      <c r="U76" s="264"/>
      <c r="V76" s="264"/>
      <c r="W76" s="264"/>
      <c r="X76" s="264"/>
      <c r="Y76" s="264"/>
      <c r="Z76" s="264"/>
    </row>
    <row r="77">
      <c r="A77" s="264"/>
      <c r="B77" s="265" t="s">
        <v>3509</v>
      </c>
      <c r="C77" s="265">
        <v>15046.0</v>
      </c>
      <c r="D77" s="266">
        <v>35872.0</v>
      </c>
      <c r="E77" s="266">
        <v>44565.0</v>
      </c>
      <c r="F77" s="267">
        <v>0.4479166666666667</v>
      </c>
      <c r="G77" s="265" t="s">
        <v>6323</v>
      </c>
      <c r="H77" s="265" t="s">
        <v>14</v>
      </c>
      <c r="I77" s="265" t="s">
        <v>6219</v>
      </c>
      <c r="J77" s="265" t="s">
        <v>6154</v>
      </c>
      <c r="K77" s="265"/>
      <c r="L77" s="265" t="s">
        <v>6242</v>
      </c>
      <c r="M77" s="265" t="s">
        <v>6242</v>
      </c>
      <c r="N77" s="264"/>
      <c r="O77" s="265" t="s">
        <v>6215</v>
      </c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</row>
    <row r="78">
      <c r="A78" s="264"/>
      <c r="B78" s="265" t="s">
        <v>4217</v>
      </c>
      <c r="C78" s="265">
        <v>15862.0</v>
      </c>
      <c r="D78" s="266">
        <v>15971.0</v>
      </c>
      <c r="E78" s="266">
        <v>44565.0</v>
      </c>
      <c r="F78" s="267">
        <v>0.4583333333333333</v>
      </c>
      <c r="G78" s="265" t="s">
        <v>6323</v>
      </c>
      <c r="H78" s="265" t="s">
        <v>14</v>
      </c>
      <c r="I78" s="265" t="s">
        <v>6219</v>
      </c>
      <c r="J78" s="265" t="s">
        <v>6196</v>
      </c>
      <c r="K78" s="265"/>
      <c r="L78" s="265" t="s">
        <v>6242</v>
      </c>
      <c r="M78" s="265" t="s">
        <v>6242</v>
      </c>
      <c r="N78" s="264"/>
      <c r="O78" s="265" t="s">
        <v>6220</v>
      </c>
      <c r="P78" s="264"/>
      <c r="Q78" s="264"/>
      <c r="R78" s="264"/>
      <c r="S78" s="264"/>
      <c r="T78" s="264"/>
      <c r="U78" s="264"/>
      <c r="V78" s="264"/>
      <c r="W78" s="264"/>
      <c r="X78" s="264"/>
      <c r="Y78" s="264"/>
      <c r="Z78" s="264"/>
    </row>
    <row r="79">
      <c r="A79" s="264"/>
      <c r="B79" s="265" t="s">
        <v>5421</v>
      </c>
      <c r="C79" s="265">
        <v>17372.0</v>
      </c>
      <c r="D79" s="266">
        <v>28927.0</v>
      </c>
      <c r="E79" s="266">
        <v>44565.0</v>
      </c>
      <c r="F79" s="267">
        <v>0.4583333333333333</v>
      </c>
      <c r="G79" s="265" t="s">
        <v>6323</v>
      </c>
      <c r="H79" s="265" t="s">
        <v>14</v>
      </c>
      <c r="I79" s="265" t="s">
        <v>6222</v>
      </c>
      <c r="J79" s="265" t="s">
        <v>6126</v>
      </c>
      <c r="K79" s="265"/>
      <c r="L79" s="265" t="s">
        <v>6242</v>
      </c>
      <c r="M79" s="265" t="s">
        <v>6242</v>
      </c>
      <c r="N79" s="265"/>
      <c r="O79" s="265" t="s">
        <v>6215</v>
      </c>
      <c r="P79" s="264"/>
      <c r="Q79" s="264"/>
      <c r="R79" s="264"/>
      <c r="S79" s="264"/>
      <c r="T79" s="264"/>
      <c r="U79" s="264"/>
      <c r="V79" s="264"/>
      <c r="W79" s="264"/>
      <c r="X79" s="264"/>
      <c r="Y79" s="264"/>
      <c r="Z79" s="264"/>
    </row>
    <row r="80">
      <c r="A80" s="264"/>
      <c r="B80" s="265" t="s">
        <v>2520</v>
      </c>
      <c r="C80" s="265">
        <v>13800.0</v>
      </c>
      <c r="D80" s="266">
        <v>21061.0</v>
      </c>
      <c r="E80" s="266">
        <v>44565.0</v>
      </c>
      <c r="F80" s="267">
        <v>0.46875</v>
      </c>
      <c r="G80" s="265" t="s">
        <v>6323</v>
      </c>
      <c r="H80" s="265" t="s">
        <v>14</v>
      </c>
      <c r="I80" s="265" t="s">
        <v>6222</v>
      </c>
      <c r="J80" s="265" t="s">
        <v>6117</v>
      </c>
      <c r="K80" s="264"/>
      <c r="L80" s="265" t="s">
        <v>6242</v>
      </c>
      <c r="M80" s="265" t="s">
        <v>6242</v>
      </c>
      <c r="N80" s="264"/>
      <c r="O80" s="265" t="s">
        <v>6215</v>
      </c>
      <c r="P80" s="264"/>
      <c r="Q80" s="264"/>
      <c r="R80" s="264"/>
      <c r="S80" s="264"/>
      <c r="T80" s="264"/>
      <c r="U80" s="264"/>
      <c r="V80" s="264"/>
      <c r="W80" s="264"/>
      <c r="X80" s="264"/>
      <c r="Y80" s="264"/>
      <c r="Z80" s="264"/>
    </row>
    <row r="81">
      <c r="A81" s="264"/>
      <c r="B81" s="265" t="s">
        <v>5080</v>
      </c>
      <c r="C81" s="265">
        <v>16942.0</v>
      </c>
      <c r="D81" s="266">
        <v>21275.0</v>
      </c>
      <c r="E81" s="266">
        <v>44565.0</v>
      </c>
      <c r="F81" s="267">
        <v>0.4583333333333333</v>
      </c>
      <c r="G81" s="265" t="s">
        <v>6323</v>
      </c>
      <c r="H81" s="265" t="s">
        <v>12</v>
      </c>
      <c r="I81" s="265" t="s">
        <v>6212</v>
      </c>
      <c r="J81" s="265" t="s">
        <v>6089</v>
      </c>
      <c r="K81" s="265" t="s">
        <v>6242</v>
      </c>
      <c r="L81" s="265"/>
      <c r="M81" s="265"/>
      <c r="N81" s="264"/>
      <c r="O81" s="265" t="s">
        <v>6213</v>
      </c>
      <c r="P81" s="264"/>
      <c r="Q81" s="264"/>
      <c r="R81" s="264"/>
      <c r="S81" s="264"/>
      <c r="T81" s="264"/>
      <c r="U81" s="264"/>
      <c r="V81" s="264"/>
      <c r="W81" s="264"/>
      <c r="X81" s="264"/>
      <c r="Y81" s="264"/>
      <c r="Z81" s="264"/>
    </row>
    <row r="82">
      <c r="A82" s="264"/>
      <c r="B82" s="265" t="s">
        <v>5951</v>
      </c>
      <c r="C82" s="265">
        <v>17815.0</v>
      </c>
      <c r="D82" s="266">
        <v>26567.0</v>
      </c>
      <c r="E82" s="266">
        <v>44565.0</v>
      </c>
      <c r="F82" s="267">
        <v>0.4583333333333333</v>
      </c>
      <c r="G82" s="265" t="s">
        <v>6328</v>
      </c>
      <c r="H82" s="265" t="s">
        <v>12</v>
      </c>
      <c r="I82" s="265" t="s">
        <v>6212</v>
      </c>
      <c r="J82" s="265" t="s">
        <v>6217</v>
      </c>
      <c r="K82" s="265" t="s">
        <v>6242</v>
      </c>
      <c r="L82" s="265"/>
      <c r="M82" s="265"/>
      <c r="N82" s="264"/>
      <c r="O82" s="265" t="s">
        <v>6213</v>
      </c>
      <c r="P82" s="264"/>
      <c r="Q82" s="264"/>
      <c r="R82" s="264"/>
      <c r="S82" s="264"/>
      <c r="T82" s="264"/>
      <c r="U82" s="264"/>
      <c r="V82" s="264"/>
      <c r="W82" s="264"/>
      <c r="X82" s="264"/>
      <c r="Y82" s="264"/>
      <c r="Z82" s="264"/>
    </row>
    <row r="83">
      <c r="A83" s="264"/>
      <c r="B83" s="265" t="s">
        <v>3531</v>
      </c>
      <c r="C83" s="265">
        <v>15069.0</v>
      </c>
      <c r="D83" s="266">
        <v>17192.0</v>
      </c>
      <c r="E83" s="266">
        <v>44565.0</v>
      </c>
      <c r="F83" s="267">
        <v>0.46875</v>
      </c>
      <c r="G83" s="265" t="s">
        <v>6323</v>
      </c>
      <c r="H83" s="265" t="s">
        <v>12</v>
      </c>
      <c r="I83" s="265" t="s">
        <v>6221</v>
      </c>
      <c r="J83" s="265" t="s">
        <v>6193</v>
      </c>
      <c r="K83" s="265"/>
      <c r="L83" s="265" t="s">
        <v>6242</v>
      </c>
      <c r="M83" s="265"/>
      <c r="N83" s="265"/>
      <c r="O83" s="265" t="s">
        <v>6216</v>
      </c>
      <c r="P83" s="264"/>
      <c r="Q83" s="264"/>
      <c r="R83" s="264"/>
      <c r="S83" s="264"/>
      <c r="T83" s="264"/>
      <c r="U83" s="264"/>
      <c r="V83" s="264"/>
      <c r="W83" s="264"/>
      <c r="X83" s="264"/>
      <c r="Y83" s="264"/>
      <c r="Z83" s="264"/>
    </row>
    <row r="84">
      <c r="A84" s="264"/>
      <c r="B84" s="265" t="s">
        <v>883</v>
      </c>
      <c r="C84" s="265">
        <v>11255.0</v>
      </c>
      <c r="D84" s="266">
        <v>12029.0</v>
      </c>
      <c r="E84" s="266">
        <v>44565.0</v>
      </c>
      <c r="F84" s="267">
        <v>0.4791666666666667</v>
      </c>
      <c r="G84" s="265" t="s">
        <v>6328</v>
      </c>
      <c r="H84" s="265" t="s">
        <v>13</v>
      </c>
      <c r="I84" s="265" t="s">
        <v>6212</v>
      </c>
      <c r="J84" s="265" t="s">
        <v>6199</v>
      </c>
      <c r="K84" s="265"/>
      <c r="L84" s="265" t="s">
        <v>6242</v>
      </c>
      <c r="M84" s="265"/>
      <c r="N84" s="265"/>
      <c r="O84" s="265" t="s">
        <v>5</v>
      </c>
      <c r="P84" s="264"/>
      <c r="Q84" s="264"/>
      <c r="R84" s="264"/>
      <c r="S84" s="264"/>
      <c r="T84" s="264"/>
      <c r="U84" s="264"/>
      <c r="V84" s="264"/>
      <c r="W84" s="264"/>
      <c r="X84" s="264"/>
      <c r="Y84" s="264"/>
      <c r="Z84" s="264"/>
    </row>
    <row r="85">
      <c r="A85" s="264"/>
      <c r="B85" s="265" t="s">
        <v>4021</v>
      </c>
      <c r="C85" s="265">
        <v>15648.0</v>
      </c>
      <c r="D85" s="266">
        <v>25882.0</v>
      </c>
      <c r="E85" s="266">
        <v>44565.0</v>
      </c>
      <c r="F85" s="267">
        <v>0.4895833333333333</v>
      </c>
      <c r="G85" s="265" t="s">
        <v>6328</v>
      </c>
      <c r="H85" s="265" t="s">
        <v>14</v>
      </c>
      <c r="I85" s="265" t="s">
        <v>6222</v>
      </c>
      <c r="J85" s="265" t="s">
        <v>6196</v>
      </c>
      <c r="K85" s="265"/>
      <c r="L85" s="265" t="s">
        <v>6242</v>
      </c>
      <c r="M85" s="265" t="s">
        <v>6242</v>
      </c>
      <c r="N85" s="264"/>
      <c r="O85" s="265" t="s">
        <v>6220</v>
      </c>
      <c r="P85" s="264"/>
      <c r="Q85" s="264"/>
      <c r="R85" s="264"/>
      <c r="S85" s="264"/>
      <c r="T85" s="264"/>
      <c r="U85" s="264"/>
      <c r="V85" s="264"/>
      <c r="W85" s="264"/>
      <c r="X85" s="264"/>
      <c r="Y85" s="264"/>
      <c r="Z85" s="264"/>
    </row>
    <row r="86">
      <c r="A86" s="264"/>
      <c r="B86" s="265" t="s">
        <v>3378</v>
      </c>
      <c r="C86" s="265">
        <v>14880.0</v>
      </c>
      <c r="D86" s="266">
        <v>18785.0</v>
      </c>
      <c r="E86" s="266">
        <v>44565.0</v>
      </c>
      <c r="F86" s="267">
        <v>0.4791666666666667</v>
      </c>
      <c r="G86" s="265" t="s">
        <v>6323</v>
      </c>
      <c r="H86" s="265" t="s">
        <v>13</v>
      </c>
      <c r="I86" s="265" t="s">
        <v>6221</v>
      </c>
      <c r="J86" s="265" t="s">
        <v>6196</v>
      </c>
      <c r="K86" s="264"/>
      <c r="L86" s="265" t="s">
        <v>6242</v>
      </c>
      <c r="M86" s="265" t="s">
        <v>6242</v>
      </c>
      <c r="N86" s="265"/>
      <c r="O86" s="265" t="s">
        <v>6220</v>
      </c>
      <c r="P86" s="264"/>
      <c r="Q86" s="264"/>
      <c r="R86" s="264"/>
      <c r="S86" s="264"/>
      <c r="T86" s="264"/>
      <c r="U86" s="264"/>
      <c r="V86" s="264"/>
      <c r="W86" s="264"/>
      <c r="X86" s="264"/>
      <c r="Y86" s="264"/>
      <c r="Z86" s="264"/>
    </row>
    <row r="87">
      <c r="A87" s="264"/>
      <c r="B87" s="265" t="s">
        <v>4297</v>
      </c>
      <c r="C87" s="265">
        <v>15952.0</v>
      </c>
      <c r="D87" s="266">
        <v>21231.0</v>
      </c>
      <c r="E87" s="266">
        <v>44565.0</v>
      </c>
      <c r="F87" s="267">
        <v>0.4895833333333333</v>
      </c>
      <c r="G87" s="265" t="s">
        <v>6328</v>
      </c>
      <c r="H87" s="265" t="s">
        <v>12</v>
      </c>
      <c r="I87" s="265" t="s">
        <v>6221</v>
      </c>
      <c r="J87" s="265" t="s">
        <v>6192</v>
      </c>
      <c r="K87" s="265"/>
      <c r="L87" s="265" t="s">
        <v>6242</v>
      </c>
      <c r="M87" s="265"/>
      <c r="N87" s="264"/>
      <c r="O87" s="265" t="s">
        <v>6216</v>
      </c>
      <c r="P87" s="264"/>
      <c r="Q87" s="264"/>
      <c r="R87" s="264"/>
      <c r="S87" s="264"/>
      <c r="T87" s="264"/>
      <c r="U87" s="264"/>
      <c r="V87" s="264"/>
      <c r="W87" s="264"/>
      <c r="X87" s="264"/>
      <c r="Y87" s="264"/>
      <c r="Z87" s="264"/>
    </row>
    <row r="88">
      <c r="A88" s="264"/>
      <c r="B88" s="265" t="s">
        <v>5786</v>
      </c>
      <c r="C88" s="265">
        <v>17479.0</v>
      </c>
      <c r="D88" s="266">
        <v>25841.0</v>
      </c>
      <c r="E88" s="266">
        <v>44565.0</v>
      </c>
      <c r="F88" s="267">
        <v>0.4895833333333333</v>
      </c>
      <c r="G88" s="265" t="s">
        <v>6323</v>
      </c>
      <c r="H88" s="265" t="s">
        <v>12</v>
      </c>
      <c r="I88" s="265" t="s">
        <v>6212</v>
      </c>
      <c r="J88" s="265" t="s">
        <v>6139</v>
      </c>
      <c r="K88" s="265" t="s">
        <v>6242</v>
      </c>
      <c r="L88" s="265"/>
      <c r="M88" s="265"/>
      <c r="N88" s="264"/>
      <c r="O88" s="265" t="s">
        <v>6214</v>
      </c>
      <c r="P88" s="264"/>
      <c r="Q88" s="264"/>
      <c r="R88" s="264"/>
      <c r="S88" s="264"/>
      <c r="T88" s="264"/>
      <c r="U88" s="264"/>
      <c r="V88" s="264"/>
      <c r="W88" s="264"/>
      <c r="X88" s="264"/>
      <c r="Y88" s="264"/>
      <c r="Z88" s="264"/>
    </row>
    <row r="89">
      <c r="A89" s="264"/>
      <c r="B89" s="265" t="s">
        <v>5948</v>
      </c>
      <c r="C89" s="265">
        <v>17802.0</v>
      </c>
      <c r="D89" s="266">
        <v>17369.0</v>
      </c>
      <c r="E89" s="266">
        <v>44565.0</v>
      </c>
      <c r="F89" s="267">
        <v>0.5</v>
      </c>
      <c r="G89" s="265" t="s">
        <v>6328</v>
      </c>
      <c r="H89" s="265" t="s">
        <v>13</v>
      </c>
      <c r="I89" s="265" t="s">
        <v>6212</v>
      </c>
      <c r="J89" s="265" t="s">
        <v>6199</v>
      </c>
      <c r="K89" s="265" t="s">
        <v>6242</v>
      </c>
      <c r="L89" s="265"/>
      <c r="M89" s="265"/>
      <c r="N89" s="264"/>
      <c r="O89" s="265" t="s">
        <v>6213</v>
      </c>
      <c r="P89" s="264"/>
      <c r="Q89" s="264"/>
      <c r="R89" s="264"/>
      <c r="S89" s="264"/>
      <c r="T89" s="264"/>
      <c r="U89" s="264"/>
      <c r="V89" s="264"/>
      <c r="W89" s="264"/>
      <c r="X89" s="264"/>
      <c r="Y89" s="264"/>
      <c r="Z89" s="264"/>
    </row>
    <row r="90">
      <c r="A90" s="264"/>
      <c r="B90" s="265" t="s">
        <v>5949</v>
      </c>
      <c r="C90" s="265">
        <v>17788.0</v>
      </c>
      <c r="D90" s="266">
        <v>11506.0</v>
      </c>
      <c r="E90" s="266">
        <v>44565.0</v>
      </c>
      <c r="F90" s="267">
        <v>0.5208333333333334</v>
      </c>
      <c r="G90" s="265" t="s">
        <v>6328</v>
      </c>
      <c r="H90" s="265" t="s">
        <v>12</v>
      </c>
      <c r="I90" s="265" t="s">
        <v>6212</v>
      </c>
      <c r="J90" s="265" t="s">
        <v>6095</v>
      </c>
      <c r="K90" s="265" t="s">
        <v>6242</v>
      </c>
      <c r="L90" s="265"/>
      <c r="M90" s="265"/>
      <c r="N90" s="264"/>
      <c r="O90" s="265" t="s">
        <v>6213</v>
      </c>
      <c r="P90" s="264"/>
      <c r="Q90" s="264"/>
      <c r="R90" s="264"/>
      <c r="S90" s="264"/>
      <c r="T90" s="264"/>
      <c r="U90" s="264"/>
      <c r="V90" s="264"/>
      <c r="W90" s="264"/>
      <c r="X90" s="264"/>
      <c r="Y90" s="264"/>
      <c r="Z90" s="264"/>
    </row>
    <row r="91">
      <c r="A91" s="264"/>
      <c r="B91" s="265" t="s">
        <v>2583</v>
      </c>
      <c r="C91" s="265">
        <v>13887.0</v>
      </c>
      <c r="D91" s="266">
        <v>26068.0</v>
      </c>
      <c r="E91" s="266">
        <v>44565.0</v>
      </c>
      <c r="F91" s="267">
        <v>0.5520833333333334</v>
      </c>
      <c r="G91" s="265" t="s">
        <v>6328</v>
      </c>
      <c r="H91" s="265" t="s">
        <v>14</v>
      </c>
      <c r="I91" s="265" t="s">
        <v>6219</v>
      </c>
      <c r="J91" s="265" t="s">
        <v>6192</v>
      </c>
      <c r="K91" s="265"/>
      <c r="L91" s="265" t="s">
        <v>6242</v>
      </c>
      <c r="M91" s="265"/>
      <c r="N91" s="264"/>
      <c r="O91" s="265" t="s">
        <v>6216</v>
      </c>
      <c r="P91" s="264"/>
      <c r="Q91" s="264"/>
      <c r="R91" s="264"/>
      <c r="S91" s="264"/>
      <c r="T91" s="264"/>
      <c r="U91" s="264"/>
      <c r="V91" s="264"/>
      <c r="W91" s="264"/>
      <c r="X91" s="264"/>
      <c r="Y91" s="264"/>
      <c r="Z91" s="264"/>
    </row>
    <row r="92">
      <c r="A92" s="264"/>
      <c r="B92" s="265" t="s">
        <v>533</v>
      </c>
      <c r="C92" s="265">
        <v>10400.0</v>
      </c>
      <c r="D92" s="266">
        <v>23351.0</v>
      </c>
      <c r="E92" s="266">
        <v>44565.0</v>
      </c>
      <c r="F92" s="267">
        <v>0.5520833333333334</v>
      </c>
      <c r="G92" s="265" t="s">
        <v>6328</v>
      </c>
      <c r="H92" s="265" t="s">
        <v>14</v>
      </c>
      <c r="I92" s="265" t="s">
        <v>6222</v>
      </c>
      <c r="J92" s="265" t="s">
        <v>6099</v>
      </c>
      <c r="K92" s="265"/>
      <c r="L92" s="265" t="s">
        <v>6242</v>
      </c>
      <c r="M92" s="265"/>
      <c r="N92" s="265"/>
      <c r="O92" s="265" t="s">
        <v>5</v>
      </c>
      <c r="P92" s="264"/>
      <c r="Q92" s="264"/>
      <c r="R92" s="264"/>
      <c r="S92" s="264"/>
      <c r="T92" s="264"/>
      <c r="U92" s="264"/>
      <c r="V92" s="264"/>
      <c r="W92" s="264"/>
      <c r="X92" s="264"/>
      <c r="Y92" s="264"/>
      <c r="Z92" s="264"/>
    </row>
    <row r="93">
      <c r="A93" s="264"/>
      <c r="B93" s="265" t="s">
        <v>1562</v>
      </c>
      <c r="C93" s="265">
        <v>12593.0</v>
      </c>
      <c r="D93" s="266">
        <v>30103.0</v>
      </c>
      <c r="E93" s="266">
        <v>44565.0</v>
      </c>
      <c r="F93" s="267">
        <v>0.5625</v>
      </c>
      <c r="G93" s="265" t="s">
        <v>6323</v>
      </c>
      <c r="H93" s="265" t="s">
        <v>14</v>
      </c>
      <c r="I93" s="265" t="s">
        <v>6222</v>
      </c>
      <c r="J93" s="265" t="s">
        <v>6142</v>
      </c>
      <c r="K93" s="265"/>
      <c r="L93" s="265" t="s">
        <v>6242</v>
      </c>
      <c r="M93" s="265" t="s">
        <v>6242</v>
      </c>
      <c r="N93" s="264"/>
      <c r="O93" s="265" t="s">
        <v>6220</v>
      </c>
      <c r="P93" s="264"/>
      <c r="Q93" s="264"/>
      <c r="R93" s="264"/>
      <c r="S93" s="264"/>
      <c r="T93" s="264"/>
      <c r="U93" s="264"/>
      <c r="V93" s="264"/>
      <c r="W93" s="264"/>
      <c r="X93" s="264"/>
      <c r="Y93" s="264"/>
      <c r="Z93" s="264"/>
    </row>
    <row r="94">
      <c r="A94" s="264"/>
      <c r="B94" s="265" t="s">
        <v>917</v>
      </c>
      <c r="C94" s="265">
        <v>11355.0</v>
      </c>
      <c r="D94" s="266">
        <v>21117.0</v>
      </c>
      <c r="E94" s="266">
        <v>44565.0</v>
      </c>
      <c r="F94" s="267">
        <v>0.5729166666666666</v>
      </c>
      <c r="G94" s="265" t="s">
        <v>6323</v>
      </c>
      <c r="H94" s="265" t="s">
        <v>14</v>
      </c>
      <c r="I94" s="265" t="s">
        <v>6222</v>
      </c>
      <c r="J94" s="265" t="s">
        <v>6196</v>
      </c>
      <c r="K94" s="265"/>
      <c r="L94" s="265" t="s">
        <v>6242</v>
      </c>
      <c r="M94" s="265" t="s">
        <v>6242</v>
      </c>
      <c r="N94" s="264"/>
      <c r="O94" s="265" t="s">
        <v>6220</v>
      </c>
      <c r="P94" s="264"/>
      <c r="Q94" s="264"/>
      <c r="R94" s="264"/>
      <c r="S94" s="264"/>
      <c r="T94" s="264"/>
      <c r="U94" s="264"/>
      <c r="V94" s="264"/>
      <c r="W94" s="264"/>
      <c r="X94" s="264"/>
      <c r="Y94" s="264"/>
      <c r="Z94" s="264"/>
    </row>
    <row r="95">
      <c r="A95" s="264"/>
      <c r="B95" s="265" t="s">
        <v>3547</v>
      </c>
      <c r="C95" s="265">
        <v>15483.0</v>
      </c>
      <c r="D95" s="266">
        <v>27630.0</v>
      </c>
      <c r="E95" s="266">
        <v>44565.0</v>
      </c>
      <c r="F95" s="267">
        <v>0.5729166666666666</v>
      </c>
      <c r="G95" s="265" t="s">
        <v>6328</v>
      </c>
      <c r="H95" s="265" t="s">
        <v>14</v>
      </c>
      <c r="I95" s="265" t="s">
        <v>6222</v>
      </c>
      <c r="J95" s="265" t="s">
        <v>6091</v>
      </c>
      <c r="K95" s="265"/>
      <c r="L95" s="265" t="s">
        <v>6242</v>
      </c>
      <c r="M95" s="265"/>
      <c r="N95" s="265"/>
      <c r="O95" s="265" t="s">
        <v>5</v>
      </c>
      <c r="P95" s="264"/>
      <c r="Q95" s="264"/>
      <c r="R95" s="264"/>
      <c r="S95" s="264"/>
      <c r="T95" s="264"/>
      <c r="U95" s="264"/>
      <c r="V95" s="264"/>
      <c r="W95" s="264"/>
      <c r="X95" s="264"/>
      <c r="Y95" s="264"/>
      <c r="Z95" s="264"/>
    </row>
    <row r="96">
      <c r="A96" s="264"/>
      <c r="B96" s="265" t="s">
        <v>393</v>
      </c>
      <c r="C96" s="265">
        <v>10055.0</v>
      </c>
      <c r="D96" s="266">
        <v>22515.0</v>
      </c>
      <c r="E96" s="266">
        <v>44565.0</v>
      </c>
      <c r="F96" s="267">
        <v>0.5729166666666666</v>
      </c>
      <c r="G96" s="265" t="s">
        <v>6328</v>
      </c>
      <c r="H96" s="265" t="s">
        <v>14</v>
      </c>
      <c r="I96" s="265" t="s">
        <v>6219</v>
      </c>
      <c r="J96" s="265" t="s">
        <v>6199</v>
      </c>
      <c r="K96" s="265"/>
      <c r="L96" s="265" t="s">
        <v>6242</v>
      </c>
      <c r="M96" s="265"/>
      <c r="N96" s="265"/>
      <c r="O96" s="265" t="s">
        <v>5</v>
      </c>
      <c r="P96" s="264"/>
      <c r="Q96" s="264"/>
      <c r="R96" s="264"/>
      <c r="S96" s="264"/>
      <c r="T96" s="264"/>
      <c r="U96" s="264"/>
      <c r="V96" s="264"/>
      <c r="W96" s="264"/>
      <c r="X96" s="264"/>
      <c r="Y96" s="264"/>
      <c r="Z96" s="264"/>
    </row>
    <row r="97">
      <c r="A97" s="264"/>
      <c r="B97" s="265" t="s">
        <v>5903</v>
      </c>
      <c r="C97" s="265">
        <v>17738.0</v>
      </c>
      <c r="D97" s="266">
        <v>24348.0</v>
      </c>
      <c r="E97" s="266">
        <v>44565.0</v>
      </c>
      <c r="F97" s="267">
        <v>0.5729166666666666</v>
      </c>
      <c r="G97" s="265" t="s">
        <v>6323</v>
      </c>
      <c r="H97" s="265" t="s">
        <v>13</v>
      </c>
      <c r="I97" s="265" t="s">
        <v>6212</v>
      </c>
      <c r="J97" s="265" t="s">
        <v>6091</v>
      </c>
      <c r="K97" s="265" t="s">
        <v>6242</v>
      </c>
      <c r="L97" s="265"/>
      <c r="M97" s="265"/>
      <c r="N97" s="264"/>
      <c r="O97" s="265" t="s">
        <v>6213</v>
      </c>
      <c r="P97" s="264"/>
      <c r="Q97" s="264"/>
      <c r="R97" s="264"/>
      <c r="S97" s="264"/>
      <c r="T97" s="264"/>
      <c r="U97" s="264"/>
      <c r="V97" s="264"/>
      <c r="W97" s="264"/>
      <c r="X97" s="264"/>
      <c r="Y97" s="264"/>
      <c r="Z97" s="264"/>
    </row>
    <row r="98">
      <c r="A98" s="264"/>
      <c r="B98" s="265" t="s">
        <v>1500</v>
      </c>
      <c r="C98" s="265">
        <v>12499.0</v>
      </c>
      <c r="D98" s="266">
        <v>20699.0</v>
      </c>
      <c r="E98" s="266">
        <v>44565.0</v>
      </c>
      <c r="F98" s="267">
        <v>0.5833333333333334</v>
      </c>
      <c r="G98" s="265" t="s">
        <v>6328</v>
      </c>
      <c r="H98" s="265" t="s">
        <v>14</v>
      </c>
      <c r="I98" s="265" t="s">
        <v>6222</v>
      </c>
      <c r="J98" s="265" t="s">
        <v>6196</v>
      </c>
      <c r="K98" s="265"/>
      <c r="L98" s="265" t="s">
        <v>6242</v>
      </c>
      <c r="M98" s="265"/>
      <c r="N98" s="264"/>
      <c r="O98" s="265" t="s">
        <v>6216</v>
      </c>
      <c r="P98" s="264"/>
      <c r="Q98" s="264"/>
      <c r="R98" s="264"/>
      <c r="S98" s="264"/>
      <c r="T98" s="264"/>
      <c r="U98" s="264"/>
      <c r="V98" s="264"/>
      <c r="W98" s="264"/>
      <c r="X98" s="264"/>
      <c r="Y98" s="264"/>
      <c r="Z98" s="264"/>
    </row>
    <row r="99">
      <c r="A99" s="264"/>
      <c r="B99" s="265" t="s">
        <v>127</v>
      </c>
      <c r="C99" s="265">
        <v>9273.0</v>
      </c>
      <c r="D99" s="266">
        <v>32428.0</v>
      </c>
      <c r="E99" s="266">
        <v>44565.0</v>
      </c>
      <c r="F99" s="267">
        <v>0.5833333333333334</v>
      </c>
      <c r="G99" s="265" t="s">
        <v>6323</v>
      </c>
      <c r="H99" s="265" t="s">
        <v>12</v>
      </c>
      <c r="I99" s="265" t="s">
        <v>6212</v>
      </c>
      <c r="J99" s="265" t="s">
        <v>6083</v>
      </c>
      <c r="K99" s="264"/>
      <c r="L99" s="265" t="s">
        <v>6242</v>
      </c>
      <c r="M99" s="265"/>
      <c r="N99" s="264"/>
      <c r="O99" s="265" t="s">
        <v>5</v>
      </c>
      <c r="P99" s="264"/>
      <c r="Q99" s="264"/>
      <c r="R99" s="264"/>
      <c r="S99" s="264"/>
      <c r="T99" s="264"/>
      <c r="U99" s="264"/>
      <c r="V99" s="264"/>
      <c r="W99" s="264"/>
      <c r="X99" s="264"/>
      <c r="Y99" s="264"/>
      <c r="Z99" s="264"/>
    </row>
    <row r="100">
      <c r="A100" s="264"/>
      <c r="B100" s="265" t="s">
        <v>4890</v>
      </c>
      <c r="C100" s="265">
        <v>16703.0</v>
      </c>
      <c r="D100" s="266">
        <v>22337.0</v>
      </c>
      <c r="E100" s="266">
        <v>44565.0</v>
      </c>
      <c r="F100" s="267">
        <v>0.5833333333333334</v>
      </c>
      <c r="G100" s="265" t="s">
        <v>6323</v>
      </c>
      <c r="H100" s="265" t="s">
        <v>13</v>
      </c>
      <c r="I100" s="265" t="s">
        <v>6212</v>
      </c>
      <c r="J100" s="265" t="s">
        <v>6118</v>
      </c>
      <c r="K100" s="264"/>
      <c r="L100" s="265" t="s">
        <v>6242</v>
      </c>
      <c r="M100" s="265"/>
      <c r="N100" s="265"/>
      <c r="O100" s="265" t="s">
        <v>5</v>
      </c>
      <c r="P100" s="264"/>
      <c r="Q100" s="264"/>
      <c r="R100" s="264"/>
      <c r="S100" s="264"/>
      <c r="T100" s="264"/>
      <c r="U100" s="264"/>
      <c r="V100" s="264"/>
      <c r="W100" s="264"/>
      <c r="X100" s="264"/>
      <c r="Y100" s="264"/>
      <c r="Z100" s="264"/>
    </row>
    <row r="101">
      <c r="A101" s="264"/>
      <c r="B101" s="265" t="s">
        <v>5953</v>
      </c>
      <c r="C101" s="265">
        <v>17826.0</v>
      </c>
      <c r="D101" s="266">
        <v>23296.0</v>
      </c>
      <c r="E101" s="266">
        <v>44565.0</v>
      </c>
      <c r="F101" s="267">
        <v>0.5833333333333334</v>
      </c>
      <c r="G101" s="265" t="s">
        <v>6328</v>
      </c>
      <c r="H101" s="265" t="s">
        <v>12</v>
      </c>
      <c r="I101" s="265" t="s">
        <v>6212</v>
      </c>
      <c r="J101" s="265" t="s">
        <v>6120</v>
      </c>
      <c r="K101" s="265" t="s">
        <v>6242</v>
      </c>
      <c r="L101" s="265"/>
      <c r="M101" s="265"/>
      <c r="N101" s="265"/>
      <c r="O101" s="265" t="s">
        <v>6213</v>
      </c>
      <c r="P101" s="264"/>
      <c r="Q101" s="264"/>
      <c r="R101" s="264"/>
      <c r="S101" s="264"/>
      <c r="T101" s="264"/>
      <c r="U101" s="264"/>
      <c r="V101" s="264"/>
      <c r="W101" s="264"/>
      <c r="X101" s="264"/>
      <c r="Y101" s="264"/>
      <c r="Z101" s="264"/>
    </row>
    <row r="102">
      <c r="A102" s="264"/>
      <c r="B102" s="265" t="s">
        <v>711</v>
      </c>
      <c r="C102" s="265">
        <v>10875.0</v>
      </c>
      <c r="D102" s="266">
        <v>19553.0</v>
      </c>
      <c r="E102" s="266">
        <v>44565.0</v>
      </c>
      <c r="F102" s="267">
        <v>0.59375</v>
      </c>
      <c r="G102" s="265" t="s">
        <v>6323</v>
      </c>
      <c r="H102" s="265" t="s">
        <v>12</v>
      </c>
      <c r="I102" s="265" t="s">
        <v>6221</v>
      </c>
      <c r="J102" s="265" t="s">
        <v>6196</v>
      </c>
      <c r="K102" s="264"/>
      <c r="L102" s="265" t="s">
        <v>6242</v>
      </c>
      <c r="M102" s="265"/>
      <c r="N102" s="264"/>
      <c r="O102" s="265" t="s">
        <v>6216</v>
      </c>
      <c r="P102" s="264"/>
      <c r="Q102" s="264"/>
      <c r="R102" s="264"/>
      <c r="S102" s="264"/>
      <c r="T102" s="264"/>
      <c r="U102" s="264"/>
      <c r="V102" s="264"/>
      <c r="W102" s="264"/>
      <c r="X102" s="264"/>
      <c r="Y102" s="264"/>
      <c r="Z102" s="264"/>
    </row>
    <row r="103">
      <c r="A103" s="264"/>
      <c r="B103" s="265" t="s">
        <v>1534</v>
      </c>
      <c r="C103" s="265">
        <v>12552.0</v>
      </c>
      <c r="D103" s="266">
        <v>28248.0</v>
      </c>
      <c r="E103" s="266">
        <v>44565.0</v>
      </c>
      <c r="F103" s="267">
        <v>0.59375</v>
      </c>
      <c r="G103" s="265" t="s">
        <v>6323</v>
      </c>
      <c r="H103" s="265" t="s">
        <v>14</v>
      </c>
      <c r="I103" s="265" t="s">
        <v>6222</v>
      </c>
      <c r="J103" s="265" t="s">
        <v>6142</v>
      </c>
      <c r="K103" s="264"/>
      <c r="L103" s="265" t="s">
        <v>6242</v>
      </c>
      <c r="M103" s="265"/>
      <c r="N103" s="264"/>
      <c r="O103" s="265" t="s">
        <v>6216</v>
      </c>
      <c r="P103" s="264"/>
      <c r="Q103" s="264"/>
      <c r="R103" s="264"/>
      <c r="S103" s="264"/>
      <c r="T103" s="264"/>
      <c r="U103" s="264"/>
      <c r="V103" s="264"/>
      <c r="W103" s="264"/>
      <c r="X103" s="264"/>
      <c r="Y103" s="264"/>
      <c r="Z103" s="264"/>
    </row>
    <row r="104">
      <c r="A104" s="264"/>
      <c r="B104" s="265" t="s">
        <v>5420</v>
      </c>
      <c r="C104" s="265">
        <v>17371.0</v>
      </c>
      <c r="D104" s="266">
        <v>31691.0</v>
      </c>
      <c r="E104" s="266">
        <v>44565.0</v>
      </c>
      <c r="F104" s="267">
        <v>0.6041666666666666</v>
      </c>
      <c r="G104" s="265" t="s">
        <v>6323</v>
      </c>
      <c r="H104" s="265" t="s">
        <v>12</v>
      </c>
      <c r="I104" s="265" t="s">
        <v>6212</v>
      </c>
      <c r="J104" s="265" t="s">
        <v>6126</v>
      </c>
      <c r="K104" s="265" t="s">
        <v>6242</v>
      </c>
      <c r="L104" s="265"/>
      <c r="M104" s="265"/>
      <c r="N104" s="264"/>
      <c r="O104" s="265" t="s">
        <v>6213</v>
      </c>
      <c r="P104" s="264"/>
      <c r="Q104" s="264"/>
      <c r="R104" s="264"/>
      <c r="S104" s="264"/>
      <c r="T104" s="264"/>
      <c r="U104" s="264"/>
      <c r="V104" s="264"/>
      <c r="W104" s="264"/>
      <c r="X104" s="264"/>
      <c r="Y104" s="264"/>
      <c r="Z104" s="264"/>
    </row>
    <row r="105">
      <c r="A105" s="264"/>
      <c r="B105" s="265" t="s">
        <v>341</v>
      </c>
      <c r="C105" s="265">
        <v>9918.0</v>
      </c>
      <c r="D105" s="266">
        <v>19828.0</v>
      </c>
      <c r="E105" s="266">
        <v>44565.0</v>
      </c>
      <c r="F105" s="267">
        <v>0.6041666666666666</v>
      </c>
      <c r="G105" s="265" t="s">
        <v>6328</v>
      </c>
      <c r="H105" s="265" t="s">
        <v>13</v>
      </c>
      <c r="I105" s="265" t="s">
        <v>6212</v>
      </c>
      <c r="J105" s="265" t="s">
        <v>6194</v>
      </c>
      <c r="K105" s="264"/>
      <c r="L105" s="265" t="s">
        <v>6242</v>
      </c>
      <c r="M105" s="265"/>
      <c r="N105" s="264"/>
      <c r="O105" s="265" t="s">
        <v>6216</v>
      </c>
      <c r="P105" s="264"/>
      <c r="Q105" s="264"/>
      <c r="R105" s="264"/>
      <c r="S105" s="264"/>
      <c r="T105" s="264"/>
      <c r="U105" s="264"/>
      <c r="V105" s="264"/>
      <c r="W105" s="264"/>
      <c r="X105" s="264"/>
      <c r="Y105" s="264"/>
      <c r="Z105" s="264"/>
    </row>
    <row r="106">
      <c r="A106" s="264"/>
      <c r="B106" s="265" t="s">
        <v>285</v>
      </c>
      <c r="C106" s="265">
        <v>9775.0</v>
      </c>
      <c r="D106" s="266">
        <v>16906.0</v>
      </c>
      <c r="E106" s="266">
        <v>44565.0</v>
      </c>
      <c r="F106" s="267">
        <v>0.5833333333333334</v>
      </c>
      <c r="G106" s="265" t="s">
        <v>6328</v>
      </c>
      <c r="H106" s="265" t="s">
        <v>14</v>
      </c>
      <c r="I106" s="265" t="s">
        <v>6219</v>
      </c>
      <c r="J106" s="265" t="s">
        <v>6094</v>
      </c>
      <c r="K106" s="265"/>
      <c r="L106" s="265" t="s">
        <v>6242</v>
      </c>
      <c r="M106" s="265" t="s">
        <v>6242</v>
      </c>
      <c r="N106" s="264"/>
      <c r="O106" s="265" t="s">
        <v>6215</v>
      </c>
      <c r="P106" s="264"/>
      <c r="Q106" s="264"/>
      <c r="R106" s="264"/>
      <c r="S106" s="264"/>
      <c r="T106" s="264"/>
      <c r="U106" s="264"/>
      <c r="V106" s="264"/>
      <c r="W106" s="264"/>
      <c r="X106" s="264"/>
      <c r="Y106" s="264"/>
      <c r="Z106" s="264"/>
    </row>
    <row r="107">
      <c r="A107" s="264"/>
      <c r="B107" s="265" t="s">
        <v>4042</v>
      </c>
      <c r="C107" s="265">
        <v>15671.0</v>
      </c>
      <c r="D107" s="266">
        <v>23935.0</v>
      </c>
      <c r="E107" s="266">
        <v>44565.0</v>
      </c>
      <c r="F107" s="267">
        <v>0.6458333333333334</v>
      </c>
      <c r="G107" s="265" t="s">
        <v>6323</v>
      </c>
      <c r="H107" s="265" t="s">
        <v>14</v>
      </c>
      <c r="I107" s="265" t="s">
        <v>6222</v>
      </c>
      <c r="J107" s="265" t="s">
        <v>6196</v>
      </c>
      <c r="K107" s="264"/>
      <c r="L107" s="265" t="s">
        <v>6242</v>
      </c>
      <c r="M107" s="265"/>
      <c r="N107" s="264"/>
      <c r="O107" s="265" t="s">
        <v>6216</v>
      </c>
      <c r="P107" s="264"/>
      <c r="Q107" s="264"/>
      <c r="R107" s="264"/>
      <c r="S107" s="264"/>
      <c r="T107" s="264"/>
      <c r="U107" s="264"/>
      <c r="V107" s="264"/>
      <c r="W107" s="264"/>
      <c r="X107" s="264"/>
      <c r="Y107" s="264"/>
      <c r="Z107" s="264"/>
    </row>
    <row r="108">
      <c r="A108" s="264"/>
      <c r="B108" s="265" t="s">
        <v>2081</v>
      </c>
      <c r="C108" s="265">
        <v>13240.0</v>
      </c>
      <c r="D108" s="266">
        <v>14574.0</v>
      </c>
      <c r="E108" s="266">
        <v>44565.0</v>
      </c>
      <c r="F108" s="267">
        <v>0.59375</v>
      </c>
      <c r="G108" s="265" t="s">
        <v>6323</v>
      </c>
      <c r="H108" s="265" t="s">
        <v>14</v>
      </c>
      <c r="I108" s="265" t="s">
        <v>6219</v>
      </c>
      <c r="J108" s="265" t="s">
        <v>6158</v>
      </c>
      <c r="K108" s="264"/>
      <c r="L108" s="265" t="s">
        <v>6242</v>
      </c>
      <c r="M108" s="265"/>
      <c r="N108" s="264"/>
      <c r="O108" s="265" t="s">
        <v>5</v>
      </c>
      <c r="P108" s="264"/>
      <c r="Q108" s="264"/>
      <c r="R108" s="264"/>
      <c r="S108" s="264"/>
      <c r="T108" s="264"/>
      <c r="U108" s="264"/>
      <c r="V108" s="264"/>
      <c r="W108" s="264"/>
      <c r="X108" s="264"/>
      <c r="Y108" s="264"/>
      <c r="Z108" s="264"/>
    </row>
    <row r="109">
      <c r="A109" s="264"/>
      <c r="B109" s="265" t="s">
        <v>5950</v>
      </c>
      <c r="C109" s="265">
        <v>17807.0</v>
      </c>
      <c r="D109" s="266">
        <v>27578.0</v>
      </c>
      <c r="E109" s="266">
        <v>44565.0</v>
      </c>
      <c r="F109" s="267">
        <v>0.6145833333333334</v>
      </c>
      <c r="G109" s="265" t="s">
        <v>6328</v>
      </c>
      <c r="H109" s="265" t="s">
        <v>12</v>
      </c>
      <c r="I109" s="265" t="s">
        <v>6212</v>
      </c>
      <c r="J109" s="265" t="s">
        <v>6199</v>
      </c>
      <c r="K109" s="265" t="s">
        <v>6242</v>
      </c>
      <c r="L109" s="265"/>
      <c r="M109" s="265"/>
      <c r="N109" s="264"/>
      <c r="O109" s="265" t="s">
        <v>6213</v>
      </c>
      <c r="P109" s="264"/>
      <c r="Q109" s="264"/>
      <c r="R109" s="264"/>
      <c r="S109" s="264"/>
      <c r="T109" s="264"/>
      <c r="U109" s="264"/>
      <c r="V109" s="264"/>
      <c r="W109" s="264"/>
      <c r="X109" s="264"/>
      <c r="Y109" s="264"/>
      <c r="Z109" s="264"/>
    </row>
    <row r="110">
      <c r="A110" s="264"/>
      <c r="B110" s="265" t="s">
        <v>4071</v>
      </c>
      <c r="C110" s="265">
        <v>15703.0</v>
      </c>
      <c r="D110" s="266">
        <v>22279.0</v>
      </c>
      <c r="E110" s="266">
        <v>44565.0</v>
      </c>
      <c r="F110" s="267">
        <v>0.6145833333333334</v>
      </c>
      <c r="G110" s="265" t="s">
        <v>6328</v>
      </c>
      <c r="H110" s="265" t="s">
        <v>14</v>
      </c>
      <c r="I110" s="265" t="s">
        <v>6219</v>
      </c>
      <c r="J110" s="265" t="s">
        <v>6142</v>
      </c>
      <c r="K110" s="265"/>
      <c r="L110" s="265" t="s">
        <v>6242</v>
      </c>
      <c r="M110" s="265"/>
      <c r="N110" s="264"/>
      <c r="O110" s="265" t="s">
        <v>6216</v>
      </c>
      <c r="P110" s="264"/>
      <c r="Q110" s="264"/>
      <c r="R110" s="264"/>
      <c r="S110" s="264"/>
      <c r="T110" s="264"/>
      <c r="U110" s="264"/>
      <c r="V110" s="264"/>
      <c r="W110" s="264"/>
      <c r="X110" s="264"/>
      <c r="Y110" s="264"/>
      <c r="Z110" s="264"/>
    </row>
    <row r="111">
      <c r="A111" s="264"/>
      <c r="B111" s="265" t="s">
        <v>5672</v>
      </c>
      <c r="C111" s="265">
        <v>13604.0</v>
      </c>
      <c r="D111" s="266">
        <v>24561.0</v>
      </c>
      <c r="E111" s="266">
        <v>44565.0</v>
      </c>
      <c r="F111" s="267">
        <v>0.6041666666666666</v>
      </c>
      <c r="G111" s="265" t="s">
        <v>6328</v>
      </c>
      <c r="H111" s="265" t="s">
        <v>14</v>
      </c>
      <c r="I111" s="265" t="s">
        <v>6222</v>
      </c>
      <c r="J111" s="265" t="s">
        <v>6117</v>
      </c>
      <c r="K111" s="264"/>
      <c r="L111" s="265" t="s">
        <v>6242</v>
      </c>
      <c r="M111" s="265"/>
      <c r="N111" s="264"/>
      <c r="O111" s="265" t="e">
        <v>#N/A</v>
      </c>
      <c r="P111" s="264"/>
      <c r="Q111" s="264"/>
      <c r="R111" s="264"/>
      <c r="S111" s="264"/>
      <c r="T111" s="264"/>
      <c r="U111" s="264"/>
      <c r="V111" s="264"/>
      <c r="W111" s="264"/>
      <c r="X111" s="264"/>
      <c r="Y111" s="264"/>
      <c r="Z111" s="264"/>
    </row>
    <row r="112">
      <c r="A112" s="264"/>
      <c r="B112" s="265" t="s">
        <v>693</v>
      </c>
      <c r="C112" s="265">
        <v>10801.0</v>
      </c>
      <c r="D112" s="266">
        <v>28794.0</v>
      </c>
      <c r="E112" s="266">
        <v>44565.0</v>
      </c>
      <c r="F112" s="267">
        <v>0.6041666666666666</v>
      </c>
      <c r="G112" s="265" t="s">
        <v>6323</v>
      </c>
      <c r="H112" s="265" t="s">
        <v>14</v>
      </c>
      <c r="I112" s="265" t="s">
        <v>6222</v>
      </c>
      <c r="J112" s="265" t="s">
        <v>6082</v>
      </c>
      <c r="K112" s="265"/>
      <c r="L112" s="265" t="s">
        <v>6242</v>
      </c>
      <c r="M112" s="265" t="s">
        <v>6242</v>
      </c>
      <c r="N112" s="264"/>
      <c r="O112" s="265" t="s">
        <v>6215</v>
      </c>
      <c r="P112" s="264"/>
      <c r="Q112" s="264"/>
      <c r="R112" s="264"/>
      <c r="S112" s="264"/>
      <c r="T112" s="264"/>
      <c r="U112" s="264"/>
      <c r="V112" s="264"/>
      <c r="W112" s="264"/>
      <c r="X112" s="264"/>
      <c r="Y112" s="264"/>
      <c r="Z112" s="264"/>
    </row>
    <row r="113">
      <c r="A113" s="264"/>
      <c r="B113" s="265" t="s">
        <v>1612</v>
      </c>
      <c r="C113" s="265">
        <v>12662.0</v>
      </c>
      <c r="D113" s="266">
        <v>25947.0</v>
      </c>
      <c r="E113" s="266">
        <v>44565.0</v>
      </c>
      <c r="F113" s="267">
        <v>0.6458333333333334</v>
      </c>
      <c r="G113" s="265" t="s">
        <v>6323</v>
      </c>
      <c r="H113" s="265" t="s">
        <v>14</v>
      </c>
      <c r="I113" s="265" t="s">
        <v>6219</v>
      </c>
      <c r="J113" s="265" t="s">
        <v>6091</v>
      </c>
      <c r="K113" s="264"/>
      <c r="L113" s="265" t="s">
        <v>6242</v>
      </c>
      <c r="M113" s="265"/>
      <c r="N113" s="264"/>
      <c r="O113" s="265" t="s">
        <v>5</v>
      </c>
      <c r="P113" s="264"/>
      <c r="Q113" s="264"/>
      <c r="R113" s="264"/>
      <c r="S113" s="264"/>
      <c r="T113" s="264"/>
      <c r="U113" s="264"/>
      <c r="V113" s="264"/>
      <c r="W113" s="264"/>
      <c r="X113" s="264"/>
      <c r="Y113" s="264"/>
      <c r="Z113" s="264"/>
    </row>
    <row r="114">
      <c r="A114" s="264"/>
      <c r="B114" s="265" t="s">
        <v>3797</v>
      </c>
      <c r="C114" s="265">
        <v>15388.0</v>
      </c>
      <c r="D114" s="266">
        <v>20125.0</v>
      </c>
      <c r="E114" s="266">
        <v>44565.0</v>
      </c>
      <c r="F114" s="267">
        <v>0.6354166666666666</v>
      </c>
      <c r="G114" s="265" t="s">
        <v>6323</v>
      </c>
      <c r="H114" s="265" t="s">
        <v>12</v>
      </c>
      <c r="I114" s="265" t="s">
        <v>6221</v>
      </c>
      <c r="J114" s="265" t="s">
        <v>6196</v>
      </c>
      <c r="K114" s="264"/>
      <c r="L114" s="265" t="s">
        <v>6242</v>
      </c>
      <c r="M114" s="265"/>
      <c r="N114" s="265"/>
      <c r="O114" s="265" t="s">
        <v>6216</v>
      </c>
      <c r="P114" s="264"/>
      <c r="Q114" s="264"/>
      <c r="R114" s="264"/>
      <c r="S114" s="264"/>
      <c r="T114" s="264"/>
      <c r="U114" s="264"/>
      <c r="V114" s="264"/>
      <c r="W114" s="264"/>
      <c r="X114" s="264"/>
      <c r="Y114" s="264"/>
      <c r="Z114" s="264"/>
    </row>
    <row r="115">
      <c r="A115" s="264"/>
      <c r="B115" s="265" t="s">
        <v>4701</v>
      </c>
      <c r="C115" s="265">
        <v>16455.0</v>
      </c>
      <c r="D115" s="266">
        <v>27691.0</v>
      </c>
      <c r="E115" s="266">
        <v>44565.0</v>
      </c>
      <c r="F115" s="267">
        <v>0.6875</v>
      </c>
      <c r="G115" s="265" t="s">
        <v>6323</v>
      </c>
      <c r="H115" s="265" t="s">
        <v>12</v>
      </c>
      <c r="I115" s="265" t="s">
        <v>6212</v>
      </c>
      <c r="J115" s="265" t="s">
        <v>6126</v>
      </c>
      <c r="K115" s="265" t="s">
        <v>6242</v>
      </c>
      <c r="L115" s="265"/>
      <c r="M115" s="265"/>
      <c r="N115" s="265"/>
      <c r="O115" s="265" t="s">
        <v>6213</v>
      </c>
      <c r="P115" s="264"/>
      <c r="Q115" s="264"/>
      <c r="R115" s="264"/>
      <c r="S115" s="264"/>
      <c r="T115" s="264"/>
      <c r="U115" s="264"/>
      <c r="V115" s="264"/>
      <c r="W115" s="264"/>
      <c r="X115" s="264"/>
      <c r="Y115" s="264"/>
      <c r="Z115" s="264"/>
    </row>
    <row r="116">
      <c r="A116" s="264"/>
      <c r="B116" s="265" t="s">
        <v>779</v>
      </c>
      <c r="C116" s="265">
        <v>11037.0</v>
      </c>
      <c r="D116" s="266">
        <v>30904.0</v>
      </c>
      <c r="E116" s="266">
        <v>44565.0</v>
      </c>
      <c r="F116" s="267">
        <v>0.6458333333333334</v>
      </c>
      <c r="G116" s="265" t="s">
        <v>6323</v>
      </c>
      <c r="H116" s="265" t="s">
        <v>14</v>
      </c>
      <c r="I116" s="265" t="s">
        <v>6219</v>
      </c>
      <c r="J116" s="265" t="s">
        <v>6089</v>
      </c>
      <c r="K116" s="264"/>
      <c r="L116" s="265" t="s">
        <v>6242</v>
      </c>
      <c r="M116" s="265"/>
      <c r="N116" s="265"/>
      <c r="O116" s="265" t="s">
        <v>5</v>
      </c>
      <c r="P116" s="264"/>
      <c r="Q116" s="264"/>
      <c r="R116" s="264"/>
      <c r="S116" s="264"/>
      <c r="T116" s="264"/>
      <c r="U116" s="264"/>
      <c r="V116" s="264"/>
      <c r="W116" s="264"/>
      <c r="X116" s="264"/>
      <c r="Y116" s="264"/>
      <c r="Z116" s="264"/>
    </row>
    <row r="117">
      <c r="A117" s="264"/>
      <c r="B117" s="265" t="s">
        <v>3919</v>
      </c>
      <c r="C117" s="265">
        <v>15534.0</v>
      </c>
      <c r="D117" s="266">
        <v>23905.0</v>
      </c>
      <c r="E117" s="266">
        <v>44565.0</v>
      </c>
      <c r="F117" s="267">
        <v>0.6354166666666666</v>
      </c>
      <c r="G117" s="265" t="s">
        <v>6328</v>
      </c>
      <c r="H117" s="265" t="s">
        <v>14</v>
      </c>
      <c r="I117" s="265" t="s">
        <v>6219</v>
      </c>
      <c r="J117" s="265" t="s">
        <v>6117</v>
      </c>
      <c r="K117" s="264"/>
      <c r="L117" s="265" t="s">
        <v>6242</v>
      </c>
      <c r="M117" s="265"/>
      <c r="N117" s="265"/>
      <c r="O117" s="265" t="s">
        <v>5</v>
      </c>
      <c r="P117" s="264"/>
      <c r="Q117" s="264"/>
      <c r="R117" s="264"/>
      <c r="S117" s="264"/>
      <c r="T117" s="264"/>
      <c r="U117" s="264"/>
      <c r="V117" s="264"/>
      <c r="W117" s="264"/>
      <c r="X117" s="264"/>
      <c r="Y117" s="264"/>
      <c r="Z117" s="264"/>
    </row>
    <row r="118">
      <c r="A118" s="264"/>
      <c r="B118" s="265" t="s">
        <v>5848</v>
      </c>
      <c r="C118" s="265">
        <v>17716.0</v>
      </c>
      <c r="D118" s="266">
        <v>17940.0</v>
      </c>
      <c r="E118" s="266">
        <v>44565.0</v>
      </c>
      <c r="F118" s="267">
        <v>0.6666666666666666</v>
      </c>
      <c r="G118" s="265" t="s">
        <v>6323</v>
      </c>
      <c r="H118" s="265" t="s">
        <v>12</v>
      </c>
      <c r="I118" s="265" t="s">
        <v>6212</v>
      </c>
      <c r="J118" s="265" t="s">
        <v>6190</v>
      </c>
      <c r="K118" s="265" t="s">
        <v>6242</v>
      </c>
      <c r="L118" s="265"/>
      <c r="M118" s="265"/>
      <c r="N118" s="265"/>
      <c r="O118" s="265" t="s">
        <v>6214</v>
      </c>
      <c r="P118" s="264"/>
      <c r="Q118" s="264"/>
      <c r="R118" s="264"/>
      <c r="S118" s="264"/>
      <c r="T118" s="264"/>
      <c r="U118" s="264"/>
      <c r="V118" s="264"/>
      <c r="W118" s="264"/>
      <c r="X118" s="264"/>
      <c r="Y118" s="264"/>
      <c r="Z118" s="264"/>
    </row>
    <row r="119">
      <c r="A119" s="264"/>
      <c r="B119" s="265" t="s">
        <v>641</v>
      </c>
      <c r="C119" s="265">
        <v>10693.0</v>
      </c>
      <c r="D119" s="266">
        <v>27131.0</v>
      </c>
      <c r="E119" s="266">
        <v>44565.0</v>
      </c>
      <c r="F119" s="267">
        <v>0.6979166666666666</v>
      </c>
      <c r="G119" s="265" t="s">
        <v>6323</v>
      </c>
      <c r="H119" s="265" t="s">
        <v>12</v>
      </c>
      <c r="I119" s="265" t="s">
        <v>6212</v>
      </c>
      <c r="J119" s="265" t="s">
        <v>6139</v>
      </c>
      <c r="K119" s="264"/>
      <c r="L119" s="265" t="s">
        <v>6242</v>
      </c>
      <c r="M119" s="265"/>
      <c r="N119" s="265"/>
      <c r="O119" s="265" t="s">
        <v>6216</v>
      </c>
      <c r="P119" s="264"/>
      <c r="Q119" s="264"/>
      <c r="R119" s="264"/>
      <c r="S119" s="264"/>
      <c r="T119" s="264"/>
      <c r="U119" s="264"/>
      <c r="V119" s="264"/>
      <c r="W119" s="264"/>
      <c r="X119" s="264"/>
      <c r="Y119" s="264"/>
      <c r="Z119" s="264"/>
    </row>
    <row r="120">
      <c r="A120" s="264"/>
      <c r="B120" s="265" t="s">
        <v>5923</v>
      </c>
      <c r="C120" s="265">
        <v>17818.0</v>
      </c>
      <c r="D120" s="266">
        <v>18630.0</v>
      </c>
      <c r="E120" s="266">
        <v>44565.0</v>
      </c>
      <c r="F120" s="267">
        <v>0.6145833333333334</v>
      </c>
      <c r="G120" s="265" t="s">
        <v>6328</v>
      </c>
      <c r="H120" s="265" t="s">
        <v>12</v>
      </c>
      <c r="I120" s="265" t="s">
        <v>6212</v>
      </c>
      <c r="J120" s="265" t="s">
        <v>6101</v>
      </c>
      <c r="K120" s="265" t="s">
        <v>6242</v>
      </c>
      <c r="L120" s="265"/>
      <c r="M120" s="265"/>
      <c r="N120" s="265"/>
      <c r="O120" s="265" t="s">
        <v>6213</v>
      </c>
      <c r="P120" s="264"/>
      <c r="Q120" s="264"/>
      <c r="R120" s="264"/>
      <c r="S120" s="264"/>
      <c r="T120" s="264"/>
      <c r="U120" s="264"/>
      <c r="V120" s="264"/>
      <c r="W120" s="264"/>
      <c r="X120" s="264"/>
      <c r="Y120" s="264"/>
      <c r="Z120" s="264"/>
    </row>
    <row r="121">
      <c r="A121" s="264"/>
      <c r="B121" s="264"/>
      <c r="C121" s="264"/>
      <c r="D121" s="264"/>
      <c r="E121" s="264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264"/>
      <c r="V121" s="264"/>
      <c r="W121" s="264"/>
      <c r="X121" s="264"/>
      <c r="Y121" s="264"/>
      <c r="Z121" s="264"/>
    </row>
    <row r="122">
      <c r="A122" s="264"/>
      <c r="B122" s="264" t="s">
        <v>1171</v>
      </c>
      <c r="C122" s="264">
        <v>11883.0</v>
      </c>
      <c r="D122" s="268">
        <v>18355.0</v>
      </c>
      <c r="E122" s="266">
        <v>44566.0</v>
      </c>
      <c r="F122" s="267">
        <v>0.3333333333333333</v>
      </c>
      <c r="G122" s="264" t="s">
        <v>6328</v>
      </c>
      <c r="H122" s="264" t="s">
        <v>15</v>
      </c>
      <c r="I122" s="264" t="s">
        <v>6219</v>
      </c>
      <c r="J122" s="264" t="s">
        <v>6199</v>
      </c>
      <c r="K122" s="264"/>
      <c r="L122" s="264" t="s">
        <v>6242</v>
      </c>
      <c r="M122" s="264"/>
      <c r="N122" s="264"/>
      <c r="O122" s="264" t="s">
        <v>5</v>
      </c>
      <c r="P122" s="264"/>
      <c r="Q122" s="264"/>
      <c r="R122" s="264"/>
      <c r="S122" s="264"/>
      <c r="T122" s="264"/>
      <c r="U122" s="264"/>
      <c r="V122" s="264"/>
      <c r="W122" s="264"/>
      <c r="X122" s="264"/>
      <c r="Y122" s="264"/>
      <c r="Z122" s="264"/>
    </row>
    <row r="123">
      <c r="A123" s="264"/>
      <c r="B123" s="264" t="s">
        <v>4016</v>
      </c>
      <c r="C123" s="264">
        <v>15643.0</v>
      </c>
      <c r="D123" s="268">
        <v>26218.0</v>
      </c>
      <c r="E123" s="266">
        <v>44566.0</v>
      </c>
      <c r="F123" s="267">
        <v>0.3541666666666667</v>
      </c>
      <c r="G123" s="264" t="s">
        <v>6323</v>
      </c>
      <c r="H123" s="264" t="s">
        <v>15</v>
      </c>
      <c r="I123" s="264" t="s">
        <v>6219</v>
      </c>
      <c r="J123" s="264" t="s">
        <v>6158</v>
      </c>
      <c r="K123" s="264"/>
      <c r="L123" s="264" t="s">
        <v>6242</v>
      </c>
      <c r="M123" s="264"/>
      <c r="N123" s="264"/>
      <c r="O123" s="264" t="s">
        <v>5</v>
      </c>
      <c r="P123" s="264"/>
      <c r="Q123" s="264"/>
      <c r="R123" s="264"/>
      <c r="S123" s="264"/>
      <c r="T123" s="264"/>
      <c r="U123" s="264"/>
      <c r="V123" s="264"/>
      <c r="W123" s="264"/>
      <c r="X123" s="264"/>
      <c r="Y123" s="264"/>
      <c r="Z123" s="264"/>
    </row>
    <row r="124">
      <c r="A124" s="264"/>
      <c r="B124" s="264" t="s">
        <v>268</v>
      </c>
      <c r="C124" s="264">
        <v>9716.0</v>
      </c>
      <c r="D124" s="268">
        <v>20692.0</v>
      </c>
      <c r="E124" s="266">
        <v>44566.0</v>
      </c>
      <c r="F124" s="267">
        <v>0.3645833333333333</v>
      </c>
      <c r="G124" s="264" t="s">
        <v>6323</v>
      </c>
      <c r="H124" s="264" t="s">
        <v>14</v>
      </c>
      <c r="I124" s="264" t="s">
        <v>6222</v>
      </c>
      <c r="J124" s="264" t="s">
        <v>6196</v>
      </c>
      <c r="K124" s="264"/>
      <c r="L124" s="264" t="s">
        <v>6242</v>
      </c>
      <c r="M124" s="264"/>
      <c r="N124" s="264"/>
      <c r="O124" s="264" t="s">
        <v>6216</v>
      </c>
      <c r="P124" s="264"/>
      <c r="Q124" s="264"/>
      <c r="R124" s="264"/>
      <c r="S124" s="264"/>
      <c r="T124" s="264"/>
      <c r="U124" s="264"/>
      <c r="V124" s="264"/>
      <c r="W124" s="264"/>
      <c r="X124" s="264"/>
      <c r="Y124" s="264"/>
      <c r="Z124" s="264"/>
    </row>
    <row r="125">
      <c r="A125" s="264"/>
      <c r="B125" s="264" t="s">
        <v>5079</v>
      </c>
      <c r="C125" s="264">
        <v>16941.0</v>
      </c>
      <c r="D125" s="268">
        <v>21789.0</v>
      </c>
      <c r="E125" s="266">
        <v>44566.0</v>
      </c>
      <c r="F125" s="267">
        <v>0.3645833333333333</v>
      </c>
      <c r="G125" s="264" t="s">
        <v>6323</v>
      </c>
      <c r="H125" s="264" t="s">
        <v>15</v>
      </c>
      <c r="I125" s="264" t="s">
        <v>6219</v>
      </c>
      <c r="J125" s="264" t="s">
        <v>6094</v>
      </c>
      <c r="K125" s="264"/>
      <c r="L125" s="264" t="s">
        <v>6242</v>
      </c>
      <c r="M125" s="264"/>
      <c r="N125" s="264"/>
      <c r="O125" s="264" t="s">
        <v>5</v>
      </c>
      <c r="P125" s="264"/>
      <c r="Q125" s="264"/>
      <c r="R125" s="264"/>
      <c r="S125" s="264"/>
      <c r="T125" s="264"/>
      <c r="U125" s="264"/>
      <c r="V125" s="264"/>
      <c r="W125" s="264"/>
      <c r="X125" s="264"/>
      <c r="Y125" s="264"/>
      <c r="Z125" s="264"/>
    </row>
    <row r="126">
      <c r="A126" s="264"/>
      <c r="B126" s="264" t="s">
        <v>1344</v>
      </c>
      <c r="C126" s="264">
        <v>12250.0</v>
      </c>
      <c r="D126" s="268">
        <v>23723.0</v>
      </c>
      <c r="E126" s="266">
        <v>44566.0</v>
      </c>
      <c r="F126" s="267">
        <v>0.40625</v>
      </c>
      <c r="G126" s="264" t="s">
        <v>6328</v>
      </c>
      <c r="H126" s="264" t="s">
        <v>14</v>
      </c>
      <c r="I126" s="264" t="s">
        <v>6222</v>
      </c>
      <c r="J126" s="264" t="s">
        <v>6154</v>
      </c>
      <c r="K126" s="264"/>
      <c r="L126" s="264" t="s">
        <v>6242</v>
      </c>
      <c r="M126" s="264"/>
      <c r="N126" s="264"/>
      <c r="O126" s="264" t="e">
        <v>#N/A</v>
      </c>
      <c r="P126" s="264"/>
      <c r="Q126" s="264"/>
      <c r="R126" s="264"/>
      <c r="S126" s="264"/>
      <c r="T126" s="264"/>
      <c r="U126" s="264"/>
      <c r="V126" s="264"/>
      <c r="W126" s="264"/>
      <c r="X126" s="264"/>
      <c r="Y126" s="264"/>
      <c r="Z126" s="264"/>
    </row>
    <row r="127">
      <c r="A127" s="264"/>
      <c r="B127" s="264" t="s">
        <v>4081</v>
      </c>
      <c r="C127" s="264">
        <v>15713.0</v>
      </c>
      <c r="D127" s="268">
        <v>18132.0</v>
      </c>
      <c r="E127" s="266">
        <v>44566.0</v>
      </c>
      <c r="F127" s="267">
        <v>0.40625</v>
      </c>
      <c r="G127" s="264" t="s">
        <v>6328</v>
      </c>
      <c r="H127" s="264" t="s">
        <v>15</v>
      </c>
      <c r="I127" s="264" t="s">
        <v>6219</v>
      </c>
      <c r="J127" s="264" t="s">
        <v>6199</v>
      </c>
      <c r="K127" s="264"/>
      <c r="L127" s="264" t="s">
        <v>6242</v>
      </c>
      <c r="M127" s="264"/>
      <c r="N127" s="264"/>
      <c r="O127" s="264" t="s">
        <v>5</v>
      </c>
      <c r="P127" s="264"/>
      <c r="Q127" s="264"/>
      <c r="R127" s="264"/>
      <c r="S127" s="264"/>
      <c r="T127" s="264"/>
      <c r="U127" s="264"/>
      <c r="V127" s="264"/>
      <c r="W127" s="264"/>
      <c r="X127" s="264"/>
      <c r="Y127" s="264"/>
      <c r="Z127" s="264"/>
    </row>
    <row r="128">
      <c r="A128" s="264"/>
      <c r="B128" s="264" t="s">
        <v>2469</v>
      </c>
      <c r="C128" s="264">
        <v>13739.0</v>
      </c>
      <c r="D128" s="268">
        <v>22361.0</v>
      </c>
      <c r="E128" s="266">
        <v>44566.0</v>
      </c>
      <c r="F128" s="267">
        <v>0.4270833333333333</v>
      </c>
      <c r="G128" s="264" t="s">
        <v>6328</v>
      </c>
      <c r="H128" s="264" t="s">
        <v>13</v>
      </c>
      <c r="I128" s="264" t="s">
        <v>6212</v>
      </c>
      <c r="J128" s="264" t="s">
        <v>6196</v>
      </c>
      <c r="K128" s="264"/>
      <c r="L128" s="264" t="s">
        <v>6242</v>
      </c>
      <c r="M128" s="264" t="s">
        <v>6242</v>
      </c>
      <c r="N128" s="264"/>
      <c r="O128" s="264" t="s">
        <v>6220</v>
      </c>
      <c r="P128" s="264"/>
      <c r="Q128" s="264"/>
      <c r="R128" s="264"/>
      <c r="S128" s="264"/>
      <c r="T128" s="264"/>
      <c r="U128" s="264"/>
      <c r="V128" s="264"/>
      <c r="W128" s="264"/>
      <c r="X128" s="264"/>
      <c r="Y128" s="264"/>
      <c r="Z128" s="264"/>
    </row>
    <row r="129">
      <c r="A129" s="264"/>
      <c r="B129" s="264" t="s">
        <v>4267</v>
      </c>
      <c r="C129" s="264">
        <v>15916.0</v>
      </c>
      <c r="D129" s="268">
        <v>24736.0</v>
      </c>
      <c r="E129" s="266">
        <v>44566.0</v>
      </c>
      <c r="F129" s="267">
        <v>0.4166666666666667</v>
      </c>
      <c r="G129" s="264" t="s">
        <v>6323</v>
      </c>
      <c r="H129" s="264" t="s">
        <v>12</v>
      </c>
      <c r="I129" s="264" t="s">
        <v>6212</v>
      </c>
      <c r="J129" s="264" t="s">
        <v>6142</v>
      </c>
      <c r="K129" s="264"/>
      <c r="L129" s="264" t="s">
        <v>6242</v>
      </c>
      <c r="M129" s="264" t="s">
        <v>6242</v>
      </c>
      <c r="N129" s="264"/>
      <c r="O129" s="264" t="s">
        <v>6220</v>
      </c>
      <c r="P129" s="264"/>
      <c r="Q129" s="264"/>
      <c r="R129" s="264"/>
      <c r="S129" s="264"/>
      <c r="T129" s="264"/>
      <c r="U129" s="264"/>
      <c r="V129" s="264"/>
      <c r="W129" s="264"/>
      <c r="X129" s="264"/>
      <c r="Y129" s="264"/>
      <c r="Z129" s="264"/>
    </row>
    <row r="130">
      <c r="A130" s="264"/>
      <c r="B130" s="264" t="s">
        <v>3954</v>
      </c>
      <c r="C130" s="264">
        <v>15573.0</v>
      </c>
      <c r="D130" s="268">
        <v>26123.0</v>
      </c>
      <c r="E130" s="266">
        <v>44566.0</v>
      </c>
      <c r="F130" s="267">
        <v>0.375</v>
      </c>
      <c r="G130" s="264" t="s">
        <v>6323</v>
      </c>
      <c r="H130" s="264" t="s">
        <v>15</v>
      </c>
      <c r="I130" s="264" t="s">
        <v>6219</v>
      </c>
      <c r="J130" s="264" t="s">
        <v>6142</v>
      </c>
      <c r="K130" s="264"/>
      <c r="L130" s="264" t="s">
        <v>6242</v>
      </c>
      <c r="M130" s="264"/>
      <c r="N130" s="264" t="s">
        <v>6340</v>
      </c>
      <c r="O130" s="264" t="s">
        <v>6224</v>
      </c>
      <c r="P130" s="264"/>
      <c r="Q130" s="264"/>
      <c r="R130" s="264"/>
      <c r="S130" s="264"/>
      <c r="T130" s="264"/>
      <c r="U130" s="264"/>
      <c r="V130" s="264"/>
      <c r="W130" s="264"/>
      <c r="X130" s="264"/>
      <c r="Y130" s="264"/>
      <c r="Z130" s="264"/>
    </row>
    <row r="131">
      <c r="A131" s="264"/>
      <c r="B131" s="264" t="s">
        <v>1378</v>
      </c>
      <c r="C131" s="264">
        <v>12305.0</v>
      </c>
      <c r="D131" s="268">
        <v>21728.0</v>
      </c>
      <c r="E131" s="266">
        <v>44566.0</v>
      </c>
      <c r="F131" s="267">
        <v>0.4583333333333333</v>
      </c>
      <c r="G131" s="264" t="s">
        <v>6328</v>
      </c>
      <c r="H131" s="264" t="s">
        <v>15</v>
      </c>
      <c r="I131" s="264" t="s">
        <v>6219</v>
      </c>
      <c r="J131" s="264" t="s">
        <v>6192</v>
      </c>
      <c r="K131" s="264"/>
      <c r="L131" s="264" t="s">
        <v>6242</v>
      </c>
      <c r="M131" s="264"/>
      <c r="N131" s="264"/>
      <c r="O131" s="264" t="s">
        <v>5</v>
      </c>
      <c r="P131" s="264"/>
      <c r="Q131" s="264"/>
      <c r="R131" s="264"/>
      <c r="S131" s="264"/>
      <c r="T131" s="264"/>
      <c r="U131" s="264"/>
      <c r="V131" s="264"/>
      <c r="W131" s="264"/>
      <c r="X131" s="264"/>
      <c r="Y131" s="264"/>
      <c r="Z131" s="264"/>
    </row>
    <row r="132">
      <c r="A132" s="264"/>
      <c r="B132" s="264" t="s">
        <v>992</v>
      </c>
      <c r="C132" s="264">
        <v>11518.0</v>
      </c>
      <c r="D132" s="268">
        <v>20702.0</v>
      </c>
      <c r="E132" s="266">
        <v>44566.0</v>
      </c>
      <c r="F132" s="267">
        <v>0.4583333333333333</v>
      </c>
      <c r="G132" s="264" t="s">
        <v>6323</v>
      </c>
      <c r="H132" s="264" t="s">
        <v>15</v>
      </c>
      <c r="I132" s="264" t="s">
        <v>6219</v>
      </c>
      <c r="J132" s="264" t="s">
        <v>6196</v>
      </c>
      <c r="K132" s="264"/>
      <c r="L132" s="264" t="s">
        <v>6242</v>
      </c>
      <c r="M132" s="264"/>
      <c r="N132" s="264"/>
      <c r="O132" s="264" t="s">
        <v>6216</v>
      </c>
      <c r="P132" s="264"/>
      <c r="Q132" s="264"/>
      <c r="R132" s="264"/>
      <c r="S132" s="264"/>
      <c r="T132" s="264"/>
      <c r="U132" s="264"/>
      <c r="V132" s="264"/>
      <c r="W132" s="264"/>
      <c r="X132" s="264"/>
      <c r="Y132" s="264"/>
      <c r="Z132" s="264"/>
    </row>
    <row r="133">
      <c r="A133" s="264"/>
      <c r="B133" s="264" t="s">
        <v>1080</v>
      </c>
      <c r="C133" s="264">
        <v>11727.0</v>
      </c>
      <c r="D133" s="268">
        <v>17812.0</v>
      </c>
      <c r="E133" s="266">
        <v>44566.0</v>
      </c>
      <c r="F133" s="267">
        <v>0.4583333333333333</v>
      </c>
      <c r="G133" s="264" t="s">
        <v>6323</v>
      </c>
      <c r="H133" s="264" t="s">
        <v>12</v>
      </c>
      <c r="I133" s="264" t="s">
        <v>6212</v>
      </c>
      <c r="J133" s="264" t="s">
        <v>6190</v>
      </c>
      <c r="K133" s="264"/>
      <c r="L133" s="264" t="s">
        <v>6242</v>
      </c>
      <c r="M133" s="264" t="s">
        <v>6242</v>
      </c>
      <c r="N133" s="264"/>
      <c r="O133" s="264" t="s">
        <v>6220</v>
      </c>
      <c r="P133" s="264"/>
      <c r="Q133" s="264"/>
      <c r="R133" s="264"/>
      <c r="S133" s="264"/>
      <c r="T133" s="264"/>
      <c r="U133" s="264"/>
      <c r="V133" s="264"/>
      <c r="W133" s="264"/>
      <c r="X133" s="264"/>
      <c r="Y133" s="264"/>
      <c r="Z133" s="264"/>
    </row>
    <row r="134">
      <c r="A134" s="264"/>
      <c r="B134" s="264" t="s">
        <v>2815</v>
      </c>
      <c r="C134" s="264">
        <v>14194.0</v>
      </c>
      <c r="D134" s="268">
        <v>25721.0</v>
      </c>
      <c r="E134" s="266">
        <v>44566.0</v>
      </c>
      <c r="F134" s="267">
        <v>0.46875</v>
      </c>
      <c r="G134" s="264" t="s">
        <v>6323</v>
      </c>
      <c r="H134" s="264" t="s">
        <v>12</v>
      </c>
      <c r="I134" s="264" t="s">
        <v>6212</v>
      </c>
      <c r="J134" s="264" t="s">
        <v>6154</v>
      </c>
      <c r="K134" s="264"/>
      <c r="L134" s="264" t="s">
        <v>6242</v>
      </c>
      <c r="M134" s="264" t="s">
        <v>6242</v>
      </c>
      <c r="N134" s="264"/>
      <c r="O134" s="264" t="s">
        <v>6215</v>
      </c>
      <c r="P134" s="264"/>
      <c r="Q134" s="264"/>
      <c r="R134" s="264"/>
      <c r="S134" s="264"/>
      <c r="T134" s="264"/>
      <c r="U134" s="264"/>
      <c r="V134" s="264"/>
      <c r="W134" s="264"/>
      <c r="X134" s="264"/>
      <c r="Y134" s="264"/>
      <c r="Z134" s="264"/>
    </row>
    <row r="135">
      <c r="A135" s="264"/>
      <c r="B135" s="264" t="s">
        <v>4025</v>
      </c>
      <c r="C135" s="264">
        <v>15653.0</v>
      </c>
      <c r="D135" s="268">
        <v>18431.0</v>
      </c>
      <c r="E135" s="266">
        <v>44566.0</v>
      </c>
      <c r="F135" s="267">
        <v>0.4895833333333333</v>
      </c>
      <c r="G135" s="264" t="s">
        <v>6328</v>
      </c>
      <c r="H135" s="264" t="s">
        <v>14</v>
      </c>
      <c r="I135" s="264" t="s">
        <v>6222</v>
      </c>
      <c r="J135" s="264" t="s">
        <v>6100</v>
      </c>
      <c r="K135" s="264"/>
      <c r="L135" s="264" t="s">
        <v>6242</v>
      </c>
      <c r="M135" s="264" t="s">
        <v>6242</v>
      </c>
      <c r="N135" s="264"/>
      <c r="O135" s="264" t="e">
        <v>#N/A</v>
      </c>
      <c r="P135" s="264"/>
      <c r="Q135" s="264"/>
      <c r="R135" s="264"/>
      <c r="S135" s="264"/>
      <c r="T135" s="264"/>
      <c r="U135" s="264"/>
      <c r="V135" s="264"/>
      <c r="W135" s="264"/>
      <c r="X135" s="264"/>
      <c r="Y135" s="264"/>
      <c r="Z135" s="264"/>
    </row>
    <row r="136">
      <c r="A136" s="264"/>
      <c r="B136" s="264" t="s">
        <v>2782</v>
      </c>
      <c r="C136" s="264">
        <v>14144.0</v>
      </c>
      <c r="D136" s="268">
        <v>15387.0</v>
      </c>
      <c r="E136" s="266">
        <v>44566.0</v>
      </c>
      <c r="F136" s="267">
        <v>0.4895833333333333</v>
      </c>
      <c r="G136" s="264" t="s">
        <v>6328</v>
      </c>
      <c r="H136" s="264" t="s">
        <v>12</v>
      </c>
      <c r="I136" s="264" t="s">
        <v>6212</v>
      </c>
      <c r="J136" s="264" t="s">
        <v>6189</v>
      </c>
      <c r="K136" s="264"/>
      <c r="L136" s="264" t="s">
        <v>6242</v>
      </c>
      <c r="M136" s="264"/>
      <c r="N136" s="264"/>
      <c r="O136" s="264" t="s">
        <v>6216</v>
      </c>
      <c r="P136" s="264"/>
      <c r="Q136" s="264"/>
      <c r="R136" s="264"/>
      <c r="S136" s="264"/>
      <c r="T136" s="264"/>
      <c r="U136" s="264"/>
      <c r="V136" s="264"/>
      <c r="W136" s="264"/>
      <c r="X136" s="264"/>
      <c r="Y136" s="264"/>
      <c r="Z136" s="264"/>
    </row>
    <row r="137">
      <c r="A137" s="264"/>
      <c r="B137" s="264" t="s">
        <v>718</v>
      </c>
      <c r="C137" s="264">
        <v>16705.0</v>
      </c>
      <c r="D137" s="268">
        <v>20001.0</v>
      </c>
      <c r="E137" s="266">
        <v>44566.0</v>
      </c>
      <c r="F137" s="267">
        <v>0.5416666666666666</v>
      </c>
      <c r="G137" s="264" t="s">
        <v>6328</v>
      </c>
      <c r="H137" s="264" t="s">
        <v>15</v>
      </c>
      <c r="I137" s="264" t="s">
        <v>6219</v>
      </c>
      <c r="J137" s="264" t="s">
        <v>6189</v>
      </c>
      <c r="K137" s="264"/>
      <c r="L137" s="264" t="s">
        <v>6242</v>
      </c>
      <c r="M137" s="264"/>
      <c r="N137" s="264"/>
      <c r="O137" s="264" t="s">
        <v>6216</v>
      </c>
      <c r="P137" s="264"/>
      <c r="Q137" s="264"/>
      <c r="R137" s="264"/>
      <c r="S137" s="264"/>
      <c r="T137" s="264"/>
      <c r="U137" s="264"/>
      <c r="V137" s="264"/>
      <c r="W137" s="264"/>
      <c r="X137" s="264"/>
      <c r="Y137" s="264"/>
      <c r="Z137" s="264"/>
    </row>
    <row r="138">
      <c r="A138" s="264"/>
      <c r="B138" s="264" t="s">
        <v>4328</v>
      </c>
      <c r="C138" s="264">
        <v>15987.0</v>
      </c>
      <c r="D138" s="268">
        <v>17734.0</v>
      </c>
      <c r="E138" s="266">
        <v>44566.0</v>
      </c>
      <c r="F138" s="267">
        <v>0.53125</v>
      </c>
      <c r="G138" s="264" t="s">
        <v>6323</v>
      </c>
      <c r="H138" s="264" t="s">
        <v>15</v>
      </c>
      <c r="I138" s="264" t="s">
        <v>6222</v>
      </c>
      <c r="J138" s="264" t="s">
        <v>6196</v>
      </c>
      <c r="K138" s="264"/>
      <c r="L138" s="264" t="s">
        <v>6242</v>
      </c>
      <c r="M138" s="264" t="s">
        <v>6242</v>
      </c>
      <c r="N138" s="264"/>
      <c r="O138" s="264" t="e">
        <v>#N/A</v>
      </c>
      <c r="P138" s="264"/>
      <c r="Q138" s="264"/>
      <c r="R138" s="264"/>
      <c r="S138" s="264"/>
      <c r="T138" s="264"/>
      <c r="U138" s="264"/>
      <c r="V138" s="264"/>
      <c r="W138" s="264"/>
      <c r="X138" s="264"/>
      <c r="Y138" s="264"/>
      <c r="Z138" s="264"/>
    </row>
    <row r="139">
      <c r="A139" s="264"/>
      <c r="B139" s="264" t="s">
        <v>5025</v>
      </c>
      <c r="C139" s="264">
        <v>16875.0</v>
      </c>
      <c r="D139" s="268">
        <v>19869.0</v>
      </c>
      <c r="E139" s="266">
        <v>44566.0</v>
      </c>
      <c r="F139" s="267">
        <v>0.5416666666666666</v>
      </c>
      <c r="G139" s="264" t="s">
        <v>6328</v>
      </c>
      <c r="H139" s="264" t="s">
        <v>15</v>
      </c>
      <c r="I139" s="264" t="s">
        <v>6219</v>
      </c>
      <c r="J139" s="264" t="s">
        <v>6199</v>
      </c>
      <c r="K139" s="264"/>
      <c r="L139" s="264" t="s">
        <v>6242</v>
      </c>
      <c r="M139" s="264"/>
      <c r="N139" s="264"/>
      <c r="O139" s="264" t="s">
        <v>5</v>
      </c>
      <c r="P139" s="264"/>
      <c r="Q139" s="264"/>
      <c r="R139" s="264"/>
      <c r="S139" s="264"/>
      <c r="T139" s="264"/>
      <c r="U139" s="264"/>
      <c r="V139" s="264"/>
      <c r="W139" s="264"/>
      <c r="X139" s="264"/>
      <c r="Y139" s="264"/>
      <c r="Z139" s="264"/>
    </row>
    <row r="140">
      <c r="A140" s="264"/>
      <c r="B140" s="264" t="s">
        <v>3464</v>
      </c>
      <c r="C140" s="264">
        <v>14987.0</v>
      </c>
      <c r="D140" s="268">
        <v>27390.0</v>
      </c>
      <c r="E140" s="266">
        <v>44566.0</v>
      </c>
      <c r="F140" s="267">
        <v>0.5833333333333334</v>
      </c>
      <c r="G140" s="264" t="s">
        <v>6328</v>
      </c>
      <c r="H140" s="264" t="s">
        <v>14</v>
      </c>
      <c r="I140" s="264" t="s">
        <v>6219</v>
      </c>
      <c r="J140" s="264" t="s">
        <v>6195</v>
      </c>
      <c r="K140" s="264"/>
      <c r="L140" s="264" t="s">
        <v>6242</v>
      </c>
      <c r="M140" s="264" t="s">
        <v>6242</v>
      </c>
      <c r="N140" s="264"/>
      <c r="O140" s="264" t="s">
        <v>6220</v>
      </c>
      <c r="P140" s="264"/>
      <c r="Q140" s="264"/>
      <c r="R140" s="264"/>
      <c r="S140" s="264"/>
      <c r="T140" s="264"/>
      <c r="U140" s="264"/>
      <c r="V140" s="264"/>
      <c r="W140" s="264"/>
      <c r="X140" s="264"/>
      <c r="Y140" s="264"/>
      <c r="Z140" s="264"/>
    </row>
    <row r="141">
      <c r="A141" s="264"/>
      <c r="B141" s="264" t="s">
        <v>5909</v>
      </c>
      <c r="C141" s="264">
        <v>17778.0</v>
      </c>
      <c r="D141" s="268">
        <v>19156.0</v>
      </c>
      <c r="E141" s="266">
        <v>44566.0</v>
      </c>
      <c r="F141" s="267">
        <v>0.5729166666666666</v>
      </c>
      <c r="G141" s="264" t="s">
        <v>6323</v>
      </c>
      <c r="H141" s="264" t="s">
        <v>12</v>
      </c>
      <c r="I141" s="264" t="s">
        <v>6212</v>
      </c>
      <c r="J141" s="264" t="s">
        <v>6195</v>
      </c>
      <c r="K141" s="264" t="s">
        <v>6242</v>
      </c>
      <c r="L141" s="264"/>
      <c r="M141" s="264"/>
      <c r="N141" s="264"/>
      <c r="O141" s="264" t="s">
        <v>6214</v>
      </c>
      <c r="P141" s="264"/>
      <c r="Q141" s="264"/>
      <c r="R141" s="264"/>
      <c r="S141" s="264"/>
      <c r="T141" s="264"/>
      <c r="U141" s="264"/>
      <c r="V141" s="264"/>
      <c r="W141" s="264"/>
      <c r="X141" s="264"/>
      <c r="Y141" s="264"/>
      <c r="Z141" s="264"/>
    </row>
    <row r="142">
      <c r="A142" s="264"/>
      <c r="B142" s="264" t="s">
        <v>5274</v>
      </c>
      <c r="C142" s="264">
        <v>17186.0</v>
      </c>
      <c r="D142" s="268">
        <v>32887.0</v>
      </c>
      <c r="E142" s="266">
        <v>44566.0</v>
      </c>
      <c r="F142" s="267">
        <v>0.5729166666666666</v>
      </c>
      <c r="G142" s="264" t="s">
        <v>6323</v>
      </c>
      <c r="H142" s="264" t="s">
        <v>14</v>
      </c>
      <c r="I142" s="264" t="s">
        <v>6222</v>
      </c>
      <c r="J142" s="264" t="s">
        <v>6126</v>
      </c>
      <c r="K142" s="264"/>
      <c r="L142" s="264" t="s">
        <v>6242</v>
      </c>
      <c r="M142" s="264" t="s">
        <v>6242</v>
      </c>
      <c r="N142" s="264"/>
      <c r="O142" s="264" t="s">
        <v>6215</v>
      </c>
      <c r="P142" s="264"/>
      <c r="Q142" s="264"/>
      <c r="R142" s="264"/>
      <c r="S142" s="264"/>
      <c r="T142" s="264"/>
      <c r="U142" s="264"/>
      <c r="V142" s="264"/>
      <c r="W142" s="264"/>
      <c r="X142" s="264"/>
      <c r="Y142" s="264"/>
      <c r="Z142" s="264"/>
    </row>
    <row r="143">
      <c r="A143" s="264"/>
      <c r="B143" s="264" t="s">
        <v>2508</v>
      </c>
      <c r="C143" s="264">
        <v>13784.0</v>
      </c>
      <c r="D143" s="268">
        <v>21088.0</v>
      </c>
      <c r="E143" s="266">
        <v>44566.0</v>
      </c>
      <c r="F143" s="267">
        <v>0.6041666666666666</v>
      </c>
      <c r="G143" s="264" t="s">
        <v>6323</v>
      </c>
      <c r="H143" s="264" t="s">
        <v>14</v>
      </c>
      <c r="I143" s="264" t="s">
        <v>6222</v>
      </c>
      <c r="J143" s="264" t="s">
        <v>6142</v>
      </c>
      <c r="K143" s="264"/>
      <c r="L143" s="264" t="s">
        <v>6242</v>
      </c>
      <c r="M143" s="264"/>
      <c r="N143" s="264"/>
      <c r="O143" s="264" t="s">
        <v>6220</v>
      </c>
      <c r="P143" s="264"/>
      <c r="Q143" s="264"/>
      <c r="R143" s="264"/>
      <c r="S143" s="264"/>
      <c r="T143" s="264"/>
      <c r="U143" s="264"/>
      <c r="V143" s="264"/>
      <c r="W143" s="264"/>
      <c r="X143" s="264"/>
      <c r="Y143" s="264"/>
      <c r="Z143" s="264"/>
    </row>
    <row r="144">
      <c r="A144" s="264"/>
      <c r="B144" s="264" t="s">
        <v>2411</v>
      </c>
      <c r="C144" s="264">
        <v>13666.0</v>
      </c>
      <c r="D144" s="268">
        <v>27283.0</v>
      </c>
      <c r="E144" s="266">
        <v>44566.0</v>
      </c>
      <c r="F144" s="267">
        <v>0.59375</v>
      </c>
      <c r="G144" s="264" t="s">
        <v>6323</v>
      </c>
      <c r="H144" s="264" t="s">
        <v>14</v>
      </c>
      <c r="I144" s="264" t="s">
        <v>6222</v>
      </c>
      <c r="J144" s="264" t="s">
        <v>6142</v>
      </c>
      <c r="K144" s="264"/>
      <c r="L144" s="264" t="s">
        <v>6242</v>
      </c>
      <c r="M144" s="264" t="s">
        <v>6242</v>
      </c>
      <c r="N144" s="264"/>
      <c r="O144" s="264" t="s">
        <v>6220</v>
      </c>
      <c r="P144" s="264"/>
      <c r="Q144" s="264"/>
      <c r="R144" s="264"/>
      <c r="S144" s="264"/>
      <c r="T144" s="264"/>
      <c r="U144" s="264"/>
      <c r="V144" s="264"/>
      <c r="W144" s="264"/>
      <c r="X144" s="264"/>
      <c r="Y144" s="264"/>
      <c r="Z144" s="264"/>
    </row>
    <row r="145">
      <c r="A145" s="264"/>
      <c r="B145" s="264" t="s">
        <v>4255</v>
      </c>
      <c r="C145" s="264">
        <v>15901.0</v>
      </c>
      <c r="D145" s="268">
        <v>21182.0</v>
      </c>
      <c r="E145" s="266">
        <v>44566.0</v>
      </c>
      <c r="F145" s="267">
        <v>0.5729166666666666</v>
      </c>
      <c r="G145" s="264" t="s">
        <v>6323</v>
      </c>
      <c r="H145" s="264" t="s">
        <v>13</v>
      </c>
      <c r="I145" s="264" t="s">
        <v>6212</v>
      </c>
      <c r="J145" s="264" t="s">
        <v>6185</v>
      </c>
      <c r="K145" s="264"/>
      <c r="L145" s="264" t="s">
        <v>6242</v>
      </c>
      <c r="M145" s="264"/>
      <c r="N145" s="264"/>
      <c r="O145" s="264" t="s">
        <v>5</v>
      </c>
      <c r="P145" s="264"/>
      <c r="Q145" s="264"/>
      <c r="R145" s="264"/>
      <c r="S145" s="264"/>
      <c r="T145" s="264"/>
      <c r="U145" s="264"/>
      <c r="V145" s="264"/>
      <c r="W145" s="264"/>
      <c r="X145" s="264"/>
      <c r="Y145" s="264"/>
      <c r="Z145" s="264"/>
    </row>
    <row r="146">
      <c r="A146" s="264"/>
      <c r="B146" s="264" t="s">
        <v>5947</v>
      </c>
      <c r="C146" s="264">
        <v>17795.0</v>
      </c>
      <c r="D146" s="268">
        <v>27896.0</v>
      </c>
      <c r="E146" s="266">
        <v>44566.0</v>
      </c>
      <c r="F146" s="267">
        <v>0.6041666666666666</v>
      </c>
      <c r="G146" s="264" t="s">
        <v>6328</v>
      </c>
      <c r="H146" s="264" t="s">
        <v>13</v>
      </c>
      <c r="I146" s="264" t="s">
        <v>6212</v>
      </c>
      <c r="J146" s="264" t="s">
        <v>6137</v>
      </c>
      <c r="K146" s="264" t="s">
        <v>6242</v>
      </c>
      <c r="L146" s="264"/>
      <c r="M146" s="264"/>
      <c r="N146" s="264"/>
      <c r="O146" s="264" t="s">
        <v>6213</v>
      </c>
      <c r="P146" s="264"/>
      <c r="Q146" s="264"/>
      <c r="R146" s="264"/>
      <c r="S146" s="264"/>
      <c r="T146" s="264"/>
      <c r="U146" s="264"/>
      <c r="V146" s="264"/>
      <c r="W146" s="264"/>
      <c r="X146" s="264"/>
      <c r="Y146" s="264"/>
      <c r="Z146" s="264"/>
    </row>
    <row r="147">
      <c r="A147" s="264"/>
      <c r="B147" s="264" t="s">
        <v>4510</v>
      </c>
      <c r="C147" s="264">
        <v>16202.0</v>
      </c>
      <c r="D147" s="268">
        <v>24456.0</v>
      </c>
      <c r="E147" s="266">
        <v>44566.0</v>
      </c>
      <c r="F147" s="267">
        <v>0.6354166666666666</v>
      </c>
      <c r="G147" s="264" t="s">
        <v>6328</v>
      </c>
      <c r="H147" s="264" t="s">
        <v>15</v>
      </c>
      <c r="I147" s="264" t="s">
        <v>6219</v>
      </c>
      <c r="J147" s="264" t="s">
        <v>6117</v>
      </c>
      <c r="K147" s="264"/>
      <c r="L147" s="264" t="s">
        <v>6242</v>
      </c>
      <c r="M147" s="264"/>
      <c r="N147" s="264"/>
      <c r="O147" s="264" t="s">
        <v>5</v>
      </c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</row>
    <row r="148">
      <c r="A148" s="264"/>
      <c r="B148" s="264" t="s">
        <v>4116</v>
      </c>
      <c r="C148" s="264">
        <v>15749.0</v>
      </c>
      <c r="D148" s="268">
        <v>30064.0</v>
      </c>
      <c r="E148" s="266">
        <v>44566.0</v>
      </c>
      <c r="F148" s="267">
        <v>0.6458333333333334</v>
      </c>
      <c r="G148" s="264" t="s">
        <v>6328</v>
      </c>
      <c r="H148" s="264" t="s">
        <v>15</v>
      </c>
      <c r="I148" s="264" t="s">
        <v>6219</v>
      </c>
      <c r="J148" s="264" t="s">
        <v>6154</v>
      </c>
      <c r="K148" s="264"/>
      <c r="L148" s="264" t="s">
        <v>6242</v>
      </c>
      <c r="M148" s="264"/>
      <c r="N148" s="264"/>
      <c r="O148" s="264" t="e">
        <v>#N/A</v>
      </c>
      <c r="P148" s="264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</row>
    <row r="149">
      <c r="A149" s="264"/>
      <c r="B149" s="264" t="s">
        <v>5795</v>
      </c>
      <c r="C149" s="264">
        <v>12462.0</v>
      </c>
      <c r="D149" s="268">
        <v>34256.0</v>
      </c>
      <c r="E149" s="266">
        <v>44566.0</v>
      </c>
      <c r="F149" s="267">
        <v>0.625</v>
      </c>
      <c r="G149" s="264" t="s">
        <v>6328</v>
      </c>
      <c r="H149" s="264" t="s">
        <v>12</v>
      </c>
      <c r="I149" s="264" t="s">
        <v>6212</v>
      </c>
      <c r="J149" s="264" t="s">
        <v>6103</v>
      </c>
      <c r="K149" s="264"/>
      <c r="L149" s="264" t="s">
        <v>6242</v>
      </c>
      <c r="M149" s="264"/>
      <c r="N149" s="264"/>
      <c r="O149" s="264" t="s">
        <v>5</v>
      </c>
      <c r="P149" s="264"/>
      <c r="Q149" s="264"/>
      <c r="R149" s="264"/>
      <c r="S149" s="264"/>
      <c r="T149" s="264"/>
      <c r="U149" s="264"/>
      <c r="V149" s="264"/>
      <c r="W149" s="264"/>
      <c r="X149" s="264"/>
      <c r="Y149" s="264"/>
      <c r="Z149" s="264"/>
    </row>
    <row r="150">
      <c r="A150" s="264"/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264"/>
      <c r="V150" s="264"/>
      <c r="W150" s="264"/>
      <c r="X150" s="264"/>
      <c r="Y150" s="264"/>
      <c r="Z150" s="264"/>
    </row>
    <row r="151">
      <c r="A151" s="264"/>
      <c r="B151" s="264" t="s">
        <v>4450</v>
      </c>
      <c r="C151" s="264">
        <v>16128.0</v>
      </c>
      <c r="D151" s="268">
        <v>16663.0</v>
      </c>
      <c r="E151" s="266">
        <v>44567.0</v>
      </c>
      <c r="F151" s="267">
        <v>0.34375</v>
      </c>
      <c r="G151" s="264" t="s">
        <v>6328</v>
      </c>
      <c r="H151" s="264" t="s">
        <v>15</v>
      </c>
      <c r="I151" s="264" t="s">
        <v>6212</v>
      </c>
      <c r="J151" s="264" t="s">
        <v>6187</v>
      </c>
      <c r="K151" s="264"/>
      <c r="L151" s="264" t="s">
        <v>6242</v>
      </c>
      <c r="M151" s="264" t="s">
        <v>6242</v>
      </c>
      <c r="N151" s="264"/>
      <c r="O151" s="264" t="s">
        <v>6215</v>
      </c>
      <c r="P151" s="264"/>
      <c r="Q151" s="264"/>
      <c r="R151" s="264"/>
      <c r="S151" s="264"/>
      <c r="T151" s="264"/>
      <c r="U151" s="264"/>
      <c r="V151" s="264"/>
      <c r="W151" s="264"/>
      <c r="X151" s="264"/>
      <c r="Y151" s="264"/>
      <c r="Z151" s="264"/>
    </row>
    <row r="152">
      <c r="A152" s="264"/>
      <c r="B152" s="264" t="s">
        <v>1196</v>
      </c>
      <c r="C152" s="264">
        <v>11940.0</v>
      </c>
      <c r="D152" s="268">
        <v>20958.0</v>
      </c>
      <c r="E152" s="266">
        <v>44567.0</v>
      </c>
      <c r="F152" s="267">
        <v>0.3333333333333333</v>
      </c>
      <c r="G152" s="264" t="s">
        <v>6328</v>
      </c>
      <c r="H152" s="264" t="s">
        <v>15</v>
      </c>
      <c r="I152" s="264" t="s">
        <v>6222</v>
      </c>
      <c r="J152" s="264" t="s">
        <v>6089</v>
      </c>
      <c r="K152" s="264"/>
      <c r="L152" s="264" t="s">
        <v>6242</v>
      </c>
      <c r="M152" s="264"/>
      <c r="N152" s="264"/>
      <c r="O152" s="264" t="s">
        <v>5</v>
      </c>
      <c r="P152" s="264"/>
      <c r="Q152" s="264"/>
      <c r="R152" s="264"/>
      <c r="S152" s="264"/>
      <c r="T152" s="264"/>
      <c r="U152" s="264"/>
      <c r="V152" s="264"/>
      <c r="W152" s="264"/>
      <c r="X152" s="264"/>
      <c r="Y152" s="264"/>
      <c r="Z152" s="264"/>
    </row>
    <row r="153">
      <c r="A153" s="264"/>
      <c r="B153" s="264" t="s">
        <v>1011</v>
      </c>
      <c r="C153" s="264">
        <v>11568.0</v>
      </c>
      <c r="D153" s="268">
        <v>18906.0</v>
      </c>
      <c r="E153" s="266">
        <v>44567.0</v>
      </c>
      <c r="F153" s="267">
        <v>0.34375</v>
      </c>
      <c r="G153" s="264" t="s">
        <v>6328</v>
      </c>
      <c r="H153" s="264" t="s">
        <v>15</v>
      </c>
      <c r="I153" s="264" t="s">
        <v>6222</v>
      </c>
      <c r="J153" s="264" t="s">
        <v>6196</v>
      </c>
      <c r="K153" s="264"/>
      <c r="L153" s="264" t="s">
        <v>6242</v>
      </c>
      <c r="M153" s="264"/>
      <c r="N153" s="264"/>
      <c r="O153" s="264" t="s">
        <v>6216</v>
      </c>
      <c r="P153" s="264"/>
      <c r="Q153" s="264"/>
      <c r="R153" s="264"/>
      <c r="S153" s="264"/>
      <c r="T153" s="264"/>
      <c r="U153" s="264"/>
      <c r="V153" s="264"/>
      <c r="W153" s="264"/>
      <c r="X153" s="264"/>
      <c r="Y153" s="264"/>
      <c r="Z153" s="264"/>
    </row>
    <row r="154">
      <c r="A154" s="264"/>
      <c r="B154" s="264" t="s">
        <v>564</v>
      </c>
      <c r="C154" s="264">
        <v>10479.0</v>
      </c>
      <c r="D154" s="268">
        <v>19822.0</v>
      </c>
      <c r="E154" s="266">
        <v>44567.0</v>
      </c>
      <c r="F154" s="267">
        <v>0.3541666666666667</v>
      </c>
      <c r="G154" s="264" t="s">
        <v>6328</v>
      </c>
      <c r="H154" s="264" t="s">
        <v>15</v>
      </c>
      <c r="I154" s="264" t="s">
        <v>6222</v>
      </c>
      <c r="J154" s="264" t="s">
        <v>6195</v>
      </c>
      <c r="K154" s="264"/>
      <c r="L154" s="264" t="s">
        <v>6242</v>
      </c>
      <c r="M154" s="264"/>
      <c r="N154" s="264"/>
      <c r="O154" s="264" t="s">
        <v>6216</v>
      </c>
      <c r="P154" s="264"/>
      <c r="Q154" s="264"/>
      <c r="R154" s="264"/>
      <c r="S154" s="264"/>
      <c r="T154" s="264"/>
      <c r="U154" s="264"/>
      <c r="V154" s="264"/>
      <c r="W154" s="264"/>
      <c r="X154" s="264"/>
      <c r="Y154" s="264"/>
      <c r="Z154" s="264"/>
    </row>
    <row r="155">
      <c r="A155" s="264"/>
      <c r="B155" s="264" t="s">
        <v>339</v>
      </c>
      <c r="C155" s="264">
        <v>9909.0</v>
      </c>
      <c r="D155" s="268">
        <v>22143.0</v>
      </c>
      <c r="E155" s="266">
        <v>44567.0</v>
      </c>
      <c r="F155" s="267" t="e">
        <v>#N/A</v>
      </c>
      <c r="G155" s="264" t="s">
        <v>6328</v>
      </c>
      <c r="H155" s="264" t="s">
        <v>15</v>
      </c>
      <c r="I155" s="264" t="e">
        <v>#N/A</v>
      </c>
      <c r="J155" s="264" t="e">
        <v>#N/A</v>
      </c>
      <c r="K155" s="264"/>
      <c r="L155" s="264" t="s">
        <v>6242</v>
      </c>
      <c r="M155" s="264"/>
      <c r="N155" s="264"/>
      <c r="O155" s="264" t="e">
        <v>#N/A</v>
      </c>
      <c r="P155" s="264"/>
      <c r="Q155" s="264"/>
      <c r="R155" s="264"/>
      <c r="S155" s="264"/>
      <c r="T155" s="264"/>
      <c r="U155" s="264"/>
      <c r="V155" s="264"/>
      <c r="W155" s="264"/>
      <c r="X155" s="264"/>
      <c r="Y155" s="264"/>
      <c r="Z155" s="264"/>
    </row>
    <row r="156">
      <c r="A156" s="264"/>
      <c r="B156" s="264" t="s">
        <v>1436</v>
      </c>
      <c r="C156" s="264">
        <v>12397.0</v>
      </c>
      <c r="D156" s="268">
        <v>24151.0</v>
      </c>
      <c r="E156" s="266">
        <v>44567.0</v>
      </c>
      <c r="F156" s="267">
        <v>0.3541666666666667</v>
      </c>
      <c r="G156" s="264" t="s">
        <v>6328</v>
      </c>
      <c r="H156" s="264" t="s">
        <v>15</v>
      </c>
      <c r="I156" s="264" t="s">
        <v>6219</v>
      </c>
      <c r="J156" s="264" t="s">
        <v>6091</v>
      </c>
      <c r="K156" s="264"/>
      <c r="L156" s="264" t="s">
        <v>6242</v>
      </c>
      <c r="M156" s="264" t="s">
        <v>6242</v>
      </c>
      <c r="N156" s="264"/>
      <c r="O156" s="264" t="s">
        <v>6215</v>
      </c>
      <c r="P156" s="264"/>
      <c r="Q156" s="264"/>
      <c r="R156" s="264"/>
      <c r="S156" s="264"/>
      <c r="T156" s="264"/>
      <c r="U156" s="264"/>
      <c r="V156" s="264"/>
      <c r="W156" s="264"/>
      <c r="X156" s="264"/>
      <c r="Y156" s="264"/>
      <c r="Z156" s="264"/>
    </row>
    <row r="157">
      <c r="A157" s="264"/>
      <c r="B157" s="264" t="s">
        <v>3607</v>
      </c>
      <c r="C157" s="264">
        <v>15160.0</v>
      </c>
      <c r="D157" s="268">
        <v>29365.0</v>
      </c>
      <c r="E157" s="266">
        <v>44567.0</v>
      </c>
      <c r="F157" s="267" t="e">
        <v>#N/A</v>
      </c>
      <c r="G157" s="264" t="s">
        <v>6328</v>
      </c>
      <c r="H157" s="264" t="s">
        <v>15</v>
      </c>
      <c r="I157" s="264" t="e">
        <v>#N/A</v>
      </c>
      <c r="J157" s="264" t="e">
        <v>#N/A</v>
      </c>
      <c r="K157" s="264"/>
      <c r="L157" s="264" t="s">
        <v>6242</v>
      </c>
      <c r="M157" s="264"/>
      <c r="N157" s="264"/>
      <c r="O157" s="264" t="e">
        <v>#N/A</v>
      </c>
      <c r="P157" s="264"/>
      <c r="Q157" s="264"/>
      <c r="R157" s="264"/>
      <c r="S157" s="264"/>
      <c r="T157" s="264"/>
      <c r="U157" s="264"/>
      <c r="V157" s="264"/>
      <c r="W157" s="264"/>
      <c r="X157" s="264"/>
      <c r="Y157" s="264"/>
      <c r="Z157" s="264"/>
    </row>
    <row r="158">
      <c r="A158" s="264"/>
      <c r="B158" s="264" t="s">
        <v>4559</v>
      </c>
      <c r="C158" s="264">
        <v>16260.0</v>
      </c>
      <c r="D158" s="268">
        <v>17025.0</v>
      </c>
      <c r="E158" s="266">
        <v>44567.0</v>
      </c>
      <c r="F158" s="267">
        <v>0.3854166666666667</v>
      </c>
      <c r="G158" s="264" t="s">
        <v>6328</v>
      </c>
      <c r="H158" s="264" t="s">
        <v>15</v>
      </c>
      <c r="I158" s="264" t="s">
        <v>6212</v>
      </c>
      <c r="J158" s="264" t="s">
        <v>6137</v>
      </c>
      <c r="K158" s="264"/>
      <c r="L158" s="264" t="s">
        <v>6242</v>
      </c>
      <c r="M158" s="264"/>
      <c r="N158" s="264"/>
      <c r="O158" s="264" t="s">
        <v>5</v>
      </c>
      <c r="P158" s="264"/>
      <c r="Q158" s="264"/>
      <c r="R158" s="264"/>
      <c r="S158" s="264"/>
      <c r="T158" s="264"/>
      <c r="U158" s="264"/>
      <c r="V158" s="264"/>
      <c r="W158" s="264"/>
      <c r="X158" s="264"/>
      <c r="Y158" s="264"/>
      <c r="Z158" s="264"/>
    </row>
    <row r="159">
      <c r="A159" s="264"/>
      <c r="B159" s="264" t="s">
        <v>718</v>
      </c>
      <c r="C159" s="264">
        <v>10903.0</v>
      </c>
      <c r="D159" s="268">
        <v>22992.0</v>
      </c>
      <c r="E159" s="266">
        <v>44567.0</v>
      </c>
      <c r="F159" s="267">
        <v>0.375</v>
      </c>
      <c r="G159" s="264" t="s">
        <v>6328</v>
      </c>
      <c r="H159" s="264" t="s">
        <v>15</v>
      </c>
      <c r="I159" s="264" t="s">
        <v>6222</v>
      </c>
      <c r="J159" s="264" t="s">
        <v>6094</v>
      </c>
      <c r="K159" s="264"/>
      <c r="L159" s="264" t="s">
        <v>6242</v>
      </c>
      <c r="M159" s="264"/>
      <c r="N159" s="264"/>
      <c r="O159" s="264" t="s">
        <v>5</v>
      </c>
      <c r="P159" s="264"/>
      <c r="Q159" s="264"/>
      <c r="R159" s="264"/>
      <c r="S159" s="264"/>
      <c r="T159" s="264"/>
      <c r="U159" s="264"/>
      <c r="V159" s="264"/>
      <c r="W159" s="264"/>
      <c r="X159" s="264"/>
      <c r="Y159" s="264"/>
      <c r="Z159" s="264"/>
    </row>
    <row r="160">
      <c r="A160" s="264"/>
      <c r="B160" s="264" t="s">
        <v>1331</v>
      </c>
      <c r="C160" s="264">
        <v>12224.0</v>
      </c>
      <c r="D160" s="268">
        <v>28683.0</v>
      </c>
      <c r="E160" s="266">
        <v>44567.0</v>
      </c>
      <c r="F160" s="267">
        <v>0.3854166666666667</v>
      </c>
      <c r="G160" s="264" t="s">
        <v>6328</v>
      </c>
      <c r="H160" s="264" t="s">
        <v>15</v>
      </c>
      <c r="I160" s="264" t="s">
        <v>6222</v>
      </c>
      <c r="J160" s="264" t="s">
        <v>6154</v>
      </c>
      <c r="K160" s="264"/>
      <c r="L160" s="264" t="s">
        <v>6242</v>
      </c>
      <c r="M160" s="264"/>
      <c r="N160" s="264"/>
      <c r="O160" s="264" t="s">
        <v>5</v>
      </c>
      <c r="P160" s="264"/>
      <c r="Q160" s="264"/>
      <c r="R160" s="264"/>
      <c r="S160" s="264"/>
      <c r="T160" s="264"/>
      <c r="U160" s="264"/>
      <c r="V160" s="264"/>
      <c r="W160" s="264"/>
      <c r="X160" s="264"/>
      <c r="Y160" s="264"/>
      <c r="Z160" s="264"/>
    </row>
    <row r="161">
      <c r="A161" s="264"/>
      <c r="B161" s="264" t="s">
        <v>4623</v>
      </c>
      <c r="C161" s="264">
        <v>16348.0</v>
      </c>
      <c r="D161" s="268">
        <v>15288.0</v>
      </c>
      <c r="E161" s="266">
        <v>44567.0</v>
      </c>
      <c r="F161" s="267">
        <v>0.3854166666666667</v>
      </c>
      <c r="G161" s="264" t="s">
        <v>6328</v>
      </c>
      <c r="H161" s="264" t="s">
        <v>15</v>
      </c>
      <c r="I161" s="264" t="s">
        <v>6212</v>
      </c>
      <c r="J161" s="264" t="s">
        <v>6094</v>
      </c>
      <c r="K161" s="264"/>
      <c r="L161" s="264" t="s">
        <v>6242</v>
      </c>
      <c r="M161" s="264" t="s">
        <v>6242</v>
      </c>
      <c r="N161" s="264"/>
      <c r="O161" s="264" t="s">
        <v>6215</v>
      </c>
      <c r="P161" s="264"/>
      <c r="Q161" s="264"/>
      <c r="R161" s="264"/>
      <c r="S161" s="264"/>
      <c r="T161" s="264"/>
      <c r="U161" s="264"/>
      <c r="V161" s="264"/>
      <c r="W161" s="264"/>
      <c r="X161" s="264"/>
      <c r="Y161" s="264"/>
      <c r="Z161" s="264"/>
    </row>
    <row r="162">
      <c r="A162" s="264"/>
      <c r="B162" s="264" t="s">
        <v>4963</v>
      </c>
      <c r="C162" s="264">
        <v>16792.0</v>
      </c>
      <c r="D162" s="268">
        <v>13375.0</v>
      </c>
      <c r="E162" s="266">
        <v>44567.0</v>
      </c>
      <c r="F162" s="267">
        <v>0.3854166666666667</v>
      </c>
      <c r="G162" s="264" t="s">
        <v>6328</v>
      </c>
      <c r="H162" s="264" t="s">
        <v>15</v>
      </c>
      <c r="I162" s="264" t="s">
        <v>6212</v>
      </c>
      <c r="J162" s="264" t="s">
        <v>6196</v>
      </c>
      <c r="K162" s="264"/>
      <c r="L162" s="264" t="s">
        <v>6242</v>
      </c>
      <c r="M162" s="264"/>
      <c r="N162" s="264"/>
      <c r="O162" s="264" t="s">
        <v>6216</v>
      </c>
      <c r="P162" s="264"/>
      <c r="Q162" s="264"/>
      <c r="R162" s="264"/>
      <c r="S162" s="264"/>
      <c r="T162" s="264"/>
      <c r="U162" s="264"/>
      <c r="V162" s="264"/>
      <c r="W162" s="264"/>
      <c r="X162" s="264"/>
      <c r="Y162" s="264"/>
      <c r="Z162" s="264"/>
    </row>
    <row r="163">
      <c r="A163" s="264"/>
      <c r="B163" s="264" t="s">
        <v>587</v>
      </c>
      <c r="C163" s="264">
        <v>10525.0</v>
      </c>
      <c r="D163" s="268">
        <v>21713.0</v>
      </c>
      <c r="E163" s="266">
        <v>44567.0</v>
      </c>
      <c r="F163" s="267" t="e">
        <v>#N/A</v>
      </c>
      <c r="G163" s="264" t="s">
        <v>6328</v>
      </c>
      <c r="H163" s="264" t="s">
        <v>15</v>
      </c>
      <c r="I163" s="264" t="e">
        <v>#N/A</v>
      </c>
      <c r="J163" s="264" t="e">
        <v>#N/A</v>
      </c>
      <c r="K163" s="264"/>
      <c r="L163" s="264" t="s">
        <v>6242</v>
      </c>
      <c r="M163" s="264" t="s">
        <v>6242</v>
      </c>
      <c r="N163" s="264"/>
      <c r="O163" s="264" t="e">
        <v>#N/A</v>
      </c>
      <c r="P163" s="264"/>
      <c r="Q163" s="264"/>
      <c r="R163" s="264"/>
      <c r="S163" s="264"/>
      <c r="T163" s="264"/>
      <c r="U163" s="264"/>
      <c r="V163" s="264"/>
      <c r="W163" s="264"/>
      <c r="X163" s="264"/>
      <c r="Y163" s="264"/>
      <c r="Z163" s="264"/>
    </row>
    <row r="164">
      <c r="A164" s="264"/>
      <c r="B164" s="264" t="s">
        <v>2237</v>
      </c>
      <c r="C164" s="264">
        <v>13447.0</v>
      </c>
      <c r="D164" s="268">
        <v>24516.0</v>
      </c>
      <c r="E164" s="266">
        <v>44567.0</v>
      </c>
      <c r="F164" s="267">
        <v>0.3854166666666667</v>
      </c>
      <c r="G164" s="264" t="s">
        <v>6328</v>
      </c>
      <c r="H164" s="264" t="s">
        <v>15</v>
      </c>
      <c r="I164" s="264" t="s">
        <v>6219</v>
      </c>
      <c r="J164" s="264" t="s">
        <v>6119</v>
      </c>
      <c r="K164" s="264"/>
      <c r="L164" s="264" t="s">
        <v>6242</v>
      </c>
      <c r="M164" s="264"/>
      <c r="N164" s="264"/>
      <c r="O164" s="264" t="s">
        <v>5</v>
      </c>
      <c r="P164" s="264"/>
      <c r="Q164" s="264"/>
      <c r="R164" s="264"/>
      <c r="S164" s="264"/>
      <c r="T164" s="264"/>
      <c r="U164" s="264"/>
      <c r="V164" s="264"/>
      <c r="W164" s="264"/>
      <c r="X164" s="264"/>
      <c r="Y164" s="264"/>
      <c r="Z164" s="264"/>
    </row>
    <row r="165">
      <c r="A165" s="264"/>
      <c r="B165" s="264" t="s">
        <v>3327</v>
      </c>
      <c r="C165" s="264">
        <v>14821.0</v>
      </c>
      <c r="D165" s="268">
        <v>21380.0</v>
      </c>
      <c r="E165" s="266">
        <v>44567.0</v>
      </c>
      <c r="F165" s="267">
        <v>0.3958333333333333</v>
      </c>
      <c r="G165" s="264" t="s">
        <v>6328</v>
      </c>
      <c r="H165" s="264" t="s">
        <v>15</v>
      </c>
      <c r="I165" s="264" t="s">
        <v>6212</v>
      </c>
      <c r="J165" s="264" t="s">
        <v>6084</v>
      </c>
      <c r="K165" s="264"/>
      <c r="L165" s="264" t="s">
        <v>6242</v>
      </c>
      <c r="M165" s="264" t="s">
        <v>6242</v>
      </c>
      <c r="N165" s="264"/>
      <c r="O165" s="264" t="s">
        <v>6215</v>
      </c>
      <c r="P165" s="264"/>
      <c r="Q165" s="264"/>
      <c r="R165" s="264"/>
      <c r="S165" s="264"/>
      <c r="T165" s="264"/>
      <c r="U165" s="264"/>
      <c r="V165" s="264"/>
      <c r="W165" s="264"/>
      <c r="X165" s="264"/>
      <c r="Y165" s="264"/>
      <c r="Z165" s="264"/>
    </row>
    <row r="166">
      <c r="A166" s="264"/>
      <c r="B166" s="264" t="s">
        <v>534</v>
      </c>
      <c r="C166" s="264">
        <v>10407.0</v>
      </c>
      <c r="D166" s="268">
        <v>21435.0</v>
      </c>
      <c r="E166" s="266">
        <v>44567.0</v>
      </c>
      <c r="F166" s="267">
        <v>0.4166666666666667</v>
      </c>
      <c r="G166" s="264" t="s">
        <v>6328</v>
      </c>
      <c r="H166" s="264" t="s">
        <v>15</v>
      </c>
      <c r="I166" s="264" t="s">
        <v>6219</v>
      </c>
      <c r="J166" s="264" t="s">
        <v>6223</v>
      </c>
      <c r="K166" s="264"/>
      <c r="L166" s="264" t="s">
        <v>6242</v>
      </c>
      <c r="M166" s="264"/>
      <c r="N166" s="264"/>
      <c r="O166" s="264" t="s">
        <v>6216</v>
      </c>
      <c r="P166" s="264"/>
      <c r="Q166" s="264"/>
      <c r="R166" s="264"/>
      <c r="S166" s="264"/>
      <c r="T166" s="264"/>
      <c r="U166" s="264"/>
      <c r="V166" s="264"/>
      <c r="W166" s="264"/>
      <c r="X166" s="264"/>
      <c r="Y166" s="264"/>
      <c r="Z166" s="264"/>
    </row>
    <row r="167">
      <c r="A167" s="264"/>
      <c r="B167" s="264" t="s">
        <v>3541</v>
      </c>
      <c r="C167" s="264">
        <v>15081.0</v>
      </c>
      <c r="D167" s="268">
        <v>22789.0</v>
      </c>
      <c r="E167" s="266">
        <v>44567.0</v>
      </c>
      <c r="F167" s="267">
        <v>0.3958333333333333</v>
      </c>
      <c r="G167" s="264" t="s">
        <v>6328</v>
      </c>
      <c r="H167" s="264" t="s">
        <v>15</v>
      </c>
      <c r="I167" s="264" t="s">
        <v>6219</v>
      </c>
      <c r="J167" s="264" t="s">
        <v>6130</v>
      </c>
      <c r="K167" s="264"/>
      <c r="L167" s="264" t="s">
        <v>6242</v>
      </c>
      <c r="M167" s="264"/>
      <c r="N167" s="264"/>
      <c r="O167" s="264" t="s">
        <v>5</v>
      </c>
      <c r="P167" s="264"/>
      <c r="Q167" s="264"/>
      <c r="R167" s="264"/>
      <c r="S167" s="264"/>
      <c r="T167" s="264"/>
      <c r="U167" s="264"/>
      <c r="V167" s="264"/>
      <c r="W167" s="264"/>
      <c r="X167" s="264"/>
      <c r="Y167" s="264"/>
      <c r="Z167" s="264"/>
    </row>
    <row r="168">
      <c r="A168" s="264"/>
      <c r="B168" s="264" t="s">
        <v>4377</v>
      </c>
      <c r="C168" s="264">
        <v>16046.0</v>
      </c>
      <c r="D168" s="268">
        <v>18837.0</v>
      </c>
      <c r="E168" s="266">
        <v>44567.0</v>
      </c>
      <c r="F168" s="267">
        <v>0.4166666666666667</v>
      </c>
      <c r="G168" s="264" t="s">
        <v>6328</v>
      </c>
      <c r="H168" s="264" t="s">
        <v>15</v>
      </c>
      <c r="I168" s="264" t="s">
        <v>6222</v>
      </c>
      <c r="J168" s="264" t="s">
        <v>6192</v>
      </c>
      <c r="K168" s="264"/>
      <c r="L168" s="264" t="s">
        <v>6242</v>
      </c>
      <c r="M168" s="264" t="s">
        <v>6242</v>
      </c>
      <c r="N168" s="264"/>
      <c r="O168" s="264" t="s">
        <v>6220</v>
      </c>
      <c r="P168" s="264"/>
      <c r="Q168" s="264"/>
      <c r="R168" s="264"/>
      <c r="S168" s="264"/>
      <c r="T168" s="264"/>
      <c r="U168" s="264"/>
      <c r="V168" s="264"/>
      <c r="W168" s="264"/>
      <c r="X168" s="264"/>
      <c r="Y168" s="264"/>
      <c r="Z168" s="264"/>
    </row>
    <row r="169">
      <c r="A169" s="264"/>
      <c r="B169" s="264" t="s">
        <v>321</v>
      </c>
      <c r="C169" s="264">
        <v>9854.0</v>
      </c>
      <c r="D169" s="268">
        <v>21614.0</v>
      </c>
      <c r="E169" s="266">
        <v>44567.0</v>
      </c>
      <c r="F169" s="267">
        <v>0.4375</v>
      </c>
      <c r="G169" s="264" t="s">
        <v>6328</v>
      </c>
      <c r="H169" s="264" t="s">
        <v>15</v>
      </c>
      <c r="I169" s="264" t="s">
        <v>6222</v>
      </c>
      <c r="J169" s="264" t="s">
        <v>6137</v>
      </c>
      <c r="K169" s="264"/>
      <c r="L169" s="264" t="s">
        <v>6242</v>
      </c>
      <c r="M169" s="264"/>
      <c r="N169" s="264"/>
      <c r="O169" s="264" t="s">
        <v>5</v>
      </c>
      <c r="P169" s="264"/>
      <c r="Q169" s="264"/>
      <c r="R169" s="264"/>
      <c r="S169" s="264"/>
      <c r="T169" s="264"/>
      <c r="U169" s="264"/>
      <c r="V169" s="264"/>
      <c r="W169" s="264"/>
      <c r="X169" s="264"/>
      <c r="Y169" s="264"/>
      <c r="Z169" s="264"/>
    </row>
    <row r="170">
      <c r="A170" s="264"/>
      <c r="B170" s="264" t="s">
        <v>5630</v>
      </c>
      <c r="C170" s="264">
        <v>17713.0</v>
      </c>
      <c r="D170" s="268">
        <v>21325.0</v>
      </c>
      <c r="E170" s="266">
        <v>44567.0</v>
      </c>
      <c r="F170" s="267">
        <v>0.4166666666666667</v>
      </c>
      <c r="G170" s="264" t="s">
        <v>6328</v>
      </c>
      <c r="H170" s="264" t="s">
        <v>15</v>
      </c>
      <c r="I170" s="264" t="s">
        <v>6212</v>
      </c>
      <c r="J170" s="264" t="s">
        <v>6082</v>
      </c>
      <c r="K170" s="264"/>
      <c r="L170" s="264" t="s">
        <v>6242</v>
      </c>
      <c r="M170" s="264" t="s">
        <v>6242</v>
      </c>
      <c r="N170" s="264"/>
      <c r="O170" s="264" t="s">
        <v>6215</v>
      </c>
      <c r="P170" s="264"/>
      <c r="Q170" s="264"/>
      <c r="R170" s="264"/>
      <c r="S170" s="264"/>
      <c r="T170" s="264"/>
      <c r="U170" s="264"/>
      <c r="V170" s="264"/>
      <c r="W170" s="264"/>
      <c r="X170" s="264"/>
      <c r="Y170" s="264"/>
      <c r="Z170" s="264"/>
    </row>
    <row r="171">
      <c r="A171" s="264"/>
      <c r="B171" s="264" t="s">
        <v>320</v>
      </c>
      <c r="C171" s="264">
        <v>9853.0</v>
      </c>
      <c r="D171" s="268">
        <v>23125.0</v>
      </c>
      <c r="E171" s="266">
        <v>44567.0</v>
      </c>
      <c r="F171" s="267">
        <v>0.46875</v>
      </c>
      <c r="G171" s="264" t="s">
        <v>6328</v>
      </c>
      <c r="H171" s="264" t="s">
        <v>15</v>
      </c>
      <c r="I171" s="264" t="s">
        <v>6212</v>
      </c>
      <c r="J171" s="264" t="s">
        <v>6158</v>
      </c>
      <c r="K171" s="264"/>
      <c r="L171" s="264" t="s">
        <v>6242</v>
      </c>
      <c r="M171" s="264"/>
      <c r="N171" s="264"/>
      <c r="O171" s="264" t="s">
        <v>5</v>
      </c>
      <c r="P171" s="264"/>
      <c r="Q171" s="264"/>
      <c r="R171" s="264"/>
      <c r="S171" s="264"/>
      <c r="T171" s="264"/>
      <c r="U171" s="264"/>
      <c r="V171" s="264"/>
      <c r="W171" s="264"/>
      <c r="X171" s="264"/>
      <c r="Y171" s="264"/>
      <c r="Z171" s="264"/>
    </row>
    <row r="172">
      <c r="A172" s="264"/>
      <c r="B172" s="264" t="s">
        <v>936</v>
      </c>
      <c r="C172" s="264">
        <v>11391.0</v>
      </c>
      <c r="D172" s="268">
        <v>21293.0</v>
      </c>
      <c r="E172" s="266">
        <v>44567.0</v>
      </c>
      <c r="F172" s="267">
        <v>0.4375</v>
      </c>
      <c r="G172" s="264" t="s">
        <v>6328</v>
      </c>
      <c r="H172" s="264" t="s">
        <v>15</v>
      </c>
      <c r="I172" s="264" t="s">
        <v>6222</v>
      </c>
      <c r="J172" s="264" t="s">
        <v>6095</v>
      </c>
      <c r="K172" s="264"/>
      <c r="L172" s="264" t="s">
        <v>6242</v>
      </c>
      <c r="M172" s="264"/>
      <c r="N172" s="264"/>
      <c r="O172" s="264" t="s">
        <v>5</v>
      </c>
      <c r="P172" s="264"/>
      <c r="Q172" s="264"/>
      <c r="R172" s="264"/>
      <c r="S172" s="264"/>
      <c r="T172" s="264"/>
      <c r="U172" s="264"/>
      <c r="V172" s="264"/>
      <c r="W172" s="264"/>
      <c r="X172" s="264"/>
      <c r="Y172" s="264"/>
      <c r="Z172" s="264"/>
    </row>
    <row r="173">
      <c r="A173" s="264"/>
      <c r="B173" s="264" t="s">
        <v>1477</v>
      </c>
      <c r="C173" s="264">
        <v>12464.0</v>
      </c>
      <c r="D173" s="268">
        <v>16294.0</v>
      </c>
      <c r="E173" s="266">
        <v>44567.0</v>
      </c>
      <c r="F173" s="267">
        <v>0.4375</v>
      </c>
      <c r="G173" s="264" t="s">
        <v>6328</v>
      </c>
      <c r="H173" s="264" t="s">
        <v>15</v>
      </c>
      <c r="I173" s="264" t="s">
        <v>6212</v>
      </c>
      <c r="J173" s="264" t="s">
        <v>6196</v>
      </c>
      <c r="K173" s="264"/>
      <c r="L173" s="264" t="s">
        <v>6242</v>
      </c>
      <c r="M173" s="264"/>
      <c r="N173" s="264"/>
      <c r="O173" s="264" t="s">
        <v>6216</v>
      </c>
      <c r="P173" s="264"/>
      <c r="Q173" s="264"/>
      <c r="R173" s="264"/>
      <c r="S173" s="264"/>
      <c r="T173" s="264"/>
      <c r="U173" s="264"/>
      <c r="V173" s="264"/>
      <c r="W173" s="264"/>
      <c r="X173" s="264"/>
      <c r="Y173" s="264"/>
      <c r="Z173" s="264"/>
    </row>
    <row r="174">
      <c r="A174" s="264"/>
      <c r="B174" s="264" t="s">
        <v>4166</v>
      </c>
      <c r="C174" s="264">
        <v>15806.0</v>
      </c>
      <c r="D174" s="268">
        <v>18664.0</v>
      </c>
      <c r="E174" s="266">
        <v>44567.0</v>
      </c>
      <c r="F174" s="267">
        <v>0.4479166666666667</v>
      </c>
      <c r="G174" s="264" t="s">
        <v>6328</v>
      </c>
      <c r="H174" s="264" t="s">
        <v>15</v>
      </c>
      <c r="I174" s="264" t="s">
        <v>6212</v>
      </c>
      <c r="J174" s="264" t="s">
        <v>6137</v>
      </c>
      <c r="K174" s="264"/>
      <c r="L174" s="264" t="s">
        <v>6242</v>
      </c>
      <c r="M174" s="264" t="s">
        <v>6242</v>
      </c>
      <c r="N174" s="264"/>
      <c r="O174" s="264" t="s">
        <v>6215</v>
      </c>
      <c r="P174" s="264"/>
      <c r="Q174" s="264"/>
      <c r="R174" s="264"/>
      <c r="S174" s="264"/>
      <c r="T174" s="264"/>
      <c r="U174" s="264"/>
      <c r="V174" s="264"/>
      <c r="W174" s="264"/>
      <c r="X174" s="264"/>
      <c r="Y174" s="264"/>
      <c r="Z174" s="264"/>
    </row>
    <row r="175">
      <c r="A175" s="264"/>
      <c r="B175" s="264" t="s">
        <v>5403</v>
      </c>
      <c r="C175" s="264">
        <v>17350.0</v>
      </c>
      <c r="D175" s="268">
        <v>14746.0</v>
      </c>
      <c r="E175" s="266">
        <v>44567.0</v>
      </c>
      <c r="F175" s="267">
        <v>0.4270833333333333</v>
      </c>
      <c r="G175" s="264" t="s">
        <v>6328</v>
      </c>
      <c r="H175" s="264" t="s">
        <v>15</v>
      </c>
      <c r="I175" s="264" t="s">
        <v>6212</v>
      </c>
      <c r="J175" s="264" t="s">
        <v>6194</v>
      </c>
      <c r="K175" s="264"/>
      <c r="L175" s="264" t="s">
        <v>6242</v>
      </c>
      <c r="M175" s="264" t="s">
        <v>6242</v>
      </c>
      <c r="N175" s="264"/>
      <c r="O175" s="264" t="s">
        <v>6220</v>
      </c>
      <c r="P175" s="264"/>
      <c r="Q175" s="264"/>
      <c r="R175" s="264"/>
      <c r="S175" s="264"/>
      <c r="T175" s="264"/>
      <c r="U175" s="264"/>
      <c r="V175" s="264"/>
      <c r="W175" s="264"/>
      <c r="X175" s="264"/>
      <c r="Y175" s="264"/>
      <c r="Z175" s="264"/>
    </row>
    <row r="176">
      <c r="A176" s="264"/>
      <c r="B176" s="264" t="s">
        <v>5138</v>
      </c>
      <c r="C176" s="264">
        <v>17017.0</v>
      </c>
      <c r="D176" s="268">
        <v>29428.0</v>
      </c>
      <c r="E176" s="266">
        <v>44567.0</v>
      </c>
      <c r="F176" s="267">
        <v>0.4479166666666667</v>
      </c>
      <c r="G176" s="264" t="s">
        <v>6328</v>
      </c>
      <c r="H176" s="264" t="s">
        <v>15</v>
      </c>
      <c r="I176" s="264" t="s">
        <v>6212</v>
      </c>
      <c r="J176" s="264" t="s">
        <v>6082</v>
      </c>
      <c r="K176" s="264"/>
      <c r="L176" s="264" t="s">
        <v>6242</v>
      </c>
      <c r="M176" s="264"/>
      <c r="N176" s="264"/>
      <c r="O176" s="264" t="s">
        <v>5</v>
      </c>
      <c r="P176" s="264"/>
      <c r="Q176" s="264"/>
      <c r="R176" s="264"/>
      <c r="S176" s="264"/>
      <c r="T176" s="264"/>
      <c r="U176" s="264"/>
      <c r="V176" s="264"/>
      <c r="W176" s="264"/>
      <c r="X176" s="264"/>
      <c r="Y176" s="264"/>
      <c r="Z176" s="264"/>
    </row>
    <row r="177">
      <c r="A177" s="264"/>
      <c r="B177" s="264" t="s">
        <v>4933</v>
      </c>
      <c r="C177" s="264">
        <v>16758.0</v>
      </c>
      <c r="D177" s="268">
        <v>19768.0</v>
      </c>
      <c r="E177" s="266">
        <v>44567.0</v>
      </c>
      <c r="F177" s="267">
        <v>0.46875</v>
      </c>
      <c r="G177" s="264" t="s">
        <v>6328</v>
      </c>
      <c r="H177" s="264" t="s">
        <v>15</v>
      </c>
      <c r="I177" s="264" t="s">
        <v>6212</v>
      </c>
      <c r="J177" s="264" t="s">
        <v>6193</v>
      </c>
      <c r="K177" s="264"/>
      <c r="L177" s="264" t="s">
        <v>6242</v>
      </c>
      <c r="M177" s="264"/>
      <c r="N177" s="264"/>
      <c r="O177" s="264" t="s">
        <v>6216</v>
      </c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  <c r="Z177" s="264"/>
    </row>
    <row r="178">
      <c r="A178" s="264"/>
      <c r="B178" s="264" t="s">
        <v>2730</v>
      </c>
      <c r="C178" s="264">
        <v>14085.0</v>
      </c>
      <c r="D178" s="268">
        <v>15888.0</v>
      </c>
      <c r="E178" s="266">
        <v>44567.0</v>
      </c>
      <c r="F178" s="267">
        <v>0.4583333333333333</v>
      </c>
      <c r="G178" s="264" t="s">
        <v>6328</v>
      </c>
      <c r="H178" s="264" t="s">
        <v>15</v>
      </c>
      <c r="I178" s="264" t="s">
        <v>6222</v>
      </c>
      <c r="J178" s="264" t="s">
        <v>6083</v>
      </c>
      <c r="K178" s="264"/>
      <c r="L178" s="264" t="s">
        <v>6242</v>
      </c>
      <c r="M178" s="264"/>
      <c r="N178" s="264"/>
      <c r="O178" s="264" t="s">
        <v>5</v>
      </c>
      <c r="P178" s="264"/>
      <c r="Q178" s="264"/>
      <c r="R178" s="264"/>
      <c r="S178" s="264"/>
      <c r="T178" s="264"/>
      <c r="U178" s="264"/>
      <c r="V178" s="264"/>
      <c r="W178" s="264"/>
      <c r="X178" s="264"/>
      <c r="Y178" s="264"/>
      <c r="Z178" s="264"/>
    </row>
    <row r="179">
      <c r="A179" s="264"/>
      <c r="B179" s="264" t="s">
        <v>449</v>
      </c>
      <c r="C179" s="264">
        <v>10185.0</v>
      </c>
      <c r="D179" s="268">
        <v>24575.0</v>
      </c>
      <c r="E179" s="266">
        <v>44567.0</v>
      </c>
      <c r="F179" s="267" t="e">
        <v>#N/A</v>
      </c>
      <c r="G179" s="264" t="s">
        <v>6328</v>
      </c>
      <c r="H179" s="264" t="s">
        <v>15</v>
      </c>
      <c r="I179" s="264" t="e">
        <v>#N/A</v>
      </c>
      <c r="J179" s="264" t="e">
        <v>#N/A</v>
      </c>
      <c r="K179" s="264"/>
      <c r="L179" s="264" t="s">
        <v>6242</v>
      </c>
      <c r="M179" s="264"/>
      <c r="N179" s="264"/>
      <c r="O179" s="264" t="e">
        <v>#N/A</v>
      </c>
      <c r="P179" s="264"/>
      <c r="Q179" s="264"/>
      <c r="R179" s="264"/>
      <c r="S179" s="264"/>
      <c r="T179" s="264"/>
      <c r="U179" s="264"/>
      <c r="V179" s="264"/>
      <c r="W179" s="264"/>
      <c r="X179" s="264"/>
      <c r="Y179" s="264"/>
      <c r="Z179" s="264"/>
    </row>
    <row r="180">
      <c r="A180" s="264"/>
      <c r="B180" s="264" t="s">
        <v>1702</v>
      </c>
      <c r="C180" s="264">
        <v>12778.0</v>
      </c>
      <c r="D180" s="268">
        <v>24069.0</v>
      </c>
      <c r="E180" s="266">
        <v>44567.0</v>
      </c>
      <c r="F180" s="267">
        <v>0.4895833333333333</v>
      </c>
      <c r="G180" s="264" t="s">
        <v>6328</v>
      </c>
      <c r="H180" s="264" t="s">
        <v>15</v>
      </c>
      <c r="I180" s="264" t="s">
        <v>6212</v>
      </c>
      <c r="J180" s="264" t="s">
        <v>6196</v>
      </c>
      <c r="K180" s="264"/>
      <c r="L180" s="264" t="s">
        <v>6242</v>
      </c>
      <c r="M180" s="264" t="s">
        <v>6242</v>
      </c>
      <c r="N180" s="264"/>
      <c r="O180" s="264" t="s">
        <v>6220</v>
      </c>
      <c r="P180" s="264"/>
      <c r="Q180" s="264"/>
      <c r="R180" s="264"/>
      <c r="S180" s="264"/>
      <c r="T180" s="264"/>
      <c r="U180" s="264"/>
      <c r="V180" s="264"/>
      <c r="W180" s="264"/>
      <c r="X180" s="264"/>
      <c r="Y180" s="264"/>
      <c r="Z180" s="264"/>
    </row>
    <row r="181">
      <c r="A181" s="264"/>
      <c r="B181" s="264" t="s">
        <v>2634</v>
      </c>
      <c r="C181" s="264">
        <v>13950.0</v>
      </c>
      <c r="D181" s="268">
        <v>21926.0</v>
      </c>
      <c r="E181" s="266">
        <v>44567.0</v>
      </c>
      <c r="F181" s="267">
        <v>0.5520833333333334</v>
      </c>
      <c r="G181" s="264" t="s">
        <v>6328</v>
      </c>
      <c r="H181" s="264" t="s">
        <v>15</v>
      </c>
      <c r="I181" s="264" t="s">
        <v>6212</v>
      </c>
      <c r="J181" s="264" t="s">
        <v>6139</v>
      </c>
      <c r="K181" s="264"/>
      <c r="L181" s="264" t="s">
        <v>6242</v>
      </c>
      <c r="M181" s="264"/>
      <c r="N181" s="264"/>
      <c r="O181" s="264" t="s">
        <v>6216</v>
      </c>
      <c r="P181" s="264"/>
      <c r="Q181" s="264"/>
      <c r="R181" s="264"/>
      <c r="S181" s="264"/>
      <c r="T181" s="264"/>
      <c r="U181" s="264"/>
      <c r="V181" s="264"/>
      <c r="W181" s="264"/>
      <c r="X181" s="264"/>
      <c r="Y181" s="264"/>
      <c r="Z181" s="264"/>
    </row>
    <row r="182">
      <c r="A182" s="264"/>
      <c r="B182" s="264" t="s">
        <v>532</v>
      </c>
      <c r="C182" s="264">
        <v>10399.0</v>
      </c>
      <c r="D182" s="268">
        <v>29259.0</v>
      </c>
      <c r="E182" s="266">
        <v>44567.0</v>
      </c>
      <c r="F182" s="267">
        <v>0.5416666666666666</v>
      </c>
      <c r="G182" s="264" t="s">
        <v>6328</v>
      </c>
      <c r="H182" s="264" t="s">
        <v>15</v>
      </c>
      <c r="I182" s="264" t="s">
        <v>6222</v>
      </c>
      <c r="J182" s="264" t="s">
        <v>6199</v>
      </c>
      <c r="K182" s="264"/>
      <c r="L182" s="264" t="s">
        <v>6242</v>
      </c>
      <c r="M182" s="264"/>
      <c r="N182" s="264"/>
      <c r="O182" s="264" t="s">
        <v>5</v>
      </c>
      <c r="P182" s="264"/>
      <c r="Q182" s="264"/>
      <c r="R182" s="264"/>
      <c r="S182" s="264"/>
      <c r="T182" s="264"/>
      <c r="U182" s="264"/>
      <c r="V182" s="264"/>
      <c r="W182" s="264"/>
      <c r="X182" s="264"/>
      <c r="Y182" s="264"/>
      <c r="Z182" s="264"/>
    </row>
    <row r="183">
      <c r="A183" s="264"/>
      <c r="B183" s="264" t="s">
        <v>3252</v>
      </c>
      <c r="C183" s="264">
        <v>14729.0</v>
      </c>
      <c r="D183" s="268">
        <v>30461.0</v>
      </c>
      <c r="E183" s="266">
        <v>44567.0</v>
      </c>
      <c r="F183" s="267">
        <v>0.5729166666666666</v>
      </c>
      <c r="G183" s="264" t="s">
        <v>6328</v>
      </c>
      <c r="H183" s="264" t="s">
        <v>15</v>
      </c>
      <c r="I183" s="264" t="s">
        <v>6222</v>
      </c>
      <c r="J183" s="264" t="s">
        <v>6154</v>
      </c>
      <c r="K183" s="264"/>
      <c r="L183" s="264" t="s">
        <v>6242</v>
      </c>
      <c r="M183" s="264"/>
      <c r="N183" s="264"/>
      <c r="O183" s="264" t="s">
        <v>5</v>
      </c>
      <c r="P183" s="264"/>
      <c r="Q183" s="264"/>
      <c r="R183" s="264"/>
      <c r="S183" s="264"/>
      <c r="T183" s="264"/>
      <c r="U183" s="264"/>
      <c r="V183" s="264"/>
      <c r="W183" s="264"/>
      <c r="X183" s="264"/>
      <c r="Y183" s="264"/>
      <c r="Z183" s="264"/>
    </row>
    <row r="184">
      <c r="A184" s="264"/>
      <c r="B184" s="264" t="s">
        <v>4481</v>
      </c>
      <c r="C184" s="264">
        <v>16166.0</v>
      </c>
      <c r="D184" s="268">
        <v>21767.0</v>
      </c>
      <c r="E184" s="266">
        <v>44567.0</v>
      </c>
      <c r="F184" s="267">
        <v>0.5625</v>
      </c>
      <c r="G184" s="264" t="s">
        <v>6328</v>
      </c>
      <c r="H184" s="264" t="s">
        <v>15</v>
      </c>
      <c r="I184" s="264" t="s">
        <v>6219</v>
      </c>
      <c r="J184" s="264" t="s">
        <v>6186</v>
      </c>
      <c r="K184" s="264"/>
      <c r="L184" s="264" t="s">
        <v>6242</v>
      </c>
      <c r="M184" s="264"/>
      <c r="N184" s="264"/>
      <c r="O184" s="264" t="s">
        <v>5</v>
      </c>
      <c r="P184" s="264"/>
      <c r="Q184" s="264"/>
      <c r="R184" s="264"/>
      <c r="S184" s="264"/>
      <c r="T184" s="264"/>
      <c r="U184" s="264"/>
      <c r="V184" s="264"/>
      <c r="W184" s="264"/>
      <c r="X184" s="264"/>
      <c r="Y184" s="264"/>
      <c r="Z184" s="264"/>
    </row>
    <row r="185">
      <c r="A185" s="264"/>
      <c r="B185" s="264" t="s">
        <v>1595</v>
      </c>
      <c r="C185" s="264">
        <v>12638.0</v>
      </c>
      <c r="D185" s="268">
        <v>25617.0</v>
      </c>
      <c r="E185" s="266">
        <v>44567.0</v>
      </c>
      <c r="F185" s="267">
        <v>0.5729166666666666</v>
      </c>
      <c r="G185" s="264" t="s">
        <v>6328</v>
      </c>
      <c r="H185" s="264" t="s">
        <v>15</v>
      </c>
      <c r="I185" s="264" t="s">
        <v>6212</v>
      </c>
      <c r="J185" s="264" t="s">
        <v>6117</v>
      </c>
      <c r="K185" s="264"/>
      <c r="L185" s="264" t="s">
        <v>6242</v>
      </c>
      <c r="M185" s="264"/>
      <c r="N185" s="264"/>
      <c r="O185" s="264" t="s">
        <v>5</v>
      </c>
      <c r="P185" s="264"/>
      <c r="Q185" s="264"/>
      <c r="R185" s="264"/>
      <c r="S185" s="264"/>
      <c r="T185" s="264"/>
      <c r="U185" s="264"/>
      <c r="V185" s="264"/>
      <c r="W185" s="264"/>
      <c r="X185" s="264"/>
      <c r="Y185" s="264"/>
      <c r="Z185" s="264"/>
    </row>
    <row r="186">
      <c r="A186" s="264"/>
      <c r="B186" s="264" t="s">
        <v>527</v>
      </c>
      <c r="C186" s="264">
        <v>10392.0</v>
      </c>
      <c r="D186" s="268">
        <v>31105.0</v>
      </c>
      <c r="E186" s="266">
        <v>44567.0</v>
      </c>
      <c r="F186" s="267">
        <v>0.5625</v>
      </c>
      <c r="G186" s="264" t="s">
        <v>6328</v>
      </c>
      <c r="H186" s="264" t="s">
        <v>15</v>
      </c>
      <c r="I186" s="264" t="s">
        <v>6222</v>
      </c>
      <c r="J186" s="264" t="s">
        <v>6137</v>
      </c>
      <c r="K186" s="264"/>
      <c r="L186" s="264" t="s">
        <v>6242</v>
      </c>
      <c r="M186" s="264"/>
      <c r="N186" s="264"/>
      <c r="O186" s="264" t="s">
        <v>5</v>
      </c>
      <c r="P186" s="264"/>
      <c r="Q186" s="264"/>
      <c r="R186" s="264"/>
      <c r="S186" s="264"/>
      <c r="T186" s="264"/>
      <c r="U186" s="264"/>
      <c r="V186" s="264"/>
      <c r="W186" s="264"/>
      <c r="X186" s="264"/>
      <c r="Y186" s="264"/>
      <c r="Z186" s="264"/>
    </row>
    <row r="187">
      <c r="A187" s="264"/>
      <c r="B187" s="264" t="s">
        <v>4482</v>
      </c>
      <c r="C187" s="264">
        <v>16167.0</v>
      </c>
      <c r="D187" s="268">
        <v>19877.0</v>
      </c>
      <c r="E187" s="266">
        <v>44567.0</v>
      </c>
      <c r="F187" s="267">
        <v>0.5625</v>
      </c>
      <c r="G187" s="264" t="s">
        <v>6328</v>
      </c>
      <c r="H187" s="264" t="s">
        <v>15</v>
      </c>
      <c r="I187" s="264" t="s">
        <v>6219</v>
      </c>
      <c r="J187" s="264" t="s">
        <v>6186</v>
      </c>
      <c r="K187" s="264"/>
      <c r="L187" s="264" t="s">
        <v>6242</v>
      </c>
      <c r="M187" s="264"/>
      <c r="N187" s="264"/>
      <c r="O187" s="264" t="s">
        <v>5</v>
      </c>
      <c r="P187" s="264"/>
      <c r="Q187" s="264"/>
      <c r="R187" s="264"/>
      <c r="S187" s="264"/>
      <c r="T187" s="264"/>
      <c r="U187" s="264"/>
      <c r="V187" s="264"/>
      <c r="W187" s="264"/>
      <c r="X187" s="264"/>
      <c r="Y187" s="264"/>
      <c r="Z187" s="264"/>
    </row>
    <row r="188">
      <c r="A188" s="264"/>
      <c r="B188" s="264" t="s">
        <v>4817</v>
      </c>
      <c r="C188" s="264">
        <v>16609.0</v>
      </c>
      <c r="D188" s="268">
        <v>19761.0</v>
      </c>
      <c r="E188" s="266">
        <v>44567.0</v>
      </c>
      <c r="F188" s="267">
        <v>0.5729166666666666</v>
      </c>
      <c r="G188" s="264" t="s">
        <v>6328</v>
      </c>
      <c r="H188" s="264" t="s">
        <v>15</v>
      </c>
      <c r="I188" s="264" t="s">
        <v>6212</v>
      </c>
      <c r="J188" s="264" t="s">
        <v>6082</v>
      </c>
      <c r="K188" s="264"/>
      <c r="L188" s="264" t="s">
        <v>6242</v>
      </c>
      <c r="M188" s="264"/>
      <c r="N188" s="264"/>
      <c r="O188" s="264" t="s">
        <v>5</v>
      </c>
      <c r="P188" s="264"/>
      <c r="Q188" s="264"/>
      <c r="R188" s="264"/>
      <c r="S188" s="264"/>
      <c r="T188" s="264"/>
      <c r="U188" s="264"/>
      <c r="V188" s="264"/>
      <c r="W188" s="264"/>
      <c r="X188" s="264"/>
      <c r="Y188" s="264"/>
      <c r="Z188" s="264"/>
    </row>
    <row r="189">
      <c r="A189" s="264"/>
      <c r="B189" s="264" t="s">
        <v>580</v>
      </c>
      <c r="C189" s="264">
        <v>10516.0</v>
      </c>
      <c r="D189" s="268">
        <v>25305.0</v>
      </c>
      <c r="E189" s="266">
        <v>44567.0</v>
      </c>
      <c r="F189" s="267">
        <v>0.625</v>
      </c>
      <c r="G189" s="264" t="s">
        <v>6328</v>
      </c>
      <c r="H189" s="264" t="s">
        <v>15</v>
      </c>
      <c r="I189" s="264" t="s">
        <v>6212</v>
      </c>
      <c r="J189" s="264" t="s">
        <v>6196</v>
      </c>
      <c r="K189" s="264"/>
      <c r="L189" s="264" t="s">
        <v>6242</v>
      </c>
      <c r="M189" s="264"/>
      <c r="N189" s="264"/>
      <c r="O189" s="264" t="s">
        <v>6216</v>
      </c>
      <c r="P189" s="264"/>
      <c r="Q189" s="264"/>
      <c r="R189" s="264"/>
      <c r="S189" s="264"/>
      <c r="T189" s="264"/>
      <c r="U189" s="264"/>
      <c r="V189" s="264"/>
      <c r="W189" s="264"/>
      <c r="X189" s="264"/>
      <c r="Y189" s="264"/>
      <c r="Z189" s="264"/>
    </row>
    <row r="190">
      <c r="A190" s="264"/>
      <c r="B190" s="264" t="s">
        <v>335</v>
      </c>
      <c r="C190" s="264">
        <v>9892.0</v>
      </c>
      <c r="D190" s="268">
        <v>24543.0</v>
      </c>
      <c r="E190" s="266">
        <v>44567.0</v>
      </c>
      <c r="F190" s="267">
        <v>0.6145833333333334</v>
      </c>
      <c r="G190" s="264" t="s">
        <v>6328</v>
      </c>
      <c r="H190" s="264" t="s">
        <v>15</v>
      </c>
      <c r="I190" s="264" t="s">
        <v>6212</v>
      </c>
      <c r="J190" s="264" t="s">
        <v>6199</v>
      </c>
      <c r="K190" s="264"/>
      <c r="L190" s="264" t="s">
        <v>6242</v>
      </c>
      <c r="M190" s="264" t="s">
        <v>6242</v>
      </c>
      <c r="N190" s="264"/>
      <c r="O190" s="264" t="s">
        <v>6215</v>
      </c>
      <c r="P190" s="264"/>
      <c r="Q190" s="264"/>
      <c r="R190" s="264"/>
      <c r="S190" s="264"/>
      <c r="T190" s="264"/>
      <c r="U190" s="264"/>
      <c r="V190" s="264"/>
      <c r="W190" s="264"/>
      <c r="X190" s="264"/>
      <c r="Y190" s="264"/>
      <c r="Z190" s="264"/>
    </row>
    <row r="191">
      <c r="A191" s="264"/>
      <c r="B191" s="264" t="s">
        <v>372</v>
      </c>
      <c r="C191" s="264">
        <v>10015.0</v>
      </c>
      <c r="D191" s="268">
        <v>20741.0</v>
      </c>
      <c r="E191" s="266">
        <v>44567.0</v>
      </c>
      <c r="F191" s="267">
        <v>0.59375</v>
      </c>
      <c r="G191" s="264" t="s">
        <v>6328</v>
      </c>
      <c r="H191" s="264" t="s">
        <v>15</v>
      </c>
      <c r="I191" s="264" t="s">
        <v>6212</v>
      </c>
      <c r="J191" s="264" t="s">
        <v>6085</v>
      </c>
      <c r="K191" s="264"/>
      <c r="L191" s="264" t="s">
        <v>6242</v>
      </c>
      <c r="M191" s="264"/>
      <c r="N191" s="264"/>
      <c r="O191" s="264" t="s">
        <v>5</v>
      </c>
      <c r="P191" s="264"/>
      <c r="Q191" s="264"/>
      <c r="R191" s="264"/>
      <c r="S191" s="264"/>
      <c r="T191" s="264"/>
      <c r="U191" s="264"/>
      <c r="V191" s="264"/>
      <c r="W191" s="264"/>
      <c r="X191" s="264"/>
      <c r="Y191" s="264"/>
      <c r="Z191" s="264"/>
    </row>
    <row r="192">
      <c r="A192" s="264"/>
      <c r="B192" s="264" t="s">
        <v>2153</v>
      </c>
      <c r="C192" s="264">
        <v>13331.0</v>
      </c>
      <c r="D192" s="268">
        <v>17613.0</v>
      </c>
      <c r="E192" s="266">
        <v>44567.0</v>
      </c>
      <c r="F192" s="267">
        <v>0.59375</v>
      </c>
      <c r="G192" s="264" t="s">
        <v>6328</v>
      </c>
      <c r="H192" s="264" t="s">
        <v>15</v>
      </c>
      <c r="I192" s="264" t="s">
        <v>6219</v>
      </c>
      <c r="J192" s="264" t="s">
        <v>6095</v>
      </c>
      <c r="K192" s="264"/>
      <c r="L192" s="264" t="s">
        <v>6242</v>
      </c>
      <c r="M192" s="264" t="s">
        <v>6242</v>
      </c>
      <c r="N192" s="264"/>
      <c r="O192" s="264" t="s">
        <v>6215</v>
      </c>
      <c r="P192" s="264"/>
      <c r="Q192" s="264"/>
      <c r="R192" s="264"/>
      <c r="S192" s="264"/>
      <c r="T192" s="264"/>
      <c r="U192" s="264"/>
      <c r="V192" s="264"/>
      <c r="W192" s="264"/>
      <c r="X192" s="264"/>
      <c r="Y192" s="264"/>
      <c r="Z192" s="264"/>
    </row>
    <row r="193">
      <c r="A193" s="264"/>
      <c r="B193" s="264" t="s">
        <v>617</v>
      </c>
      <c r="C193" s="264">
        <v>10632.0</v>
      </c>
      <c r="D193" s="268">
        <v>22528.0</v>
      </c>
      <c r="E193" s="266">
        <v>44567.0</v>
      </c>
      <c r="F193" s="267">
        <v>0.5833333333333334</v>
      </c>
      <c r="G193" s="264" t="s">
        <v>6328</v>
      </c>
      <c r="H193" s="264" t="s">
        <v>15</v>
      </c>
      <c r="I193" s="264" t="s">
        <v>6219</v>
      </c>
      <c r="J193" s="264" t="s">
        <v>6142</v>
      </c>
      <c r="K193" s="264"/>
      <c r="L193" s="264" t="s">
        <v>6242</v>
      </c>
      <c r="M193" s="264" t="s">
        <v>6242</v>
      </c>
      <c r="N193" s="264"/>
      <c r="O193" s="264" t="s">
        <v>6220</v>
      </c>
      <c r="P193" s="264"/>
      <c r="Q193" s="264"/>
      <c r="R193" s="264"/>
      <c r="S193" s="264"/>
      <c r="T193" s="264"/>
      <c r="U193" s="264"/>
      <c r="V193" s="264"/>
      <c r="W193" s="264"/>
      <c r="X193" s="264"/>
      <c r="Y193" s="264"/>
      <c r="Z193" s="264"/>
    </row>
    <row r="194">
      <c r="A194" s="264"/>
      <c r="B194" s="264" t="s">
        <v>3844</v>
      </c>
      <c r="C194" s="264">
        <v>15450.0</v>
      </c>
      <c r="D194" s="268">
        <v>15506.0</v>
      </c>
      <c r="E194" s="266">
        <v>44567.0</v>
      </c>
      <c r="F194" s="267">
        <v>0.6041666666666666</v>
      </c>
      <c r="G194" s="264" t="s">
        <v>6328</v>
      </c>
      <c r="H194" s="264" t="s">
        <v>15</v>
      </c>
      <c r="I194" s="264" t="s">
        <v>6222</v>
      </c>
      <c r="J194" s="264" t="s">
        <v>6196</v>
      </c>
      <c r="K194" s="264"/>
      <c r="L194" s="264" t="s">
        <v>6242</v>
      </c>
      <c r="M194" s="264"/>
      <c r="N194" s="264"/>
      <c r="O194" s="264" t="s">
        <v>6216</v>
      </c>
      <c r="P194" s="264"/>
      <c r="Q194" s="264"/>
      <c r="R194" s="264"/>
      <c r="S194" s="264"/>
      <c r="T194" s="264"/>
      <c r="U194" s="264"/>
      <c r="V194" s="264"/>
      <c r="W194" s="264"/>
      <c r="X194" s="264"/>
      <c r="Y194" s="264"/>
      <c r="Z194" s="264"/>
    </row>
    <row r="195">
      <c r="A195" s="264"/>
      <c r="B195" s="264" t="s">
        <v>2236</v>
      </c>
      <c r="C195" s="264">
        <v>13446.0</v>
      </c>
      <c r="D195" s="268">
        <v>22265.0</v>
      </c>
      <c r="E195" s="266">
        <v>44567.0</v>
      </c>
      <c r="F195" s="267">
        <v>0.625</v>
      </c>
      <c r="G195" s="264" t="s">
        <v>6328</v>
      </c>
      <c r="H195" s="264" t="s">
        <v>15</v>
      </c>
      <c r="I195" s="264" t="s">
        <v>6219</v>
      </c>
      <c r="J195" s="264" t="s">
        <v>6142</v>
      </c>
      <c r="K195" s="264"/>
      <c r="L195" s="264" t="s">
        <v>6242</v>
      </c>
      <c r="M195" s="264" t="s">
        <v>6242</v>
      </c>
      <c r="N195" s="264"/>
      <c r="O195" s="264" t="s">
        <v>6220</v>
      </c>
      <c r="P195" s="264"/>
      <c r="Q195" s="264"/>
      <c r="R195" s="264"/>
      <c r="S195" s="264"/>
      <c r="T195" s="264"/>
      <c r="U195" s="264"/>
      <c r="V195" s="264"/>
      <c r="W195" s="264"/>
      <c r="X195" s="264"/>
      <c r="Y195" s="264"/>
      <c r="Z195" s="264"/>
    </row>
    <row r="196">
      <c r="A196" s="264"/>
      <c r="B196" s="264" t="s">
        <v>2316</v>
      </c>
      <c r="C196" s="264">
        <v>13544.0</v>
      </c>
      <c r="D196" s="268">
        <v>27937.0</v>
      </c>
      <c r="E196" s="266">
        <v>44567.0</v>
      </c>
      <c r="F196" s="267">
        <v>0.6354166666666666</v>
      </c>
      <c r="G196" s="264" t="s">
        <v>6328</v>
      </c>
      <c r="H196" s="264" t="s">
        <v>15</v>
      </c>
      <c r="I196" s="264" t="s">
        <v>6219</v>
      </c>
      <c r="J196" s="264" t="s">
        <v>6117</v>
      </c>
      <c r="K196" s="264"/>
      <c r="L196" s="264" t="s">
        <v>6242</v>
      </c>
      <c r="M196" s="264"/>
      <c r="N196" s="264"/>
      <c r="O196" s="264" t="s">
        <v>5</v>
      </c>
      <c r="P196" s="264"/>
      <c r="Q196" s="264"/>
      <c r="R196" s="264"/>
      <c r="S196" s="264"/>
      <c r="T196" s="264"/>
      <c r="U196" s="264"/>
      <c r="V196" s="264"/>
      <c r="W196" s="264"/>
      <c r="X196" s="264"/>
      <c r="Y196" s="264"/>
      <c r="Z196" s="264"/>
    </row>
    <row r="197">
      <c r="A197" s="264"/>
      <c r="B197" s="264" t="s">
        <v>3686</v>
      </c>
      <c r="C197" s="264">
        <v>15253.0</v>
      </c>
      <c r="D197" s="268">
        <v>24706.0</v>
      </c>
      <c r="E197" s="266">
        <v>44567.0</v>
      </c>
      <c r="F197" s="267">
        <v>0.6458333333333334</v>
      </c>
      <c r="G197" s="264" t="s">
        <v>6328</v>
      </c>
      <c r="H197" s="264" t="s">
        <v>15</v>
      </c>
      <c r="I197" s="264" t="s">
        <v>6219</v>
      </c>
      <c r="J197" s="264" t="s">
        <v>6084</v>
      </c>
      <c r="K197" s="264"/>
      <c r="L197" s="264" t="s">
        <v>6242</v>
      </c>
      <c r="M197" s="264" t="s">
        <v>6242</v>
      </c>
      <c r="N197" s="264"/>
      <c r="O197" s="264" t="s">
        <v>6215</v>
      </c>
      <c r="P197" s="264"/>
      <c r="Q197" s="264"/>
      <c r="R197" s="264"/>
      <c r="S197" s="264"/>
      <c r="T197" s="264"/>
      <c r="U197" s="264"/>
      <c r="V197" s="264"/>
      <c r="W197" s="264"/>
      <c r="X197" s="264"/>
      <c r="Y197" s="264"/>
      <c r="Z197" s="264"/>
    </row>
    <row r="198">
      <c r="A198" s="264"/>
      <c r="B198" s="264" t="s">
        <v>4750</v>
      </c>
      <c r="C198" s="264">
        <v>16515.0</v>
      </c>
      <c r="D198" s="268">
        <v>17317.0</v>
      </c>
      <c r="E198" s="266">
        <v>44567.0</v>
      </c>
      <c r="F198" s="267">
        <v>0.6354166666666666</v>
      </c>
      <c r="G198" s="264" t="s">
        <v>6328</v>
      </c>
      <c r="H198" s="264" t="s">
        <v>15</v>
      </c>
      <c r="I198" s="264" t="s">
        <v>6222</v>
      </c>
      <c r="J198" s="264" t="s">
        <v>6094</v>
      </c>
      <c r="K198" s="264"/>
      <c r="L198" s="264" t="s">
        <v>6242</v>
      </c>
      <c r="M198" s="264"/>
      <c r="N198" s="264"/>
      <c r="O198" s="264" t="s">
        <v>5</v>
      </c>
      <c r="P198" s="264"/>
      <c r="Q198" s="264"/>
      <c r="R198" s="264"/>
      <c r="S198" s="264"/>
      <c r="T198" s="264"/>
      <c r="U198" s="264"/>
      <c r="V198" s="264"/>
      <c r="W198" s="264"/>
      <c r="X198" s="264"/>
      <c r="Y198" s="264"/>
      <c r="Z198" s="264"/>
    </row>
    <row r="199">
      <c r="A199" s="264"/>
      <c r="B199" s="264" t="s">
        <v>3871</v>
      </c>
      <c r="C199" s="264">
        <v>15479.0</v>
      </c>
      <c r="D199" s="268">
        <v>28397.0</v>
      </c>
      <c r="E199" s="266">
        <v>44567.0</v>
      </c>
      <c r="F199" s="267">
        <v>0.6458333333333334</v>
      </c>
      <c r="G199" s="264" t="s">
        <v>6328</v>
      </c>
      <c r="H199" s="264" t="s">
        <v>15</v>
      </c>
      <c r="I199" s="264" t="s">
        <v>6219</v>
      </c>
      <c r="J199" s="264" t="s">
        <v>6202</v>
      </c>
      <c r="K199" s="264"/>
      <c r="L199" s="264" t="s">
        <v>6242</v>
      </c>
      <c r="M199" s="264" t="s">
        <v>6242</v>
      </c>
      <c r="N199" s="264"/>
      <c r="O199" s="264" t="s">
        <v>6215</v>
      </c>
      <c r="P199" s="264"/>
      <c r="Q199" s="264"/>
      <c r="R199" s="264"/>
      <c r="S199" s="264"/>
      <c r="T199" s="264"/>
      <c r="U199" s="264"/>
      <c r="V199" s="264"/>
      <c r="W199" s="264"/>
      <c r="X199" s="264"/>
      <c r="Y199" s="264"/>
      <c r="Z199" s="264"/>
    </row>
    <row r="200">
      <c r="A200" s="264"/>
      <c r="B200" s="264" t="s">
        <v>140</v>
      </c>
      <c r="C200" s="264">
        <v>9337.0</v>
      </c>
      <c r="D200" s="268">
        <v>17297.0</v>
      </c>
      <c r="E200" s="266">
        <v>44567.0</v>
      </c>
      <c r="F200" s="267" t="e">
        <v>#N/A</v>
      </c>
      <c r="G200" s="264" t="s">
        <v>6328</v>
      </c>
      <c r="H200" s="264" t="s">
        <v>15</v>
      </c>
      <c r="I200" s="264" t="e">
        <v>#N/A</v>
      </c>
      <c r="J200" s="264" t="e">
        <v>#N/A</v>
      </c>
      <c r="K200" s="264"/>
      <c r="L200" s="264" t="s">
        <v>6242</v>
      </c>
      <c r="M200" s="264"/>
      <c r="N200" s="264"/>
      <c r="O200" s="264" t="e">
        <v>#N/A</v>
      </c>
      <c r="P200" s="264"/>
      <c r="Q200" s="264"/>
      <c r="R200" s="264"/>
      <c r="S200" s="264"/>
      <c r="T200" s="264"/>
      <c r="U200" s="264"/>
      <c r="V200" s="264"/>
      <c r="W200" s="264"/>
      <c r="X200" s="264"/>
      <c r="Y200" s="264"/>
      <c r="Z200" s="264"/>
    </row>
    <row r="201">
      <c r="A201" s="264"/>
      <c r="B201" s="264" t="s">
        <v>537</v>
      </c>
      <c r="C201" s="264">
        <v>10415.0</v>
      </c>
      <c r="D201" s="268">
        <v>25164.0</v>
      </c>
      <c r="E201" s="266">
        <v>44567.0</v>
      </c>
      <c r="F201" s="267">
        <v>0.6458333333333334</v>
      </c>
      <c r="G201" s="264" t="s">
        <v>6328</v>
      </c>
      <c r="H201" s="264" t="s">
        <v>15</v>
      </c>
      <c r="I201" s="264" t="s">
        <v>6222</v>
      </c>
      <c r="J201" s="264" t="s">
        <v>6137</v>
      </c>
      <c r="K201" s="264"/>
      <c r="L201" s="264" t="s">
        <v>6242</v>
      </c>
      <c r="M201" s="264"/>
      <c r="N201" s="264"/>
      <c r="O201" s="264" t="s">
        <v>5</v>
      </c>
      <c r="P201" s="264"/>
      <c r="Q201" s="264"/>
      <c r="R201" s="264"/>
      <c r="S201" s="264"/>
      <c r="T201" s="264"/>
      <c r="U201" s="264"/>
      <c r="V201" s="264"/>
      <c r="W201" s="264"/>
      <c r="X201" s="264"/>
      <c r="Y201" s="264"/>
      <c r="Z201" s="264"/>
    </row>
    <row r="202">
      <c r="A202" s="264"/>
      <c r="B202" s="264"/>
      <c r="C202" s="264"/>
      <c r="D202" s="264"/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264"/>
      <c r="V202" s="264"/>
      <c r="W202" s="264"/>
      <c r="X202" s="264"/>
      <c r="Y202" s="264"/>
      <c r="Z202" s="264"/>
    </row>
    <row r="203">
      <c r="A203" s="264"/>
      <c r="B203" s="265" t="s">
        <v>142</v>
      </c>
      <c r="C203" s="265">
        <v>9353.0</v>
      </c>
      <c r="D203" s="268">
        <v>11841.0</v>
      </c>
      <c r="E203" s="266">
        <v>44568.0</v>
      </c>
      <c r="F203" s="267">
        <v>0.3333333333333333</v>
      </c>
      <c r="G203" s="264" t="s">
        <v>6323</v>
      </c>
      <c r="H203" s="264" t="s">
        <v>15</v>
      </c>
      <c r="I203" s="264" t="s">
        <v>6219</v>
      </c>
      <c r="J203" s="264" t="s">
        <v>6137</v>
      </c>
      <c r="K203" s="264"/>
      <c r="L203" s="264" t="s">
        <v>6242</v>
      </c>
      <c r="M203" s="264"/>
      <c r="N203" s="264"/>
      <c r="O203" s="264" t="s">
        <v>5</v>
      </c>
      <c r="P203" s="264"/>
      <c r="Q203" s="264"/>
      <c r="R203" s="264"/>
      <c r="S203" s="264"/>
      <c r="T203" s="264"/>
      <c r="U203" s="264"/>
      <c r="V203" s="264"/>
      <c r="W203" s="264"/>
      <c r="X203" s="264"/>
      <c r="Y203" s="264"/>
      <c r="Z203" s="264"/>
    </row>
    <row r="204">
      <c r="A204" s="264"/>
      <c r="B204" s="265" t="s">
        <v>4206</v>
      </c>
      <c r="C204" s="265">
        <v>15851.0</v>
      </c>
      <c r="D204" s="268">
        <v>23918.0</v>
      </c>
      <c r="E204" s="266">
        <v>44568.0</v>
      </c>
      <c r="F204" s="267">
        <v>0.3333333333333333</v>
      </c>
      <c r="G204" s="264" t="s">
        <v>6323</v>
      </c>
      <c r="H204" s="264" t="s">
        <v>14</v>
      </c>
      <c r="I204" s="264" t="s">
        <v>6222</v>
      </c>
      <c r="J204" s="264" t="s">
        <v>6082</v>
      </c>
      <c r="K204" s="264"/>
      <c r="L204" s="264" t="s">
        <v>6242</v>
      </c>
      <c r="M204" s="264"/>
      <c r="N204" s="264"/>
      <c r="O204" s="264" t="s">
        <v>5</v>
      </c>
      <c r="P204" s="264"/>
      <c r="Q204" s="264"/>
      <c r="R204" s="264"/>
      <c r="S204" s="264"/>
      <c r="T204" s="264"/>
      <c r="U204" s="264"/>
      <c r="V204" s="264"/>
      <c r="W204" s="264"/>
      <c r="X204" s="264"/>
      <c r="Y204" s="264"/>
      <c r="Z204" s="264"/>
    </row>
    <row r="205">
      <c r="A205" s="264"/>
      <c r="B205" s="265" t="s">
        <v>2796</v>
      </c>
      <c r="C205" s="265">
        <v>14172.0</v>
      </c>
      <c r="D205" s="268">
        <v>17875.0</v>
      </c>
      <c r="E205" s="266">
        <v>44568.0</v>
      </c>
      <c r="F205" s="267">
        <v>0.3645833333333333</v>
      </c>
      <c r="G205" s="264" t="s">
        <v>6328</v>
      </c>
      <c r="H205" s="264" t="s">
        <v>15</v>
      </c>
      <c r="I205" s="264" t="s">
        <v>6219</v>
      </c>
      <c r="J205" s="264" t="s">
        <v>6199</v>
      </c>
      <c r="K205" s="264"/>
      <c r="L205" s="264" t="s">
        <v>6242</v>
      </c>
      <c r="M205" s="264" t="s">
        <v>6242</v>
      </c>
      <c r="N205" s="264"/>
      <c r="O205" s="264" t="s">
        <v>6215</v>
      </c>
      <c r="P205" s="264"/>
      <c r="Q205" s="264"/>
      <c r="R205" s="264"/>
      <c r="S205" s="264"/>
      <c r="T205" s="264"/>
      <c r="U205" s="264"/>
      <c r="V205" s="264"/>
      <c r="W205" s="264"/>
      <c r="X205" s="264"/>
      <c r="Y205" s="264"/>
      <c r="Z205" s="264"/>
    </row>
    <row r="206">
      <c r="A206" s="264"/>
      <c r="B206" s="265" t="s">
        <v>1385</v>
      </c>
      <c r="C206" s="265">
        <v>12316.0</v>
      </c>
      <c r="D206" s="268">
        <v>21955.0</v>
      </c>
      <c r="E206" s="266">
        <v>44568.0</v>
      </c>
      <c r="F206" s="267">
        <v>0.3541666666666667</v>
      </c>
      <c r="G206" s="264" t="s">
        <v>6328</v>
      </c>
      <c r="H206" s="264" t="s">
        <v>14</v>
      </c>
      <c r="I206" s="264" t="s">
        <v>6222</v>
      </c>
      <c r="J206" s="264" t="s">
        <v>6196</v>
      </c>
      <c r="K206" s="264"/>
      <c r="L206" s="264" t="s">
        <v>6242</v>
      </c>
      <c r="M206" s="264" t="s">
        <v>6242</v>
      </c>
      <c r="N206" s="264"/>
      <c r="O206" s="264" t="s">
        <v>6220</v>
      </c>
      <c r="P206" s="264"/>
      <c r="Q206" s="264"/>
      <c r="R206" s="264"/>
      <c r="S206" s="264"/>
      <c r="T206" s="264"/>
      <c r="U206" s="264"/>
      <c r="V206" s="264"/>
      <c r="W206" s="264"/>
      <c r="X206" s="264"/>
      <c r="Y206" s="264"/>
      <c r="Z206" s="264"/>
    </row>
    <row r="207">
      <c r="A207" s="264"/>
      <c r="B207" s="265" t="s">
        <v>3342</v>
      </c>
      <c r="C207" s="265">
        <v>14839.0</v>
      </c>
      <c r="D207" s="268">
        <v>23343.0</v>
      </c>
      <c r="E207" s="266">
        <v>44568.0</v>
      </c>
      <c r="F207" s="267">
        <v>0.3125</v>
      </c>
      <c r="G207" s="264" t="s">
        <v>6323</v>
      </c>
      <c r="H207" s="264" t="s">
        <v>13</v>
      </c>
      <c r="I207" s="264" t="s">
        <v>6212</v>
      </c>
      <c r="J207" s="264" t="s">
        <v>6196</v>
      </c>
      <c r="K207" s="264"/>
      <c r="L207" s="264" t="s">
        <v>6242</v>
      </c>
      <c r="M207" s="264"/>
      <c r="N207" s="264"/>
      <c r="O207" s="264" t="s">
        <v>6216</v>
      </c>
      <c r="P207" s="264"/>
      <c r="Q207" s="264"/>
      <c r="R207" s="264"/>
      <c r="S207" s="264"/>
      <c r="T207" s="264"/>
      <c r="U207" s="264"/>
      <c r="V207" s="264"/>
      <c r="W207" s="264"/>
      <c r="X207" s="264"/>
      <c r="Y207" s="264"/>
      <c r="Z207" s="264"/>
    </row>
    <row r="208">
      <c r="A208" s="264"/>
      <c r="B208" s="265" t="s">
        <v>1892</v>
      </c>
      <c r="C208" s="265">
        <v>13005.0</v>
      </c>
      <c r="D208" s="268">
        <v>22674.0</v>
      </c>
      <c r="E208" s="266">
        <v>44568.0</v>
      </c>
      <c r="F208" s="267">
        <v>0.34375</v>
      </c>
      <c r="G208" s="264" t="s">
        <v>6328</v>
      </c>
      <c r="H208" s="264" t="s">
        <v>15</v>
      </c>
      <c r="I208" s="264" t="s">
        <v>6219</v>
      </c>
      <c r="J208" s="264" t="s">
        <v>6189</v>
      </c>
      <c r="K208" s="264"/>
      <c r="L208" s="264" t="s">
        <v>6242</v>
      </c>
      <c r="M208" s="264"/>
      <c r="N208" s="264"/>
      <c r="O208" s="264" t="s">
        <v>6216</v>
      </c>
      <c r="P208" s="264"/>
      <c r="Q208" s="264"/>
      <c r="R208" s="264"/>
      <c r="S208" s="264"/>
      <c r="T208" s="264"/>
      <c r="U208" s="264"/>
      <c r="V208" s="264"/>
      <c r="W208" s="264"/>
      <c r="X208" s="264"/>
      <c r="Y208" s="264"/>
      <c r="Z208" s="264"/>
    </row>
    <row r="209">
      <c r="A209" s="264"/>
      <c r="B209" s="265" t="s">
        <v>3792</v>
      </c>
      <c r="C209" s="265">
        <v>15383.0</v>
      </c>
      <c r="D209" s="268">
        <v>18387.0</v>
      </c>
      <c r="E209" s="266">
        <v>44568.0</v>
      </c>
      <c r="F209" s="267">
        <v>0.3645833333333333</v>
      </c>
      <c r="G209" s="264" t="s">
        <v>6323</v>
      </c>
      <c r="H209" s="264" t="s">
        <v>13</v>
      </c>
      <c r="I209" s="264" t="s">
        <v>6212</v>
      </c>
      <c r="J209" s="264" t="s">
        <v>6192</v>
      </c>
      <c r="K209" s="264"/>
      <c r="L209" s="264" t="s">
        <v>6242</v>
      </c>
      <c r="M209" s="264"/>
      <c r="N209" s="264"/>
      <c r="O209" s="264" t="s">
        <v>6216</v>
      </c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</row>
    <row r="210">
      <c r="A210" s="264"/>
      <c r="B210" s="265" t="s">
        <v>3771</v>
      </c>
      <c r="C210" s="265">
        <v>15359.0</v>
      </c>
      <c r="D210" s="268">
        <v>29328.0</v>
      </c>
      <c r="E210" s="266">
        <v>44568.0</v>
      </c>
      <c r="F210" s="267">
        <v>0.375</v>
      </c>
      <c r="G210" s="264" t="s">
        <v>6323</v>
      </c>
      <c r="H210" s="264" t="s">
        <v>14</v>
      </c>
      <c r="I210" s="264" t="s">
        <v>6222</v>
      </c>
      <c r="J210" s="264" t="s">
        <v>6091</v>
      </c>
      <c r="K210" s="264"/>
      <c r="L210" s="264" t="s">
        <v>6242</v>
      </c>
      <c r="M210" s="264" t="s">
        <v>6242</v>
      </c>
      <c r="N210" s="264"/>
      <c r="O210" s="264" t="s">
        <v>6215</v>
      </c>
      <c r="P210" s="264"/>
      <c r="Q210" s="264"/>
      <c r="R210" s="264"/>
      <c r="S210" s="264"/>
      <c r="T210" s="264"/>
      <c r="U210" s="264"/>
      <c r="V210" s="264"/>
      <c r="W210" s="264"/>
      <c r="X210" s="264"/>
      <c r="Y210" s="264"/>
      <c r="Z210" s="264"/>
    </row>
    <row r="211">
      <c r="A211" s="264"/>
      <c r="B211" s="265" t="s">
        <v>100</v>
      </c>
      <c r="C211" s="265">
        <v>9239.0</v>
      </c>
      <c r="D211" s="268">
        <v>17941.0</v>
      </c>
      <c r="E211" s="266">
        <v>44568.0</v>
      </c>
      <c r="F211" s="267">
        <v>0.3958333333333333</v>
      </c>
      <c r="G211" s="264" t="s">
        <v>6328</v>
      </c>
      <c r="H211" s="264" t="s">
        <v>14</v>
      </c>
      <c r="I211" s="264" t="s">
        <v>6222</v>
      </c>
      <c r="J211" s="264" t="s">
        <v>6199</v>
      </c>
      <c r="K211" s="264"/>
      <c r="L211" s="264" t="s">
        <v>6242</v>
      </c>
      <c r="M211" s="264"/>
      <c r="N211" s="264"/>
      <c r="O211" s="264" t="s">
        <v>5</v>
      </c>
      <c r="P211" s="264"/>
      <c r="Q211" s="264"/>
      <c r="R211" s="264"/>
      <c r="S211" s="264"/>
      <c r="T211" s="264"/>
      <c r="U211" s="264"/>
      <c r="V211" s="264"/>
      <c r="W211" s="264"/>
      <c r="X211" s="264"/>
      <c r="Y211" s="264"/>
      <c r="Z211" s="264"/>
    </row>
    <row r="212">
      <c r="A212" s="264"/>
      <c r="B212" s="265" t="s">
        <v>2787</v>
      </c>
      <c r="C212" s="265">
        <v>14156.0</v>
      </c>
      <c r="D212" s="268">
        <v>18022.0</v>
      </c>
      <c r="E212" s="266">
        <v>44568.0</v>
      </c>
      <c r="F212" s="267">
        <v>0.375</v>
      </c>
      <c r="G212" s="264" t="s">
        <v>6323</v>
      </c>
      <c r="H212" s="264" t="s">
        <v>15</v>
      </c>
      <c r="I212" s="264" t="s">
        <v>6219</v>
      </c>
      <c r="J212" s="264" t="s">
        <v>6100</v>
      </c>
      <c r="K212" s="264"/>
      <c r="L212" s="264" t="s">
        <v>6242</v>
      </c>
      <c r="M212" s="264" t="s">
        <v>6242</v>
      </c>
      <c r="N212" s="264"/>
      <c r="O212" s="264" t="s">
        <v>6220</v>
      </c>
      <c r="P212" s="264"/>
      <c r="Q212" s="264"/>
      <c r="R212" s="264"/>
      <c r="S212" s="264"/>
      <c r="T212" s="264"/>
      <c r="U212" s="264"/>
      <c r="V212" s="264"/>
      <c r="W212" s="264"/>
      <c r="X212" s="264"/>
      <c r="Y212" s="264"/>
      <c r="Z212" s="264"/>
    </row>
    <row r="213">
      <c r="A213" s="264"/>
      <c r="B213" s="265" t="s">
        <v>4441</v>
      </c>
      <c r="C213" s="265">
        <v>16119.0</v>
      </c>
      <c r="D213" s="268">
        <v>22435.0</v>
      </c>
      <c r="E213" s="266">
        <v>44568.0</v>
      </c>
      <c r="F213" s="267">
        <v>0.3854166666666667</v>
      </c>
      <c r="G213" s="264" t="s">
        <v>6328</v>
      </c>
      <c r="H213" s="264" t="s">
        <v>13</v>
      </c>
      <c r="I213" s="264" t="s">
        <v>6212</v>
      </c>
      <c r="J213" s="264" t="s">
        <v>6117</v>
      </c>
      <c r="K213" s="264"/>
      <c r="L213" s="264" t="s">
        <v>6242</v>
      </c>
      <c r="M213" s="264" t="s">
        <v>6242</v>
      </c>
      <c r="N213" s="264"/>
      <c r="O213" s="264" t="s">
        <v>6215</v>
      </c>
      <c r="P213" s="264"/>
      <c r="Q213" s="264"/>
      <c r="R213" s="264"/>
      <c r="S213" s="264"/>
      <c r="T213" s="264"/>
      <c r="U213" s="264"/>
      <c r="V213" s="264"/>
      <c r="W213" s="264"/>
      <c r="X213" s="264"/>
      <c r="Y213" s="264"/>
      <c r="Z213" s="264"/>
    </row>
    <row r="214">
      <c r="A214" s="264"/>
      <c r="B214" s="265" t="s">
        <v>3967</v>
      </c>
      <c r="C214" s="265">
        <v>15589.0</v>
      </c>
      <c r="D214" s="268">
        <v>24482.0</v>
      </c>
      <c r="E214" s="266">
        <v>44568.0</v>
      </c>
      <c r="F214" s="267">
        <v>0.40625</v>
      </c>
      <c r="G214" s="264" t="s">
        <v>6323</v>
      </c>
      <c r="H214" s="264" t="s">
        <v>14</v>
      </c>
      <c r="I214" s="264" t="s">
        <v>6222</v>
      </c>
      <c r="J214" s="264" t="s">
        <v>6196</v>
      </c>
      <c r="K214" s="264"/>
      <c r="L214" s="264" t="s">
        <v>6242</v>
      </c>
      <c r="M214" s="264" t="s">
        <v>6242</v>
      </c>
      <c r="N214" s="264"/>
      <c r="O214" s="264" t="s">
        <v>6220</v>
      </c>
      <c r="P214" s="264"/>
      <c r="Q214" s="264"/>
      <c r="R214" s="264"/>
      <c r="S214" s="264"/>
      <c r="T214" s="264"/>
      <c r="U214" s="264"/>
      <c r="V214" s="264"/>
      <c r="W214" s="264"/>
      <c r="X214" s="264"/>
      <c r="Y214" s="264"/>
      <c r="Z214" s="264"/>
    </row>
    <row r="215">
      <c r="A215" s="264"/>
      <c r="B215" s="265" t="s">
        <v>1191</v>
      </c>
      <c r="C215" s="265">
        <v>11931.0</v>
      </c>
      <c r="D215" s="268">
        <v>22360.0</v>
      </c>
      <c r="E215" s="266">
        <v>44568.0</v>
      </c>
      <c r="F215" s="267" t="e">
        <v>#N/A</v>
      </c>
      <c r="G215" s="264" t="s">
        <v>6323</v>
      </c>
      <c r="H215" s="264" t="s">
        <v>13</v>
      </c>
      <c r="I215" s="264" t="e">
        <v>#N/A</v>
      </c>
      <c r="J215" s="264" t="e">
        <v>#N/A</v>
      </c>
      <c r="K215" s="264"/>
      <c r="L215" s="264" t="s">
        <v>6242</v>
      </c>
      <c r="M215" s="264"/>
      <c r="N215" s="264"/>
      <c r="O215" s="264" t="e">
        <v>#N/A</v>
      </c>
      <c r="P215" s="264"/>
      <c r="Q215" s="264"/>
      <c r="R215" s="264"/>
      <c r="S215" s="264"/>
      <c r="T215" s="264"/>
      <c r="U215" s="264"/>
      <c r="V215" s="264"/>
      <c r="W215" s="264"/>
      <c r="X215" s="264"/>
      <c r="Y215" s="264"/>
      <c r="Z215" s="264"/>
    </row>
    <row r="216">
      <c r="A216" s="264"/>
      <c r="B216" s="265" t="s">
        <v>2115</v>
      </c>
      <c r="C216" s="265">
        <v>13283.0</v>
      </c>
      <c r="D216" s="268">
        <v>28196.0</v>
      </c>
      <c r="E216" s="266">
        <v>44568.0</v>
      </c>
      <c r="F216" s="267">
        <v>0.3958333333333333</v>
      </c>
      <c r="G216" s="264" t="s">
        <v>6328</v>
      </c>
      <c r="H216" s="264" t="s">
        <v>15</v>
      </c>
      <c r="I216" s="264" t="s">
        <v>6219</v>
      </c>
      <c r="J216" s="264" t="s">
        <v>6199</v>
      </c>
      <c r="K216" s="264"/>
      <c r="L216" s="264" t="s">
        <v>6242</v>
      </c>
      <c r="M216" s="264" t="s">
        <v>6242</v>
      </c>
      <c r="N216" s="264"/>
      <c r="O216" s="264" t="s">
        <v>6215</v>
      </c>
      <c r="P216" s="264"/>
      <c r="Q216" s="264"/>
      <c r="R216" s="264"/>
      <c r="S216" s="264"/>
      <c r="T216" s="264"/>
      <c r="U216" s="264"/>
      <c r="V216" s="264"/>
      <c r="W216" s="264"/>
      <c r="X216" s="264"/>
      <c r="Y216" s="264"/>
      <c r="Z216" s="264"/>
    </row>
    <row r="217">
      <c r="A217" s="264"/>
      <c r="B217" s="265" t="s">
        <v>913</v>
      </c>
      <c r="C217" s="265">
        <v>11345.0</v>
      </c>
      <c r="D217" s="268">
        <v>23642.0</v>
      </c>
      <c r="E217" s="266">
        <v>44568.0</v>
      </c>
      <c r="F217" s="267" t="e">
        <v>#N/A</v>
      </c>
      <c r="G217" s="264" t="s">
        <v>6328</v>
      </c>
      <c r="H217" s="264" t="s">
        <v>15</v>
      </c>
      <c r="I217" s="264" t="e">
        <v>#N/A</v>
      </c>
      <c r="J217" s="264" t="e">
        <v>#N/A</v>
      </c>
      <c r="K217" s="264"/>
      <c r="L217" s="264" t="s">
        <v>6242</v>
      </c>
      <c r="M217" s="264"/>
      <c r="N217" s="264"/>
      <c r="O217" s="264" t="e">
        <v>#N/A</v>
      </c>
      <c r="P217" s="264"/>
      <c r="Q217" s="264"/>
      <c r="R217" s="264"/>
      <c r="S217" s="264"/>
      <c r="T217" s="264"/>
      <c r="U217" s="264"/>
      <c r="V217" s="264"/>
      <c r="W217" s="264"/>
      <c r="X217" s="264"/>
      <c r="Y217" s="264"/>
      <c r="Z217" s="264"/>
    </row>
    <row r="218">
      <c r="A218" s="264"/>
      <c r="B218" s="265" t="s">
        <v>5491</v>
      </c>
      <c r="C218" s="265">
        <v>17462.0</v>
      </c>
      <c r="D218" s="268">
        <v>25331.0</v>
      </c>
      <c r="E218" s="266">
        <v>44568.0</v>
      </c>
      <c r="F218" s="267">
        <v>0.40625</v>
      </c>
      <c r="G218" s="264" t="s">
        <v>6323</v>
      </c>
      <c r="H218" s="264" t="s">
        <v>15</v>
      </c>
      <c r="I218" s="264" t="s">
        <v>6219</v>
      </c>
      <c r="J218" s="264" t="s">
        <v>6142</v>
      </c>
      <c r="K218" s="264"/>
      <c r="L218" s="264" t="s">
        <v>6242</v>
      </c>
      <c r="M218" s="264" t="s">
        <v>6242</v>
      </c>
      <c r="N218" s="264"/>
      <c r="O218" s="264" t="s">
        <v>6220</v>
      </c>
      <c r="P218" s="264"/>
      <c r="Q218" s="264"/>
      <c r="R218" s="264"/>
      <c r="S218" s="264"/>
      <c r="T218" s="264"/>
      <c r="U218" s="264"/>
      <c r="V218" s="264"/>
      <c r="W218" s="264"/>
      <c r="X218" s="264"/>
      <c r="Y218" s="264"/>
      <c r="Z218" s="264"/>
    </row>
    <row r="219">
      <c r="A219" s="264"/>
      <c r="B219" s="265" t="s">
        <v>767</v>
      </c>
      <c r="C219" s="265">
        <v>11012.0</v>
      </c>
      <c r="D219" s="268">
        <v>23539.0</v>
      </c>
      <c r="E219" s="266">
        <v>44568.0</v>
      </c>
      <c r="F219" s="267">
        <v>0.4270833333333333</v>
      </c>
      <c r="G219" s="264" t="s">
        <v>6328</v>
      </c>
      <c r="H219" s="264" t="s">
        <v>14</v>
      </c>
      <c r="I219" s="264" t="s">
        <v>6222</v>
      </c>
      <c r="J219" s="264" t="s">
        <v>6091</v>
      </c>
      <c r="K219" s="264"/>
      <c r="L219" s="264" t="s">
        <v>6242</v>
      </c>
      <c r="M219" s="264" t="s">
        <v>6242</v>
      </c>
      <c r="N219" s="264"/>
      <c r="O219" s="264" t="s">
        <v>6215</v>
      </c>
      <c r="P219" s="264"/>
      <c r="Q219" s="264"/>
      <c r="R219" s="264"/>
      <c r="S219" s="264"/>
      <c r="T219" s="264"/>
      <c r="U219" s="264"/>
      <c r="V219" s="264"/>
      <c r="W219" s="264"/>
      <c r="X219" s="264"/>
      <c r="Y219" s="264"/>
      <c r="Z219" s="264"/>
    </row>
    <row r="220">
      <c r="A220" s="264"/>
      <c r="B220" s="265" t="s">
        <v>2543</v>
      </c>
      <c r="C220" s="265">
        <v>13835.0</v>
      </c>
      <c r="D220" s="268">
        <v>18179.0</v>
      </c>
      <c r="E220" s="266">
        <v>44568.0</v>
      </c>
      <c r="F220" s="267">
        <v>0.4166666666666667</v>
      </c>
      <c r="G220" s="264" t="s">
        <v>6328</v>
      </c>
      <c r="H220" s="264" t="s">
        <v>13</v>
      </c>
      <c r="I220" s="264" t="s">
        <v>6212</v>
      </c>
      <c r="J220" s="264" t="s">
        <v>6199</v>
      </c>
      <c r="K220" s="264"/>
      <c r="L220" s="264" t="s">
        <v>6242</v>
      </c>
      <c r="M220" s="264" t="s">
        <v>6242</v>
      </c>
      <c r="N220" s="264"/>
      <c r="O220" s="264" t="s">
        <v>6215</v>
      </c>
      <c r="P220" s="264"/>
      <c r="Q220" s="264"/>
      <c r="R220" s="264"/>
      <c r="S220" s="264"/>
      <c r="T220" s="264"/>
      <c r="U220" s="264"/>
      <c r="V220" s="264"/>
      <c r="W220" s="264"/>
      <c r="X220" s="264"/>
      <c r="Y220" s="264"/>
      <c r="Z220" s="264"/>
    </row>
    <row r="221">
      <c r="A221" s="264"/>
      <c r="B221" s="265" t="s">
        <v>4491</v>
      </c>
      <c r="C221" s="265">
        <v>16178.0</v>
      </c>
      <c r="D221" s="268">
        <v>16356.0</v>
      </c>
      <c r="E221" s="266">
        <v>44568.0</v>
      </c>
      <c r="F221" s="267">
        <v>0.4479166666666667</v>
      </c>
      <c r="G221" s="264" t="s">
        <v>6323</v>
      </c>
      <c r="H221" s="264" t="s">
        <v>15</v>
      </c>
      <c r="I221" s="264" t="s">
        <v>6219</v>
      </c>
      <c r="J221" s="264" t="s">
        <v>6137</v>
      </c>
      <c r="K221" s="264"/>
      <c r="L221" s="264" t="s">
        <v>6242</v>
      </c>
      <c r="M221" s="264" t="s">
        <v>6242</v>
      </c>
      <c r="N221" s="264"/>
      <c r="O221" s="264" t="s">
        <v>6215</v>
      </c>
      <c r="P221" s="264"/>
      <c r="Q221" s="264"/>
      <c r="R221" s="264"/>
      <c r="S221" s="264"/>
      <c r="T221" s="264"/>
      <c r="U221" s="264"/>
      <c r="V221" s="264"/>
      <c r="W221" s="264"/>
      <c r="X221" s="264"/>
      <c r="Y221" s="264"/>
      <c r="Z221" s="264"/>
    </row>
    <row r="222">
      <c r="A222" s="264"/>
      <c r="B222" s="265" t="s">
        <v>1180</v>
      </c>
      <c r="C222" s="265">
        <v>11903.0</v>
      </c>
      <c r="D222" s="268">
        <v>21184.0</v>
      </c>
      <c r="E222" s="266">
        <v>44568.0</v>
      </c>
      <c r="F222" s="267">
        <v>0.4166666666666667</v>
      </c>
      <c r="G222" s="264" t="s">
        <v>6323</v>
      </c>
      <c r="H222" s="264" t="s">
        <v>14</v>
      </c>
      <c r="I222" s="264" t="s">
        <v>6222</v>
      </c>
      <c r="J222" s="264" t="s">
        <v>6089</v>
      </c>
      <c r="K222" s="264"/>
      <c r="L222" s="264" t="s">
        <v>6242</v>
      </c>
      <c r="M222" s="264" t="s">
        <v>6242</v>
      </c>
      <c r="N222" s="264"/>
      <c r="O222" s="264" t="s">
        <v>6215</v>
      </c>
      <c r="P222" s="264"/>
      <c r="Q222" s="264"/>
      <c r="R222" s="264"/>
      <c r="S222" s="264"/>
      <c r="T222" s="264"/>
      <c r="U222" s="264"/>
      <c r="V222" s="264"/>
      <c r="W222" s="264"/>
      <c r="X222" s="264"/>
      <c r="Y222" s="264"/>
      <c r="Z222" s="264"/>
    </row>
    <row r="223">
      <c r="A223" s="264"/>
      <c r="B223" s="265" t="s">
        <v>2747</v>
      </c>
      <c r="C223" s="265">
        <v>14103.0</v>
      </c>
      <c r="D223" s="268">
        <v>16960.0</v>
      </c>
      <c r="E223" s="266">
        <v>44568.0</v>
      </c>
      <c r="F223" s="267">
        <v>0.4375</v>
      </c>
      <c r="G223" s="264" t="s">
        <v>6328</v>
      </c>
      <c r="H223" s="264" t="s">
        <v>14</v>
      </c>
      <c r="I223" s="264" t="s">
        <v>6222</v>
      </c>
      <c r="J223" s="264" t="s">
        <v>6199</v>
      </c>
      <c r="K223" s="264"/>
      <c r="L223" s="264" t="s">
        <v>6242</v>
      </c>
      <c r="M223" s="264"/>
      <c r="N223" s="264"/>
      <c r="O223" s="264" t="s">
        <v>5</v>
      </c>
      <c r="P223" s="264"/>
      <c r="Q223" s="264"/>
      <c r="R223" s="264"/>
      <c r="S223" s="264"/>
      <c r="T223" s="264"/>
      <c r="U223" s="264"/>
      <c r="V223" s="264"/>
      <c r="W223" s="264"/>
      <c r="X223" s="264"/>
      <c r="Y223" s="264"/>
      <c r="Z223" s="264"/>
    </row>
    <row r="224">
      <c r="A224" s="264"/>
      <c r="B224" s="265" t="s">
        <v>258</v>
      </c>
      <c r="C224" s="265">
        <v>9683.0</v>
      </c>
      <c r="D224" s="268">
        <v>29811.0</v>
      </c>
      <c r="E224" s="266">
        <v>44568.0</v>
      </c>
      <c r="F224" s="267" t="e">
        <v>#N/A</v>
      </c>
      <c r="G224" s="264" t="s">
        <v>6328</v>
      </c>
      <c r="H224" s="264" t="s">
        <v>15</v>
      </c>
      <c r="I224" s="264" t="e">
        <v>#N/A</v>
      </c>
      <c r="J224" s="264" t="e">
        <v>#N/A</v>
      </c>
      <c r="K224" s="264"/>
      <c r="L224" s="264" t="s">
        <v>6242</v>
      </c>
      <c r="M224" s="264"/>
      <c r="N224" s="264"/>
      <c r="O224" s="264" t="e">
        <v>#N/A</v>
      </c>
      <c r="P224" s="264"/>
      <c r="Q224" s="264"/>
      <c r="R224" s="264"/>
      <c r="S224" s="264"/>
      <c r="T224" s="264"/>
      <c r="U224" s="264"/>
      <c r="V224" s="264"/>
      <c r="W224" s="264"/>
      <c r="X224" s="264"/>
      <c r="Y224" s="264"/>
      <c r="Z224" s="264"/>
    </row>
    <row r="225">
      <c r="A225" s="264"/>
      <c r="B225" s="265" t="s">
        <v>1788</v>
      </c>
      <c r="C225" s="265">
        <v>12879.0</v>
      </c>
      <c r="D225" s="268">
        <v>20311.0</v>
      </c>
      <c r="E225" s="266">
        <v>44568.0</v>
      </c>
      <c r="F225" s="267" t="e">
        <v>#N/A</v>
      </c>
      <c r="G225" s="264" t="s">
        <v>6328</v>
      </c>
      <c r="H225" s="264" t="s">
        <v>14</v>
      </c>
      <c r="I225" s="264" t="e">
        <v>#N/A</v>
      </c>
      <c r="J225" s="264" t="e">
        <v>#N/A</v>
      </c>
      <c r="K225" s="264"/>
      <c r="L225" s="264" t="s">
        <v>6242</v>
      </c>
      <c r="M225" s="264"/>
      <c r="N225" s="264"/>
      <c r="O225" s="264" t="e">
        <v>#N/A</v>
      </c>
      <c r="P225" s="264"/>
      <c r="Q225" s="264"/>
      <c r="R225" s="264"/>
      <c r="S225" s="264"/>
      <c r="T225" s="264"/>
      <c r="U225" s="264"/>
      <c r="V225" s="264"/>
      <c r="W225" s="264"/>
      <c r="X225" s="264"/>
      <c r="Y225" s="264"/>
      <c r="Z225" s="264"/>
    </row>
    <row r="226">
      <c r="A226" s="264"/>
      <c r="B226" s="265" t="s">
        <v>2765</v>
      </c>
      <c r="C226" s="265">
        <v>14126.0</v>
      </c>
      <c r="D226" s="268">
        <v>18823.0</v>
      </c>
      <c r="E226" s="266">
        <v>44568.0</v>
      </c>
      <c r="F226" s="267">
        <v>0.4479166666666667</v>
      </c>
      <c r="G226" s="264" t="s">
        <v>6328</v>
      </c>
      <c r="H226" s="264" t="s">
        <v>13</v>
      </c>
      <c r="I226" s="264" t="s">
        <v>6212</v>
      </c>
      <c r="J226" s="264" t="s">
        <v>6199</v>
      </c>
      <c r="K226" s="264"/>
      <c r="L226" s="264" t="s">
        <v>6242</v>
      </c>
      <c r="M226" s="264" t="s">
        <v>6242</v>
      </c>
      <c r="N226" s="264"/>
      <c r="O226" s="264" t="s">
        <v>6215</v>
      </c>
      <c r="P226" s="264"/>
      <c r="Q226" s="264"/>
      <c r="R226" s="264"/>
      <c r="S226" s="264"/>
      <c r="T226" s="264"/>
      <c r="U226" s="264"/>
      <c r="V226" s="264"/>
      <c r="W226" s="264"/>
      <c r="X226" s="264"/>
      <c r="Y226" s="264"/>
      <c r="Z226" s="264"/>
    </row>
    <row r="227">
      <c r="A227" s="264"/>
      <c r="B227" s="265" t="s">
        <v>4129</v>
      </c>
      <c r="C227" s="265">
        <v>15765.0</v>
      </c>
      <c r="D227" s="268">
        <v>23265.0</v>
      </c>
      <c r="E227" s="266">
        <v>44568.0</v>
      </c>
      <c r="F227" s="267">
        <v>0.4479166666666667</v>
      </c>
      <c r="G227" s="264" t="s">
        <v>6323</v>
      </c>
      <c r="H227" s="264" t="s">
        <v>13</v>
      </c>
      <c r="I227" s="264" t="s">
        <v>6212</v>
      </c>
      <c r="J227" s="264" t="s">
        <v>6192</v>
      </c>
      <c r="K227" s="264"/>
      <c r="L227" s="264" t="s">
        <v>6242</v>
      </c>
      <c r="M227" s="264" t="s">
        <v>6242</v>
      </c>
      <c r="N227" s="264"/>
      <c r="O227" s="264" t="s">
        <v>6220</v>
      </c>
      <c r="P227" s="264"/>
      <c r="Q227" s="264"/>
      <c r="R227" s="264"/>
      <c r="S227" s="264"/>
      <c r="T227" s="264"/>
      <c r="U227" s="264"/>
      <c r="V227" s="264"/>
      <c r="W227" s="264"/>
      <c r="X227" s="264"/>
      <c r="Y227" s="264"/>
      <c r="Z227" s="264"/>
    </row>
    <row r="228">
      <c r="A228" s="264"/>
      <c r="B228" s="265" t="s">
        <v>818</v>
      </c>
      <c r="C228" s="265">
        <v>11116.0</v>
      </c>
      <c r="D228" s="268">
        <v>17610.0</v>
      </c>
      <c r="E228" s="266">
        <v>44568.0</v>
      </c>
      <c r="F228" s="267">
        <v>0.4375</v>
      </c>
      <c r="G228" s="264" t="s">
        <v>6328</v>
      </c>
      <c r="H228" s="264" t="s">
        <v>14</v>
      </c>
      <c r="I228" s="264" t="s">
        <v>6222</v>
      </c>
      <c r="J228" s="264" t="s">
        <v>6137</v>
      </c>
      <c r="K228" s="264"/>
      <c r="L228" s="264" t="s">
        <v>6242</v>
      </c>
      <c r="M228" s="264" t="s">
        <v>6242</v>
      </c>
      <c r="N228" s="264"/>
      <c r="O228" s="264" t="s">
        <v>6215</v>
      </c>
      <c r="P228" s="264"/>
      <c r="Q228" s="264"/>
      <c r="R228" s="264"/>
      <c r="S228" s="264"/>
      <c r="T228" s="264"/>
      <c r="U228" s="264"/>
      <c r="V228" s="264"/>
      <c r="W228" s="264"/>
      <c r="X228" s="264"/>
      <c r="Y228" s="264"/>
      <c r="Z228" s="264"/>
    </row>
    <row r="229">
      <c r="A229" s="264"/>
      <c r="B229" s="265" t="s">
        <v>4333</v>
      </c>
      <c r="C229" s="265">
        <v>15993.0</v>
      </c>
      <c r="D229" s="268">
        <v>30933.0</v>
      </c>
      <c r="E229" s="266">
        <v>44568.0</v>
      </c>
      <c r="F229" s="267">
        <v>0.4583333333333333</v>
      </c>
      <c r="G229" s="264" t="s">
        <v>6323</v>
      </c>
      <c r="H229" s="264" t="s">
        <v>14</v>
      </c>
      <c r="I229" s="264" t="s">
        <v>6222</v>
      </c>
      <c r="J229" s="264" t="s">
        <v>6142</v>
      </c>
      <c r="K229" s="264"/>
      <c r="L229" s="264" t="s">
        <v>6242</v>
      </c>
      <c r="M229" s="264"/>
      <c r="N229" s="264"/>
      <c r="O229" s="264" t="s">
        <v>6220</v>
      </c>
      <c r="P229" s="264"/>
      <c r="Q229" s="264"/>
      <c r="R229" s="264"/>
      <c r="S229" s="264"/>
      <c r="T229" s="264"/>
      <c r="U229" s="264"/>
      <c r="V229" s="264"/>
      <c r="W229" s="264"/>
      <c r="X229" s="264"/>
      <c r="Y229" s="264"/>
      <c r="Z229" s="264"/>
    </row>
    <row r="230">
      <c r="A230" s="264"/>
      <c r="B230" s="265" t="s">
        <v>4986</v>
      </c>
      <c r="C230" s="265">
        <v>16818.0</v>
      </c>
      <c r="D230" s="268">
        <v>19668.0</v>
      </c>
      <c r="E230" s="266">
        <v>44568.0</v>
      </c>
      <c r="F230" s="267">
        <v>0.4583333333333333</v>
      </c>
      <c r="G230" s="264" t="s">
        <v>6323</v>
      </c>
      <c r="H230" s="264" t="s">
        <v>13</v>
      </c>
      <c r="I230" s="264" t="s">
        <v>6212</v>
      </c>
      <c r="J230" s="264" t="s">
        <v>6161</v>
      </c>
      <c r="K230" s="264"/>
      <c r="L230" s="264" t="s">
        <v>6242</v>
      </c>
      <c r="M230" s="264"/>
      <c r="N230" s="264"/>
      <c r="O230" s="264" t="s">
        <v>5</v>
      </c>
      <c r="P230" s="264"/>
      <c r="Q230" s="264"/>
      <c r="R230" s="264"/>
      <c r="S230" s="264"/>
      <c r="T230" s="264"/>
      <c r="U230" s="264"/>
      <c r="V230" s="264"/>
      <c r="W230" s="264"/>
      <c r="X230" s="264"/>
      <c r="Y230" s="264"/>
      <c r="Z230" s="264"/>
    </row>
    <row r="231">
      <c r="A231" s="264"/>
      <c r="B231" s="265" t="s">
        <v>995</v>
      </c>
      <c r="C231" s="265">
        <v>11523.0</v>
      </c>
      <c r="D231" s="268">
        <v>16133.0</v>
      </c>
      <c r="E231" s="266">
        <v>44568.0</v>
      </c>
      <c r="F231" s="267">
        <v>0.4270833333333333</v>
      </c>
      <c r="G231" s="264" t="s">
        <v>6328</v>
      </c>
      <c r="H231" s="264" t="s">
        <v>15</v>
      </c>
      <c r="I231" s="264" t="s">
        <v>6219</v>
      </c>
      <c r="J231" s="264" t="s">
        <v>6094</v>
      </c>
      <c r="K231" s="264"/>
      <c r="L231" s="264" t="s">
        <v>6242</v>
      </c>
      <c r="M231" s="264"/>
      <c r="N231" s="264"/>
      <c r="O231" s="264" t="s">
        <v>5</v>
      </c>
      <c r="P231" s="264"/>
      <c r="Q231" s="264"/>
      <c r="R231" s="264"/>
      <c r="S231" s="264"/>
      <c r="T231" s="264"/>
      <c r="U231" s="264"/>
      <c r="V231" s="264"/>
      <c r="W231" s="264"/>
      <c r="X231" s="264"/>
      <c r="Y231" s="264"/>
      <c r="Z231" s="264"/>
    </row>
    <row r="232">
      <c r="A232" s="264"/>
      <c r="B232" s="265" t="s">
        <v>4446</v>
      </c>
      <c r="C232" s="265">
        <v>16124.0</v>
      </c>
      <c r="D232" s="268">
        <v>16746.0</v>
      </c>
      <c r="E232" s="266">
        <v>44568.0</v>
      </c>
      <c r="F232" s="267" t="e">
        <v>#N/A</v>
      </c>
      <c r="G232" s="264" t="s">
        <v>6328</v>
      </c>
      <c r="H232" s="264" t="s">
        <v>15</v>
      </c>
      <c r="I232" s="264" t="e">
        <v>#N/A</v>
      </c>
      <c r="J232" s="264" t="e">
        <v>#N/A</v>
      </c>
      <c r="K232" s="264"/>
      <c r="L232" s="264" t="s">
        <v>6242</v>
      </c>
      <c r="M232" s="264"/>
      <c r="N232" s="264"/>
      <c r="O232" s="264" t="e">
        <v>#N/A</v>
      </c>
      <c r="P232" s="264"/>
      <c r="Q232" s="264"/>
      <c r="R232" s="264"/>
      <c r="S232" s="264"/>
      <c r="T232" s="264"/>
      <c r="U232" s="264"/>
      <c r="V232" s="264"/>
      <c r="W232" s="264"/>
      <c r="X232" s="264"/>
      <c r="Y232" s="264"/>
      <c r="Z232" s="264"/>
    </row>
    <row r="233">
      <c r="A233" s="264"/>
      <c r="B233" s="265" t="s">
        <v>3358</v>
      </c>
      <c r="C233" s="265">
        <v>14858.0</v>
      </c>
      <c r="D233" s="268">
        <v>33442.0</v>
      </c>
      <c r="E233" s="266">
        <v>44568.0</v>
      </c>
      <c r="F233" s="267">
        <v>0.5416666666666666</v>
      </c>
      <c r="G233" s="264" t="s">
        <v>6328</v>
      </c>
      <c r="H233" s="264" t="s">
        <v>14</v>
      </c>
      <c r="I233" s="264" t="s">
        <v>6222</v>
      </c>
      <c r="J233" s="264" t="s">
        <v>6091</v>
      </c>
      <c r="K233" s="264"/>
      <c r="L233" s="264" t="s">
        <v>6242</v>
      </c>
      <c r="M233" s="264"/>
      <c r="N233" s="264"/>
      <c r="O233" s="264" t="s">
        <v>5</v>
      </c>
      <c r="P233" s="264"/>
      <c r="Q233" s="264"/>
      <c r="R233" s="264"/>
      <c r="S233" s="264"/>
      <c r="T233" s="264"/>
      <c r="U233" s="264"/>
      <c r="V233" s="264"/>
      <c r="W233" s="264"/>
      <c r="X233" s="264"/>
      <c r="Y233" s="264"/>
      <c r="Z233" s="264"/>
    </row>
    <row r="234">
      <c r="A234" s="264"/>
      <c r="B234" s="265" t="s">
        <v>815</v>
      </c>
      <c r="C234" s="265">
        <v>11113.0</v>
      </c>
      <c r="D234" s="268">
        <v>19005.0</v>
      </c>
      <c r="E234" s="266">
        <v>44568.0</v>
      </c>
      <c r="F234" s="267">
        <v>0.6458333333333334</v>
      </c>
      <c r="G234" s="264" t="s">
        <v>6328</v>
      </c>
      <c r="H234" s="264" t="s">
        <v>14</v>
      </c>
      <c r="I234" s="264" t="s">
        <v>6219</v>
      </c>
      <c r="J234" s="264" t="s">
        <v>6189</v>
      </c>
      <c r="K234" s="264"/>
      <c r="L234" s="264" t="s">
        <v>6242</v>
      </c>
      <c r="M234" s="264"/>
      <c r="N234" s="264"/>
      <c r="O234" s="264" t="s">
        <v>6216</v>
      </c>
      <c r="P234" s="264"/>
      <c r="Q234" s="264"/>
      <c r="R234" s="264"/>
      <c r="S234" s="264"/>
      <c r="T234" s="264"/>
      <c r="U234" s="264"/>
      <c r="V234" s="264"/>
      <c r="W234" s="264"/>
      <c r="X234" s="264"/>
      <c r="Y234" s="264"/>
      <c r="Z234" s="264"/>
    </row>
    <row r="235">
      <c r="A235" s="264"/>
      <c r="B235" s="265" t="s">
        <v>2971</v>
      </c>
      <c r="C235" s="265">
        <v>14386.0</v>
      </c>
      <c r="D235" s="268">
        <v>19365.0</v>
      </c>
      <c r="E235" s="266">
        <v>44568.0</v>
      </c>
      <c r="F235" s="267">
        <v>0.5520833333333334</v>
      </c>
      <c r="G235" s="264" t="s">
        <v>6323</v>
      </c>
      <c r="H235" s="264" t="s">
        <v>14</v>
      </c>
      <c r="I235" s="264" t="s">
        <v>6222</v>
      </c>
      <c r="J235" s="264" t="s">
        <v>6196</v>
      </c>
      <c r="K235" s="264"/>
      <c r="L235" s="264"/>
      <c r="M235" s="264"/>
      <c r="N235" s="264"/>
      <c r="O235" s="264" t="s">
        <v>6216</v>
      </c>
      <c r="P235" s="264"/>
      <c r="Q235" s="264"/>
      <c r="R235" s="264"/>
      <c r="S235" s="264"/>
      <c r="T235" s="264"/>
      <c r="U235" s="264"/>
      <c r="V235" s="264"/>
      <c r="W235" s="264"/>
      <c r="X235" s="264"/>
      <c r="Y235" s="264"/>
      <c r="Z235" s="264"/>
    </row>
    <row r="236">
      <c r="A236" s="264"/>
      <c r="B236" s="265" t="s">
        <v>3241</v>
      </c>
      <c r="C236" s="265">
        <v>14718.0</v>
      </c>
      <c r="D236" s="268">
        <v>19516.0</v>
      </c>
      <c r="E236" s="266">
        <v>44568.0</v>
      </c>
      <c r="F236" s="267">
        <v>0.5625</v>
      </c>
      <c r="G236" s="264" t="s">
        <v>6323</v>
      </c>
      <c r="H236" s="264" t="s">
        <v>13</v>
      </c>
      <c r="I236" s="264" t="s">
        <v>6212</v>
      </c>
      <c r="J236" s="264" t="s">
        <v>6189</v>
      </c>
      <c r="K236" s="264"/>
      <c r="L236" s="264" t="s">
        <v>6242</v>
      </c>
      <c r="M236" s="264" t="s">
        <v>6242</v>
      </c>
      <c r="N236" s="264"/>
      <c r="O236" s="264" t="s">
        <v>6220</v>
      </c>
      <c r="P236" s="264"/>
      <c r="Q236" s="264"/>
      <c r="R236" s="264"/>
      <c r="S236" s="264"/>
      <c r="T236" s="264"/>
      <c r="U236" s="264"/>
      <c r="V236" s="264"/>
      <c r="W236" s="264"/>
      <c r="X236" s="264"/>
      <c r="Y236" s="264"/>
      <c r="Z236" s="264"/>
    </row>
    <row r="237">
      <c r="A237" s="264"/>
      <c r="B237" s="265" t="s">
        <v>304</v>
      </c>
      <c r="C237" s="265">
        <v>9813.0</v>
      </c>
      <c r="D237" s="268">
        <v>19008.0</v>
      </c>
      <c r="E237" s="266">
        <v>44568.0</v>
      </c>
      <c r="F237" s="267">
        <v>0.5520833333333334</v>
      </c>
      <c r="G237" s="264" t="s">
        <v>6328</v>
      </c>
      <c r="H237" s="264" t="s">
        <v>14</v>
      </c>
      <c r="I237" s="264" t="s">
        <v>6219</v>
      </c>
      <c r="J237" s="264" t="s">
        <v>6117</v>
      </c>
      <c r="K237" s="264"/>
      <c r="L237" s="264" t="s">
        <v>6242</v>
      </c>
      <c r="M237" s="264"/>
      <c r="N237" s="264"/>
      <c r="O237" s="264" t="s">
        <v>5</v>
      </c>
      <c r="P237" s="264"/>
      <c r="Q237" s="264"/>
      <c r="R237" s="264"/>
      <c r="S237" s="264"/>
      <c r="T237" s="264"/>
      <c r="U237" s="264"/>
      <c r="V237" s="264"/>
      <c r="W237" s="264"/>
      <c r="X237" s="264"/>
      <c r="Y237" s="264"/>
      <c r="Z237" s="264"/>
    </row>
    <row r="238">
      <c r="A238" s="264"/>
      <c r="B238" s="265" t="s">
        <v>3494</v>
      </c>
      <c r="C238" s="265">
        <v>15024.0</v>
      </c>
      <c r="D238" s="268">
        <v>20328.0</v>
      </c>
      <c r="E238" s="266">
        <v>44568.0</v>
      </c>
      <c r="F238" s="267">
        <v>0.5625</v>
      </c>
      <c r="G238" s="264" t="s">
        <v>6323</v>
      </c>
      <c r="H238" s="264" t="s">
        <v>13</v>
      </c>
      <c r="I238" s="264" t="s">
        <v>6212</v>
      </c>
      <c r="J238" s="264" t="s">
        <v>6189</v>
      </c>
      <c r="K238" s="264"/>
      <c r="L238" s="264" t="s">
        <v>6242</v>
      </c>
      <c r="M238" s="264"/>
      <c r="N238" s="264"/>
      <c r="O238" s="264" t="s">
        <v>6216</v>
      </c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</row>
    <row r="239">
      <c r="A239" s="264"/>
      <c r="B239" s="265" t="s">
        <v>2123</v>
      </c>
      <c r="C239" s="265">
        <v>13293.0</v>
      </c>
      <c r="D239" s="268">
        <v>30806.0</v>
      </c>
      <c r="E239" s="266">
        <v>44568.0</v>
      </c>
      <c r="F239" s="267" t="e">
        <v>#N/A</v>
      </c>
      <c r="G239" s="264" t="s">
        <v>6323</v>
      </c>
      <c r="H239" s="264" t="s">
        <v>15</v>
      </c>
      <c r="I239" s="264" t="e">
        <v>#N/A</v>
      </c>
      <c r="J239" s="264" t="e">
        <v>#N/A</v>
      </c>
      <c r="K239" s="264"/>
      <c r="L239" s="264" t="s">
        <v>6242</v>
      </c>
      <c r="M239" s="264"/>
      <c r="N239" s="264"/>
      <c r="O239" s="264" t="e">
        <v>#N/A</v>
      </c>
      <c r="P239" s="264"/>
      <c r="Q239" s="264"/>
      <c r="R239" s="264"/>
      <c r="S239" s="264"/>
      <c r="T239" s="264"/>
      <c r="U239" s="264"/>
      <c r="V239" s="264"/>
      <c r="W239" s="264"/>
      <c r="X239" s="264"/>
      <c r="Y239" s="264"/>
      <c r="Z239" s="264"/>
    </row>
    <row r="240">
      <c r="A240" s="264"/>
      <c r="B240" s="265" t="s">
        <v>4792</v>
      </c>
      <c r="C240" s="265">
        <v>16571.0</v>
      </c>
      <c r="D240" s="268">
        <v>14391.0</v>
      </c>
      <c r="E240" s="266">
        <v>44568.0</v>
      </c>
      <c r="F240" s="267">
        <v>0.5729166666666666</v>
      </c>
      <c r="G240" s="264" t="s">
        <v>6323</v>
      </c>
      <c r="H240" s="264" t="s">
        <v>14</v>
      </c>
      <c r="I240" s="264" t="s">
        <v>6222</v>
      </c>
      <c r="J240" s="264" t="s">
        <v>6196</v>
      </c>
      <c r="K240" s="264"/>
      <c r="L240" s="264" t="s">
        <v>6242</v>
      </c>
      <c r="M240" s="264"/>
      <c r="N240" s="264"/>
      <c r="O240" s="264" t="s">
        <v>6216</v>
      </c>
      <c r="P240" s="264"/>
      <c r="Q240" s="264"/>
      <c r="R240" s="264"/>
      <c r="S240" s="264"/>
      <c r="T240" s="264"/>
      <c r="U240" s="264"/>
      <c r="V240" s="264"/>
      <c r="W240" s="264"/>
      <c r="X240" s="264"/>
      <c r="Y240" s="264"/>
      <c r="Z240" s="264"/>
    </row>
    <row r="241">
      <c r="A241" s="264"/>
      <c r="B241" s="265" t="s">
        <v>4141</v>
      </c>
      <c r="C241" s="265">
        <v>15779.0</v>
      </c>
      <c r="D241" s="268">
        <v>21259.0</v>
      </c>
      <c r="E241" s="266">
        <v>44568.0</v>
      </c>
      <c r="F241" s="267">
        <v>0.5625</v>
      </c>
      <c r="G241" s="264" t="s">
        <v>6323</v>
      </c>
      <c r="H241" s="264" t="s">
        <v>15</v>
      </c>
      <c r="I241" s="264" t="s">
        <v>6219</v>
      </c>
      <c r="J241" s="264" t="s">
        <v>6142</v>
      </c>
      <c r="K241" s="264"/>
      <c r="L241" s="264" t="s">
        <v>6242</v>
      </c>
      <c r="M241" s="264"/>
      <c r="N241" s="264"/>
      <c r="O241" s="264" t="s">
        <v>6216</v>
      </c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</row>
    <row r="242">
      <c r="A242" s="264"/>
      <c r="B242" s="265" t="s">
        <v>135</v>
      </c>
      <c r="C242" s="265">
        <v>9300.0</v>
      </c>
      <c r="D242" s="268">
        <v>32377.0</v>
      </c>
      <c r="E242" s="266">
        <v>44568.0</v>
      </c>
      <c r="F242" s="267" t="e">
        <v>#N/A</v>
      </c>
      <c r="G242" s="264" t="s">
        <v>6323</v>
      </c>
      <c r="H242" s="264" t="s">
        <v>14</v>
      </c>
      <c r="I242" s="264" t="e">
        <v>#N/A</v>
      </c>
      <c r="J242" s="264" t="e">
        <v>#N/A</v>
      </c>
      <c r="K242" s="264"/>
      <c r="L242" s="264"/>
      <c r="M242" s="264"/>
      <c r="N242" s="264"/>
      <c r="O242" s="264" t="e">
        <v>#N/A</v>
      </c>
      <c r="P242" s="264"/>
      <c r="Q242" s="264"/>
      <c r="R242" s="264"/>
      <c r="S242" s="264"/>
      <c r="T242" s="264"/>
      <c r="U242" s="264"/>
      <c r="V242" s="264"/>
      <c r="W242" s="264"/>
      <c r="X242" s="264"/>
      <c r="Y242" s="264"/>
      <c r="Z242" s="264"/>
    </row>
    <row r="243">
      <c r="A243" s="264"/>
      <c r="B243" s="265" t="s">
        <v>5467</v>
      </c>
      <c r="C243" s="265">
        <v>17432.0</v>
      </c>
      <c r="D243" s="268">
        <v>28960.0</v>
      </c>
      <c r="E243" s="266">
        <v>44568.0</v>
      </c>
      <c r="F243" s="267">
        <v>0.59375</v>
      </c>
      <c r="G243" s="264" t="s">
        <v>6328</v>
      </c>
      <c r="H243" s="264" t="s">
        <v>13</v>
      </c>
      <c r="I243" s="264" t="s">
        <v>6212</v>
      </c>
      <c r="J243" s="264" t="s">
        <v>6146</v>
      </c>
      <c r="K243" s="264"/>
      <c r="L243" s="264" t="s">
        <v>6242</v>
      </c>
      <c r="M243" s="264" t="s">
        <v>6242</v>
      </c>
      <c r="N243" s="264"/>
      <c r="O243" s="264" t="s">
        <v>6215</v>
      </c>
      <c r="P243" s="264"/>
      <c r="Q243" s="264"/>
      <c r="R243" s="264"/>
      <c r="S243" s="264"/>
      <c r="T243" s="264"/>
      <c r="U243" s="264"/>
      <c r="V243" s="264"/>
      <c r="W243" s="264"/>
      <c r="X243" s="264"/>
      <c r="Y243" s="264"/>
      <c r="Z243" s="264"/>
    </row>
    <row r="244">
      <c r="A244" s="264"/>
      <c r="B244" s="265" t="s">
        <v>327</v>
      </c>
      <c r="C244" s="265">
        <v>9863.0</v>
      </c>
      <c r="D244" s="268">
        <v>17578.0</v>
      </c>
      <c r="E244" s="266">
        <v>44568.0</v>
      </c>
      <c r="F244" s="267">
        <v>0.5833333333333334</v>
      </c>
      <c r="G244" s="264" t="s">
        <v>6323</v>
      </c>
      <c r="H244" s="264" t="s">
        <v>15</v>
      </c>
      <c r="I244" s="264" t="s">
        <v>6219</v>
      </c>
      <c r="J244" s="264" t="s">
        <v>6100</v>
      </c>
      <c r="K244" s="264"/>
      <c r="L244" s="264" t="s">
        <v>6242</v>
      </c>
      <c r="M244" s="264"/>
      <c r="N244" s="264"/>
      <c r="O244" s="264" t="s">
        <v>6216</v>
      </c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</row>
    <row r="245">
      <c r="A245" s="264"/>
      <c r="B245" s="265" t="s">
        <v>5498</v>
      </c>
      <c r="C245" s="265">
        <v>17470.0</v>
      </c>
      <c r="D245" s="268">
        <v>34674.0</v>
      </c>
      <c r="E245" s="266">
        <v>44568.0</v>
      </c>
      <c r="F245" s="267">
        <v>0.625</v>
      </c>
      <c r="G245" s="264" t="s">
        <v>6328</v>
      </c>
      <c r="H245" s="264" t="s">
        <v>14</v>
      </c>
      <c r="I245" s="264" t="s">
        <v>6222</v>
      </c>
      <c r="J245" s="264" t="s">
        <v>6126</v>
      </c>
      <c r="K245" s="264"/>
      <c r="L245" s="264" t="s">
        <v>6341</v>
      </c>
      <c r="M245" s="264" t="s">
        <v>6341</v>
      </c>
      <c r="N245" s="264"/>
      <c r="O245" s="264" t="s">
        <v>6215</v>
      </c>
      <c r="P245" s="264"/>
      <c r="Q245" s="264"/>
      <c r="R245" s="264"/>
      <c r="S245" s="264"/>
      <c r="T245" s="264"/>
      <c r="U245" s="264"/>
      <c r="V245" s="264"/>
      <c r="W245" s="264"/>
      <c r="X245" s="264"/>
      <c r="Y245" s="264"/>
      <c r="Z245" s="264"/>
    </row>
    <row r="246">
      <c r="A246" s="264"/>
      <c r="B246" s="265" t="s">
        <v>4212</v>
      </c>
      <c r="C246" s="265">
        <v>15857.0</v>
      </c>
      <c r="D246" s="268">
        <v>20924.0</v>
      </c>
      <c r="E246" s="266">
        <v>44568.0</v>
      </c>
      <c r="F246" s="267">
        <v>0.6145833333333334</v>
      </c>
      <c r="G246" s="264" t="s">
        <v>6328</v>
      </c>
      <c r="H246" s="264" t="s">
        <v>15</v>
      </c>
      <c r="I246" s="264" t="s">
        <v>6219</v>
      </c>
      <c r="J246" s="264" t="s">
        <v>6142</v>
      </c>
      <c r="K246" s="264"/>
      <c r="L246" s="264" t="s">
        <v>6242</v>
      </c>
      <c r="M246" s="264"/>
      <c r="N246" s="264"/>
      <c r="O246" s="264" t="s">
        <v>6216</v>
      </c>
      <c r="P246" s="264"/>
      <c r="Q246" s="264"/>
      <c r="R246" s="264"/>
      <c r="S246" s="264"/>
      <c r="T246" s="264"/>
      <c r="U246" s="264"/>
      <c r="V246" s="264"/>
      <c r="W246" s="264"/>
      <c r="X246" s="264"/>
      <c r="Y246" s="264"/>
      <c r="Z246" s="264"/>
    </row>
    <row r="247">
      <c r="A247" s="264"/>
      <c r="B247" s="265" t="s">
        <v>1564</v>
      </c>
      <c r="C247" s="265">
        <v>12597.0</v>
      </c>
      <c r="D247" s="268">
        <v>30610.0</v>
      </c>
      <c r="E247" s="266">
        <v>44568.0</v>
      </c>
      <c r="F247" s="267">
        <v>0.6354166666666666</v>
      </c>
      <c r="G247" s="264" t="s">
        <v>6328</v>
      </c>
      <c r="H247" s="264" t="s">
        <v>14</v>
      </c>
      <c r="I247" s="264" t="s">
        <v>6222</v>
      </c>
      <c r="J247" s="264" t="s">
        <v>6101</v>
      </c>
      <c r="K247" s="264"/>
      <c r="L247" s="264" t="s">
        <v>6242</v>
      </c>
      <c r="M247" s="264"/>
      <c r="N247" s="264"/>
      <c r="O247" s="264" t="s">
        <v>5</v>
      </c>
      <c r="P247" s="264"/>
      <c r="Q247" s="264"/>
      <c r="R247" s="264"/>
      <c r="S247" s="264"/>
      <c r="T247" s="264"/>
      <c r="U247" s="264"/>
      <c r="V247" s="264"/>
      <c r="W247" s="264"/>
      <c r="X247" s="264"/>
      <c r="Y247" s="264"/>
      <c r="Z247" s="264"/>
    </row>
    <row r="248">
      <c r="A248" s="264"/>
      <c r="B248" s="265" t="s">
        <v>3646</v>
      </c>
      <c r="C248" s="265">
        <v>15209.0</v>
      </c>
      <c r="D248" s="268">
        <v>14594.0</v>
      </c>
      <c r="E248" s="266">
        <v>44568.0</v>
      </c>
      <c r="F248" s="267">
        <v>0.6458333333333334</v>
      </c>
      <c r="G248" s="264" t="s">
        <v>6328</v>
      </c>
      <c r="H248" s="264" t="s">
        <v>14</v>
      </c>
      <c r="I248" s="264" t="s">
        <v>6222</v>
      </c>
      <c r="J248" s="264" t="s">
        <v>6196</v>
      </c>
      <c r="K248" s="264"/>
      <c r="L248" s="264" t="s">
        <v>6242</v>
      </c>
      <c r="M248" s="264" t="s">
        <v>6242</v>
      </c>
      <c r="N248" s="264"/>
      <c r="O248" s="264" t="s">
        <v>6220</v>
      </c>
      <c r="P248" s="264"/>
      <c r="Q248" s="264"/>
      <c r="R248" s="264"/>
      <c r="S248" s="264"/>
      <c r="T248" s="264"/>
      <c r="U248" s="264"/>
      <c r="V248" s="264"/>
      <c r="W248" s="264"/>
      <c r="X248" s="264"/>
      <c r="Y248" s="264"/>
      <c r="Z248" s="264"/>
    </row>
    <row r="249">
      <c r="A249" s="264"/>
      <c r="B249" s="265" t="s">
        <v>1578</v>
      </c>
      <c r="C249" s="265">
        <v>12617.0</v>
      </c>
      <c r="D249" s="268">
        <v>25468.0</v>
      </c>
      <c r="E249" s="266">
        <v>44568.0</v>
      </c>
      <c r="F249" s="267">
        <v>0.6458333333333334</v>
      </c>
      <c r="G249" s="264" t="s">
        <v>6328</v>
      </c>
      <c r="H249" s="264" t="s">
        <v>14</v>
      </c>
      <c r="I249" s="264" t="s">
        <v>6222</v>
      </c>
      <c r="J249" s="264" t="s">
        <v>6199</v>
      </c>
      <c r="K249" s="264"/>
      <c r="L249" s="264" t="s">
        <v>6242</v>
      </c>
      <c r="M249" s="264"/>
      <c r="N249" s="264"/>
      <c r="O249" s="264" t="s">
        <v>5</v>
      </c>
      <c r="P249" s="264"/>
      <c r="Q249" s="264"/>
      <c r="R249" s="264"/>
      <c r="S249" s="264"/>
      <c r="T249" s="264"/>
      <c r="U249" s="264"/>
      <c r="V249" s="264"/>
      <c r="W249" s="264"/>
      <c r="X249" s="264"/>
      <c r="Y249" s="264"/>
      <c r="Z249" s="264"/>
    </row>
    <row r="250">
      <c r="A250" s="264"/>
      <c r="B250" s="265" t="s">
        <v>4948</v>
      </c>
      <c r="C250" s="265">
        <v>16773.0</v>
      </c>
      <c r="D250" s="268">
        <v>13956.0</v>
      </c>
      <c r="E250" s="266">
        <v>44568.0</v>
      </c>
      <c r="F250" s="267" t="e">
        <v>#N/A</v>
      </c>
      <c r="G250" s="264" t="s">
        <v>6323</v>
      </c>
      <c r="H250" s="264" t="s">
        <v>15</v>
      </c>
      <c r="I250" s="264" t="e">
        <v>#N/A</v>
      </c>
      <c r="J250" s="264" t="e">
        <v>#N/A</v>
      </c>
      <c r="K250" s="264"/>
      <c r="L250" s="264" t="s">
        <v>6242</v>
      </c>
      <c r="M250" s="264"/>
      <c r="N250" s="264"/>
      <c r="O250" s="264" t="e">
        <v>#N/A</v>
      </c>
      <c r="P250" s="264"/>
      <c r="Q250" s="264"/>
      <c r="R250" s="264"/>
      <c r="S250" s="264"/>
      <c r="T250" s="264"/>
      <c r="U250" s="264"/>
      <c r="V250" s="264"/>
      <c r="W250" s="264"/>
      <c r="X250" s="264"/>
      <c r="Y250" s="264"/>
      <c r="Z250" s="264"/>
    </row>
    <row r="251">
      <c r="A251" s="264"/>
      <c r="B251" s="265" t="s">
        <v>3663</v>
      </c>
      <c r="C251" s="265">
        <v>15227.0</v>
      </c>
      <c r="D251" s="268">
        <v>27243.0</v>
      </c>
      <c r="E251" s="266">
        <v>44568.0</v>
      </c>
      <c r="F251" s="267" t="e">
        <v>#N/A</v>
      </c>
      <c r="G251" s="264" t="s">
        <v>6323</v>
      </c>
      <c r="H251" s="264" t="s">
        <v>15</v>
      </c>
      <c r="I251" s="264" t="e">
        <v>#N/A</v>
      </c>
      <c r="J251" s="264" t="e">
        <v>#N/A</v>
      </c>
      <c r="K251" s="264"/>
      <c r="L251" s="264" t="s">
        <v>6242</v>
      </c>
      <c r="M251" s="264"/>
      <c r="N251" s="264"/>
      <c r="O251" s="264" t="e">
        <v>#N/A</v>
      </c>
      <c r="P251" s="264"/>
      <c r="Q251" s="264"/>
      <c r="R251" s="264"/>
      <c r="S251" s="264"/>
      <c r="T251" s="264"/>
      <c r="U251" s="264"/>
      <c r="V251" s="264"/>
      <c r="W251" s="264"/>
      <c r="X251" s="264"/>
      <c r="Y251" s="264"/>
      <c r="Z251" s="264"/>
    </row>
    <row r="252">
      <c r="A252" s="264"/>
      <c r="B252" s="264"/>
      <c r="C252" s="264"/>
      <c r="D252" s="264"/>
      <c r="E252" s="264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</row>
    <row r="253">
      <c r="A253" s="264"/>
      <c r="B253" s="264" t="s">
        <v>3596</v>
      </c>
      <c r="C253" s="264">
        <v>15146.0</v>
      </c>
      <c r="D253" s="268">
        <v>23030.0</v>
      </c>
      <c r="E253" s="266">
        <v>44571.0</v>
      </c>
      <c r="F253" s="267">
        <v>0.3229166666666667</v>
      </c>
      <c r="G253" s="264" t="s">
        <v>6323</v>
      </c>
      <c r="H253" s="264" t="s">
        <v>12</v>
      </c>
      <c r="I253" s="264" t="s">
        <v>6221</v>
      </c>
      <c r="J253" s="264" t="s">
        <v>6137</v>
      </c>
      <c r="K253" s="264"/>
      <c r="L253" s="264" t="s">
        <v>6242</v>
      </c>
      <c r="M253" s="264"/>
      <c r="N253" s="264"/>
      <c r="O253" s="264" t="s">
        <v>5</v>
      </c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</row>
    <row r="254">
      <c r="A254" s="264"/>
      <c r="B254" s="264" t="s">
        <v>3862</v>
      </c>
      <c r="C254" s="264">
        <v>15469.0</v>
      </c>
      <c r="D254" s="268">
        <v>18802.0</v>
      </c>
      <c r="E254" s="266">
        <v>44571.0</v>
      </c>
      <c r="F254" s="267">
        <v>0.3333333333333333</v>
      </c>
      <c r="G254" s="264" t="s">
        <v>6323</v>
      </c>
      <c r="H254" s="264" t="s">
        <v>14</v>
      </c>
      <c r="I254" s="264" t="s">
        <v>6222</v>
      </c>
      <c r="J254" s="264" t="s">
        <v>6158</v>
      </c>
      <c r="K254" s="264"/>
      <c r="L254" s="264" t="s">
        <v>6242</v>
      </c>
      <c r="M254" s="264"/>
      <c r="N254" s="264"/>
      <c r="O254" s="264" t="s">
        <v>5</v>
      </c>
      <c r="P254" s="264"/>
      <c r="Q254" s="264"/>
      <c r="R254" s="264"/>
      <c r="S254" s="264"/>
      <c r="T254" s="264"/>
      <c r="U254" s="264"/>
      <c r="V254" s="264"/>
      <c r="W254" s="264"/>
      <c r="X254" s="264"/>
      <c r="Y254" s="264"/>
      <c r="Z254" s="264"/>
    </row>
    <row r="255">
      <c r="A255" s="264"/>
      <c r="B255" s="264" t="s">
        <v>104</v>
      </c>
      <c r="C255" s="264">
        <v>9245.0</v>
      </c>
      <c r="D255" s="268">
        <v>16580.0</v>
      </c>
      <c r="E255" s="266">
        <v>44571.0</v>
      </c>
      <c r="F255" s="267">
        <v>0.3541666666666667</v>
      </c>
      <c r="G255" s="264" t="s">
        <v>6323</v>
      </c>
      <c r="H255" s="264" t="s">
        <v>14</v>
      </c>
      <c r="I255" s="264" t="s">
        <v>6222</v>
      </c>
      <c r="J255" s="264" t="s">
        <v>6094</v>
      </c>
      <c r="K255" s="264"/>
      <c r="L255" s="264" t="s">
        <v>6242</v>
      </c>
      <c r="M255" s="264"/>
      <c r="N255" s="264"/>
      <c r="O255" s="264" t="s">
        <v>5</v>
      </c>
      <c r="P255" s="264"/>
      <c r="Q255" s="264"/>
      <c r="R255" s="264"/>
      <c r="S255" s="264"/>
      <c r="T255" s="264"/>
      <c r="U255" s="264"/>
      <c r="V255" s="264"/>
      <c r="W255" s="264"/>
      <c r="X255" s="264"/>
      <c r="Y255" s="264"/>
      <c r="Z255" s="264"/>
    </row>
    <row r="256">
      <c r="A256" s="264"/>
      <c r="B256" s="264" t="s">
        <v>1349</v>
      </c>
      <c r="C256" s="264">
        <v>12264.0</v>
      </c>
      <c r="D256" s="268">
        <v>13630.0</v>
      </c>
      <c r="E256" s="266">
        <v>44571.0</v>
      </c>
      <c r="F256" s="267">
        <v>0.3541666666666667</v>
      </c>
      <c r="G256" s="264" t="s">
        <v>6328</v>
      </c>
      <c r="H256" s="264" t="s">
        <v>14</v>
      </c>
      <c r="I256" s="264" t="s">
        <v>6222</v>
      </c>
      <c r="J256" s="264" t="s">
        <v>6189</v>
      </c>
      <c r="K256" s="264"/>
      <c r="L256" s="264" t="s">
        <v>6242</v>
      </c>
      <c r="M256" s="264"/>
      <c r="N256" s="264"/>
      <c r="O256" s="264" t="s">
        <v>6216</v>
      </c>
      <c r="P256" s="264"/>
      <c r="Q256" s="264"/>
      <c r="R256" s="264"/>
      <c r="S256" s="264"/>
      <c r="T256" s="264"/>
      <c r="U256" s="264"/>
      <c r="V256" s="264"/>
      <c r="W256" s="264"/>
      <c r="X256" s="264"/>
      <c r="Y256" s="264"/>
      <c r="Z256" s="264"/>
    </row>
    <row r="257">
      <c r="A257" s="264"/>
      <c r="B257" s="264" t="s">
        <v>5991</v>
      </c>
      <c r="C257" s="264">
        <v>17880.0</v>
      </c>
      <c r="D257" s="268">
        <v>19527.0</v>
      </c>
      <c r="E257" s="266">
        <v>44571.0</v>
      </c>
      <c r="F257" s="267">
        <v>0.34375</v>
      </c>
      <c r="G257" s="264" t="s">
        <v>6323</v>
      </c>
      <c r="H257" s="264" t="s">
        <v>13</v>
      </c>
      <c r="I257" s="264" t="s">
        <v>6221</v>
      </c>
      <c r="J257" s="264" t="s">
        <v>6189</v>
      </c>
      <c r="K257" s="264" t="s">
        <v>6242</v>
      </c>
      <c r="L257" s="264"/>
      <c r="M257" s="264"/>
      <c r="N257" s="264"/>
      <c r="O257" s="264" t="s">
        <v>6213</v>
      </c>
      <c r="P257" s="264"/>
      <c r="Q257" s="264"/>
      <c r="R257" s="264"/>
      <c r="S257" s="264"/>
      <c r="T257" s="264"/>
      <c r="U257" s="264"/>
      <c r="V257" s="264"/>
      <c r="W257" s="264"/>
      <c r="X257" s="264"/>
      <c r="Y257" s="264"/>
      <c r="Z257" s="264"/>
    </row>
    <row r="258">
      <c r="A258" s="264"/>
      <c r="B258" s="264" t="s">
        <v>3749</v>
      </c>
      <c r="C258" s="264">
        <v>15335.0</v>
      </c>
      <c r="D258" s="268">
        <v>33029.0</v>
      </c>
      <c r="E258" s="266">
        <v>44571.0</v>
      </c>
      <c r="F258" s="267" t="e">
        <v>#N/A</v>
      </c>
      <c r="G258" s="264" t="s">
        <v>6323</v>
      </c>
      <c r="H258" s="264" t="s">
        <v>14</v>
      </c>
      <c r="I258" s="264" t="e">
        <v>#N/A</v>
      </c>
      <c r="J258" s="264" t="e">
        <v>#N/A</v>
      </c>
      <c r="K258" s="264"/>
      <c r="L258" s="264" t="s">
        <v>6242</v>
      </c>
      <c r="M258" s="264"/>
      <c r="N258" s="264"/>
      <c r="O258" s="264" t="e">
        <v>#N/A</v>
      </c>
      <c r="P258" s="264"/>
      <c r="Q258" s="264"/>
      <c r="R258" s="264"/>
      <c r="S258" s="264"/>
      <c r="T258" s="264"/>
      <c r="U258" s="264"/>
      <c r="V258" s="264"/>
      <c r="W258" s="264"/>
      <c r="X258" s="264"/>
      <c r="Y258" s="264"/>
      <c r="Z258" s="264"/>
    </row>
    <row r="259">
      <c r="A259" s="264"/>
      <c r="B259" s="264" t="s">
        <v>4447</v>
      </c>
      <c r="C259" s="264">
        <v>16125.0</v>
      </c>
      <c r="D259" s="268">
        <v>21786.0</v>
      </c>
      <c r="E259" s="266">
        <v>44571.0</v>
      </c>
      <c r="F259" s="267">
        <v>0.3333333333333333</v>
      </c>
      <c r="G259" s="264" t="s">
        <v>6323</v>
      </c>
      <c r="H259" s="264" t="s">
        <v>15</v>
      </c>
      <c r="I259" s="264" t="s">
        <v>6219</v>
      </c>
      <c r="J259" s="264" t="s">
        <v>6142</v>
      </c>
      <c r="K259" s="264"/>
      <c r="L259" s="264" t="s">
        <v>6242</v>
      </c>
      <c r="M259" s="264" t="s">
        <v>6242</v>
      </c>
      <c r="N259" s="264"/>
      <c r="O259" s="264" t="s">
        <v>6220</v>
      </c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/>
    </row>
    <row r="260">
      <c r="A260" s="264"/>
      <c r="B260" s="264" t="s">
        <v>2832</v>
      </c>
      <c r="C260" s="264">
        <v>14219.0</v>
      </c>
      <c r="D260" s="268">
        <v>24977.0</v>
      </c>
      <c r="E260" s="266">
        <v>44571.0</v>
      </c>
      <c r="F260" s="267">
        <v>0.3541666666666667</v>
      </c>
      <c r="G260" s="264" t="s">
        <v>6328</v>
      </c>
      <c r="H260" s="264" t="s">
        <v>15</v>
      </c>
      <c r="I260" s="264" t="s">
        <v>6219</v>
      </c>
      <c r="J260" s="264" t="s">
        <v>6091</v>
      </c>
      <c r="K260" s="264"/>
      <c r="L260" s="264" t="s">
        <v>6242</v>
      </c>
      <c r="M260" s="264"/>
      <c r="N260" s="264"/>
      <c r="O260" s="264" t="s">
        <v>5</v>
      </c>
      <c r="P260" s="264"/>
      <c r="Q260" s="264"/>
      <c r="R260" s="264"/>
      <c r="S260" s="264"/>
      <c r="T260" s="264"/>
      <c r="U260" s="264"/>
      <c r="V260" s="264"/>
      <c r="W260" s="264"/>
      <c r="X260" s="264"/>
      <c r="Y260" s="264"/>
      <c r="Z260" s="264"/>
    </row>
    <row r="261">
      <c r="A261" s="264"/>
      <c r="B261" s="264" t="s">
        <v>2675</v>
      </c>
      <c r="C261" s="264">
        <v>14013.0</v>
      </c>
      <c r="D261" s="268">
        <v>20269.0</v>
      </c>
      <c r="E261" s="266">
        <v>44571.0</v>
      </c>
      <c r="F261" s="267">
        <v>0.3541666666666667</v>
      </c>
      <c r="G261" s="264" t="s">
        <v>6328</v>
      </c>
      <c r="H261" s="264" t="s">
        <v>15</v>
      </c>
      <c r="I261" s="264" t="s">
        <v>6219</v>
      </c>
      <c r="J261" s="264" t="s">
        <v>6192</v>
      </c>
      <c r="K261" s="264"/>
      <c r="L261" s="264" t="s">
        <v>6242</v>
      </c>
      <c r="M261" s="264"/>
      <c r="N261" s="264"/>
      <c r="O261" s="264" t="s">
        <v>6216</v>
      </c>
      <c r="P261" s="264"/>
      <c r="Q261" s="264"/>
      <c r="R261" s="264"/>
      <c r="S261" s="264"/>
      <c r="T261" s="264"/>
      <c r="U261" s="264"/>
      <c r="V261" s="264"/>
      <c r="W261" s="264"/>
      <c r="X261" s="264"/>
      <c r="Y261" s="264"/>
      <c r="Z261" s="264"/>
    </row>
    <row r="262">
      <c r="A262" s="264"/>
      <c r="B262" s="264" t="s">
        <v>3971</v>
      </c>
      <c r="C262" s="264">
        <v>15593.0</v>
      </c>
      <c r="D262" s="268">
        <v>26161.0</v>
      </c>
      <c r="E262" s="266">
        <v>44571.0</v>
      </c>
      <c r="F262" s="267">
        <v>0.3645833333333333</v>
      </c>
      <c r="G262" s="264" t="s">
        <v>6323</v>
      </c>
      <c r="H262" s="264" t="s">
        <v>15</v>
      </c>
      <c r="I262" s="264" t="s">
        <v>6219</v>
      </c>
      <c r="J262" s="264" t="s">
        <v>6089</v>
      </c>
      <c r="K262" s="264"/>
      <c r="L262" s="264" t="s">
        <v>6242</v>
      </c>
      <c r="M262" s="264"/>
      <c r="N262" s="264"/>
      <c r="O262" s="264" t="s">
        <v>5</v>
      </c>
      <c r="P262" s="264"/>
      <c r="Q262" s="264"/>
      <c r="R262" s="264"/>
      <c r="S262" s="264"/>
      <c r="T262" s="264"/>
      <c r="U262" s="264"/>
      <c r="V262" s="264"/>
      <c r="W262" s="264"/>
      <c r="X262" s="264"/>
      <c r="Y262" s="264"/>
      <c r="Z262" s="264"/>
    </row>
    <row r="263">
      <c r="A263" s="264"/>
      <c r="B263" s="264" t="s">
        <v>4077</v>
      </c>
      <c r="C263" s="264">
        <v>12148.0</v>
      </c>
      <c r="D263" s="268">
        <v>19436.0</v>
      </c>
      <c r="E263" s="266">
        <v>44571.0</v>
      </c>
      <c r="F263" s="267" t="e">
        <v>#N/A</v>
      </c>
      <c r="G263" s="264" t="s">
        <v>6328</v>
      </c>
      <c r="H263" s="264" t="s">
        <v>15</v>
      </c>
      <c r="I263" s="264" t="e">
        <v>#N/A</v>
      </c>
      <c r="J263" s="264" t="e">
        <v>#N/A</v>
      </c>
      <c r="K263" s="264"/>
      <c r="L263" s="264" t="s">
        <v>6242</v>
      </c>
      <c r="M263" s="264"/>
      <c r="N263" s="264"/>
      <c r="O263" s="264" t="e">
        <v>#N/A</v>
      </c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</row>
    <row r="264">
      <c r="A264" s="264"/>
      <c r="B264" s="264" t="s">
        <v>2540</v>
      </c>
      <c r="C264" s="264">
        <v>13829.0</v>
      </c>
      <c r="D264" s="268">
        <v>19504.0</v>
      </c>
      <c r="E264" s="266">
        <v>44571.0</v>
      </c>
      <c r="F264" s="267">
        <v>0.375</v>
      </c>
      <c r="G264" s="264" t="s">
        <v>6323</v>
      </c>
      <c r="H264" s="264" t="s">
        <v>15</v>
      </c>
      <c r="I264" s="264" t="s">
        <v>6219</v>
      </c>
      <c r="J264" s="264" t="s">
        <v>6193</v>
      </c>
      <c r="K264" s="264"/>
      <c r="L264" s="264" t="s">
        <v>6242</v>
      </c>
      <c r="M264" s="264"/>
      <c r="N264" s="264"/>
      <c r="O264" s="264" t="s">
        <v>6216</v>
      </c>
      <c r="P264" s="264"/>
      <c r="Q264" s="264"/>
      <c r="R264" s="264"/>
      <c r="S264" s="264"/>
      <c r="T264" s="264"/>
      <c r="U264" s="264"/>
      <c r="V264" s="264"/>
      <c r="W264" s="264"/>
      <c r="X264" s="264"/>
      <c r="Y264" s="264"/>
      <c r="Z264" s="264"/>
    </row>
    <row r="265">
      <c r="A265" s="264"/>
      <c r="B265" s="264" t="s">
        <v>437</v>
      </c>
      <c r="C265" s="264">
        <v>10160.0</v>
      </c>
      <c r="D265" s="268">
        <v>21263.0</v>
      </c>
      <c r="E265" s="266">
        <v>44571.0</v>
      </c>
      <c r="F265" s="267">
        <v>0.40625</v>
      </c>
      <c r="G265" s="264" t="s">
        <v>6328</v>
      </c>
      <c r="H265" s="264" t="s">
        <v>14</v>
      </c>
      <c r="I265" s="264" t="s">
        <v>6222</v>
      </c>
      <c r="J265" s="264" t="s">
        <v>6091</v>
      </c>
      <c r="K265" s="264"/>
      <c r="L265" s="264" t="s">
        <v>6242</v>
      </c>
      <c r="M265" s="264" t="s">
        <v>6242</v>
      </c>
      <c r="N265" s="264"/>
      <c r="O265" s="264" t="s">
        <v>6215</v>
      </c>
      <c r="P265" s="264"/>
      <c r="Q265" s="264"/>
      <c r="R265" s="264"/>
      <c r="S265" s="264"/>
      <c r="T265" s="264"/>
      <c r="U265" s="264"/>
      <c r="V265" s="264"/>
      <c r="W265" s="264"/>
      <c r="X265" s="264"/>
      <c r="Y265" s="264"/>
      <c r="Z265" s="264"/>
    </row>
    <row r="266">
      <c r="A266" s="264"/>
      <c r="B266" s="264" t="s">
        <v>326</v>
      </c>
      <c r="C266" s="264">
        <v>9862.0</v>
      </c>
      <c r="D266" s="268">
        <v>18805.0</v>
      </c>
      <c r="E266" s="266">
        <v>44571.0</v>
      </c>
      <c r="F266" s="267">
        <v>0.4166666666666667</v>
      </c>
      <c r="G266" s="264" t="s">
        <v>6328</v>
      </c>
      <c r="H266" s="264" t="s">
        <v>14</v>
      </c>
      <c r="I266" s="264" t="s">
        <v>6222</v>
      </c>
      <c r="J266" s="264" t="s">
        <v>6199</v>
      </c>
      <c r="K266" s="264"/>
      <c r="L266" s="264" t="s">
        <v>6242</v>
      </c>
      <c r="M266" s="264" t="s">
        <v>6242</v>
      </c>
      <c r="N266" s="264"/>
      <c r="O266" s="264" t="s">
        <v>6215</v>
      </c>
      <c r="P266" s="264"/>
      <c r="Q266" s="264"/>
      <c r="R266" s="264"/>
      <c r="S266" s="264"/>
      <c r="T266" s="264"/>
      <c r="U266" s="264"/>
      <c r="V266" s="264"/>
      <c r="W266" s="264"/>
      <c r="X266" s="264"/>
      <c r="Y266" s="264"/>
      <c r="Z266" s="264"/>
    </row>
    <row r="267">
      <c r="A267" s="264"/>
      <c r="B267" s="264" t="s">
        <v>311</v>
      </c>
      <c r="C267" s="264">
        <v>9834.0</v>
      </c>
      <c r="D267" s="268">
        <v>23212.0</v>
      </c>
      <c r="E267" s="266">
        <v>44571.0</v>
      </c>
      <c r="F267" s="267">
        <v>0.3958333333333333</v>
      </c>
      <c r="G267" s="264" t="s">
        <v>6328</v>
      </c>
      <c r="H267" s="264" t="s">
        <v>15</v>
      </c>
      <c r="I267" s="264" t="s">
        <v>6219</v>
      </c>
      <c r="J267" s="264" t="s">
        <v>6189</v>
      </c>
      <c r="K267" s="264"/>
      <c r="L267" s="264" t="s">
        <v>6242</v>
      </c>
      <c r="M267" s="264"/>
      <c r="N267" s="264"/>
      <c r="O267" s="264" t="s">
        <v>6216</v>
      </c>
      <c r="P267" s="264"/>
      <c r="Q267" s="264"/>
      <c r="R267" s="264"/>
      <c r="S267" s="264"/>
      <c r="T267" s="264"/>
      <c r="U267" s="264"/>
      <c r="V267" s="264"/>
      <c r="W267" s="264"/>
      <c r="X267" s="264"/>
      <c r="Y267" s="264"/>
      <c r="Z267" s="264"/>
    </row>
    <row r="268">
      <c r="A268" s="264"/>
      <c r="B268" s="264" t="s">
        <v>4284</v>
      </c>
      <c r="C268" s="264">
        <v>15935.0</v>
      </c>
      <c r="D268" s="268">
        <v>27015.0</v>
      </c>
      <c r="E268" s="266">
        <v>44571.0</v>
      </c>
      <c r="F268" s="267">
        <v>0.40625</v>
      </c>
      <c r="G268" s="264" t="s">
        <v>6328</v>
      </c>
      <c r="H268" s="264" t="s">
        <v>14</v>
      </c>
      <c r="I268" s="264" t="s">
        <v>6222</v>
      </c>
      <c r="J268" s="264" t="s">
        <v>6142</v>
      </c>
      <c r="K268" s="264"/>
      <c r="L268" s="264" t="s">
        <v>6242</v>
      </c>
      <c r="M268" s="264"/>
      <c r="N268" s="264"/>
      <c r="O268" s="264" t="s">
        <v>6216</v>
      </c>
      <c r="P268" s="264"/>
      <c r="Q268" s="264"/>
      <c r="R268" s="264"/>
      <c r="S268" s="264"/>
      <c r="T268" s="264"/>
      <c r="U268" s="264"/>
      <c r="V268" s="264"/>
      <c r="W268" s="264"/>
      <c r="X268" s="264"/>
      <c r="Y268" s="264"/>
      <c r="Z268" s="264"/>
    </row>
    <row r="269">
      <c r="A269" s="264"/>
      <c r="B269" s="264" t="s">
        <v>4117</v>
      </c>
      <c r="C269" s="264">
        <v>15750.0</v>
      </c>
      <c r="D269" s="268">
        <v>19538.0</v>
      </c>
      <c r="E269" s="266">
        <v>44571.0</v>
      </c>
      <c r="F269" s="267">
        <v>0.3854166666666667</v>
      </c>
      <c r="G269" s="264" t="s">
        <v>6328</v>
      </c>
      <c r="H269" s="264" t="s">
        <v>15</v>
      </c>
      <c r="I269" s="264" t="s">
        <v>6222</v>
      </c>
      <c r="J269" s="264" t="s">
        <v>6199</v>
      </c>
      <c r="K269" s="264"/>
      <c r="L269" s="264" t="s">
        <v>6242</v>
      </c>
      <c r="M269" s="264"/>
      <c r="N269" s="264"/>
      <c r="O269" s="264" t="s">
        <v>5</v>
      </c>
      <c r="P269" s="264"/>
      <c r="Q269" s="264"/>
      <c r="R269" s="264"/>
      <c r="S269" s="264"/>
      <c r="T269" s="264"/>
      <c r="U269" s="264"/>
      <c r="V269" s="264"/>
      <c r="W269" s="264"/>
      <c r="X269" s="264"/>
      <c r="Y269" s="264"/>
      <c r="Z269" s="264"/>
    </row>
    <row r="270">
      <c r="A270" s="264"/>
      <c r="B270" s="264" t="s">
        <v>3833</v>
      </c>
      <c r="C270" s="264">
        <v>15437.0</v>
      </c>
      <c r="D270" s="268">
        <v>22134.0</v>
      </c>
      <c r="E270" s="266">
        <v>44571.0</v>
      </c>
      <c r="F270" s="267">
        <v>0.4270833333333333</v>
      </c>
      <c r="G270" s="264" t="s">
        <v>6323</v>
      </c>
      <c r="H270" s="264" t="s">
        <v>12</v>
      </c>
      <c r="I270" s="264" t="s">
        <v>6221</v>
      </c>
      <c r="J270" s="264" t="s">
        <v>6196</v>
      </c>
      <c r="K270" s="264"/>
      <c r="L270" s="264" t="s">
        <v>6242</v>
      </c>
      <c r="M270" s="264"/>
      <c r="N270" s="264"/>
      <c r="O270" s="264" t="s">
        <v>6216</v>
      </c>
      <c r="P270" s="264"/>
      <c r="Q270" s="264"/>
      <c r="R270" s="264"/>
      <c r="S270" s="264"/>
      <c r="T270" s="264"/>
      <c r="U270" s="264"/>
      <c r="V270" s="264"/>
      <c r="W270" s="264"/>
      <c r="X270" s="264"/>
      <c r="Y270" s="264"/>
      <c r="Z270" s="264"/>
    </row>
    <row r="271">
      <c r="A271" s="264"/>
      <c r="B271" s="264" t="s">
        <v>119</v>
      </c>
      <c r="C271" s="264">
        <v>9263.0</v>
      </c>
      <c r="D271" s="268">
        <v>14169.0</v>
      </c>
      <c r="E271" s="266">
        <v>44571.0</v>
      </c>
      <c r="F271" s="267">
        <v>0.4583333333333333</v>
      </c>
      <c r="G271" s="264" t="s">
        <v>6323</v>
      </c>
      <c r="H271" s="264" t="s">
        <v>12</v>
      </c>
      <c r="I271" s="264" t="s">
        <v>6221</v>
      </c>
      <c r="J271" s="264" t="s">
        <v>6137</v>
      </c>
      <c r="K271" s="264"/>
      <c r="L271" s="264" t="s">
        <v>6242</v>
      </c>
      <c r="M271" s="264"/>
      <c r="N271" s="264"/>
      <c r="O271" s="264" t="s">
        <v>5</v>
      </c>
      <c r="P271" s="264"/>
      <c r="Q271" s="264"/>
      <c r="R271" s="264"/>
      <c r="S271" s="264"/>
      <c r="T271" s="264"/>
      <c r="U271" s="264"/>
      <c r="V271" s="264"/>
      <c r="W271" s="264"/>
      <c r="X271" s="264"/>
      <c r="Y271" s="264"/>
      <c r="Z271" s="264"/>
    </row>
    <row r="272">
      <c r="A272" s="264"/>
      <c r="B272" s="264" t="s">
        <v>4091</v>
      </c>
      <c r="C272" s="264">
        <v>15724.0</v>
      </c>
      <c r="D272" s="268">
        <v>23824.0</v>
      </c>
      <c r="E272" s="266">
        <v>44571.0</v>
      </c>
      <c r="F272" s="267">
        <v>0.4583333333333333</v>
      </c>
      <c r="G272" s="264" t="s">
        <v>6323</v>
      </c>
      <c r="H272" s="264" t="s">
        <v>14</v>
      </c>
      <c r="I272" s="264" t="s">
        <v>6222</v>
      </c>
      <c r="J272" s="264" t="s">
        <v>6142</v>
      </c>
      <c r="K272" s="264"/>
      <c r="L272" s="264" t="s">
        <v>6242</v>
      </c>
      <c r="M272" s="264" t="s">
        <v>6242</v>
      </c>
      <c r="N272" s="264"/>
      <c r="O272" s="264" t="s">
        <v>6220</v>
      </c>
      <c r="P272" s="264"/>
      <c r="Q272" s="264"/>
      <c r="R272" s="264"/>
      <c r="S272" s="264"/>
      <c r="T272" s="264"/>
      <c r="U272" s="264"/>
      <c r="V272" s="264"/>
      <c r="W272" s="264"/>
      <c r="X272" s="264"/>
      <c r="Y272" s="264"/>
      <c r="Z272" s="264"/>
    </row>
    <row r="273">
      <c r="A273" s="264"/>
      <c r="B273" s="264" t="s">
        <v>4107</v>
      </c>
      <c r="C273" s="264">
        <v>15740.0</v>
      </c>
      <c r="D273" s="268">
        <v>17084.0</v>
      </c>
      <c r="E273" s="266">
        <v>44571.0</v>
      </c>
      <c r="F273" s="267">
        <v>0.4583333333333333</v>
      </c>
      <c r="G273" s="264" t="s">
        <v>6328</v>
      </c>
      <c r="H273" s="264" t="s">
        <v>14</v>
      </c>
      <c r="I273" s="264" t="s">
        <v>6222</v>
      </c>
      <c r="J273" s="264" t="s">
        <v>6189</v>
      </c>
      <c r="K273" s="264"/>
      <c r="L273" s="264" t="s">
        <v>6242</v>
      </c>
      <c r="M273" s="264"/>
      <c r="N273" s="264"/>
      <c r="O273" s="264" t="s">
        <v>6216</v>
      </c>
      <c r="P273" s="264"/>
      <c r="Q273" s="264"/>
      <c r="R273" s="264"/>
      <c r="S273" s="264"/>
      <c r="T273" s="264"/>
      <c r="U273" s="264"/>
      <c r="V273" s="264"/>
      <c r="W273" s="264"/>
      <c r="X273" s="264"/>
      <c r="Y273" s="264"/>
      <c r="Z273" s="264"/>
    </row>
    <row r="274">
      <c r="A274" s="264"/>
      <c r="B274" s="264" t="s">
        <v>5081</v>
      </c>
      <c r="C274" s="264">
        <v>16943.0</v>
      </c>
      <c r="D274" s="268">
        <v>16364.0</v>
      </c>
      <c r="E274" s="266">
        <v>44571.0</v>
      </c>
      <c r="F274" s="267">
        <v>0.46875</v>
      </c>
      <c r="G274" s="264" t="s">
        <v>6323</v>
      </c>
      <c r="H274" s="264" t="s">
        <v>15</v>
      </c>
      <c r="I274" s="264" t="s">
        <v>6219</v>
      </c>
      <c r="J274" s="264" t="s">
        <v>6189</v>
      </c>
      <c r="K274" s="264"/>
      <c r="L274" s="264" t="s">
        <v>6242</v>
      </c>
      <c r="M274" s="264"/>
      <c r="N274" s="264"/>
      <c r="O274" s="264" t="s">
        <v>6216</v>
      </c>
      <c r="P274" s="264"/>
      <c r="Q274" s="264"/>
      <c r="R274" s="264"/>
      <c r="S274" s="264"/>
      <c r="T274" s="264"/>
      <c r="U274" s="264"/>
      <c r="V274" s="264"/>
      <c r="W274" s="264"/>
      <c r="X274" s="264"/>
      <c r="Y274" s="264"/>
      <c r="Z274" s="264"/>
    </row>
    <row r="275">
      <c r="A275" s="264"/>
      <c r="B275" s="264" t="s">
        <v>385</v>
      </c>
      <c r="C275" s="264">
        <v>10036.0</v>
      </c>
      <c r="D275" s="268">
        <v>25546.0</v>
      </c>
      <c r="E275" s="266">
        <v>44571.0</v>
      </c>
      <c r="F275" s="267">
        <v>0.375</v>
      </c>
      <c r="G275" s="264" t="s">
        <v>6323</v>
      </c>
      <c r="H275" s="264" t="s">
        <v>15</v>
      </c>
      <c r="I275" s="264" t="s">
        <v>6219</v>
      </c>
      <c r="J275" s="264" t="s">
        <v>6199</v>
      </c>
      <c r="K275" s="264"/>
      <c r="L275" s="264"/>
      <c r="M275" s="264"/>
      <c r="N275" s="264"/>
      <c r="O275" s="264" t="s">
        <v>5</v>
      </c>
      <c r="P275" s="264"/>
      <c r="Q275" s="264"/>
      <c r="R275" s="264"/>
      <c r="S275" s="264"/>
      <c r="T275" s="264"/>
      <c r="U275" s="264"/>
      <c r="V275" s="264"/>
      <c r="W275" s="264"/>
      <c r="X275" s="264"/>
      <c r="Y275" s="264"/>
      <c r="Z275" s="264"/>
    </row>
    <row r="276">
      <c r="A276" s="264"/>
      <c r="B276" s="264"/>
      <c r="C276" s="264"/>
      <c r="D276" s="264"/>
      <c r="E276" s="264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264"/>
      <c r="V276" s="264"/>
      <c r="W276" s="264"/>
      <c r="X276" s="264"/>
      <c r="Y276" s="264"/>
      <c r="Z276" s="264"/>
    </row>
    <row r="277">
      <c r="A277" s="264"/>
      <c r="B277" s="264" t="s">
        <v>175</v>
      </c>
      <c r="C277" s="264">
        <v>9466.0</v>
      </c>
      <c r="D277" s="268">
        <v>14634.0</v>
      </c>
      <c r="E277" s="266">
        <v>44572.0</v>
      </c>
      <c r="F277" s="267">
        <v>0.3333333333333333</v>
      </c>
      <c r="G277" s="264" t="s">
        <v>6323</v>
      </c>
      <c r="H277" s="264" t="s">
        <v>12</v>
      </c>
      <c r="I277" s="264" t="s">
        <v>6221</v>
      </c>
      <c r="J277" s="264" t="s">
        <v>6137</v>
      </c>
      <c r="K277" s="264"/>
      <c r="L277" s="264" t="s">
        <v>6242</v>
      </c>
      <c r="M277" s="264"/>
      <c r="N277" s="264"/>
      <c r="O277" s="264" t="s">
        <v>5</v>
      </c>
      <c r="P277" s="264"/>
      <c r="Q277" s="264"/>
      <c r="R277" s="264"/>
      <c r="S277" s="264"/>
      <c r="T277" s="264"/>
      <c r="U277" s="264"/>
      <c r="V277" s="264"/>
      <c r="W277" s="264"/>
      <c r="X277" s="264"/>
      <c r="Y277" s="264"/>
      <c r="Z277" s="264"/>
    </row>
    <row r="278">
      <c r="A278" s="264"/>
      <c r="B278" s="264" t="s">
        <v>768</v>
      </c>
      <c r="C278" s="264">
        <v>11016.0</v>
      </c>
      <c r="D278" s="268">
        <v>23703.0</v>
      </c>
      <c r="E278" s="266">
        <v>44572.0</v>
      </c>
      <c r="F278" s="267">
        <v>0.34375</v>
      </c>
      <c r="G278" s="264" t="s">
        <v>6328</v>
      </c>
      <c r="H278" s="264" t="s">
        <v>14</v>
      </c>
      <c r="I278" s="264" t="s">
        <v>6222</v>
      </c>
      <c r="J278" s="264" t="s">
        <v>6100</v>
      </c>
      <c r="K278" s="264"/>
      <c r="L278" s="264" t="s">
        <v>6242</v>
      </c>
      <c r="M278" s="264"/>
      <c r="N278" s="264"/>
      <c r="O278" s="264" t="s">
        <v>6216</v>
      </c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</row>
    <row r="279">
      <c r="A279" s="264"/>
      <c r="B279" s="264" t="s">
        <v>5222</v>
      </c>
      <c r="C279" s="264">
        <v>17119.0</v>
      </c>
      <c r="D279" s="268">
        <v>22189.0</v>
      </c>
      <c r="E279" s="266">
        <v>44572.0</v>
      </c>
      <c r="F279" s="267">
        <v>0.3645833333333333</v>
      </c>
      <c r="G279" s="264" t="s">
        <v>6323</v>
      </c>
      <c r="H279" s="264" t="s">
        <v>14</v>
      </c>
      <c r="I279" s="264" t="s">
        <v>6222</v>
      </c>
      <c r="J279" s="264" t="s">
        <v>6154</v>
      </c>
      <c r="K279" s="264"/>
      <c r="L279" s="264" t="s">
        <v>6242</v>
      </c>
      <c r="M279" s="264"/>
      <c r="N279" s="264"/>
      <c r="O279" s="264" t="s">
        <v>5</v>
      </c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</row>
    <row r="280">
      <c r="A280" s="264"/>
      <c r="B280" s="264" t="s">
        <v>1368</v>
      </c>
      <c r="C280" s="264">
        <v>12289.0</v>
      </c>
      <c r="D280" s="268">
        <v>15105.0</v>
      </c>
      <c r="E280" s="266">
        <v>44572.0</v>
      </c>
      <c r="F280" s="267">
        <v>0.3333333333333333</v>
      </c>
      <c r="G280" s="264" t="s">
        <v>6328</v>
      </c>
      <c r="H280" s="264" t="s">
        <v>15</v>
      </c>
      <c r="I280" s="264" t="s">
        <v>6219</v>
      </c>
      <c r="J280" s="264" t="s">
        <v>6137</v>
      </c>
      <c r="K280" s="264"/>
      <c r="L280" s="264" t="s">
        <v>6242</v>
      </c>
      <c r="M280" s="264"/>
      <c r="N280" s="264"/>
      <c r="O280" s="264" t="s">
        <v>5</v>
      </c>
      <c r="P280" s="264"/>
      <c r="Q280" s="264"/>
      <c r="R280" s="264"/>
      <c r="S280" s="264"/>
      <c r="T280" s="264"/>
      <c r="U280" s="264"/>
      <c r="V280" s="264"/>
      <c r="W280" s="264"/>
      <c r="X280" s="264"/>
      <c r="Y280" s="264"/>
      <c r="Z280" s="264"/>
    </row>
    <row r="281">
      <c r="A281" s="264"/>
      <c r="B281" s="264" t="s">
        <v>4144</v>
      </c>
      <c r="C281" s="264">
        <v>15783.0</v>
      </c>
      <c r="D281" s="268">
        <v>20965.0</v>
      </c>
      <c r="E281" s="266">
        <v>44572.0</v>
      </c>
      <c r="F281" s="267">
        <v>0.3541666666666667</v>
      </c>
      <c r="G281" s="264" t="s">
        <v>6323</v>
      </c>
      <c r="H281" s="264" t="s">
        <v>15</v>
      </c>
      <c r="I281" s="264" t="s">
        <v>6219</v>
      </c>
      <c r="J281" s="264" t="s">
        <v>6142</v>
      </c>
      <c r="K281" s="264"/>
      <c r="L281" s="264" t="s">
        <v>6242</v>
      </c>
      <c r="M281" s="264"/>
      <c r="N281" s="264"/>
      <c r="O281" s="264" t="s">
        <v>6216</v>
      </c>
      <c r="P281" s="264"/>
      <c r="Q281" s="264"/>
      <c r="R281" s="264"/>
      <c r="S281" s="264"/>
      <c r="T281" s="264"/>
      <c r="U281" s="264"/>
      <c r="V281" s="264"/>
      <c r="W281" s="264"/>
      <c r="X281" s="264"/>
      <c r="Y281" s="264"/>
      <c r="Z281" s="264"/>
    </row>
    <row r="282">
      <c r="A282" s="264"/>
      <c r="B282" s="264" t="s">
        <v>2550</v>
      </c>
      <c r="C282" s="264">
        <v>13843.0</v>
      </c>
      <c r="D282" s="268">
        <v>22681.0</v>
      </c>
      <c r="E282" s="266">
        <v>44572.0</v>
      </c>
      <c r="F282" s="267">
        <v>0.375</v>
      </c>
      <c r="G282" s="264" t="s">
        <v>6323</v>
      </c>
      <c r="H282" s="264" t="s">
        <v>14</v>
      </c>
      <c r="I282" s="264" t="s">
        <v>6222</v>
      </c>
      <c r="J282" s="264" t="s">
        <v>6142</v>
      </c>
      <c r="K282" s="264"/>
      <c r="L282" s="264" t="s">
        <v>6242</v>
      </c>
      <c r="M282" s="264" t="s">
        <v>6242</v>
      </c>
      <c r="N282" s="264"/>
      <c r="O282" s="264" t="s">
        <v>6220</v>
      </c>
      <c r="P282" s="264"/>
      <c r="Q282" s="264"/>
      <c r="R282" s="264"/>
      <c r="S282" s="264"/>
      <c r="T282" s="264"/>
      <c r="U282" s="264"/>
      <c r="V282" s="264"/>
      <c r="W282" s="264"/>
      <c r="X282" s="264"/>
      <c r="Y282" s="264"/>
      <c r="Z282" s="264"/>
    </row>
    <row r="283">
      <c r="A283" s="264"/>
      <c r="B283" s="264" t="s">
        <v>661</v>
      </c>
      <c r="C283" s="264">
        <v>10732.0</v>
      </c>
      <c r="D283" s="268">
        <v>22198.0</v>
      </c>
      <c r="E283" s="266">
        <v>44572.0</v>
      </c>
      <c r="F283" s="267">
        <v>0.40625</v>
      </c>
      <c r="G283" s="264" t="s">
        <v>6323</v>
      </c>
      <c r="H283" s="264" t="s">
        <v>15</v>
      </c>
      <c r="I283" s="264" t="s">
        <v>6219</v>
      </c>
      <c r="J283" s="264" t="s">
        <v>6091</v>
      </c>
      <c r="K283" s="264"/>
      <c r="L283" s="264" t="s">
        <v>6242</v>
      </c>
      <c r="M283" s="264"/>
      <c r="N283" s="264"/>
      <c r="O283" s="264" t="s">
        <v>5</v>
      </c>
      <c r="P283" s="264"/>
      <c r="Q283" s="264"/>
      <c r="R283" s="264"/>
      <c r="S283" s="264"/>
      <c r="T283" s="264"/>
      <c r="U283" s="264"/>
      <c r="V283" s="264"/>
      <c r="W283" s="264"/>
      <c r="X283" s="264"/>
      <c r="Y283" s="264"/>
      <c r="Z283" s="264"/>
    </row>
    <row r="284">
      <c r="A284" s="264"/>
      <c r="B284" s="264" t="s">
        <v>3595</v>
      </c>
      <c r="C284" s="264">
        <v>15145.0</v>
      </c>
      <c r="D284" s="268">
        <v>18524.0</v>
      </c>
      <c r="E284" s="266">
        <v>44572.0</v>
      </c>
      <c r="F284" s="267">
        <v>0.375</v>
      </c>
      <c r="G284" s="264" t="s">
        <v>6328</v>
      </c>
      <c r="H284" s="264" t="s">
        <v>14</v>
      </c>
      <c r="I284" s="264" t="s">
        <v>6222</v>
      </c>
      <c r="J284" s="264" t="s">
        <v>6199</v>
      </c>
      <c r="K284" s="264"/>
      <c r="L284" s="264" t="s">
        <v>6242</v>
      </c>
      <c r="M284" s="264"/>
      <c r="N284" s="264"/>
      <c r="O284" s="264" t="s">
        <v>6215</v>
      </c>
      <c r="P284" s="264"/>
      <c r="Q284" s="264"/>
      <c r="R284" s="264"/>
      <c r="S284" s="264"/>
      <c r="T284" s="264"/>
      <c r="U284" s="264"/>
      <c r="V284" s="264"/>
      <c r="W284" s="264"/>
      <c r="X284" s="264"/>
      <c r="Y284" s="264"/>
      <c r="Z284" s="264"/>
    </row>
    <row r="285">
      <c r="A285" s="264"/>
      <c r="B285" s="264" t="s">
        <v>287</v>
      </c>
      <c r="C285" s="264">
        <v>9779.0</v>
      </c>
      <c r="D285" s="268">
        <v>22449.0</v>
      </c>
      <c r="E285" s="266">
        <v>44572.0</v>
      </c>
      <c r="F285" s="267">
        <v>0.40625</v>
      </c>
      <c r="G285" s="264" t="s">
        <v>6323</v>
      </c>
      <c r="H285" s="264" t="s">
        <v>15</v>
      </c>
      <c r="I285" s="264" t="s">
        <v>6219</v>
      </c>
      <c r="J285" s="264" t="s">
        <v>6189</v>
      </c>
      <c r="K285" s="264"/>
      <c r="L285" s="264" t="s">
        <v>6242</v>
      </c>
      <c r="M285" s="264"/>
      <c r="N285" s="264"/>
      <c r="O285" s="264" t="s">
        <v>6216</v>
      </c>
      <c r="P285" s="264"/>
      <c r="Q285" s="264"/>
      <c r="R285" s="264"/>
      <c r="S285" s="264"/>
      <c r="T285" s="264"/>
      <c r="U285" s="264"/>
      <c r="V285" s="264"/>
      <c r="W285" s="264"/>
      <c r="X285" s="264"/>
      <c r="Y285" s="264"/>
      <c r="Z285" s="264"/>
    </row>
    <row r="286">
      <c r="A286" s="264"/>
      <c r="B286" s="264" t="s">
        <v>680</v>
      </c>
      <c r="C286" s="264">
        <v>10768.0</v>
      </c>
      <c r="D286" s="268">
        <v>19517.0</v>
      </c>
      <c r="E286" s="266">
        <v>44572.0</v>
      </c>
      <c r="F286" s="267">
        <v>0.4166666666666667</v>
      </c>
      <c r="G286" s="264" t="s">
        <v>6323</v>
      </c>
      <c r="H286" s="264" t="s">
        <v>15</v>
      </c>
      <c r="I286" s="264" t="s">
        <v>6219</v>
      </c>
      <c r="J286" s="264" t="s">
        <v>6117</v>
      </c>
      <c r="K286" s="264"/>
      <c r="L286" s="264" t="s">
        <v>6242</v>
      </c>
      <c r="M286" s="264" t="s">
        <v>6242</v>
      </c>
      <c r="N286" s="264"/>
      <c r="O286" s="264" t="s">
        <v>6215</v>
      </c>
      <c r="P286" s="264"/>
      <c r="Q286" s="264"/>
      <c r="R286" s="264"/>
      <c r="S286" s="264"/>
      <c r="T286" s="264"/>
      <c r="U286" s="264"/>
      <c r="V286" s="264"/>
      <c r="W286" s="264"/>
      <c r="X286" s="264"/>
      <c r="Y286" s="264"/>
      <c r="Z286" s="264"/>
    </row>
    <row r="287">
      <c r="A287" s="264"/>
      <c r="B287" s="264" t="s">
        <v>2424</v>
      </c>
      <c r="C287" s="264">
        <v>13680.0</v>
      </c>
      <c r="D287" s="268">
        <v>26459.0</v>
      </c>
      <c r="E287" s="266">
        <v>44572.0</v>
      </c>
      <c r="F287" s="267">
        <v>0.4375</v>
      </c>
      <c r="G287" s="264" t="s">
        <v>6323</v>
      </c>
      <c r="H287" s="264" t="s">
        <v>15</v>
      </c>
      <c r="I287" s="264" t="s">
        <v>6219</v>
      </c>
      <c r="J287" s="264" t="s">
        <v>6199</v>
      </c>
      <c r="K287" s="264"/>
      <c r="L287" s="264" t="s">
        <v>6242</v>
      </c>
      <c r="M287" s="264"/>
      <c r="N287" s="264"/>
      <c r="O287" s="264" t="s">
        <v>5</v>
      </c>
      <c r="P287" s="264"/>
      <c r="Q287" s="264"/>
      <c r="R287" s="264"/>
      <c r="S287" s="264"/>
      <c r="T287" s="264"/>
      <c r="U287" s="264"/>
      <c r="V287" s="264"/>
      <c r="W287" s="264"/>
      <c r="X287" s="264"/>
      <c r="Y287" s="264"/>
      <c r="Z287" s="264"/>
    </row>
    <row r="288">
      <c r="A288" s="264"/>
      <c r="B288" s="264" t="s">
        <v>3921</v>
      </c>
      <c r="C288" s="264">
        <v>15536.0</v>
      </c>
      <c r="D288" s="268">
        <v>21822.0</v>
      </c>
      <c r="E288" s="266">
        <v>44572.0</v>
      </c>
      <c r="F288" s="267">
        <v>0.4479166666666667</v>
      </c>
      <c r="G288" s="264" t="s">
        <v>6328</v>
      </c>
      <c r="H288" s="264" t="s">
        <v>15</v>
      </c>
      <c r="I288" s="264" t="s">
        <v>6219</v>
      </c>
      <c r="J288" s="264" t="s">
        <v>6192</v>
      </c>
      <c r="K288" s="264"/>
      <c r="L288" s="264" t="s">
        <v>6242</v>
      </c>
      <c r="M288" s="264" t="s">
        <v>6242</v>
      </c>
      <c r="N288" s="264"/>
      <c r="O288" s="264" t="s">
        <v>6220</v>
      </c>
      <c r="P288" s="264"/>
      <c r="Q288" s="264"/>
      <c r="R288" s="264"/>
      <c r="S288" s="264"/>
      <c r="T288" s="264"/>
      <c r="U288" s="264"/>
      <c r="V288" s="264"/>
      <c r="W288" s="264"/>
      <c r="X288" s="264"/>
      <c r="Y288" s="264"/>
      <c r="Z288" s="264"/>
    </row>
    <row r="289">
      <c r="A289" s="264"/>
      <c r="B289" s="264" t="s">
        <v>4617</v>
      </c>
      <c r="C289" s="264">
        <v>16341.0</v>
      </c>
      <c r="D289" s="268">
        <v>22969.0</v>
      </c>
      <c r="E289" s="266">
        <v>44572.0</v>
      </c>
      <c r="F289" s="267">
        <v>0.3854166666666667</v>
      </c>
      <c r="G289" s="264" t="s">
        <v>6328</v>
      </c>
      <c r="H289" s="264" t="s">
        <v>12</v>
      </c>
      <c r="I289" s="264" t="s">
        <v>6221</v>
      </c>
      <c r="J289" s="264" t="s">
        <v>6194</v>
      </c>
      <c r="K289" s="264"/>
      <c r="L289" s="264" t="s">
        <v>6242</v>
      </c>
      <c r="M289" s="264" t="s">
        <v>6242</v>
      </c>
      <c r="N289" s="264"/>
      <c r="O289" s="264" t="s">
        <v>6220</v>
      </c>
      <c r="P289" s="264"/>
      <c r="Q289" s="264"/>
      <c r="R289" s="264"/>
      <c r="S289" s="264"/>
      <c r="T289" s="264"/>
      <c r="U289" s="264"/>
      <c r="V289" s="264"/>
      <c r="W289" s="264"/>
      <c r="X289" s="264"/>
      <c r="Y289" s="264"/>
      <c r="Z289" s="264"/>
    </row>
    <row r="290">
      <c r="A290" s="264"/>
      <c r="B290" s="264" t="s">
        <v>4429</v>
      </c>
      <c r="C290" s="264">
        <v>16106.0</v>
      </c>
      <c r="D290" s="268">
        <v>23484.0</v>
      </c>
      <c r="E290" s="266">
        <v>44572.0</v>
      </c>
      <c r="F290" s="267">
        <v>0.4375</v>
      </c>
      <c r="G290" s="264" t="s">
        <v>6323</v>
      </c>
      <c r="H290" s="264" t="s">
        <v>14</v>
      </c>
      <c r="I290" s="264" t="s">
        <v>6222</v>
      </c>
      <c r="J290" s="264" t="s">
        <v>6137</v>
      </c>
      <c r="K290" s="264"/>
      <c r="L290" s="264" t="s">
        <v>6242</v>
      </c>
      <c r="M290" s="264"/>
      <c r="N290" s="264"/>
      <c r="O290" s="264" t="s">
        <v>5</v>
      </c>
      <c r="P290" s="264"/>
      <c r="Q290" s="264"/>
      <c r="R290" s="264"/>
      <c r="S290" s="264"/>
      <c r="T290" s="264"/>
      <c r="U290" s="264"/>
      <c r="V290" s="264"/>
      <c r="W290" s="264"/>
      <c r="X290" s="264"/>
      <c r="Y290" s="264"/>
      <c r="Z290" s="264"/>
    </row>
    <row r="291">
      <c r="A291" s="264"/>
      <c r="B291" s="264" t="s">
        <v>3352</v>
      </c>
      <c r="C291" s="264">
        <v>14850.0</v>
      </c>
      <c r="D291" s="268">
        <v>19056.0</v>
      </c>
      <c r="E291" s="266">
        <v>44572.0</v>
      </c>
      <c r="F291" s="267">
        <v>0.46875</v>
      </c>
      <c r="G291" s="264" t="s">
        <v>6328</v>
      </c>
      <c r="H291" s="264" t="s">
        <v>14</v>
      </c>
      <c r="I291" s="264" t="s">
        <v>6222</v>
      </c>
      <c r="J291" s="264" t="s">
        <v>6194</v>
      </c>
      <c r="K291" s="264"/>
      <c r="L291" s="264" t="s">
        <v>6242</v>
      </c>
      <c r="M291" s="264" t="s">
        <v>6242</v>
      </c>
      <c r="N291" s="264"/>
      <c r="O291" s="264" t="s">
        <v>6220</v>
      </c>
      <c r="P291" s="264"/>
      <c r="Q291" s="264"/>
      <c r="R291" s="264"/>
      <c r="S291" s="264"/>
      <c r="T291" s="264"/>
      <c r="U291" s="264"/>
      <c r="V291" s="264"/>
      <c r="W291" s="264"/>
      <c r="X291" s="264"/>
      <c r="Y291" s="264"/>
      <c r="Z291" s="264"/>
    </row>
    <row r="292">
      <c r="A292" s="264"/>
      <c r="B292" s="264" t="s">
        <v>4084</v>
      </c>
      <c r="C292" s="264">
        <v>15716.0</v>
      </c>
      <c r="D292" s="268">
        <v>22638.0</v>
      </c>
      <c r="E292" s="266">
        <v>44572.0</v>
      </c>
      <c r="F292" s="267">
        <v>0.5416666666666666</v>
      </c>
      <c r="G292" s="264" t="s">
        <v>6328</v>
      </c>
      <c r="H292" s="264" t="s">
        <v>15</v>
      </c>
      <c r="I292" s="264" t="s">
        <v>6219</v>
      </c>
      <c r="J292" s="264" t="s">
        <v>6199</v>
      </c>
      <c r="K292" s="264"/>
      <c r="L292" s="264" t="s">
        <v>6242</v>
      </c>
      <c r="M292" s="264"/>
      <c r="N292" s="264"/>
      <c r="O292" s="264" t="s">
        <v>5</v>
      </c>
      <c r="P292" s="264"/>
      <c r="Q292" s="264"/>
      <c r="R292" s="264"/>
      <c r="S292" s="264"/>
      <c r="T292" s="264"/>
      <c r="U292" s="264"/>
      <c r="V292" s="264"/>
      <c r="W292" s="264"/>
      <c r="X292" s="264"/>
      <c r="Y292" s="264"/>
      <c r="Z292" s="264"/>
    </row>
    <row r="293">
      <c r="A293" s="264"/>
      <c r="B293" s="264" t="s">
        <v>3209</v>
      </c>
      <c r="C293" s="264">
        <v>14682.0</v>
      </c>
      <c r="D293" s="268">
        <v>33997.0</v>
      </c>
      <c r="E293" s="266">
        <v>44572.0</v>
      </c>
      <c r="F293" s="267">
        <v>0.5416666666666666</v>
      </c>
      <c r="G293" s="264" t="s">
        <v>6323</v>
      </c>
      <c r="H293" s="264" t="s">
        <v>15</v>
      </c>
      <c r="I293" s="264" t="s">
        <v>6222</v>
      </c>
      <c r="J293" s="264" t="s">
        <v>6137</v>
      </c>
      <c r="K293" s="264"/>
      <c r="L293" s="264" t="s">
        <v>6242</v>
      </c>
      <c r="M293" s="264" t="s">
        <v>6242</v>
      </c>
      <c r="N293" s="264"/>
      <c r="O293" s="264" t="s">
        <v>6215</v>
      </c>
      <c r="P293" s="264"/>
      <c r="Q293" s="264"/>
      <c r="R293" s="264"/>
      <c r="S293" s="264"/>
      <c r="T293" s="264"/>
      <c r="U293" s="264"/>
      <c r="V293" s="264"/>
      <c r="W293" s="264"/>
      <c r="X293" s="264"/>
      <c r="Y293" s="264"/>
      <c r="Z293" s="264"/>
    </row>
    <row r="294">
      <c r="A294" s="264"/>
      <c r="B294" s="264" t="s">
        <v>2582</v>
      </c>
      <c r="C294" s="264">
        <v>13885.0</v>
      </c>
      <c r="D294" s="268">
        <v>22542.0</v>
      </c>
      <c r="E294" s="266">
        <v>44572.0</v>
      </c>
      <c r="F294" s="267">
        <v>0.5625</v>
      </c>
      <c r="G294" s="264" t="s">
        <v>6323</v>
      </c>
      <c r="H294" s="264" t="s">
        <v>15</v>
      </c>
      <c r="I294" s="264" t="s">
        <v>6219</v>
      </c>
      <c r="J294" s="264" t="s">
        <v>6089</v>
      </c>
      <c r="K294" s="264"/>
      <c r="L294" s="264" t="s">
        <v>6242</v>
      </c>
      <c r="M294" s="264"/>
      <c r="N294" s="264"/>
      <c r="O294" s="264" t="s">
        <v>5</v>
      </c>
      <c r="P294" s="264"/>
      <c r="Q294" s="264"/>
      <c r="R294" s="264"/>
      <c r="S294" s="264"/>
      <c r="T294" s="264"/>
      <c r="U294" s="264"/>
      <c r="V294" s="264"/>
      <c r="W294" s="264"/>
      <c r="X294" s="264"/>
      <c r="Y294" s="264"/>
      <c r="Z294" s="264"/>
    </row>
    <row r="295">
      <c r="A295" s="264"/>
      <c r="B295" s="264" t="s">
        <v>3980</v>
      </c>
      <c r="C295" s="264">
        <v>15603.0</v>
      </c>
      <c r="D295" s="268">
        <v>21691.0</v>
      </c>
      <c r="E295" s="266">
        <v>44572.0</v>
      </c>
      <c r="F295" s="267">
        <v>0.5520833333333334</v>
      </c>
      <c r="G295" s="264" t="s">
        <v>6323</v>
      </c>
      <c r="H295" s="264" t="s">
        <v>14</v>
      </c>
      <c r="I295" s="264" t="s">
        <v>6222</v>
      </c>
      <c r="J295" s="264" t="s">
        <v>6159</v>
      </c>
      <c r="K295" s="264"/>
      <c r="L295" s="264" t="s">
        <v>6242</v>
      </c>
      <c r="M295" s="264"/>
      <c r="N295" s="264"/>
      <c r="O295" s="264" t="s">
        <v>5</v>
      </c>
      <c r="P295" s="264"/>
      <c r="Q295" s="264"/>
      <c r="R295" s="264"/>
      <c r="S295" s="264"/>
      <c r="T295" s="264"/>
      <c r="U295" s="264"/>
      <c r="V295" s="264"/>
      <c r="W295" s="264"/>
      <c r="X295" s="264"/>
      <c r="Y295" s="264"/>
      <c r="Z295" s="264"/>
    </row>
    <row r="296">
      <c r="A296" s="264"/>
      <c r="B296" s="264" t="s">
        <v>544</v>
      </c>
      <c r="C296" s="264">
        <v>10429.0</v>
      </c>
      <c r="D296" s="268">
        <v>16572.0</v>
      </c>
      <c r="E296" s="266">
        <v>44572.0</v>
      </c>
      <c r="F296" s="267">
        <v>0.5520833333333334</v>
      </c>
      <c r="G296" s="264" t="s">
        <v>6328</v>
      </c>
      <c r="H296" s="264" t="s">
        <v>12</v>
      </c>
      <c r="I296" s="264" t="s">
        <v>6221</v>
      </c>
      <c r="J296" s="264" t="s">
        <v>6196</v>
      </c>
      <c r="K296" s="264"/>
      <c r="L296" s="264" t="s">
        <v>6242</v>
      </c>
      <c r="M296" s="264"/>
      <c r="N296" s="264"/>
      <c r="O296" s="264" t="s">
        <v>6216</v>
      </c>
      <c r="P296" s="264"/>
      <c r="Q296" s="264"/>
      <c r="R296" s="264"/>
      <c r="S296" s="264"/>
      <c r="T296" s="264"/>
      <c r="U296" s="264"/>
      <c r="V296" s="264"/>
      <c r="W296" s="264"/>
      <c r="X296" s="264"/>
      <c r="Y296" s="264"/>
      <c r="Z296" s="264"/>
    </row>
    <row r="297">
      <c r="A297" s="264"/>
      <c r="B297" s="264" t="s">
        <v>2222</v>
      </c>
      <c r="C297" s="264">
        <v>13432.0</v>
      </c>
      <c r="D297" s="268">
        <v>26678.0</v>
      </c>
      <c r="E297" s="266">
        <v>44572.0</v>
      </c>
      <c r="F297" s="267">
        <v>0.5729166666666666</v>
      </c>
      <c r="G297" s="264" t="s">
        <v>6323</v>
      </c>
      <c r="H297" s="264" t="s">
        <v>13</v>
      </c>
      <c r="I297" s="264" t="s">
        <v>6219</v>
      </c>
      <c r="J297" s="264" t="s">
        <v>6146</v>
      </c>
      <c r="K297" s="264"/>
      <c r="L297" s="264" t="s">
        <v>6242</v>
      </c>
      <c r="M297" s="264" t="s">
        <v>6242</v>
      </c>
      <c r="N297" s="264"/>
      <c r="O297" s="264" t="s">
        <v>6215</v>
      </c>
      <c r="P297" s="264"/>
      <c r="Q297" s="264"/>
      <c r="R297" s="264"/>
      <c r="S297" s="264"/>
      <c r="T297" s="264"/>
      <c r="U297" s="264"/>
      <c r="V297" s="264"/>
      <c r="W297" s="264"/>
      <c r="X297" s="264"/>
      <c r="Y297" s="264"/>
      <c r="Z297" s="264"/>
    </row>
    <row r="298">
      <c r="A298" s="264"/>
      <c r="B298" s="264" t="s">
        <v>1266</v>
      </c>
      <c r="C298" s="264">
        <v>12082.0</v>
      </c>
      <c r="D298" s="268">
        <v>22122.0</v>
      </c>
      <c r="E298" s="266">
        <v>44572.0</v>
      </c>
      <c r="F298" s="267">
        <v>0.3333333333333333</v>
      </c>
      <c r="G298" s="264" t="s">
        <v>6323</v>
      </c>
      <c r="H298" s="264" t="s">
        <v>14</v>
      </c>
      <c r="I298" s="264" t="s">
        <v>6222</v>
      </c>
      <c r="J298" s="264" t="s">
        <v>6142</v>
      </c>
      <c r="K298" s="264"/>
      <c r="L298" s="264" t="s">
        <v>6242</v>
      </c>
      <c r="M298" s="264"/>
      <c r="N298" s="264"/>
      <c r="O298" s="264" t="s">
        <v>6216</v>
      </c>
      <c r="P298" s="264"/>
      <c r="Q298" s="264"/>
      <c r="R298" s="264"/>
      <c r="S298" s="264"/>
      <c r="T298" s="264"/>
      <c r="U298" s="264"/>
      <c r="V298" s="264"/>
      <c r="W298" s="264"/>
      <c r="X298" s="264"/>
      <c r="Y298" s="264"/>
      <c r="Z298" s="264"/>
    </row>
    <row r="299">
      <c r="A299" s="264"/>
      <c r="B299" s="264" t="s">
        <v>4998</v>
      </c>
      <c r="C299" s="264">
        <v>16834.0</v>
      </c>
      <c r="D299" s="268">
        <v>19637.0</v>
      </c>
      <c r="E299" s="266">
        <v>44572.0</v>
      </c>
      <c r="F299" s="267">
        <v>0.5833333333333334</v>
      </c>
      <c r="G299" s="264" t="s">
        <v>6328</v>
      </c>
      <c r="H299" s="264" t="s">
        <v>12</v>
      </c>
      <c r="I299" s="264" t="s">
        <v>6221</v>
      </c>
      <c r="J299" s="264" t="s">
        <v>6194</v>
      </c>
      <c r="K299" s="264"/>
      <c r="L299" s="264" t="s">
        <v>6242</v>
      </c>
      <c r="M299" s="264"/>
      <c r="N299" s="264"/>
      <c r="O299" s="264" t="s">
        <v>6216</v>
      </c>
      <c r="P299" s="264"/>
      <c r="Q299" s="264"/>
      <c r="R299" s="264"/>
      <c r="S299" s="264"/>
      <c r="T299" s="264"/>
      <c r="U299" s="264"/>
      <c r="V299" s="264"/>
      <c r="W299" s="264"/>
      <c r="X299" s="264"/>
      <c r="Y299" s="264"/>
      <c r="Z299" s="264"/>
    </row>
    <row r="300">
      <c r="A300" s="264"/>
      <c r="B300" s="264" t="s">
        <v>4489</v>
      </c>
      <c r="C300" s="264">
        <v>16176.0</v>
      </c>
      <c r="D300" s="268">
        <v>24766.0</v>
      </c>
      <c r="E300" s="266">
        <v>44572.0</v>
      </c>
      <c r="F300" s="267">
        <v>0.6041666666666666</v>
      </c>
      <c r="G300" s="264" t="s">
        <v>6323</v>
      </c>
      <c r="H300" s="264" t="s">
        <v>13</v>
      </c>
      <c r="I300" s="264" t="s">
        <v>6219</v>
      </c>
      <c r="J300" s="264" t="s">
        <v>6091</v>
      </c>
      <c r="K300" s="264"/>
      <c r="L300" s="264" t="s">
        <v>6242</v>
      </c>
      <c r="M300" s="264" t="s">
        <v>6242</v>
      </c>
      <c r="N300" s="264"/>
      <c r="O300" s="264" t="s">
        <v>6215</v>
      </c>
      <c r="P300" s="264"/>
      <c r="Q300" s="264"/>
      <c r="R300" s="264"/>
      <c r="S300" s="264"/>
      <c r="T300" s="264"/>
      <c r="U300" s="264"/>
      <c r="V300" s="264"/>
      <c r="W300" s="264"/>
      <c r="X300" s="264"/>
      <c r="Y300" s="264"/>
      <c r="Z300" s="264"/>
    </row>
    <row r="301">
      <c r="A301" s="264"/>
      <c r="B301" s="264" t="s">
        <v>3039</v>
      </c>
      <c r="C301" s="264">
        <v>14483.0</v>
      </c>
      <c r="D301" s="268">
        <v>22579.0</v>
      </c>
      <c r="E301" s="266">
        <v>44572.0</v>
      </c>
      <c r="F301" s="267">
        <v>0.6354166666666666</v>
      </c>
      <c r="G301" s="264" t="s">
        <v>6328</v>
      </c>
      <c r="H301" s="264" t="s">
        <v>6342</v>
      </c>
      <c r="I301" s="264" t="s">
        <v>6219</v>
      </c>
      <c r="J301" s="264" t="s">
        <v>6196</v>
      </c>
      <c r="K301" s="264"/>
      <c r="L301" s="264" t="s">
        <v>6242</v>
      </c>
      <c r="M301" s="264"/>
      <c r="N301" s="264"/>
      <c r="O301" s="264" t="s">
        <v>6216</v>
      </c>
      <c r="P301" s="264"/>
      <c r="Q301" s="264"/>
      <c r="R301" s="264"/>
      <c r="S301" s="264"/>
      <c r="T301" s="264"/>
      <c r="U301" s="264"/>
      <c r="V301" s="264"/>
      <c r="W301" s="264"/>
      <c r="X301" s="264"/>
      <c r="Y301" s="264"/>
      <c r="Z301" s="264"/>
    </row>
    <row r="302">
      <c r="A302" s="264"/>
      <c r="B302" s="264" t="s">
        <v>876</v>
      </c>
      <c r="C302" s="264">
        <v>11242.0</v>
      </c>
      <c r="D302" s="268">
        <v>24788.0</v>
      </c>
      <c r="E302" s="266">
        <v>44572.0</v>
      </c>
      <c r="F302" s="267">
        <v>0.59375</v>
      </c>
      <c r="G302" s="264" t="s">
        <v>6323</v>
      </c>
      <c r="H302" s="264" t="s">
        <v>12</v>
      </c>
      <c r="I302" s="264" t="s">
        <v>6221</v>
      </c>
      <c r="J302" s="264" t="s">
        <v>6137</v>
      </c>
      <c r="K302" s="264"/>
      <c r="L302" s="264" t="s">
        <v>6242</v>
      </c>
      <c r="M302" s="264"/>
      <c r="N302" s="264" t="s">
        <v>6343</v>
      </c>
      <c r="O302" s="264" t="s">
        <v>6224</v>
      </c>
      <c r="P302" s="264"/>
      <c r="Q302" s="264"/>
      <c r="R302" s="264"/>
      <c r="S302" s="264"/>
      <c r="T302" s="264"/>
      <c r="U302" s="264"/>
      <c r="V302" s="264"/>
      <c r="W302" s="264"/>
      <c r="X302" s="264"/>
      <c r="Y302" s="264"/>
      <c r="Z302" s="264"/>
    </row>
    <row r="303">
      <c r="A303" s="264"/>
      <c r="B303" s="264" t="s">
        <v>873</v>
      </c>
      <c r="C303" s="264">
        <v>11234.0</v>
      </c>
      <c r="D303" s="268">
        <v>26498.0</v>
      </c>
      <c r="E303" s="266">
        <v>44572.0</v>
      </c>
      <c r="F303" s="267">
        <v>0.625</v>
      </c>
      <c r="G303" s="264" t="s">
        <v>6323</v>
      </c>
      <c r="H303" s="264" t="s">
        <v>14</v>
      </c>
      <c r="I303" s="264" t="s">
        <v>6219</v>
      </c>
      <c r="J303" s="264" t="s">
        <v>6137</v>
      </c>
      <c r="K303" s="264"/>
      <c r="L303" s="264" t="s">
        <v>6242</v>
      </c>
      <c r="M303" s="264"/>
      <c r="N303" s="264" t="s">
        <v>6343</v>
      </c>
      <c r="O303" s="264" t="s">
        <v>6224</v>
      </c>
      <c r="P303" s="264"/>
      <c r="Q303" s="264"/>
      <c r="R303" s="264"/>
      <c r="S303" s="264"/>
      <c r="T303" s="264"/>
      <c r="U303" s="264"/>
      <c r="V303" s="264"/>
      <c r="W303" s="264"/>
      <c r="X303" s="264"/>
      <c r="Y303" s="264"/>
      <c r="Z303" s="264"/>
    </row>
    <row r="304">
      <c r="A304" s="264"/>
      <c r="B304" s="264" t="s">
        <v>3102</v>
      </c>
      <c r="C304" s="264">
        <v>14554.0</v>
      </c>
      <c r="D304" s="268">
        <v>22158.0</v>
      </c>
      <c r="E304" s="266">
        <v>44572.0</v>
      </c>
      <c r="F304" s="267">
        <v>0.6354166666666666</v>
      </c>
      <c r="G304" s="264" t="s">
        <v>6323</v>
      </c>
      <c r="H304" s="264" t="s">
        <v>13</v>
      </c>
      <c r="I304" s="264" t="s">
        <v>6222</v>
      </c>
      <c r="J304" s="264" t="s">
        <v>6195</v>
      </c>
      <c r="K304" s="264"/>
      <c r="L304" s="264" t="s">
        <v>6242</v>
      </c>
      <c r="M304" s="264"/>
      <c r="N304" s="264"/>
      <c r="O304" s="264" t="s">
        <v>6216</v>
      </c>
      <c r="P304" s="264"/>
      <c r="Q304" s="264"/>
      <c r="R304" s="264"/>
      <c r="S304" s="264"/>
      <c r="T304" s="264"/>
      <c r="U304" s="264"/>
      <c r="V304" s="264"/>
      <c r="W304" s="264"/>
      <c r="X304" s="264"/>
      <c r="Y304" s="264"/>
      <c r="Z304" s="264"/>
    </row>
    <row r="305">
      <c r="A305" s="264"/>
      <c r="B305" s="264" t="s">
        <v>2569</v>
      </c>
      <c r="C305" s="264">
        <v>13869.0</v>
      </c>
      <c r="D305" s="268">
        <v>25705.0</v>
      </c>
      <c r="E305" s="266">
        <v>44572.0</v>
      </c>
      <c r="F305" s="267">
        <v>0.6458333333333334</v>
      </c>
      <c r="G305" s="264" t="s">
        <v>6323</v>
      </c>
      <c r="H305" s="264" t="s">
        <v>13</v>
      </c>
      <c r="I305" s="264" t="s">
        <v>6221</v>
      </c>
      <c r="J305" s="264" t="s">
        <v>6195</v>
      </c>
      <c r="K305" s="264"/>
      <c r="L305" s="264" t="s">
        <v>6242</v>
      </c>
      <c r="M305" s="264"/>
      <c r="N305" s="264"/>
      <c r="O305" s="264" t="s">
        <v>6216</v>
      </c>
      <c r="P305" s="264"/>
      <c r="Q305" s="264"/>
      <c r="R305" s="264"/>
      <c r="S305" s="264"/>
      <c r="T305" s="264"/>
      <c r="U305" s="264"/>
      <c r="V305" s="264"/>
      <c r="W305" s="264"/>
      <c r="X305" s="264"/>
      <c r="Y305" s="264"/>
      <c r="Z305" s="264"/>
    </row>
    <row r="306">
      <c r="A306" s="264"/>
      <c r="B306" s="264" t="s">
        <v>4973</v>
      </c>
      <c r="C306" s="264">
        <v>16803.0</v>
      </c>
      <c r="D306" s="268">
        <v>13461.0</v>
      </c>
      <c r="E306" s="266">
        <v>44572.0</v>
      </c>
      <c r="F306" s="267" t="e">
        <v>#N/A</v>
      </c>
      <c r="G306" s="264" t="s">
        <v>6323</v>
      </c>
      <c r="H306" s="264" t="s">
        <v>14</v>
      </c>
      <c r="I306" s="264" t="e">
        <v>#N/A</v>
      </c>
      <c r="J306" s="264" t="e">
        <v>#N/A</v>
      </c>
      <c r="K306" s="264"/>
      <c r="L306" s="264" t="s">
        <v>6242</v>
      </c>
      <c r="M306" s="264"/>
      <c r="N306" s="264"/>
      <c r="O306" s="264" t="e">
        <v>#N/A</v>
      </c>
      <c r="P306" s="264"/>
      <c r="Q306" s="264"/>
      <c r="R306" s="264"/>
      <c r="S306" s="264"/>
      <c r="T306" s="264"/>
      <c r="U306" s="264"/>
      <c r="V306" s="264"/>
      <c r="W306" s="264"/>
      <c r="X306" s="264"/>
      <c r="Y306" s="264"/>
      <c r="Z306" s="264"/>
    </row>
    <row r="307">
      <c r="A307" s="264"/>
      <c r="B307" s="264" t="s">
        <v>2510</v>
      </c>
      <c r="C307" s="264">
        <v>13786.0</v>
      </c>
      <c r="D307" s="268">
        <v>17563.0</v>
      </c>
      <c r="E307" s="266">
        <v>44572.0</v>
      </c>
      <c r="F307" s="267">
        <v>0.6354166666666666</v>
      </c>
      <c r="G307" s="264" t="s">
        <v>6323</v>
      </c>
      <c r="H307" s="264" t="s">
        <v>13</v>
      </c>
      <c r="I307" s="264" t="s">
        <v>6219</v>
      </c>
      <c r="J307" s="264" t="s">
        <v>6193</v>
      </c>
      <c r="K307" s="264"/>
      <c r="L307" s="264" t="s">
        <v>6242</v>
      </c>
      <c r="M307" s="264"/>
      <c r="N307" s="264"/>
      <c r="O307" s="264" t="s">
        <v>6216</v>
      </c>
      <c r="P307" s="264"/>
      <c r="Q307" s="264"/>
      <c r="R307" s="264"/>
      <c r="S307" s="264"/>
      <c r="T307" s="264"/>
      <c r="U307" s="264"/>
      <c r="V307" s="264"/>
      <c r="W307" s="264"/>
      <c r="X307" s="264"/>
      <c r="Y307" s="264"/>
      <c r="Z307" s="264"/>
    </row>
    <row r="308">
      <c r="A308" s="264"/>
      <c r="B308" s="264" t="s">
        <v>4135</v>
      </c>
      <c r="C308" s="264">
        <v>15771.0</v>
      </c>
      <c r="D308" s="268">
        <v>19858.0</v>
      </c>
      <c r="E308" s="266">
        <v>44572.0</v>
      </c>
      <c r="F308" s="267">
        <v>0.6458333333333334</v>
      </c>
      <c r="G308" s="264" t="s">
        <v>6328</v>
      </c>
      <c r="H308" s="264" t="s">
        <v>14</v>
      </c>
      <c r="I308" s="264" t="s">
        <v>6222</v>
      </c>
      <c r="J308" s="264" t="s">
        <v>6084</v>
      </c>
      <c r="K308" s="264"/>
      <c r="L308" s="264" t="s">
        <v>6242</v>
      </c>
      <c r="M308" s="264" t="s">
        <v>6242</v>
      </c>
      <c r="N308" s="264"/>
      <c r="O308" s="264" t="s">
        <v>6215</v>
      </c>
      <c r="P308" s="264"/>
      <c r="Q308" s="264"/>
      <c r="R308" s="264"/>
      <c r="S308" s="264"/>
      <c r="T308" s="264"/>
      <c r="U308" s="264"/>
      <c r="V308" s="264"/>
      <c r="W308" s="264"/>
      <c r="X308" s="264"/>
      <c r="Y308" s="264"/>
      <c r="Z308" s="264"/>
    </row>
    <row r="309">
      <c r="A309" s="264"/>
      <c r="B309" s="264" t="s">
        <v>1481</v>
      </c>
      <c r="C309" s="264">
        <v>12469.0</v>
      </c>
      <c r="D309" s="268">
        <v>16911.0</v>
      </c>
      <c r="E309" s="266">
        <v>44572.0</v>
      </c>
      <c r="F309" s="267">
        <v>0.6458333333333334</v>
      </c>
      <c r="G309" s="264" t="s">
        <v>6323</v>
      </c>
      <c r="H309" s="264" t="s">
        <v>14</v>
      </c>
      <c r="I309" s="264" t="s">
        <v>6219</v>
      </c>
      <c r="J309" s="264" t="s">
        <v>6186</v>
      </c>
      <c r="K309" s="264"/>
      <c r="L309" s="264" t="s">
        <v>6242</v>
      </c>
      <c r="M309" s="264"/>
      <c r="N309" s="264"/>
      <c r="O309" s="264" t="s">
        <v>5</v>
      </c>
      <c r="P309" s="264"/>
      <c r="Q309" s="264"/>
      <c r="R309" s="264"/>
      <c r="S309" s="264"/>
      <c r="T309" s="264"/>
      <c r="U309" s="264"/>
      <c r="V309" s="264"/>
      <c r="W309" s="264"/>
      <c r="X309" s="264"/>
      <c r="Y309" s="264"/>
      <c r="Z309" s="264"/>
    </row>
    <row r="310">
      <c r="A310" s="264"/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264"/>
      <c r="V310" s="264"/>
      <c r="W310" s="264"/>
      <c r="X310" s="264"/>
      <c r="Y310" s="264"/>
      <c r="Z310" s="264"/>
    </row>
    <row r="311">
      <c r="A311" s="264"/>
      <c r="B311" s="264" t="s">
        <v>3940</v>
      </c>
      <c r="C311" s="264">
        <v>15555.0</v>
      </c>
      <c r="D311" s="268">
        <v>20542.0</v>
      </c>
      <c r="E311" s="266">
        <v>44573.0</v>
      </c>
      <c r="F311" s="267">
        <v>0.3125</v>
      </c>
      <c r="G311" s="264" t="s">
        <v>6323</v>
      </c>
      <c r="H311" s="264" t="s">
        <v>12</v>
      </c>
      <c r="I311" s="264" t="s">
        <v>6221</v>
      </c>
      <c r="J311" s="264" t="s">
        <v>6137</v>
      </c>
      <c r="K311" s="264"/>
      <c r="L311" s="264" t="s">
        <v>6242</v>
      </c>
      <c r="M311" s="264"/>
      <c r="N311" s="264"/>
      <c r="O311" s="264" t="s">
        <v>5</v>
      </c>
      <c r="P311" s="264"/>
      <c r="Q311" s="264"/>
      <c r="R311" s="264"/>
      <c r="S311" s="264"/>
      <c r="T311" s="264"/>
      <c r="U311" s="264"/>
      <c r="V311" s="264"/>
      <c r="W311" s="264"/>
      <c r="X311" s="264"/>
      <c r="Y311" s="264"/>
      <c r="Z311" s="264"/>
    </row>
    <row r="312">
      <c r="A312" s="264"/>
      <c r="B312" s="264" t="s">
        <v>987</v>
      </c>
      <c r="C312" s="264">
        <v>11511.0</v>
      </c>
      <c r="D312" s="268">
        <v>29821.0</v>
      </c>
      <c r="E312" s="266">
        <v>44573.0</v>
      </c>
      <c r="F312" s="267">
        <v>0.3541666666666667</v>
      </c>
      <c r="G312" s="264" t="s">
        <v>6328</v>
      </c>
      <c r="H312" s="264" t="s">
        <v>14</v>
      </c>
      <c r="I312" s="264" t="s">
        <v>6222</v>
      </c>
      <c r="J312" s="264" t="s">
        <v>6082</v>
      </c>
      <c r="K312" s="264"/>
      <c r="L312" s="264" t="s">
        <v>6242</v>
      </c>
      <c r="M312" s="264"/>
      <c r="N312" s="264"/>
      <c r="O312" s="264" t="s">
        <v>5</v>
      </c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</row>
    <row r="313">
      <c r="A313" s="264"/>
      <c r="B313" s="264" t="s">
        <v>5295</v>
      </c>
      <c r="C313" s="264">
        <v>17211.0</v>
      </c>
      <c r="D313" s="268">
        <v>16418.0</v>
      </c>
      <c r="E313" s="266">
        <v>44573.0</v>
      </c>
      <c r="F313" s="267">
        <v>0.3541666666666667</v>
      </c>
      <c r="G313" s="264" t="s">
        <v>6323</v>
      </c>
      <c r="H313" s="264" t="s">
        <v>14</v>
      </c>
      <c r="I313" s="264" t="s">
        <v>6222</v>
      </c>
      <c r="J313" s="264" t="s">
        <v>6192</v>
      </c>
      <c r="K313" s="264"/>
      <c r="L313" s="264" t="s">
        <v>6242</v>
      </c>
      <c r="M313" s="264"/>
      <c r="N313" s="264"/>
      <c r="O313" s="264" t="s">
        <v>6216</v>
      </c>
      <c r="P313" s="264"/>
      <c r="Q313" s="264"/>
      <c r="R313" s="264"/>
      <c r="S313" s="264"/>
      <c r="T313" s="264"/>
      <c r="U313" s="264"/>
      <c r="V313" s="264"/>
      <c r="W313" s="264"/>
      <c r="X313" s="264"/>
      <c r="Y313" s="264"/>
      <c r="Z313" s="264"/>
    </row>
    <row r="314">
      <c r="A314" s="264"/>
      <c r="B314" s="264" t="s">
        <v>3395</v>
      </c>
      <c r="C314" s="264">
        <v>14901.0</v>
      </c>
      <c r="D314" s="268">
        <v>21206.0</v>
      </c>
      <c r="E314" s="266">
        <v>44573.0</v>
      </c>
      <c r="F314" s="267">
        <v>0.3541666666666667</v>
      </c>
      <c r="G314" s="264" t="s">
        <v>6323</v>
      </c>
      <c r="H314" s="264" t="s">
        <v>15</v>
      </c>
      <c r="I314" s="264" t="s">
        <v>6219</v>
      </c>
      <c r="J314" s="264" t="s">
        <v>6124</v>
      </c>
      <c r="K314" s="264"/>
      <c r="L314" s="264" t="s">
        <v>6242</v>
      </c>
      <c r="M314" s="264"/>
      <c r="N314" s="264"/>
      <c r="O314" s="264" t="s">
        <v>5</v>
      </c>
      <c r="P314" s="264"/>
      <c r="Q314" s="264"/>
      <c r="R314" s="264"/>
      <c r="S314" s="264"/>
      <c r="T314" s="264"/>
      <c r="U314" s="264"/>
      <c r="V314" s="264"/>
      <c r="W314" s="264"/>
      <c r="X314" s="264"/>
      <c r="Y314" s="264"/>
      <c r="Z314" s="264"/>
    </row>
    <row r="315">
      <c r="A315" s="264"/>
      <c r="B315" s="264" t="s">
        <v>5547</v>
      </c>
      <c r="C315" s="264">
        <v>17542.0</v>
      </c>
      <c r="D315" s="268">
        <v>20417.0</v>
      </c>
      <c r="E315" s="266">
        <v>44573.0</v>
      </c>
      <c r="F315" s="267">
        <v>0.3541666666666667</v>
      </c>
      <c r="G315" s="264" t="s">
        <v>6323</v>
      </c>
      <c r="H315" s="264" t="s">
        <v>15</v>
      </c>
      <c r="I315" s="264" t="s">
        <v>6219</v>
      </c>
      <c r="J315" s="264" t="s">
        <v>6117</v>
      </c>
      <c r="K315" s="264"/>
      <c r="L315" s="264" t="s">
        <v>6242</v>
      </c>
      <c r="M315" s="264" t="s">
        <v>6242</v>
      </c>
      <c r="N315" s="264"/>
      <c r="O315" s="264" t="s">
        <v>6215</v>
      </c>
      <c r="P315" s="264"/>
      <c r="Q315" s="264"/>
      <c r="R315" s="264"/>
      <c r="S315" s="264"/>
      <c r="T315" s="264"/>
      <c r="U315" s="264"/>
      <c r="V315" s="264"/>
      <c r="W315" s="264"/>
      <c r="X315" s="264"/>
      <c r="Y315" s="264"/>
      <c r="Z315" s="264"/>
    </row>
    <row r="316">
      <c r="A316" s="264"/>
      <c r="B316" s="264" t="s">
        <v>2820</v>
      </c>
      <c r="C316" s="264">
        <v>14200.0</v>
      </c>
      <c r="D316" s="268">
        <v>25722.0</v>
      </c>
      <c r="E316" s="266">
        <v>44573.0</v>
      </c>
      <c r="F316" s="267">
        <v>0.34375</v>
      </c>
      <c r="G316" s="264" t="s">
        <v>6323</v>
      </c>
      <c r="H316" s="264" t="s">
        <v>15</v>
      </c>
      <c r="I316" s="264" t="s">
        <v>6219</v>
      </c>
      <c r="J316" s="264" t="s">
        <v>6117</v>
      </c>
      <c r="K316" s="264"/>
      <c r="L316" s="264" t="s">
        <v>6242</v>
      </c>
      <c r="M316" s="264"/>
      <c r="N316" s="264"/>
      <c r="O316" s="264" t="s">
        <v>5</v>
      </c>
      <c r="P316" s="264"/>
      <c r="Q316" s="264"/>
      <c r="R316" s="264"/>
      <c r="S316" s="264"/>
      <c r="T316" s="264"/>
      <c r="U316" s="264"/>
      <c r="V316" s="264"/>
      <c r="W316" s="264"/>
      <c r="X316" s="264"/>
      <c r="Y316" s="264"/>
      <c r="Z316" s="264"/>
    </row>
    <row r="317">
      <c r="A317" s="264"/>
      <c r="B317" s="264" t="s">
        <v>4151</v>
      </c>
      <c r="C317" s="264">
        <v>15791.0</v>
      </c>
      <c r="D317" s="268">
        <v>21098.0</v>
      </c>
      <c r="E317" s="266">
        <v>44573.0</v>
      </c>
      <c r="F317" s="267">
        <v>0.3958333333333333</v>
      </c>
      <c r="G317" s="264" t="s">
        <v>6323</v>
      </c>
      <c r="H317" s="264" t="s">
        <v>14</v>
      </c>
      <c r="I317" s="264" t="s">
        <v>6222</v>
      </c>
      <c r="J317" s="264" t="s">
        <v>6091</v>
      </c>
      <c r="K317" s="264"/>
      <c r="L317" s="264" t="s">
        <v>6242</v>
      </c>
      <c r="M317" s="264"/>
      <c r="N317" s="264"/>
      <c r="O317" s="264" t="s">
        <v>5</v>
      </c>
      <c r="P317" s="264"/>
      <c r="Q317" s="264"/>
      <c r="R317" s="264"/>
      <c r="S317" s="264"/>
      <c r="T317" s="264"/>
      <c r="U317" s="264"/>
      <c r="V317" s="264"/>
      <c r="W317" s="264"/>
      <c r="X317" s="264"/>
      <c r="Y317" s="264"/>
      <c r="Z317" s="264"/>
    </row>
    <row r="318">
      <c r="A318" s="264"/>
      <c r="B318" s="264" t="s">
        <v>5979</v>
      </c>
      <c r="C318" s="264">
        <v>17832.0</v>
      </c>
      <c r="D318" s="268">
        <v>16496.0</v>
      </c>
      <c r="E318" s="266">
        <v>44573.0</v>
      </c>
      <c r="F318" s="267">
        <v>0.3645833333333333</v>
      </c>
      <c r="G318" s="264" t="s">
        <v>6328</v>
      </c>
      <c r="H318" s="264" t="s">
        <v>13</v>
      </c>
      <c r="I318" s="264" t="s">
        <v>6221</v>
      </c>
      <c r="J318" s="264" t="s">
        <v>6196</v>
      </c>
      <c r="K318" s="264" t="s">
        <v>6242</v>
      </c>
      <c r="L318" s="264"/>
      <c r="M318" s="264"/>
      <c r="N318" s="264"/>
      <c r="O318" s="264" t="s">
        <v>6214</v>
      </c>
      <c r="P318" s="264"/>
      <c r="Q318" s="264"/>
      <c r="R318" s="264"/>
      <c r="S318" s="264"/>
      <c r="T318" s="264"/>
      <c r="U318" s="264"/>
      <c r="V318" s="264"/>
      <c r="W318" s="264"/>
      <c r="X318" s="264"/>
      <c r="Y318" s="264"/>
      <c r="Z318" s="264"/>
    </row>
    <row r="319">
      <c r="A319" s="264"/>
      <c r="B319" s="264" t="s">
        <v>5974</v>
      </c>
      <c r="C319" s="264">
        <v>17846.0</v>
      </c>
      <c r="D319" s="268">
        <v>19720.0</v>
      </c>
      <c r="E319" s="266">
        <v>44573.0</v>
      </c>
      <c r="F319" s="267">
        <v>0.3958333333333333</v>
      </c>
      <c r="G319" s="264" t="s">
        <v>6323</v>
      </c>
      <c r="H319" s="264" t="s">
        <v>12</v>
      </c>
      <c r="I319" s="264" t="s">
        <v>6221</v>
      </c>
      <c r="J319" s="264" t="s">
        <v>6189</v>
      </c>
      <c r="K319" s="264" t="s">
        <v>6242</v>
      </c>
      <c r="L319" s="264"/>
      <c r="M319" s="264"/>
      <c r="N319" s="264"/>
      <c r="O319" s="264" t="s">
        <v>6214</v>
      </c>
      <c r="P319" s="264"/>
      <c r="Q319" s="264"/>
      <c r="R319" s="264"/>
      <c r="S319" s="264"/>
      <c r="T319" s="264"/>
      <c r="U319" s="264"/>
      <c r="V319" s="264"/>
      <c r="W319" s="264"/>
      <c r="X319" s="264"/>
      <c r="Y319" s="264"/>
      <c r="Z319" s="264"/>
    </row>
    <row r="320">
      <c r="A320" s="264"/>
      <c r="B320" s="264" t="s">
        <v>279</v>
      </c>
      <c r="C320" s="264">
        <v>9752.0</v>
      </c>
      <c r="D320" s="268">
        <v>17975.0</v>
      </c>
      <c r="E320" s="266">
        <v>44573.0</v>
      </c>
      <c r="F320" s="267">
        <v>0.40625</v>
      </c>
      <c r="G320" s="264" t="s">
        <v>6328</v>
      </c>
      <c r="H320" s="264" t="s">
        <v>14</v>
      </c>
      <c r="I320" s="264" t="s">
        <v>6222</v>
      </c>
      <c r="J320" s="264" t="s">
        <v>6189</v>
      </c>
      <c r="K320" s="264"/>
      <c r="L320" s="264" t="s">
        <v>6242</v>
      </c>
      <c r="M320" s="264" t="s">
        <v>6242</v>
      </c>
      <c r="N320" s="264"/>
      <c r="O320" s="264" t="s">
        <v>6220</v>
      </c>
      <c r="P320" s="264"/>
      <c r="Q320" s="264"/>
      <c r="R320" s="264"/>
      <c r="S320" s="264"/>
      <c r="T320" s="264"/>
      <c r="U320" s="264"/>
      <c r="V320" s="264"/>
      <c r="W320" s="264"/>
      <c r="X320" s="264"/>
      <c r="Y320" s="264"/>
      <c r="Z320" s="264"/>
    </row>
    <row r="321">
      <c r="A321" s="264"/>
      <c r="B321" s="264" t="s">
        <v>5973</v>
      </c>
      <c r="C321" s="264">
        <v>17834.0</v>
      </c>
      <c r="D321" s="268">
        <v>10266.0</v>
      </c>
      <c r="E321" s="266">
        <v>44573.0</v>
      </c>
      <c r="F321" s="267">
        <v>0.3958333333333333</v>
      </c>
      <c r="G321" s="264" t="s">
        <v>6328</v>
      </c>
      <c r="H321" s="264" t="s">
        <v>12</v>
      </c>
      <c r="I321" s="264" t="s">
        <v>6221</v>
      </c>
      <c r="J321" s="264" t="s">
        <v>6137</v>
      </c>
      <c r="K321" s="264" t="s">
        <v>6242</v>
      </c>
      <c r="L321" s="264"/>
      <c r="M321" s="264"/>
      <c r="N321" s="264"/>
      <c r="O321" s="264" t="s">
        <v>6213</v>
      </c>
      <c r="P321" s="264"/>
      <c r="Q321" s="264"/>
      <c r="R321" s="264"/>
      <c r="S321" s="264"/>
      <c r="T321" s="264"/>
      <c r="U321" s="264"/>
      <c r="V321" s="264"/>
      <c r="W321" s="264"/>
      <c r="X321" s="264"/>
      <c r="Y321" s="264"/>
      <c r="Z321" s="264"/>
    </row>
    <row r="322">
      <c r="A322" s="264"/>
      <c r="B322" s="264" t="s">
        <v>778</v>
      </c>
      <c r="C322" s="264">
        <v>11036.0</v>
      </c>
      <c r="D322" s="268">
        <v>18515.0</v>
      </c>
      <c r="E322" s="266">
        <v>44573.0</v>
      </c>
      <c r="F322" s="267">
        <v>0.4166666666666667</v>
      </c>
      <c r="G322" s="264" t="s">
        <v>6328</v>
      </c>
      <c r="H322" s="264" t="s">
        <v>14</v>
      </c>
      <c r="I322" s="264" t="s">
        <v>6222</v>
      </c>
      <c r="J322" s="264" t="s">
        <v>6084</v>
      </c>
      <c r="K322" s="264"/>
      <c r="L322" s="264" t="s">
        <v>6242</v>
      </c>
      <c r="M322" s="264"/>
      <c r="N322" s="264"/>
      <c r="O322" s="264" t="s">
        <v>5</v>
      </c>
      <c r="P322" s="264"/>
      <c r="Q322" s="264"/>
      <c r="R322" s="264"/>
      <c r="S322" s="264"/>
      <c r="T322" s="264"/>
      <c r="U322" s="264"/>
      <c r="V322" s="264"/>
      <c r="W322" s="264"/>
      <c r="X322" s="264"/>
      <c r="Y322" s="264"/>
      <c r="Z322" s="264"/>
    </row>
    <row r="323">
      <c r="A323" s="264"/>
      <c r="B323" s="264" t="s">
        <v>1329</v>
      </c>
      <c r="C323" s="264">
        <v>12220.0</v>
      </c>
      <c r="D323" s="268">
        <v>14923.0</v>
      </c>
      <c r="E323" s="266">
        <v>44573.0</v>
      </c>
      <c r="F323" s="267">
        <v>0.3958333333333333</v>
      </c>
      <c r="G323" s="264" t="s">
        <v>6328</v>
      </c>
      <c r="H323" s="264" t="s">
        <v>15</v>
      </c>
      <c r="I323" s="264" t="s">
        <v>6219</v>
      </c>
      <c r="J323" s="264" t="s">
        <v>6095</v>
      </c>
      <c r="K323" s="264"/>
      <c r="L323" s="264" t="s">
        <v>6242</v>
      </c>
      <c r="M323" s="264"/>
      <c r="N323" s="264"/>
      <c r="O323" s="264" t="s">
        <v>5</v>
      </c>
      <c r="P323" s="264"/>
      <c r="Q323" s="264"/>
      <c r="R323" s="264"/>
      <c r="S323" s="264"/>
      <c r="T323" s="264"/>
      <c r="U323" s="264"/>
      <c r="V323" s="264"/>
      <c r="W323" s="264"/>
      <c r="X323" s="264"/>
      <c r="Y323" s="264"/>
      <c r="Z323" s="264"/>
    </row>
    <row r="324">
      <c r="A324" s="264"/>
      <c r="B324" s="264" t="s">
        <v>900</v>
      </c>
      <c r="C324" s="264">
        <v>11303.0</v>
      </c>
      <c r="D324" s="268">
        <v>17223.0</v>
      </c>
      <c r="E324" s="266">
        <v>44573.0</v>
      </c>
      <c r="F324" s="267">
        <v>0.4166666666666667</v>
      </c>
      <c r="G324" s="264" t="s">
        <v>6328</v>
      </c>
      <c r="H324" s="264" t="s">
        <v>14</v>
      </c>
      <c r="I324" s="264" t="s">
        <v>6222</v>
      </c>
      <c r="J324" s="264" t="s">
        <v>6199</v>
      </c>
      <c r="K324" s="264"/>
      <c r="L324" s="264" t="s">
        <v>6242</v>
      </c>
      <c r="M324" s="264" t="s">
        <v>6242</v>
      </c>
      <c r="N324" s="264"/>
      <c r="O324" s="264" t="s">
        <v>6215</v>
      </c>
      <c r="P324" s="264"/>
      <c r="Q324" s="264"/>
      <c r="R324" s="264"/>
      <c r="S324" s="264"/>
      <c r="T324" s="264"/>
      <c r="U324" s="264"/>
      <c r="V324" s="264"/>
      <c r="W324" s="264"/>
      <c r="X324" s="264"/>
      <c r="Y324" s="264"/>
      <c r="Z324" s="264"/>
    </row>
    <row r="325">
      <c r="A325" s="264"/>
      <c r="B325" s="264" t="s">
        <v>1028</v>
      </c>
      <c r="C325" s="264">
        <v>11619.0</v>
      </c>
      <c r="D325" s="268">
        <v>29756.0</v>
      </c>
      <c r="E325" s="266">
        <v>44573.0</v>
      </c>
      <c r="F325" s="267">
        <v>0.4270833333333333</v>
      </c>
      <c r="G325" s="264" t="s">
        <v>6328</v>
      </c>
      <c r="H325" s="264" t="s">
        <v>15</v>
      </c>
      <c r="I325" s="264" t="s">
        <v>6219</v>
      </c>
      <c r="J325" s="264" t="s">
        <v>6084</v>
      </c>
      <c r="K325" s="264"/>
      <c r="L325" s="264" t="s">
        <v>6242</v>
      </c>
      <c r="M325" s="264"/>
      <c r="N325" s="264"/>
      <c r="O325" s="264" t="s">
        <v>5</v>
      </c>
      <c r="P325" s="264"/>
      <c r="Q325" s="264"/>
      <c r="R325" s="264"/>
      <c r="S325" s="264"/>
      <c r="T325" s="264"/>
      <c r="U325" s="264"/>
      <c r="V325" s="264"/>
      <c r="W325" s="264"/>
      <c r="X325" s="264"/>
      <c r="Y325" s="264"/>
      <c r="Z325" s="264"/>
    </row>
    <row r="326">
      <c r="A326" s="264"/>
      <c r="B326" s="264" t="s">
        <v>2711</v>
      </c>
      <c r="C326" s="264">
        <v>14063.0</v>
      </c>
      <c r="D326" s="268">
        <v>22822.0</v>
      </c>
      <c r="E326" s="266">
        <v>44573.0</v>
      </c>
      <c r="F326" s="267">
        <v>0.3958333333333333</v>
      </c>
      <c r="G326" s="264" t="s">
        <v>6328</v>
      </c>
      <c r="H326" s="264" t="s">
        <v>15</v>
      </c>
      <c r="I326" s="264" t="s">
        <v>6219</v>
      </c>
      <c r="J326" s="264" t="s">
        <v>6199</v>
      </c>
      <c r="K326" s="264"/>
      <c r="L326" s="264" t="s">
        <v>6242</v>
      </c>
      <c r="M326" s="264"/>
      <c r="N326" s="264"/>
      <c r="O326" s="264" t="s">
        <v>5</v>
      </c>
      <c r="P326" s="264"/>
      <c r="Q326" s="264"/>
      <c r="R326" s="264"/>
      <c r="S326" s="264"/>
      <c r="T326" s="264"/>
      <c r="U326" s="264"/>
      <c r="V326" s="264"/>
      <c r="W326" s="264"/>
      <c r="X326" s="264"/>
      <c r="Y326" s="264"/>
      <c r="Z326" s="264"/>
    </row>
    <row r="327">
      <c r="A327" s="264"/>
      <c r="B327" s="264" t="s">
        <v>2097</v>
      </c>
      <c r="C327" s="264">
        <v>13260.0</v>
      </c>
      <c r="D327" s="268">
        <v>22127.0</v>
      </c>
      <c r="E327" s="266">
        <v>44573.0</v>
      </c>
      <c r="F327" s="267">
        <v>0.4375</v>
      </c>
      <c r="G327" s="264" t="s">
        <v>6323</v>
      </c>
      <c r="H327" s="264" t="s">
        <v>15</v>
      </c>
      <c r="I327" s="264" t="s">
        <v>6219</v>
      </c>
      <c r="J327" s="264" t="s">
        <v>6186</v>
      </c>
      <c r="K327" s="264"/>
      <c r="L327" s="264" t="s">
        <v>6242</v>
      </c>
      <c r="M327" s="264"/>
      <c r="N327" s="264"/>
      <c r="O327" s="264" t="s">
        <v>5</v>
      </c>
      <c r="P327" s="264"/>
      <c r="Q327" s="264"/>
      <c r="R327" s="264"/>
      <c r="S327" s="264"/>
      <c r="T327" s="264"/>
      <c r="U327" s="264"/>
      <c r="V327" s="264"/>
      <c r="W327" s="264"/>
      <c r="X327" s="264"/>
      <c r="Y327" s="264"/>
      <c r="Z327" s="264"/>
    </row>
    <row r="328">
      <c r="A328" s="264"/>
      <c r="B328" s="264" t="s">
        <v>274</v>
      </c>
      <c r="C328" s="264">
        <v>9726.0</v>
      </c>
      <c r="D328" s="268">
        <v>23374.0</v>
      </c>
      <c r="E328" s="266">
        <v>44573.0</v>
      </c>
      <c r="F328" s="267" t="e">
        <v>#N/A</v>
      </c>
      <c r="G328" s="264" t="s">
        <v>6328</v>
      </c>
      <c r="H328" s="264" t="s">
        <v>15</v>
      </c>
      <c r="I328" s="264" t="e">
        <v>#N/A</v>
      </c>
      <c r="J328" s="264" t="e">
        <v>#N/A</v>
      </c>
      <c r="K328" s="264"/>
      <c r="L328" s="264" t="s">
        <v>6242</v>
      </c>
      <c r="M328" s="264"/>
      <c r="N328" s="264"/>
      <c r="O328" s="264" t="e">
        <v>#N/A</v>
      </c>
      <c r="P328" s="264"/>
      <c r="Q328" s="264"/>
      <c r="R328" s="264"/>
      <c r="S328" s="264"/>
      <c r="T328" s="264"/>
      <c r="U328" s="264"/>
      <c r="V328" s="264"/>
      <c r="W328" s="264"/>
      <c r="X328" s="264"/>
      <c r="Y328" s="264"/>
      <c r="Z328" s="264"/>
    </row>
    <row r="329">
      <c r="A329" s="264"/>
      <c r="B329" s="264" t="s">
        <v>4912</v>
      </c>
      <c r="C329" s="264">
        <v>16733.0</v>
      </c>
      <c r="D329" s="268">
        <v>18127.0</v>
      </c>
      <c r="E329" s="266">
        <v>44573.0</v>
      </c>
      <c r="F329" s="267">
        <v>0.4583333333333333</v>
      </c>
      <c r="G329" s="264" t="s">
        <v>6323</v>
      </c>
      <c r="H329" s="264" t="s">
        <v>15</v>
      </c>
      <c r="I329" s="264" t="s">
        <v>6219</v>
      </c>
      <c r="J329" s="264" t="s">
        <v>6196</v>
      </c>
      <c r="K329" s="264"/>
      <c r="L329" s="264" t="s">
        <v>6242</v>
      </c>
      <c r="M329" s="264"/>
      <c r="N329" s="264"/>
      <c r="O329" s="264" t="s">
        <v>6216</v>
      </c>
      <c r="P329" s="264"/>
      <c r="Q329" s="264"/>
      <c r="R329" s="264"/>
      <c r="S329" s="264"/>
      <c r="T329" s="264"/>
      <c r="U329" s="264"/>
      <c r="V329" s="264"/>
      <c r="W329" s="264"/>
      <c r="X329" s="264"/>
      <c r="Y329" s="264"/>
      <c r="Z329" s="264"/>
    </row>
    <row r="330">
      <c r="A330" s="264"/>
      <c r="B330" s="264" t="s">
        <v>5975</v>
      </c>
      <c r="C330" s="264">
        <v>12051.0</v>
      </c>
      <c r="D330" s="268">
        <v>19608.0</v>
      </c>
      <c r="E330" s="266">
        <v>44573.0</v>
      </c>
      <c r="F330" s="267">
        <v>0.4583333333333333</v>
      </c>
      <c r="G330" s="264" t="s">
        <v>6328</v>
      </c>
      <c r="H330" s="264" t="s">
        <v>12</v>
      </c>
      <c r="I330" s="264" t="s">
        <v>6221</v>
      </c>
      <c r="J330" s="264" t="s">
        <v>6189</v>
      </c>
      <c r="K330" s="264"/>
      <c r="L330" s="264" t="s">
        <v>6242</v>
      </c>
      <c r="M330" s="264"/>
      <c r="N330" s="264"/>
      <c r="O330" s="264" t="s">
        <v>6216</v>
      </c>
      <c r="P330" s="264"/>
      <c r="Q330" s="264"/>
      <c r="R330" s="264"/>
      <c r="S330" s="264"/>
      <c r="T330" s="264"/>
      <c r="U330" s="264"/>
      <c r="V330" s="264"/>
      <c r="W330" s="264"/>
      <c r="X330" s="264"/>
      <c r="Y330" s="264"/>
      <c r="Z330" s="264"/>
    </row>
    <row r="331">
      <c r="A331" s="264"/>
      <c r="B331" s="264" t="s">
        <v>631</v>
      </c>
      <c r="C331" s="264">
        <v>10662.0</v>
      </c>
      <c r="D331" s="268">
        <v>18416.0</v>
      </c>
      <c r="E331" s="266">
        <v>44573.0</v>
      </c>
      <c r="F331" s="267">
        <v>0.4375</v>
      </c>
      <c r="G331" s="264" t="s">
        <v>6328</v>
      </c>
      <c r="H331" s="264" t="s">
        <v>14</v>
      </c>
      <c r="I331" s="264" t="s">
        <v>6222</v>
      </c>
      <c r="J331" s="264" t="s">
        <v>6199</v>
      </c>
      <c r="K331" s="264"/>
      <c r="L331" s="264" t="s">
        <v>6242</v>
      </c>
      <c r="M331" s="264"/>
      <c r="N331" s="264"/>
      <c r="O331" s="264" t="s">
        <v>5</v>
      </c>
      <c r="P331" s="264"/>
      <c r="Q331" s="264"/>
      <c r="R331" s="264"/>
      <c r="S331" s="264"/>
      <c r="T331" s="264"/>
      <c r="U331" s="264"/>
      <c r="V331" s="264"/>
      <c r="W331" s="264"/>
      <c r="X331" s="264"/>
      <c r="Y331" s="264"/>
      <c r="Z331" s="264"/>
    </row>
    <row r="332">
      <c r="A332" s="264"/>
      <c r="B332" s="264" t="s">
        <v>1357</v>
      </c>
      <c r="C332" s="264">
        <v>12275.0</v>
      </c>
      <c r="D332" s="268">
        <v>14237.0</v>
      </c>
      <c r="E332" s="266">
        <v>44573.0</v>
      </c>
      <c r="F332" s="267" t="e">
        <v>#N/A</v>
      </c>
      <c r="G332" s="264" t="s">
        <v>6328</v>
      </c>
      <c r="H332" s="264" t="s">
        <v>14</v>
      </c>
      <c r="I332" s="264" t="e">
        <v>#N/A</v>
      </c>
      <c r="J332" s="264" t="e">
        <v>#N/A</v>
      </c>
      <c r="K332" s="264"/>
      <c r="L332" s="264" t="s">
        <v>6242</v>
      </c>
      <c r="M332" s="264" t="s">
        <v>6242</v>
      </c>
      <c r="N332" s="264"/>
      <c r="O332" s="264" t="e">
        <v>#N/A</v>
      </c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</row>
    <row r="333">
      <c r="A333" s="264"/>
      <c r="B333" s="264" t="s">
        <v>5554</v>
      </c>
      <c r="C333" s="264">
        <v>17552.0</v>
      </c>
      <c r="D333" s="268">
        <v>29202.0</v>
      </c>
      <c r="E333" s="266">
        <v>44573.0</v>
      </c>
      <c r="F333" s="267">
        <v>0.46875</v>
      </c>
      <c r="G333" s="264" t="s">
        <v>6328</v>
      </c>
      <c r="H333" s="264" t="s">
        <v>14</v>
      </c>
      <c r="I333" s="264" t="s">
        <v>6222</v>
      </c>
      <c r="J333" s="264" t="s">
        <v>6142</v>
      </c>
      <c r="K333" s="264"/>
      <c r="L333" s="264" t="s">
        <v>6242</v>
      </c>
      <c r="M333" s="264"/>
      <c r="N333" s="264" t="s">
        <v>6343</v>
      </c>
      <c r="O333" s="264" t="s">
        <v>6224</v>
      </c>
      <c r="P333" s="264"/>
      <c r="Q333" s="264"/>
      <c r="R333" s="264"/>
      <c r="S333" s="264"/>
      <c r="T333" s="264"/>
      <c r="U333" s="264"/>
      <c r="V333" s="264"/>
      <c r="W333" s="264"/>
      <c r="X333" s="264"/>
      <c r="Y333" s="264"/>
      <c r="Z333" s="264"/>
    </row>
    <row r="334">
      <c r="A334" s="264"/>
      <c r="B334" s="264" t="s">
        <v>3695</v>
      </c>
      <c r="C334" s="264">
        <v>15265.0</v>
      </c>
      <c r="D334" s="268">
        <v>26902.0</v>
      </c>
      <c r="E334" s="266">
        <v>44573.0</v>
      </c>
      <c r="F334" s="267">
        <v>0.3958333333333333</v>
      </c>
      <c r="G334" s="264" t="s">
        <v>6323</v>
      </c>
      <c r="H334" s="264" t="s">
        <v>13</v>
      </c>
      <c r="I334" s="264" t="s">
        <v>6221</v>
      </c>
      <c r="J334" s="264" t="s">
        <v>6196</v>
      </c>
      <c r="K334" s="264"/>
      <c r="L334" s="264" t="s">
        <v>6242</v>
      </c>
      <c r="M334" s="264" t="s">
        <v>6242</v>
      </c>
      <c r="N334" s="264"/>
      <c r="O334" s="264" t="s">
        <v>6220</v>
      </c>
      <c r="P334" s="264"/>
      <c r="Q334" s="264"/>
      <c r="R334" s="264"/>
      <c r="S334" s="264"/>
      <c r="T334" s="264"/>
      <c r="U334" s="264"/>
      <c r="V334" s="264"/>
      <c r="W334" s="264"/>
      <c r="X334" s="264"/>
      <c r="Y334" s="264"/>
      <c r="Z334" s="264"/>
    </row>
    <row r="335">
      <c r="A335" s="264"/>
      <c r="B335" s="264" t="s">
        <v>5980</v>
      </c>
      <c r="C335" s="264">
        <v>17872.0</v>
      </c>
      <c r="D335" s="268">
        <v>11312.0</v>
      </c>
      <c r="E335" s="266">
        <v>44573.0</v>
      </c>
      <c r="F335" s="267" t="e">
        <v>#N/A</v>
      </c>
      <c r="G335" s="264" t="s">
        <v>6323</v>
      </c>
      <c r="H335" s="264" t="s">
        <v>12</v>
      </c>
      <c r="I335" s="264" t="e">
        <v>#N/A</v>
      </c>
      <c r="J335" s="264" t="e">
        <v>#N/A</v>
      </c>
      <c r="K335" s="264"/>
      <c r="L335" s="264" t="s">
        <v>6242</v>
      </c>
      <c r="M335" s="264"/>
      <c r="N335" s="264"/>
      <c r="O335" s="264" t="e">
        <v>#N/A</v>
      </c>
      <c r="P335" s="264"/>
      <c r="Q335" s="264"/>
      <c r="R335" s="264"/>
      <c r="S335" s="264"/>
      <c r="T335" s="264"/>
      <c r="U335" s="264"/>
      <c r="V335" s="264"/>
      <c r="W335" s="264"/>
      <c r="X335" s="264"/>
      <c r="Y335" s="264"/>
      <c r="Z335" s="264"/>
    </row>
    <row r="336">
      <c r="A336" s="264"/>
      <c r="B336" s="264" t="s">
        <v>1905</v>
      </c>
      <c r="C336" s="264">
        <v>13019.0</v>
      </c>
      <c r="D336" s="268">
        <v>20401.0</v>
      </c>
      <c r="E336" s="266">
        <v>44573.0</v>
      </c>
      <c r="F336" s="267">
        <v>0.5416666666666666</v>
      </c>
      <c r="G336" s="264" t="s">
        <v>6328</v>
      </c>
      <c r="H336" s="264" t="s">
        <v>15</v>
      </c>
      <c r="I336" s="264" t="s">
        <v>6222</v>
      </c>
      <c r="J336" s="264" t="s">
        <v>6158</v>
      </c>
      <c r="K336" s="264"/>
      <c r="L336" s="264" t="s">
        <v>6242</v>
      </c>
      <c r="M336" s="264"/>
      <c r="N336" s="264"/>
      <c r="O336" s="264" t="s">
        <v>5</v>
      </c>
      <c r="P336" s="264"/>
      <c r="Q336" s="264"/>
      <c r="R336" s="264"/>
      <c r="S336" s="264"/>
      <c r="T336" s="264"/>
      <c r="U336" s="264"/>
      <c r="V336" s="264"/>
      <c r="W336" s="264"/>
      <c r="X336" s="264"/>
      <c r="Y336" s="264"/>
      <c r="Z336" s="264"/>
    </row>
    <row r="337">
      <c r="A337" s="264"/>
      <c r="B337" s="264" t="s">
        <v>806</v>
      </c>
      <c r="C337" s="264">
        <v>11088.0</v>
      </c>
      <c r="D337" s="268">
        <v>14999.0</v>
      </c>
      <c r="E337" s="266">
        <v>44573.0</v>
      </c>
      <c r="F337" s="267">
        <v>0.5625</v>
      </c>
      <c r="G337" s="264" t="s">
        <v>6323</v>
      </c>
      <c r="H337" s="264" t="s">
        <v>15</v>
      </c>
      <c r="I337" s="264" t="s">
        <v>6222</v>
      </c>
      <c r="J337" s="264" t="s">
        <v>6186</v>
      </c>
      <c r="K337" s="264"/>
      <c r="L337" s="264" t="s">
        <v>6242</v>
      </c>
      <c r="M337" s="264" t="s">
        <v>6242</v>
      </c>
      <c r="N337" s="264"/>
      <c r="O337" s="264" t="s">
        <v>6215</v>
      </c>
      <c r="P337" s="264"/>
      <c r="Q337" s="264"/>
      <c r="R337" s="264"/>
      <c r="S337" s="264"/>
      <c r="T337" s="264"/>
      <c r="U337" s="264"/>
      <c r="V337" s="264"/>
      <c r="W337" s="264"/>
      <c r="X337" s="264"/>
      <c r="Y337" s="264"/>
      <c r="Z337" s="264"/>
    </row>
    <row r="338">
      <c r="A338" s="264"/>
      <c r="B338" s="264" t="s">
        <v>1116</v>
      </c>
      <c r="C338" s="264">
        <v>11792.0</v>
      </c>
      <c r="D338" s="268">
        <v>20872.0</v>
      </c>
      <c r="E338" s="266">
        <v>44573.0</v>
      </c>
      <c r="F338" s="267">
        <v>0.34375</v>
      </c>
      <c r="G338" s="264" t="s">
        <v>6323</v>
      </c>
      <c r="H338" s="264" t="s">
        <v>12</v>
      </c>
      <c r="I338" s="264" t="s">
        <v>6221</v>
      </c>
      <c r="J338" s="264" t="s">
        <v>6137</v>
      </c>
      <c r="K338" s="264"/>
      <c r="L338" s="264" t="s">
        <v>6242</v>
      </c>
      <c r="M338" s="264"/>
      <c r="N338" s="264"/>
      <c r="O338" s="264" t="s">
        <v>5</v>
      </c>
      <c r="P338" s="264"/>
      <c r="Q338" s="264"/>
      <c r="R338" s="264"/>
      <c r="S338" s="264"/>
      <c r="T338" s="264"/>
      <c r="U338" s="264"/>
      <c r="V338" s="264"/>
      <c r="W338" s="264"/>
      <c r="X338" s="264"/>
      <c r="Y338" s="264"/>
      <c r="Z338" s="264"/>
    </row>
    <row r="339">
      <c r="A339" s="264"/>
      <c r="B339" s="264" t="s">
        <v>463</v>
      </c>
      <c r="C339" s="264">
        <v>10237.0</v>
      </c>
      <c r="D339" s="268">
        <v>21414.0</v>
      </c>
      <c r="E339" s="266">
        <v>44573.0</v>
      </c>
      <c r="F339" s="267">
        <v>0.6145833333333334</v>
      </c>
      <c r="G339" s="264" t="s">
        <v>6323</v>
      </c>
      <c r="H339" s="264" t="s">
        <v>12</v>
      </c>
      <c r="I339" s="264" t="s">
        <v>6221</v>
      </c>
      <c r="J339" s="264" t="s">
        <v>6192</v>
      </c>
      <c r="K339" s="264"/>
      <c r="L339" s="264" t="s">
        <v>6341</v>
      </c>
      <c r="M339" s="264"/>
      <c r="N339" s="264"/>
      <c r="O339" s="264" t="s">
        <v>6216</v>
      </c>
      <c r="P339" s="264"/>
      <c r="Q339" s="264"/>
      <c r="R339" s="264"/>
      <c r="S339" s="264"/>
      <c r="T339" s="264"/>
      <c r="U339" s="264"/>
      <c r="V339" s="264"/>
      <c r="W339" s="264"/>
      <c r="X339" s="264"/>
      <c r="Y339" s="264"/>
      <c r="Z339" s="264"/>
    </row>
    <row r="340">
      <c r="A340" s="264"/>
      <c r="B340" s="264" t="s">
        <v>1659</v>
      </c>
      <c r="C340" s="264">
        <v>12724.0</v>
      </c>
      <c r="D340" s="268">
        <v>25314.0</v>
      </c>
      <c r="E340" s="266">
        <v>44573.0</v>
      </c>
      <c r="F340" s="267">
        <v>0.5833333333333334</v>
      </c>
      <c r="G340" s="264" t="s">
        <v>6328</v>
      </c>
      <c r="H340" s="264" t="s">
        <v>15</v>
      </c>
      <c r="I340" s="264" t="s">
        <v>6222</v>
      </c>
      <c r="J340" s="264" t="s">
        <v>6148</v>
      </c>
      <c r="K340" s="264"/>
      <c r="L340" s="264" t="s">
        <v>6242</v>
      </c>
      <c r="M340" s="264" t="s">
        <v>6242</v>
      </c>
      <c r="N340" s="264"/>
      <c r="O340" s="264" t="s">
        <v>6215</v>
      </c>
      <c r="P340" s="264"/>
      <c r="Q340" s="264"/>
      <c r="R340" s="264"/>
      <c r="S340" s="264"/>
      <c r="T340" s="264"/>
      <c r="U340" s="264"/>
      <c r="V340" s="264"/>
      <c r="W340" s="264"/>
      <c r="X340" s="264"/>
      <c r="Y340" s="264"/>
      <c r="Z340" s="264"/>
    </row>
    <row r="341">
      <c r="A341" s="264"/>
      <c r="B341" s="264" t="s">
        <v>5797</v>
      </c>
      <c r="C341" s="264">
        <v>17633.0</v>
      </c>
      <c r="D341" s="268">
        <v>20719.0</v>
      </c>
      <c r="E341" s="266">
        <v>44573.0</v>
      </c>
      <c r="F341" s="267">
        <v>0.5416666666666666</v>
      </c>
      <c r="G341" s="264" t="s">
        <v>6323</v>
      </c>
      <c r="H341" s="264" t="s">
        <v>12</v>
      </c>
      <c r="I341" s="264" t="s">
        <v>6221</v>
      </c>
      <c r="J341" s="264" t="s">
        <v>6189</v>
      </c>
      <c r="K341" s="264" t="s">
        <v>6341</v>
      </c>
      <c r="L341" s="264"/>
      <c r="M341" s="264"/>
      <c r="N341" s="264"/>
      <c r="O341" s="264" t="s">
        <v>6214</v>
      </c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</row>
    <row r="342">
      <c r="A342" s="264"/>
      <c r="B342" s="264" t="s">
        <v>5976</v>
      </c>
      <c r="C342" s="264">
        <v>17821.0</v>
      </c>
      <c r="D342" s="268">
        <v>20126.0</v>
      </c>
      <c r="E342" s="266">
        <v>44573.0</v>
      </c>
      <c r="F342" s="267">
        <v>0.5416666666666666</v>
      </c>
      <c r="G342" s="264" t="s">
        <v>6323</v>
      </c>
      <c r="H342" s="264" t="s">
        <v>6342</v>
      </c>
      <c r="I342" s="264" t="s">
        <v>6221</v>
      </c>
      <c r="J342" s="264" t="s">
        <v>6193</v>
      </c>
      <c r="K342" s="264" t="s">
        <v>6341</v>
      </c>
      <c r="L342" s="264"/>
      <c r="M342" s="264"/>
      <c r="N342" s="264"/>
      <c r="O342" s="264" t="s">
        <v>6214</v>
      </c>
      <c r="P342" s="264"/>
      <c r="Q342" s="264"/>
      <c r="R342" s="264"/>
      <c r="S342" s="264"/>
      <c r="T342" s="264"/>
      <c r="U342" s="264"/>
      <c r="V342" s="264"/>
      <c r="W342" s="264"/>
      <c r="X342" s="264"/>
      <c r="Y342" s="264"/>
      <c r="Z342" s="264"/>
    </row>
    <row r="343">
      <c r="A343" s="264"/>
      <c r="B343" s="264" t="s">
        <v>2040</v>
      </c>
      <c r="C343" s="264">
        <v>13187.0</v>
      </c>
      <c r="D343" s="268">
        <v>20156.0</v>
      </c>
      <c r="E343" s="266">
        <v>44573.0</v>
      </c>
      <c r="F343" s="267">
        <v>0.5416666666666666</v>
      </c>
      <c r="G343" s="264" t="s">
        <v>6323</v>
      </c>
      <c r="H343" s="264" t="s">
        <v>14</v>
      </c>
      <c r="I343" s="264" t="s">
        <v>6219</v>
      </c>
      <c r="J343" s="264" t="s">
        <v>6105</v>
      </c>
      <c r="K343" s="264"/>
      <c r="L343" s="264" t="s">
        <v>6242</v>
      </c>
      <c r="M343" s="264" t="s">
        <v>6242</v>
      </c>
      <c r="N343" s="264"/>
      <c r="O343" s="264" t="s">
        <v>6215</v>
      </c>
      <c r="P343" s="264"/>
      <c r="Q343" s="264"/>
      <c r="R343" s="264"/>
      <c r="S343" s="264"/>
      <c r="T343" s="264"/>
      <c r="U343" s="264"/>
      <c r="V343" s="264"/>
      <c r="W343" s="264"/>
      <c r="X343" s="264"/>
      <c r="Y343" s="264"/>
      <c r="Z343" s="264"/>
    </row>
    <row r="344">
      <c r="A344" s="264"/>
      <c r="B344" s="264" t="s">
        <v>4224</v>
      </c>
      <c r="C344" s="264">
        <v>15870.0</v>
      </c>
      <c r="D344" s="268">
        <v>23931.0</v>
      </c>
      <c r="E344" s="266">
        <v>44573.0</v>
      </c>
      <c r="F344" s="267">
        <v>0.5520833333333334</v>
      </c>
      <c r="G344" s="264" t="s">
        <v>6323</v>
      </c>
      <c r="H344" s="264" t="s">
        <v>14</v>
      </c>
      <c r="I344" s="264" t="s">
        <v>6219</v>
      </c>
      <c r="J344" s="264" t="s">
        <v>6142</v>
      </c>
      <c r="K344" s="264"/>
      <c r="L344" s="264" t="s">
        <v>6242</v>
      </c>
      <c r="M344" s="264"/>
      <c r="N344" s="264"/>
      <c r="O344" s="264" t="s">
        <v>6216</v>
      </c>
      <c r="P344" s="264"/>
      <c r="Q344" s="264"/>
      <c r="R344" s="264"/>
      <c r="S344" s="264"/>
      <c r="T344" s="264"/>
      <c r="U344" s="264"/>
      <c r="V344" s="264"/>
      <c r="W344" s="264"/>
      <c r="X344" s="264"/>
      <c r="Y344" s="264"/>
      <c r="Z344" s="264"/>
    </row>
    <row r="345">
      <c r="A345" s="264"/>
      <c r="B345" s="264" t="s">
        <v>2789</v>
      </c>
      <c r="C345" s="264">
        <v>14159.0</v>
      </c>
      <c r="D345" s="268">
        <v>31274.0</v>
      </c>
      <c r="E345" s="266">
        <v>44573.0</v>
      </c>
      <c r="F345" s="267">
        <v>0.6145833333333334</v>
      </c>
      <c r="G345" s="264" t="s">
        <v>6323</v>
      </c>
      <c r="H345" s="264" t="s">
        <v>14</v>
      </c>
      <c r="I345" s="264" t="s">
        <v>6222</v>
      </c>
      <c r="J345" s="264" t="s">
        <v>6199</v>
      </c>
      <c r="K345" s="264"/>
      <c r="L345" s="264" t="s">
        <v>6242</v>
      </c>
      <c r="M345" s="264"/>
      <c r="N345" s="264"/>
      <c r="O345" s="264" t="s">
        <v>5</v>
      </c>
      <c r="P345" s="264"/>
      <c r="Q345" s="264"/>
      <c r="R345" s="264"/>
      <c r="S345" s="264"/>
      <c r="T345" s="264"/>
      <c r="U345" s="264"/>
      <c r="V345" s="264"/>
      <c r="W345" s="264"/>
      <c r="X345" s="264"/>
      <c r="Y345" s="264"/>
      <c r="Z345" s="264"/>
    </row>
    <row r="346">
      <c r="A346" s="264"/>
      <c r="B346" s="264" t="s">
        <v>4038</v>
      </c>
      <c r="C346" s="264">
        <v>15667.0</v>
      </c>
      <c r="D346" s="268">
        <v>28612.0</v>
      </c>
      <c r="E346" s="266">
        <v>44573.0</v>
      </c>
      <c r="F346" s="267">
        <v>0.625</v>
      </c>
      <c r="G346" s="264" t="s">
        <v>6323</v>
      </c>
      <c r="H346" s="264" t="s">
        <v>14</v>
      </c>
      <c r="I346" s="264" t="s">
        <v>6222</v>
      </c>
      <c r="J346" s="264" t="s">
        <v>6126</v>
      </c>
      <c r="K346" s="264"/>
      <c r="L346" s="264" t="s">
        <v>6242</v>
      </c>
      <c r="M346" s="264" t="s">
        <v>6242</v>
      </c>
      <c r="N346" s="264"/>
      <c r="O346" s="264" t="s">
        <v>6215</v>
      </c>
      <c r="P346" s="264"/>
      <c r="Q346" s="264"/>
      <c r="R346" s="264"/>
      <c r="S346" s="264"/>
      <c r="T346" s="264"/>
      <c r="U346" s="264"/>
      <c r="V346" s="264"/>
      <c r="W346" s="264"/>
      <c r="X346" s="264"/>
      <c r="Y346" s="264"/>
      <c r="Z346" s="264"/>
    </row>
    <row r="347">
      <c r="A347" s="264"/>
      <c r="B347" s="264" t="s">
        <v>5977</v>
      </c>
      <c r="C347" s="264">
        <v>17848.0</v>
      </c>
      <c r="D347" s="268">
        <v>19261.0</v>
      </c>
      <c r="E347" s="266">
        <v>44573.0</v>
      </c>
      <c r="F347" s="267">
        <v>0.6145833333333334</v>
      </c>
      <c r="G347" s="264" t="s">
        <v>6328</v>
      </c>
      <c r="H347" s="264" t="s">
        <v>12</v>
      </c>
      <c r="I347" s="264" t="s">
        <v>6221</v>
      </c>
      <c r="J347" s="264" t="s">
        <v>6189</v>
      </c>
      <c r="K347" s="264" t="s">
        <v>6341</v>
      </c>
      <c r="L347" s="264"/>
      <c r="M347" s="264"/>
      <c r="N347" s="264"/>
      <c r="O347" s="264" t="s">
        <v>6214</v>
      </c>
      <c r="P347" s="264"/>
      <c r="Q347" s="264"/>
      <c r="R347" s="264"/>
      <c r="S347" s="264"/>
      <c r="T347" s="264"/>
      <c r="U347" s="264"/>
      <c r="V347" s="264"/>
      <c r="W347" s="264"/>
      <c r="X347" s="264"/>
      <c r="Y347" s="264"/>
      <c r="Z347" s="264"/>
    </row>
    <row r="348">
      <c r="A348" s="264"/>
      <c r="B348" s="264" t="s">
        <v>4162</v>
      </c>
      <c r="C348" s="264">
        <v>15802.0</v>
      </c>
      <c r="D348" s="268">
        <v>14014.0</v>
      </c>
      <c r="E348" s="266">
        <v>44573.0</v>
      </c>
      <c r="F348" s="267">
        <v>0.625</v>
      </c>
      <c r="G348" s="264" t="s">
        <v>6328</v>
      </c>
      <c r="H348" s="264" t="s">
        <v>15</v>
      </c>
      <c r="I348" s="264" t="s">
        <v>6219</v>
      </c>
      <c r="J348" s="264" t="s">
        <v>6137</v>
      </c>
      <c r="K348" s="264"/>
      <c r="L348" s="264" t="s">
        <v>6242</v>
      </c>
      <c r="M348" s="264" t="s">
        <v>6242</v>
      </c>
      <c r="N348" s="264"/>
      <c r="O348" s="264" t="s">
        <v>6215</v>
      </c>
      <c r="P348" s="264"/>
      <c r="Q348" s="264"/>
      <c r="R348" s="264"/>
      <c r="S348" s="264"/>
      <c r="T348" s="264"/>
      <c r="U348" s="264"/>
      <c r="V348" s="264"/>
      <c r="W348" s="264"/>
      <c r="X348" s="264"/>
      <c r="Y348" s="264"/>
      <c r="Z348" s="264"/>
    </row>
    <row r="349">
      <c r="A349" s="264"/>
      <c r="B349" s="264" t="s">
        <v>172</v>
      </c>
      <c r="C349" s="264">
        <v>9457.0</v>
      </c>
      <c r="D349" s="268">
        <v>18817.0</v>
      </c>
      <c r="E349" s="266">
        <v>44573.0</v>
      </c>
      <c r="F349" s="267">
        <v>0.6354166666666666</v>
      </c>
      <c r="G349" s="264" t="s">
        <v>6323</v>
      </c>
      <c r="H349" s="264" t="s">
        <v>14</v>
      </c>
      <c r="I349" s="264" t="s">
        <v>6221</v>
      </c>
      <c r="J349" s="264" t="s">
        <v>6196</v>
      </c>
      <c r="K349" s="264"/>
      <c r="L349" s="264" t="s">
        <v>6242</v>
      </c>
      <c r="M349" s="264" t="s">
        <v>6242</v>
      </c>
      <c r="N349" s="264"/>
      <c r="O349" s="264" t="s">
        <v>6220</v>
      </c>
      <c r="P349" s="264"/>
      <c r="Q349" s="264"/>
      <c r="R349" s="264"/>
      <c r="S349" s="264"/>
      <c r="T349" s="264"/>
      <c r="U349" s="264"/>
      <c r="V349" s="264"/>
      <c r="W349" s="264"/>
      <c r="X349" s="264"/>
      <c r="Y349" s="264"/>
      <c r="Z349" s="264"/>
    </row>
    <row r="350">
      <c r="A350" s="264"/>
      <c r="B350" s="264" t="s">
        <v>363</v>
      </c>
      <c r="C350" s="264">
        <v>9987.0</v>
      </c>
      <c r="D350" s="268">
        <v>25661.0</v>
      </c>
      <c r="E350" s="266">
        <v>44573.0</v>
      </c>
      <c r="F350" s="267">
        <v>0.625</v>
      </c>
      <c r="G350" s="264" t="s">
        <v>6323</v>
      </c>
      <c r="H350" s="264" t="s">
        <v>14</v>
      </c>
      <c r="I350" s="264" t="s">
        <v>6222</v>
      </c>
      <c r="J350" s="264" t="s">
        <v>6117</v>
      </c>
      <c r="K350" s="264"/>
      <c r="L350" s="264" t="s">
        <v>6242</v>
      </c>
      <c r="M350" s="264"/>
      <c r="N350" s="264"/>
      <c r="O350" s="264" t="s">
        <v>5</v>
      </c>
      <c r="P350" s="264"/>
      <c r="Q350" s="264"/>
      <c r="R350" s="264"/>
      <c r="S350" s="264"/>
      <c r="T350" s="264"/>
      <c r="U350" s="264"/>
      <c r="V350" s="264"/>
      <c r="W350" s="264"/>
      <c r="X350" s="264"/>
      <c r="Y350" s="264"/>
      <c r="Z350" s="264"/>
    </row>
    <row r="351">
      <c r="A351" s="264"/>
      <c r="B351" s="264" t="s">
        <v>5753</v>
      </c>
      <c r="C351" s="264">
        <v>16856.0</v>
      </c>
      <c r="D351" s="268">
        <v>12796.0</v>
      </c>
      <c r="E351" s="266">
        <v>44573.0</v>
      </c>
      <c r="F351" s="267">
        <v>0.6458333333333334</v>
      </c>
      <c r="G351" s="264" t="s">
        <v>6323</v>
      </c>
      <c r="H351" s="264" t="s">
        <v>15</v>
      </c>
      <c r="I351" s="264" t="s">
        <v>6219</v>
      </c>
      <c r="J351" s="264" t="s">
        <v>6137</v>
      </c>
      <c r="K351" s="264"/>
      <c r="L351" s="264" t="s">
        <v>6242</v>
      </c>
      <c r="M351" s="264"/>
      <c r="N351" s="264"/>
      <c r="O351" s="264" t="s">
        <v>5</v>
      </c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</row>
    <row r="352">
      <c r="A352" s="264"/>
      <c r="B352" s="264" t="s">
        <v>960</v>
      </c>
      <c r="C352" s="264">
        <v>11446.0</v>
      </c>
      <c r="D352" s="268">
        <v>26192.0</v>
      </c>
      <c r="E352" s="266">
        <v>44573.0</v>
      </c>
      <c r="F352" s="267">
        <v>0.6354166666666666</v>
      </c>
      <c r="G352" s="264" t="s">
        <v>6323</v>
      </c>
      <c r="H352" s="264" t="s">
        <v>15</v>
      </c>
      <c r="I352" s="264" t="s">
        <v>6219</v>
      </c>
      <c r="J352" s="264" t="s">
        <v>6192</v>
      </c>
      <c r="K352" s="264"/>
      <c r="L352" s="264" t="s">
        <v>6242</v>
      </c>
      <c r="M352" s="264" t="s">
        <v>6242</v>
      </c>
      <c r="N352" s="264"/>
      <c r="O352" s="264" t="s">
        <v>6220</v>
      </c>
      <c r="P352" s="264"/>
      <c r="Q352" s="264"/>
      <c r="R352" s="264"/>
      <c r="S352" s="264"/>
      <c r="T352" s="264"/>
      <c r="U352" s="264"/>
      <c r="V352" s="264"/>
      <c r="W352" s="264"/>
      <c r="X352" s="264"/>
      <c r="Y352" s="264"/>
      <c r="Z352" s="264"/>
    </row>
    <row r="353">
      <c r="A353" s="264"/>
      <c r="B353" s="264" t="s">
        <v>1308</v>
      </c>
      <c r="C353" s="264">
        <v>12174.0</v>
      </c>
      <c r="D353" s="268">
        <v>17259.0</v>
      </c>
      <c r="E353" s="266">
        <v>44573.0</v>
      </c>
      <c r="F353" s="267">
        <v>0.6354166666666666</v>
      </c>
      <c r="G353" s="264" t="s">
        <v>6323</v>
      </c>
      <c r="H353" s="264" t="s">
        <v>13</v>
      </c>
      <c r="I353" s="264" t="s">
        <v>6221</v>
      </c>
      <c r="J353" s="264" t="s">
        <v>6190</v>
      </c>
      <c r="K353" s="264"/>
      <c r="L353" s="264" t="s">
        <v>6341</v>
      </c>
      <c r="M353" s="264"/>
      <c r="N353" s="264"/>
      <c r="O353" s="264" t="s">
        <v>6216</v>
      </c>
      <c r="P353" s="264"/>
      <c r="Q353" s="264"/>
      <c r="R353" s="264"/>
      <c r="S353" s="264"/>
      <c r="T353" s="264"/>
      <c r="U353" s="264"/>
      <c r="V353" s="264"/>
      <c r="W353" s="264"/>
      <c r="X353" s="264"/>
      <c r="Y353" s="264"/>
      <c r="Z353" s="264"/>
    </row>
    <row r="354">
      <c r="A354" s="264"/>
      <c r="B354" s="264" t="s">
        <v>5978</v>
      </c>
      <c r="C354" s="264">
        <v>17831.0</v>
      </c>
      <c r="D354" s="268">
        <v>18671.0</v>
      </c>
      <c r="E354" s="266">
        <v>44573.0</v>
      </c>
      <c r="F354" s="267">
        <v>0.6145833333333334</v>
      </c>
      <c r="G354" s="264" t="s">
        <v>6344</v>
      </c>
      <c r="H354" s="264" t="s">
        <v>13</v>
      </c>
      <c r="I354" s="264" t="s">
        <v>6221</v>
      </c>
      <c r="J354" s="264" t="s">
        <v>6196</v>
      </c>
      <c r="K354" s="264" t="s">
        <v>6341</v>
      </c>
      <c r="L354" s="264"/>
      <c r="M354" s="264"/>
      <c r="N354" s="264"/>
      <c r="O354" s="264" t="s">
        <v>6214</v>
      </c>
      <c r="P354" s="264"/>
      <c r="Q354" s="264"/>
      <c r="R354" s="264"/>
      <c r="S354" s="264"/>
      <c r="T354" s="264"/>
      <c r="U354" s="264"/>
      <c r="V354" s="264"/>
      <c r="W354" s="264"/>
      <c r="X354" s="264"/>
      <c r="Y354" s="264"/>
      <c r="Z354" s="264"/>
    </row>
    <row r="355">
      <c r="A355" s="264"/>
      <c r="B355" s="264" t="s">
        <v>2650</v>
      </c>
      <c r="C355" s="264">
        <v>13972.0</v>
      </c>
      <c r="D355" s="268">
        <v>17231.0</v>
      </c>
      <c r="E355" s="266">
        <v>44573.0</v>
      </c>
      <c r="F355" s="267">
        <v>0.5625</v>
      </c>
      <c r="G355" s="264" t="s">
        <v>6323</v>
      </c>
      <c r="H355" s="264" t="s">
        <v>13</v>
      </c>
      <c r="I355" s="264" t="s">
        <v>6222</v>
      </c>
      <c r="J355" s="264" t="s">
        <v>6195</v>
      </c>
      <c r="K355" s="264"/>
      <c r="L355" s="264" t="s">
        <v>6341</v>
      </c>
      <c r="M355" s="264"/>
      <c r="N355" s="264"/>
      <c r="O355" s="264" t="s">
        <v>6216</v>
      </c>
      <c r="P355" s="264"/>
      <c r="Q355" s="264"/>
      <c r="R355" s="264"/>
      <c r="S355" s="264"/>
      <c r="T355" s="264"/>
      <c r="U355" s="264"/>
      <c r="V355" s="264"/>
      <c r="W355" s="264"/>
      <c r="X355" s="264"/>
      <c r="Y355" s="264"/>
      <c r="Z355" s="264"/>
    </row>
    <row r="356">
      <c r="A356" s="264"/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264"/>
      <c r="T356" s="264"/>
      <c r="U356" s="264"/>
      <c r="V356" s="264"/>
      <c r="W356" s="264"/>
      <c r="X356" s="264"/>
      <c r="Y356" s="264"/>
      <c r="Z356" s="264"/>
    </row>
    <row r="357">
      <c r="A357" s="264"/>
      <c r="B357" s="264" t="s">
        <v>912</v>
      </c>
      <c r="C357" s="264">
        <v>11342.0</v>
      </c>
      <c r="D357" s="268">
        <v>23571.0</v>
      </c>
      <c r="E357" s="266">
        <v>44574.0</v>
      </c>
      <c r="F357" s="267">
        <v>0.34375</v>
      </c>
      <c r="G357" s="264" t="s">
        <v>6323</v>
      </c>
      <c r="H357" s="264" t="s">
        <v>12</v>
      </c>
      <c r="I357" s="264" t="s">
        <v>6221</v>
      </c>
      <c r="J357" s="264" t="s">
        <v>6192</v>
      </c>
      <c r="K357" s="264"/>
      <c r="L357" s="264" t="s">
        <v>6242</v>
      </c>
      <c r="M357" s="264"/>
      <c r="N357" s="264"/>
      <c r="O357" s="264" t="s">
        <v>6216</v>
      </c>
      <c r="P357" s="264"/>
      <c r="Q357" s="264"/>
      <c r="R357" s="264"/>
      <c r="S357" s="264"/>
      <c r="T357" s="264"/>
      <c r="U357" s="264"/>
      <c r="V357" s="264"/>
      <c r="W357" s="264"/>
      <c r="X357" s="264"/>
      <c r="Y357" s="264"/>
      <c r="Z357" s="264"/>
    </row>
    <row r="358">
      <c r="A358" s="264"/>
      <c r="B358" s="264" t="s">
        <v>1146</v>
      </c>
      <c r="C358" s="264">
        <v>11852.0</v>
      </c>
      <c r="D358" s="268">
        <v>12931.0</v>
      </c>
      <c r="E358" s="266">
        <v>44574.0</v>
      </c>
      <c r="F358" s="267">
        <v>0.3333333333333333</v>
      </c>
      <c r="G358" s="264" t="s">
        <v>6323</v>
      </c>
      <c r="H358" s="264" t="s">
        <v>14</v>
      </c>
      <c r="I358" s="264" t="s">
        <v>6222</v>
      </c>
      <c r="J358" s="264" t="s">
        <v>6094</v>
      </c>
      <c r="K358" s="264"/>
      <c r="L358" s="264" t="s">
        <v>6242</v>
      </c>
      <c r="M358" s="264"/>
      <c r="N358" s="264"/>
      <c r="O358" s="264" t="s">
        <v>5</v>
      </c>
      <c r="P358" s="264"/>
      <c r="Q358" s="264"/>
      <c r="R358" s="264"/>
      <c r="S358" s="264"/>
      <c r="T358" s="264"/>
      <c r="U358" s="264"/>
      <c r="V358" s="264"/>
      <c r="W358" s="264"/>
      <c r="X358" s="264"/>
      <c r="Y358" s="264"/>
      <c r="Z358" s="264"/>
    </row>
    <row r="359">
      <c r="A359" s="264"/>
      <c r="B359" s="264" t="s">
        <v>346</v>
      </c>
      <c r="C359" s="264">
        <v>9938.0</v>
      </c>
      <c r="D359" s="268">
        <v>25985.0</v>
      </c>
      <c r="E359" s="266">
        <v>44574.0</v>
      </c>
      <c r="F359" s="267">
        <v>0.34375</v>
      </c>
      <c r="G359" s="264" t="s">
        <v>6328</v>
      </c>
      <c r="H359" s="264" t="s">
        <v>14</v>
      </c>
      <c r="I359" s="264" t="s">
        <v>6222</v>
      </c>
      <c r="J359" s="264" t="s">
        <v>6082</v>
      </c>
      <c r="K359" s="264"/>
      <c r="L359" s="264" t="s">
        <v>6242</v>
      </c>
      <c r="M359" s="264"/>
      <c r="N359" s="264"/>
      <c r="O359" s="264" t="s">
        <v>5</v>
      </c>
      <c r="P359" s="264"/>
      <c r="Q359" s="264"/>
      <c r="R359" s="264"/>
      <c r="S359" s="264"/>
      <c r="T359" s="264"/>
      <c r="U359" s="264"/>
      <c r="V359" s="264"/>
      <c r="W359" s="264"/>
      <c r="X359" s="264"/>
      <c r="Y359" s="264"/>
      <c r="Z359" s="264"/>
    </row>
    <row r="360">
      <c r="A360" s="264"/>
      <c r="B360" s="264" t="s">
        <v>187</v>
      </c>
      <c r="C360" s="264">
        <v>9493.0</v>
      </c>
      <c r="D360" s="268">
        <v>20636.0</v>
      </c>
      <c r="E360" s="266">
        <v>44574.0</v>
      </c>
      <c r="F360" s="267">
        <v>0.375</v>
      </c>
      <c r="G360" s="264" t="s">
        <v>6328</v>
      </c>
      <c r="H360" s="264" t="s">
        <v>14</v>
      </c>
      <c r="I360" s="264" t="s">
        <v>6222</v>
      </c>
      <c r="J360" s="264" t="s">
        <v>6199</v>
      </c>
      <c r="K360" s="264"/>
      <c r="L360" s="264" t="s">
        <v>6242</v>
      </c>
      <c r="M360" s="264"/>
      <c r="N360" s="264"/>
      <c r="O360" s="264" t="s">
        <v>6215</v>
      </c>
      <c r="P360" s="264"/>
      <c r="Q360" s="264"/>
      <c r="R360" s="264"/>
      <c r="S360" s="264"/>
      <c r="T360" s="264"/>
      <c r="U360" s="264"/>
      <c r="V360" s="264"/>
      <c r="W360" s="264"/>
      <c r="X360" s="264"/>
      <c r="Y360" s="264"/>
      <c r="Z360" s="264"/>
    </row>
    <row r="361">
      <c r="A361" s="264"/>
      <c r="B361" s="264" t="s">
        <v>107</v>
      </c>
      <c r="C361" s="264">
        <v>9248.0</v>
      </c>
      <c r="D361" s="268">
        <v>21239.0</v>
      </c>
      <c r="E361" s="266">
        <v>44574.0</v>
      </c>
      <c r="F361" s="267">
        <v>0.3645833333333333</v>
      </c>
      <c r="G361" s="264" t="s">
        <v>6323</v>
      </c>
      <c r="H361" s="264" t="s">
        <v>12</v>
      </c>
      <c r="I361" s="264" t="s">
        <v>6212</v>
      </c>
      <c r="J361" s="264" t="s">
        <v>6085</v>
      </c>
      <c r="K361" s="264"/>
      <c r="L361" s="264" t="s">
        <v>6242</v>
      </c>
      <c r="M361" s="264"/>
      <c r="N361" s="264"/>
      <c r="O361" s="264" t="s">
        <v>5</v>
      </c>
      <c r="P361" s="264"/>
      <c r="Q361" s="264"/>
      <c r="R361" s="264"/>
      <c r="S361" s="264"/>
      <c r="T361" s="264"/>
      <c r="U361" s="264"/>
      <c r="V361" s="264"/>
      <c r="W361" s="264"/>
      <c r="X361" s="264"/>
      <c r="Y361" s="264"/>
      <c r="Z361" s="264"/>
    </row>
    <row r="362">
      <c r="A362" s="264"/>
      <c r="B362" s="264" t="s">
        <v>5128</v>
      </c>
      <c r="C362" s="264">
        <v>17005.0</v>
      </c>
      <c r="D362" s="268">
        <v>22398.0</v>
      </c>
      <c r="E362" s="266">
        <v>44574.0</v>
      </c>
      <c r="F362" s="267">
        <v>0.375</v>
      </c>
      <c r="G362" s="264" t="s">
        <v>6328</v>
      </c>
      <c r="H362" s="264" t="s">
        <v>13</v>
      </c>
      <c r="I362" s="264" t="s">
        <v>6212</v>
      </c>
      <c r="J362" s="264" t="s">
        <v>6225</v>
      </c>
      <c r="K362" s="264"/>
      <c r="L362" s="264" t="s">
        <v>6242</v>
      </c>
      <c r="M362" s="264" t="s">
        <v>6242</v>
      </c>
      <c r="N362" s="264"/>
      <c r="O362" s="264" t="s">
        <v>6215</v>
      </c>
      <c r="P362" s="264"/>
      <c r="Q362" s="264"/>
      <c r="R362" s="264"/>
      <c r="S362" s="264"/>
      <c r="T362" s="264"/>
      <c r="U362" s="264"/>
      <c r="V362" s="264"/>
      <c r="W362" s="264"/>
      <c r="X362" s="264"/>
      <c r="Y362" s="264"/>
      <c r="Z362" s="264"/>
    </row>
    <row r="363">
      <c r="A363" s="264"/>
      <c r="B363" s="264" t="s">
        <v>4658</v>
      </c>
      <c r="C363" s="264">
        <v>16388.0</v>
      </c>
      <c r="D363" s="268">
        <v>15830.0</v>
      </c>
      <c r="E363" s="266">
        <v>44574.0</v>
      </c>
      <c r="F363" s="267">
        <v>0.4479166666666667</v>
      </c>
      <c r="G363" s="264" t="s">
        <v>6323</v>
      </c>
      <c r="H363" s="264" t="s">
        <v>12</v>
      </c>
      <c r="I363" s="264" t="s">
        <v>6212</v>
      </c>
      <c r="J363" s="264" t="s">
        <v>6161</v>
      </c>
      <c r="K363" s="264"/>
      <c r="L363" s="264" t="s">
        <v>6242</v>
      </c>
      <c r="M363" s="264"/>
      <c r="N363" s="264"/>
      <c r="O363" s="264" t="s">
        <v>5</v>
      </c>
      <c r="P363" s="264"/>
      <c r="Q363" s="264"/>
      <c r="R363" s="264"/>
      <c r="S363" s="264"/>
      <c r="T363" s="264"/>
      <c r="U363" s="264"/>
      <c r="V363" s="264"/>
      <c r="W363" s="264"/>
      <c r="X363" s="264"/>
      <c r="Y363" s="264"/>
      <c r="Z363" s="264"/>
    </row>
    <row r="364">
      <c r="A364" s="264"/>
      <c r="B364" s="264" t="s">
        <v>4679</v>
      </c>
      <c r="C364" s="264">
        <v>16427.0</v>
      </c>
      <c r="D364" s="268">
        <v>24828.0</v>
      </c>
      <c r="E364" s="266">
        <v>44574.0</v>
      </c>
      <c r="F364" s="267">
        <v>0.3958333333333333</v>
      </c>
      <c r="G364" s="264" t="s">
        <v>6323</v>
      </c>
      <c r="H364" s="264" t="s">
        <v>12</v>
      </c>
      <c r="I364" s="264" t="s">
        <v>6212</v>
      </c>
      <c r="J364" s="264" t="s">
        <v>6091</v>
      </c>
      <c r="K364" s="264"/>
      <c r="L364" s="264" t="s">
        <v>6242</v>
      </c>
      <c r="M364" s="264"/>
      <c r="N364" s="264"/>
      <c r="O364" s="264" t="s">
        <v>6216</v>
      </c>
      <c r="P364" s="264"/>
      <c r="Q364" s="264"/>
      <c r="R364" s="264"/>
      <c r="S364" s="264"/>
      <c r="T364" s="264"/>
      <c r="U364" s="264"/>
      <c r="V364" s="264"/>
      <c r="W364" s="264"/>
      <c r="X364" s="264"/>
      <c r="Y364" s="264"/>
      <c r="Z364" s="264"/>
    </row>
    <row r="365">
      <c r="A365" s="264"/>
      <c r="B365" s="264" t="s">
        <v>2740</v>
      </c>
      <c r="C365" s="264">
        <v>14095.0</v>
      </c>
      <c r="D365" s="268">
        <v>22965.0</v>
      </c>
      <c r="E365" s="266">
        <v>44574.0</v>
      </c>
      <c r="F365" s="267">
        <v>0.3958333333333333</v>
      </c>
      <c r="G365" s="264" t="s">
        <v>6323</v>
      </c>
      <c r="H365" s="264" t="s">
        <v>15</v>
      </c>
      <c r="I365" s="264" t="s">
        <v>6219</v>
      </c>
      <c r="J365" s="264" t="s">
        <v>6117</v>
      </c>
      <c r="K365" s="264"/>
      <c r="L365" s="264" t="s">
        <v>6242</v>
      </c>
      <c r="M365" s="264" t="s">
        <v>6242</v>
      </c>
      <c r="N365" s="264"/>
      <c r="O365" s="264" t="s">
        <v>6215</v>
      </c>
      <c r="P365" s="264"/>
      <c r="Q365" s="264"/>
      <c r="R365" s="264"/>
      <c r="S365" s="264"/>
      <c r="T365" s="264"/>
      <c r="U365" s="264"/>
      <c r="V365" s="264"/>
      <c r="W365" s="264"/>
      <c r="X365" s="264"/>
      <c r="Y365" s="264"/>
      <c r="Z365" s="264"/>
    </row>
    <row r="366">
      <c r="A366" s="264"/>
      <c r="B366" s="264" t="s">
        <v>1547</v>
      </c>
      <c r="C366" s="264">
        <v>12567.0</v>
      </c>
      <c r="D366" s="268">
        <v>21873.0</v>
      </c>
      <c r="E366" s="266">
        <v>44574.0</v>
      </c>
      <c r="F366" s="267">
        <v>0.3958333333333333</v>
      </c>
      <c r="G366" s="264" t="s">
        <v>6328</v>
      </c>
      <c r="H366" s="264" t="s">
        <v>15</v>
      </c>
      <c r="I366" s="264" t="s">
        <v>6219</v>
      </c>
      <c r="J366" s="264" t="s">
        <v>6154</v>
      </c>
      <c r="K366" s="264"/>
      <c r="L366" s="264" t="s">
        <v>6242</v>
      </c>
      <c r="M366" s="264"/>
      <c r="N366" s="264"/>
      <c r="O366" s="264" t="s">
        <v>5</v>
      </c>
      <c r="P366" s="264"/>
      <c r="Q366" s="264"/>
      <c r="R366" s="264"/>
      <c r="S366" s="264"/>
      <c r="T366" s="264"/>
      <c r="U366" s="264"/>
      <c r="V366" s="264"/>
      <c r="W366" s="264"/>
      <c r="X366" s="264"/>
      <c r="Y366" s="264"/>
      <c r="Z366" s="264"/>
    </row>
    <row r="367">
      <c r="A367" s="264"/>
      <c r="B367" s="264" t="s">
        <v>201</v>
      </c>
      <c r="C367" s="264">
        <v>9531.0</v>
      </c>
      <c r="D367" s="268">
        <v>17451.0</v>
      </c>
      <c r="E367" s="266">
        <v>44574.0</v>
      </c>
      <c r="F367" s="267">
        <v>0.3958333333333333</v>
      </c>
      <c r="G367" s="264" t="s">
        <v>6323</v>
      </c>
      <c r="H367" s="264" t="s">
        <v>14</v>
      </c>
      <c r="I367" s="264" t="s">
        <v>6222</v>
      </c>
      <c r="J367" s="264" t="s">
        <v>6194</v>
      </c>
      <c r="K367" s="264"/>
      <c r="L367" s="264" t="s">
        <v>6242</v>
      </c>
      <c r="M367" s="264" t="s">
        <v>6242</v>
      </c>
      <c r="N367" s="264"/>
      <c r="O367" s="264" t="s">
        <v>6220</v>
      </c>
      <c r="P367" s="264"/>
      <c r="Q367" s="264"/>
      <c r="R367" s="264"/>
      <c r="S367" s="264"/>
      <c r="T367" s="264"/>
      <c r="U367" s="264"/>
      <c r="V367" s="264"/>
      <c r="W367" s="264"/>
      <c r="X367" s="264"/>
      <c r="Y367" s="264"/>
      <c r="Z367" s="264"/>
    </row>
    <row r="368">
      <c r="A368" s="264"/>
      <c r="B368" s="264" t="s">
        <v>2435</v>
      </c>
      <c r="C368" s="264">
        <v>13695.0</v>
      </c>
      <c r="D368" s="268">
        <v>20076.0</v>
      </c>
      <c r="E368" s="266">
        <v>44574.0</v>
      </c>
      <c r="F368" s="267">
        <v>0.40625</v>
      </c>
      <c r="G368" s="264" t="s">
        <v>6328</v>
      </c>
      <c r="H368" s="264" t="s">
        <v>14</v>
      </c>
      <c r="I368" s="264" t="s">
        <v>6222</v>
      </c>
      <c r="J368" s="264" t="s">
        <v>6158</v>
      </c>
      <c r="K368" s="264"/>
      <c r="L368" s="264" t="s">
        <v>6242</v>
      </c>
      <c r="M368" s="264"/>
      <c r="N368" s="264"/>
      <c r="O368" s="264" t="s">
        <v>5</v>
      </c>
      <c r="P368" s="264"/>
      <c r="Q368" s="264"/>
      <c r="R368" s="264"/>
      <c r="S368" s="264"/>
      <c r="T368" s="264"/>
      <c r="U368" s="264"/>
      <c r="V368" s="264"/>
      <c r="W368" s="264"/>
      <c r="X368" s="264"/>
      <c r="Y368" s="264"/>
      <c r="Z368" s="264"/>
    </row>
    <row r="369">
      <c r="A369" s="264"/>
      <c r="B369" s="264" t="s">
        <v>1724</v>
      </c>
      <c r="C369" s="264">
        <v>12804.0</v>
      </c>
      <c r="D369" s="268">
        <v>20763.0</v>
      </c>
      <c r="E369" s="266">
        <v>44574.0</v>
      </c>
      <c r="F369" s="267">
        <v>0.4270833333333333</v>
      </c>
      <c r="G369" s="264" t="s">
        <v>6328</v>
      </c>
      <c r="H369" s="264" t="s">
        <v>13</v>
      </c>
      <c r="I369" s="264" t="s">
        <v>6212</v>
      </c>
      <c r="J369" s="264" t="s">
        <v>6202</v>
      </c>
      <c r="K369" s="264"/>
      <c r="L369" s="264" t="s">
        <v>6242</v>
      </c>
      <c r="M369" s="264"/>
      <c r="N369" s="264"/>
      <c r="O369" s="264" t="s">
        <v>5</v>
      </c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</row>
    <row r="370">
      <c r="A370" s="264"/>
      <c r="B370" s="264" t="s">
        <v>3704</v>
      </c>
      <c r="C370" s="264">
        <v>15277.0</v>
      </c>
      <c r="D370" s="268">
        <v>12693.0</v>
      </c>
      <c r="E370" s="266">
        <v>44574.0</v>
      </c>
      <c r="F370" s="267">
        <v>0.4270833333333333</v>
      </c>
      <c r="G370" s="264" t="s">
        <v>6328</v>
      </c>
      <c r="H370" s="264" t="s">
        <v>12</v>
      </c>
      <c r="I370" s="264" t="s">
        <v>6221</v>
      </c>
      <c r="J370" s="264" t="s">
        <v>6196</v>
      </c>
      <c r="K370" s="264"/>
      <c r="L370" s="264" t="s">
        <v>6242</v>
      </c>
      <c r="M370" s="264"/>
      <c r="N370" s="264"/>
      <c r="O370" s="264" t="s">
        <v>6216</v>
      </c>
      <c r="P370" s="264"/>
      <c r="Q370" s="264"/>
      <c r="R370" s="264"/>
      <c r="S370" s="264"/>
      <c r="T370" s="264"/>
      <c r="U370" s="264"/>
      <c r="V370" s="264"/>
      <c r="W370" s="264"/>
      <c r="X370" s="264"/>
      <c r="Y370" s="264"/>
      <c r="Z370" s="264"/>
    </row>
    <row r="371">
      <c r="A371" s="264"/>
      <c r="B371" s="264" t="s">
        <v>1387</v>
      </c>
      <c r="C371" s="264">
        <v>12318.0</v>
      </c>
      <c r="D371" s="268">
        <v>20463.0</v>
      </c>
      <c r="E371" s="266">
        <v>44574.0</v>
      </c>
      <c r="F371" s="267">
        <v>0.4375</v>
      </c>
      <c r="G371" s="264" t="s">
        <v>6328</v>
      </c>
      <c r="H371" s="264" t="s">
        <v>14</v>
      </c>
      <c r="I371" s="264" t="s">
        <v>6222</v>
      </c>
      <c r="J371" s="264" t="s">
        <v>6196</v>
      </c>
      <c r="K371" s="264"/>
      <c r="L371" s="264" t="s">
        <v>6242</v>
      </c>
      <c r="M371" s="264" t="s">
        <v>6242</v>
      </c>
      <c r="N371" s="264"/>
      <c r="O371" s="264" t="s">
        <v>6220</v>
      </c>
      <c r="P371" s="264"/>
      <c r="Q371" s="264"/>
      <c r="R371" s="264"/>
      <c r="S371" s="264"/>
      <c r="T371" s="264"/>
      <c r="U371" s="264"/>
      <c r="V371" s="264"/>
      <c r="W371" s="264"/>
      <c r="X371" s="264"/>
      <c r="Y371" s="264"/>
      <c r="Z371" s="264"/>
    </row>
    <row r="372">
      <c r="A372" s="264"/>
      <c r="B372" s="264" t="s">
        <v>2755</v>
      </c>
      <c r="C372" s="264">
        <v>14113.0</v>
      </c>
      <c r="D372" s="268">
        <v>21851.0</v>
      </c>
      <c r="E372" s="266">
        <v>44574.0</v>
      </c>
      <c r="F372" s="267">
        <v>0.40625</v>
      </c>
      <c r="G372" s="264" t="s">
        <v>6328</v>
      </c>
      <c r="H372" s="264" t="s">
        <v>13</v>
      </c>
      <c r="I372" s="264" t="s">
        <v>6212</v>
      </c>
      <c r="J372" s="264" t="s">
        <v>6182</v>
      </c>
      <c r="K372" s="264"/>
      <c r="L372" s="264" t="s">
        <v>6242</v>
      </c>
      <c r="M372" s="264"/>
      <c r="N372" s="264"/>
      <c r="O372" s="264" t="s">
        <v>5</v>
      </c>
      <c r="P372" s="264"/>
      <c r="Q372" s="264"/>
      <c r="R372" s="264"/>
      <c r="S372" s="264"/>
      <c r="T372" s="264"/>
      <c r="U372" s="264"/>
      <c r="V372" s="264"/>
      <c r="W372" s="264"/>
      <c r="X372" s="264"/>
      <c r="Y372" s="264"/>
      <c r="Z372" s="264"/>
    </row>
    <row r="373">
      <c r="A373" s="264"/>
      <c r="B373" s="264" t="s">
        <v>5506</v>
      </c>
      <c r="C373" s="264">
        <v>17478.0</v>
      </c>
      <c r="D373" s="268">
        <v>17962.0</v>
      </c>
      <c r="E373" s="266">
        <v>44574.0</v>
      </c>
      <c r="F373" s="267">
        <v>0.4270833333333333</v>
      </c>
      <c r="G373" s="264" t="s">
        <v>6323</v>
      </c>
      <c r="H373" s="264" t="s">
        <v>12</v>
      </c>
      <c r="I373" s="264" t="s">
        <v>6221</v>
      </c>
      <c r="J373" s="264" t="s">
        <v>6196</v>
      </c>
      <c r="K373" s="264"/>
      <c r="L373" s="264" t="s">
        <v>6242</v>
      </c>
      <c r="M373" s="264" t="s">
        <v>6242</v>
      </c>
      <c r="N373" s="264"/>
      <c r="O373" s="264" t="s">
        <v>6220</v>
      </c>
      <c r="P373" s="264"/>
      <c r="Q373" s="264"/>
      <c r="R373" s="264"/>
      <c r="S373" s="264"/>
      <c r="T373" s="264"/>
      <c r="U373" s="264"/>
      <c r="V373" s="264"/>
      <c r="W373" s="264"/>
      <c r="X373" s="264"/>
      <c r="Y373" s="264"/>
      <c r="Z373" s="264"/>
    </row>
    <row r="374">
      <c r="A374" s="264"/>
      <c r="B374" s="264" t="s">
        <v>63</v>
      </c>
      <c r="C374" s="264">
        <v>9182.0</v>
      </c>
      <c r="D374" s="268">
        <v>25713.0</v>
      </c>
      <c r="E374" s="266">
        <v>44574.0</v>
      </c>
      <c r="F374" s="267">
        <v>0.40625</v>
      </c>
      <c r="G374" s="264" t="s">
        <v>6328</v>
      </c>
      <c r="H374" s="264" t="s">
        <v>15</v>
      </c>
      <c r="I374" s="264" t="s">
        <v>6222</v>
      </c>
      <c r="J374" s="264" t="s">
        <v>6199</v>
      </c>
      <c r="K374" s="264"/>
      <c r="L374" s="264" t="s">
        <v>6242</v>
      </c>
      <c r="M374" s="264"/>
      <c r="N374" s="264"/>
      <c r="O374" s="264" t="s">
        <v>5</v>
      </c>
      <c r="P374" s="264"/>
      <c r="Q374" s="264"/>
      <c r="R374" s="264"/>
      <c r="S374" s="264"/>
      <c r="T374" s="264"/>
      <c r="U374" s="264"/>
      <c r="V374" s="264"/>
      <c r="W374" s="264"/>
      <c r="X374" s="264"/>
      <c r="Y374" s="264"/>
      <c r="Z374" s="264"/>
    </row>
    <row r="375">
      <c r="A375" s="264"/>
      <c r="B375" s="264" t="s">
        <v>583</v>
      </c>
      <c r="C375" s="264">
        <v>10521.0</v>
      </c>
      <c r="D375" s="268">
        <v>22660.0</v>
      </c>
      <c r="E375" s="266">
        <v>44574.0</v>
      </c>
      <c r="F375" s="267">
        <v>0.4270833333333333</v>
      </c>
      <c r="G375" s="264" t="s">
        <v>6323</v>
      </c>
      <c r="H375" s="264" t="s">
        <v>14</v>
      </c>
      <c r="I375" s="264" t="s">
        <v>6222</v>
      </c>
      <c r="J375" s="264" t="s">
        <v>6083</v>
      </c>
      <c r="K375" s="264"/>
      <c r="L375" s="264" t="s">
        <v>6242</v>
      </c>
      <c r="M375" s="264"/>
      <c r="N375" s="264"/>
      <c r="O375" s="264" t="s">
        <v>5</v>
      </c>
      <c r="P375" s="264"/>
      <c r="Q375" s="264"/>
      <c r="R375" s="264"/>
      <c r="S375" s="264"/>
      <c r="T375" s="264"/>
      <c r="U375" s="264"/>
      <c r="V375" s="264"/>
      <c r="W375" s="264"/>
      <c r="X375" s="264"/>
      <c r="Y375" s="264"/>
      <c r="Z375" s="264"/>
    </row>
    <row r="376">
      <c r="A376" s="264"/>
      <c r="B376" s="264" t="s">
        <v>2413</v>
      </c>
      <c r="C376" s="264">
        <v>13668.0</v>
      </c>
      <c r="D376" s="268">
        <v>23634.0</v>
      </c>
      <c r="E376" s="266">
        <v>44574.0</v>
      </c>
      <c r="F376" s="267">
        <v>0.4375</v>
      </c>
      <c r="G376" s="264" t="s">
        <v>6328</v>
      </c>
      <c r="H376" s="264" t="s">
        <v>12</v>
      </c>
      <c r="I376" s="264" t="s">
        <v>6212</v>
      </c>
      <c r="J376" s="264" t="s">
        <v>6136</v>
      </c>
      <c r="K376" s="264"/>
      <c r="L376" s="264" t="s">
        <v>6242</v>
      </c>
      <c r="M376" s="264"/>
      <c r="N376" s="264"/>
      <c r="O376" s="264" t="s">
        <v>5</v>
      </c>
      <c r="P376" s="264"/>
      <c r="Q376" s="264"/>
      <c r="R376" s="264"/>
      <c r="S376" s="264"/>
      <c r="T376" s="264"/>
      <c r="U376" s="264"/>
      <c r="V376" s="264"/>
      <c r="W376" s="264"/>
      <c r="X376" s="264"/>
      <c r="Y376" s="264"/>
      <c r="Z376" s="264"/>
    </row>
    <row r="377">
      <c r="A377" s="264"/>
      <c r="B377" s="264" t="s">
        <v>2562</v>
      </c>
      <c r="C377" s="264">
        <v>13860.0</v>
      </c>
      <c r="D377" s="268">
        <v>23450.0</v>
      </c>
      <c r="E377" s="266">
        <v>44574.0</v>
      </c>
      <c r="F377" s="267">
        <v>0.4583333333333333</v>
      </c>
      <c r="G377" s="264" t="s">
        <v>6328</v>
      </c>
      <c r="H377" s="264" t="s">
        <v>14</v>
      </c>
      <c r="I377" s="264" t="s">
        <v>6222</v>
      </c>
      <c r="J377" s="264" t="s">
        <v>6091</v>
      </c>
      <c r="K377" s="264"/>
      <c r="L377" s="264" t="s">
        <v>6242</v>
      </c>
      <c r="M377" s="264"/>
      <c r="N377" s="264"/>
      <c r="O377" s="264" t="s">
        <v>5</v>
      </c>
      <c r="P377" s="264"/>
      <c r="Q377" s="264"/>
      <c r="R377" s="264"/>
      <c r="S377" s="264"/>
      <c r="T377" s="264"/>
      <c r="U377" s="264"/>
      <c r="V377" s="264"/>
      <c r="W377" s="264"/>
      <c r="X377" s="264"/>
      <c r="Y377" s="264"/>
      <c r="Z377" s="264"/>
    </row>
    <row r="378">
      <c r="A378" s="264"/>
      <c r="B378" s="264" t="s">
        <v>1184</v>
      </c>
      <c r="C378" s="264">
        <v>11910.0</v>
      </c>
      <c r="D378" s="268">
        <v>25986.0</v>
      </c>
      <c r="E378" s="266">
        <v>44574.0</v>
      </c>
      <c r="F378" s="267">
        <v>0.4375</v>
      </c>
      <c r="G378" s="264" t="s">
        <v>6328</v>
      </c>
      <c r="H378" s="264" t="s">
        <v>15</v>
      </c>
      <c r="I378" s="264" t="s">
        <v>6219</v>
      </c>
      <c r="J378" s="264" t="s">
        <v>6101</v>
      </c>
      <c r="K378" s="264"/>
      <c r="L378" s="264" t="s">
        <v>6242</v>
      </c>
      <c r="M378" s="264"/>
      <c r="N378" s="264"/>
      <c r="O378" s="264" t="s">
        <v>5</v>
      </c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</row>
    <row r="379">
      <c r="A379" s="264"/>
      <c r="B379" s="264" t="s">
        <v>895</v>
      </c>
      <c r="C379" s="264">
        <v>11282.0</v>
      </c>
      <c r="D379" s="268">
        <v>20131.0</v>
      </c>
      <c r="E379" s="266">
        <v>44574.0</v>
      </c>
      <c r="F379" s="267">
        <v>0.4166666666666667</v>
      </c>
      <c r="G379" s="264" t="s">
        <v>6328</v>
      </c>
      <c r="H379" s="264" t="s">
        <v>15</v>
      </c>
      <c r="I379" s="264" t="s">
        <v>6219</v>
      </c>
      <c r="J379" s="264" t="s">
        <v>6199</v>
      </c>
      <c r="K379" s="264"/>
      <c r="L379" s="264" t="s">
        <v>6242</v>
      </c>
      <c r="M379" s="264"/>
      <c r="N379" s="264"/>
      <c r="O379" s="264" t="s">
        <v>5</v>
      </c>
      <c r="P379" s="264"/>
      <c r="Q379" s="264"/>
      <c r="R379" s="264"/>
      <c r="S379" s="264"/>
      <c r="T379" s="264"/>
      <c r="U379" s="264"/>
      <c r="V379" s="264"/>
      <c r="W379" s="264"/>
      <c r="X379" s="264"/>
      <c r="Y379" s="264"/>
      <c r="Z379" s="264"/>
    </row>
    <row r="380">
      <c r="A380" s="264"/>
      <c r="B380" s="264" t="s">
        <v>3650</v>
      </c>
      <c r="C380" s="264">
        <v>15214.0</v>
      </c>
      <c r="D380" s="268">
        <v>17411.0</v>
      </c>
      <c r="E380" s="266">
        <v>44574.0</v>
      </c>
      <c r="F380" s="267">
        <v>0.4583333333333333</v>
      </c>
      <c r="G380" s="264" t="s">
        <v>6323</v>
      </c>
      <c r="H380" s="264" t="s">
        <v>15</v>
      </c>
      <c r="I380" s="264" t="s">
        <v>6222</v>
      </c>
      <c r="J380" s="264" t="s">
        <v>6193</v>
      </c>
      <c r="K380" s="264"/>
      <c r="L380" s="264" t="s">
        <v>6242</v>
      </c>
      <c r="M380" s="264" t="s">
        <v>6242</v>
      </c>
      <c r="N380" s="264"/>
      <c r="O380" s="264" t="s">
        <v>6220</v>
      </c>
      <c r="P380" s="264"/>
      <c r="Q380" s="264"/>
      <c r="R380" s="264"/>
      <c r="S380" s="264"/>
      <c r="T380" s="264"/>
      <c r="U380" s="264"/>
      <c r="V380" s="264"/>
      <c r="W380" s="264"/>
      <c r="X380" s="264"/>
      <c r="Y380" s="264"/>
      <c r="Z380" s="264"/>
    </row>
    <row r="381">
      <c r="A381" s="264"/>
      <c r="B381" s="264" t="s">
        <v>1488</v>
      </c>
      <c r="C381" s="264">
        <v>12477.0</v>
      </c>
      <c r="D381" s="268">
        <v>24073.0</v>
      </c>
      <c r="E381" s="266">
        <v>44574.0</v>
      </c>
      <c r="F381" s="267">
        <v>0.3645833333333333</v>
      </c>
      <c r="G381" s="264" t="s">
        <v>6323</v>
      </c>
      <c r="H381" s="264" t="s">
        <v>15</v>
      </c>
      <c r="I381" s="264" t="s">
        <v>6222</v>
      </c>
      <c r="J381" s="264" t="s">
        <v>6139</v>
      </c>
      <c r="K381" s="264"/>
      <c r="L381" s="264" t="s">
        <v>6242</v>
      </c>
      <c r="M381" s="264" t="s">
        <v>6242</v>
      </c>
      <c r="N381" s="264"/>
      <c r="O381" s="264" t="s">
        <v>6220</v>
      </c>
      <c r="P381" s="264"/>
      <c r="Q381" s="264"/>
      <c r="R381" s="264"/>
      <c r="S381" s="264"/>
      <c r="T381" s="264"/>
      <c r="U381" s="264"/>
      <c r="V381" s="264"/>
      <c r="W381" s="264"/>
      <c r="X381" s="264"/>
      <c r="Y381" s="264"/>
      <c r="Z381" s="264"/>
    </row>
    <row r="382">
      <c r="A382" s="264"/>
      <c r="B382" s="264" t="s">
        <v>1480</v>
      </c>
      <c r="C382" s="264">
        <v>12467.0</v>
      </c>
      <c r="D382" s="268">
        <v>20416.0</v>
      </c>
      <c r="E382" s="266">
        <v>44574.0</v>
      </c>
      <c r="F382" s="267">
        <v>0.4583333333333333</v>
      </c>
      <c r="G382" s="264" t="s">
        <v>6328</v>
      </c>
      <c r="H382" s="264" t="s">
        <v>15</v>
      </c>
      <c r="I382" s="264" t="s">
        <v>6219</v>
      </c>
      <c r="J382" s="264" t="s">
        <v>6095</v>
      </c>
      <c r="K382" s="264"/>
      <c r="L382" s="264" t="s">
        <v>6242</v>
      </c>
      <c r="M382" s="264"/>
      <c r="N382" s="264"/>
      <c r="O382" s="264" t="s">
        <v>5</v>
      </c>
      <c r="P382" s="264"/>
      <c r="Q382" s="264"/>
      <c r="R382" s="264"/>
      <c r="S382" s="264"/>
      <c r="T382" s="264"/>
      <c r="U382" s="264"/>
      <c r="V382" s="264"/>
      <c r="W382" s="264"/>
      <c r="X382" s="264"/>
      <c r="Y382" s="264"/>
      <c r="Z382" s="264"/>
    </row>
    <row r="383">
      <c r="A383" s="264"/>
      <c r="B383" s="264" t="s">
        <v>5981</v>
      </c>
      <c r="C383" s="264">
        <v>17890.0</v>
      </c>
      <c r="D383" s="268">
        <v>20526.0</v>
      </c>
      <c r="E383" s="266">
        <v>44574.0</v>
      </c>
      <c r="F383" s="267">
        <v>0.46875</v>
      </c>
      <c r="G383" s="264" t="s">
        <v>6323</v>
      </c>
      <c r="H383" s="264" t="s">
        <v>12</v>
      </c>
      <c r="I383" s="264" t="s">
        <v>6221</v>
      </c>
      <c r="J383" s="264" t="s">
        <v>6196</v>
      </c>
      <c r="K383" s="264" t="s">
        <v>6242</v>
      </c>
      <c r="L383" s="264"/>
      <c r="M383" s="264"/>
      <c r="N383" s="264"/>
      <c r="O383" s="264" t="s">
        <v>6214</v>
      </c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</row>
    <row r="384">
      <c r="A384" s="264"/>
      <c r="B384" s="264" t="s">
        <v>5594</v>
      </c>
      <c r="C384" s="264">
        <v>17630.0</v>
      </c>
      <c r="D384" s="268">
        <v>16735.0</v>
      </c>
      <c r="E384" s="266">
        <v>44574.0</v>
      </c>
      <c r="F384" s="267">
        <v>0.46875</v>
      </c>
      <c r="G384" s="264" t="s">
        <v>6328</v>
      </c>
      <c r="H384" s="264" t="s">
        <v>15</v>
      </c>
      <c r="I384" s="264" t="s">
        <v>6219</v>
      </c>
      <c r="J384" s="264" t="s">
        <v>6192</v>
      </c>
      <c r="K384" s="264"/>
      <c r="L384" s="264" t="s">
        <v>6242</v>
      </c>
      <c r="M384" s="264"/>
      <c r="N384" s="264"/>
      <c r="O384" s="264" t="s">
        <v>6216</v>
      </c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</row>
    <row r="385">
      <c r="A385" s="264"/>
      <c r="B385" s="264" t="s">
        <v>133</v>
      </c>
      <c r="C385" s="264">
        <v>9286.0</v>
      </c>
      <c r="D385" s="268">
        <v>14829.0</v>
      </c>
      <c r="E385" s="266">
        <v>44574.0</v>
      </c>
      <c r="F385" s="267">
        <v>0.5729166666666666</v>
      </c>
      <c r="G385" s="264" t="s">
        <v>6323</v>
      </c>
      <c r="H385" s="264" t="s">
        <v>12</v>
      </c>
      <c r="I385" s="264" t="s">
        <v>6212</v>
      </c>
      <c r="J385" s="264" t="s">
        <v>6137</v>
      </c>
      <c r="K385" s="264"/>
      <c r="L385" s="264" t="s">
        <v>6242</v>
      </c>
      <c r="M385" s="264"/>
      <c r="N385" s="264"/>
      <c r="O385" s="264" t="s">
        <v>5</v>
      </c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</row>
    <row r="386">
      <c r="A386" s="264"/>
      <c r="B386" s="264" t="s">
        <v>5226</v>
      </c>
      <c r="C386" s="264">
        <v>17125.0</v>
      </c>
      <c r="D386" s="268">
        <v>17554.0</v>
      </c>
      <c r="E386" s="266">
        <v>44574.0</v>
      </c>
      <c r="F386" s="267">
        <v>0.5520833333333334</v>
      </c>
      <c r="G386" s="264" t="s">
        <v>6328</v>
      </c>
      <c r="H386" s="264" t="s">
        <v>12</v>
      </c>
      <c r="I386" s="264" t="s">
        <v>6212</v>
      </c>
      <c r="J386" s="264" t="s">
        <v>6186</v>
      </c>
      <c r="K386" s="264"/>
      <c r="L386" s="264" t="s">
        <v>6242</v>
      </c>
      <c r="M386" s="264" t="s">
        <v>6242</v>
      </c>
      <c r="N386" s="264"/>
      <c r="O386" s="264" t="s">
        <v>6215</v>
      </c>
      <c r="P386" s="264"/>
      <c r="Q386" s="264"/>
      <c r="R386" s="264"/>
      <c r="S386" s="264"/>
      <c r="T386" s="264"/>
      <c r="U386" s="264"/>
      <c r="V386" s="264"/>
      <c r="W386" s="264"/>
      <c r="X386" s="264"/>
      <c r="Y386" s="264"/>
      <c r="Z386" s="264"/>
    </row>
    <row r="387">
      <c r="A387" s="264"/>
      <c r="B387" s="264" t="s">
        <v>3099</v>
      </c>
      <c r="C387" s="264">
        <v>14550.0</v>
      </c>
      <c r="D387" s="268">
        <v>23451.0</v>
      </c>
      <c r="E387" s="266">
        <v>44574.0</v>
      </c>
      <c r="F387" s="267">
        <v>0.59375</v>
      </c>
      <c r="G387" s="264" t="s">
        <v>6323</v>
      </c>
      <c r="H387" s="264" t="s">
        <v>12</v>
      </c>
      <c r="I387" s="264" t="s">
        <v>6221</v>
      </c>
      <c r="J387" s="264" t="s">
        <v>6193</v>
      </c>
      <c r="K387" s="264"/>
      <c r="L387" s="264" t="s">
        <v>6242</v>
      </c>
      <c r="M387" s="264"/>
      <c r="N387" s="264"/>
      <c r="O387" s="264" t="s">
        <v>6216</v>
      </c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</row>
    <row r="388">
      <c r="A388" s="264"/>
      <c r="B388" s="264" t="s">
        <v>1037</v>
      </c>
      <c r="C388" s="264">
        <v>11640.0</v>
      </c>
      <c r="D388" s="268">
        <v>23524.0</v>
      </c>
      <c r="E388" s="266">
        <v>44574.0</v>
      </c>
      <c r="F388" s="267">
        <v>0.5729166666666666</v>
      </c>
      <c r="G388" s="264" t="s">
        <v>6323</v>
      </c>
      <c r="H388" s="264" t="s">
        <v>15</v>
      </c>
      <c r="I388" s="264" t="s">
        <v>6222</v>
      </c>
      <c r="J388" s="264" t="s">
        <v>6139</v>
      </c>
      <c r="K388" s="264"/>
      <c r="L388" s="264" t="s">
        <v>6242</v>
      </c>
      <c r="M388" s="264"/>
      <c r="N388" s="264"/>
      <c r="O388" s="264" t="s">
        <v>6216</v>
      </c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</row>
    <row r="389">
      <c r="A389" s="264"/>
      <c r="B389" s="264" t="s">
        <v>5282</v>
      </c>
      <c r="C389" s="264">
        <v>17195.0</v>
      </c>
      <c r="D389" s="268">
        <v>23337.0</v>
      </c>
      <c r="E389" s="266">
        <v>44574.0</v>
      </c>
      <c r="F389" s="267">
        <v>0.5625</v>
      </c>
      <c r="G389" s="264" t="s">
        <v>6328</v>
      </c>
      <c r="H389" s="264" t="s">
        <v>15</v>
      </c>
      <c r="I389" s="264" t="s">
        <v>6219</v>
      </c>
      <c r="J389" s="264" t="s">
        <v>6142</v>
      </c>
      <c r="K389" s="264"/>
      <c r="L389" s="264" t="s">
        <v>6242</v>
      </c>
      <c r="M389" s="264"/>
      <c r="N389" s="264"/>
      <c r="O389" s="264" t="s">
        <v>6216</v>
      </c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</row>
    <row r="390">
      <c r="A390" s="264"/>
      <c r="B390" s="264" t="s">
        <v>2720</v>
      </c>
      <c r="C390" s="264">
        <v>14073.0</v>
      </c>
      <c r="D390" s="268">
        <v>19245.0</v>
      </c>
      <c r="E390" s="266">
        <v>44574.0</v>
      </c>
      <c r="F390" s="267">
        <v>0.5416666666666666</v>
      </c>
      <c r="G390" s="264" t="s">
        <v>6328</v>
      </c>
      <c r="H390" s="264" t="s">
        <v>15</v>
      </c>
      <c r="I390" s="264" t="s">
        <v>6219</v>
      </c>
      <c r="J390" s="264" t="s">
        <v>6199</v>
      </c>
      <c r="K390" s="264"/>
      <c r="L390" s="264" t="s">
        <v>6242</v>
      </c>
      <c r="M390" s="264"/>
      <c r="N390" s="264"/>
      <c r="O390" s="264" t="s">
        <v>5</v>
      </c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</row>
    <row r="391">
      <c r="A391" s="264"/>
      <c r="B391" s="264" t="s">
        <v>79</v>
      </c>
      <c r="C391" s="264">
        <v>9210.0</v>
      </c>
      <c r="D391" s="268">
        <v>9983.0</v>
      </c>
      <c r="E391" s="266">
        <v>44574.0</v>
      </c>
      <c r="F391" s="267">
        <v>0.5625</v>
      </c>
      <c r="G391" s="264" t="s">
        <v>6323</v>
      </c>
      <c r="H391" s="264" t="s">
        <v>13</v>
      </c>
      <c r="I391" s="264" t="s">
        <v>6221</v>
      </c>
      <c r="J391" s="264" t="s">
        <v>6137</v>
      </c>
      <c r="K391" s="264"/>
      <c r="L391" s="264" t="s">
        <v>6242</v>
      </c>
      <c r="M391" s="264" t="s">
        <v>6242</v>
      </c>
      <c r="N391" s="264"/>
      <c r="O391" s="264" t="s">
        <v>6215</v>
      </c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</row>
    <row r="392">
      <c r="A392" s="264"/>
      <c r="B392" s="264" t="s">
        <v>3217</v>
      </c>
      <c r="C392" s="264">
        <v>14691.0</v>
      </c>
      <c r="D392" s="268">
        <v>18045.0</v>
      </c>
      <c r="E392" s="266">
        <v>44574.0</v>
      </c>
      <c r="F392" s="267">
        <v>0.5729166666666666</v>
      </c>
      <c r="G392" s="264" t="s">
        <v>6323</v>
      </c>
      <c r="H392" s="264" t="s">
        <v>13</v>
      </c>
      <c r="I392" s="264" t="s">
        <v>6221</v>
      </c>
      <c r="J392" s="264" t="s">
        <v>6137</v>
      </c>
      <c r="K392" s="264"/>
      <c r="L392" s="264" t="s">
        <v>6242</v>
      </c>
      <c r="M392" s="264"/>
      <c r="N392" s="264"/>
      <c r="O392" s="264" t="s">
        <v>5</v>
      </c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</row>
    <row r="393">
      <c r="A393" s="264"/>
      <c r="B393" s="264" t="s">
        <v>83</v>
      </c>
      <c r="C393" s="264">
        <v>9214.0</v>
      </c>
      <c r="D393" s="268">
        <v>20158.0</v>
      </c>
      <c r="E393" s="266">
        <v>44574.0</v>
      </c>
      <c r="F393" s="267">
        <v>0.5833333333333334</v>
      </c>
      <c r="G393" s="264" t="s">
        <v>6323</v>
      </c>
      <c r="H393" s="264" t="s">
        <v>14</v>
      </c>
      <c r="I393" s="264" t="s">
        <v>6219</v>
      </c>
      <c r="J393" s="264" t="s">
        <v>6094</v>
      </c>
      <c r="K393" s="264"/>
      <c r="L393" s="264" t="s">
        <v>6242</v>
      </c>
      <c r="M393" s="264" t="s">
        <v>6242</v>
      </c>
      <c r="N393" s="264"/>
      <c r="O393" s="264" t="s">
        <v>6215</v>
      </c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</row>
    <row r="394">
      <c r="A394" s="264"/>
      <c r="B394" s="264" t="s">
        <v>4197</v>
      </c>
      <c r="C394" s="264">
        <v>15842.0</v>
      </c>
      <c r="D394" s="268">
        <v>18789.0</v>
      </c>
      <c r="E394" s="266">
        <v>44574.0</v>
      </c>
      <c r="F394" s="267" t="e">
        <v>#N/A</v>
      </c>
      <c r="G394" s="264" t="s">
        <v>6323</v>
      </c>
      <c r="H394" s="264" t="s">
        <v>14</v>
      </c>
      <c r="I394" s="264" t="e">
        <v>#N/A</v>
      </c>
      <c r="J394" s="264" t="e">
        <v>#N/A</v>
      </c>
      <c r="K394" s="264"/>
      <c r="L394" s="264" t="s">
        <v>6242</v>
      </c>
      <c r="M394" s="264"/>
      <c r="N394" s="264"/>
      <c r="O394" s="264" t="e">
        <v>#N/A</v>
      </c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</row>
    <row r="395">
      <c r="A395" s="264"/>
      <c r="B395" s="264" t="s">
        <v>3236</v>
      </c>
      <c r="C395" s="264">
        <v>14713.0</v>
      </c>
      <c r="D395" s="268">
        <v>17115.0</v>
      </c>
      <c r="E395" s="266">
        <v>44574.0</v>
      </c>
      <c r="F395" s="267">
        <v>0.6041666666666666</v>
      </c>
      <c r="G395" s="264" t="s">
        <v>6328</v>
      </c>
      <c r="H395" s="264" t="s">
        <v>12</v>
      </c>
      <c r="I395" s="264" t="s">
        <v>6221</v>
      </c>
      <c r="J395" s="264" t="s">
        <v>6196</v>
      </c>
      <c r="K395" s="264"/>
      <c r="L395" s="264" t="s">
        <v>6242</v>
      </c>
      <c r="M395" s="264"/>
      <c r="N395" s="264"/>
      <c r="O395" s="264" t="s">
        <v>6216</v>
      </c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</row>
    <row r="396">
      <c r="A396" s="264"/>
      <c r="B396" s="264" t="s">
        <v>439</v>
      </c>
      <c r="C396" s="264">
        <v>10164.0</v>
      </c>
      <c r="D396" s="268">
        <v>21050.0</v>
      </c>
      <c r="E396" s="266">
        <v>44574.0</v>
      </c>
      <c r="F396" s="267">
        <v>0.5625</v>
      </c>
      <c r="G396" s="264" t="s">
        <v>6323</v>
      </c>
      <c r="H396" s="264" t="s">
        <v>14</v>
      </c>
      <c r="I396" s="264" t="s">
        <v>6222</v>
      </c>
      <c r="J396" s="264" t="s">
        <v>6142</v>
      </c>
      <c r="K396" s="264"/>
      <c r="L396" s="264" t="s">
        <v>6242</v>
      </c>
      <c r="M396" s="264" t="s">
        <v>6242</v>
      </c>
      <c r="N396" s="264"/>
      <c r="O396" s="264" t="s">
        <v>6220</v>
      </c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</row>
    <row r="397">
      <c r="A397" s="264"/>
      <c r="B397" s="264" t="s">
        <v>2723</v>
      </c>
      <c r="C397" s="264">
        <v>14076.0</v>
      </c>
      <c r="D397" s="268">
        <v>29289.0</v>
      </c>
      <c r="E397" s="266">
        <v>44574.0</v>
      </c>
      <c r="F397" s="267">
        <v>0.59375</v>
      </c>
      <c r="G397" s="264" t="s">
        <v>6328</v>
      </c>
      <c r="H397" s="264" t="s">
        <v>13</v>
      </c>
      <c r="I397" s="264" t="s">
        <v>6212</v>
      </c>
      <c r="J397" s="264" t="s">
        <v>6199</v>
      </c>
      <c r="K397" s="264"/>
      <c r="L397" s="264" t="s">
        <v>6242</v>
      </c>
      <c r="M397" s="264"/>
      <c r="N397" s="264"/>
      <c r="O397" s="264" t="s">
        <v>5</v>
      </c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</row>
    <row r="398">
      <c r="A398" s="264"/>
      <c r="B398" s="264" t="s">
        <v>5993</v>
      </c>
      <c r="C398" s="264">
        <v>17850.0</v>
      </c>
      <c r="D398" s="268">
        <v>21645.0</v>
      </c>
      <c r="E398" s="266">
        <v>44574.0</v>
      </c>
      <c r="F398" s="267">
        <v>0.59375</v>
      </c>
      <c r="G398" s="264" t="s">
        <v>6328</v>
      </c>
      <c r="H398" s="264" t="s">
        <v>12</v>
      </c>
      <c r="I398" s="264" t="s">
        <v>6221</v>
      </c>
      <c r="J398" s="264" t="s">
        <v>6196</v>
      </c>
      <c r="K398" s="264" t="s">
        <v>6242</v>
      </c>
      <c r="L398" s="264"/>
      <c r="M398" s="264"/>
      <c r="N398" s="264"/>
      <c r="O398" s="264" t="s">
        <v>6214</v>
      </c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</row>
    <row r="399">
      <c r="A399" s="264"/>
      <c r="B399" s="264" t="s">
        <v>2623</v>
      </c>
      <c r="C399" s="264">
        <v>13938.0</v>
      </c>
      <c r="D399" s="268">
        <v>17231.0</v>
      </c>
      <c r="E399" s="266">
        <v>44574.0</v>
      </c>
      <c r="F399" s="267">
        <v>0.6041666666666666</v>
      </c>
      <c r="G399" s="264" t="s">
        <v>6328</v>
      </c>
      <c r="H399" s="264" t="s">
        <v>13</v>
      </c>
      <c r="I399" s="264" t="s">
        <v>6212</v>
      </c>
      <c r="J399" s="264" t="s">
        <v>6199</v>
      </c>
      <c r="K399" s="264"/>
      <c r="L399" s="264" t="s">
        <v>6242</v>
      </c>
      <c r="M399" s="264"/>
      <c r="N399" s="264"/>
      <c r="O399" s="264" t="s">
        <v>5</v>
      </c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</row>
    <row r="400">
      <c r="A400" s="264"/>
      <c r="B400" s="264" t="s">
        <v>1669</v>
      </c>
      <c r="C400" s="264">
        <v>12740.0</v>
      </c>
      <c r="D400" s="268">
        <v>24173.0</v>
      </c>
      <c r="E400" s="266">
        <v>44574.0</v>
      </c>
      <c r="F400" s="267">
        <v>0.5833333333333334</v>
      </c>
      <c r="G400" s="264" t="s">
        <v>6328</v>
      </c>
      <c r="H400" s="264" t="s">
        <v>14</v>
      </c>
      <c r="I400" s="264" t="s">
        <v>6222</v>
      </c>
      <c r="J400" s="264" t="s">
        <v>6199</v>
      </c>
      <c r="K400" s="264"/>
      <c r="L400" s="264" t="s">
        <v>6242</v>
      </c>
      <c r="M400" s="264"/>
      <c r="N400" s="264"/>
      <c r="O400" s="264" t="s">
        <v>5</v>
      </c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</row>
    <row r="401">
      <c r="A401" s="264"/>
      <c r="B401" s="264" t="s">
        <v>5572</v>
      </c>
      <c r="C401" s="264">
        <v>17577.0</v>
      </c>
      <c r="D401" s="268">
        <v>23885.0</v>
      </c>
      <c r="E401" s="266">
        <v>44574.0</v>
      </c>
      <c r="F401" s="267">
        <v>0.6041666666666666</v>
      </c>
      <c r="G401" s="264" t="s">
        <v>6328</v>
      </c>
      <c r="H401" s="264" t="s">
        <v>14</v>
      </c>
      <c r="I401" s="264" t="s">
        <v>6222</v>
      </c>
      <c r="J401" s="264" t="s">
        <v>6196</v>
      </c>
      <c r="K401" s="264"/>
      <c r="L401" s="264" t="s">
        <v>6242</v>
      </c>
      <c r="M401" s="264" t="s">
        <v>6242</v>
      </c>
      <c r="N401" s="264"/>
      <c r="O401" s="264" t="s">
        <v>6220</v>
      </c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</row>
    <row r="402">
      <c r="A402" s="264"/>
      <c r="B402" s="264" t="s">
        <v>2111</v>
      </c>
      <c r="C402" s="264">
        <v>13278.0</v>
      </c>
      <c r="D402" s="268">
        <v>20536.0</v>
      </c>
      <c r="E402" s="266">
        <v>44574.0</v>
      </c>
      <c r="F402" s="267">
        <v>0.6145833333333334</v>
      </c>
      <c r="G402" s="264" t="s">
        <v>6323</v>
      </c>
      <c r="H402" s="264" t="s">
        <v>14</v>
      </c>
      <c r="I402" s="264" t="s">
        <v>6222</v>
      </c>
      <c r="J402" s="264" t="s">
        <v>6117</v>
      </c>
      <c r="K402" s="264"/>
      <c r="L402" s="264" t="s">
        <v>6242</v>
      </c>
      <c r="M402" s="264"/>
      <c r="N402" s="264"/>
      <c r="O402" s="264" t="s">
        <v>5</v>
      </c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</row>
    <row r="403">
      <c r="A403" s="264"/>
      <c r="B403" s="264" t="s">
        <v>1932</v>
      </c>
      <c r="C403" s="264">
        <v>13050.0</v>
      </c>
      <c r="D403" s="268">
        <v>23718.0</v>
      </c>
      <c r="E403" s="266">
        <v>44574.0</v>
      </c>
      <c r="F403" s="267">
        <v>0.625</v>
      </c>
      <c r="G403" s="264" t="s">
        <v>6328</v>
      </c>
      <c r="H403" s="264" t="s">
        <v>14</v>
      </c>
      <c r="I403" s="264" t="s">
        <v>6222</v>
      </c>
      <c r="J403" s="264" t="s">
        <v>6196</v>
      </c>
      <c r="K403" s="264"/>
      <c r="L403" s="264" t="s">
        <v>6242</v>
      </c>
      <c r="M403" s="264" t="s">
        <v>6242</v>
      </c>
      <c r="N403" s="264"/>
      <c r="O403" s="264" t="s">
        <v>6220</v>
      </c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</row>
    <row r="404">
      <c r="A404" s="264"/>
      <c r="B404" s="264" t="s">
        <v>5425</v>
      </c>
      <c r="C404" s="264">
        <v>17376.0</v>
      </c>
      <c r="D404" s="268">
        <v>16276.0</v>
      </c>
      <c r="E404" s="266">
        <v>44574.0</v>
      </c>
      <c r="F404" s="267"/>
      <c r="G404" s="264" t="s">
        <v>6323</v>
      </c>
      <c r="H404" s="264" t="s">
        <v>12</v>
      </c>
      <c r="I404" s="264" t="s">
        <v>6221</v>
      </c>
      <c r="J404" s="264" t="s">
        <v>6190</v>
      </c>
      <c r="K404" s="264" t="s">
        <v>6242</v>
      </c>
      <c r="L404" s="264"/>
      <c r="M404" s="264"/>
      <c r="N404" s="264"/>
      <c r="O404" s="264" t="s">
        <v>6214</v>
      </c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</row>
    <row r="405">
      <c r="A405" s="264"/>
      <c r="B405" s="264" t="s">
        <v>4044</v>
      </c>
      <c r="C405" s="264">
        <v>15673.0</v>
      </c>
      <c r="D405" s="268">
        <v>21105.0</v>
      </c>
      <c r="E405" s="266">
        <v>44574.0</v>
      </c>
      <c r="F405" s="267">
        <v>0.625</v>
      </c>
      <c r="G405" s="264" t="s">
        <v>6323</v>
      </c>
      <c r="H405" s="264" t="s">
        <v>12</v>
      </c>
      <c r="I405" s="264" t="s">
        <v>6221</v>
      </c>
      <c r="J405" s="264" t="s">
        <v>6193</v>
      </c>
      <c r="K405" s="264"/>
      <c r="L405" s="264" t="s">
        <v>6242</v>
      </c>
      <c r="M405" s="264" t="s">
        <v>6242</v>
      </c>
      <c r="N405" s="264"/>
      <c r="O405" s="264" t="s">
        <v>6220</v>
      </c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</row>
    <row r="406">
      <c r="A406" s="264"/>
      <c r="B406" s="264" t="s">
        <v>4003</v>
      </c>
      <c r="C406" s="264">
        <v>15628.0</v>
      </c>
      <c r="D406" s="268">
        <v>25832.0</v>
      </c>
      <c r="E406" s="266">
        <v>44574.0</v>
      </c>
      <c r="F406" s="267">
        <v>0.6145833333333334</v>
      </c>
      <c r="G406" s="264" t="s">
        <v>6323</v>
      </c>
      <c r="H406" s="264" t="s">
        <v>13</v>
      </c>
      <c r="I406" s="264" t="s">
        <v>6212</v>
      </c>
      <c r="J406" s="264" t="s">
        <v>6142</v>
      </c>
      <c r="K406" s="264"/>
      <c r="L406" s="264" t="s">
        <v>6242</v>
      </c>
      <c r="M406" s="264"/>
      <c r="N406" s="264"/>
      <c r="O406" s="264" t="s">
        <v>6216</v>
      </c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</row>
    <row r="407">
      <c r="A407" s="264"/>
      <c r="B407" s="264" t="s">
        <v>4067</v>
      </c>
      <c r="C407" s="264">
        <v>15699.0</v>
      </c>
      <c r="D407" s="268">
        <v>19665.0</v>
      </c>
      <c r="E407" s="266">
        <v>44574.0</v>
      </c>
      <c r="F407" s="267">
        <v>0.625</v>
      </c>
      <c r="G407" s="264" t="s">
        <v>6328</v>
      </c>
      <c r="H407" s="264" t="s">
        <v>15</v>
      </c>
      <c r="I407" s="264" t="s">
        <v>6219</v>
      </c>
      <c r="J407" s="264" t="s">
        <v>6196</v>
      </c>
      <c r="K407" s="264"/>
      <c r="L407" s="264" t="s">
        <v>6242</v>
      </c>
      <c r="M407" s="264" t="s">
        <v>6242</v>
      </c>
      <c r="N407" s="264"/>
      <c r="O407" s="264" t="s">
        <v>6220</v>
      </c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</row>
    <row r="408">
      <c r="A408" s="264"/>
      <c r="B408" s="264" t="s">
        <v>1832</v>
      </c>
      <c r="C408" s="264">
        <v>12933.0</v>
      </c>
      <c r="D408" s="268">
        <v>22390.0</v>
      </c>
      <c r="E408" s="266">
        <v>44574.0</v>
      </c>
      <c r="F408" s="267">
        <v>0.5625</v>
      </c>
      <c r="G408" s="264" t="s">
        <v>6328</v>
      </c>
      <c r="H408" s="264" t="s">
        <v>15</v>
      </c>
      <c r="I408" s="264" t="s">
        <v>6219</v>
      </c>
      <c r="J408" s="264" t="s">
        <v>6095</v>
      </c>
      <c r="K408" s="264"/>
      <c r="L408" s="264" t="s">
        <v>6242</v>
      </c>
      <c r="M408" s="264"/>
      <c r="N408" s="264"/>
      <c r="O408" s="264" t="s">
        <v>5</v>
      </c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</row>
    <row r="409">
      <c r="A409" s="264"/>
      <c r="B409" s="264" t="s">
        <v>2206</v>
      </c>
      <c r="C409" s="264">
        <v>13405.0</v>
      </c>
      <c r="D409" s="268">
        <v>23929.0</v>
      </c>
      <c r="E409" s="266">
        <v>44574.0</v>
      </c>
      <c r="F409" s="267" t="e">
        <v>#N/A</v>
      </c>
      <c r="G409" s="264" t="s">
        <v>6323</v>
      </c>
      <c r="H409" s="264" t="s">
        <v>14</v>
      </c>
      <c r="I409" s="264" t="e">
        <v>#N/A</v>
      </c>
      <c r="J409" s="264" t="e">
        <v>#N/A</v>
      </c>
      <c r="K409" s="264"/>
      <c r="L409" s="264" t="s">
        <v>6242</v>
      </c>
      <c r="M409" s="264"/>
      <c r="N409" s="264"/>
      <c r="O409" s="264" t="e">
        <v>#N/A</v>
      </c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</row>
    <row r="410">
      <c r="A410" s="264"/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</row>
    <row r="411">
      <c r="A411" s="264"/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</row>
    <row r="412">
      <c r="A412" s="264"/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</row>
    <row r="413">
      <c r="A413" s="264"/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</row>
    <row r="414">
      <c r="A414" s="264"/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</row>
    <row r="415">
      <c r="A415" s="264"/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</row>
    <row r="416">
      <c r="A416" s="264"/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</row>
    <row r="417">
      <c r="A417" s="264"/>
      <c r="B417" s="264"/>
      <c r="C417" s="264"/>
      <c r="D417" s="264"/>
      <c r="E417" s="264"/>
      <c r="F417" s="264"/>
      <c r="G417" s="264"/>
      <c r="H417" s="264"/>
      <c r="I417" s="264"/>
      <c r="J417" s="264"/>
      <c r="K417" s="264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</row>
    <row r="418">
      <c r="A418" s="264"/>
      <c r="B418" s="264"/>
      <c r="C418" s="264"/>
      <c r="D418" s="264"/>
      <c r="E418" s="264"/>
      <c r="F418" s="264"/>
      <c r="G418" s="264"/>
      <c r="H418" s="264"/>
      <c r="I418" s="264"/>
      <c r="J418" s="264"/>
      <c r="K418" s="264"/>
      <c r="L418" s="264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</row>
    <row r="419">
      <c r="A419" s="264"/>
      <c r="B419" s="264"/>
      <c r="C419" s="264"/>
      <c r="D419" s="264"/>
      <c r="E419" s="264"/>
      <c r="F419" s="264"/>
      <c r="G419" s="264"/>
      <c r="H419" s="264"/>
      <c r="I419" s="264"/>
      <c r="J419" s="264"/>
      <c r="K419" s="264"/>
      <c r="L419" s="264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</row>
    <row r="420">
      <c r="A420" s="264"/>
      <c r="B420" s="264"/>
      <c r="C420" s="264"/>
      <c r="D420" s="264"/>
      <c r="E420" s="264"/>
      <c r="F420" s="264"/>
      <c r="G420" s="264"/>
      <c r="H420" s="264"/>
      <c r="I420" s="264"/>
      <c r="J420" s="264"/>
      <c r="K420" s="264"/>
      <c r="L420" s="264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</row>
    <row r="421">
      <c r="A421" s="264"/>
      <c r="B421" s="264"/>
      <c r="C421" s="264"/>
      <c r="D421" s="264"/>
      <c r="E421" s="264"/>
      <c r="F421" s="264"/>
      <c r="G421" s="264"/>
      <c r="H421" s="264"/>
      <c r="I421" s="264"/>
      <c r="J421" s="264"/>
      <c r="K421" s="264"/>
      <c r="L421" s="264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</row>
    <row r="422">
      <c r="A422" s="264"/>
      <c r="B422" s="264"/>
      <c r="C422" s="264"/>
      <c r="D422" s="264"/>
      <c r="E422" s="264"/>
      <c r="F422" s="264"/>
      <c r="G422" s="264"/>
      <c r="H422" s="264"/>
      <c r="I422" s="264"/>
      <c r="J422" s="264"/>
      <c r="K422" s="264"/>
      <c r="L422" s="264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</row>
    <row r="423">
      <c r="A423" s="264"/>
      <c r="B423" s="264"/>
      <c r="C423" s="264"/>
      <c r="D423" s="264"/>
      <c r="E423" s="264"/>
      <c r="F423" s="264"/>
      <c r="G423" s="264"/>
      <c r="H423" s="264"/>
      <c r="I423" s="264"/>
      <c r="J423" s="264"/>
      <c r="K423" s="264"/>
      <c r="L423" s="264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</row>
    <row r="424">
      <c r="A424" s="264"/>
      <c r="B424" s="264"/>
      <c r="C424" s="264"/>
      <c r="D424" s="264"/>
      <c r="E424" s="264"/>
      <c r="F424" s="264"/>
      <c r="G424" s="264"/>
      <c r="H424" s="264"/>
      <c r="I424" s="264"/>
      <c r="J424" s="264"/>
      <c r="K424" s="264"/>
      <c r="L424" s="264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</row>
    <row r="425">
      <c r="A425" s="264"/>
      <c r="B425" s="264"/>
      <c r="C425" s="264"/>
      <c r="D425" s="264"/>
      <c r="E425" s="264"/>
      <c r="F425" s="264"/>
      <c r="G425" s="264"/>
      <c r="H425" s="264"/>
      <c r="I425" s="264"/>
      <c r="J425" s="264"/>
      <c r="K425" s="264"/>
      <c r="L425" s="264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</row>
    <row r="426">
      <c r="A426" s="264"/>
      <c r="B426" s="264"/>
      <c r="C426" s="264"/>
      <c r="D426" s="264"/>
      <c r="E426" s="264"/>
      <c r="F426" s="264"/>
      <c r="G426" s="264"/>
      <c r="H426" s="264"/>
      <c r="I426" s="264"/>
      <c r="J426" s="264"/>
      <c r="K426" s="264"/>
      <c r="L426" s="264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</row>
    <row r="427">
      <c r="A427" s="264"/>
      <c r="B427" s="264"/>
      <c r="C427" s="264"/>
      <c r="D427" s="264"/>
      <c r="E427" s="264"/>
      <c r="F427" s="264"/>
      <c r="G427" s="264"/>
      <c r="H427" s="264"/>
      <c r="I427" s="264"/>
      <c r="J427" s="264"/>
      <c r="K427" s="264"/>
      <c r="L427" s="264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</row>
    <row r="428">
      <c r="A428" s="264"/>
      <c r="B428" s="264"/>
      <c r="C428" s="264"/>
      <c r="D428" s="264"/>
      <c r="E428" s="264"/>
      <c r="F428" s="264"/>
      <c r="G428" s="264"/>
      <c r="H428" s="264"/>
      <c r="I428" s="264"/>
      <c r="J428" s="264"/>
      <c r="K428" s="264"/>
      <c r="L428" s="264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</row>
    <row r="429">
      <c r="A429" s="264"/>
      <c r="B429" s="264"/>
      <c r="C429" s="264"/>
      <c r="D429" s="264"/>
      <c r="E429" s="264"/>
      <c r="F429" s="264"/>
      <c r="G429" s="264"/>
      <c r="H429" s="264"/>
      <c r="I429" s="264"/>
      <c r="J429" s="264"/>
      <c r="K429" s="264"/>
      <c r="L429" s="264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</row>
    <row r="430">
      <c r="A430" s="264"/>
      <c r="B430" s="264"/>
      <c r="C430" s="264"/>
      <c r="D430" s="264"/>
      <c r="E430" s="264"/>
      <c r="F430" s="264"/>
      <c r="G430" s="264"/>
      <c r="H430" s="264"/>
      <c r="I430" s="264"/>
      <c r="J430" s="264"/>
      <c r="K430" s="264"/>
      <c r="L430" s="264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</row>
    <row r="431">
      <c r="A431" s="264"/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</row>
    <row r="432">
      <c r="A432" s="264"/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</row>
    <row r="433">
      <c r="A433" s="264"/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</row>
    <row r="434">
      <c r="A434" s="264"/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</row>
    <row r="435">
      <c r="A435" s="264"/>
      <c r="B435" s="264"/>
      <c r="C435" s="264"/>
      <c r="D435" s="264"/>
      <c r="E435" s="264"/>
      <c r="F435" s="264"/>
      <c r="G435" s="264"/>
      <c r="H435" s="264"/>
      <c r="I435" s="264"/>
      <c r="J435" s="264"/>
      <c r="K435" s="264"/>
      <c r="L435" s="264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</row>
    <row r="436">
      <c r="A436" s="264"/>
      <c r="B436" s="264"/>
      <c r="C436" s="264"/>
      <c r="D436" s="264"/>
      <c r="E436" s="264"/>
      <c r="F436" s="264"/>
      <c r="G436" s="264"/>
      <c r="H436" s="264"/>
      <c r="I436" s="264"/>
      <c r="J436" s="264"/>
      <c r="K436" s="264"/>
      <c r="L436" s="264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</row>
    <row r="437">
      <c r="A437" s="264"/>
      <c r="B437" s="264"/>
      <c r="C437" s="264"/>
      <c r="D437" s="264"/>
      <c r="E437" s="264"/>
      <c r="F437" s="264"/>
      <c r="G437" s="264"/>
      <c r="H437" s="264"/>
      <c r="I437" s="264"/>
      <c r="J437" s="264"/>
      <c r="K437" s="264"/>
      <c r="L437" s="264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</row>
    <row r="438">
      <c r="A438" s="264"/>
      <c r="B438" s="264"/>
      <c r="C438" s="264"/>
      <c r="D438" s="264"/>
      <c r="E438" s="264"/>
      <c r="F438" s="264"/>
      <c r="G438" s="264"/>
      <c r="H438" s="264"/>
      <c r="I438" s="264"/>
      <c r="J438" s="264"/>
      <c r="K438" s="264"/>
      <c r="L438" s="264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</row>
    <row r="439">
      <c r="A439" s="264"/>
      <c r="B439" s="264"/>
      <c r="C439" s="264"/>
      <c r="D439" s="264"/>
      <c r="E439" s="264"/>
      <c r="F439" s="264"/>
      <c r="G439" s="264"/>
      <c r="H439" s="264"/>
      <c r="I439" s="264"/>
      <c r="J439" s="264"/>
      <c r="K439" s="264"/>
      <c r="L439" s="264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</row>
    <row r="440">
      <c r="A440" s="264"/>
      <c r="B440" s="264"/>
      <c r="C440" s="264"/>
      <c r="D440" s="264"/>
      <c r="E440" s="264"/>
      <c r="F440" s="264"/>
      <c r="G440" s="264"/>
      <c r="H440" s="264"/>
      <c r="I440" s="264"/>
      <c r="J440" s="264"/>
      <c r="K440" s="264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</row>
    <row r="441">
      <c r="A441" s="264"/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</row>
    <row r="442">
      <c r="A442" s="264"/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</row>
    <row r="443">
      <c r="A443" s="264"/>
      <c r="B443" s="264"/>
      <c r="C443" s="264"/>
      <c r="D443" s="264"/>
      <c r="E443" s="264"/>
      <c r="F443" s="264"/>
      <c r="G443" s="264"/>
      <c r="H443" s="264"/>
      <c r="I443" s="264"/>
      <c r="J443" s="264"/>
      <c r="K443" s="264"/>
      <c r="L443" s="264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</row>
    <row r="444">
      <c r="A444" s="264"/>
      <c r="B444" s="264"/>
      <c r="C444" s="264"/>
      <c r="D444" s="264"/>
      <c r="E444" s="264"/>
      <c r="F444" s="264"/>
      <c r="G444" s="264"/>
      <c r="H444" s="264"/>
      <c r="I444" s="264"/>
      <c r="J444" s="264"/>
      <c r="K444" s="264"/>
      <c r="L444" s="264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</row>
    <row r="445">
      <c r="A445" s="264"/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</row>
    <row r="446">
      <c r="A446" s="264"/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</row>
    <row r="447">
      <c r="A447" s="264"/>
      <c r="B447" s="264"/>
      <c r="C447" s="264"/>
      <c r="D447" s="264"/>
      <c r="E447" s="264"/>
      <c r="F447" s="264"/>
      <c r="G447" s="264"/>
      <c r="H447" s="264"/>
      <c r="I447" s="264"/>
      <c r="J447" s="264"/>
      <c r="K447" s="264"/>
      <c r="L447" s="264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</row>
    <row r="448">
      <c r="A448" s="264"/>
      <c r="B448" s="264"/>
      <c r="C448" s="264"/>
      <c r="D448" s="264"/>
      <c r="E448" s="264"/>
      <c r="F448" s="264"/>
      <c r="G448" s="264"/>
      <c r="H448" s="264"/>
      <c r="I448" s="264"/>
      <c r="J448" s="264"/>
      <c r="K448" s="264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</row>
    <row r="449">
      <c r="A449" s="264"/>
      <c r="B449" s="264"/>
      <c r="C449" s="264"/>
      <c r="D449" s="264"/>
      <c r="E449" s="264"/>
      <c r="F449" s="264"/>
      <c r="G449" s="264"/>
      <c r="H449" s="264"/>
      <c r="I449" s="264"/>
      <c r="J449" s="264"/>
      <c r="K449" s="264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</row>
    <row r="450">
      <c r="A450" s="264"/>
      <c r="B450" s="264"/>
      <c r="C450" s="264"/>
      <c r="D450" s="264"/>
      <c r="E450" s="264"/>
      <c r="F450" s="264"/>
      <c r="G450" s="264"/>
      <c r="H450" s="264"/>
      <c r="I450" s="264"/>
      <c r="J450" s="264"/>
      <c r="K450" s="264"/>
      <c r="L450" s="264"/>
      <c r="M450" s="264"/>
      <c r="N450" s="264"/>
      <c r="O450" s="264"/>
      <c r="P450" s="264"/>
      <c r="Q450" s="264"/>
      <c r="R450" s="264"/>
      <c r="S450" s="264"/>
      <c r="T450" s="264"/>
      <c r="U450" s="264"/>
      <c r="V450" s="264"/>
      <c r="W450" s="264"/>
      <c r="X450" s="264"/>
      <c r="Y450" s="264"/>
      <c r="Z450" s="264"/>
    </row>
    <row r="451">
      <c r="A451" s="264"/>
      <c r="B451" s="264"/>
      <c r="C451" s="264"/>
      <c r="D451" s="264"/>
      <c r="E451" s="264"/>
      <c r="F451" s="264"/>
      <c r="G451" s="264"/>
      <c r="H451" s="264"/>
      <c r="I451" s="264"/>
      <c r="J451" s="264"/>
      <c r="K451" s="264"/>
      <c r="L451" s="264"/>
      <c r="M451" s="264"/>
      <c r="N451" s="264"/>
      <c r="O451" s="264"/>
      <c r="P451" s="264"/>
      <c r="Q451" s="264"/>
      <c r="R451" s="264"/>
      <c r="S451" s="264"/>
      <c r="T451" s="264"/>
      <c r="U451" s="264"/>
      <c r="V451" s="264"/>
      <c r="W451" s="264"/>
      <c r="X451" s="264"/>
      <c r="Y451" s="264"/>
      <c r="Z451" s="264"/>
    </row>
    <row r="452">
      <c r="A452" s="264"/>
      <c r="B452" s="264"/>
      <c r="C452" s="264"/>
      <c r="D452" s="264"/>
      <c r="E452" s="264"/>
      <c r="F452" s="264"/>
      <c r="G452" s="264"/>
      <c r="H452" s="264"/>
      <c r="I452" s="264"/>
      <c r="J452" s="264"/>
      <c r="K452" s="264"/>
      <c r="L452" s="264"/>
      <c r="M452" s="264"/>
      <c r="N452" s="264"/>
      <c r="O452" s="264"/>
      <c r="P452" s="264"/>
      <c r="Q452" s="264"/>
      <c r="R452" s="264"/>
      <c r="S452" s="264"/>
      <c r="T452" s="264"/>
      <c r="U452" s="264"/>
      <c r="V452" s="264"/>
      <c r="W452" s="264"/>
      <c r="X452" s="264"/>
      <c r="Y452" s="264"/>
      <c r="Z452" s="264"/>
    </row>
    <row r="453">
      <c r="A453" s="264"/>
      <c r="B453" s="264"/>
      <c r="C453" s="264"/>
      <c r="D453" s="264"/>
      <c r="E453" s="264"/>
      <c r="F453" s="264"/>
      <c r="G453" s="264"/>
      <c r="H453" s="264"/>
      <c r="I453" s="264"/>
      <c r="J453" s="264"/>
      <c r="K453" s="264"/>
      <c r="L453" s="264"/>
      <c r="M453" s="264"/>
      <c r="N453" s="264"/>
      <c r="O453" s="264"/>
      <c r="P453" s="264"/>
      <c r="Q453" s="264"/>
      <c r="R453" s="264"/>
      <c r="S453" s="264"/>
      <c r="T453" s="264"/>
      <c r="U453" s="264"/>
      <c r="V453" s="264"/>
      <c r="W453" s="264"/>
      <c r="X453" s="264"/>
      <c r="Y453" s="264"/>
      <c r="Z453" s="264"/>
    </row>
    <row r="454">
      <c r="A454" s="264"/>
      <c r="B454" s="264"/>
      <c r="C454" s="264"/>
      <c r="D454" s="264"/>
      <c r="E454" s="264"/>
      <c r="F454" s="264"/>
      <c r="G454" s="264"/>
      <c r="H454" s="264"/>
      <c r="I454" s="264"/>
      <c r="J454" s="264"/>
      <c r="K454" s="264"/>
      <c r="L454" s="264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</row>
    <row r="455">
      <c r="A455" s="264"/>
      <c r="B455" s="264"/>
      <c r="C455" s="264"/>
      <c r="D455" s="264"/>
      <c r="E455" s="264"/>
      <c r="F455" s="264"/>
      <c r="G455" s="264"/>
      <c r="H455" s="264"/>
      <c r="I455" s="264"/>
      <c r="J455" s="264"/>
      <c r="K455" s="264"/>
      <c r="L455" s="264"/>
      <c r="M455" s="264"/>
      <c r="N455" s="264"/>
      <c r="O455" s="264"/>
      <c r="P455" s="264"/>
      <c r="Q455" s="264"/>
      <c r="R455" s="264"/>
      <c r="S455" s="264"/>
      <c r="T455" s="264"/>
      <c r="U455" s="264"/>
      <c r="V455" s="264"/>
      <c r="W455" s="264"/>
      <c r="X455" s="264"/>
      <c r="Y455" s="264"/>
      <c r="Z455" s="264"/>
    </row>
    <row r="456">
      <c r="A456" s="264"/>
      <c r="B456" s="264"/>
      <c r="C456" s="264"/>
      <c r="D456" s="264"/>
      <c r="E456" s="264"/>
      <c r="F456" s="264"/>
      <c r="G456" s="264"/>
      <c r="H456" s="264"/>
      <c r="I456" s="264"/>
      <c r="J456" s="264"/>
      <c r="K456" s="264"/>
      <c r="L456" s="264"/>
      <c r="M456" s="264"/>
      <c r="N456" s="264"/>
      <c r="O456" s="264"/>
      <c r="P456" s="264"/>
      <c r="Q456" s="264"/>
      <c r="R456" s="264"/>
      <c r="S456" s="264"/>
      <c r="T456" s="264"/>
      <c r="U456" s="264"/>
      <c r="V456" s="264"/>
      <c r="W456" s="264"/>
      <c r="X456" s="264"/>
      <c r="Y456" s="264"/>
      <c r="Z456" s="264"/>
    </row>
    <row r="457">
      <c r="A457" s="264"/>
      <c r="B457" s="264"/>
      <c r="C457" s="264"/>
      <c r="D457" s="264"/>
      <c r="E457" s="264"/>
      <c r="F457" s="264"/>
      <c r="G457" s="264"/>
      <c r="H457" s="264"/>
      <c r="I457" s="264"/>
      <c r="J457" s="264"/>
      <c r="K457" s="264"/>
      <c r="L457" s="264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4"/>
      <c r="X457" s="264"/>
      <c r="Y457" s="264"/>
      <c r="Z457" s="264"/>
    </row>
    <row r="458">
      <c r="A458" s="264"/>
      <c r="B458" s="264"/>
      <c r="C458" s="264"/>
      <c r="D458" s="264"/>
      <c r="E458" s="264"/>
      <c r="F458" s="264"/>
      <c r="G458" s="264"/>
      <c r="H458" s="264"/>
      <c r="I458" s="264"/>
      <c r="J458" s="264"/>
      <c r="K458" s="264"/>
      <c r="L458" s="264"/>
      <c r="M458" s="264"/>
      <c r="N458" s="264"/>
      <c r="O458" s="264"/>
      <c r="P458" s="264"/>
      <c r="Q458" s="264"/>
      <c r="R458" s="264"/>
      <c r="S458" s="264"/>
      <c r="T458" s="264"/>
      <c r="U458" s="264"/>
      <c r="V458" s="264"/>
      <c r="W458" s="264"/>
      <c r="X458" s="264"/>
      <c r="Y458" s="264"/>
      <c r="Z458" s="264"/>
    </row>
    <row r="459">
      <c r="A459" s="264"/>
      <c r="B459" s="264"/>
      <c r="C459" s="264"/>
      <c r="D459" s="264"/>
      <c r="E459" s="264"/>
      <c r="F459" s="264"/>
      <c r="G459" s="264"/>
      <c r="H459" s="264"/>
      <c r="I459" s="264"/>
      <c r="J459" s="264"/>
      <c r="K459" s="264"/>
      <c r="L459" s="264"/>
      <c r="M459" s="264"/>
      <c r="N459" s="264"/>
      <c r="O459" s="264"/>
      <c r="P459" s="264"/>
      <c r="Q459" s="264"/>
      <c r="R459" s="264"/>
      <c r="S459" s="264"/>
      <c r="T459" s="264"/>
      <c r="U459" s="264"/>
      <c r="V459" s="264"/>
      <c r="W459" s="264"/>
      <c r="X459" s="264"/>
      <c r="Y459" s="264"/>
      <c r="Z459" s="264"/>
    </row>
    <row r="460">
      <c r="A460" s="264"/>
      <c r="B460" s="264"/>
      <c r="C460" s="264"/>
      <c r="D460" s="264"/>
      <c r="E460" s="264"/>
      <c r="F460" s="264"/>
      <c r="G460" s="264"/>
      <c r="H460" s="264"/>
      <c r="I460" s="264"/>
      <c r="J460" s="264"/>
      <c r="K460" s="264"/>
      <c r="L460" s="264"/>
      <c r="M460" s="264"/>
      <c r="N460" s="264"/>
      <c r="O460" s="264"/>
      <c r="P460" s="264"/>
      <c r="Q460" s="264"/>
      <c r="R460" s="264"/>
      <c r="S460" s="264"/>
      <c r="T460" s="264"/>
      <c r="U460" s="264"/>
      <c r="V460" s="264"/>
      <c r="W460" s="264"/>
      <c r="X460" s="264"/>
      <c r="Y460" s="264"/>
      <c r="Z460" s="264"/>
    </row>
    <row r="461">
      <c r="A461" s="264"/>
      <c r="B461" s="264"/>
      <c r="C461" s="264"/>
      <c r="D461" s="264"/>
      <c r="E461" s="264"/>
      <c r="F461" s="264"/>
      <c r="G461" s="264"/>
      <c r="H461" s="264"/>
      <c r="I461" s="264"/>
      <c r="J461" s="264"/>
      <c r="K461" s="264"/>
      <c r="L461" s="264"/>
      <c r="M461" s="264"/>
      <c r="N461" s="264"/>
      <c r="O461" s="264"/>
      <c r="P461" s="264"/>
      <c r="Q461" s="264"/>
      <c r="R461" s="264"/>
      <c r="S461" s="264"/>
      <c r="T461" s="264"/>
      <c r="U461" s="264"/>
      <c r="V461" s="264"/>
      <c r="W461" s="264"/>
      <c r="X461" s="264"/>
      <c r="Y461" s="264"/>
      <c r="Z461" s="264"/>
    </row>
    <row r="462">
      <c r="A462" s="264"/>
      <c r="B462" s="264"/>
      <c r="C462" s="264"/>
      <c r="D462" s="264"/>
      <c r="E462" s="264"/>
      <c r="F462" s="264"/>
      <c r="G462" s="264"/>
      <c r="H462" s="264"/>
      <c r="I462" s="264"/>
      <c r="J462" s="264"/>
      <c r="K462" s="264"/>
      <c r="L462" s="264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</row>
    <row r="463">
      <c r="A463" s="264"/>
      <c r="B463" s="264"/>
      <c r="C463" s="264"/>
      <c r="D463" s="264"/>
      <c r="E463" s="264"/>
      <c r="F463" s="264"/>
      <c r="G463" s="264"/>
      <c r="H463" s="264"/>
      <c r="I463" s="264"/>
      <c r="J463" s="264"/>
      <c r="K463" s="264"/>
      <c r="L463" s="264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</row>
    <row r="464">
      <c r="A464" s="264"/>
      <c r="B464" s="264"/>
      <c r="C464" s="264"/>
      <c r="D464" s="264"/>
      <c r="E464" s="264"/>
      <c r="F464" s="264"/>
      <c r="G464" s="264"/>
      <c r="H464" s="264"/>
      <c r="I464" s="264"/>
      <c r="J464" s="264"/>
      <c r="K464" s="264"/>
      <c r="L464" s="264"/>
      <c r="M464" s="264"/>
      <c r="N464" s="264"/>
      <c r="O464" s="264"/>
      <c r="P464" s="264"/>
      <c r="Q464" s="264"/>
      <c r="R464" s="264"/>
      <c r="S464" s="264"/>
      <c r="T464" s="264"/>
      <c r="U464" s="264"/>
      <c r="V464" s="264"/>
      <c r="W464" s="264"/>
      <c r="X464" s="264"/>
      <c r="Y464" s="264"/>
      <c r="Z464" s="264"/>
    </row>
    <row r="465">
      <c r="A465" s="264"/>
      <c r="B465" s="264"/>
      <c r="C465" s="264"/>
      <c r="D465" s="264"/>
      <c r="E465" s="264"/>
      <c r="F465" s="264"/>
      <c r="G465" s="264"/>
      <c r="H465" s="264"/>
      <c r="I465" s="264"/>
      <c r="J465" s="264"/>
      <c r="K465" s="264"/>
      <c r="L465" s="264"/>
      <c r="M465" s="264"/>
      <c r="N465" s="264"/>
      <c r="O465" s="264"/>
      <c r="P465" s="264"/>
      <c r="Q465" s="264"/>
      <c r="R465" s="264"/>
      <c r="S465" s="264"/>
      <c r="T465" s="264"/>
      <c r="U465" s="264"/>
      <c r="V465" s="264"/>
      <c r="W465" s="264"/>
      <c r="X465" s="264"/>
      <c r="Y465" s="264"/>
      <c r="Z465" s="264"/>
    </row>
    <row r="466">
      <c r="A466" s="264"/>
      <c r="B466" s="264"/>
      <c r="C466" s="264"/>
      <c r="D466" s="264"/>
      <c r="E466" s="264"/>
      <c r="F466" s="264"/>
      <c r="G466" s="264"/>
      <c r="H466" s="264"/>
      <c r="I466" s="264"/>
      <c r="J466" s="264"/>
      <c r="K466" s="264"/>
      <c r="L466" s="264"/>
      <c r="M466" s="264"/>
      <c r="N466" s="264"/>
      <c r="O466" s="264"/>
      <c r="P466" s="264"/>
      <c r="Q466" s="264"/>
      <c r="R466" s="264"/>
      <c r="S466" s="264"/>
      <c r="T466" s="264"/>
      <c r="U466" s="264"/>
      <c r="V466" s="264"/>
      <c r="W466" s="264"/>
      <c r="X466" s="264"/>
      <c r="Y466" s="264"/>
      <c r="Z466" s="264"/>
    </row>
    <row r="467">
      <c r="A467" s="264"/>
      <c r="B467" s="264"/>
      <c r="C467" s="264"/>
      <c r="D467" s="264"/>
      <c r="E467" s="264"/>
      <c r="F467" s="264"/>
      <c r="G467" s="264"/>
      <c r="H467" s="264"/>
      <c r="I467" s="264"/>
      <c r="J467" s="264"/>
      <c r="K467" s="264"/>
      <c r="L467" s="264"/>
      <c r="M467" s="264"/>
      <c r="N467" s="264"/>
      <c r="O467" s="264"/>
      <c r="P467" s="264"/>
      <c r="Q467" s="264"/>
      <c r="R467" s="264"/>
      <c r="S467" s="264"/>
      <c r="T467" s="264"/>
      <c r="U467" s="264"/>
      <c r="V467" s="264"/>
      <c r="W467" s="264"/>
      <c r="X467" s="264"/>
      <c r="Y467" s="264"/>
      <c r="Z467" s="264"/>
    </row>
    <row r="468">
      <c r="A468" s="264"/>
      <c r="B468" s="264"/>
      <c r="C468" s="264"/>
      <c r="D468" s="264"/>
      <c r="E468" s="264"/>
      <c r="F468" s="264"/>
      <c r="G468" s="264"/>
      <c r="H468" s="264"/>
      <c r="I468" s="264"/>
      <c r="J468" s="264"/>
      <c r="K468" s="264"/>
      <c r="L468" s="264"/>
      <c r="M468" s="264"/>
      <c r="N468" s="264"/>
      <c r="O468" s="264"/>
      <c r="P468" s="264"/>
      <c r="Q468" s="264"/>
      <c r="R468" s="264"/>
      <c r="S468" s="264"/>
      <c r="T468" s="264"/>
      <c r="U468" s="264"/>
      <c r="V468" s="264"/>
      <c r="W468" s="264"/>
      <c r="X468" s="264"/>
      <c r="Y468" s="264"/>
      <c r="Z468" s="264"/>
    </row>
    <row r="469">
      <c r="A469" s="264"/>
      <c r="B469" s="264"/>
      <c r="C469" s="264"/>
      <c r="D469" s="264"/>
      <c r="E469" s="264"/>
      <c r="F469" s="264"/>
      <c r="G469" s="264"/>
      <c r="H469" s="264"/>
      <c r="I469" s="264"/>
      <c r="J469" s="264"/>
      <c r="K469" s="264"/>
      <c r="L469" s="264"/>
      <c r="M469" s="264"/>
      <c r="N469" s="264"/>
      <c r="O469" s="264"/>
      <c r="P469" s="264"/>
      <c r="Q469" s="264"/>
      <c r="R469" s="264"/>
      <c r="S469" s="264"/>
      <c r="T469" s="264"/>
      <c r="U469" s="264"/>
      <c r="V469" s="264"/>
      <c r="W469" s="264"/>
      <c r="X469" s="264"/>
      <c r="Y469" s="264"/>
      <c r="Z469" s="264"/>
    </row>
    <row r="470">
      <c r="A470" s="264"/>
      <c r="B470" s="264"/>
      <c r="C470" s="264"/>
      <c r="D470" s="264"/>
      <c r="E470" s="264"/>
      <c r="F470" s="264"/>
      <c r="G470" s="264"/>
      <c r="H470" s="264"/>
      <c r="I470" s="264"/>
      <c r="J470" s="264"/>
      <c r="K470" s="264"/>
      <c r="L470" s="264"/>
      <c r="M470" s="264"/>
      <c r="N470" s="264"/>
      <c r="O470" s="264"/>
      <c r="P470" s="264"/>
      <c r="Q470" s="264"/>
      <c r="R470" s="264"/>
      <c r="S470" s="264"/>
      <c r="T470" s="264"/>
      <c r="U470" s="264"/>
      <c r="V470" s="264"/>
      <c r="W470" s="264"/>
      <c r="X470" s="264"/>
      <c r="Y470" s="264"/>
      <c r="Z470" s="264"/>
    </row>
    <row r="471">
      <c r="A471" s="264"/>
      <c r="B471" s="264"/>
      <c r="C471" s="264"/>
      <c r="D471" s="264"/>
      <c r="E471" s="264"/>
      <c r="F471" s="264"/>
      <c r="G471" s="264"/>
      <c r="H471" s="264"/>
      <c r="I471" s="264"/>
      <c r="J471" s="264"/>
      <c r="K471" s="264"/>
      <c r="L471" s="264"/>
      <c r="M471" s="264"/>
      <c r="N471" s="264"/>
      <c r="O471" s="264"/>
      <c r="P471" s="264"/>
      <c r="Q471" s="264"/>
      <c r="R471" s="264"/>
      <c r="S471" s="264"/>
      <c r="T471" s="264"/>
      <c r="U471" s="264"/>
      <c r="V471" s="264"/>
      <c r="W471" s="264"/>
      <c r="X471" s="264"/>
      <c r="Y471" s="264"/>
      <c r="Z471" s="264"/>
    </row>
    <row r="472">
      <c r="A472" s="264"/>
      <c r="B472" s="264"/>
      <c r="C472" s="264"/>
      <c r="D472" s="264"/>
      <c r="E472" s="264"/>
      <c r="F472" s="264"/>
      <c r="G472" s="264"/>
      <c r="H472" s="264"/>
      <c r="I472" s="264"/>
      <c r="J472" s="264"/>
      <c r="K472" s="264"/>
      <c r="L472" s="264"/>
      <c r="M472" s="264"/>
      <c r="N472" s="264"/>
      <c r="O472" s="264"/>
      <c r="P472" s="264"/>
      <c r="Q472" s="264"/>
      <c r="R472" s="264"/>
      <c r="S472" s="264"/>
      <c r="T472" s="264"/>
      <c r="U472" s="264"/>
      <c r="V472" s="264"/>
      <c r="W472" s="264"/>
      <c r="X472" s="264"/>
      <c r="Y472" s="264"/>
      <c r="Z472" s="264"/>
    </row>
    <row r="473">
      <c r="A473" s="264"/>
      <c r="B473" s="264"/>
      <c r="C473" s="264"/>
      <c r="D473" s="264"/>
      <c r="E473" s="264"/>
      <c r="F473" s="264"/>
      <c r="G473" s="264"/>
      <c r="H473" s="264"/>
      <c r="I473" s="264"/>
      <c r="J473" s="264"/>
      <c r="K473" s="264"/>
      <c r="L473" s="264"/>
      <c r="M473" s="264"/>
      <c r="N473" s="264"/>
      <c r="O473" s="264"/>
      <c r="P473" s="264"/>
      <c r="Q473" s="264"/>
      <c r="R473" s="264"/>
      <c r="S473" s="264"/>
      <c r="T473" s="264"/>
      <c r="U473" s="264"/>
      <c r="V473" s="264"/>
      <c r="W473" s="264"/>
      <c r="X473" s="264"/>
      <c r="Y473" s="264"/>
      <c r="Z473" s="264"/>
    </row>
    <row r="474">
      <c r="A474" s="264"/>
      <c r="B474" s="264"/>
      <c r="C474" s="264"/>
      <c r="D474" s="264"/>
      <c r="E474" s="264"/>
      <c r="F474" s="264"/>
      <c r="G474" s="264"/>
      <c r="H474" s="264"/>
      <c r="I474" s="264"/>
      <c r="J474" s="264"/>
      <c r="K474" s="264"/>
      <c r="L474" s="264"/>
      <c r="M474" s="264"/>
      <c r="N474" s="264"/>
      <c r="O474" s="264"/>
      <c r="P474" s="264"/>
      <c r="Q474" s="264"/>
      <c r="R474" s="264"/>
      <c r="S474" s="264"/>
      <c r="T474" s="264"/>
      <c r="U474" s="264"/>
      <c r="V474" s="264"/>
      <c r="W474" s="264"/>
      <c r="X474" s="264"/>
      <c r="Y474" s="264"/>
      <c r="Z474" s="264"/>
    </row>
    <row r="475">
      <c r="A475" s="264"/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264"/>
      <c r="T475" s="264"/>
      <c r="U475" s="264"/>
      <c r="V475" s="264"/>
      <c r="W475" s="264"/>
      <c r="X475" s="264"/>
      <c r="Y475" s="264"/>
      <c r="Z475" s="264"/>
    </row>
    <row r="476">
      <c r="A476" s="264"/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264"/>
      <c r="T476" s="264"/>
      <c r="U476" s="264"/>
      <c r="V476" s="264"/>
      <c r="W476" s="264"/>
      <c r="X476" s="264"/>
      <c r="Y476" s="264"/>
      <c r="Z476" s="264"/>
    </row>
    <row r="477">
      <c r="A477" s="264"/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</row>
    <row r="478">
      <c r="A478" s="264"/>
      <c r="B478" s="264"/>
      <c r="C478" s="264"/>
      <c r="D478" s="264"/>
      <c r="E478" s="264"/>
      <c r="F478" s="264"/>
      <c r="G478" s="264"/>
      <c r="H478" s="264"/>
      <c r="I478" s="264"/>
      <c r="J478" s="264"/>
      <c r="K478" s="264"/>
      <c r="L478" s="264"/>
      <c r="M478" s="264"/>
      <c r="N478" s="264"/>
      <c r="O478" s="264"/>
      <c r="P478" s="264"/>
      <c r="Q478" s="264"/>
      <c r="R478" s="264"/>
      <c r="S478" s="264"/>
      <c r="T478" s="264"/>
      <c r="U478" s="264"/>
      <c r="V478" s="264"/>
      <c r="W478" s="264"/>
      <c r="X478" s="264"/>
      <c r="Y478" s="264"/>
      <c r="Z478" s="264"/>
    </row>
    <row r="479">
      <c r="A479" s="264"/>
      <c r="B479" s="264"/>
      <c r="C479" s="264"/>
      <c r="D479" s="264"/>
      <c r="E479" s="264"/>
      <c r="F479" s="264"/>
      <c r="G479" s="264"/>
      <c r="H479" s="264"/>
      <c r="I479" s="264"/>
      <c r="J479" s="264"/>
      <c r="K479" s="264"/>
      <c r="L479" s="264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</row>
    <row r="480">
      <c r="A480" s="264"/>
      <c r="B480" s="264"/>
      <c r="C480" s="264"/>
      <c r="D480" s="264"/>
      <c r="E480" s="264"/>
      <c r="F480" s="264"/>
      <c r="G480" s="264"/>
      <c r="H480" s="264"/>
      <c r="I480" s="264"/>
      <c r="J480" s="264"/>
      <c r="K480" s="264"/>
      <c r="L480" s="264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</row>
    <row r="481">
      <c r="A481" s="264"/>
      <c r="B481" s="264"/>
      <c r="C481" s="264"/>
      <c r="D481" s="264"/>
      <c r="E481" s="264"/>
      <c r="F481" s="264"/>
      <c r="G481" s="264"/>
      <c r="H481" s="264"/>
      <c r="I481" s="264"/>
      <c r="J481" s="264"/>
      <c r="K481" s="264"/>
      <c r="L481" s="264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</row>
    <row r="482">
      <c r="A482" s="264"/>
      <c r="B482" s="264"/>
      <c r="C482" s="264"/>
      <c r="D482" s="264"/>
      <c r="E482" s="264"/>
      <c r="F482" s="264"/>
      <c r="G482" s="264"/>
      <c r="H482" s="264"/>
      <c r="I482" s="264"/>
      <c r="J482" s="264"/>
      <c r="K482" s="264"/>
      <c r="L482" s="264"/>
      <c r="M482" s="264"/>
      <c r="N482" s="264"/>
      <c r="O482" s="264"/>
      <c r="P482" s="264"/>
      <c r="Q482" s="264"/>
      <c r="R482" s="264"/>
      <c r="S482" s="264"/>
      <c r="T482" s="264"/>
      <c r="U482" s="264"/>
      <c r="V482" s="264"/>
      <c r="W482" s="264"/>
      <c r="X482" s="264"/>
      <c r="Y482" s="264"/>
      <c r="Z482" s="264"/>
    </row>
    <row r="483">
      <c r="A483" s="264"/>
      <c r="B483" s="264"/>
      <c r="C483" s="264"/>
      <c r="D483" s="264"/>
      <c r="E483" s="264"/>
      <c r="F483" s="264"/>
      <c r="G483" s="264"/>
      <c r="H483" s="264"/>
      <c r="I483" s="264"/>
      <c r="J483" s="264"/>
      <c r="K483" s="264"/>
      <c r="L483" s="264"/>
      <c r="M483" s="264"/>
      <c r="N483" s="264"/>
      <c r="O483" s="264"/>
      <c r="P483" s="264"/>
      <c r="Q483" s="264"/>
      <c r="R483" s="264"/>
      <c r="S483" s="264"/>
      <c r="T483" s="264"/>
      <c r="U483" s="264"/>
      <c r="V483" s="264"/>
      <c r="W483" s="264"/>
      <c r="X483" s="264"/>
      <c r="Y483" s="264"/>
      <c r="Z483" s="264"/>
    </row>
    <row r="484">
      <c r="A484" s="264"/>
      <c r="B484" s="264"/>
      <c r="C484" s="264"/>
      <c r="D484" s="264"/>
      <c r="E484" s="264"/>
      <c r="F484" s="264"/>
      <c r="G484" s="264"/>
      <c r="H484" s="264"/>
      <c r="I484" s="264"/>
      <c r="J484" s="264"/>
      <c r="K484" s="264"/>
      <c r="L484" s="264"/>
      <c r="M484" s="264"/>
      <c r="N484" s="264"/>
      <c r="O484" s="264"/>
      <c r="P484" s="264"/>
      <c r="Q484" s="264"/>
      <c r="R484" s="264"/>
      <c r="S484" s="264"/>
      <c r="T484" s="264"/>
      <c r="U484" s="264"/>
      <c r="V484" s="264"/>
      <c r="W484" s="264"/>
      <c r="X484" s="264"/>
      <c r="Y484" s="264"/>
      <c r="Z484" s="264"/>
    </row>
    <row r="485">
      <c r="A485" s="264"/>
      <c r="B485" s="264"/>
      <c r="C485" s="264"/>
      <c r="D485" s="264"/>
      <c r="E485" s="264"/>
      <c r="F485" s="264"/>
      <c r="G485" s="264"/>
      <c r="H485" s="264"/>
      <c r="I485" s="264"/>
      <c r="J485" s="264"/>
      <c r="K485" s="264"/>
      <c r="L485" s="264"/>
      <c r="M485" s="264"/>
      <c r="N485" s="264"/>
      <c r="O485" s="264"/>
      <c r="P485" s="264"/>
      <c r="Q485" s="264"/>
      <c r="R485" s="264"/>
      <c r="S485" s="264"/>
      <c r="T485" s="264"/>
      <c r="U485" s="264"/>
      <c r="V485" s="264"/>
      <c r="W485" s="264"/>
      <c r="X485" s="264"/>
      <c r="Y485" s="264"/>
      <c r="Z485" s="264"/>
    </row>
    <row r="486">
      <c r="A486" s="264"/>
      <c r="B486" s="264"/>
      <c r="C486" s="264"/>
      <c r="D486" s="264"/>
      <c r="E486" s="264"/>
      <c r="F486" s="264"/>
      <c r="G486" s="264"/>
      <c r="H486" s="264"/>
      <c r="I486" s="264"/>
      <c r="J486" s="264"/>
      <c r="K486" s="264"/>
      <c r="L486" s="264"/>
      <c r="M486" s="264"/>
      <c r="N486" s="264"/>
      <c r="O486" s="264"/>
      <c r="P486" s="264"/>
      <c r="Q486" s="264"/>
      <c r="R486" s="264"/>
      <c r="S486" s="264"/>
      <c r="T486" s="264"/>
      <c r="U486" s="264"/>
      <c r="V486" s="264"/>
      <c r="W486" s="264"/>
      <c r="X486" s="264"/>
      <c r="Y486" s="264"/>
      <c r="Z486" s="264"/>
    </row>
    <row r="487">
      <c r="A487" s="264"/>
      <c r="B487" s="264"/>
      <c r="C487" s="264"/>
      <c r="D487" s="264"/>
      <c r="E487" s="264"/>
      <c r="F487" s="264"/>
      <c r="G487" s="264"/>
      <c r="H487" s="264"/>
      <c r="I487" s="264"/>
      <c r="J487" s="264"/>
      <c r="K487" s="264"/>
      <c r="L487" s="264"/>
      <c r="M487" s="264"/>
      <c r="N487" s="264"/>
      <c r="O487" s="264"/>
      <c r="P487" s="264"/>
      <c r="Q487" s="264"/>
      <c r="R487" s="264"/>
      <c r="S487" s="264"/>
      <c r="T487" s="264"/>
      <c r="U487" s="264"/>
      <c r="V487" s="264"/>
      <c r="W487" s="264"/>
      <c r="X487" s="264"/>
      <c r="Y487" s="264"/>
      <c r="Z487" s="264"/>
    </row>
    <row r="488">
      <c r="A488" s="264"/>
      <c r="B488" s="264"/>
      <c r="C488" s="264"/>
      <c r="D488" s="264"/>
      <c r="E488" s="264"/>
      <c r="F488" s="264"/>
      <c r="G488" s="264"/>
      <c r="H488" s="264"/>
      <c r="I488" s="264"/>
      <c r="J488" s="264"/>
      <c r="K488" s="264"/>
      <c r="L488" s="264"/>
      <c r="M488" s="264"/>
      <c r="N488" s="264"/>
      <c r="O488" s="264"/>
      <c r="P488" s="264"/>
      <c r="Q488" s="264"/>
      <c r="R488" s="264"/>
      <c r="S488" s="264"/>
      <c r="T488" s="264"/>
      <c r="U488" s="264"/>
      <c r="V488" s="264"/>
      <c r="W488" s="264"/>
      <c r="X488" s="264"/>
      <c r="Y488" s="264"/>
      <c r="Z488" s="264"/>
    </row>
    <row r="489">
      <c r="A489" s="264"/>
      <c r="B489" s="264"/>
      <c r="C489" s="264"/>
      <c r="D489" s="264"/>
      <c r="E489" s="264"/>
      <c r="F489" s="264"/>
      <c r="G489" s="264"/>
      <c r="H489" s="264"/>
      <c r="I489" s="264"/>
      <c r="J489" s="264"/>
      <c r="K489" s="264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264"/>
      <c r="W489" s="264"/>
      <c r="X489" s="264"/>
      <c r="Y489" s="264"/>
      <c r="Z489" s="264"/>
    </row>
    <row r="490">
      <c r="A490" s="264"/>
      <c r="B490" s="264"/>
      <c r="C490" s="264"/>
      <c r="D490" s="264"/>
      <c r="E490" s="264"/>
      <c r="F490" s="264"/>
      <c r="G490" s="264"/>
      <c r="H490" s="264"/>
      <c r="I490" s="264"/>
      <c r="J490" s="264"/>
      <c r="K490" s="264"/>
      <c r="L490" s="264"/>
      <c r="M490" s="264"/>
      <c r="N490" s="264"/>
      <c r="O490" s="264"/>
      <c r="P490" s="264"/>
      <c r="Q490" s="264"/>
      <c r="R490" s="264"/>
      <c r="S490" s="264"/>
      <c r="T490" s="264"/>
      <c r="U490" s="264"/>
      <c r="V490" s="264"/>
      <c r="W490" s="264"/>
      <c r="X490" s="264"/>
      <c r="Y490" s="264"/>
      <c r="Z490" s="264"/>
    </row>
    <row r="491">
      <c r="A491" s="264"/>
      <c r="B491" s="264"/>
      <c r="C491" s="264"/>
      <c r="D491" s="264"/>
      <c r="E491" s="264"/>
      <c r="F491" s="264"/>
      <c r="G491" s="264"/>
      <c r="H491" s="264"/>
      <c r="I491" s="264"/>
      <c r="J491" s="264"/>
      <c r="K491" s="264"/>
      <c r="L491" s="264"/>
      <c r="M491" s="264"/>
      <c r="N491" s="264"/>
      <c r="O491" s="264"/>
      <c r="P491" s="264"/>
      <c r="Q491" s="264"/>
      <c r="R491" s="264"/>
      <c r="S491" s="264"/>
      <c r="T491" s="264"/>
      <c r="U491" s="264"/>
      <c r="V491" s="264"/>
      <c r="W491" s="264"/>
      <c r="X491" s="264"/>
      <c r="Y491" s="264"/>
      <c r="Z491" s="264"/>
    </row>
    <row r="492">
      <c r="A492" s="264"/>
      <c r="B492" s="264"/>
      <c r="C492" s="264"/>
      <c r="D492" s="264"/>
      <c r="E492" s="264"/>
      <c r="F492" s="264"/>
      <c r="G492" s="264"/>
      <c r="H492" s="264"/>
      <c r="I492" s="264"/>
      <c r="J492" s="264"/>
      <c r="K492" s="264"/>
      <c r="L492" s="264"/>
      <c r="M492" s="264"/>
      <c r="N492" s="264"/>
      <c r="O492" s="264"/>
      <c r="P492" s="264"/>
      <c r="Q492" s="264"/>
      <c r="R492" s="264"/>
      <c r="S492" s="264"/>
      <c r="T492" s="264"/>
      <c r="U492" s="264"/>
      <c r="V492" s="264"/>
      <c r="W492" s="264"/>
      <c r="X492" s="264"/>
      <c r="Y492" s="264"/>
      <c r="Z492" s="264"/>
    </row>
    <row r="493">
      <c r="A493" s="264"/>
      <c r="B493" s="264"/>
      <c r="C493" s="264"/>
      <c r="D493" s="264"/>
      <c r="E493" s="264"/>
      <c r="F493" s="264"/>
      <c r="G493" s="264"/>
      <c r="H493" s="264"/>
      <c r="I493" s="264"/>
      <c r="J493" s="264"/>
      <c r="K493" s="264"/>
      <c r="L493" s="264"/>
      <c r="M493" s="264"/>
      <c r="N493" s="264"/>
      <c r="O493" s="264"/>
      <c r="P493" s="264"/>
      <c r="Q493" s="264"/>
      <c r="R493" s="264"/>
      <c r="S493" s="264"/>
      <c r="T493" s="264"/>
      <c r="U493" s="264"/>
      <c r="V493" s="264"/>
      <c r="W493" s="264"/>
      <c r="X493" s="264"/>
      <c r="Y493" s="264"/>
      <c r="Z493" s="264"/>
    </row>
    <row r="494">
      <c r="A494" s="264"/>
      <c r="B494" s="264"/>
      <c r="C494" s="264"/>
      <c r="D494" s="264"/>
      <c r="E494" s="264"/>
      <c r="F494" s="264"/>
      <c r="G494" s="264"/>
      <c r="H494" s="264"/>
      <c r="I494" s="264"/>
      <c r="J494" s="264"/>
      <c r="K494" s="264"/>
      <c r="L494" s="264"/>
      <c r="M494" s="264"/>
      <c r="N494" s="264"/>
      <c r="O494" s="264"/>
      <c r="P494" s="264"/>
      <c r="Q494" s="264"/>
      <c r="R494" s="264"/>
      <c r="S494" s="264"/>
      <c r="T494" s="264"/>
      <c r="U494" s="264"/>
      <c r="V494" s="264"/>
      <c r="W494" s="264"/>
      <c r="X494" s="264"/>
      <c r="Y494" s="264"/>
      <c r="Z494" s="264"/>
    </row>
    <row r="495">
      <c r="A495" s="264"/>
      <c r="B495" s="264"/>
      <c r="C495" s="264"/>
      <c r="D495" s="264"/>
      <c r="E495" s="264"/>
      <c r="F495" s="264"/>
      <c r="G495" s="264"/>
      <c r="H495" s="264"/>
      <c r="I495" s="264"/>
      <c r="J495" s="264"/>
      <c r="K495" s="264"/>
      <c r="L495" s="264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</row>
    <row r="496">
      <c r="A496" s="264"/>
      <c r="B496" s="264"/>
      <c r="C496" s="264"/>
      <c r="D496" s="264"/>
      <c r="E496" s="264"/>
      <c r="F496" s="264"/>
      <c r="G496" s="264"/>
      <c r="H496" s="264"/>
      <c r="I496" s="264"/>
      <c r="J496" s="264"/>
      <c r="K496" s="264"/>
      <c r="L496" s="264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</row>
    <row r="497">
      <c r="A497" s="264"/>
      <c r="B497" s="264"/>
      <c r="C497" s="264"/>
      <c r="D497" s="264"/>
      <c r="E497" s="264"/>
      <c r="F497" s="264"/>
      <c r="G497" s="264"/>
      <c r="H497" s="264"/>
      <c r="I497" s="264"/>
      <c r="J497" s="264"/>
      <c r="K497" s="264"/>
      <c r="L497" s="264"/>
      <c r="M497" s="264"/>
      <c r="N497" s="264"/>
      <c r="O497" s="264"/>
      <c r="P497" s="264"/>
      <c r="Q497" s="264"/>
      <c r="R497" s="264"/>
      <c r="S497" s="264"/>
      <c r="T497" s="264"/>
      <c r="U497" s="264"/>
      <c r="V497" s="264"/>
      <c r="W497" s="264"/>
      <c r="X497" s="264"/>
      <c r="Y497" s="264"/>
      <c r="Z497" s="264"/>
    </row>
    <row r="498">
      <c r="A498" s="264"/>
      <c r="B498" s="264"/>
      <c r="C498" s="264"/>
      <c r="D498" s="264"/>
      <c r="E498" s="264"/>
      <c r="F498" s="264"/>
      <c r="G498" s="264"/>
      <c r="H498" s="264"/>
      <c r="I498" s="264"/>
      <c r="J498" s="264"/>
      <c r="K498" s="264"/>
      <c r="L498" s="264"/>
      <c r="M498" s="264"/>
      <c r="N498" s="264"/>
      <c r="O498" s="264"/>
      <c r="P498" s="264"/>
      <c r="Q498" s="264"/>
      <c r="R498" s="264"/>
      <c r="S498" s="264"/>
      <c r="T498" s="264"/>
      <c r="U498" s="264"/>
      <c r="V498" s="264"/>
      <c r="W498" s="264"/>
      <c r="X498" s="264"/>
      <c r="Y498" s="264"/>
      <c r="Z498" s="264"/>
    </row>
    <row r="499">
      <c r="A499" s="264"/>
      <c r="B499" s="264"/>
      <c r="C499" s="264"/>
      <c r="D499" s="264"/>
      <c r="E499" s="264"/>
      <c r="F499" s="264"/>
      <c r="G499" s="264"/>
      <c r="H499" s="264"/>
      <c r="I499" s="264"/>
      <c r="J499" s="264"/>
      <c r="K499" s="264"/>
      <c r="L499" s="264"/>
      <c r="M499" s="264"/>
      <c r="N499" s="264"/>
      <c r="O499" s="264"/>
      <c r="P499" s="264"/>
      <c r="Q499" s="264"/>
      <c r="R499" s="264"/>
      <c r="S499" s="264"/>
      <c r="T499" s="264"/>
      <c r="U499" s="264"/>
      <c r="V499" s="264"/>
      <c r="W499" s="264"/>
      <c r="X499" s="264"/>
      <c r="Y499" s="264"/>
      <c r="Z499" s="264"/>
    </row>
    <row r="500">
      <c r="A500" s="264"/>
      <c r="B500" s="264"/>
      <c r="C500" s="264"/>
      <c r="D500" s="264"/>
      <c r="E500" s="264"/>
      <c r="F500" s="264"/>
      <c r="G500" s="264"/>
      <c r="H500" s="264"/>
      <c r="I500" s="264"/>
      <c r="J500" s="264"/>
      <c r="K500" s="264"/>
      <c r="L500" s="264"/>
      <c r="M500" s="264"/>
      <c r="N500" s="264"/>
      <c r="O500" s="264"/>
      <c r="P500" s="264"/>
      <c r="Q500" s="264"/>
      <c r="R500" s="264"/>
      <c r="S500" s="264"/>
      <c r="T500" s="264"/>
      <c r="U500" s="264"/>
      <c r="V500" s="264"/>
      <c r="W500" s="264"/>
      <c r="X500" s="264"/>
      <c r="Y500" s="264"/>
      <c r="Z500" s="264"/>
    </row>
    <row r="501">
      <c r="A501" s="264"/>
      <c r="B501" s="264"/>
      <c r="C501" s="264"/>
      <c r="D501" s="264"/>
      <c r="E501" s="264"/>
      <c r="F501" s="264"/>
      <c r="G501" s="264"/>
      <c r="H501" s="264"/>
      <c r="I501" s="264"/>
      <c r="J501" s="264"/>
      <c r="K501" s="264"/>
      <c r="L501" s="264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</row>
    <row r="502">
      <c r="A502" s="264"/>
      <c r="B502" s="264"/>
      <c r="C502" s="264"/>
      <c r="D502" s="264"/>
      <c r="E502" s="264"/>
      <c r="F502" s="264"/>
      <c r="G502" s="264"/>
      <c r="H502" s="264"/>
      <c r="I502" s="264"/>
      <c r="J502" s="264"/>
      <c r="K502" s="264"/>
      <c r="L502" s="264"/>
      <c r="M502" s="264"/>
      <c r="N502" s="264"/>
      <c r="O502" s="264"/>
      <c r="P502" s="264"/>
      <c r="Q502" s="264"/>
      <c r="R502" s="264"/>
      <c r="S502" s="264"/>
      <c r="T502" s="264"/>
      <c r="U502" s="264"/>
      <c r="V502" s="264"/>
      <c r="W502" s="264"/>
      <c r="X502" s="264"/>
      <c r="Y502" s="264"/>
      <c r="Z502" s="264"/>
    </row>
    <row r="503">
      <c r="A503" s="264"/>
      <c r="B503" s="264"/>
      <c r="C503" s="264"/>
      <c r="D503" s="264"/>
      <c r="E503" s="264"/>
      <c r="F503" s="264"/>
      <c r="G503" s="264"/>
      <c r="H503" s="264"/>
      <c r="I503" s="264"/>
      <c r="J503" s="264"/>
      <c r="K503" s="264"/>
      <c r="L503" s="264"/>
      <c r="M503" s="264"/>
      <c r="N503" s="264"/>
      <c r="O503" s="264"/>
      <c r="P503" s="264"/>
      <c r="Q503" s="264"/>
      <c r="R503" s="264"/>
      <c r="S503" s="264"/>
      <c r="T503" s="264"/>
      <c r="U503" s="264"/>
      <c r="V503" s="264"/>
      <c r="W503" s="264"/>
      <c r="X503" s="264"/>
      <c r="Y503" s="264"/>
      <c r="Z503" s="264"/>
    </row>
    <row r="504">
      <c r="A504" s="264"/>
      <c r="B504" s="264"/>
      <c r="C504" s="264"/>
      <c r="D504" s="264"/>
      <c r="E504" s="264"/>
      <c r="F504" s="264"/>
      <c r="G504" s="264"/>
      <c r="H504" s="264"/>
      <c r="I504" s="264"/>
      <c r="J504" s="264"/>
      <c r="K504" s="264"/>
      <c r="L504" s="264"/>
      <c r="M504" s="264"/>
      <c r="N504" s="264"/>
      <c r="O504" s="264"/>
      <c r="P504" s="264"/>
      <c r="Q504" s="264"/>
      <c r="R504" s="264"/>
      <c r="S504" s="264"/>
      <c r="T504" s="264"/>
      <c r="U504" s="264"/>
      <c r="V504" s="264"/>
      <c r="W504" s="264"/>
      <c r="X504" s="264"/>
      <c r="Y504" s="264"/>
      <c r="Z504" s="264"/>
    </row>
    <row r="505">
      <c r="A505" s="264"/>
      <c r="B505" s="264"/>
      <c r="C505" s="264"/>
      <c r="D505" s="264"/>
      <c r="E505" s="264"/>
      <c r="F505" s="264"/>
      <c r="G505" s="264"/>
      <c r="H505" s="264"/>
      <c r="I505" s="264"/>
      <c r="J505" s="264"/>
      <c r="K505" s="264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264"/>
      <c r="W505" s="264"/>
      <c r="X505" s="264"/>
      <c r="Y505" s="264"/>
      <c r="Z505" s="264"/>
    </row>
    <row r="506">
      <c r="A506" s="264"/>
      <c r="B506" s="264"/>
      <c r="C506" s="264"/>
      <c r="D506" s="264"/>
      <c r="E506" s="264"/>
      <c r="F506" s="264"/>
      <c r="G506" s="264"/>
      <c r="H506" s="264"/>
      <c r="I506" s="264"/>
      <c r="J506" s="264"/>
      <c r="K506" s="264"/>
      <c r="L506" s="264"/>
      <c r="M506" s="264"/>
      <c r="N506" s="264"/>
      <c r="O506" s="264"/>
      <c r="P506" s="264"/>
      <c r="Q506" s="264"/>
      <c r="R506" s="264"/>
      <c r="S506" s="264"/>
      <c r="T506" s="264"/>
      <c r="U506" s="264"/>
      <c r="V506" s="264"/>
      <c r="W506" s="264"/>
      <c r="X506" s="264"/>
      <c r="Y506" s="264"/>
      <c r="Z506" s="264"/>
    </row>
    <row r="507">
      <c r="A507" s="264"/>
      <c r="B507" s="264"/>
      <c r="C507" s="264"/>
      <c r="D507" s="264"/>
      <c r="E507" s="264"/>
      <c r="F507" s="264"/>
      <c r="G507" s="264"/>
      <c r="H507" s="264"/>
      <c r="I507" s="264"/>
      <c r="J507" s="264"/>
      <c r="K507" s="264"/>
      <c r="L507" s="264"/>
      <c r="M507" s="264"/>
      <c r="N507" s="264"/>
      <c r="O507" s="264"/>
      <c r="P507" s="264"/>
      <c r="Q507" s="264"/>
      <c r="R507" s="264"/>
      <c r="S507" s="264"/>
      <c r="T507" s="264"/>
      <c r="U507" s="264"/>
      <c r="V507" s="264"/>
      <c r="W507" s="264"/>
      <c r="X507" s="264"/>
      <c r="Y507" s="264"/>
      <c r="Z507" s="264"/>
    </row>
    <row r="508">
      <c r="A508" s="264"/>
      <c r="B508" s="264"/>
      <c r="C508" s="264"/>
      <c r="D508" s="264"/>
      <c r="E508" s="264"/>
      <c r="F508" s="264"/>
      <c r="G508" s="264"/>
      <c r="H508" s="264"/>
      <c r="I508" s="264"/>
      <c r="J508" s="264"/>
      <c r="K508" s="264"/>
      <c r="L508" s="264"/>
      <c r="M508" s="264"/>
      <c r="N508" s="264"/>
      <c r="O508" s="264"/>
      <c r="P508" s="264"/>
      <c r="Q508" s="264"/>
      <c r="R508" s="264"/>
      <c r="S508" s="264"/>
      <c r="T508" s="264"/>
      <c r="U508" s="264"/>
      <c r="V508" s="264"/>
      <c r="W508" s="264"/>
      <c r="X508" s="264"/>
      <c r="Y508" s="264"/>
      <c r="Z508" s="264"/>
    </row>
    <row r="509">
      <c r="A509" s="264"/>
      <c r="B509" s="264"/>
      <c r="C509" s="264"/>
      <c r="D509" s="264"/>
      <c r="E509" s="264"/>
      <c r="F509" s="264"/>
      <c r="G509" s="264"/>
      <c r="H509" s="264"/>
      <c r="I509" s="264"/>
      <c r="J509" s="264"/>
      <c r="K509" s="264"/>
      <c r="L509" s="264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</row>
    <row r="510">
      <c r="A510" s="264"/>
      <c r="B510" s="264"/>
      <c r="C510" s="264"/>
      <c r="D510" s="264"/>
      <c r="E510" s="264"/>
      <c r="F510" s="264"/>
      <c r="G510" s="264"/>
      <c r="H510" s="264"/>
      <c r="I510" s="264"/>
      <c r="J510" s="264"/>
      <c r="K510" s="264"/>
      <c r="L510" s="264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</row>
    <row r="511">
      <c r="A511" s="264"/>
      <c r="B511" s="264"/>
      <c r="C511" s="264"/>
      <c r="D511" s="264"/>
      <c r="E511" s="264"/>
      <c r="F511" s="264"/>
      <c r="G511" s="264"/>
      <c r="H511" s="264"/>
      <c r="I511" s="264"/>
      <c r="J511" s="264"/>
      <c r="K511" s="264"/>
      <c r="L511" s="264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</row>
    <row r="512">
      <c r="A512" s="264"/>
      <c r="B512" s="264"/>
      <c r="C512" s="264"/>
      <c r="D512" s="264"/>
      <c r="E512" s="264"/>
      <c r="F512" s="264"/>
      <c r="G512" s="264"/>
      <c r="H512" s="264"/>
      <c r="I512" s="264"/>
      <c r="J512" s="264"/>
      <c r="K512" s="264"/>
      <c r="L512" s="264"/>
      <c r="M512" s="264"/>
      <c r="N512" s="264"/>
      <c r="O512" s="264"/>
      <c r="P512" s="264"/>
      <c r="Q512" s="264"/>
      <c r="R512" s="264"/>
      <c r="S512" s="264"/>
      <c r="T512" s="264"/>
      <c r="U512" s="264"/>
      <c r="V512" s="264"/>
      <c r="W512" s="264"/>
      <c r="X512" s="264"/>
      <c r="Y512" s="264"/>
      <c r="Z512" s="264"/>
    </row>
    <row r="513">
      <c r="A513" s="264"/>
      <c r="B513" s="264"/>
      <c r="C513" s="264"/>
      <c r="D513" s="264"/>
      <c r="E513" s="264"/>
      <c r="F513" s="264"/>
      <c r="G513" s="264"/>
      <c r="H513" s="264"/>
      <c r="I513" s="264"/>
      <c r="J513" s="264"/>
      <c r="K513" s="264"/>
      <c r="L513" s="264"/>
      <c r="M513" s="264"/>
      <c r="N513" s="264"/>
      <c r="O513" s="264"/>
      <c r="P513" s="264"/>
      <c r="Q513" s="264"/>
      <c r="R513" s="264"/>
      <c r="S513" s="264"/>
      <c r="T513" s="264"/>
      <c r="U513" s="264"/>
      <c r="V513" s="264"/>
      <c r="W513" s="264"/>
      <c r="X513" s="264"/>
      <c r="Y513" s="264"/>
      <c r="Z513" s="264"/>
    </row>
    <row r="514">
      <c r="A514" s="264"/>
      <c r="B514" s="264"/>
      <c r="C514" s="264"/>
      <c r="D514" s="264"/>
      <c r="E514" s="264"/>
      <c r="F514" s="264"/>
      <c r="G514" s="264"/>
      <c r="H514" s="264"/>
      <c r="I514" s="264"/>
      <c r="J514" s="264"/>
      <c r="K514" s="264"/>
      <c r="L514" s="264"/>
      <c r="M514" s="264"/>
      <c r="N514" s="264"/>
      <c r="O514" s="264"/>
      <c r="P514" s="264"/>
      <c r="Q514" s="264"/>
      <c r="R514" s="264"/>
      <c r="S514" s="264"/>
      <c r="T514" s="264"/>
      <c r="U514" s="264"/>
      <c r="V514" s="264"/>
      <c r="W514" s="264"/>
      <c r="X514" s="264"/>
      <c r="Y514" s="264"/>
      <c r="Z514" s="264"/>
    </row>
    <row r="515">
      <c r="A515" s="264"/>
      <c r="B515" s="264"/>
      <c r="C515" s="264"/>
      <c r="D515" s="264"/>
      <c r="E515" s="264"/>
      <c r="F515" s="264"/>
      <c r="G515" s="264"/>
      <c r="H515" s="264"/>
      <c r="I515" s="264"/>
      <c r="J515" s="264"/>
      <c r="K515" s="264"/>
      <c r="L515" s="264"/>
      <c r="M515" s="264"/>
      <c r="N515" s="264"/>
      <c r="O515" s="264"/>
      <c r="P515" s="264"/>
      <c r="Q515" s="264"/>
      <c r="R515" s="264"/>
      <c r="S515" s="264"/>
      <c r="T515" s="264"/>
      <c r="U515" s="264"/>
      <c r="V515" s="264"/>
      <c r="W515" s="264"/>
      <c r="X515" s="264"/>
      <c r="Y515" s="264"/>
      <c r="Z515" s="264"/>
    </row>
    <row r="516">
      <c r="A516" s="264"/>
      <c r="B516" s="264"/>
      <c r="C516" s="264"/>
      <c r="D516" s="264"/>
      <c r="E516" s="264"/>
      <c r="F516" s="264"/>
      <c r="G516" s="264"/>
      <c r="H516" s="264"/>
      <c r="I516" s="264"/>
      <c r="J516" s="264"/>
      <c r="K516" s="264"/>
      <c r="L516" s="264"/>
      <c r="M516" s="264"/>
      <c r="N516" s="264"/>
      <c r="O516" s="264"/>
      <c r="P516" s="264"/>
      <c r="Q516" s="264"/>
      <c r="R516" s="264"/>
      <c r="S516" s="264"/>
      <c r="T516" s="264"/>
      <c r="U516" s="264"/>
      <c r="V516" s="264"/>
      <c r="W516" s="264"/>
      <c r="X516" s="264"/>
      <c r="Y516" s="264"/>
      <c r="Z516" s="264"/>
    </row>
    <row r="517">
      <c r="A517" s="264"/>
      <c r="B517" s="264"/>
      <c r="C517" s="264"/>
      <c r="D517" s="264"/>
      <c r="E517" s="264"/>
      <c r="F517" s="264"/>
      <c r="G517" s="264"/>
      <c r="H517" s="264"/>
      <c r="I517" s="264"/>
      <c r="J517" s="264"/>
      <c r="K517" s="264"/>
      <c r="L517" s="264"/>
      <c r="M517" s="264"/>
      <c r="N517" s="264"/>
      <c r="O517" s="264"/>
      <c r="P517" s="264"/>
      <c r="Q517" s="264"/>
      <c r="R517" s="264"/>
      <c r="S517" s="264"/>
      <c r="T517" s="264"/>
      <c r="U517" s="264"/>
      <c r="V517" s="264"/>
      <c r="W517" s="264"/>
      <c r="X517" s="264"/>
      <c r="Y517" s="264"/>
      <c r="Z517" s="264"/>
    </row>
    <row r="518">
      <c r="A518" s="264"/>
      <c r="B518" s="264"/>
      <c r="C518" s="264"/>
      <c r="D518" s="264"/>
      <c r="E518" s="264"/>
      <c r="F518" s="264"/>
      <c r="G518" s="264"/>
      <c r="H518" s="264"/>
      <c r="I518" s="264"/>
      <c r="J518" s="264"/>
      <c r="K518" s="264"/>
      <c r="L518" s="264"/>
      <c r="M518" s="264"/>
      <c r="N518" s="264"/>
      <c r="O518" s="264"/>
      <c r="P518" s="264"/>
      <c r="Q518" s="264"/>
      <c r="R518" s="264"/>
      <c r="S518" s="264"/>
      <c r="T518" s="264"/>
      <c r="U518" s="264"/>
      <c r="V518" s="264"/>
      <c r="W518" s="264"/>
      <c r="X518" s="264"/>
      <c r="Y518" s="264"/>
      <c r="Z518" s="264"/>
    </row>
    <row r="519">
      <c r="A519" s="264"/>
      <c r="B519" s="264"/>
      <c r="C519" s="264"/>
      <c r="D519" s="264"/>
      <c r="E519" s="264"/>
      <c r="F519" s="264"/>
      <c r="G519" s="264"/>
      <c r="H519" s="264"/>
      <c r="I519" s="264"/>
      <c r="J519" s="264"/>
      <c r="K519" s="264"/>
      <c r="L519" s="264"/>
      <c r="M519" s="264"/>
      <c r="N519" s="264"/>
      <c r="O519" s="264"/>
      <c r="P519" s="264"/>
      <c r="Q519" s="264"/>
      <c r="R519" s="264"/>
      <c r="S519" s="264"/>
      <c r="T519" s="264"/>
      <c r="U519" s="264"/>
      <c r="V519" s="264"/>
      <c r="W519" s="264"/>
      <c r="X519" s="264"/>
      <c r="Y519" s="264"/>
      <c r="Z519" s="264"/>
    </row>
    <row r="520">
      <c r="A520" s="264"/>
      <c r="B520" s="264"/>
      <c r="C520" s="264"/>
      <c r="D520" s="264"/>
      <c r="E520" s="264"/>
      <c r="F520" s="264"/>
      <c r="G520" s="264"/>
      <c r="H520" s="264"/>
      <c r="I520" s="264"/>
      <c r="J520" s="264"/>
      <c r="K520" s="264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264"/>
      <c r="W520" s="264"/>
      <c r="X520" s="264"/>
      <c r="Y520" s="264"/>
      <c r="Z520" s="264"/>
    </row>
    <row r="521">
      <c r="A521" s="264"/>
      <c r="B521" s="264"/>
      <c r="C521" s="264"/>
      <c r="D521" s="264"/>
      <c r="E521" s="264"/>
      <c r="F521" s="264"/>
      <c r="G521" s="264"/>
      <c r="H521" s="264"/>
      <c r="I521" s="264"/>
      <c r="J521" s="264"/>
      <c r="K521" s="264"/>
      <c r="L521" s="264"/>
      <c r="M521" s="264"/>
      <c r="N521" s="264"/>
      <c r="O521" s="264"/>
      <c r="P521" s="264"/>
      <c r="Q521" s="264"/>
      <c r="R521" s="264"/>
      <c r="S521" s="264"/>
      <c r="T521" s="264"/>
      <c r="U521" s="264"/>
      <c r="V521" s="264"/>
      <c r="W521" s="264"/>
      <c r="X521" s="264"/>
      <c r="Y521" s="264"/>
      <c r="Z521" s="264"/>
    </row>
    <row r="522">
      <c r="A522" s="264"/>
      <c r="B522" s="264"/>
      <c r="C522" s="264"/>
      <c r="D522" s="264"/>
      <c r="E522" s="264"/>
      <c r="F522" s="264"/>
      <c r="G522" s="264"/>
      <c r="H522" s="264"/>
      <c r="I522" s="264"/>
      <c r="J522" s="264"/>
      <c r="K522" s="264"/>
      <c r="L522" s="264"/>
      <c r="M522" s="264"/>
      <c r="N522" s="264"/>
      <c r="O522" s="264"/>
      <c r="P522" s="264"/>
      <c r="Q522" s="264"/>
      <c r="R522" s="264"/>
      <c r="S522" s="264"/>
      <c r="T522" s="264"/>
      <c r="U522" s="264"/>
      <c r="V522" s="264"/>
      <c r="W522" s="264"/>
      <c r="X522" s="264"/>
      <c r="Y522" s="264"/>
      <c r="Z522" s="264"/>
    </row>
    <row r="523">
      <c r="A523" s="264"/>
      <c r="B523" s="264"/>
      <c r="C523" s="264"/>
      <c r="D523" s="264"/>
      <c r="E523" s="264"/>
      <c r="F523" s="264"/>
      <c r="G523" s="264"/>
      <c r="H523" s="264"/>
      <c r="I523" s="264"/>
      <c r="J523" s="264"/>
      <c r="K523" s="264"/>
      <c r="L523" s="264"/>
      <c r="M523" s="264"/>
      <c r="N523" s="264"/>
      <c r="O523" s="264"/>
      <c r="P523" s="264"/>
      <c r="Q523" s="264"/>
      <c r="R523" s="264"/>
      <c r="S523" s="264"/>
      <c r="T523" s="264"/>
      <c r="U523" s="264"/>
      <c r="V523" s="264"/>
      <c r="W523" s="264"/>
      <c r="X523" s="264"/>
      <c r="Y523" s="264"/>
      <c r="Z523" s="264"/>
    </row>
    <row r="524">
      <c r="A524" s="264"/>
      <c r="B524" s="264"/>
      <c r="C524" s="264"/>
      <c r="D524" s="264"/>
      <c r="E524" s="264"/>
      <c r="F524" s="264"/>
      <c r="G524" s="264"/>
      <c r="H524" s="264"/>
      <c r="I524" s="264"/>
      <c r="J524" s="264"/>
      <c r="K524" s="264"/>
      <c r="L524" s="264"/>
      <c r="M524" s="264"/>
      <c r="N524" s="264"/>
      <c r="O524" s="264"/>
      <c r="P524" s="264"/>
      <c r="Q524" s="264"/>
      <c r="R524" s="264"/>
      <c r="S524" s="264"/>
      <c r="T524" s="264"/>
      <c r="U524" s="264"/>
      <c r="V524" s="264"/>
      <c r="W524" s="264"/>
      <c r="X524" s="264"/>
      <c r="Y524" s="264"/>
      <c r="Z524" s="264"/>
    </row>
    <row r="525">
      <c r="A525" s="264"/>
      <c r="B525" s="264"/>
      <c r="C525" s="264"/>
      <c r="D525" s="264"/>
      <c r="E525" s="264"/>
      <c r="F525" s="264"/>
      <c r="G525" s="264"/>
      <c r="H525" s="264"/>
      <c r="I525" s="264"/>
      <c r="J525" s="264"/>
      <c r="K525" s="264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</row>
    <row r="526">
      <c r="A526" s="264"/>
      <c r="B526" s="264"/>
      <c r="C526" s="264"/>
      <c r="D526" s="264"/>
      <c r="E526" s="264"/>
      <c r="F526" s="264"/>
      <c r="G526" s="264"/>
      <c r="H526" s="264"/>
      <c r="I526" s="264"/>
      <c r="J526" s="264"/>
      <c r="K526" s="264"/>
      <c r="L526" s="264"/>
      <c r="M526" s="264"/>
      <c r="N526" s="264"/>
      <c r="O526" s="264"/>
      <c r="P526" s="264"/>
      <c r="Q526" s="264"/>
      <c r="R526" s="264"/>
      <c r="S526" s="264"/>
      <c r="T526" s="264"/>
      <c r="U526" s="264"/>
      <c r="V526" s="264"/>
      <c r="W526" s="264"/>
      <c r="X526" s="264"/>
      <c r="Y526" s="264"/>
      <c r="Z526" s="264"/>
    </row>
    <row r="527">
      <c r="A527" s="264"/>
      <c r="B527" s="264"/>
      <c r="C527" s="264"/>
      <c r="D527" s="264"/>
      <c r="E527" s="264"/>
      <c r="F527" s="264"/>
      <c r="G527" s="264"/>
      <c r="H527" s="264"/>
      <c r="I527" s="264"/>
      <c r="J527" s="264"/>
      <c r="K527" s="264"/>
      <c r="L527" s="264"/>
      <c r="M527" s="264"/>
      <c r="N527" s="264"/>
      <c r="O527" s="264"/>
      <c r="P527" s="264"/>
      <c r="Q527" s="264"/>
      <c r="R527" s="264"/>
      <c r="S527" s="264"/>
      <c r="T527" s="264"/>
      <c r="U527" s="264"/>
      <c r="V527" s="264"/>
      <c r="W527" s="264"/>
      <c r="X527" s="264"/>
      <c r="Y527" s="264"/>
      <c r="Z527" s="264"/>
    </row>
    <row r="528">
      <c r="A528" s="264"/>
      <c r="B528" s="264"/>
      <c r="C528" s="264"/>
      <c r="D528" s="264"/>
      <c r="E528" s="264"/>
      <c r="F528" s="264"/>
      <c r="G528" s="264"/>
      <c r="H528" s="264"/>
      <c r="I528" s="264"/>
      <c r="J528" s="264"/>
      <c r="K528" s="264"/>
      <c r="L528" s="264"/>
      <c r="M528" s="264"/>
      <c r="N528" s="264"/>
      <c r="O528" s="264"/>
      <c r="P528" s="264"/>
      <c r="Q528" s="264"/>
      <c r="R528" s="264"/>
      <c r="S528" s="264"/>
      <c r="T528" s="264"/>
      <c r="U528" s="264"/>
      <c r="V528" s="264"/>
      <c r="W528" s="264"/>
      <c r="X528" s="264"/>
      <c r="Y528" s="264"/>
      <c r="Z528" s="264"/>
    </row>
    <row r="529">
      <c r="A529" s="264"/>
      <c r="B529" s="264"/>
      <c r="C529" s="264"/>
      <c r="D529" s="264"/>
      <c r="E529" s="264"/>
      <c r="F529" s="264"/>
      <c r="G529" s="264"/>
      <c r="H529" s="264"/>
      <c r="I529" s="264"/>
      <c r="J529" s="264"/>
      <c r="K529" s="264"/>
      <c r="L529" s="264"/>
      <c r="M529" s="264"/>
      <c r="N529" s="264"/>
      <c r="O529" s="264"/>
      <c r="P529" s="264"/>
      <c r="Q529" s="264"/>
      <c r="R529" s="264"/>
      <c r="S529" s="264"/>
      <c r="T529" s="264"/>
      <c r="U529" s="264"/>
      <c r="V529" s="264"/>
      <c r="W529" s="264"/>
      <c r="X529" s="264"/>
      <c r="Y529" s="264"/>
      <c r="Z529" s="264"/>
    </row>
    <row r="530">
      <c r="A530" s="264"/>
      <c r="B530" s="264"/>
      <c r="C530" s="264"/>
      <c r="D530" s="264"/>
      <c r="E530" s="264"/>
      <c r="F530" s="264"/>
      <c r="G530" s="264"/>
      <c r="H530" s="264"/>
      <c r="I530" s="264"/>
      <c r="J530" s="264"/>
      <c r="K530" s="264"/>
      <c r="L530" s="264"/>
      <c r="M530" s="264"/>
      <c r="N530" s="264"/>
      <c r="O530" s="264"/>
      <c r="P530" s="264"/>
      <c r="Q530" s="264"/>
      <c r="R530" s="264"/>
      <c r="S530" s="264"/>
      <c r="T530" s="264"/>
      <c r="U530" s="264"/>
      <c r="V530" s="264"/>
      <c r="W530" s="264"/>
      <c r="X530" s="264"/>
      <c r="Y530" s="264"/>
      <c r="Z530" s="264"/>
    </row>
    <row r="531">
      <c r="A531" s="264"/>
      <c r="B531" s="264"/>
      <c r="C531" s="264"/>
      <c r="D531" s="264"/>
      <c r="E531" s="264"/>
      <c r="F531" s="264"/>
      <c r="G531" s="264"/>
      <c r="H531" s="264"/>
      <c r="I531" s="264"/>
      <c r="J531" s="264"/>
      <c r="K531" s="264"/>
      <c r="L531" s="264"/>
      <c r="M531" s="264"/>
      <c r="N531" s="264"/>
      <c r="O531" s="264"/>
      <c r="P531" s="264"/>
      <c r="Q531" s="264"/>
      <c r="R531" s="264"/>
      <c r="S531" s="264"/>
      <c r="T531" s="264"/>
      <c r="U531" s="264"/>
      <c r="V531" s="264"/>
      <c r="W531" s="264"/>
      <c r="X531" s="264"/>
      <c r="Y531" s="264"/>
      <c r="Z531" s="264"/>
    </row>
    <row r="532">
      <c r="A532" s="264"/>
      <c r="B532" s="264"/>
      <c r="C532" s="264"/>
      <c r="D532" s="264"/>
      <c r="E532" s="264"/>
      <c r="F532" s="264"/>
      <c r="G532" s="264"/>
      <c r="H532" s="264"/>
      <c r="I532" s="264"/>
      <c r="J532" s="264"/>
      <c r="K532" s="264"/>
      <c r="L532" s="264"/>
      <c r="M532" s="264"/>
      <c r="N532" s="264"/>
      <c r="O532" s="264"/>
      <c r="P532" s="264"/>
      <c r="Q532" s="264"/>
      <c r="R532" s="264"/>
      <c r="S532" s="264"/>
      <c r="T532" s="264"/>
      <c r="U532" s="264"/>
      <c r="V532" s="264"/>
      <c r="W532" s="264"/>
      <c r="X532" s="264"/>
      <c r="Y532" s="264"/>
      <c r="Z532" s="264"/>
    </row>
    <row r="533">
      <c r="A533" s="264"/>
      <c r="B533" s="264"/>
      <c r="C533" s="264"/>
      <c r="D533" s="264"/>
      <c r="E533" s="264"/>
      <c r="F533" s="264"/>
      <c r="G533" s="264"/>
      <c r="H533" s="264"/>
      <c r="I533" s="264"/>
      <c r="J533" s="264"/>
      <c r="K533" s="264"/>
      <c r="L533" s="264"/>
      <c r="M533" s="264"/>
      <c r="N533" s="264"/>
      <c r="O533" s="264"/>
      <c r="P533" s="264"/>
      <c r="Q533" s="264"/>
      <c r="R533" s="264"/>
      <c r="S533" s="264"/>
      <c r="T533" s="264"/>
      <c r="U533" s="264"/>
      <c r="V533" s="264"/>
      <c r="W533" s="264"/>
      <c r="X533" s="264"/>
      <c r="Y533" s="264"/>
      <c r="Z533" s="264"/>
    </row>
    <row r="534">
      <c r="A534" s="264"/>
      <c r="B534" s="264"/>
      <c r="C534" s="264"/>
      <c r="D534" s="264"/>
      <c r="E534" s="264"/>
      <c r="F534" s="264"/>
      <c r="G534" s="264"/>
      <c r="H534" s="264"/>
      <c r="I534" s="264"/>
      <c r="J534" s="264"/>
      <c r="K534" s="264"/>
      <c r="L534" s="264"/>
      <c r="M534" s="264"/>
      <c r="N534" s="264"/>
      <c r="O534" s="264"/>
      <c r="P534" s="264"/>
      <c r="Q534" s="264"/>
      <c r="R534" s="264"/>
      <c r="S534" s="264"/>
      <c r="T534" s="264"/>
      <c r="U534" s="264"/>
      <c r="V534" s="264"/>
      <c r="W534" s="264"/>
      <c r="X534" s="264"/>
      <c r="Y534" s="264"/>
      <c r="Z534" s="264"/>
    </row>
    <row r="535">
      <c r="A535" s="264"/>
      <c r="B535" s="264"/>
      <c r="C535" s="264"/>
      <c r="D535" s="264"/>
      <c r="E535" s="264"/>
      <c r="F535" s="264"/>
      <c r="G535" s="264"/>
      <c r="H535" s="264"/>
      <c r="I535" s="264"/>
      <c r="J535" s="264"/>
      <c r="K535" s="264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264"/>
      <c r="W535" s="264"/>
      <c r="X535" s="264"/>
      <c r="Y535" s="264"/>
      <c r="Z535" s="264"/>
    </row>
    <row r="536">
      <c r="A536" s="264"/>
      <c r="B536" s="264"/>
      <c r="C536" s="264"/>
      <c r="D536" s="264"/>
      <c r="E536" s="264"/>
      <c r="F536" s="264"/>
      <c r="G536" s="264"/>
      <c r="H536" s="264"/>
      <c r="I536" s="264"/>
      <c r="J536" s="264"/>
      <c r="K536" s="264"/>
      <c r="L536" s="264"/>
      <c r="M536" s="264"/>
      <c r="N536" s="264"/>
      <c r="O536" s="264"/>
      <c r="P536" s="264"/>
      <c r="Q536" s="264"/>
      <c r="R536" s="264"/>
      <c r="S536" s="264"/>
      <c r="T536" s="264"/>
      <c r="U536" s="264"/>
      <c r="V536" s="264"/>
      <c r="W536" s="264"/>
      <c r="X536" s="264"/>
      <c r="Y536" s="264"/>
      <c r="Z536" s="264"/>
    </row>
    <row r="537">
      <c r="A537" s="264"/>
      <c r="B537" s="264"/>
      <c r="C537" s="264"/>
      <c r="D537" s="264"/>
      <c r="E537" s="264"/>
      <c r="F537" s="264"/>
      <c r="G537" s="264"/>
      <c r="H537" s="264"/>
      <c r="I537" s="264"/>
      <c r="J537" s="264"/>
      <c r="K537" s="264"/>
      <c r="L537" s="264"/>
      <c r="M537" s="264"/>
      <c r="N537" s="264"/>
      <c r="O537" s="264"/>
      <c r="P537" s="264"/>
      <c r="Q537" s="264"/>
      <c r="R537" s="264"/>
      <c r="S537" s="264"/>
      <c r="T537" s="264"/>
      <c r="U537" s="264"/>
      <c r="V537" s="264"/>
      <c r="W537" s="264"/>
      <c r="X537" s="264"/>
      <c r="Y537" s="264"/>
      <c r="Z537" s="264"/>
    </row>
    <row r="538">
      <c r="A538" s="264"/>
      <c r="B538" s="264"/>
      <c r="C538" s="264"/>
      <c r="D538" s="264"/>
      <c r="E538" s="264"/>
      <c r="F538" s="264"/>
      <c r="G538" s="264"/>
      <c r="H538" s="264"/>
      <c r="I538" s="264"/>
      <c r="J538" s="264"/>
      <c r="K538" s="264"/>
      <c r="L538" s="264"/>
      <c r="M538" s="264"/>
      <c r="N538" s="264"/>
      <c r="O538" s="264"/>
      <c r="P538" s="264"/>
      <c r="Q538" s="264"/>
      <c r="R538" s="264"/>
      <c r="S538" s="264"/>
      <c r="T538" s="264"/>
      <c r="U538" s="264"/>
      <c r="V538" s="264"/>
      <c r="W538" s="264"/>
      <c r="X538" s="264"/>
      <c r="Y538" s="264"/>
      <c r="Z538" s="264"/>
    </row>
    <row r="539">
      <c r="A539" s="264"/>
      <c r="B539" s="264"/>
      <c r="C539" s="264"/>
      <c r="D539" s="264"/>
      <c r="E539" s="264"/>
      <c r="F539" s="264"/>
      <c r="G539" s="264"/>
      <c r="H539" s="264"/>
      <c r="I539" s="264"/>
      <c r="J539" s="264"/>
      <c r="K539" s="264"/>
      <c r="L539" s="264"/>
      <c r="M539" s="264"/>
      <c r="N539" s="264"/>
      <c r="O539" s="264"/>
      <c r="P539" s="264"/>
      <c r="Q539" s="264"/>
      <c r="R539" s="264"/>
      <c r="S539" s="264"/>
      <c r="T539" s="264"/>
      <c r="U539" s="264"/>
      <c r="V539" s="264"/>
      <c r="W539" s="264"/>
      <c r="X539" s="264"/>
      <c r="Y539" s="264"/>
      <c r="Z539" s="264"/>
    </row>
    <row r="540">
      <c r="A540" s="264"/>
      <c r="B540" s="264"/>
      <c r="C540" s="264"/>
      <c r="D540" s="264"/>
      <c r="E540" s="264"/>
      <c r="F540" s="264"/>
      <c r="G540" s="264"/>
      <c r="H540" s="264"/>
      <c r="I540" s="264"/>
      <c r="J540" s="264"/>
      <c r="K540" s="264"/>
      <c r="L540" s="264"/>
      <c r="M540" s="264"/>
      <c r="N540" s="264"/>
      <c r="O540" s="264"/>
      <c r="P540" s="264"/>
      <c r="Q540" s="264"/>
      <c r="R540" s="264"/>
      <c r="S540" s="264"/>
      <c r="T540" s="264"/>
      <c r="U540" s="264"/>
      <c r="V540" s="264"/>
      <c r="W540" s="264"/>
      <c r="X540" s="264"/>
      <c r="Y540" s="264"/>
      <c r="Z540" s="264"/>
    </row>
    <row r="541">
      <c r="A541" s="264"/>
      <c r="B541" s="264"/>
      <c r="C541" s="264"/>
      <c r="D541" s="264"/>
      <c r="E541" s="264"/>
      <c r="F541" s="264"/>
      <c r="G541" s="264"/>
      <c r="H541" s="264"/>
      <c r="I541" s="264"/>
      <c r="J541" s="264"/>
      <c r="K541" s="264"/>
      <c r="L541" s="264"/>
      <c r="M541" s="264"/>
      <c r="N541" s="264"/>
      <c r="O541" s="264"/>
      <c r="P541" s="264"/>
      <c r="Q541" s="264"/>
      <c r="R541" s="264"/>
      <c r="S541" s="264"/>
      <c r="T541" s="264"/>
      <c r="U541" s="264"/>
      <c r="V541" s="264"/>
      <c r="W541" s="264"/>
      <c r="X541" s="264"/>
      <c r="Y541" s="264"/>
      <c r="Z541" s="264"/>
    </row>
    <row r="542">
      <c r="A542" s="264"/>
      <c r="B542" s="264"/>
      <c r="C542" s="264"/>
      <c r="D542" s="264"/>
      <c r="E542" s="264"/>
      <c r="F542" s="264"/>
      <c r="G542" s="264"/>
      <c r="H542" s="264"/>
      <c r="I542" s="264"/>
      <c r="J542" s="264"/>
      <c r="K542" s="264"/>
      <c r="L542" s="264"/>
      <c r="M542" s="264"/>
      <c r="N542" s="264"/>
      <c r="O542" s="264"/>
      <c r="P542" s="264"/>
      <c r="Q542" s="264"/>
      <c r="R542" s="264"/>
      <c r="S542" s="264"/>
      <c r="T542" s="264"/>
      <c r="U542" s="264"/>
      <c r="V542" s="264"/>
      <c r="W542" s="264"/>
      <c r="X542" s="264"/>
      <c r="Y542" s="264"/>
      <c r="Z542" s="264"/>
    </row>
    <row r="543">
      <c r="A543" s="264"/>
      <c r="B543" s="264"/>
      <c r="C543" s="264"/>
      <c r="D543" s="264"/>
      <c r="E543" s="264"/>
      <c r="F543" s="264"/>
      <c r="G543" s="264"/>
      <c r="H543" s="264"/>
      <c r="I543" s="264"/>
      <c r="J543" s="264"/>
      <c r="K543" s="264"/>
      <c r="L543" s="264"/>
      <c r="M543" s="264"/>
      <c r="N543" s="264"/>
      <c r="O543" s="264"/>
      <c r="P543" s="264"/>
      <c r="Q543" s="264"/>
      <c r="R543" s="264"/>
      <c r="S543" s="264"/>
      <c r="T543" s="264"/>
      <c r="U543" s="264"/>
      <c r="V543" s="264"/>
      <c r="W543" s="264"/>
      <c r="X543" s="264"/>
      <c r="Y543" s="264"/>
      <c r="Z543" s="264"/>
    </row>
    <row r="544">
      <c r="A544" s="264"/>
      <c r="B544" s="264"/>
      <c r="C544" s="264"/>
      <c r="D544" s="264"/>
      <c r="E544" s="264"/>
      <c r="F544" s="264"/>
      <c r="G544" s="264"/>
      <c r="H544" s="264"/>
      <c r="I544" s="264"/>
      <c r="J544" s="264"/>
      <c r="K544" s="264"/>
      <c r="L544" s="264"/>
      <c r="M544" s="264"/>
      <c r="N544" s="264"/>
      <c r="O544" s="264"/>
      <c r="P544" s="264"/>
      <c r="Q544" s="264"/>
      <c r="R544" s="264"/>
      <c r="S544" s="264"/>
      <c r="T544" s="264"/>
      <c r="U544" s="264"/>
      <c r="V544" s="264"/>
      <c r="W544" s="264"/>
      <c r="X544" s="264"/>
      <c r="Y544" s="264"/>
      <c r="Z544" s="264"/>
    </row>
    <row r="545">
      <c r="A545" s="264"/>
      <c r="B545" s="264"/>
      <c r="C545" s="264"/>
      <c r="D545" s="264"/>
      <c r="E545" s="264"/>
      <c r="F545" s="264"/>
      <c r="G545" s="264"/>
      <c r="H545" s="264"/>
      <c r="I545" s="264"/>
      <c r="J545" s="264"/>
      <c r="K545" s="264"/>
      <c r="L545" s="264"/>
      <c r="M545" s="264"/>
      <c r="N545" s="264"/>
      <c r="O545" s="264"/>
      <c r="P545" s="264"/>
      <c r="Q545" s="264"/>
      <c r="R545" s="264"/>
      <c r="S545" s="264"/>
      <c r="T545" s="264"/>
      <c r="U545" s="264"/>
      <c r="V545" s="264"/>
      <c r="W545" s="264"/>
      <c r="X545" s="264"/>
      <c r="Y545" s="264"/>
      <c r="Z545" s="264"/>
    </row>
    <row r="546">
      <c r="A546" s="264"/>
      <c r="B546" s="264"/>
      <c r="C546" s="264"/>
      <c r="D546" s="264"/>
      <c r="E546" s="264"/>
      <c r="F546" s="264"/>
      <c r="G546" s="264"/>
      <c r="H546" s="264"/>
      <c r="I546" s="264"/>
      <c r="J546" s="264"/>
      <c r="K546" s="264"/>
      <c r="L546" s="264"/>
      <c r="M546" s="264"/>
      <c r="N546" s="264"/>
      <c r="O546" s="264"/>
      <c r="P546" s="264"/>
      <c r="Q546" s="264"/>
      <c r="R546" s="264"/>
      <c r="S546" s="264"/>
      <c r="T546" s="264"/>
      <c r="U546" s="264"/>
      <c r="V546" s="264"/>
      <c r="W546" s="264"/>
      <c r="X546" s="264"/>
      <c r="Y546" s="264"/>
      <c r="Z546" s="264"/>
    </row>
    <row r="547">
      <c r="A547" s="264"/>
      <c r="B547" s="264"/>
      <c r="C547" s="264"/>
      <c r="D547" s="264"/>
      <c r="E547" s="264"/>
      <c r="F547" s="264"/>
      <c r="G547" s="264"/>
      <c r="H547" s="264"/>
      <c r="I547" s="264"/>
      <c r="J547" s="264"/>
      <c r="K547" s="264"/>
      <c r="L547" s="264"/>
      <c r="M547" s="264"/>
      <c r="N547" s="264"/>
      <c r="O547" s="264"/>
      <c r="P547" s="264"/>
      <c r="Q547" s="264"/>
      <c r="R547" s="264"/>
      <c r="S547" s="264"/>
      <c r="T547" s="264"/>
      <c r="U547" s="264"/>
      <c r="V547" s="264"/>
      <c r="W547" s="264"/>
      <c r="X547" s="264"/>
      <c r="Y547" s="264"/>
      <c r="Z547" s="264"/>
    </row>
    <row r="548">
      <c r="A548" s="264"/>
      <c r="B548" s="264"/>
      <c r="C548" s="264"/>
      <c r="D548" s="264"/>
      <c r="E548" s="264"/>
      <c r="F548" s="264"/>
      <c r="G548" s="264"/>
      <c r="H548" s="264"/>
      <c r="I548" s="264"/>
      <c r="J548" s="264"/>
      <c r="K548" s="264"/>
      <c r="L548" s="264"/>
      <c r="M548" s="264"/>
      <c r="N548" s="264"/>
      <c r="O548" s="264"/>
      <c r="P548" s="264"/>
      <c r="Q548" s="264"/>
      <c r="R548" s="264"/>
      <c r="S548" s="264"/>
      <c r="T548" s="264"/>
      <c r="U548" s="264"/>
      <c r="V548" s="264"/>
      <c r="W548" s="264"/>
      <c r="X548" s="264"/>
      <c r="Y548" s="264"/>
      <c r="Z548" s="264"/>
    </row>
    <row r="549">
      <c r="A549" s="264"/>
      <c r="B549" s="264"/>
      <c r="C549" s="264"/>
      <c r="D549" s="264"/>
      <c r="E549" s="264"/>
      <c r="F549" s="264"/>
      <c r="G549" s="264"/>
      <c r="H549" s="264"/>
      <c r="I549" s="264"/>
      <c r="J549" s="264"/>
      <c r="K549" s="264"/>
      <c r="L549" s="264"/>
      <c r="M549" s="264"/>
      <c r="N549" s="264"/>
      <c r="O549" s="264"/>
      <c r="P549" s="264"/>
      <c r="Q549" s="264"/>
      <c r="R549" s="264"/>
      <c r="S549" s="264"/>
      <c r="T549" s="264"/>
      <c r="U549" s="264"/>
      <c r="V549" s="264"/>
      <c r="W549" s="264"/>
      <c r="X549" s="264"/>
      <c r="Y549" s="264"/>
      <c r="Z549" s="264"/>
    </row>
    <row r="550">
      <c r="A550" s="264"/>
      <c r="B550" s="264"/>
      <c r="C550" s="264"/>
      <c r="D550" s="264"/>
      <c r="E550" s="264"/>
      <c r="F550" s="264"/>
      <c r="G550" s="264"/>
      <c r="H550" s="264"/>
      <c r="I550" s="264"/>
      <c r="J550" s="264"/>
      <c r="K550" s="264"/>
      <c r="L550" s="264"/>
      <c r="M550" s="264"/>
      <c r="N550" s="264"/>
      <c r="O550" s="264"/>
      <c r="P550" s="264"/>
      <c r="Q550" s="264"/>
      <c r="R550" s="264"/>
      <c r="S550" s="264"/>
      <c r="T550" s="264"/>
      <c r="U550" s="264"/>
      <c r="V550" s="264"/>
      <c r="W550" s="264"/>
      <c r="X550" s="264"/>
      <c r="Y550" s="264"/>
      <c r="Z550" s="264"/>
    </row>
    <row r="551">
      <c r="A551" s="264"/>
      <c r="B551" s="264"/>
      <c r="C551" s="264"/>
      <c r="D551" s="264"/>
      <c r="E551" s="264"/>
      <c r="F551" s="264"/>
      <c r="G551" s="264"/>
      <c r="H551" s="264"/>
      <c r="I551" s="264"/>
      <c r="J551" s="264"/>
      <c r="K551" s="264"/>
      <c r="L551" s="264"/>
      <c r="M551" s="264"/>
      <c r="N551" s="264"/>
      <c r="O551" s="264"/>
      <c r="P551" s="264"/>
      <c r="Q551" s="264"/>
      <c r="R551" s="264"/>
      <c r="S551" s="264"/>
      <c r="T551" s="264"/>
      <c r="U551" s="264"/>
      <c r="V551" s="264"/>
      <c r="W551" s="264"/>
      <c r="X551" s="264"/>
      <c r="Y551" s="264"/>
      <c r="Z551" s="264"/>
    </row>
    <row r="552">
      <c r="A552" s="264"/>
      <c r="B552" s="264"/>
      <c r="C552" s="264"/>
      <c r="D552" s="264"/>
      <c r="E552" s="264"/>
      <c r="F552" s="264"/>
      <c r="G552" s="264"/>
      <c r="H552" s="264"/>
      <c r="I552" s="264"/>
      <c r="J552" s="264"/>
      <c r="K552" s="264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264"/>
      <c r="W552" s="264"/>
      <c r="X552" s="264"/>
      <c r="Y552" s="264"/>
      <c r="Z552" s="264"/>
    </row>
    <row r="553">
      <c r="A553" s="264"/>
      <c r="B553" s="264"/>
      <c r="C553" s="264"/>
      <c r="D553" s="264"/>
      <c r="E553" s="264"/>
      <c r="F553" s="264"/>
      <c r="G553" s="264"/>
      <c r="H553" s="264"/>
      <c r="I553" s="264"/>
      <c r="J553" s="264"/>
      <c r="K553" s="264"/>
      <c r="L553" s="264"/>
      <c r="M553" s="264"/>
      <c r="N553" s="264"/>
      <c r="O553" s="264"/>
      <c r="P553" s="264"/>
      <c r="Q553" s="264"/>
      <c r="R553" s="264"/>
      <c r="S553" s="264"/>
      <c r="T553" s="264"/>
      <c r="U553" s="264"/>
      <c r="V553" s="264"/>
      <c r="W553" s="264"/>
      <c r="X553" s="264"/>
      <c r="Y553" s="264"/>
      <c r="Z553" s="264"/>
    </row>
    <row r="554">
      <c r="A554" s="264"/>
      <c r="B554" s="264"/>
      <c r="C554" s="264"/>
      <c r="D554" s="264"/>
      <c r="E554" s="264"/>
      <c r="F554" s="264"/>
      <c r="G554" s="264"/>
      <c r="H554" s="264"/>
      <c r="I554" s="264"/>
      <c r="J554" s="264"/>
      <c r="K554" s="264"/>
      <c r="L554" s="264"/>
      <c r="M554" s="264"/>
      <c r="N554" s="264"/>
      <c r="O554" s="264"/>
      <c r="P554" s="264"/>
      <c r="Q554" s="264"/>
      <c r="R554" s="264"/>
      <c r="S554" s="264"/>
      <c r="T554" s="264"/>
      <c r="U554" s="264"/>
      <c r="V554" s="264"/>
      <c r="W554" s="264"/>
      <c r="X554" s="264"/>
      <c r="Y554" s="264"/>
      <c r="Z554" s="264"/>
    </row>
    <row r="555">
      <c r="A555" s="264"/>
      <c r="B555" s="264"/>
      <c r="C555" s="264"/>
      <c r="D555" s="264"/>
      <c r="E555" s="264"/>
      <c r="F555" s="264"/>
      <c r="G555" s="264"/>
      <c r="H555" s="264"/>
      <c r="I555" s="264"/>
      <c r="J555" s="264"/>
      <c r="K555" s="264"/>
      <c r="L555" s="264"/>
      <c r="M555" s="264"/>
      <c r="N555" s="264"/>
      <c r="O555" s="264"/>
      <c r="P555" s="264"/>
      <c r="Q555" s="264"/>
      <c r="R555" s="264"/>
      <c r="S555" s="264"/>
      <c r="T555" s="264"/>
      <c r="U555" s="264"/>
      <c r="V555" s="264"/>
      <c r="W555" s="264"/>
      <c r="X555" s="264"/>
      <c r="Y555" s="264"/>
      <c r="Z555" s="264"/>
    </row>
    <row r="556">
      <c r="A556" s="264"/>
      <c r="B556" s="264"/>
      <c r="C556" s="264"/>
      <c r="D556" s="264"/>
      <c r="E556" s="264"/>
      <c r="F556" s="264"/>
      <c r="G556" s="264"/>
      <c r="H556" s="264"/>
      <c r="I556" s="264"/>
      <c r="J556" s="264"/>
      <c r="K556" s="264"/>
      <c r="L556" s="264"/>
      <c r="M556" s="264"/>
      <c r="N556" s="264"/>
      <c r="O556" s="264"/>
      <c r="P556" s="264"/>
      <c r="Q556" s="264"/>
      <c r="R556" s="264"/>
      <c r="S556" s="264"/>
      <c r="T556" s="264"/>
      <c r="U556" s="264"/>
      <c r="V556" s="264"/>
      <c r="W556" s="264"/>
      <c r="X556" s="264"/>
      <c r="Y556" s="264"/>
      <c r="Z556" s="264"/>
    </row>
    <row r="557">
      <c r="A557" s="264"/>
      <c r="B557" s="264"/>
      <c r="C557" s="264"/>
      <c r="D557" s="264"/>
      <c r="E557" s="264"/>
      <c r="F557" s="264"/>
      <c r="G557" s="264"/>
      <c r="H557" s="264"/>
      <c r="I557" s="264"/>
      <c r="J557" s="264"/>
      <c r="K557" s="264"/>
      <c r="L557" s="264"/>
      <c r="M557" s="264"/>
      <c r="N557" s="264"/>
      <c r="O557" s="264"/>
      <c r="P557" s="264"/>
      <c r="Q557" s="264"/>
      <c r="R557" s="264"/>
      <c r="S557" s="264"/>
      <c r="T557" s="264"/>
      <c r="U557" s="264"/>
      <c r="V557" s="264"/>
      <c r="W557" s="264"/>
      <c r="X557" s="264"/>
      <c r="Y557" s="264"/>
      <c r="Z557" s="264"/>
    </row>
    <row r="558">
      <c r="A558" s="264"/>
      <c r="B558" s="264"/>
      <c r="C558" s="264"/>
      <c r="D558" s="264"/>
      <c r="E558" s="264"/>
      <c r="F558" s="264"/>
      <c r="G558" s="264"/>
      <c r="H558" s="264"/>
      <c r="I558" s="264"/>
      <c r="J558" s="264"/>
      <c r="K558" s="264"/>
      <c r="L558" s="264"/>
      <c r="M558" s="264"/>
      <c r="N558" s="264"/>
      <c r="O558" s="264"/>
      <c r="P558" s="264"/>
      <c r="Q558" s="264"/>
      <c r="R558" s="264"/>
      <c r="S558" s="264"/>
      <c r="T558" s="264"/>
      <c r="U558" s="264"/>
      <c r="V558" s="264"/>
      <c r="W558" s="264"/>
      <c r="X558" s="264"/>
      <c r="Y558" s="264"/>
      <c r="Z558" s="264"/>
    </row>
    <row r="559">
      <c r="A559" s="264"/>
      <c r="B559" s="264"/>
      <c r="C559" s="264"/>
      <c r="D559" s="264"/>
      <c r="E559" s="264"/>
      <c r="F559" s="264"/>
      <c r="G559" s="264"/>
      <c r="H559" s="264"/>
      <c r="I559" s="264"/>
      <c r="J559" s="264"/>
      <c r="K559" s="264"/>
      <c r="L559" s="264"/>
      <c r="M559" s="264"/>
      <c r="N559" s="264"/>
      <c r="O559" s="264"/>
      <c r="P559" s="264"/>
      <c r="Q559" s="264"/>
      <c r="R559" s="264"/>
      <c r="S559" s="264"/>
      <c r="T559" s="264"/>
      <c r="U559" s="264"/>
      <c r="V559" s="264"/>
      <c r="W559" s="264"/>
      <c r="X559" s="264"/>
      <c r="Y559" s="264"/>
      <c r="Z559" s="264"/>
    </row>
    <row r="560">
      <c r="A560" s="264"/>
      <c r="B560" s="264"/>
      <c r="C560" s="264"/>
      <c r="D560" s="264"/>
      <c r="E560" s="264"/>
      <c r="F560" s="264"/>
      <c r="G560" s="264"/>
      <c r="H560" s="264"/>
      <c r="I560" s="264"/>
      <c r="J560" s="264"/>
      <c r="K560" s="264"/>
      <c r="L560" s="264"/>
      <c r="M560" s="264"/>
      <c r="N560" s="264"/>
      <c r="O560" s="264"/>
      <c r="P560" s="264"/>
      <c r="Q560" s="264"/>
      <c r="R560" s="264"/>
      <c r="S560" s="264"/>
      <c r="T560" s="264"/>
      <c r="U560" s="264"/>
      <c r="V560" s="264"/>
      <c r="W560" s="264"/>
      <c r="X560" s="264"/>
      <c r="Y560" s="264"/>
      <c r="Z560" s="264"/>
    </row>
    <row r="561">
      <c r="A561" s="264"/>
      <c r="B561" s="264"/>
      <c r="C561" s="264"/>
      <c r="D561" s="264"/>
      <c r="E561" s="264"/>
      <c r="F561" s="264"/>
      <c r="G561" s="264"/>
      <c r="H561" s="264"/>
      <c r="I561" s="264"/>
      <c r="J561" s="264"/>
      <c r="K561" s="264"/>
      <c r="L561" s="264"/>
      <c r="M561" s="264"/>
      <c r="N561" s="264"/>
      <c r="O561" s="264"/>
      <c r="P561" s="264"/>
      <c r="Q561" s="264"/>
      <c r="R561" s="264"/>
      <c r="S561" s="264"/>
      <c r="T561" s="264"/>
      <c r="U561" s="264"/>
      <c r="V561" s="264"/>
      <c r="W561" s="264"/>
      <c r="X561" s="264"/>
      <c r="Y561" s="264"/>
      <c r="Z561" s="264"/>
    </row>
    <row r="562">
      <c r="A562" s="264"/>
      <c r="B562" s="264"/>
      <c r="C562" s="264"/>
      <c r="D562" s="264"/>
      <c r="E562" s="264"/>
      <c r="F562" s="264"/>
      <c r="G562" s="264"/>
      <c r="H562" s="264"/>
      <c r="I562" s="264"/>
      <c r="J562" s="264"/>
      <c r="K562" s="264"/>
      <c r="L562" s="264"/>
      <c r="M562" s="264"/>
      <c r="N562" s="264"/>
      <c r="O562" s="264"/>
      <c r="P562" s="264"/>
      <c r="Q562" s="264"/>
      <c r="R562" s="264"/>
      <c r="S562" s="264"/>
      <c r="T562" s="264"/>
      <c r="U562" s="264"/>
      <c r="V562" s="264"/>
      <c r="W562" s="264"/>
      <c r="X562" s="264"/>
      <c r="Y562" s="264"/>
      <c r="Z562" s="264"/>
    </row>
    <row r="563">
      <c r="A563" s="264"/>
      <c r="B563" s="264"/>
      <c r="C563" s="264"/>
      <c r="D563" s="264"/>
      <c r="E563" s="264"/>
      <c r="F563" s="264"/>
      <c r="G563" s="264"/>
      <c r="H563" s="264"/>
      <c r="I563" s="264"/>
      <c r="J563" s="264"/>
      <c r="K563" s="264"/>
      <c r="L563" s="264"/>
      <c r="M563" s="264"/>
      <c r="N563" s="264"/>
      <c r="O563" s="264"/>
      <c r="P563" s="264"/>
      <c r="Q563" s="264"/>
      <c r="R563" s="264"/>
      <c r="S563" s="264"/>
      <c r="T563" s="264"/>
      <c r="U563" s="264"/>
      <c r="V563" s="264"/>
      <c r="W563" s="264"/>
      <c r="X563" s="264"/>
      <c r="Y563" s="264"/>
      <c r="Z563" s="264"/>
    </row>
    <row r="564">
      <c r="A564" s="264"/>
      <c r="B564" s="264"/>
      <c r="C564" s="264"/>
      <c r="D564" s="264"/>
      <c r="E564" s="264"/>
      <c r="F564" s="264"/>
      <c r="G564" s="264"/>
      <c r="H564" s="264"/>
      <c r="I564" s="264"/>
      <c r="J564" s="264"/>
      <c r="K564" s="264"/>
      <c r="L564" s="264"/>
      <c r="M564" s="264"/>
      <c r="N564" s="264"/>
      <c r="O564" s="264"/>
      <c r="P564" s="264"/>
      <c r="Q564" s="264"/>
      <c r="R564" s="264"/>
      <c r="S564" s="264"/>
      <c r="T564" s="264"/>
      <c r="U564" s="264"/>
      <c r="V564" s="264"/>
      <c r="W564" s="264"/>
      <c r="X564" s="264"/>
      <c r="Y564" s="264"/>
      <c r="Z564" s="264"/>
    </row>
    <row r="565">
      <c r="A565" s="264"/>
      <c r="B565" s="264"/>
      <c r="C565" s="264"/>
      <c r="D565" s="264"/>
      <c r="E565" s="264"/>
      <c r="F565" s="264"/>
      <c r="G565" s="264"/>
      <c r="H565" s="264"/>
      <c r="I565" s="264"/>
      <c r="J565" s="264"/>
      <c r="K565" s="264"/>
      <c r="L565" s="264"/>
      <c r="M565" s="264"/>
      <c r="N565" s="264"/>
      <c r="O565" s="264"/>
      <c r="P565" s="264"/>
      <c r="Q565" s="264"/>
      <c r="R565" s="264"/>
      <c r="S565" s="264"/>
      <c r="T565" s="264"/>
      <c r="U565" s="264"/>
      <c r="V565" s="264"/>
      <c r="W565" s="264"/>
      <c r="X565" s="264"/>
      <c r="Y565" s="264"/>
      <c r="Z565" s="264"/>
    </row>
    <row r="566">
      <c r="A566" s="264"/>
      <c r="B566" s="264"/>
      <c r="C566" s="264"/>
      <c r="D566" s="264"/>
      <c r="E566" s="264"/>
      <c r="F566" s="264"/>
      <c r="G566" s="264"/>
      <c r="H566" s="264"/>
      <c r="I566" s="264"/>
      <c r="J566" s="264"/>
      <c r="K566" s="264"/>
      <c r="L566" s="264"/>
      <c r="M566" s="264"/>
      <c r="N566" s="264"/>
      <c r="O566" s="264"/>
      <c r="P566" s="264"/>
      <c r="Q566" s="264"/>
      <c r="R566" s="264"/>
      <c r="S566" s="264"/>
      <c r="T566" s="264"/>
      <c r="U566" s="264"/>
      <c r="V566" s="264"/>
      <c r="W566" s="264"/>
      <c r="X566" s="264"/>
      <c r="Y566" s="264"/>
      <c r="Z566" s="264"/>
    </row>
    <row r="567">
      <c r="A567" s="264"/>
      <c r="B567" s="264"/>
      <c r="C567" s="264"/>
      <c r="D567" s="264"/>
      <c r="E567" s="264"/>
      <c r="F567" s="264"/>
      <c r="G567" s="264"/>
      <c r="H567" s="264"/>
      <c r="I567" s="264"/>
      <c r="J567" s="264"/>
      <c r="K567" s="264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264"/>
      <c r="W567" s="264"/>
      <c r="X567" s="264"/>
      <c r="Y567" s="264"/>
      <c r="Z567" s="264"/>
    </row>
    <row r="568">
      <c r="A568" s="264"/>
      <c r="B568" s="264"/>
      <c r="C568" s="264"/>
      <c r="D568" s="264"/>
      <c r="E568" s="264"/>
      <c r="F568" s="264"/>
      <c r="G568" s="264"/>
      <c r="H568" s="264"/>
      <c r="I568" s="264"/>
      <c r="J568" s="264"/>
      <c r="K568" s="264"/>
      <c r="L568" s="264"/>
      <c r="M568" s="264"/>
      <c r="N568" s="264"/>
      <c r="O568" s="264"/>
      <c r="P568" s="264"/>
      <c r="Q568" s="264"/>
      <c r="R568" s="264"/>
      <c r="S568" s="264"/>
      <c r="T568" s="264"/>
      <c r="U568" s="264"/>
      <c r="V568" s="264"/>
      <c r="W568" s="264"/>
      <c r="X568" s="264"/>
      <c r="Y568" s="264"/>
      <c r="Z568" s="264"/>
    </row>
    <row r="569">
      <c r="A569" s="264"/>
      <c r="B569" s="264"/>
      <c r="C569" s="264"/>
      <c r="D569" s="264"/>
      <c r="E569" s="264"/>
      <c r="F569" s="264"/>
      <c r="G569" s="264"/>
      <c r="H569" s="264"/>
      <c r="I569" s="264"/>
      <c r="J569" s="264"/>
      <c r="K569" s="264"/>
      <c r="L569" s="264"/>
      <c r="M569" s="264"/>
      <c r="N569" s="264"/>
      <c r="O569" s="264"/>
      <c r="P569" s="264"/>
      <c r="Q569" s="264"/>
      <c r="R569" s="264"/>
      <c r="S569" s="264"/>
      <c r="T569" s="264"/>
      <c r="U569" s="264"/>
      <c r="V569" s="264"/>
      <c r="W569" s="264"/>
      <c r="X569" s="264"/>
      <c r="Y569" s="264"/>
      <c r="Z569" s="264"/>
    </row>
    <row r="570">
      <c r="A570" s="264"/>
      <c r="B570" s="264"/>
      <c r="C570" s="264"/>
      <c r="D570" s="264"/>
      <c r="E570" s="264"/>
      <c r="F570" s="264"/>
      <c r="G570" s="264"/>
      <c r="H570" s="264"/>
      <c r="I570" s="264"/>
      <c r="J570" s="264"/>
      <c r="K570" s="264"/>
      <c r="L570" s="264"/>
      <c r="M570" s="264"/>
      <c r="N570" s="264"/>
      <c r="O570" s="264"/>
      <c r="P570" s="264"/>
      <c r="Q570" s="264"/>
      <c r="R570" s="264"/>
      <c r="S570" s="264"/>
      <c r="T570" s="264"/>
      <c r="U570" s="264"/>
      <c r="V570" s="264"/>
      <c r="W570" s="264"/>
      <c r="X570" s="264"/>
      <c r="Y570" s="264"/>
      <c r="Z570" s="264"/>
    </row>
    <row r="571">
      <c r="A571" s="264"/>
      <c r="B571" s="264"/>
      <c r="C571" s="264"/>
      <c r="D571" s="264"/>
      <c r="E571" s="264"/>
      <c r="F571" s="264"/>
      <c r="G571" s="264"/>
      <c r="H571" s="264"/>
      <c r="I571" s="264"/>
      <c r="J571" s="264"/>
      <c r="K571" s="264"/>
      <c r="L571" s="264"/>
      <c r="M571" s="264"/>
      <c r="N571" s="264"/>
      <c r="O571" s="264"/>
      <c r="P571" s="264"/>
      <c r="Q571" s="264"/>
      <c r="R571" s="264"/>
      <c r="S571" s="264"/>
      <c r="T571" s="264"/>
      <c r="U571" s="264"/>
      <c r="V571" s="264"/>
      <c r="W571" s="264"/>
      <c r="X571" s="264"/>
      <c r="Y571" s="264"/>
      <c r="Z571" s="264"/>
    </row>
    <row r="572">
      <c r="A572" s="264"/>
      <c r="B572" s="264"/>
      <c r="C572" s="264"/>
      <c r="D572" s="264"/>
      <c r="E572" s="264"/>
      <c r="F572" s="264"/>
      <c r="G572" s="264"/>
      <c r="H572" s="264"/>
      <c r="I572" s="264"/>
      <c r="J572" s="264"/>
      <c r="K572" s="264"/>
      <c r="L572" s="264"/>
      <c r="M572" s="264"/>
      <c r="N572" s="264"/>
      <c r="O572" s="264"/>
      <c r="P572" s="264"/>
      <c r="Q572" s="264"/>
      <c r="R572" s="264"/>
      <c r="S572" s="264"/>
      <c r="T572" s="264"/>
      <c r="U572" s="264"/>
      <c r="V572" s="264"/>
      <c r="W572" s="264"/>
      <c r="X572" s="264"/>
      <c r="Y572" s="264"/>
      <c r="Z572" s="264"/>
    </row>
    <row r="573">
      <c r="A573" s="264"/>
      <c r="B573" s="264"/>
      <c r="C573" s="264"/>
      <c r="D573" s="264"/>
      <c r="E573" s="264"/>
      <c r="F573" s="264"/>
      <c r="G573" s="264"/>
      <c r="H573" s="264"/>
      <c r="I573" s="264"/>
      <c r="J573" s="264"/>
      <c r="K573" s="264"/>
      <c r="L573" s="264"/>
      <c r="M573" s="264"/>
      <c r="N573" s="264"/>
      <c r="O573" s="264"/>
      <c r="P573" s="264"/>
      <c r="Q573" s="264"/>
      <c r="R573" s="264"/>
      <c r="S573" s="264"/>
      <c r="T573" s="264"/>
      <c r="U573" s="264"/>
      <c r="V573" s="264"/>
      <c r="W573" s="264"/>
      <c r="X573" s="264"/>
      <c r="Y573" s="264"/>
      <c r="Z573" s="264"/>
    </row>
    <row r="574">
      <c r="A574" s="264"/>
      <c r="B574" s="264"/>
      <c r="C574" s="264"/>
      <c r="D574" s="264"/>
      <c r="E574" s="264"/>
      <c r="F574" s="264"/>
      <c r="G574" s="264"/>
      <c r="H574" s="264"/>
      <c r="I574" s="264"/>
      <c r="J574" s="264"/>
      <c r="K574" s="264"/>
      <c r="L574" s="264"/>
      <c r="M574" s="264"/>
      <c r="N574" s="264"/>
      <c r="O574" s="264"/>
      <c r="P574" s="264"/>
      <c r="Q574" s="264"/>
      <c r="R574" s="264"/>
      <c r="S574" s="264"/>
      <c r="T574" s="264"/>
      <c r="U574" s="264"/>
      <c r="V574" s="264"/>
      <c r="W574" s="264"/>
      <c r="X574" s="264"/>
      <c r="Y574" s="264"/>
      <c r="Z574" s="264"/>
    </row>
    <row r="575">
      <c r="A575" s="264"/>
      <c r="B575" s="264"/>
      <c r="C575" s="264"/>
      <c r="D575" s="264"/>
      <c r="E575" s="264"/>
      <c r="F575" s="264"/>
      <c r="G575" s="264"/>
      <c r="H575" s="264"/>
      <c r="I575" s="264"/>
      <c r="J575" s="264"/>
      <c r="K575" s="264"/>
      <c r="L575" s="264"/>
      <c r="M575" s="264"/>
      <c r="N575" s="264"/>
      <c r="O575" s="264"/>
      <c r="P575" s="264"/>
      <c r="Q575" s="264"/>
      <c r="R575" s="264"/>
      <c r="S575" s="264"/>
      <c r="T575" s="264"/>
      <c r="U575" s="264"/>
      <c r="V575" s="264"/>
      <c r="W575" s="264"/>
      <c r="X575" s="264"/>
      <c r="Y575" s="264"/>
      <c r="Z575" s="264"/>
    </row>
    <row r="576">
      <c r="A576" s="264"/>
      <c r="B576" s="264"/>
      <c r="C576" s="264"/>
      <c r="D576" s="264"/>
      <c r="E576" s="264"/>
      <c r="F576" s="264"/>
      <c r="G576" s="264"/>
      <c r="H576" s="264"/>
      <c r="I576" s="264"/>
      <c r="J576" s="264"/>
      <c r="K576" s="264"/>
      <c r="L576" s="264"/>
      <c r="M576" s="264"/>
      <c r="N576" s="264"/>
      <c r="O576" s="264"/>
      <c r="P576" s="264"/>
      <c r="Q576" s="264"/>
      <c r="R576" s="264"/>
      <c r="S576" s="264"/>
      <c r="T576" s="264"/>
      <c r="U576" s="264"/>
      <c r="V576" s="264"/>
      <c r="W576" s="264"/>
      <c r="X576" s="264"/>
      <c r="Y576" s="264"/>
      <c r="Z576" s="264"/>
    </row>
    <row r="577">
      <c r="A577" s="264"/>
      <c r="B577" s="264"/>
      <c r="C577" s="264"/>
      <c r="D577" s="264"/>
      <c r="E577" s="264"/>
      <c r="F577" s="264"/>
      <c r="G577" s="264"/>
      <c r="H577" s="264"/>
      <c r="I577" s="264"/>
      <c r="J577" s="264"/>
      <c r="K577" s="264"/>
      <c r="L577" s="264"/>
      <c r="M577" s="264"/>
      <c r="N577" s="264"/>
      <c r="O577" s="264"/>
      <c r="P577" s="264"/>
      <c r="Q577" s="264"/>
      <c r="R577" s="264"/>
      <c r="S577" s="264"/>
      <c r="T577" s="264"/>
      <c r="U577" s="264"/>
      <c r="V577" s="264"/>
      <c r="W577" s="264"/>
      <c r="X577" s="264"/>
      <c r="Y577" s="264"/>
      <c r="Z577" s="264"/>
    </row>
    <row r="578">
      <c r="A578" s="264"/>
      <c r="B578" s="264"/>
      <c r="C578" s="264"/>
      <c r="D578" s="264"/>
      <c r="E578" s="264"/>
      <c r="F578" s="264"/>
      <c r="G578" s="264"/>
      <c r="H578" s="264"/>
      <c r="I578" s="264"/>
      <c r="J578" s="264"/>
      <c r="K578" s="264"/>
      <c r="L578" s="264"/>
      <c r="M578" s="264"/>
      <c r="N578" s="264"/>
      <c r="O578" s="264"/>
      <c r="P578" s="264"/>
      <c r="Q578" s="264"/>
      <c r="R578" s="264"/>
      <c r="S578" s="264"/>
      <c r="T578" s="264"/>
      <c r="U578" s="264"/>
      <c r="V578" s="264"/>
      <c r="W578" s="264"/>
      <c r="X578" s="264"/>
      <c r="Y578" s="264"/>
      <c r="Z578" s="264"/>
    </row>
    <row r="579">
      <c r="A579" s="264"/>
      <c r="B579" s="264"/>
      <c r="C579" s="264"/>
      <c r="D579" s="264"/>
      <c r="E579" s="264"/>
      <c r="F579" s="264"/>
      <c r="G579" s="264"/>
      <c r="H579" s="264"/>
      <c r="I579" s="264"/>
      <c r="J579" s="264"/>
      <c r="K579" s="264"/>
      <c r="L579" s="264"/>
      <c r="M579" s="264"/>
      <c r="N579" s="264"/>
      <c r="O579" s="264"/>
      <c r="P579" s="264"/>
      <c r="Q579" s="264"/>
      <c r="R579" s="264"/>
      <c r="S579" s="264"/>
      <c r="T579" s="264"/>
      <c r="U579" s="264"/>
      <c r="V579" s="264"/>
      <c r="W579" s="264"/>
      <c r="X579" s="264"/>
      <c r="Y579" s="264"/>
      <c r="Z579" s="264"/>
    </row>
    <row r="580">
      <c r="A580" s="264"/>
      <c r="B580" s="264"/>
      <c r="C580" s="264"/>
      <c r="D580" s="264"/>
      <c r="E580" s="264"/>
      <c r="F580" s="264"/>
      <c r="G580" s="264"/>
      <c r="H580" s="264"/>
      <c r="I580" s="264"/>
      <c r="J580" s="264"/>
      <c r="K580" s="264"/>
      <c r="L580" s="264"/>
      <c r="M580" s="264"/>
      <c r="N580" s="264"/>
      <c r="O580" s="264"/>
      <c r="P580" s="264"/>
      <c r="Q580" s="264"/>
      <c r="R580" s="264"/>
      <c r="S580" s="264"/>
      <c r="T580" s="264"/>
      <c r="U580" s="264"/>
      <c r="V580" s="264"/>
      <c r="W580" s="264"/>
      <c r="X580" s="264"/>
      <c r="Y580" s="264"/>
      <c r="Z580" s="264"/>
    </row>
    <row r="581">
      <c r="A581" s="264"/>
      <c r="B581" s="264"/>
      <c r="C581" s="264"/>
      <c r="D581" s="264"/>
      <c r="E581" s="264"/>
      <c r="F581" s="264"/>
      <c r="G581" s="264"/>
      <c r="H581" s="264"/>
      <c r="I581" s="264"/>
      <c r="J581" s="264"/>
      <c r="K581" s="264"/>
      <c r="L581" s="264"/>
      <c r="M581" s="264"/>
      <c r="N581" s="264"/>
      <c r="O581" s="264"/>
      <c r="P581" s="264"/>
      <c r="Q581" s="264"/>
      <c r="R581" s="264"/>
      <c r="S581" s="264"/>
      <c r="T581" s="264"/>
      <c r="U581" s="264"/>
      <c r="V581" s="264"/>
      <c r="W581" s="264"/>
      <c r="X581" s="264"/>
      <c r="Y581" s="264"/>
      <c r="Z581" s="264"/>
    </row>
    <row r="582">
      <c r="A582" s="264"/>
      <c r="B582" s="264"/>
      <c r="C582" s="264"/>
      <c r="D582" s="264"/>
      <c r="E582" s="264"/>
      <c r="F582" s="264"/>
      <c r="G582" s="264"/>
      <c r="H582" s="264"/>
      <c r="I582" s="264"/>
      <c r="J582" s="264"/>
      <c r="K582" s="264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264"/>
      <c r="W582" s="264"/>
      <c r="X582" s="264"/>
      <c r="Y582" s="264"/>
      <c r="Z582" s="264"/>
    </row>
    <row r="583">
      <c r="A583" s="264"/>
      <c r="B583" s="264"/>
      <c r="C583" s="264"/>
      <c r="D583" s="264"/>
      <c r="E583" s="264"/>
      <c r="F583" s="264"/>
      <c r="G583" s="264"/>
      <c r="H583" s="264"/>
      <c r="I583" s="264"/>
      <c r="J583" s="264"/>
      <c r="K583" s="264"/>
      <c r="L583" s="264"/>
      <c r="M583" s="264"/>
      <c r="N583" s="264"/>
      <c r="O583" s="264"/>
      <c r="P583" s="264"/>
      <c r="Q583" s="264"/>
      <c r="R583" s="264"/>
      <c r="S583" s="264"/>
      <c r="T583" s="264"/>
      <c r="U583" s="264"/>
      <c r="V583" s="264"/>
      <c r="W583" s="264"/>
      <c r="X583" s="264"/>
      <c r="Y583" s="264"/>
      <c r="Z583" s="264"/>
    </row>
    <row r="584">
      <c r="A584" s="264"/>
      <c r="B584" s="264"/>
      <c r="C584" s="264"/>
      <c r="D584" s="264"/>
      <c r="E584" s="264"/>
      <c r="F584" s="264"/>
      <c r="G584" s="264"/>
      <c r="H584" s="264"/>
      <c r="I584" s="264"/>
      <c r="J584" s="264"/>
      <c r="K584" s="264"/>
      <c r="L584" s="264"/>
      <c r="M584" s="264"/>
      <c r="N584" s="264"/>
      <c r="O584" s="264"/>
      <c r="P584" s="264"/>
      <c r="Q584" s="264"/>
      <c r="R584" s="264"/>
      <c r="S584" s="264"/>
      <c r="T584" s="264"/>
      <c r="U584" s="264"/>
      <c r="V584" s="264"/>
      <c r="W584" s="264"/>
      <c r="X584" s="264"/>
      <c r="Y584" s="264"/>
      <c r="Z584" s="264"/>
    </row>
    <row r="585">
      <c r="A585" s="264"/>
      <c r="B585" s="264"/>
      <c r="C585" s="264"/>
      <c r="D585" s="264"/>
      <c r="E585" s="264"/>
      <c r="F585" s="264"/>
      <c r="G585" s="264"/>
      <c r="H585" s="264"/>
      <c r="I585" s="264"/>
      <c r="J585" s="264"/>
      <c r="K585" s="264"/>
      <c r="L585" s="264"/>
      <c r="M585" s="264"/>
      <c r="N585" s="264"/>
      <c r="O585" s="264"/>
      <c r="P585" s="264"/>
      <c r="Q585" s="264"/>
      <c r="R585" s="264"/>
      <c r="S585" s="264"/>
      <c r="T585" s="264"/>
      <c r="U585" s="264"/>
      <c r="V585" s="264"/>
      <c r="W585" s="264"/>
      <c r="X585" s="264"/>
      <c r="Y585" s="264"/>
      <c r="Z585" s="264"/>
    </row>
    <row r="586">
      <c r="A586" s="264"/>
      <c r="B586" s="264"/>
      <c r="C586" s="264"/>
      <c r="D586" s="264"/>
      <c r="E586" s="264"/>
      <c r="F586" s="264"/>
      <c r="G586" s="264"/>
      <c r="H586" s="264"/>
      <c r="I586" s="264"/>
      <c r="J586" s="264"/>
      <c r="K586" s="264"/>
      <c r="L586" s="264"/>
      <c r="M586" s="264"/>
      <c r="N586" s="264"/>
      <c r="O586" s="264"/>
      <c r="P586" s="264"/>
      <c r="Q586" s="264"/>
      <c r="R586" s="264"/>
      <c r="S586" s="264"/>
      <c r="T586" s="264"/>
      <c r="U586" s="264"/>
      <c r="V586" s="264"/>
      <c r="W586" s="264"/>
      <c r="X586" s="264"/>
      <c r="Y586" s="264"/>
      <c r="Z586" s="264"/>
    </row>
    <row r="587">
      <c r="A587" s="264"/>
      <c r="B587" s="264"/>
      <c r="C587" s="264"/>
      <c r="D587" s="264"/>
      <c r="E587" s="264"/>
      <c r="F587" s="264"/>
      <c r="G587" s="264"/>
      <c r="H587" s="264"/>
      <c r="I587" s="264"/>
      <c r="J587" s="264"/>
      <c r="K587" s="264"/>
      <c r="L587" s="264"/>
      <c r="M587" s="264"/>
      <c r="N587" s="264"/>
      <c r="O587" s="264"/>
      <c r="P587" s="264"/>
      <c r="Q587" s="264"/>
      <c r="R587" s="264"/>
      <c r="S587" s="264"/>
      <c r="T587" s="264"/>
      <c r="U587" s="264"/>
      <c r="V587" s="264"/>
      <c r="W587" s="264"/>
      <c r="X587" s="264"/>
      <c r="Y587" s="264"/>
      <c r="Z587" s="264"/>
    </row>
    <row r="588">
      <c r="A588" s="264"/>
      <c r="B588" s="264"/>
      <c r="C588" s="264"/>
      <c r="D588" s="264"/>
      <c r="E588" s="264"/>
      <c r="F588" s="264"/>
      <c r="G588" s="264"/>
      <c r="H588" s="264"/>
      <c r="I588" s="264"/>
      <c r="J588" s="264"/>
      <c r="K588" s="264"/>
      <c r="L588" s="264"/>
      <c r="M588" s="264"/>
      <c r="N588" s="264"/>
      <c r="O588" s="264"/>
      <c r="P588" s="264"/>
      <c r="Q588" s="264"/>
      <c r="R588" s="264"/>
      <c r="S588" s="264"/>
      <c r="T588" s="264"/>
      <c r="U588" s="264"/>
      <c r="V588" s="264"/>
      <c r="W588" s="264"/>
      <c r="X588" s="264"/>
      <c r="Y588" s="264"/>
      <c r="Z588" s="264"/>
    </row>
    <row r="589">
      <c r="A589" s="264"/>
      <c r="B589" s="264"/>
      <c r="C589" s="264"/>
      <c r="D589" s="264"/>
      <c r="E589" s="264"/>
      <c r="F589" s="264"/>
      <c r="G589" s="264"/>
      <c r="H589" s="264"/>
      <c r="I589" s="264"/>
      <c r="J589" s="264"/>
      <c r="K589" s="264"/>
      <c r="L589" s="264"/>
      <c r="M589" s="264"/>
      <c r="N589" s="264"/>
      <c r="O589" s="264"/>
      <c r="P589" s="264"/>
      <c r="Q589" s="264"/>
      <c r="R589" s="264"/>
      <c r="S589" s="264"/>
      <c r="T589" s="264"/>
      <c r="U589" s="264"/>
      <c r="V589" s="264"/>
      <c r="W589" s="264"/>
      <c r="X589" s="264"/>
      <c r="Y589" s="264"/>
      <c r="Z589" s="264"/>
    </row>
    <row r="590">
      <c r="A590" s="264"/>
      <c r="B590" s="264"/>
      <c r="C590" s="264"/>
      <c r="D590" s="264"/>
      <c r="E590" s="264"/>
      <c r="F590" s="264"/>
      <c r="G590" s="264"/>
      <c r="H590" s="264"/>
      <c r="I590" s="264"/>
      <c r="J590" s="264"/>
      <c r="K590" s="264"/>
      <c r="L590" s="264"/>
      <c r="M590" s="264"/>
      <c r="N590" s="264"/>
      <c r="O590" s="264"/>
      <c r="P590" s="264"/>
      <c r="Q590" s="264"/>
      <c r="R590" s="264"/>
      <c r="S590" s="264"/>
      <c r="T590" s="264"/>
      <c r="U590" s="264"/>
      <c r="V590" s="264"/>
      <c r="W590" s="264"/>
      <c r="X590" s="264"/>
      <c r="Y590" s="264"/>
      <c r="Z590" s="264"/>
    </row>
    <row r="591">
      <c r="A591" s="264"/>
      <c r="B591" s="264"/>
      <c r="C591" s="264"/>
      <c r="D591" s="264"/>
      <c r="E591" s="264"/>
      <c r="F591" s="264"/>
      <c r="G591" s="264"/>
      <c r="H591" s="264"/>
      <c r="I591" s="264"/>
      <c r="J591" s="264"/>
      <c r="K591" s="264"/>
      <c r="L591" s="264"/>
      <c r="M591" s="264"/>
      <c r="N591" s="264"/>
      <c r="O591" s="264"/>
      <c r="P591" s="264"/>
      <c r="Q591" s="264"/>
      <c r="R591" s="264"/>
      <c r="S591" s="264"/>
      <c r="T591" s="264"/>
      <c r="U591" s="264"/>
      <c r="V591" s="264"/>
      <c r="W591" s="264"/>
      <c r="X591" s="264"/>
      <c r="Y591" s="264"/>
      <c r="Z591" s="264"/>
    </row>
    <row r="592">
      <c r="A592" s="264"/>
      <c r="B592" s="264"/>
      <c r="C592" s="264"/>
      <c r="D592" s="264"/>
      <c r="E592" s="264"/>
      <c r="F592" s="264"/>
      <c r="G592" s="264"/>
      <c r="H592" s="264"/>
      <c r="I592" s="264"/>
      <c r="J592" s="264"/>
      <c r="K592" s="264"/>
      <c r="L592" s="264"/>
      <c r="M592" s="264"/>
      <c r="N592" s="264"/>
      <c r="O592" s="264"/>
      <c r="P592" s="264"/>
      <c r="Q592" s="264"/>
      <c r="R592" s="264"/>
      <c r="S592" s="264"/>
      <c r="T592" s="264"/>
      <c r="U592" s="264"/>
      <c r="V592" s="264"/>
      <c r="W592" s="264"/>
      <c r="X592" s="264"/>
      <c r="Y592" s="264"/>
      <c r="Z592" s="264"/>
    </row>
    <row r="593">
      <c r="A593" s="264"/>
      <c r="B593" s="264"/>
      <c r="C593" s="264"/>
      <c r="D593" s="264"/>
      <c r="E593" s="264"/>
      <c r="F593" s="264"/>
      <c r="G593" s="264"/>
      <c r="H593" s="264"/>
      <c r="I593" s="264"/>
      <c r="J593" s="264"/>
      <c r="K593" s="264"/>
      <c r="L593" s="264"/>
      <c r="M593" s="264"/>
      <c r="N593" s="264"/>
      <c r="O593" s="264"/>
      <c r="P593" s="264"/>
      <c r="Q593" s="264"/>
      <c r="R593" s="264"/>
      <c r="S593" s="264"/>
      <c r="T593" s="264"/>
      <c r="U593" s="264"/>
      <c r="V593" s="264"/>
      <c r="W593" s="264"/>
      <c r="X593" s="264"/>
      <c r="Y593" s="264"/>
      <c r="Z593" s="264"/>
    </row>
    <row r="594">
      <c r="A594" s="264"/>
      <c r="B594" s="264"/>
      <c r="C594" s="264"/>
      <c r="D594" s="264"/>
      <c r="E594" s="264"/>
      <c r="F594" s="264"/>
      <c r="G594" s="264"/>
      <c r="H594" s="264"/>
      <c r="I594" s="264"/>
      <c r="J594" s="264"/>
      <c r="K594" s="264"/>
      <c r="L594" s="264"/>
      <c r="M594" s="264"/>
      <c r="N594" s="264"/>
      <c r="O594" s="264"/>
      <c r="P594" s="264"/>
      <c r="Q594" s="264"/>
      <c r="R594" s="264"/>
      <c r="S594" s="264"/>
      <c r="T594" s="264"/>
      <c r="U594" s="264"/>
      <c r="V594" s="264"/>
      <c r="W594" s="264"/>
      <c r="X594" s="264"/>
      <c r="Y594" s="264"/>
      <c r="Z594" s="264"/>
    </row>
    <row r="595">
      <c r="A595" s="264"/>
      <c r="B595" s="264"/>
      <c r="C595" s="264"/>
      <c r="D595" s="264"/>
      <c r="E595" s="264"/>
      <c r="F595" s="264"/>
      <c r="G595" s="264"/>
      <c r="H595" s="264"/>
      <c r="I595" s="264"/>
      <c r="J595" s="264"/>
      <c r="K595" s="264"/>
      <c r="L595" s="264"/>
      <c r="M595" s="264"/>
      <c r="N595" s="264"/>
      <c r="O595" s="264"/>
      <c r="P595" s="264"/>
      <c r="Q595" s="264"/>
      <c r="R595" s="264"/>
      <c r="S595" s="264"/>
      <c r="T595" s="264"/>
      <c r="U595" s="264"/>
      <c r="V595" s="264"/>
      <c r="W595" s="264"/>
      <c r="X595" s="264"/>
      <c r="Y595" s="264"/>
      <c r="Z595" s="264"/>
    </row>
    <row r="596">
      <c r="A596" s="264"/>
      <c r="B596" s="264"/>
      <c r="C596" s="264"/>
      <c r="D596" s="264"/>
      <c r="E596" s="264"/>
      <c r="F596" s="264"/>
      <c r="G596" s="264"/>
      <c r="H596" s="264"/>
      <c r="I596" s="264"/>
      <c r="J596" s="264"/>
      <c r="K596" s="264"/>
      <c r="L596" s="264"/>
      <c r="M596" s="264"/>
      <c r="N596" s="264"/>
      <c r="O596" s="264"/>
      <c r="P596" s="264"/>
      <c r="Q596" s="264"/>
      <c r="R596" s="264"/>
      <c r="S596" s="264"/>
      <c r="T596" s="264"/>
      <c r="U596" s="264"/>
      <c r="V596" s="264"/>
      <c r="W596" s="264"/>
      <c r="X596" s="264"/>
      <c r="Y596" s="264"/>
      <c r="Z596" s="264"/>
    </row>
    <row r="597">
      <c r="A597" s="264"/>
      <c r="B597" s="264"/>
      <c r="C597" s="264"/>
      <c r="D597" s="264"/>
      <c r="E597" s="264"/>
      <c r="F597" s="264"/>
      <c r="G597" s="264"/>
      <c r="H597" s="264"/>
      <c r="I597" s="264"/>
      <c r="J597" s="264"/>
      <c r="K597" s="264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</row>
    <row r="598">
      <c r="A598" s="264"/>
      <c r="B598" s="264"/>
      <c r="C598" s="264"/>
      <c r="D598" s="264"/>
      <c r="E598" s="264"/>
      <c r="F598" s="264"/>
      <c r="G598" s="264"/>
      <c r="H598" s="264"/>
      <c r="I598" s="264"/>
      <c r="J598" s="264"/>
      <c r="K598" s="264"/>
      <c r="L598" s="264"/>
      <c r="M598" s="264"/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</row>
    <row r="599">
      <c r="A599" s="264"/>
      <c r="B599" s="264"/>
      <c r="C599" s="264"/>
      <c r="D599" s="264"/>
      <c r="E599" s="264"/>
      <c r="F599" s="264"/>
      <c r="G599" s="264"/>
      <c r="H599" s="264"/>
      <c r="I599" s="264"/>
      <c r="J599" s="264"/>
      <c r="K599" s="264"/>
      <c r="L599" s="264"/>
      <c r="M599" s="264"/>
      <c r="N599" s="264"/>
      <c r="O599" s="264"/>
      <c r="P599" s="264"/>
      <c r="Q599" s="264"/>
      <c r="R599" s="264"/>
      <c r="S599" s="264"/>
      <c r="T599" s="264"/>
      <c r="U599" s="264"/>
      <c r="V599" s="264"/>
      <c r="W599" s="264"/>
      <c r="X599" s="264"/>
      <c r="Y599" s="264"/>
      <c r="Z599" s="264"/>
    </row>
    <row r="600">
      <c r="A600" s="264"/>
      <c r="B600" s="264"/>
      <c r="C600" s="264"/>
      <c r="D600" s="264"/>
      <c r="E600" s="264"/>
      <c r="F600" s="264"/>
      <c r="G600" s="264"/>
      <c r="H600" s="264"/>
      <c r="I600" s="264"/>
      <c r="J600" s="264"/>
      <c r="K600" s="264"/>
      <c r="L600" s="264"/>
      <c r="M600" s="264"/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</row>
    <row r="601">
      <c r="A601" s="264"/>
      <c r="B601" s="264"/>
      <c r="C601" s="264"/>
      <c r="D601" s="264"/>
      <c r="E601" s="264"/>
      <c r="F601" s="264"/>
      <c r="G601" s="264"/>
      <c r="H601" s="264"/>
      <c r="I601" s="264"/>
      <c r="J601" s="264"/>
      <c r="K601" s="264"/>
      <c r="L601" s="264"/>
      <c r="M601" s="264"/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</row>
    <row r="602">
      <c r="A602" s="264"/>
      <c r="B602" s="264"/>
      <c r="C602" s="264"/>
      <c r="D602" s="264"/>
      <c r="E602" s="264"/>
      <c r="F602" s="264"/>
      <c r="G602" s="264"/>
      <c r="H602" s="264"/>
      <c r="I602" s="264"/>
      <c r="J602" s="264"/>
      <c r="K602" s="264"/>
      <c r="L602" s="264"/>
      <c r="M602" s="264"/>
      <c r="N602" s="264"/>
      <c r="O602" s="264"/>
      <c r="P602" s="264"/>
      <c r="Q602" s="264"/>
      <c r="R602" s="264"/>
      <c r="S602" s="264"/>
      <c r="T602" s="264"/>
      <c r="U602" s="264"/>
      <c r="V602" s="264"/>
      <c r="W602" s="264"/>
      <c r="X602" s="264"/>
      <c r="Y602" s="264"/>
      <c r="Z602" s="264"/>
    </row>
    <row r="603">
      <c r="A603" s="264"/>
      <c r="B603" s="264"/>
      <c r="C603" s="264"/>
      <c r="D603" s="264"/>
      <c r="E603" s="264"/>
      <c r="F603" s="264"/>
      <c r="G603" s="264"/>
      <c r="H603" s="264"/>
      <c r="I603" s="264"/>
      <c r="J603" s="264"/>
      <c r="K603" s="264"/>
      <c r="L603" s="264"/>
      <c r="M603" s="264"/>
      <c r="N603" s="264"/>
      <c r="O603" s="264"/>
      <c r="P603" s="264"/>
      <c r="Q603" s="264"/>
      <c r="R603" s="264"/>
      <c r="S603" s="264"/>
      <c r="T603" s="264"/>
      <c r="U603" s="264"/>
      <c r="V603" s="264"/>
      <c r="W603" s="264"/>
      <c r="X603" s="264"/>
      <c r="Y603" s="264"/>
      <c r="Z603" s="264"/>
    </row>
    <row r="604">
      <c r="A604" s="264"/>
      <c r="B604" s="264"/>
      <c r="C604" s="264"/>
      <c r="D604" s="264"/>
      <c r="E604" s="264"/>
      <c r="F604" s="264"/>
      <c r="G604" s="264"/>
      <c r="H604" s="264"/>
      <c r="I604" s="264"/>
      <c r="J604" s="264"/>
      <c r="K604" s="264"/>
      <c r="L604" s="264"/>
      <c r="M604" s="264"/>
      <c r="N604" s="264"/>
      <c r="O604" s="264"/>
      <c r="P604" s="264"/>
      <c r="Q604" s="264"/>
      <c r="R604" s="264"/>
      <c r="S604" s="264"/>
      <c r="T604" s="264"/>
      <c r="U604" s="264"/>
      <c r="V604" s="264"/>
      <c r="W604" s="264"/>
      <c r="X604" s="264"/>
      <c r="Y604" s="264"/>
      <c r="Z604" s="264"/>
    </row>
    <row r="605">
      <c r="A605" s="264"/>
      <c r="B605" s="264"/>
      <c r="C605" s="264"/>
      <c r="D605" s="264"/>
      <c r="E605" s="264"/>
      <c r="F605" s="264"/>
      <c r="G605" s="264"/>
      <c r="H605" s="264"/>
      <c r="I605" s="264"/>
      <c r="J605" s="264"/>
      <c r="K605" s="264"/>
      <c r="L605" s="264"/>
      <c r="M605" s="264"/>
      <c r="N605" s="264"/>
      <c r="O605" s="264"/>
      <c r="P605" s="264"/>
      <c r="Q605" s="264"/>
      <c r="R605" s="264"/>
      <c r="S605" s="264"/>
      <c r="T605" s="264"/>
      <c r="U605" s="264"/>
      <c r="V605" s="264"/>
      <c r="W605" s="264"/>
      <c r="X605" s="264"/>
      <c r="Y605" s="264"/>
      <c r="Z605" s="264"/>
    </row>
    <row r="606">
      <c r="A606" s="264"/>
      <c r="B606" s="264"/>
      <c r="C606" s="264"/>
      <c r="D606" s="264"/>
      <c r="E606" s="264"/>
      <c r="F606" s="264"/>
      <c r="G606" s="264"/>
      <c r="H606" s="264"/>
      <c r="I606" s="264"/>
      <c r="J606" s="264"/>
      <c r="K606" s="264"/>
      <c r="L606" s="264"/>
      <c r="M606" s="264"/>
      <c r="N606" s="264"/>
      <c r="O606" s="264"/>
      <c r="P606" s="264"/>
      <c r="Q606" s="264"/>
      <c r="R606" s="264"/>
      <c r="S606" s="264"/>
      <c r="T606" s="264"/>
      <c r="U606" s="264"/>
      <c r="V606" s="264"/>
      <c r="W606" s="264"/>
      <c r="X606" s="264"/>
      <c r="Y606" s="264"/>
      <c r="Z606" s="264"/>
    </row>
    <row r="607">
      <c r="A607" s="264"/>
      <c r="B607" s="264"/>
      <c r="C607" s="264"/>
      <c r="D607" s="264"/>
      <c r="E607" s="264"/>
      <c r="F607" s="264"/>
      <c r="G607" s="264"/>
      <c r="H607" s="264"/>
      <c r="I607" s="264"/>
      <c r="J607" s="264"/>
      <c r="K607" s="264"/>
      <c r="L607" s="264"/>
      <c r="M607" s="264"/>
      <c r="N607" s="264"/>
      <c r="O607" s="264"/>
      <c r="P607" s="264"/>
      <c r="Q607" s="264"/>
      <c r="R607" s="264"/>
      <c r="S607" s="264"/>
      <c r="T607" s="264"/>
      <c r="U607" s="264"/>
      <c r="V607" s="264"/>
      <c r="W607" s="264"/>
      <c r="X607" s="264"/>
      <c r="Y607" s="264"/>
      <c r="Z607" s="264"/>
    </row>
    <row r="608">
      <c r="A608" s="264"/>
      <c r="B608" s="264"/>
      <c r="C608" s="264"/>
      <c r="D608" s="264"/>
      <c r="E608" s="264"/>
      <c r="F608" s="264"/>
      <c r="G608" s="264"/>
      <c r="H608" s="264"/>
      <c r="I608" s="264"/>
      <c r="J608" s="264"/>
      <c r="K608" s="264"/>
      <c r="L608" s="264"/>
      <c r="M608" s="264"/>
      <c r="N608" s="264"/>
      <c r="O608" s="264"/>
      <c r="P608" s="264"/>
      <c r="Q608" s="264"/>
      <c r="R608" s="264"/>
      <c r="S608" s="264"/>
      <c r="T608" s="264"/>
      <c r="U608" s="264"/>
      <c r="V608" s="264"/>
      <c r="W608" s="264"/>
      <c r="X608" s="264"/>
      <c r="Y608" s="264"/>
      <c r="Z608" s="264"/>
    </row>
    <row r="609">
      <c r="A609" s="264"/>
      <c r="B609" s="264"/>
      <c r="C609" s="264"/>
      <c r="D609" s="264"/>
      <c r="E609" s="264"/>
      <c r="F609" s="264"/>
      <c r="G609" s="264"/>
      <c r="H609" s="264"/>
      <c r="I609" s="264"/>
      <c r="J609" s="264"/>
      <c r="K609" s="264"/>
      <c r="L609" s="264"/>
      <c r="M609" s="264"/>
      <c r="N609" s="264"/>
      <c r="O609" s="264"/>
      <c r="P609" s="264"/>
      <c r="Q609" s="264"/>
      <c r="R609" s="264"/>
      <c r="S609" s="264"/>
      <c r="T609" s="264"/>
      <c r="U609" s="264"/>
      <c r="V609" s="264"/>
      <c r="W609" s="264"/>
      <c r="X609" s="264"/>
      <c r="Y609" s="264"/>
      <c r="Z609" s="264"/>
    </row>
    <row r="610">
      <c r="A610" s="264"/>
      <c r="B610" s="264"/>
      <c r="C610" s="264"/>
      <c r="D610" s="264"/>
      <c r="E610" s="264"/>
      <c r="F610" s="264"/>
      <c r="G610" s="264"/>
      <c r="H610" s="264"/>
      <c r="I610" s="264"/>
      <c r="J610" s="264"/>
      <c r="K610" s="264"/>
      <c r="L610" s="264"/>
      <c r="M610" s="264"/>
      <c r="N610" s="264"/>
      <c r="O610" s="264"/>
      <c r="P610" s="264"/>
      <c r="Q610" s="264"/>
      <c r="R610" s="264"/>
      <c r="S610" s="264"/>
      <c r="T610" s="264"/>
      <c r="U610" s="264"/>
      <c r="V610" s="264"/>
      <c r="W610" s="264"/>
      <c r="X610" s="264"/>
      <c r="Y610" s="264"/>
      <c r="Z610" s="264"/>
    </row>
    <row r="611">
      <c r="A611" s="264"/>
      <c r="B611" s="264"/>
      <c r="C611" s="264"/>
      <c r="D611" s="264"/>
      <c r="E611" s="264"/>
      <c r="F611" s="264"/>
      <c r="G611" s="264"/>
      <c r="H611" s="264"/>
      <c r="I611" s="264"/>
      <c r="J611" s="264"/>
      <c r="K611" s="264"/>
      <c r="L611" s="264"/>
      <c r="M611" s="264"/>
      <c r="N611" s="264"/>
      <c r="O611" s="264"/>
      <c r="P611" s="264"/>
      <c r="Q611" s="264"/>
      <c r="R611" s="264"/>
      <c r="S611" s="264"/>
      <c r="T611" s="264"/>
      <c r="U611" s="264"/>
      <c r="V611" s="264"/>
      <c r="W611" s="264"/>
      <c r="X611" s="264"/>
      <c r="Y611" s="264"/>
      <c r="Z611" s="264"/>
    </row>
    <row r="612">
      <c r="A612" s="264"/>
      <c r="B612" s="264"/>
      <c r="C612" s="264"/>
      <c r="D612" s="264"/>
      <c r="E612" s="264"/>
      <c r="F612" s="264"/>
      <c r="G612" s="264"/>
      <c r="H612" s="264"/>
      <c r="I612" s="264"/>
      <c r="J612" s="264"/>
      <c r="K612" s="264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264"/>
      <c r="W612" s="264"/>
      <c r="X612" s="264"/>
      <c r="Y612" s="264"/>
      <c r="Z612" s="264"/>
    </row>
    <row r="613">
      <c r="A613" s="264"/>
      <c r="B613" s="264"/>
      <c r="C613" s="264"/>
      <c r="D613" s="264"/>
      <c r="E613" s="264"/>
      <c r="F613" s="264"/>
      <c r="G613" s="264"/>
      <c r="H613" s="264"/>
      <c r="I613" s="264"/>
      <c r="J613" s="264"/>
      <c r="K613" s="264"/>
      <c r="L613" s="264"/>
      <c r="M613" s="264"/>
      <c r="N613" s="264"/>
      <c r="O613" s="264"/>
      <c r="P613" s="264"/>
      <c r="Q613" s="264"/>
      <c r="R613" s="264"/>
      <c r="S613" s="264"/>
      <c r="T613" s="264"/>
      <c r="U613" s="264"/>
      <c r="V613" s="264"/>
      <c r="W613" s="264"/>
      <c r="X613" s="264"/>
      <c r="Y613" s="264"/>
      <c r="Z613" s="264"/>
    </row>
    <row r="614">
      <c r="A614" s="264"/>
      <c r="B614" s="264"/>
      <c r="C614" s="264"/>
      <c r="D614" s="264"/>
      <c r="E614" s="264"/>
      <c r="F614" s="264"/>
      <c r="G614" s="264"/>
      <c r="H614" s="264"/>
      <c r="I614" s="264"/>
      <c r="J614" s="264"/>
      <c r="K614" s="264"/>
      <c r="L614" s="264"/>
      <c r="M614" s="264"/>
      <c r="N614" s="264"/>
      <c r="O614" s="264"/>
      <c r="P614" s="264"/>
      <c r="Q614" s="264"/>
      <c r="R614" s="264"/>
      <c r="S614" s="264"/>
      <c r="T614" s="264"/>
      <c r="U614" s="264"/>
      <c r="V614" s="264"/>
      <c r="W614" s="264"/>
      <c r="X614" s="264"/>
      <c r="Y614" s="264"/>
      <c r="Z614" s="264"/>
    </row>
    <row r="615">
      <c r="A615" s="264"/>
      <c r="B615" s="264"/>
      <c r="C615" s="264"/>
      <c r="D615" s="264"/>
      <c r="E615" s="264"/>
      <c r="F615" s="264"/>
      <c r="G615" s="264"/>
      <c r="H615" s="264"/>
      <c r="I615" s="264"/>
      <c r="J615" s="264"/>
      <c r="K615" s="264"/>
      <c r="L615" s="264"/>
      <c r="M615" s="264"/>
      <c r="N615" s="264"/>
      <c r="O615" s="264"/>
      <c r="P615" s="264"/>
      <c r="Q615" s="264"/>
      <c r="R615" s="264"/>
      <c r="S615" s="264"/>
      <c r="T615" s="264"/>
      <c r="U615" s="264"/>
      <c r="V615" s="264"/>
      <c r="W615" s="264"/>
      <c r="X615" s="264"/>
      <c r="Y615" s="264"/>
      <c r="Z615" s="264"/>
    </row>
    <row r="616">
      <c r="A616" s="264"/>
      <c r="B616" s="264"/>
      <c r="C616" s="264"/>
      <c r="D616" s="264"/>
      <c r="E616" s="264"/>
      <c r="F616" s="264"/>
      <c r="G616" s="264"/>
      <c r="H616" s="264"/>
      <c r="I616" s="264"/>
      <c r="J616" s="264"/>
      <c r="K616" s="264"/>
      <c r="L616" s="264"/>
      <c r="M616" s="264"/>
      <c r="N616" s="264"/>
      <c r="O616" s="264"/>
      <c r="P616" s="264"/>
      <c r="Q616" s="264"/>
      <c r="R616" s="264"/>
      <c r="S616" s="264"/>
      <c r="T616" s="264"/>
      <c r="U616" s="264"/>
      <c r="V616" s="264"/>
      <c r="W616" s="264"/>
      <c r="X616" s="264"/>
      <c r="Y616" s="264"/>
      <c r="Z616" s="264"/>
    </row>
    <row r="617">
      <c r="A617" s="264"/>
      <c r="B617" s="264"/>
      <c r="C617" s="264"/>
      <c r="D617" s="264"/>
      <c r="E617" s="264"/>
      <c r="F617" s="264"/>
      <c r="G617" s="264"/>
      <c r="H617" s="264"/>
      <c r="I617" s="264"/>
      <c r="J617" s="264"/>
      <c r="K617" s="264"/>
      <c r="L617" s="264"/>
      <c r="M617" s="264"/>
      <c r="N617" s="264"/>
      <c r="O617" s="264"/>
      <c r="P617" s="264"/>
      <c r="Q617" s="264"/>
      <c r="R617" s="264"/>
      <c r="S617" s="264"/>
      <c r="T617" s="264"/>
      <c r="U617" s="264"/>
      <c r="V617" s="264"/>
      <c r="W617" s="264"/>
      <c r="X617" s="264"/>
      <c r="Y617" s="264"/>
      <c r="Z617" s="264"/>
    </row>
    <row r="618">
      <c r="A618" s="264"/>
      <c r="B618" s="264"/>
      <c r="C618" s="264"/>
      <c r="D618" s="264"/>
      <c r="E618" s="264"/>
      <c r="F618" s="264"/>
      <c r="G618" s="264"/>
      <c r="H618" s="264"/>
      <c r="I618" s="264"/>
      <c r="J618" s="264"/>
      <c r="K618" s="264"/>
      <c r="L618" s="264"/>
      <c r="M618" s="264"/>
      <c r="N618" s="264"/>
      <c r="O618" s="264"/>
      <c r="P618" s="264"/>
      <c r="Q618" s="264"/>
      <c r="R618" s="264"/>
      <c r="S618" s="264"/>
      <c r="T618" s="264"/>
      <c r="U618" s="264"/>
      <c r="V618" s="264"/>
      <c r="W618" s="264"/>
      <c r="X618" s="264"/>
      <c r="Y618" s="264"/>
      <c r="Z618" s="264"/>
    </row>
    <row r="619">
      <c r="A619" s="264"/>
      <c r="B619" s="264"/>
      <c r="C619" s="264"/>
      <c r="D619" s="264"/>
      <c r="E619" s="264"/>
      <c r="F619" s="264"/>
      <c r="G619" s="264"/>
      <c r="H619" s="264"/>
      <c r="I619" s="264"/>
      <c r="J619" s="264"/>
      <c r="K619" s="264"/>
      <c r="L619" s="264"/>
      <c r="M619" s="264"/>
      <c r="N619" s="264"/>
      <c r="O619" s="264"/>
      <c r="P619" s="264"/>
      <c r="Q619" s="264"/>
      <c r="R619" s="264"/>
      <c r="S619" s="264"/>
      <c r="T619" s="264"/>
      <c r="U619" s="264"/>
      <c r="V619" s="264"/>
      <c r="W619" s="264"/>
      <c r="X619" s="264"/>
      <c r="Y619" s="264"/>
      <c r="Z619" s="264"/>
    </row>
    <row r="620">
      <c r="A620" s="264"/>
      <c r="B620" s="264"/>
      <c r="C620" s="264"/>
      <c r="D620" s="264"/>
      <c r="E620" s="264"/>
      <c r="F620" s="264"/>
      <c r="G620" s="264"/>
      <c r="H620" s="264"/>
      <c r="I620" s="264"/>
      <c r="J620" s="264"/>
      <c r="K620" s="264"/>
      <c r="L620" s="264"/>
      <c r="M620" s="264"/>
      <c r="N620" s="264"/>
      <c r="O620" s="264"/>
      <c r="P620" s="264"/>
      <c r="Q620" s="264"/>
      <c r="R620" s="264"/>
      <c r="S620" s="264"/>
      <c r="T620" s="264"/>
      <c r="U620" s="264"/>
      <c r="V620" s="264"/>
      <c r="W620" s="264"/>
      <c r="X620" s="264"/>
      <c r="Y620" s="264"/>
      <c r="Z620" s="264"/>
    </row>
    <row r="621">
      <c r="A621" s="264"/>
      <c r="B621" s="264"/>
      <c r="C621" s="264"/>
      <c r="D621" s="264"/>
      <c r="E621" s="264"/>
      <c r="F621" s="264"/>
      <c r="G621" s="264"/>
      <c r="H621" s="264"/>
      <c r="I621" s="264"/>
      <c r="J621" s="264"/>
      <c r="K621" s="264"/>
      <c r="L621" s="264"/>
      <c r="M621" s="264"/>
      <c r="N621" s="264"/>
      <c r="O621" s="264"/>
      <c r="P621" s="264"/>
      <c r="Q621" s="264"/>
      <c r="R621" s="264"/>
      <c r="S621" s="264"/>
      <c r="T621" s="264"/>
      <c r="U621" s="264"/>
      <c r="V621" s="264"/>
      <c r="W621" s="264"/>
      <c r="X621" s="264"/>
      <c r="Y621" s="264"/>
      <c r="Z621" s="264"/>
    </row>
    <row r="622">
      <c r="A622" s="264"/>
      <c r="B622" s="264"/>
      <c r="C622" s="264"/>
      <c r="D622" s="264"/>
      <c r="E622" s="264"/>
      <c r="F622" s="264"/>
      <c r="G622" s="264"/>
      <c r="H622" s="264"/>
      <c r="I622" s="264"/>
      <c r="J622" s="264"/>
      <c r="K622" s="264"/>
      <c r="L622" s="264"/>
      <c r="M622" s="264"/>
      <c r="N622" s="264"/>
      <c r="O622" s="264"/>
      <c r="P622" s="264"/>
      <c r="Q622" s="264"/>
      <c r="R622" s="264"/>
      <c r="S622" s="264"/>
      <c r="T622" s="264"/>
      <c r="U622" s="264"/>
      <c r="V622" s="264"/>
      <c r="W622" s="264"/>
      <c r="X622" s="264"/>
      <c r="Y622" s="264"/>
      <c r="Z622" s="264"/>
    </row>
    <row r="623">
      <c r="A623" s="264"/>
      <c r="B623" s="264"/>
      <c r="C623" s="264"/>
      <c r="D623" s="264"/>
      <c r="E623" s="264"/>
      <c r="F623" s="264"/>
      <c r="G623" s="264"/>
      <c r="H623" s="264"/>
      <c r="I623" s="264"/>
      <c r="J623" s="264"/>
      <c r="K623" s="264"/>
      <c r="L623" s="264"/>
      <c r="M623" s="264"/>
      <c r="N623" s="264"/>
      <c r="O623" s="264"/>
      <c r="P623" s="264"/>
      <c r="Q623" s="264"/>
      <c r="R623" s="264"/>
      <c r="S623" s="264"/>
      <c r="T623" s="264"/>
      <c r="U623" s="264"/>
      <c r="V623" s="264"/>
      <c r="W623" s="264"/>
      <c r="X623" s="264"/>
      <c r="Y623" s="264"/>
      <c r="Z623" s="264"/>
    </row>
    <row r="624">
      <c r="A624" s="264"/>
      <c r="B624" s="264"/>
      <c r="C624" s="264"/>
      <c r="D624" s="264"/>
      <c r="E624" s="264"/>
      <c r="F624" s="264"/>
      <c r="G624" s="264"/>
      <c r="H624" s="264"/>
      <c r="I624" s="264"/>
      <c r="J624" s="264"/>
      <c r="K624" s="264"/>
      <c r="L624" s="264"/>
      <c r="M624" s="264"/>
      <c r="N624" s="264"/>
      <c r="O624" s="264"/>
      <c r="P624" s="264"/>
      <c r="Q624" s="264"/>
      <c r="R624" s="264"/>
      <c r="S624" s="264"/>
      <c r="T624" s="264"/>
      <c r="U624" s="264"/>
      <c r="V624" s="264"/>
      <c r="W624" s="264"/>
      <c r="X624" s="264"/>
      <c r="Y624" s="264"/>
      <c r="Z624" s="264"/>
    </row>
    <row r="625">
      <c r="A625" s="264"/>
      <c r="B625" s="264"/>
      <c r="C625" s="264"/>
      <c r="D625" s="264"/>
      <c r="E625" s="264"/>
      <c r="F625" s="264"/>
      <c r="G625" s="264"/>
      <c r="H625" s="264"/>
      <c r="I625" s="264"/>
      <c r="J625" s="264"/>
      <c r="K625" s="264"/>
      <c r="L625" s="264"/>
      <c r="M625" s="264"/>
      <c r="N625" s="264"/>
      <c r="O625" s="264"/>
      <c r="P625" s="264"/>
      <c r="Q625" s="264"/>
      <c r="R625" s="264"/>
      <c r="S625" s="264"/>
      <c r="T625" s="264"/>
      <c r="U625" s="264"/>
      <c r="V625" s="264"/>
      <c r="W625" s="264"/>
      <c r="X625" s="264"/>
      <c r="Y625" s="264"/>
      <c r="Z625" s="264"/>
    </row>
    <row r="626">
      <c r="A626" s="264"/>
      <c r="B626" s="264"/>
      <c r="C626" s="264"/>
      <c r="D626" s="264"/>
      <c r="E626" s="264"/>
      <c r="F626" s="264"/>
      <c r="G626" s="264"/>
      <c r="H626" s="264"/>
      <c r="I626" s="264"/>
      <c r="J626" s="264"/>
      <c r="K626" s="264"/>
      <c r="L626" s="264"/>
      <c r="M626" s="264"/>
      <c r="N626" s="264"/>
      <c r="O626" s="264"/>
      <c r="P626" s="264"/>
      <c r="Q626" s="264"/>
      <c r="R626" s="264"/>
      <c r="S626" s="264"/>
      <c r="T626" s="264"/>
      <c r="U626" s="264"/>
      <c r="V626" s="264"/>
      <c r="W626" s="264"/>
      <c r="X626" s="264"/>
      <c r="Y626" s="264"/>
      <c r="Z626" s="264"/>
    </row>
    <row r="627">
      <c r="A627" s="264"/>
      <c r="B627" s="264"/>
      <c r="C627" s="264"/>
      <c r="D627" s="264"/>
      <c r="E627" s="264"/>
      <c r="F627" s="264"/>
      <c r="G627" s="264"/>
      <c r="H627" s="264"/>
      <c r="I627" s="264"/>
      <c r="J627" s="264"/>
      <c r="K627" s="264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264"/>
      <c r="W627" s="264"/>
      <c r="X627" s="264"/>
      <c r="Y627" s="264"/>
      <c r="Z627" s="264"/>
    </row>
    <row r="628">
      <c r="A628" s="264"/>
      <c r="B628" s="264"/>
      <c r="C628" s="264"/>
      <c r="D628" s="264"/>
      <c r="E628" s="264"/>
      <c r="F628" s="264"/>
      <c r="G628" s="264"/>
      <c r="H628" s="264"/>
      <c r="I628" s="264"/>
      <c r="J628" s="264"/>
      <c r="K628" s="264"/>
      <c r="L628" s="264"/>
      <c r="M628" s="264"/>
      <c r="N628" s="264"/>
      <c r="O628" s="264"/>
      <c r="P628" s="264"/>
      <c r="Q628" s="264"/>
      <c r="R628" s="264"/>
      <c r="S628" s="264"/>
      <c r="T628" s="264"/>
      <c r="U628" s="264"/>
      <c r="V628" s="264"/>
      <c r="W628" s="264"/>
      <c r="X628" s="264"/>
      <c r="Y628" s="264"/>
      <c r="Z628" s="264"/>
    </row>
    <row r="629">
      <c r="A629" s="264"/>
      <c r="B629" s="264"/>
      <c r="C629" s="264"/>
      <c r="D629" s="264"/>
      <c r="E629" s="264"/>
      <c r="F629" s="264"/>
      <c r="G629" s="264"/>
      <c r="H629" s="264"/>
      <c r="I629" s="264"/>
      <c r="J629" s="264"/>
      <c r="K629" s="264"/>
      <c r="L629" s="264"/>
      <c r="M629" s="264"/>
      <c r="N629" s="264"/>
      <c r="O629" s="264"/>
      <c r="P629" s="264"/>
      <c r="Q629" s="264"/>
      <c r="R629" s="264"/>
      <c r="S629" s="264"/>
      <c r="T629" s="264"/>
      <c r="U629" s="264"/>
      <c r="V629" s="264"/>
      <c r="W629" s="264"/>
      <c r="X629" s="264"/>
      <c r="Y629" s="264"/>
      <c r="Z629" s="264"/>
    </row>
    <row r="630">
      <c r="A630" s="264"/>
      <c r="B630" s="264"/>
      <c r="C630" s="264"/>
      <c r="D630" s="264"/>
      <c r="E630" s="264"/>
      <c r="F630" s="264"/>
      <c r="G630" s="264"/>
      <c r="H630" s="264"/>
      <c r="I630" s="264"/>
      <c r="J630" s="264"/>
      <c r="K630" s="264"/>
      <c r="L630" s="264"/>
      <c r="M630" s="264"/>
      <c r="N630" s="264"/>
      <c r="O630" s="264"/>
      <c r="P630" s="264"/>
      <c r="Q630" s="264"/>
      <c r="R630" s="264"/>
      <c r="S630" s="264"/>
      <c r="T630" s="264"/>
      <c r="U630" s="264"/>
      <c r="V630" s="264"/>
      <c r="W630" s="264"/>
      <c r="X630" s="264"/>
      <c r="Y630" s="264"/>
      <c r="Z630" s="264"/>
    </row>
    <row r="631">
      <c r="A631" s="264"/>
      <c r="B631" s="264"/>
      <c r="C631" s="264"/>
      <c r="D631" s="264"/>
      <c r="E631" s="264"/>
      <c r="F631" s="264"/>
      <c r="G631" s="264"/>
      <c r="H631" s="264"/>
      <c r="I631" s="264"/>
      <c r="J631" s="264"/>
      <c r="K631" s="264"/>
      <c r="L631" s="264"/>
      <c r="M631" s="264"/>
      <c r="N631" s="264"/>
      <c r="O631" s="264"/>
      <c r="P631" s="264"/>
      <c r="Q631" s="264"/>
      <c r="R631" s="264"/>
      <c r="S631" s="264"/>
      <c r="T631" s="264"/>
      <c r="U631" s="264"/>
      <c r="V631" s="264"/>
      <c r="W631" s="264"/>
      <c r="X631" s="264"/>
      <c r="Y631" s="264"/>
      <c r="Z631" s="264"/>
    </row>
    <row r="632">
      <c r="A632" s="264"/>
      <c r="B632" s="264"/>
      <c r="C632" s="264"/>
      <c r="D632" s="264"/>
      <c r="E632" s="264"/>
      <c r="F632" s="264"/>
      <c r="G632" s="264"/>
      <c r="H632" s="264"/>
      <c r="I632" s="264"/>
      <c r="J632" s="264"/>
      <c r="K632" s="264"/>
      <c r="L632" s="264"/>
      <c r="M632" s="264"/>
      <c r="N632" s="264"/>
      <c r="O632" s="264"/>
      <c r="P632" s="264"/>
      <c r="Q632" s="264"/>
      <c r="R632" s="264"/>
      <c r="S632" s="264"/>
      <c r="T632" s="264"/>
      <c r="U632" s="264"/>
      <c r="V632" s="264"/>
      <c r="W632" s="264"/>
      <c r="X632" s="264"/>
      <c r="Y632" s="264"/>
      <c r="Z632" s="264"/>
    </row>
    <row r="633">
      <c r="A633" s="264"/>
      <c r="B633" s="264"/>
      <c r="C633" s="264"/>
      <c r="D633" s="264"/>
      <c r="E633" s="264"/>
      <c r="F633" s="264"/>
      <c r="G633" s="264"/>
      <c r="H633" s="264"/>
      <c r="I633" s="264"/>
      <c r="J633" s="264"/>
      <c r="K633" s="264"/>
      <c r="L633" s="264"/>
      <c r="M633" s="264"/>
      <c r="N633" s="264"/>
      <c r="O633" s="264"/>
      <c r="P633" s="264"/>
      <c r="Q633" s="264"/>
      <c r="R633" s="264"/>
      <c r="S633" s="264"/>
      <c r="T633" s="264"/>
      <c r="U633" s="264"/>
      <c r="V633" s="264"/>
      <c r="W633" s="264"/>
      <c r="X633" s="264"/>
      <c r="Y633" s="264"/>
      <c r="Z633" s="264"/>
    </row>
    <row r="634">
      <c r="A634" s="264"/>
      <c r="B634" s="264"/>
      <c r="C634" s="264"/>
      <c r="D634" s="264"/>
      <c r="E634" s="264"/>
      <c r="F634" s="264"/>
      <c r="G634" s="264"/>
      <c r="H634" s="264"/>
      <c r="I634" s="264"/>
      <c r="J634" s="264"/>
      <c r="K634" s="264"/>
      <c r="L634" s="264"/>
      <c r="M634" s="264"/>
      <c r="N634" s="264"/>
      <c r="O634" s="264"/>
      <c r="P634" s="264"/>
      <c r="Q634" s="264"/>
      <c r="R634" s="264"/>
      <c r="S634" s="264"/>
      <c r="T634" s="264"/>
      <c r="U634" s="264"/>
      <c r="V634" s="264"/>
      <c r="W634" s="264"/>
      <c r="X634" s="264"/>
      <c r="Y634" s="264"/>
      <c r="Z634" s="264"/>
    </row>
    <row r="635">
      <c r="A635" s="264"/>
      <c r="B635" s="264"/>
      <c r="C635" s="264"/>
      <c r="D635" s="264"/>
      <c r="E635" s="264"/>
      <c r="F635" s="264"/>
      <c r="G635" s="264"/>
      <c r="H635" s="264"/>
      <c r="I635" s="264"/>
      <c r="J635" s="264"/>
      <c r="K635" s="264"/>
      <c r="L635" s="264"/>
      <c r="M635" s="264"/>
      <c r="N635" s="264"/>
      <c r="O635" s="264"/>
      <c r="P635" s="264"/>
      <c r="Q635" s="264"/>
      <c r="R635" s="264"/>
      <c r="S635" s="264"/>
      <c r="T635" s="264"/>
      <c r="U635" s="264"/>
      <c r="V635" s="264"/>
      <c r="W635" s="264"/>
      <c r="X635" s="264"/>
      <c r="Y635" s="264"/>
      <c r="Z635" s="264"/>
    </row>
    <row r="636">
      <c r="A636" s="264"/>
      <c r="B636" s="264"/>
      <c r="C636" s="264"/>
      <c r="D636" s="264"/>
      <c r="E636" s="264"/>
      <c r="F636" s="264"/>
      <c r="G636" s="264"/>
      <c r="H636" s="264"/>
      <c r="I636" s="264"/>
      <c r="J636" s="264"/>
      <c r="K636" s="264"/>
      <c r="L636" s="264"/>
      <c r="M636" s="264"/>
      <c r="N636" s="264"/>
      <c r="O636" s="264"/>
      <c r="P636" s="264"/>
      <c r="Q636" s="264"/>
      <c r="R636" s="264"/>
      <c r="S636" s="264"/>
      <c r="T636" s="264"/>
      <c r="U636" s="264"/>
      <c r="V636" s="264"/>
      <c r="W636" s="264"/>
      <c r="X636" s="264"/>
      <c r="Y636" s="264"/>
      <c r="Z636" s="264"/>
    </row>
    <row r="637">
      <c r="A637" s="264"/>
      <c r="B637" s="264"/>
      <c r="C637" s="264"/>
      <c r="D637" s="264"/>
      <c r="E637" s="264"/>
      <c r="F637" s="264"/>
      <c r="G637" s="264"/>
      <c r="H637" s="264"/>
      <c r="I637" s="264"/>
      <c r="J637" s="264"/>
      <c r="K637" s="264"/>
      <c r="L637" s="264"/>
      <c r="M637" s="264"/>
      <c r="N637" s="264"/>
      <c r="O637" s="264"/>
      <c r="P637" s="264"/>
      <c r="Q637" s="264"/>
      <c r="R637" s="264"/>
      <c r="S637" s="264"/>
      <c r="T637" s="264"/>
      <c r="U637" s="264"/>
      <c r="V637" s="264"/>
      <c r="W637" s="264"/>
      <c r="X637" s="264"/>
      <c r="Y637" s="264"/>
      <c r="Z637" s="264"/>
    </row>
    <row r="638">
      <c r="A638" s="264"/>
      <c r="B638" s="264"/>
      <c r="C638" s="264"/>
      <c r="D638" s="264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</row>
    <row r="639">
      <c r="A639" s="264"/>
      <c r="B639" s="264"/>
      <c r="C639" s="264"/>
      <c r="D639" s="264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</row>
    <row r="640">
      <c r="A640" s="264"/>
      <c r="B640" s="264"/>
      <c r="C640" s="264"/>
      <c r="D640" s="264"/>
      <c r="E640" s="264"/>
      <c r="F640" s="264"/>
      <c r="G640" s="264"/>
      <c r="H640" s="264"/>
      <c r="I640" s="264"/>
      <c r="J640" s="264"/>
      <c r="K640" s="264"/>
      <c r="L640" s="264"/>
      <c r="M640" s="264"/>
      <c r="N640" s="264"/>
      <c r="O640" s="264"/>
      <c r="P640" s="264"/>
      <c r="Q640" s="264"/>
      <c r="R640" s="264"/>
      <c r="S640" s="264"/>
      <c r="T640" s="264"/>
      <c r="U640" s="264"/>
      <c r="V640" s="264"/>
      <c r="W640" s="264"/>
      <c r="X640" s="264"/>
      <c r="Y640" s="264"/>
      <c r="Z640" s="264"/>
    </row>
    <row r="641">
      <c r="A641" s="264"/>
      <c r="B641" s="264"/>
      <c r="C641" s="264"/>
      <c r="D641" s="264"/>
      <c r="E641" s="264"/>
      <c r="F641" s="264"/>
      <c r="G641" s="264"/>
      <c r="H641" s="264"/>
      <c r="I641" s="264"/>
      <c r="J641" s="264"/>
      <c r="K641" s="264"/>
      <c r="L641" s="264"/>
      <c r="M641" s="264"/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</row>
    <row r="642">
      <c r="A642" s="264"/>
      <c r="B642" s="264"/>
      <c r="C642" s="264"/>
      <c r="D642" s="264"/>
      <c r="E642" s="264"/>
      <c r="F642" s="264"/>
      <c r="G642" s="264"/>
      <c r="H642" s="264"/>
      <c r="I642" s="264"/>
      <c r="J642" s="264"/>
      <c r="K642" s="264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</row>
    <row r="643">
      <c r="A643" s="264"/>
      <c r="B643" s="264"/>
      <c r="C643" s="264"/>
      <c r="D643" s="264"/>
      <c r="E643" s="264"/>
      <c r="F643" s="264"/>
      <c r="G643" s="264"/>
      <c r="H643" s="264"/>
      <c r="I643" s="264"/>
      <c r="J643" s="264"/>
      <c r="K643" s="264"/>
      <c r="L643" s="264"/>
      <c r="M643" s="264"/>
      <c r="N643" s="264"/>
      <c r="O643" s="264"/>
      <c r="P643" s="264"/>
      <c r="Q643" s="264"/>
      <c r="R643" s="264"/>
      <c r="S643" s="264"/>
      <c r="T643" s="264"/>
      <c r="U643" s="264"/>
      <c r="V643" s="264"/>
      <c r="W643" s="264"/>
      <c r="X643" s="264"/>
      <c r="Y643" s="264"/>
      <c r="Z643" s="264"/>
    </row>
    <row r="644">
      <c r="A644" s="264"/>
      <c r="B644" s="264"/>
      <c r="C644" s="264"/>
      <c r="D644" s="264"/>
      <c r="E644" s="264"/>
      <c r="F644" s="264"/>
      <c r="G644" s="264"/>
      <c r="H644" s="264"/>
      <c r="I644" s="264"/>
      <c r="J644" s="264"/>
      <c r="K644" s="264"/>
      <c r="L644" s="264"/>
      <c r="M644" s="264"/>
      <c r="N644" s="264"/>
      <c r="O644" s="264"/>
      <c r="P644" s="264"/>
      <c r="Q644" s="264"/>
      <c r="R644" s="264"/>
      <c r="S644" s="264"/>
      <c r="T644" s="264"/>
      <c r="U644" s="264"/>
      <c r="V644" s="264"/>
      <c r="W644" s="264"/>
      <c r="X644" s="264"/>
      <c r="Y644" s="264"/>
      <c r="Z644" s="264"/>
    </row>
    <row r="645">
      <c r="A645" s="264"/>
      <c r="B645" s="264"/>
      <c r="C645" s="264"/>
      <c r="D645" s="264"/>
      <c r="E645" s="264"/>
      <c r="F645" s="264"/>
      <c r="G645" s="264"/>
      <c r="H645" s="264"/>
      <c r="I645" s="264"/>
      <c r="J645" s="264"/>
      <c r="K645" s="264"/>
      <c r="L645" s="264"/>
      <c r="M645" s="264"/>
      <c r="N645" s="264"/>
      <c r="O645" s="264"/>
      <c r="P645" s="264"/>
      <c r="Q645" s="264"/>
      <c r="R645" s="264"/>
      <c r="S645" s="264"/>
      <c r="T645" s="264"/>
      <c r="U645" s="264"/>
      <c r="V645" s="264"/>
      <c r="W645" s="264"/>
      <c r="X645" s="264"/>
      <c r="Y645" s="264"/>
      <c r="Z645" s="264"/>
    </row>
    <row r="646">
      <c r="A646" s="264"/>
      <c r="B646" s="264"/>
      <c r="C646" s="264"/>
      <c r="D646" s="264"/>
      <c r="E646" s="264"/>
      <c r="F646" s="264"/>
      <c r="G646" s="264"/>
      <c r="H646" s="264"/>
      <c r="I646" s="264"/>
      <c r="J646" s="264"/>
      <c r="K646" s="264"/>
      <c r="L646" s="264"/>
      <c r="M646" s="264"/>
      <c r="N646" s="264"/>
      <c r="O646" s="264"/>
      <c r="P646" s="264"/>
      <c r="Q646" s="264"/>
      <c r="R646" s="264"/>
      <c r="S646" s="264"/>
      <c r="T646" s="264"/>
      <c r="U646" s="264"/>
      <c r="V646" s="264"/>
      <c r="W646" s="264"/>
      <c r="X646" s="264"/>
      <c r="Y646" s="264"/>
      <c r="Z646" s="264"/>
    </row>
    <row r="647">
      <c r="A647" s="264"/>
      <c r="B647" s="264"/>
      <c r="C647" s="264"/>
      <c r="D647" s="264"/>
      <c r="E647" s="264"/>
      <c r="F647" s="264"/>
      <c r="G647" s="264"/>
      <c r="H647" s="264"/>
      <c r="I647" s="264"/>
      <c r="J647" s="264"/>
      <c r="K647" s="264"/>
      <c r="L647" s="264"/>
      <c r="M647" s="264"/>
      <c r="N647" s="264"/>
      <c r="O647" s="264"/>
      <c r="P647" s="264"/>
      <c r="Q647" s="264"/>
      <c r="R647" s="264"/>
      <c r="S647" s="264"/>
      <c r="T647" s="264"/>
      <c r="U647" s="264"/>
      <c r="V647" s="264"/>
      <c r="W647" s="264"/>
      <c r="X647" s="264"/>
      <c r="Y647" s="264"/>
      <c r="Z647" s="264"/>
    </row>
    <row r="648">
      <c r="A648" s="264"/>
      <c r="B648" s="264"/>
      <c r="C648" s="264"/>
      <c r="D648" s="264"/>
      <c r="E648" s="264"/>
      <c r="F648" s="264"/>
      <c r="G648" s="264"/>
      <c r="H648" s="264"/>
      <c r="I648" s="264"/>
      <c r="J648" s="264"/>
      <c r="K648" s="264"/>
      <c r="L648" s="264"/>
      <c r="M648" s="264"/>
      <c r="N648" s="264"/>
      <c r="O648" s="264"/>
      <c r="P648" s="264"/>
      <c r="Q648" s="264"/>
      <c r="R648" s="264"/>
      <c r="S648" s="264"/>
      <c r="T648" s="264"/>
      <c r="U648" s="264"/>
      <c r="V648" s="264"/>
      <c r="W648" s="264"/>
      <c r="X648" s="264"/>
      <c r="Y648" s="264"/>
      <c r="Z648" s="264"/>
    </row>
    <row r="649">
      <c r="A649" s="264"/>
      <c r="B649" s="264"/>
      <c r="C649" s="264"/>
      <c r="D649" s="264"/>
      <c r="E649" s="264"/>
      <c r="F649" s="264"/>
      <c r="G649" s="264"/>
      <c r="H649" s="264"/>
      <c r="I649" s="264"/>
      <c r="J649" s="264"/>
      <c r="K649" s="264"/>
      <c r="L649" s="264"/>
      <c r="M649" s="264"/>
      <c r="N649" s="264"/>
      <c r="O649" s="264"/>
      <c r="P649" s="264"/>
      <c r="Q649" s="264"/>
      <c r="R649" s="264"/>
      <c r="S649" s="264"/>
      <c r="T649" s="264"/>
      <c r="U649" s="264"/>
      <c r="V649" s="264"/>
      <c r="W649" s="264"/>
      <c r="X649" s="264"/>
      <c r="Y649" s="264"/>
      <c r="Z649" s="264"/>
    </row>
    <row r="650">
      <c r="A650" s="264"/>
      <c r="B650" s="264"/>
      <c r="C650" s="264"/>
      <c r="D650" s="264"/>
      <c r="E650" s="264"/>
      <c r="F650" s="264"/>
      <c r="G650" s="264"/>
      <c r="H650" s="264"/>
      <c r="I650" s="264"/>
      <c r="J650" s="264"/>
      <c r="K650" s="264"/>
      <c r="L650" s="264"/>
      <c r="M650" s="264"/>
      <c r="N650" s="264"/>
      <c r="O650" s="264"/>
      <c r="P650" s="264"/>
      <c r="Q650" s="264"/>
      <c r="R650" s="264"/>
      <c r="S650" s="264"/>
      <c r="T650" s="264"/>
      <c r="U650" s="264"/>
      <c r="V650" s="264"/>
      <c r="W650" s="264"/>
      <c r="X650" s="264"/>
      <c r="Y650" s="264"/>
      <c r="Z650" s="264"/>
    </row>
    <row r="651">
      <c r="A651" s="264"/>
      <c r="B651" s="264"/>
      <c r="C651" s="264"/>
      <c r="D651" s="264"/>
      <c r="E651" s="264"/>
      <c r="F651" s="264"/>
      <c r="G651" s="264"/>
      <c r="H651" s="264"/>
      <c r="I651" s="264"/>
      <c r="J651" s="264"/>
      <c r="K651" s="264"/>
      <c r="L651" s="264"/>
      <c r="M651" s="264"/>
      <c r="N651" s="264"/>
      <c r="O651" s="264"/>
      <c r="P651" s="264"/>
      <c r="Q651" s="264"/>
      <c r="R651" s="264"/>
      <c r="S651" s="264"/>
      <c r="T651" s="264"/>
      <c r="U651" s="264"/>
      <c r="V651" s="264"/>
      <c r="W651" s="264"/>
      <c r="X651" s="264"/>
      <c r="Y651" s="264"/>
      <c r="Z651" s="264"/>
    </row>
    <row r="652">
      <c r="A652" s="264"/>
      <c r="B652" s="264"/>
      <c r="C652" s="264"/>
      <c r="D652" s="264"/>
      <c r="E652" s="264"/>
      <c r="F652" s="264"/>
      <c r="G652" s="264"/>
      <c r="H652" s="264"/>
      <c r="I652" s="264"/>
      <c r="J652" s="264"/>
      <c r="K652" s="264"/>
      <c r="L652" s="264"/>
      <c r="M652" s="264"/>
      <c r="N652" s="264"/>
      <c r="O652" s="264"/>
      <c r="P652" s="264"/>
      <c r="Q652" s="264"/>
      <c r="R652" s="264"/>
      <c r="S652" s="264"/>
      <c r="T652" s="264"/>
      <c r="U652" s="264"/>
      <c r="V652" s="264"/>
      <c r="W652" s="264"/>
      <c r="X652" s="264"/>
      <c r="Y652" s="264"/>
      <c r="Z652" s="264"/>
    </row>
    <row r="653">
      <c r="A653" s="264"/>
      <c r="B653" s="264"/>
      <c r="C653" s="264"/>
      <c r="D653" s="264"/>
      <c r="E653" s="264"/>
      <c r="F653" s="264"/>
      <c r="G653" s="264"/>
      <c r="H653" s="264"/>
      <c r="I653" s="264"/>
      <c r="J653" s="264"/>
      <c r="K653" s="264"/>
      <c r="L653" s="264"/>
      <c r="M653" s="264"/>
      <c r="N653" s="264"/>
      <c r="O653" s="264"/>
      <c r="P653" s="264"/>
      <c r="Q653" s="264"/>
      <c r="R653" s="264"/>
      <c r="S653" s="264"/>
      <c r="T653" s="264"/>
      <c r="U653" s="264"/>
      <c r="V653" s="264"/>
      <c r="W653" s="264"/>
      <c r="X653" s="264"/>
      <c r="Y653" s="264"/>
      <c r="Z653" s="264"/>
    </row>
    <row r="654">
      <c r="A654" s="264"/>
      <c r="B654" s="264"/>
      <c r="C654" s="264"/>
      <c r="D654" s="264"/>
      <c r="E654" s="264"/>
      <c r="F654" s="264"/>
      <c r="G654" s="264"/>
      <c r="H654" s="264"/>
      <c r="I654" s="264"/>
      <c r="J654" s="264"/>
      <c r="K654" s="264"/>
      <c r="L654" s="264"/>
      <c r="M654" s="264"/>
      <c r="N654" s="264"/>
      <c r="O654" s="264"/>
      <c r="P654" s="264"/>
      <c r="Q654" s="264"/>
      <c r="R654" s="264"/>
      <c r="S654" s="264"/>
      <c r="T654" s="264"/>
      <c r="U654" s="264"/>
      <c r="V654" s="264"/>
      <c r="W654" s="264"/>
      <c r="X654" s="264"/>
      <c r="Y654" s="264"/>
      <c r="Z654" s="264"/>
    </row>
    <row r="655">
      <c r="A655" s="264"/>
      <c r="B655" s="264"/>
      <c r="C655" s="264"/>
      <c r="D655" s="264"/>
      <c r="E655" s="264"/>
      <c r="F655" s="264"/>
      <c r="G655" s="264"/>
      <c r="H655" s="264"/>
      <c r="I655" s="264"/>
      <c r="J655" s="264"/>
      <c r="K655" s="264"/>
      <c r="L655" s="264"/>
      <c r="M655" s="264"/>
      <c r="N655" s="264"/>
      <c r="O655" s="264"/>
      <c r="P655" s="264"/>
      <c r="Q655" s="264"/>
      <c r="R655" s="264"/>
      <c r="S655" s="264"/>
      <c r="T655" s="264"/>
      <c r="U655" s="264"/>
      <c r="V655" s="264"/>
      <c r="W655" s="264"/>
      <c r="X655" s="264"/>
      <c r="Y655" s="264"/>
      <c r="Z655" s="264"/>
    </row>
    <row r="656">
      <c r="A656" s="264"/>
      <c r="B656" s="264"/>
      <c r="C656" s="264"/>
      <c r="D656" s="264"/>
      <c r="E656" s="264"/>
      <c r="F656" s="264"/>
      <c r="G656" s="264"/>
      <c r="H656" s="264"/>
      <c r="I656" s="264"/>
      <c r="J656" s="264"/>
      <c r="K656" s="264"/>
      <c r="L656" s="264"/>
      <c r="M656" s="264"/>
      <c r="N656" s="264"/>
      <c r="O656" s="264"/>
      <c r="P656" s="264"/>
      <c r="Q656" s="264"/>
      <c r="R656" s="264"/>
      <c r="S656" s="264"/>
      <c r="T656" s="264"/>
      <c r="U656" s="264"/>
      <c r="V656" s="264"/>
      <c r="W656" s="264"/>
      <c r="X656" s="264"/>
      <c r="Y656" s="264"/>
      <c r="Z656" s="264"/>
    </row>
    <row r="657">
      <c r="A657" s="264"/>
      <c r="B657" s="264"/>
      <c r="C657" s="264"/>
      <c r="D657" s="264"/>
      <c r="E657" s="264"/>
      <c r="F657" s="264"/>
      <c r="G657" s="264"/>
      <c r="H657" s="264"/>
      <c r="I657" s="264"/>
      <c r="J657" s="264"/>
      <c r="K657" s="264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264"/>
      <c r="W657" s="264"/>
      <c r="X657" s="264"/>
      <c r="Y657" s="264"/>
      <c r="Z657" s="264"/>
    </row>
    <row r="658">
      <c r="A658" s="264"/>
      <c r="B658" s="264"/>
      <c r="C658" s="264"/>
      <c r="D658" s="264"/>
      <c r="E658" s="264"/>
      <c r="F658" s="264"/>
      <c r="G658" s="264"/>
      <c r="H658" s="264"/>
      <c r="I658" s="264"/>
      <c r="J658" s="264"/>
      <c r="K658" s="264"/>
      <c r="L658" s="264"/>
      <c r="M658" s="264"/>
      <c r="N658" s="264"/>
      <c r="O658" s="264"/>
      <c r="P658" s="264"/>
      <c r="Q658" s="264"/>
      <c r="R658" s="264"/>
      <c r="S658" s="264"/>
      <c r="T658" s="264"/>
      <c r="U658" s="264"/>
      <c r="V658" s="264"/>
      <c r="W658" s="264"/>
      <c r="X658" s="264"/>
      <c r="Y658" s="264"/>
      <c r="Z658" s="264"/>
    </row>
    <row r="659">
      <c r="A659" s="264"/>
      <c r="B659" s="264"/>
      <c r="C659" s="264"/>
      <c r="D659" s="264"/>
      <c r="E659" s="264"/>
      <c r="F659" s="264"/>
      <c r="G659" s="264"/>
      <c r="H659" s="264"/>
      <c r="I659" s="264"/>
      <c r="J659" s="264"/>
      <c r="K659" s="264"/>
      <c r="L659" s="264"/>
      <c r="M659" s="264"/>
      <c r="N659" s="264"/>
      <c r="O659" s="264"/>
      <c r="P659" s="264"/>
      <c r="Q659" s="264"/>
      <c r="R659" s="264"/>
      <c r="S659" s="264"/>
      <c r="T659" s="264"/>
      <c r="U659" s="264"/>
      <c r="V659" s="264"/>
      <c r="W659" s="264"/>
      <c r="X659" s="264"/>
      <c r="Y659" s="264"/>
      <c r="Z659" s="264"/>
    </row>
    <row r="660">
      <c r="A660" s="264"/>
      <c r="B660" s="264"/>
      <c r="C660" s="264"/>
      <c r="D660" s="264"/>
      <c r="E660" s="264"/>
      <c r="F660" s="264"/>
      <c r="G660" s="264"/>
      <c r="H660" s="264"/>
      <c r="I660" s="264"/>
      <c r="J660" s="264"/>
      <c r="K660" s="264"/>
      <c r="L660" s="264"/>
      <c r="M660" s="264"/>
      <c r="N660" s="264"/>
      <c r="O660" s="264"/>
      <c r="P660" s="264"/>
      <c r="Q660" s="264"/>
      <c r="R660" s="264"/>
      <c r="S660" s="264"/>
      <c r="T660" s="264"/>
      <c r="U660" s="264"/>
      <c r="V660" s="264"/>
      <c r="W660" s="264"/>
      <c r="X660" s="264"/>
      <c r="Y660" s="264"/>
      <c r="Z660" s="264"/>
    </row>
    <row r="661">
      <c r="A661" s="264"/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264"/>
      <c r="T661" s="264"/>
      <c r="U661" s="264"/>
      <c r="V661" s="264"/>
      <c r="W661" s="264"/>
      <c r="X661" s="264"/>
      <c r="Y661" s="264"/>
      <c r="Z661" s="264"/>
    </row>
    <row r="662">
      <c r="A662" s="264"/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264"/>
      <c r="T662" s="264"/>
      <c r="U662" s="264"/>
      <c r="V662" s="264"/>
      <c r="W662" s="264"/>
      <c r="X662" s="264"/>
      <c r="Y662" s="264"/>
      <c r="Z662" s="264"/>
    </row>
    <row r="663">
      <c r="A663" s="264"/>
      <c r="B663" s="264"/>
      <c r="C663" s="264"/>
      <c r="D663" s="264"/>
      <c r="E663" s="264"/>
      <c r="F663" s="264"/>
      <c r="G663" s="264"/>
      <c r="H663" s="264"/>
      <c r="I663" s="264"/>
      <c r="J663" s="264"/>
      <c r="K663" s="264"/>
      <c r="L663" s="264"/>
      <c r="M663" s="264"/>
      <c r="N663" s="264"/>
      <c r="O663" s="264"/>
      <c r="P663" s="264"/>
      <c r="Q663" s="264"/>
      <c r="R663" s="264"/>
      <c r="S663" s="264"/>
      <c r="T663" s="264"/>
      <c r="U663" s="264"/>
      <c r="V663" s="264"/>
      <c r="W663" s="264"/>
      <c r="X663" s="264"/>
      <c r="Y663" s="264"/>
      <c r="Z663" s="264"/>
    </row>
    <row r="664">
      <c r="A664" s="264"/>
      <c r="B664" s="264"/>
      <c r="C664" s="264"/>
      <c r="D664" s="264"/>
      <c r="E664" s="264"/>
      <c r="F664" s="264"/>
      <c r="G664" s="264"/>
      <c r="H664" s="264"/>
      <c r="I664" s="264"/>
      <c r="J664" s="264"/>
      <c r="K664" s="264"/>
      <c r="L664" s="264"/>
      <c r="M664" s="264"/>
      <c r="N664" s="264"/>
      <c r="O664" s="264"/>
      <c r="P664" s="264"/>
      <c r="Q664" s="264"/>
      <c r="R664" s="264"/>
      <c r="S664" s="264"/>
      <c r="T664" s="264"/>
      <c r="U664" s="264"/>
      <c r="V664" s="264"/>
      <c r="W664" s="264"/>
      <c r="X664" s="264"/>
      <c r="Y664" s="264"/>
      <c r="Z664" s="264"/>
    </row>
    <row r="665">
      <c r="A665" s="264"/>
      <c r="B665" s="264"/>
      <c r="C665" s="264"/>
      <c r="D665" s="264"/>
      <c r="E665" s="264"/>
      <c r="F665" s="264"/>
      <c r="G665" s="264"/>
      <c r="H665" s="264"/>
      <c r="I665" s="264"/>
      <c r="J665" s="264"/>
      <c r="K665" s="264"/>
      <c r="L665" s="264"/>
      <c r="M665" s="264"/>
      <c r="N665" s="264"/>
      <c r="O665" s="264"/>
      <c r="P665" s="264"/>
      <c r="Q665" s="264"/>
      <c r="R665" s="264"/>
      <c r="S665" s="264"/>
      <c r="T665" s="264"/>
      <c r="U665" s="264"/>
      <c r="V665" s="264"/>
      <c r="W665" s="264"/>
      <c r="X665" s="264"/>
      <c r="Y665" s="264"/>
      <c r="Z665" s="264"/>
    </row>
    <row r="666">
      <c r="A666" s="264"/>
      <c r="B666" s="264"/>
      <c r="C666" s="264"/>
      <c r="D666" s="264"/>
      <c r="E666" s="264"/>
      <c r="F666" s="264"/>
      <c r="G666" s="264"/>
      <c r="H666" s="264"/>
      <c r="I666" s="264"/>
      <c r="J666" s="264"/>
      <c r="K666" s="264"/>
      <c r="L666" s="264"/>
      <c r="M666" s="264"/>
      <c r="N666" s="264"/>
      <c r="O666" s="264"/>
      <c r="P666" s="264"/>
      <c r="Q666" s="264"/>
      <c r="R666" s="264"/>
      <c r="S666" s="264"/>
      <c r="T666" s="264"/>
      <c r="U666" s="264"/>
      <c r="V666" s="264"/>
      <c r="W666" s="264"/>
      <c r="X666" s="264"/>
      <c r="Y666" s="264"/>
      <c r="Z666" s="264"/>
    </row>
    <row r="667">
      <c r="A667" s="264"/>
      <c r="B667" s="264"/>
      <c r="C667" s="264"/>
      <c r="D667" s="264"/>
      <c r="E667" s="264"/>
      <c r="F667" s="264"/>
      <c r="G667" s="264"/>
      <c r="H667" s="264"/>
      <c r="I667" s="264"/>
      <c r="J667" s="264"/>
      <c r="K667" s="264"/>
      <c r="L667" s="264"/>
      <c r="M667" s="264"/>
      <c r="N667" s="264"/>
      <c r="O667" s="264"/>
      <c r="P667" s="264"/>
      <c r="Q667" s="264"/>
      <c r="R667" s="264"/>
      <c r="S667" s="264"/>
      <c r="T667" s="264"/>
      <c r="U667" s="264"/>
      <c r="V667" s="264"/>
      <c r="W667" s="264"/>
      <c r="X667" s="264"/>
      <c r="Y667" s="264"/>
      <c r="Z667" s="264"/>
    </row>
    <row r="668">
      <c r="A668" s="264"/>
      <c r="B668" s="264"/>
      <c r="C668" s="264"/>
      <c r="D668" s="264"/>
      <c r="E668" s="264"/>
      <c r="F668" s="264"/>
      <c r="G668" s="264"/>
      <c r="H668" s="264"/>
      <c r="I668" s="264"/>
      <c r="J668" s="264"/>
      <c r="K668" s="264"/>
      <c r="L668" s="264"/>
      <c r="M668" s="264"/>
      <c r="N668" s="264"/>
      <c r="O668" s="264"/>
      <c r="P668" s="264"/>
      <c r="Q668" s="264"/>
      <c r="R668" s="264"/>
      <c r="S668" s="264"/>
      <c r="T668" s="264"/>
      <c r="U668" s="264"/>
      <c r="V668" s="264"/>
      <c r="W668" s="264"/>
      <c r="X668" s="264"/>
      <c r="Y668" s="264"/>
      <c r="Z668" s="264"/>
    </row>
    <row r="669">
      <c r="A669" s="264"/>
      <c r="B669" s="264"/>
      <c r="C669" s="264"/>
      <c r="D669" s="264"/>
      <c r="E669" s="264"/>
      <c r="F669" s="264"/>
      <c r="G669" s="264"/>
      <c r="H669" s="264"/>
      <c r="I669" s="264"/>
      <c r="J669" s="264"/>
      <c r="K669" s="264"/>
      <c r="L669" s="264"/>
      <c r="M669" s="264"/>
      <c r="N669" s="264"/>
      <c r="O669" s="264"/>
      <c r="P669" s="264"/>
      <c r="Q669" s="264"/>
      <c r="R669" s="264"/>
      <c r="S669" s="264"/>
      <c r="T669" s="264"/>
      <c r="U669" s="264"/>
      <c r="V669" s="264"/>
      <c r="W669" s="264"/>
      <c r="X669" s="264"/>
      <c r="Y669" s="264"/>
      <c r="Z669" s="264"/>
    </row>
    <row r="670">
      <c r="A670" s="264"/>
      <c r="B670" s="264"/>
      <c r="C670" s="264"/>
      <c r="D670" s="264"/>
      <c r="E670" s="264"/>
      <c r="F670" s="264"/>
      <c r="G670" s="264"/>
      <c r="H670" s="264"/>
      <c r="I670" s="264"/>
      <c r="J670" s="264"/>
      <c r="K670" s="264"/>
      <c r="L670" s="264"/>
      <c r="M670" s="264"/>
      <c r="N670" s="264"/>
      <c r="O670" s="264"/>
      <c r="P670" s="264"/>
      <c r="Q670" s="264"/>
      <c r="R670" s="264"/>
      <c r="S670" s="264"/>
      <c r="T670" s="264"/>
      <c r="U670" s="264"/>
      <c r="V670" s="264"/>
      <c r="W670" s="264"/>
      <c r="X670" s="264"/>
      <c r="Y670" s="264"/>
      <c r="Z670" s="264"/>
    </row>
    <row r="671">
      <c r="A671" s="264"/>
      <c r="B671" s="264"/>
      <c r="C671" s="264"/>
      <c r="D671" s="264"/>
      <c r="E671" s="264"/>
      <c r="F671" s="264"/>
      <c r="G671" s="264"/>
      <c r="H671" s="264"/>
      <c r="I671" s="264"/>
      <c r="J671" s="264"/>
      <c r="K671" s="264"/>
      <c r="L671" s="264"/>
      <c r="M671" s="264"/>
      <c r="N671" s="264"/>
      <c r="O671" s="264"/>
      <c r="P671" s="264"/>
      <c r="Q671" s="264"/>
      <c r="R671" s="264"/>
      <c r="S671" s="264"/>
      <c r="T671" s="264"/>
      <c r="U671" s="264"/>
      <c r="V671" s="264"/>
      <c r="W671" s="264"/>
      <c r="X671" s="264"/>
      <c r="Y671" s="264"/>
      <c r="Z671" s="264"/>
    </row>
    <row r="672">
      <c r="A672" s="264"/>
      <c r="B672" s="264"/>
      <c r="C672" s="264"/>
      <c r="D672" s="264"/>
      <c r="E672" s="264"/>
      <c r="F672" s="264"/>
      <c r="G672" s="264"/>
      <c r="H672" s="264"/>
      <c r="I672" s="264"/>
      <c r="J672" s="264"/>
      <c r="K672" s="264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264"/>
      <c r="W672" s="264"/>
      <c r="X672" s="264"/>
      <c r="Y672" s="264"/>
      <c r="Z672" s="264"/>
    </row>
    <row r="673">
      <c r="A673" s="264"/>
      <c r="B673" s="264"/>
      <c r="C673" s="264"/>
      <c r="D673" s="264"/>
      <c r="E673" s="264"/>
      <c r="F673" s="264"/>
      <c r="G673" s="264"/>
      <c r="H673" s="264"/>
      <c r="I673" s="264"/>
      <c r="J673" s="264"/>
      <c r="K673" s="264"/>
      <c r="L673" s="264"/>
      <c r="M673" s="264"/>
      <c r="N673" s="264"/>
      <c r="O673" s="264"/>
      <c r="P673" s="264"/>
      <c r="Q673" s="264"/>
      <c r="R673" s="264"/>
      <c r="S673" s="264"/>
      <c r="T673" s="264"/>
      <c r="U673" s="264"/>
      <c r="V673" s="264"/>
      <c r="W673" s="264"/>
      <c r="X673" s="264"/>
      <c r="Y673" s="264"/>
      <c r="Z673" s="264"/>
    </row>
    <row r="674">
      <c r="A674" s="264"/>
      <c r="B674" s="264"/>
      <c r="C674" s="264"/>
      <c r="D674" s="264"/>
      <c r="E674" s="264"/>
      <c r="F674" s="264"/>
      <c r="G674" s="264"/>
      <c r="H674" s="264"/>
      <c r="I674" s="264"/>
      <c r="J674" s="264"/>
      <c r="K674" s="264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4"/>
      <c r="X674" s="264"/>
      <c r="Y674" s="264"/>
      <c r="Z674" s="264"/>
    </row>
    <row r="675">
      <c r="A675" s="264"/>
      <c r="B675" s="264"/>
      <c r="C675" s="264"/>
      <c r="D675" s="264"/>
      <c r="E675" s="264"/>
      <c r="F675" s="264"/>
      <c r="G675" s="264"/>
      <c r="H675" s="264"/>
      <c r="I675" s="264"/>
      <c r="J675" s="264"/>
      <c r="K675" s="264"/>
      <c r="L675" s="264"/>
      <c r="M675" s="264"/>
      <c r="N675" s="264"/>
      <c r="O675" s="264"/>
      <c r="P675" s="264"/>
      <c r="Q675" s="264"/>
      <c r="R675" s="264"/>
      <c r="S675" s="264"/>
      <c r="T675" s="264"/>
      <c r="U675" s="264"/>
      <c r="V675" s="264"/>
      <c r="W675" s="264"/>
      <c r="X675" s="264"/>
      <c r="Y675" s="264"/>
      <c r="Z675" s="264"/>
    </row>
    <row r="676">
      <c r="A676" s="264"/>
      <c r="B676" s="264"/>
      <c r="C676" s="264"/>
      <c r="D676" s="264"/>
      <c r="E676" s="264"/>
      <c r="F676" s="264"/>
      <c r="G676" s="264"/>
      <c r="H676" s="264"/>
      <c r="I676" s="264"/>
      <c r="J676" s="264"/>
      <c r="K676" s="264"/>
      <c r="L676" s="264"/>
      <c r="M676" s="264"/>
      <c r="N676" s="264"/>
      <c r="O676" s="264"/>
      <c r="P676" s="264"/>
      <c r="Q676" s="264"/>
      <c r="R676" s="264"/>
      <c r="S676" s="264"/>
      <c r="T676" s="264"/>
      <c r="U676" s="264"/>
      <c r="V676" s="264"/>
      <c r="W676" s="264"/>
      <c r="X676" s="264"/>
      <c r="Y676" s="264"/>
      <c r="Z676" s="264"/>
    </row>
    <row r="677">
      <c r="A677" s="264"/>
      <c r="B677" s="264"/>
      <c r="C677" s="264"/>
      <c r="D677" s="264"/>
      <c r="E677" s="264"/>
      <c r="F677" s="264"/>
      <c r="G677" s="264"/>
      <c r="H677" s="264"/>
      <c r="I677" s="264"/>
      <c r="J677" s="264"/>
      <c r="K677" s="264"/>
      <c r="L677" s="264"/>
      <c r="M677" s="264"/>
      <c r="N677" s="264"/>
      <c r="O677" s="264"/>
      <c r="P677" s="264"/>
      <c r="Q677" s="264"/>
      <c r="R677" s="264"/>
      <c r="S677" s="264"/>
      <c r="T677" s="264"/>
      <c r="U677" s="264"/>
      <c r="V677" s="264"/>
      <c r="W677" s="264"/>
      <c r="X677" s="264"/>
      <c r="Y677" s="264"/>
      <c r="Z677" s="264"/>
    </row>
    <row r="678">
      <c r="A678" s="264"/>
      <c r="B678" s="264"/>
      <c r="C678" s="264"/>
      <c r="D678" s="264"/>
      <c r="E678" s="264"/>
      <c r="F678" s="264"/>
      <c r="G678" s="264"/>
      <c r="H678" s="264"/>
      <c r="I678" s="264"/>
      <c r="J678" s="264"/>
      <c r="K678" s="264"/>
      <c r="L678" s="264"/>
      <c r="M678" s="264"/>
      <c r="N678" s="264"/>
      <c r="O678" s="264"/>
      <c r="P678" s="264"/>
      <c r="Q678" s="264"/>
      <c r="R678" s="264"/>
      <c r="S678" s="264"/>
      <c r="T678" s="264"/>
      <c r="U678" s="264"/>
      <c r="V678" s="264"/>
      <c r="W678" s="264"/>
      <c r="X678" s="264"/>
      <c r="Y678" s="264"/>
      <c r="Z678" s="264"/>
    </row>
    <row r="679">
      <c r="A679" s="264"/>
      <c r="B679" s="264"/>
      <c r="C679" s="264"/>
      <c r="D679" s="264"/>
      <c r="E679" s="264"/>
      <c r="F679" s="264"/>
      <c r="G679" s="264"/>
      <c r="H679" s="264"/>
      <c r="I679" s="264"/>
      <c r="J679" s="264"/>
      <c r="K679" s="264"/>
      <c r="L679" s="264"/>
      <c r="M679" s="264"/>
      <c r="N679" s="264"/>
      <c r="O679" s="264"/>
      <c r="P679" s="264"/>
      <c r="Q679" s="264"/>
      <c r="R679" s="264"/>
      <c r="S679" s="264"/>
      <c r="T679" s="264"/>
      <c r="U679" s="264"/>
      <c r="V679" s="264"/>
      <c r="W679" s="264"/>
      <c r="X679" s="264"/>
      <c r="Y679" s="264"/>
      <c r="Z679" s="264"/>
    </row>
    <row r="680">
      <c r="A680" s="264"/>
      <c r="B680" s="264"/>
      <c r="C680" s="264"/>
      <c r="D680" s="264"/>
      <c r="E680" s="264"/>
      <c r="F680" s="264"/>
      <c r="G680" s="264"/>
      <c r="H680" s="264"/>
      <c r="I680" s="264"/>
      <c r="J680" s="264"/>
      <c r="K680" s="264"/>
      <c r="L680" s="264"/>
      <c r="M680" s="264"/>
      <c r="N680" s="264"/>
      <c r="O680" s="264"/>
      <c r="P680" s="264"/>
      <c r="Q680" s="264"/>
      <c r="R680" s="264"/>
      <c r="S680" s="264"/>
      <c r="T680" s="264"/>
      <c r="U680" s="264"/>
      <c r="V680" s="264"/>
      <c r="W680" s="264"/>
      <c r="X680" s="264"/>
      <c r="Y680" s="264"/>
      <c r="Z680" s="264"/>
    </row>
    <row r="681">
      <c r="A681" s="264"/>
      <c r="B681" s="264"/>
      <c r="C681" s="264"/>
      <c r="D681" s="264"/>
      <c r="E681" s="264"/>
      <c r="F681" s="264"/>
      <c r="G681" s="264"/>
      <c r="H681" s="264"/>
      <c r="I681" s="264"/>
      <c r="J681" s="264"/>
      <c r="K681" s="264"/>
      <c r="L681" s="264"/>
      <c r="M681" s="264"/>
      <c r="N681" s="264"/>
      <c r="O681" s="264"/>
      <c r="P681" s="264"/>
      <c r="Q681" s="264"/>
      <c r="R681" s="264"/>
      <c r="S681" s="264"/>
      <c r="T681" s="264"/>
      <c r="U681" s="264"/>
      <c r="V681" s="264"/>
      <c r="W681" s="264"/>
      <c r="X681" s="264"/>
      <c r="Y681" s="264"/>
      <c r="Z681" s="264"/>
    </row>
    <row r="682">
      <c r="A682" s="264"/>
      <c r="B682" s="264"/>
      <c r="C682" s="264"/>
      <c r="D682" s="264"/>
      <c r="E682" s="264"/>
      <c r="F682" s="264"/>
      <c r="G682" s="264"/>
      <c r="H682" s="264"/>
      <c r="I682" s="264"/>
      <c r="J682" s="264"/>
      <c r="K682" s="264"/>
      <c r="L682" s="264"/>
      <c r="M682" s="264"/>
      <c r="N682" s="264"/>
      <c r="O682" s="264"/>
      <c r="P682" s="264"/>
      <c r="Q682" s="264"/>
      <c r="R682" s="264"/>
      <c r="S682" s="264"/>
      <c r="T682" s="264"/>
      <c r="U682" s="264"/>
      <c r="V682" s="264"/>
      <c r="W682" s="264"/>
      <c r="X682" s="264"/>
      <c r="Y682" s="264"/>
      <c r="Z682" s="264"/>
    </row>
    <row r="683">
      <c r="A683" s="264"/>
      <c r="B683" s="264"/>
      <c r="C683" s="264"/>
      <c r="D683" s="264"/>
      <c r="E683" s="264"/>
      <c r="F683" s="264"/>
      <c r="G683" s="264"/>
      <c r="H683" s="264"/>
      <c r="I683" s="264"/>
      <c r="J683" s="264"/>
      <c r="K683" s="264"/>
      <c r="L683" s="264"/>
      <c r="M683" s="264"/>
      <c r="N683" s="264"/>
      <c r="O683" s="264"/>
      <c r="P683" s="264"/>
      <c r="Q683" s="264"/>
      <c r="R683" s="264"/>
      <c r="S683" s="264"/>
      <c r="T683" s="264"/>
      <c r="U683" s="264"/>
      <c r="V683" s="264"/>
      <c r="W683" s="264"/>
      <c r="X683" s="264"/>
      <c r="Y683" s="264"/>
      <c r="Z683" s="264"/>
    </row>
    <row r="684">
      <c r="A684" s="264"/>
      <c r="B684" s="264"/>
      <c r="C684" s="264"/>
      <c r="D684" s="264"/>
      <c r="E684" s="264"/>
      <c r="F684" s="264"/>
      <c r="G684" s="264"/>
      <c r="H684" s="264"/>
      <c r="I684" s="264"/>
      <c r="J684" s="264"/>
      <c r="K684" s="264"/>
      <c r="L684" s="264"/>
      <c r="M684" s="264"/>
      <c r="N684" s="264"/>
      <c r="O684" s="264"/>
      <c r="P684" s="264"/>
      <c r="Q684" s="264"/>
      <c r="R684" s="264"/>
      <c r="S684" s="264"/>
      <c r="T684" s="264"/>
      <c r="U684" s="264"/>
      <c r="V684" s="264"/>
      <c r="W684" s="264"/>
      <c r="X684" s="264"/>
      <c r="Y684" s="264"/>
      <c r="Z684" s="264"/>
    </row>
    <row r="685">
      <c r="A685" s="264"/>
      <c r="B685" s="264"/>
      <c r="C685" s="264"/>
      <c r="D685" s="264"/>
      <c r="E685" s="264"/>
      <c r="F685" s="264"/>
      <c r="G685" s="264"/>
      <c r="H685" s="264"/>
      <c r="I685" s="264"/>
      <c r="J685" s="264"/>
      <c r="K685" s="264"/>
      <c r="L685" s="264"/>
      <c r="M685" s="264"/>
      <c r="N685" s="264"/>
      <c r="O685" s="264"/>
      <c r="P685" s="264"/>
      <c r="Q685" s="264"/>
      <c r="R685" s="264"/>
      <c r="S685" s="264"/>
      <c r="T685" s="264"/>
      <c r="U685" s="264"/>
      <c r="V685" s="264"/>
      <c r="W685" s="264"/>
      <c r="X685" s="264"/>
      <c r="Y685" s="264"/>
      <c r="Z685" s="264"/>
    </row>
    <row r="686">
      <c r="A686" s="264"/>
      <c r="B686" s="264"/>
      <c r="C686" s="264"/>
      <c r="D686" s="264"/>
      <c r="E686" s="264"/>
      <c r="F686" s="264"/>
      <c r="G686" s="264"/>
      <c r="H686" s="264"/>
      <c r="I686" s="264"/>
      <c r="J686" s="264"/>
      <c r="K686" s="264"/>
      <c r="L686" s="264"/>
      <c r="M686" s="264"/>
      <c r="N686" s="264"/>
      <c r="O686" s="264"/>
      <c r="P686" s="264"/>
      <c r="Q686" s="264"/>
      <c r="R686" s="264"/>
      <c r="S686" s="264"/>
      <c r="T686" s="264"/>
      <c r="U686" s="264"/>
      <c r="V686" s="264"/>
      <c r="W686" s="264"/>
      <c r="X686" s="264"/>
      <c r="Y686" s="264"/>
      <c r="Z686" s="264"/>
    </row>
    <row r="687">
      <c r="A687" s="264"/>
      <c r="B687" s="264"/>
      <c r="C687" s="264"/>
      <c r="D687" s="264"/>
      <c r="E687" s="264"/>
      <c r="F687" s="264"/>
      <c r="G687" s="264"/>
      <c r="H687" s="264"/>
      <c r="I687" s="264"/>
      <c r="J687" s="264"/>
      <c r="K687" s="264"/>
      <c r="L687" s="264"/>
      <c r="M687" s="264"/>
      <c r="N687" s="264"/>
      <c r="O687" s="264"/>
      <c r="P687" s="264"/>
      <c r="Q687" s="264"/>
      <c r="R687" s="264"/>
      <c r="S687" s="264"/>
      <c r="T687" s="264"/>
      <c r="U687" s="264"/>
      <c r="V687" s="264"/>
      <c r="W687" s="264"/>
      <c r="X687" s="264"/>
      <c r="Y687" s="264"/>
      <c r="Z687" s="264"/>
    </row>
    <row r="688">
      <c r="A688" s="264"/>
      <c r="B688" s="264"/>
      <c r="C688" s="264"/>
      <c r="D688" s="264"/>
      <c r="E688" s="264"/>
      <c r="F688" s="264"/>
      <c r="G688" s="264"/>
      <c r="H688" s="264"/>
      <c r="I688" s="264"/>
      <c r="J688" s="264"/>
      <c r="K688" s="264"/>
      <c r="L688" s="264"/>
      <c r="M688" s="264"/>
      <c r="N688" s="264"/>
      <c r="O688" s="264"/>
      <c r="P688" s="264"/>
      <c r="Q688" s="264"/>
      <c r="R688" s="264"/>
      <c r="S688" s="264"/>
      <c r="T688" s="264"/>
      <c r="U688" s="264"/>
      <c r="V688" s="264"/>
      <c r="W688" s="264"/>
      <c r="X688" s="264"/>
      <c r="Y688" s="264"/>
      <c r="Z688" s="264"/>
    </row>
    <row r="689">
      <c r="A689" s="264"/>
      <c r="B689" s="264"/>
      <c r="C689" s="264"/>
      <c r="D689" s="264"/>
      <c r="E689" s="264"/>
      <c r="F689" s="264"/>
      <c r="G689" s="264"/>
      <c r="H689" s="264"/>
      <c r="I689" s="264"/>
      <c r="J689" s="264"/>
      <c r="K689" s="264"/>
      <c r="L689" s="264"/>
      <c r="M689" s="264"/>
      <c r="N689" s="264"/>
      <c r="O689" s="264"/>
      <c r="P689" s="264"/>
      <c r="Q689" s="264"/>
      <c r="R689" s="264"/>
      <c r="S689" s="264"/>
      <c r="T689" s="264"/>
      <c r="U689" s="264"/>
      <c r="V689" s="264"/>
      <c r="W689" s="264"/>
      <c r="X689" s="264"/>
      <c r="Y689" s="264"/>
      <c r="Z689" s="264"/>
    </row>
    <row r="690">
      <c r="A690" s="264"/>
      <c r="B690" s="264"/>
      <c r="C690" s="264"/>
      <c r="D690" s="264"/>
      <c r="E690" s="264"/>
      <c r="F690" s="264"/>
      <c r="G690" s="264"/>
      <c r="H690" s="264"/>
      <c r="I690" s="264"/>
      <c r="J690" s="264"/>
      <c r="K690" s="264"/>
      <c r="L690" s="264"/>
      <c r="M690" s="264"/>
      <c r="N690" s="264"/>
      <c r="O690" s="264"/>
      <c r="P690" s="264"/>
      <c r="Q690" s="264"/>
      <c r="R690" s="264"/>
      <c r="S690" s="264"/>
      <c r="T690" s="264"/>
      <c r="U690" s="264"/>
      <c r="V690" s="264"/>
      <c r="W690" s="264"/>
      <c r="X690" s="264"/>
      <c r="Y690" s="264"/>
      <c r="Z690" s="264"/>
    </row>
    <row r="691">
      <c r="A691" s="264"/>
      <c r="B691" s="264"/>
      <c r="C691" s="264"/>
      <c r="D691" s="264"/>
      <c r="E691" s="264"/>
      <c r="F691" s="264"/>
      <c r="G691" s="264"/>
      <c r="H691" s="264"/>
      <c r="I691" s="264"/>
      <c r="J691" s="264"/>
      <c r="K691" s="264"/>
      <c r="L691" s="264"/>
      <c r="M691" s="264"/>
      <c r="N691" s="264"/>
      <c r="O691" s="264"/>
      <c r="P691" s="264"/>
      <c r="Q691" s="264"/>
      <c r="R691" s="264"/>
      <c r="S691" s="264"/>
      <c r="T691" s="264"/>
      <c r="U691" s="264"/>
      <c r="V691" s="264"/>
      <c r="W691" s="264"/>
      <c r="X691" s="264"/>
      <c r="Y691" s="264"/>
      <c r="Z691" s="264"/>
    </row>
    <row r="692">
      <c r="A692" s="264"/>
      <c r="B692" s="264"/>
      <c r="C692" s="264"/>
      <c r="D692" s="264"/>
      <c r="E692" s="264"/>
      <c r="F692" s="264"/>
      <c r="G692" s="264"/>
      <c r="H692" s="264"/>
      <c r="I692" s="264"/>
      <c r="J692" s="264"/>
      <c r="K692" s="264"/>
      <c r="L692" s="264"/>
      <c r="M692" s="264"/>
      <c r="N692" s="264"/>
      <c r="O692" s="264"/>
      <c r="P692" s="264"/>
      <c r="Q692" s="264"/>
      <c r="R692" s="264"/>
      <c r="S692" s="264"/>
      <c r="T692" s="264"/>
      <c r="U692" s="264"/>
      <c r="V692" s="264"/>
      <c r="W692" s="264"/>
      <c r="X692" s="264"/>
      <c r="Y692" s="264"/>
      <c r="Z692" s="264"/>
    </row>
    <row r="693">
      <c r="A693" s="264"/>
      <c r="B693" s="264"/>
      <c r="C693" s="264"/>
      <c r="D693" s="264"/>
      <c r="E693" s="264"/>
      <c r="F693" s="264"/>
      <c r="G693" s="264"/>
      <c r="H693" s="264"/>
      <c r="I693" s="264"/>
      <c r="J693" s="264"/>
      <c r="K693" s="264"/>
      <c r="L693" s="264"/>
      <c r="M693" s="264"/>
      <c r="N693" s="264"/>
      <c r="O693" s="264"/>
      <c r="P693" s="264"/>
      <c r="Q693" s="264"/>
      <c r="R693" s="264"/>
      <c r="S693" s="264"/>
      <c r="T693" s="264"/>
      <c r="U693" s="264"/>
      <c r="V693" s="264"/>
      <c r="W693" s="264"/>
      <c r="X693" s="264"/>
      <c r="Y693" s="264"/>
      <c r="Z693" s="264"/>
    </row>
    <row r="694">
      <c r="A694" s="264"/>
      <c r="B694" s="264"/>
      <c r="C694" s="264"/>
      <c r="D694" s="264"/>
      <c r="E694" s="264"/>
      <c r="F694" s="264"/>
      <c r="G694" s="264"/>
      <c r="H694" s="264"/>
      <c r="I694" s="264"/>
      <c r="J694" s="264"/>
      <c r="K694" s="264"/>
      <c r="L694" s="264"/>
      <c r="M694" s="264"/>
      <c r="N694" s="264"/>
      <c r="O694" s="264"/>
      <c r="P694" s="264"/>
      <c r="Q694" s="264"/>
      <c r="R694" s="264"/>
      <c r="S694" s="264"/>
      <c r="T694" s="264"/>
      <c r="U694" s="264"/>
      <c r="V694" s="264"/>
      <c r="W694" s="264"/>
      <c r="X694" s="264"/>
      <c r="Y694" s="264"/>
      <c r="Z694" s="264"/>
    </row>
    <row r="695">
      <c r="A695" s="264"/>
      <c r="B695" s="264"/>
      <c r="C695" s="264"/>
      <c r="D695" s="264"/>
      <c r="E695" s="264"/>
      <c r="F695" s="264"/>
      <c r="G695" s="264"/>
      <c r="H695" s="264"/>
      <c r="I695" s="264"/>
      <c r="J695" s="264"/>
      <c r="K695" s="264"/>
      <c r="L695" s="264"/>
      <c r="M695" s="264"/>
      <c r="N695" s="264"/>
      <c r="O695" s="264"/>
      <c r="P695" s="264"/>
      <c r="Q695" s="264"/>
      <c r="R695" s="264"/>
      <c r="S695" s="264"/>
      <c r="T695" s="264"/>
      <c r="U695" s="264"/>
      <c r="V695" s="264"/>
      <c r="W695" s="264"/>
      <c r="X695" s="264"/>
      <c r="Y695" s="264"/>
      <c r="Z695" s="264"/>
    </row>
    <row r="696">
      <c r="A696" s="264"/>
      <c r="B696" s="264"/>
      <c r="C696" s="264"/>
      <c r="D696" s="264"/>
      <c r="E696" s="264"/>
      <c r="F696" s="264"/>
      <c r="G696" s="264"/>
      <c r="H696" s="264"/>
      <c r="I696" s="264"/>
      <c r="J696" s="264"/>
      <c r="K696" s="264"/>
      <c r="L696" s="264"/>
      <c r="M696" s="264"/>
      <c r="N696" s="264"/>
      <c r="O696" s="264"/>
      <c r="P696" s="264"/>
      <c r="Q696" s="264"/>
      <c r="R696" s="264"/>
      <c r="S696" s="264"/>
      <c r="T696" s="264"/>
      <c r="U696" s="264"/>
      <c r="V696" s="264"/>
      <c r="W696" s="264"/>
      <c r="X696" s="264"/>
      <c r="Y696" s="264"/>
      <c r="Z696" s="264"/>
    </row>
    <row r="697">
      <c r="A697" s="264"/>
      <c r="B697" s="264"/>
      <c r="C697" s="264"/>
      <c r="D697" s="264"/>
      <c r="E697" s="264"/>
      <c r="F697" s="264"/>
      <c r="G697" s="264"/>
      <c r="H697" s="264"/>
      <c r="I697" s="264"/>
      <c r="J697" s="264"/>
      <c r="K697" s="264"/>
      <c r="L697" s="264"/>
      <c r="M697" s="264"/>
      <c r="N697" s="264"/>
      <c r="O697" s="264"/>
      <c r="P697" s="264"/>
      <c r="Q697" s="264"/>
      <c r="R697" s="264"/>
      <c r="S697" s="264"/>
      <c r="T697" s="264"/>
      <c r="U697" s="264"/>
      <c r="V697" s="264"/>
      <c r="W697" s="264"/>
      <c r="X697" s="264"/>
      <c r="Y697" s="264"/>
      <c r="Z697" s="264"/>
    </row>
    <row r="698">
      <c r="A698" s="264"/>
      <c r="B698" s="264"/>
      <c r="C698" s="264"/>
      <c r="D698" s="264"/>
      <c r="E698" s="264"/>
      <c r="F698" s="264"/>
      <c r="G698" s="264"/>
      <c r="H698" s="264"/>
      <c r="I698" s="264"/>
      <c r="J698" s="264"/>
      <c r="K698" s="264"/>
      <c r="L698" s="264"/>
      <c r="M698" s="264"/>
      <c r="N698" s="264"/>
      <c r="O698" s="264"/>
      <c r="P698" s="264"/>
      <c r="Q698" s="264"/>
      <c r="R698" s="264"/>
      <c r="S698" s="264"/>
      <c r="T698" s="264"/>
      <c r="U698" s="264"/>
      <c r="V698" s="264"/>
      <c r="W698" s="264"/>
      <c r="X698" s="264"/>
      <c r="Y698" s="264"/>
      <c r="Z698" s="264"/>
    </row>
    <row r="699">
      <c r="A699" s="264"/>
      <c r="B699" s="264"/>
      <c r="C699" s="264"/>
      <c r="D699" s="264"/>
      <c r="E699" s="264"/>
      <c r="F699" s="264"/>
      <c r="G699" s="264"/>
      <c r="H699" s="264"/>
      <c r="I699" s="264"/>
      <c r="J699" s="264"/>
      <c r="K699" s="264"/>
      <c r="L699" s="264"/>
      <c r="M699" s="264"/>
      <c r="N699" s="264"/>
      <c r="O699" s="264"/>
      <c r="P699" s="264"/>
      <c r="Q699" s="264"/>
      <c r="R699" s="264"/>
      <c r="S699" s="264"/>
      <c r="T699" s="264"/>
      <c r="U699" s="264"/>
      <c r="V699" s="264"/>
      <c r="W699" s="264"/>
      <c r="X699" s="264"/>
      <c r="Y699" s="264"/>
      <c r="Z699" s="264"/>
    </row>
    <row r="700">
      <c r="A700" s="264"/>
      <c r="B700" s="264"/>
      <c r="C700" s="264"/>
      <c r="D700" s="264"/>
      <c r="E700" s="264"/>
      <c r="F700" s="264"/>
      <c r="G700" s="264"/>
      <c r="H700" s="264"/>
      <c r="I700" s="264"/>
      <c r="J700" s="264"/>
      <c r="K700" s="264"/>
      <c r="L700" s="264"/>
      <c r="M700" s="264"/>
      <c r="N700" s="264"/>
      <c r="O700" s="264"/>
      <c r="P700" s="264"/>
      <c r="Q700" s="264"/>
      <c r="R700" s="264"/>
      <c r="S700" s="264"/>
      <c r="T700" s="264"/>
      <c r="U700" s="264"/>
      <c r="V700" s="264"/>
      <c r="W700" s="264"/>
      <c r="X700" s="264"/>
      <c r="Y700" s="264"/>
      <c r="Z700" s="264"/>
    </row>
    <row r="701">
      <c r="A701" s="264"/>
      <c r="B701" s="264"/>
      <c r="C701" s="264"/>
      <c r="D701" s="264"/>
      <c r="E701" s="264"/>
      <c r="F701" s="264"/>
      <c r="G701" s="264"/>
      <c r="H701" s="264"/>
      <c r="I701" s="264"/>
      <c r="J701" s="264"/>
      <c r="K701" s="264"/>
      <c r="L701" s="264"/>
      <c r="M701" s="264"/>
      <c r="N701" s="264"/>
      <c r="O701" s="264"/>
      <c r="P701" s="264"/>
      <c r="Q701" s="264"/>
      <c r="R701" s="264"/>
      <c r="S701" s="264"/>
      <c r="T701" s="264"/>
      <c r="U701" s="264"/>
      <c r="V701" s="264"/>
      <c r="W701" s="264"/>
      <c r="X701" s="264"/>
      <c r="Y701" s="264"/>
      <c r="Z701" s="264"/>
    </row>
    <row r="702">
      <c r="A702" s="264"/>
      <c r="B702" s="264"/>
      <c r="C702" s="264"/>
      <c r="D702" s="264"/>
      <c r="E702" s="264"/>
      <c r="F702" s="264"/>
      <c r="G702" s="264"/>
      <c r="H702" s="264"/>
      <c r="I702" s="264"/>
      <c r="J702" s="264"/>
      <c r="K702" s="264"/>
      <c r="L702" s="264"/>
      <c r="M702" s="264"/>
      <c r="N702" s="264"/>
      <c r="O702" s="264"/>
      <c r="P702" s="264"/>
      <c r="Q702" s="264"/>
      <c r="R702" s="264"/>
      <c r="S702" s="264"/>
      <c r="T702" s="264"/>
      <c r="U702" s="264"/>
      <c r="V702" s="264"/>
      <c r="W702" s="264"/>
      <c r="X702" s="264"/>
      <c r="Y702" s="264"/>
      <c r="Z702" s="264"/>
    </row>
    <row r="703">
      <c r="A703" s="264"/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264"/>
      <c r="T703" s="264"/>
      <c r="U703" s="264"/>
      <c r="V703" s="264"/>
      <c r="W703" s="264"/>
      <c r="X703" s="264"/>
      <c r="Y703" s="264"/>
      <c r="Z703" s="264"/>
    </row>
    <row r="704">
      <c r="A704" s="264"/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264"/>
      <c r="T704" s="264"/>
      <c r="U704" s="264"/>
      <c r="V704" s="264"/>
      <c r="W704" s="264"/>
      <c r="X704" s="264"/>
      <c r="Y704" s="264"/>
      <c r="Z704" s="264"/>
    </row>
    <row r="705">
      <c r="A705" s="264"/>
      <c r="B705" s="264"/>
      <c r="C705" s="264"/>
      <c r="D705" s="264"/>
      <c r="E705" s="264"/>
      <c r="F705" s="264"/>
      <c r="G705" s="264"/>
      <c r="H705" s="264"/>
      <c r="I705" s="264"/>
      <c r="J705" s="264"/>
      <c r="K705" s="264"/>
      <c r="L705" s="264"/>
      <c r="M705" s="264"/>
      <c r="N705" s="264"/>
      <c r="O705" s="264"/>
      <c r="P705" s="264"/>
      <c r="Q705" s="264"/>
      <c r="R705" s="264"/>
      <c r="S705" s="264"/>
      <c r="T705" s="264"/>
      <c r="U705" s="264"/>
      <c r="V705" s="264"/>
      <c r="W705" s="264"/>
      <c r="X705" s="264"/>
      <c r="Y705" s="264"/>
      <c r="Z705" s="264"/>
    </row>
    <row r="706">
      <c r="A706" s="264"/>
      <c r="B706" s="264"/>
      <c r="C706" s="264"/>
      <c r="D706" s="264"/>
      <c r="E706" s="264"/>
      <c r="F706" s="264"/>
      <c r="G706" s="264"/>
      <c r="H706" s="264"/>
      <c r="I706" s="264"/>
      <c r="J706" s="264"/>
      <c r="K706" s="264"/>
      <c r="L706" s="264"/>
      <c r="M706" s="264"/>
      <c r="N706" s="264"/>
      <c r="O706" s="264"/>
      <c r="P706" s="264"/>
      <c r="Q706" s="264"/>
      <c r="R706" s="264"/>
      <c r="S706" s="264"/>
      <c r="T706" s="264"/>
      <c r="U706" s="264"/>
      <c r="V706" s="264"/>
      <c r="W706" s="264"/>
      <c r="X706" s="264"/>
      <c r="Y706" s="264"/>
      <c r="Z706" s="264"/>
    </row>
    <row r="707">
      <c r="A707" s="264"/>
      <c r="B707" s="264"/>
      <c r="C707" s="264"/>
      <c r="D707" s="264"/>
      <c r="E707" s="264"/>
      <c r="F707" s="264"/>
      <c r="G707" s="264"/>
      <c r="H707" s="264"/>
      <c r="I707" s="264"/>
      <c r="J707" s="264"/>
      <c r="K707" s="264"/>
      <c r="L707" s="264"/>
      <c r="M707" s="264"/>
      <c r="N707" s="264"/>
      <c r="O707" s="264"/>
      <c r="P707" s="264"/>
      <c r="Q707" s="264"/>
      <c r="R707" s="264"/>
      <c r="S707" s="264"/>
      <c r="T707" s="264"/>
      <c r="U707" s="264"/>
      <c r="V707" s="264"/>
      <c r="W707" s="264"/>
      <c r="X707" s="264"/>
      <c r="Y707" s="264"/>
      <c r="Z707" s="264"/>
    </row>
    <row r="708">
      <c r="A708" s="264"/>
      <c r="B708" s="264"/>
      <c r="C708" s="264"/>
      <c r="D708" s="264"/>
      <c r="E708" s="264"/>
      <c r="F708" s="264"/>
      <c r="G708" s="264"/>
      <c r="H708" s="264"/>
      <c r="I708" s="264"/>
      <c r="J708" s="264"/>
      <c r="K708" s="264"/>
      <c r="L708" s="264"/>
      <c r="M708" s="264"/>
      <c r="N708" s="264"/>
      <c r="O708" s="264"/>
      <c r="P708" s="264"/>
      <c r="Q708" s="264"/>
      <c r="R708" s="264"/>
      <c r="S708" s="264"/>
      <c r="T708" s="264"/>
      <c r="U708" s="264"/>
      <c r="V708" s="264"/>
      <c r="W708" s="264"/>
      <c r="X708" s="264"/>
      <c r="Y708" s="264"/>
      <c r="Z708" s="264"/>
    </row>
    <row r="709">
      <c r="A709" s="264"/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264"/>
      <c r="T709" s="264"/>
      <c r="U709" s="264"/>
      <c r="V709" s="264"/>
      <c r="W709" s="264"/>
      <c r="X709" s="264"/>
      <c r="Y709" s="264"/>
      <c r="Z709" s="264"/>
    </row>
    <row r="710">
      <c r="A710" s="264"/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264"/>
      <c r="T710" s="264"/>
      <c r="U710" s="264"/>
      <c r="V710" s="264"/>
      <c r="W710" s="264"/>
      <c r="X710" s="264"/>
      <c r="Y710" s="264"/>
      <c r="Z710" s="264"/>
    </row>
    <row r="711">
      <c r="A711" s="264"/>
      <c r="B711" s="264"/>
      <c r="C711" s="264"/>
      <c r="D711" s="264"/>
      <c r="E711" s="264"/>
      <c r="F711" s="264"/>
      <c r="G711" s="264"/>
      <c r="H711" s="264"/>
      <c r="I711" s="264"/>
      <c r="J711" s="264"/>
      <c r="K711" s="264"/>
      <c r="L711" s="264"/>
      <c r="M711" s="264"/>
      <c r="N711" s="264"/>
      <c r="O711" s="264"/>
      <c r="P711" s="264"/>
      <c r="Q711" s="264"/>
      <c r="R711" s="264"/>
      <c r="S711" s="264"/>
      <c r="T711" s="264"/>
      <c r="U711" s="264"/>
      <c r="V711" s="264"/>
      <c r="W711" s="264"/>
      <c r="X711" s="264"/>
      <c r="Y711" s="264"/>
      <c r="Z711" s="264"/>
    </row>
    <row r="712">
      <c r="A712" s="264"/>
      <c r="B712" s="264"/>
      <c r="C712" s="264"/>
      <c r="D712" s="264"/>
      <c r="E712" s="264"/>
      <c r="F712" s="264"/>
      <c r="G712" s="264"/>
      <c r="H712" s="264"/>
      <c r="I712" s="264"/>
      <c r="J712" s="264"/>
      <c r="K712" s="264"/>
      <c r="L712" s="264"/>
      <c r="M712" s="264"/>
      <c r="N712" s="264"/>
      <c r="O712" s="264"/>
      <c r="P712" s="264"/>
      <c r="Q712" s="264"/>
      <c r="R712" s="264"/>
      <c r="S712" s="264"/>
      <c r="T712" s="264"/>
      <c r="U712" s="264"/>
      <c r="V712" s="264"/>
      <c r="W712" s="264"/>
      <c r="X712" s="264"/>
      <c r="Y712" s="264"/>
      <c r="Z712" s="264"/>
    </row>
    <row r="713">
      <c r="A713" s="264"/>
      <c r="B713" s="264"/>
      <c r="C713" s="264"/>
      <c r="D713" s="264"/>
      <c r="E713" s="264"/>
      <c r="F713" s="264"/>
      <c r="G713" s="264"/>
      <c r="H713" s="264"/>
      <c r="I713" s="264"/>
      <c r="J713" s="264"/>
      <c r="K713" s="264"/>
      <c r="L713" s="264"/>
      <c r="M713" s="264"/>
      <c r="N713" s="264"/>
      <c r="O713" s="264"/>
      <c r="P713" s="264"/>
      <c r="Q713" s="264"/>
      <c r="R713" s="264"/>
      <c r="S713" s="264"/>
      <c r="T713" s="264"/>
      <c r="U713" s="264"/>
      <c r="V713" s="264"/>
      <c r="W713" s="264"/>
      <c r="X713" s="264"/>
      <c r="Y713" s="264"/>
      <c r="Z713" s="264"/>
    </row>
    <row r="714">
      <c r="A714" s="264"/>
      <c r="B714" s="264"/>
      <c r="C714" s="264"/>
      <c r="D714" s="264"/>
      <c r="E714" s="264"/>
      <c r="F714" s="264"/>
      <c r="G714" s="264"/>
      <c r="H714" s="264"/>
      <c r="I714" s="264"/>
      <c r="J714" s="264"/>
      <c r="K714" s="264"/>
      <c r="L714" s="264"/>
      <c r="M714" s="264"/>
      <c r="N714" s="264"/>
      <c r="O714" s="264"/>
      <c r="P714" s="264"/>
      <c r="Q714" s="264"/>
      <c r="R714" s="264"/>
      <c r="S714" s="264"/>
      <c r="T714" s="264"/>
      <c r="U714" s="264"/>
      <c r="V714" s="264"/>
      <c r="W714" s="264"/>
      <c r="X714" s="264"/>
      <c r="Y714" s="264"/>
      <c r="Z714" s="264"/>
    </row>
    <row r="715">
      <c r="A715" s="264"/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264"/>
      <c r="T715" s="264"/>
      <c r="U715" s="264"/>
      <c r="V715" s="264"/>
      <c r="W715" s="264"/>
      <c r="X715" s="264"/>
      <c r="Y715" s="264"/>
      <c r="Z715" s="264"/>
    </row>
    <row r="716">
      <c r="A716" s="264"/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264"/>
      <c r="T716" s="264"/>
      <c r="U716" s="264"/>
      <c r="V716" s="264"/>
      <c r="W716" s="264"/>
      <c r="X716" s="264"/>
      <c r="Y716" s="264"/>
      <c r="Z716" s="264"/>
    </row>
    <row r="717">
      <c r="A717" s="264"/>
      <c r="B717" s="264"/>
      <c r="C717" s="264"/>
      <c r="D717" s="264"/>
      <c r="E717" s="264"/>
      <c r="F717" s="264"/>
      <c r="G717" s="264"/>
      <c r="H717" s="264"/>
      <c r="I717" s="264"/>
      <c r="J717" s="264"/>
      <c r="K717" s="264"/>
      <c r="L717" s="264"/>
      <c r="M717" s="264"/>
      <c r="N717" s="264"/>
      <c r="O717" s="264"/>
      <c r="P717" s="264"/>
      <c r="Q717" s="264"/>
      <c r="R717" s="264"/>
      <c r="S717" s="264"/>
      <c r="T717" s="264"/>
      <c r="U717" s="264"/>
      <c r="V717" s="264"/>
      <c r="W717" s="264"/>
      <c r="X717" s="264"/>
      <c r="Y717" s="264"/>
      <c r="Z717" s="264"/>
    </row>
    <row r="718">
      <c r="A718" s="264"/>
      <c r="B718" s="264"/>
      <c r="C718" s="264"/>
      <c r="D718" s="264"/>
      <c r="E718" s="264"/>
      <c r="F718" s="264"/>
      <c r="G718" s="264"/>
      <c r="H718" s="264"/>
      <c r="I718" s="264"/>
      <c r="J718" s="264"/>
      <c r="K718" s="264"/>
      <c r="L718" s="264"/>
      <c r="M718" s="264"/>
      <c r="N718" s="264"/>
      <c r="O718" s="264"/>
      <c r="P718" s="264"/>
      <c r="Q718" s="264"/>
      <c r="R718" s="264"/>
      <c r="S718" s="264"/>
      <c r="T718" s="264"/>
      <c r="U718" s="264"/>
      <c r="V718" s="264"/>
      <c r="W718" s="264"/>
      <c r="X718" s="264"/>
      <c r="Y718" s="264"/>
      <c r="Z718" s="264"/>
    </row>
    <row r="719">
      <c r="A719" s="264"/>
      <c r="B719" s="264"/>
      <c r="C719" s="264"/>
      <c r="D719" s="264"/>
      <c r="E719" s="264"/>
      <c r="F719" s="264"/>
      <c r="G719" s="264"/>
      <c r="H719" s="264"/>
      <c r="I719" s="264"/>
      <c r="J719" s="264"/>
      <c r="K719" s="264"/>
      <c r="L719" s="264"/>
      <c r="M719" s="264"/>
      <c r="N719" s="264"/>
      <c r="O719" s="264"/>
      <c r="P719" s="264"/>
      <c r="Q719" s="264"/>
      <c r="R719" s="264"/>
      <c r="S719" s="264"/>
      <c r="T719" s="264"/>
      <c r="U719" s="264"/>
      <c r="V719" s="264"/>
      <c r="W719" s="264"/>
      <c r="X719" s="264"/>
      <c r="Y719" s="264"/>
      <c r="Z719" s="264"/>
    </row>
    <row r="720">
      <c r="A720" s="264"/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264"/>
      <c r="T720" s="264"/>
      <c r="U720" s="264"/>
      <c r="V720" s="264"/>
      <c r="W720" s="264"/>
      <c r="X720" s="264"/>
      <c r="Y720" s="264"/>
      <c r="Z720" s="264"/>
    </row>
    <row r="721">
      <c r="A721" s="264"/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264"/>
      <c r="T721" s="264"/>
      <c r="U721" s="264"/>
      <c r="V721" s="264"/>
      <c r="W721" s="264"/>
      <c r="X721" s="264"/>
      <c r="Y721" s="264"/>
      <c r="Z721" s="264"/>
    </row>
    <row r="722">
      <c r="A722" s="264"/>
      <c r="B722" s="264"/>
      <c r="C722" s="264"/>
      <c r="D722" s="264"/>
      <c r="E722" s="264"/>
      <c r="F722" s="264"/>
      <c r="G722" s="264"/>
      <c r="H722" s="264"/>
      <c r="I722" s="264"/>
      <c r="J722" s="264"/>
      <c r="K722" s="264"/>
      <c r="L722" s="264"/>
      <c r="M722" s="264"/>
      <c r="N722" s="264"/>
      <c r="O722" s="264"/>
      <c r="P722" s="264"/>
      <c r="Q722" s="264"/>
      <c r="R722" s="264"/>
      <c r="S722" s="264"/>
      <c r="T722" s="264"/>
      <c r="U722" s="264"/>
      <c r="V722" s="264"/>
      <c r="W722" s="264"/>
      <c r="X722" s="264"/>
      <c r="Y722" s="264"/>
      <c r="Z722" s="264"/>
    </row>
    <row r="723">
      <c r="A723" s="264"/>
      <c r="B723" s="264"/>
      <c r="C723" s="264"/>
      <c r="D723" s="264"/>
      <c r="E723" s="264"/>
      <c r="F723" s="264"/>
      <c r="G723" s="264"/>
      <c r="H723" s="264"/>
      <c r="I723" s="264"/>
      <c r="J723" s="264"/>
      <c r="K723" s="264"/>
      <c r="L723" s="264"/>
      <c r="M723" s="264"/>
      <c r="N723" s="264"/>
      <c r="O723" s="264"/>
      <c r="P723" s="264"/>
      <c r="Q723" s="264"/>
      <c r="R723" s="264"/>
      <c r="S723" s="264"/>
      <c r="T723" s="264"/>
      <c r="U723" s="264"/>
      <c r="V723" s="264"/>
      <c r="W723" s="264"/>
      <c r="X723" s="264"/>
      <c r="Y723" s="264"/>
      <c r="Z723" s="264"/>
    </row>
    <row r="724">
      <c r="A724" s="264"/>
      <c r="B724" s="264"/>
      <c r="C724" s="264"/>
      <c r="D724" s="264"/>
      <c r="E724" s="264"/>
      <c r="F724" s="264"/>
      <c r="G724" s="264"/>
      <c r="H724" s="264"/>
      <c r="I724" s="264"/>
      <c r="J724" s="264"/>
      <c r="K724" s="264"/>
      <c r="L724" s="264"/>
      <c r="M724" s="264"/>
      <c r="N724" s="264"/>
      <c r="O724" s="264"/>
      <c r="P724" s="264"/>
      <c r="Q724" s="264"/>
      <c r="R724" s="264"/>
      <c r="S724" s="264"/>
      <c r="T724" s="264"/>
      <c r="U724" s="264"/>
      <c r="V724" s="264"/>
      <c r="W724" s="264"/>
      <c r="X724" s="264"/>
      <c r="Y724" s="264"/>
      <c r="Z724" s="264"/>
    </row>
    <row r="725">
      <c r="A725" s="264"/>
      <c r="B725" s="264"/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264"/>
      <c r="T725" s="264"/>
      <c r="U725" s="264"/>
      <c r="V725" s="264"/>
      <c r="W725" s="264"/>
      <c r="X725" s="264"/>
      <c r="Y725" s="264"/>
      <c r="Z725" s="264"/>
    </row>
    <row r="726">
      <c r="A726" s="264"/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264"/>
      <c r="T726" s="264"/>
      <c r="U726" s="264"/>
      <c r="V726" s="264"/>
      <c r="W726" s="264"/>
      <c r="X726" s="264"/>
      <c r="Y726" s="264"/>
      <c r="Z726" s="264"/>
    </row>
    <row r="727">
      <c r="A727" s="264"/>
      <c r="B727" s="264"/>
      <c r="C727" s="264"/>
      <c r="D727" s="264"/>
      <c r="E727" s="264"/>
      <c r="F727" s="264"/>
      <c r="G727" s="264"/>
      <c r="H727" s="264"/>
      <c r="I727" s="264"/>
      <c r="J727" s="264"/>
      <c r="K727" s="264"/>
      <c r="L727" s="264"/>
      <c r="M727" s="264"/>
      <c r="N727" s="264"/>
      <c r="O727" s="264"/>
      <c r="P727" s="264"/>
      <c r="Q727" s="264"/>
      <c r="R727" s="264"/>
      <c r="S727" s="264"/>
      <c r="T727" s="264"/>
      <c r="U727" s="264"/>
      <c r="V727" s="264"/>
      <c r="W727" s="264"/>
      <c r="X727" s="264"/>
      <c r="Y727" s="264"/>
      <c r="Z727" s="264"/>
    </row>
    <row r="728">
      <c r="A728" s="264"/>
      <c r="B728" s="264"/>
      <c r="C728" s="264"/>
      <c r="D728" s="264"/>
      <c r="E728" s="264"/>
      <c r="F728" s="264"/>
      <c r="G728" s="264"/>
      <c r="H728" s="264"/>
      <c r="I728" s="264"/>
      <c r="J728" s="264"/>
      <c r="K728" s="264"/>
      <c r="L728" s="264"/>
      <c r="M728" s="264"/>
      <c r="N728" s="264"/>
      <c r="O728" s="264"/>
      <c r="P728" s="264"/>
      <c r="Q728" s="264"/>
      <c r="R728" s="264"/>
      <c r="S728" s="264"/>
      <c r="T728" s="264"/>
      <c r="U728" s="264"/>
      <c r="V728" s="264"/>
      <c r="W728" s="264"/>
      <c r="X728" s="264"/>
      <c r="Y728" s="264"/>
      <c r="Z728" s="264"/>
    </row>
    <row r="729">
      <c r="A729" s="264"/>
      <c r="B729" s="264"/>
      <c r="C729" s="264"/>
      <c r="D729" s="264"/>
      <c r="E729" s="264"/>
      <c r="F729" s="264"/>
      <c r="G729" s="264"/>
      <c r="H729" s="264"/>
      <c r="I729" s="264"/>
      <c r="J729" s="264"/>
      <c r="K729" s="264"/>
      <c r="L729" s="264"/>
      <c r="M729" s="264"/>
      <c r="N729" s="264"/>
      <c r="O729" s="264"/>
      <c r="P729" s="264"/>
      <c r="Q729" s="264"/>
      <c r="R729" s="264"/>
      <c r="S729" s="264"/>
      <c r="T729" s="264"/>
      <c r="U729" s="264"/>
      <c r="V729" s="264"/>
      <c r="W729" s="264"/>
      <c r="X729" s="264"/>
      <c r="Y729" s="264"/>
      <c r="Z729" s="264"/>
    </row>
    <row r="730">
      <c r="A730" s="264"/>
      <c r="B730" s="264"/>
      <c r="C730" s="264"/>
      <c r="D730" s="264"/>
      <c r="E730" s="264"/>
      <c r="F730" s="264"/>
      <c r="G730" s="264"/>
      <c r="H730" s="264"/>
      <c r="I730" s="264"/>
      <c r="J730" s="264"/>
      <c r="K730" s="264"/>
      <c r="L730" s="264"/>
      <c r="M730" s="264"/>
      <c r="N730" s="264"/>
      <c r="O730" s="264"/>
      <c r="P730" s="264"/>
      <c r="Q730" s="264"/>
      <c r="R730" s="264"/>
      <c r="S730" s="264"/>
      <c r="T730" s="264"/>
      <c r="U730" s="264"/>
      <c r="V730" s="264"/>
      <c r="W730" s="264"/>
      <c r="X730" s="264"/>
      <c r="Y730" s="264"/>
      <c r="Z730" s="264"/>
    </row>
    <row r="731">
      <c r="A731" s="264"/>
      <c r="B731" s="264"/>
      <c r="C731" s="264"/>
      <c r="D731" s="264"/>
      <c r="E731" s="264"/>
      <c r="F731" s="264"/>
      <c r="G731" s="264"/>
      <c r="H731" s="264"/>
      <c r="I731" s="264"/>
      <c r="J731" s="264"/>
      <c r="K731" s="264"/>
      <c r="L731" s="264"/>
      <c r="M731" s="264"/>
      <c r="N731" s="264"/>
      <c r="O731" s="264"/>
      <c r="P731" s="264"/>
      <c r="Q731" s="264"/>
      <c r="R731" s="264"/>
      <c r="S731" s="264"/>
      <c r="T731" s="264"/>
      <c r="U731" s="264"/>
      <c r="V731" s="264"/>
      <c r="W731" s="264"/>
      <c r="X731" s="264"/>
      <c r="Y731" s="264"/>
      <c r="Z731" s="264"/>
    </row>
    <row r="732">
      <c r="A732" s="264"/>
      <c r="B732" s="264"/>
      <c r="C732" s="264"/>
      <c r="D732" s="264"/>
      <c r="E732" s="264"/>
      <c r="F732" s="264"/>
      <c r="G732" s="264"/>
      <c r="H732" s="264"/>
      <c r="I732" s="264"/>
      <c r="J732" s="264"/>
      <c r="K732" s="264"/>
      <c r="L732" s="264"/>
      <c r="M732" s="264"/>
      <c r="N732" s="264"/>
      <c r="O732" s="264"/>
      <c r="P732" s="264"/>
      <c r="Q732" s="264"/>
      <c r="R732" s="264"/>
      <c r="S732" s="264"/>
      <c r="T732" s="264"/>
      <c r="U732" s="264"/>
      <c r="V732" s="264"/>
      <c r="W732" s="264"/>
      <c r="X732" s="264"/>
      <c r="Y732" s="264"/>
      <c r="Z732" s="264"/>
    </row>
    <row r="733">
      <c r="A733" s="264"/>
      <c r="B733" s="264"/>
      <c r="C733" s="264"/>
      <c r="D733" s="264"/>
      <c r="E733" s="264"/>
      <c r="F733" s="264"/>
      <c r="G733" s="264"/>
      <c r="H733" s="264"/>
      <c r="I733" s="264"/>
      <c r="J733" s="264"/>
      <c r="K733" s="264"/>
      <c r="L733" s="264"/>
      <c r="M733" s="264"/>
      <c r="N733" s="264"/>
      <c r="O733" s="264"/>
      <c r="P733" s="264"/>
      <c r="Q733" s="264"/>
      <c r="R733" s="264"/>
      <c r="S733" s="264"/>
      <c r="T733" s="264"/>
      <c r="U733" s="264"/>
      <c r="V733" s="264"/>
      <c r="W733" s="264"/>
      <c r="X733" s="264"/>
      <c r="Y733" s="264"/>
      <c r="Z733" s="264"/>
    </row>
    <row r="734">
      <c r="A734" s="264"/>
      <c r="B734" s="264"/>
      <c r="C734" s="264"/>
      <c r="D734" s="264"/>
      <c r="E734" s="264"/>
      <c r="F734" s="264"/>
      <c r="G734" s="264"/>
      <c r="H734" s="264"/>
      <c r="I734" s="264"/>
      <c r="J734" s="264"/>
      <c r="K734" s="264"/>
      <c r="L734" s="264"/>
      <c r="M734" s="264"/>
      <c r="N734" s="264"/>
      <c r="O734" s="264"/>
      <c r="P734" s="264"/>
      <c r="Q734" s="264"/>
      <c r="R734" s="264"/>
      <c r="S734" s="264"/>
      <c r="T734" s="264"/>
      <c r="U734" s="264"/>
      <c r="V734" s="264"/>
      <c r="W734" s="264"/>
      <c r="X734" s="264"/>
      <c r="Y734" s="264"/>
      <c r="Z734" s="264"/>
    </row>
    <row r="735">
      <c r="A735" s="264"/>
      <c r="B735" s="264"/>
      <c r="C735" s="264"/>
      <c r="D735" s="264"/>
      <c r="E735" s="264"/>
      <c r="F735" s="264"/>
      <c r="G735" s="264"/>
      <c r="H735" s="264"/>
      <c r="I735" s="264"/>
      <c r="J735" s="264"/>
      <c r="K735" s="264"/>
      <c r="L735" s="264"/>
      <c r="M735" s="264"/>
      <c r="N735" s="264"/>
      <c r="O735" s="264"/>
      <c r="P735" s="264"/>
      <c r="Q735" s="264"/>
      <c r="R735" s="264"/>
      <c r="S735" s="264"/>
      <c r="T735" s="264"/>
      <c r="U735" s="264"/>
      <c r="V735" s="264"/>
      <c r="W735" s="264"/>
      <c r="X735" s="264"/>
      <c r="Y735" s="264"/>
      <c r="Z735" s="264"/>
    </row>
    <row r="736">
      <c r="A736" s="264"/>
      <c r="B736" s="264"/>
      <c r="C736" s="264"/>
      <c r="D736" s="264"/>
      <c r="E736" s="264"/>
      <c r="F736" s="264"/>
      <c r="G736" s="264"/>
      <c r="H736" s="264"/>
      <c r="I736" s="264"/>
      <c r="J736" s="264"/>
      <c r="K736" s="264"/>
      <c r="L736" s="264"/>
      <c r="M736" s="264"/>
      <c r="N736" s="264"/>
      <c r="O736" s="264"/>
      <c r="P736" s="264"/>
      <c r="Q736" s="264"/>
      <c r="R736" s="264"/>
      <c r="S736" s="264"/>
      <c r="T736" s="264"/>
      <c r="U736" s="264"/>
      <c r="V736" s="264"/>
      <c r="W736" s="264"/>
      <c r="X736" s="264"/>
      <c r="Y736" s="264"/>
      <c r="Z736" s="264"/>
    </row>
    <row r="737">
      <c r="A737" s="264"/>
      <c r="B737" s="264"/>
      <c r="C737" s="264"/>
      <c r="D737" s="264"/>
      <c r="E737" s="264"/>
      <c r="F737" s="264"/>
      <c r="G737" s="264"/>
      <c r="H737" s="264"/>
      <c r="I737" s="264"/>
      <c r="J737" s="264"/>
      <c r="K737" s="264"/>
      <c r="L737" s="264"/>
      <c r="M737" s="264"/>
      <c r="N737" s="264"/>
      <c r="O737" s="264"/>
      <c r="P737" s="264"/>
      <c r="Q737" s="264"/>
      <c r="R737" s="264"/>
      <c r="S737" s="264"/>
      <c r="T737" s="264"/>
      <c r="U737" s="264"/>
      <c r="V737" s="264"/>
      <c r="W737" s="264"/>
      <c r="X737" s="264"/>
      <c r="Y737" s="264"/>
      <c r="Z737" s="264"/>
    </row>
    <row r="738">
      <c r="A738" s="264"/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264"/>
      <c r="T738" s="264"/>
      <c r="U738" s="264"/>
      <c r="V738" s="264"/>
      <c r="W738" s="264"/>
      <c r="X738" s="264"/>
      <c r="Y738" s="264"/>
      <c r="Z738" s="264"/>
    </row>
    <row r="739">
      <c r="A739" s="264"/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264"/>
      <c r="T739" s="264"/>
      <c r="U739" s="264"/>
      <c r="V739" s="264"/>
      <c r="W739" s="264"/>
      <c r="X739" s="264"/>
      <c r="Y739" s="264"/>
      <c r="Z739" s="264"/>
    </row>
    <row r="740">
      <c r="A740" s="264"/>
      <c r="B740" s="264"/>
      <c r="C740" s="264"/>
      <c r="D740" s="264"/>
      <c r="E740" s="264"/>
      <c r="F740" s="264"/>
      <c r="G740" s="264"/>
      <c r="H740" s="264"/>
      <c r="I740" s="264"/>
      <c r="J740" s="264"/>
      <c r="K740" s="264"/>
      <c r="L740" s="264"/>
      <c r="M740" s="264"/>
      <c r="N740" s="264"/>
      <c r="O740" s="264"/>
      <c r="P740" s="264"/>
      <c r="Q740" s="264"/>
      <c r="R740" s="264"/>
      <c r="S740" s="264"/>
      <c r="T740" s="264"/>
      <c r="U740" s="264"/>
      <c r="V740" s="264"/>
      <c r="W740" s="264"/>
      <c r="X740" s="264"/>
      <c r="Y740" s="264"/>
      <c r="Z740" s="264"/>
    </row>
    <row r="741">
      <c r="A741" s="264"/>
      <c r="B741" s="264"/>
      <c r="C741" s="264"/>
      <c r="D741" s="264"/>
      <c r="E741" s="264"/>
      <c r="F741" s="264"/>
      <c r="G741" s="264"/>
      <c r="H741" s="264"/>
      <c r="I741" s="264"/>
      <c r="J741" s="264"/>
      <c r="K741" s="264"/>
      <c r="L741" s="264"/>
      <c r="M741" s="264"/>
      <c r="N741" s="264"/>
      <c r="O741" s="264"/>
      <c r="P741" s="264"/>
      <c r="Q741" s="264"/>
      <c r="R741" s="264"/>
      <c r="S741" s="264"/>
      <c r="T741" s="264"/>
      <c r="U741" s="264"/>
      <c r="V741" s="264"/>
      <c r="W741" s="264"/>
      <c r="X741" s="264"/>
      <c r="Y741" s="264"/>
      <c r="Z741" s="264"/>
    </row>
    <row r="742">
      <c r="A742" s="264"/>
      <c r="B742" s="264"/>
      <c r="C742" s="264"/>
      <c r="D742" s="264"/>
      <c r="E742" s="264"/>
      <c r="F742" s="264"/>
      <c r="G742" s="264"/>
      <c r="H742" s="264"/>
      <c r="I742" s="264"/>
      <c r="J742" s="264"/>
      <c r="K742" s="264"/>
      <c r="L742" s="264"/>
      <c r="M742" s="264"/>
      <c r="N742" s="264"/>
      <c r="O742" s="264"/>
      <c r="P742" s="264"/>
      <c r="Q742" s="264"/>
      <c r="R742" s="264"/>
      <c r="S742" s="264"/>
      <c r="T742" s="264"/>
      <c r="U742" s="264"/>
      <c r="V742" s="264"/>
      <c r="W742" s="264"/>
      <c r="X742" s="264"/>
      <c r="Y742" s="264"/>
      <c r="Z742" s="264"/>
    </row>
    <row r="743">
      <c r="A743" s="264"/>
      <c r="B743" s="264"/>
      <c r="C743" s="264"/>
      <c r="D743" s="264"/>
      <c r="E743" s="264"/>
      <c r="F743" s="264"/>
      <c r="G743" s="264"/>
      <c r="H743" s="264"/>
      <c r="I743" s="264"/>
      <c r="J743" s="264"/>
      <c r="K743" s="264"/>
      <c r="L743" s="264"/>
      <c r="M743" s="264"/>
      <c r="N743" s="264"/>
      <c r="O743" s="264"/>
      <c r="P743" s="264"/>
      <c r="Q743" s="264"/>
      <c r="R743" s="264"/>
      <c r="S743" s="264"/>
      <c r="T743" s="264"/>
      <c r="U743" s="264"/>
      <c r="V743" s="264"/>
      <c r="W743" s="264"/>
      <c r="X743" s="264"/>
      <c r="Y743" s="264"/>
      <c r="Z743" s="264"/>
    </row>
    <row r="744">
      <c r="A744" s="264"/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264"/>
      <c r="T744" s="264"/>
      <c r="U744" s="264"/>
      <c r="V744" s="264"/>
      <c r="W744" s="264"/>
      <c r="X744" s="264"/>
      <c r="Y744" s="264"/>
      <c r="Z744" s="264"/>
    </row>
    <row r="745">
      <c r="A745" s="264"/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264"/>
      <c r="T745" s="264"/>
      <c r="U745" s="264"/>
      <c r="V745" s="264"/>
      <c r="W745" s="264"/>
      <c r="X745" s="264"/>
      <c r="Y745" s="264"/>
      <c r="Z745" s="264"/>
    </row>
    <row r="746">
      <c r="A746" s="264"/>
      <c r="B746" s="264"/>
      <c r="C746" s="264"/>
      <c r="D746" s="264"/>
      <c r="E746" s="264"/>
      <c r="F746" s="264"/>
      <c r="G746" s="264"/>
      <c r="H746" s="264"/>
      <c r="I746" s="264"/>
      <c r="J746" s="264"/>
      <c r="K746" s="264"/>
      <c r="L746" s="264"/>
      <c r="M746" s="264"/>
      <c r="N746" s="264"/>
      <c r="O746" s="264"/>
      <c r="P746" s="264"/>
      <c r="Q746" s="264"/>
      <c r="R746" s="264"/>
      <c r="S746" s="264"/>
      <c r="T746" s="264"/>
      <c r="U746" s="264"/>
      <c r="V746" s="264"/>
      <c r="W746" s="264"/>
      <c r="X746" s="264"/>
      <c r="Y746" s="264"/>
      <c r="Z746" s="264"/>
    </row>
    <row r="747">
      <c r="A747" s="264"/>
      <c r="B747" s="264"/>
      <c r="C747" s="264"/>
      <c r="D747" s="264"/>
      <c r="E747" s="264"/>
      <c r="F747" s="264"/>
      <c r="G747" s="264"/>
      <c r="H747" s="264"/>
      <c r="I747" s="264"/>
      <c r="J747" s="264"/>
      <c r="K747" s="264"/>
      <c r="L747" s="264"/>
      <c r="M747" s="264"/>
      <c r="N747" s="264"/>
      <c r="O747" s="264"/>
      <c r="P747" s="264"/>
      <c r="Q747" s="264"/>
      <c r="R747" s="264"/>
      <c r="S747" s="264"/>
      <c r="T747" s="264"/>
      <c r="U747" s="264"/>
      <c r="V747" s="264"/>
      <c r="W747" s="264"/>
      <c r="X747" s="264"/>
      <c r="Y747" s="264"/>
      <c r="Z747" s="264"/>
    </row>
    <row r="748">
      <c r="A748" s="264"/>
      <c r="B748" s="264"/>
      <c r="C748" s="264"/>
      <c r="D748" s="264"/>
      <c r="E748" s="264"/>
      <c r="F748" s="264"/>
      <c r="G748" s="264"/>
      <c r="H748" s="264"/>
      <c r="I748" s="264"/>
      <c r="J748" s="264"/>
      <c r="K748" s="264"/>
      <c r="L748" s="264"/>
      <c r="M748" s="264"/>
      <c r="N748" s="264"/>
      <c r="O748" s="264"/>
      <c r="P748" s="264"/>
      <c r="Q748" s="264"/>
      <c r="R748" s="264"/>
      <c r="S748" s="264"/>
      <c r="T748" s="264"/>
      <c r="U748" s="264"/>
      <c r="V748" s="264"/>
      <c r="W748" s="264"/>
      <c r="X748" s="264"/>
      <c r="Y748" s="264"/>
      <c r="Z748" s="264"/>
    </row>
    <row r="749">
      <c r="A749" s="264"/>
      <c r="B749" s="264"/>
      <c r="C749" s="264"/>
      <c r="D749" s="264"/>
      <c r="E749" s="264"/>
      <c r="F749" s="264"/>
      <c r="G749" s="264"/>
      <c r="H749" s="264"/>
      <c r="I749" s="264"/>
      <c r="J749" s="264"/>
      <c r="K749" s="264"/>
      <c r="L749" s="264"/>
      <c r="M749" s="264"/>
      <c r="N749" s="264"/>
      <c r="O749" s="264"/>
      <c r="P749" s="264"/>
      <c r="Q749" s="264"/>
      <c r="R749" s="264"/>
      <c r="S749" s="264"/>
      <c r="T749" s="264"/>
      <c r="U749" s="264"/>
      <c r="V749" s="264"/>
      <c r="W749" s="264"/>
      <c r="X749" s="264"/>
      <c r="Y749" s="264"/>
      <c r="Z749" s="264"/>
    </row>
    <row r="750">
      <c r="A750" s="264"/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264"/>
      <c r="T750" s="264"/>
      <c r="U750" s="264"/>
      <c r="V750" s="264"/>
      <c r="W750" s="264"/>
      <c r="X750" s="264"/>
      <c r="Y750" s="264"/>
      <c r="Z750" s="264"/>
    </row>
    <row r="751">
      <c r="A751" s="264"/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264"/>
      <c r="T751" s="264"/>
      <c r="U751" s="264"/>
      <c r="V751" s="264"/>
      <c r="W751" s="264"/>
      <c r="X751" s="264"/>
      <c r="Y751" s="264"/>
      <c r="Z751" s="264"/>
    </row>
    <row r="752">
      <c r="A752" s="264"/>
      <c r="B752" s="264"/>
      <c r="C752" s="264"/>
      <c r="D752" s="264"/>
      <c r="E752" s="264"/>
      <c r="F752" s="264"/>
      <c r="G752" s="264"/>
      <c r="H752" s="264"/>
      <c r="I752" s="264"/>
      <c r="J752" s="264"/>
      <c r="K752" s="264"/>
      <c r="L752" s="264"/>
      <c r="M752" s="264"/>
      <c r="N752" s="264"/>
      <c r="O752" s="264"/>
      <c r="P752" s="264"/>
      <c r="Q752" s="264"/>
      <c r="R752" s="264"/>
      <c r="S752" s="264"/>
      <c r="T752" s="264"/>
      <c r="U752" s="264"/>
      <c r="V752" s="264"/>
      <c r="W752" s="264"/>
      <c r="X752" s="264"/>
      <c r="Y752" s="264"/>
      <c r="Z752" s="264"/>
    </row>
    <row r="753">
      <c r="A753" s="264"/>
      <c r="B753" s="264"/>
      <c r="C753" s="264"/>
      <c r="D753" s="264"/>
      <c r="E753" s="264"/>
      <c r="F753" s="264"/>
      <c r="G753" s="264"/>
      <c r="H753" s="264"/>
      <c r="I753" s="264"/>
      <c r="J753" s="264"/>
      <c r="K753" s="264"/>
      <c r="L753" s="264"/>
      <c r="M753" s="264"/>
      <c r="N753" s="264"/>
      <c r="O753" s="264"/>
      <c r="P753" s="264"/>
      <c r="Q753" s="264"/>
      <c r="R753" s="264"/>
      <c r="S753" s="264"/>
      <c r="T753" s="264"/>
      <c r="U753" s="264"/>
      <c r="V753" s="264"/>
      <c r="W753" s="264"/>
      <c r="X753" s="264"/>
      <c r="Y753" s="264"/>
      <c r="Z753" s="264"/>
    </row>
    <row r="754">
      <c r="A754" s="264"/>
      <c r="B754" s="264"/>
      <c r="C754" s="264"/>
      <c r="D754" s="264"/>
      <c r="E754" s="264"/>
      <c r="F754" s="264"/>
      <c r="G754" s="264"/>
      <c r="H754" s="264"/>
      <c r="I754" s="264"/>
      <c r="J754" s="264"/>
      <c r="K754" s="264"/>
      <c r="L754" s="264"/>
      <c r="M754" s="264"/>
      <c r="N754" s="264"/>
      <c r="O754" s="264"/>
      <c r="P754" s="264"/>
      <c r="Q754" s="264"/>
      <c r="R754" s="264"/>
      <c r="S754" s="264"/>
      <c r="T754" s="264"/>
      <c r="U754" s="264"/>
      <c r="V754" s="264"/>
      <c r="W754" s="264"/>
      <c r="X754" s="264"/>
      <c r="Y754" s="264"/>
      <c r="Z754" s="264"/>
    </row>
    <row r="755">
      <c r="A755" s="264"/>
      <c r="B755" s="264"/>
      <c r="C755" s="264"/>
      <c r="D755" s="264"/>
      <c r="E755" s="264"/>
      <c r="F755" s="264"/>
      <c r="G755" s="264"/>
      <c r="H755" s="264"/>
      <c r="I755" s="264"/>
      <c r="J755" s="264"/>
      <c r="K755" s="264"/>
      <c r="L755" s="264"/>
      <c r="M755" s="264"/>
      <c r="N755" s="264"/>
      <c r="O755" s="264"/>
      <c r="P755" s="264"/>
      <c r="Q755" s="264"/>
      <c r="R755" s="264"/>
      <c r="S755" s="264"/>
      <c r="T755" s="264"/>
      <c r="U755" s="264"/>
      <c r="V755" s="264"/>
      <c r="W755" s="264"/>
      <c r="X755" s="264"/>
      <c r="Y755" s="264"/>
      <c r="Z755" s="264"/>
    </row>
    <row r="756">
      <c r="A756" s="264"/>
      <c r="B756" s="264"/>
      <c r="C756" s="264"/>
      <c r="D756" s="264"/>
      <c r="E756" s="264"/>
      <c r="F756" s="264"/>
      <c r="G756" s="264"/>
      <c r="H756" s="264"/>
      <c r="I756" s="264"/>
      <c r="J756" s="264"/>
      <c r="K756" s="264"/>
      <c r="L756" s="264"/>
      <c r="M756" s="264"/>
      <c r="N756" s="264"/>
      <c r="O756" s="264"/>
      <c r="P756" s="264"/>
      <c r="Q756" s="264"/>
      <c r="R756" s="264"/>
      <c r="S756" s="264"/>
      <c r="T756" s="264"/>
      <c r="U756" s="264"/>
      <c r="V756" s="264"/>
      <c r="W756" s="264"/>
      <c r="X756" s="264"/>
      <c r="Y756" s="264"/>
      <c r="Z756" s="264"/>
    </row>
    <row r="757">
      <c r="A757" s="264"/>
      <c r="B757" s="264"/>
      <c r="C757" s="264"/>
      <c r="D757" s="264"/>
      <c r="E757" s="264"/>
      <c r="F757" s="264"/>
      <c r="G757" s="264"/>
      <c r="H757" s="264"/>
      <c r="I757" s="264"/>
      <c r="J757" s="264"/>
      <c r="K757" s="264"/>
      <c r="L757" s="264"/>
      <c r="M757" s="264"/>
      <c r="N757" s="264"/>
      <c r="O757" s="264"/>
      <c r="P757" s="264"/>
      <c r="Q757" s="264"/>
      <c r="R757" s="264"/>
      <c r="S757" s="264"/>
      <c r="T757" s="264"/>
      <c r="U757" s="264"/>
      <c r="V757" s="264"/>
      <c r="W757" s="264"/>
      <c r="X757" s="264"/>
      <c r="Y757" s="264"/>
      <c r="Z757" s="264"/>
    </row>
    <row r="758">
      <c r="A758" s="264"/>
      <c r="B758" s="264"/>
      <c r="C758" s="264"/>
      <c r="D758" s="264"/>
      <c r="E758" s="264"/>
      <c r="F758" s="264"/>
      <c r="G758" s="264"/>
      <c r="H758" s="264"/>
      <c r="I758" s="264"/>
      <c r="J758" s="264"/>
      <c r="K758" s="264"/>
      <c r="L758" s="264"/>
      <c r="M758" s="264"/>
      <c r="N758" s="264"/>
      <c r="O758" s="264"/>
      <c r="P758" s="264"/>
      <c r="Q758" s="264"/>
      <c r="R758" s="264"/>
      <c r="S758" s="264"/>
      <c r="T758" s="264"/>
      <c r="U758" s="264"/>
      <c r="V758" s="264"/>
      <c r="W758" s="264"/>
      <c r="X758" s="264"/>
      <c r="Y758" s="264"/>
      <c r="Z758" s="264"/>
    </row>
    <row r="759">
      <c r="A759" s="264"/>
      <c r="B759" s="264"/>
      <c r="C759" s="264"/>
      <c r="D759" s="264"/>
      <c r="E759" s="264"/>
      <c r="F759" s="264"/>
      <c r="G759" s="264"/>
      <c r="H759" s="264"/>
      <c r="I759" s="264"/>
      <c r="J759" s="264"/>
      <c r="K759" s="264"/>
      <c r="L759" s="264"/>
      <c r="M759" s="264"/>
      <c r="N759" s="264"/>
      <c r="O759" s="264"/>
      <c r="P759" s="264"/>
      <c r="Q759" s="264"/>
      <c r="R759" s="264"/>
      <c r="S759" s="264"/>
      <c r="T759" s="264"/>
      <c r="U759" s="264"/>
      <c r="V759" s="264"/>
      <c r="W759" s="264"/>
      <c r="X759" s="264"/>
      <c r="Y759" s="264"/>
      <c r="Z759" s="264"/>
    </row>
    <row r="760">
      <c r="A760" s="264"/>
      <c r="B760" s="264"/>
      <c r="C760" s="264"/>
      <c r="D760" s="264"/>
      <c r="E760" s="264"/>
      <c r="F760" s="264"/>
      <c r="G760" s="264"/>
      <c r="H760" s="264"/>
      <c r="I760" s="264"/>
      <c r="J760" s="264"/>
      <c r="K760" s="264"/>
      <c r="L760" s="264"/>
      <c r="M760" s="264"/>
      <c r="N760" s="264"/>
      <c r="O760" s="264"/>
      <c r="P760" s="264"/>
      <c r="Q760" s="264"/>
      <c r="R760" s="264"/>
      <c r="S760" s="264"/>
      <c r="T760" s="264"/>
      <c r="U760" s="264"/>
      <c r="V760" s="264"/>
      <c r="W760" s="264"/>
      <c r="X760" s="264"/>
      <c r="Y760" s="264"/>
      <c r="Z760" s="264"/>
    </row>
    <row r="761">
      <c r="A761" s="264"/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264"/>
      <c r="T761" s="264"/>
      <c r="U761" s="264"/>
      <c r="V761" s="264"/>
      <c r="W761" s="264"/>
      <c r="X761" s="264"/>
      <c r="Y761" s="264"/>
      <c r="Z761" s="264"/>
    </row>
    <row r="762">
      <c r="A762" s="264"/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264"/>
      <c r="T762" s="264"/>
      <c r="U762" s="264"/>
      <c r="V762" s="264"/>
      <c r="W762" s="264"/>
      <c r="X762" s="264"/>
      <c r="Y762" s="264"/>
      <c r="Z762" s="264"/>
    </row>
    <row r="763">
      <c r="A763" s="264"/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264"/>
      <c r="T763" s="264"/>
      <c r="U763" s="264"/>
      <c r="V763" s="264"/>
      <c r="W763" s="264"/>
      <c r="X763" s="264"/>
      <c r="Y763" s="264"/>
      <c r="Z763" s="264"/>
    </row>
    <row r="764">
      <c r="A764" s="264"/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264"/>
      <c r="T764" s="264"/>
      <c r="U764" s="264"/>
      <c r="V764" s="264"/>
      <c r="W764" s="264"/>
      <c r="X764" s="264"/>
      <c r="Y764" s="264"/>
      <c r="Z764" s="264"/>
    </row>
    <row r="765">
      <c r="A765" s="264"/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264"/>
      <c r="T765" s="264"/>
      <c r="U765" s="264"/>
      <c r="V765" s="264"/>
      <c r="W765" s="264"/>
      <c r="X765" s="264"/>
      <c r="Y765" s="264"/>
      <c r="Z765" s="264"/>
    </row>
    <row r="766">
      <c r="A766" s="264"/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264"/>
      <c r="T766" s="264"/>
      <c r="U766" s="264"/>
      <c r="V766" s="264"/>
      <c r="W766" s="264"/>
      <c r="X766" s="264"/>
      <c r="Y766" s="264"/>
      <c r="Z766" s="264"/>
    </row>
    <row r="767">
      <c r="A767" s="264"/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264"/>
      <c r="T767" s="264"/>
      <c r="U767" s="264"/>
      <c r="V767" s="264"/>
      <c r="W767" s="264"/>
      <c r="X767" s="264"/>
      <c r="Y767" s="264"/>
      <c r="Z767" s="264"/>
    </row>
    <row r="768">
      <c r="A768" s="264"/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264"/>
      <c r="T768" s="264"/>
      <c r="U768" s="264"/>
      <c r="V768" s="264"/>
      <c r="W768" s="264"/>
      <c r="X768" s="264"/>
      <c r="Y768" s="264"/>
      <c r="Z768" s="264"/>
    </row>
    <row r="769">
      <c r="A769" s="264"/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264"/>
      <c r="T769" s="264"/>
      <c r="U769" s="264"/>
      <c r="V769" s="264"/>
      <c r="W769" s="264"/>
      <c r="X769" s="264"/>
      <c r="Y769" s="264"/>
      <c r="Z769" s="264"/>
    </row>
    <row r="770">
      <c r="A770" s="264"/>
      <c r="B770" s="264"/>
      <c r="C770" s="264"/>
      <c r="D770" s="264"/>
      <c r="E770" s="264"/>
      <c r="F770" s="264"/>
      <c r="G770" s="264"/>
      <c r="H770" s="264"/>
      <c r="I770" s="264"/>
      <c r="J770" s="264"/>
      <c r="K770" s="264"/>
      <c r="L770" s="264"/>
      <c r="M770" s="264"/>
      <c r="N770" s="264"/>
      <c r="O770" s="264"/>
      <c r="P770" s="264"/>
      <c r="Q770" s="264"/>
      <c r="R770" s="264"/>
      <c r="S770" s="264"/>
      <c r="T770" s="264"/>
      <c r="U770" s="264"/>
      <c r="V770" s="264"/>
      <c r="W770" s="264"/>
      <c r="X770" s="264"/>
      <c r="Y770" s="264"/>
      <c r="Z770" s="264"/>
    </row>
    <row r="771">
      <c r="A771" s="264"/>
      <c r="B771" s="264"/>
      <c r="C771" s="264"/>
      <c r="D771" s="264"/>
      <c r="E771" s="264"/>
      <c r="F771" s="264"/>
      <c r="G771" s="264"/>
      <c r="H771" s="264"/>
      <c r="I771" s="264"/>
      <c r="J771" s="264"/>
      <c r="K771" s="264"/>
      <c r="L771" s="264"/>
      <c r="M771" s="264"/>
      <c r="N771" s="264"/>
      <c r="O771" s="264"/>
      <c r="P771" s="264"/>
      <c r="Q771" s="264"/>
      <c r="R771" s="264"/>
      <c r="S771" s="264"/>
      <c r="T771" s="264"/>
      <c r="U771" s="264"/>
      <c r="V771" s="264"/>
      <c r="W771" s="264"/>
      <c r="X771" s="264"/>
      <c r="Y771" s="264"/>
      <c r="Z771" s="264"/>
    </row>
    <row r="772">
      <c r="A772" s="264"/>
      <c r="B772" s="264"/>
      <c r="C772" s="264"/>
      <c r="D772" s="264"/>
      <c r="E772" s="264"/>
      <c r="F772" s="264"/>
      <c r="G772" s="264"/>
      <c r="H772" s="264"/>
      <c r="I772" s="264"/>
      <c r="J772" s="264"/>
      <c r="K772" s="264"/>
      <c r="L772" s="264"/>
      <c r="M772" s="264"/>
      <c r="N772" s="264"/>
      <c r="O772" s="264"/>
      <c r="P772" s="264"/>
      <c r="Q772" s="264"/>
      <c r="R772" s="264"/>
      <c r="S772" s="264"/>
      <c r="T772" s="264"/>
      <c r="U772" s="264"/>
      <c r="V772" s="264"/>
      <c r="W772" s="264"/>
      <c r="X772" s="264"/>
      <c r="Y772" s="264"/>
      <c r="Z772" s="264"/>
    </row>
    <row r="773">
      <c r="A773" s="264"/>
      <c r="B773" s="264"/>
      <c r="C773" s="264"/>
      <c r="D773" s="264"/>
      <c r="E773" s="264"/>
      <c r="F773" s="264"/>
      <c r="G773" s="264"/>
      <c r="H773" s="264"/>
      <c r="I773" s="264"/>
      <c r="J773" s="264"/>
      <c r="K773" s="264"/>
      <c r="L773" s="264"/>
      <c r="M773" s="264"/>
      <c r="N773" s="264"/>
      <c r="O773" s="264"/>
      <c r="P773" s="264"/>
      <c r="Q773" s="264"/>
      <c r="R773" s="264"/>
      <c r="S773" s="264"/>
      <c r="T773" s="264"/>
      <c r="U773" s="264"/>
      <c r="V773" s="264"/>
      <c r="W773" s="264"/>
      <c r="X773" s="264"/>
      <c r="Y773" s="264"/>
      <c r="Z773" s="264"/>
    </row>
    <row r="774">
      <c r="A774" s="264"/>
      <c r="B774" s="264"/>
      <c r="C774" s="264"/>
      <c r="D774" s="264"/>
      <c r="E774" s="264"/>
      <c r="F774" s="264"/>
      <c r="G774" s="264"/>
      <c r="H774" s="264"/>
      <c r="I774" s="264"/>
      <c r="J774" s="264"/>
      <c r="K774" s="264"/>
      <c r="L774" s="264"/>
      <c r="M774" s="264"/>
      <c r="N774" s="264"/>
      <c r="O774" s="264"/>
      <c r="P774" s="264"/>
      <c r="Q774" s="264"/>
      <c r="R774" s="264"/>
      <c r="S774" s="264"/>
      <c r="T774" s="264"/>
      <c r="U774" s="264"/>
      <c r="V774" s="264"/>
      <c r="W774" s="264"/>
      <c r="X774" s="264"/>
      <c r="Y774" s="264"/>
      <c r="Z774" s="264"/>
    </row>
    <row r="775">
      <c r="A775" s="264"/>
      <c r="B775" s="264"/>
      <c r="C775" s="264"/>
      <c r="D775" s="264"/>
      <c r="E775" s="264"/>
      <c r="F775" s="264"/>
      <c r="G775" s="264"/>
      <c r="H775" s="264"/>
      <c r="I775" s="264"/>
      <c r="J775" s="264"/>
      <c r="K775" s="264"/>
      <c r="L775" s="264"/>
      <c r="M775" s="264"/>
      <c r="N775" s="264"/>
      <c r="O775" s="264"/>
      <c r="P775" s="264"/>
      <c r="Q775" s="264"/>
      <c r="R775" s="264"/>
      <c r="S775" s="264"/>
      <c r="T775" s="264"/>
      <c r="U775" s="264"/>
      <c r="V775" s="264"/>
      <c r="W775" s="264"/>
      <c r="X775" s="264"/>
      <c r="Y775" s="264"/>
      <c r="Z775" s="264"/>
    </row>
    <row r="776">
      <c r="A776" s="264"/>
      <c r="B776" s="264"/>
      <c r="C776" s="264"/>
      <c r="D776" s="264"/>
      <c r="E776" s="264"/>
      <c r="F776" s="264"/>
      <c r="G776" s="264"/>
      <c r="H776" s="264"/>
      <c r="I776" s="264"/>
      <c r="J776" s="264"/>
      <c r="K776" s="264"/>
      <c r="L776" s="264"/>
      <c r="M776" s="264"/>
      <c r="N776" s="264"/>
      <c r="O776" s="264"/>
      <c r="P776" s="264"/>
      <c r="Q776" s="264"/>
      <c r="R776" s="264"/>
      <c r="S776" s="264"/>
      <c r="T776" s="264"/>
      <c r="U776" s="264"/>
      <c r="V776" s="264"/>
      <c r="W776" s="264"/>
      <c r="X776" s="264"/>
      <c r="Y776" s="264"/>
      <c r="Z776" s="264"/>
    </row>
    <row r="777">
      <c r="A777" s="264"/>
      <c r="B777" s="264"/>
      <c r="C777" s="264"/>
      <c r="D777" s="264"/>
      <c r="E777" s="264"/>
      <c r="F777" s="264"/>
      <c r="G777" s="264"/>
      <c r="H777" s="264"/>
      <c r="I777" s="264"/>
      <c r="J777" s="264"/>
      <c r="K777" s="264"/>
      <c r="L777" s="264"/>
      <c r="M777" s="264"/>
      <c r="N777" s="264"/>
      <c r="O777" s="264"/>
      <c r="P777" s="264"/>
      <c r="Q777" s="264"/>
      <c r="R777" s="264"/>
      <c r="S777" s="264"/>
      <c r="T777" s="264"/>
      <c r="U777" s="264"/>
      <c r="V777" s="264"/>
      <c r="W777" s="264"/>
      <c r="X777" s="264"/>
      <c r="Y777" s="264"/>
      <c r="Z777" s="264"/>
    </row>
    <row r="778">
      <c r="A778" s="264"/>
      <c r="B778" s="264"/>
      <c r="C778" s="264"/>
      <c r="D778" s="264"/>
      <c r="E778" s="264"/>
      <c r="F778" s="264"/>
      <c r="G778" s="264"/>
      <c r="H778" s="264"/>
      <c r="I778" s="264"/>
      <c r="J778" s="264"/>
      <c r="K778" s="264"/>
      <c r="L778" s="264"/>
      <c r="M778" s="264"/>
      <c r="N778" s="264"/>
      <c r="O778" s="264"/>
      <c r="P778" s="264"/>
      <c r="Q778" s="264"/>
      <c r="R778" s="264"/>
      <c r="S778" s="264"/>
      <c r="T778" s="264"/>
      <c r="U778" s="264"/>
      <c r="V778" s="264"/>
      <c r="W778" s="264"/>
      <c r="X778" s="264"/>
      <c r="Y778" s="264"/>
      <c r="Z778" s="264"/>
    </row>
    <row r="779">
      <c r="A779" s="264"/>
      <c r="B779" s="264"/>
      <c r="C779" s="264"/>
      <c r="D779" s="264"/>
      <c r="E779" s="264"/>
      <c r="F779" s="264"/>
      <c r="G779" s="264"/>
      <c r="H779" s="264"/>
      <c r="I779" s="264"/>
      <c r="J779" s="264"/>
      <c r="K779" s="264"/>
      <c r="L779" s="264"/>
      <c r="M779" s="264"/>
      <c r="N779" s="264"/>
      <c r="O779" s="264"/>
      <c r="P779" s="264"/>
      <c r="Q779" s="264"/>
      <c r="R779" s="264"/>
      <c r="S779" s="264"/>
      <c r="T779" s="264"/>
      <c r="U779" s="264"/>
      <c r="V779" s="264"/>
      <c r="W779" s="264"/>
      <c r="X779" s="264"/>
      <c r="Y779" s="264"/>
      <c r="Z779" s="264"/>
    </row>
    <row r="780">
      <c r="A780" s="264"/>
      <c r="B780" s="264"/>
      <c r="C780" s="264"/>
      <c r="D780" s="264"/>
      <c r="E780" s="264"/>
      <c r="F780" s="264"/>
      <c r="G780" s="264"/>
      <c r="H780" s="264"/>
      <c r="I780" s="264"/>
      <c r="J780" s="264"/>
      <c r="K780" s="264"/>
      <c r="L780" s="264"/>
      <c r="M780" s="264"/>
      <c r="N780" s="264"/>
      <c r="O780" s="264"/>
      <c r="P780" s="264"/>
      <c r="Q780" s="264"/>
      <c r="R780" s="264"/>
      <c r="S780" s="264"/>
      <c r="T780" s="264"/>
      <c r="U780" s="264"/>
      <c r="V780" s="264"/>
      <c r="W780" s="264"/>
      <c r="X780" s="264"/>
      <c r="Y780" s="264"/>
      <c r="Z780" s="264"/>
    </row>
    <row r="781">
      <c r="A781" s="264"/>
      <c r="B781" s="264"/>
      <c r="C781" s="264"/>
      <c r="D781" s="264"/>
      <c r="E781" s="264"/>
      <c r="F781" s="264"/>
      <c r="G781" s="264"/>
      <c r="H781" s="264"/>
      <c r="I781" s="264"/>
      <c r="J781" s="264"/>
      <c r="K781" s="264"/>
      <c r="L781" s="264"/>
      <c r="M781" s="264"/>
      <c r="N781" s="264"/>
      <c r="O781" s="264"/>
      <c r="P781" s="264"/>
      <c r="Q781" s="264"/>
      <c r="R781" s="264"/>
      <c r="S781" s="264"/>
      <c r="T781" s="264"/>
      <c r="U781" s="264"/>
      <c r="V781" s="264"/>
      <c r="W781" s="264"/>
      <c r="X781" s="264"/>
      <c r="Y781" s="264"/>
      <c r="Z781" s="264"/>
    </row>
    <row r="782">
      <c r="A782" s="264"/>
      <c r="B782" s="264"/>
      <c r="C782" s="264"/>
      <c r="D782" s="264"/>
      <c r="E782" s="264"/>
      <c r="F782" s="264"/>
      <c r="G782" s="264"/>
      <c r="H782" s="264"/>
      <c r="I782" s="264"/>
      <c r="J782" s="264"/>
      <c r="K782" s="264"/>
      <c r="L782" s="264"/>
      <c r="M782" s="264"/>
      <c r="N782" s="264"/>
      <c r="O782" s="264"/>
      <c r="P782" s="264"/>
      <c r="Q782" s="264"/>
      <c r="R782" s="264"/>
      <c r="S782" s="264"/>
      <c r="T782" s="264"/>
      <c r="U782" s="264"/>
      <c r="V782" s="264"/>
      <c r="W782" s="264"/>
      <c r="X782" s="264"/>
      <c r="Y782" s="264"/>
      <c r="Z782" s="264"/>
    </row>
    <row r="783">
      <c r="A783" s="264"/>
      <c r="B783" s="264"/>
      <c r="C783" s="264"/>
      <c r="D783" s="264"/>
      <c r="E783" s="264"/>
      <c r="F783" s="264"/>
      <c r="G783" s="264"/>
      <c r="H783" s="264"/>
      <c r="I783" s="264"/>
      <c r="J783" s="264"/>
      <c r="K783" s="264"/>
      <c r="L783" s="264"/>
      <c r="M783" s="264"/>
      <c r="N783" s="264"/>
      <c r="O783" s="264"/>
      <c r="P783" s="264"/>
      <c r="Q783" s="264"/>
      <c r="R783" s="264"/>
      <c r="S783" s="264"/>
      <c r="T783" s="264"/>
      <c r="U783" s="264"/>
      <c r="V783" s="264"/>
      <c r="W783" s="264"/>
      <c r="X783" s="264"/>
      <c r="Y783" s="264"/>
      <c r="Z783" s="264"/>
    </row>
    <row r="784">
      <c r="A784" s="264"/>
      <c r="B784" s="264"/>
      <c r="C784" s="264"/>
      <c r="D784" s="264"/>
      <c r="E784" s="264"/>
      <c r="F784" s="264"/>
      <c r="G784" s="264"/>
      <c r="H784" s="264"/>
      <c r="I784" s="264"/>
      <c r="J784" s="264"/>
      <c r="K784" s="264"/>
      <c r="L784" s="264"/>
      <c r="M784" s="264"/>
      <c r="N784" s="264"/>
      <c r="O784" s="264"/>
      <c r="P784" s="264"/>
      <c r="Q784" s="264"/>
      <c r="R784" s="264"/>
      <c r="S784" s="264"/>
      <c r="T784" s="264"/>
      <c r="U784" s="264"/>
      <c r="V784" s="264"/>
      <c r="W784" s="264"/>
      <c r="X784" s="264"/>
      <c r="Y784" s="264"/>
      <c r="Z784" s="264"/>
    </row>
    <row r="785">
      <c r="A785" s="264"/>
      <c r="B785" s="264"/>
      <c r="C785" s="264"/>
      <c r="D785" s="264"/>
      <c r="E785" s="264"/>
      <c r="F785" s="264"/>
      <c r="G785" s="264"/>
      <c r="H785" s="264"/>
      <c r="I785" s="264"/>
      <c r="J785" s="264"/>
      <c r="K785" s="264"/>
      <c r="L785" s="264"/>
      <c r="M785" s="264"/>
      <c r="N785" s="264"/>
      <c r="O785" s="264"/>
      <c r="P785" s="264"/>
      <c r="Q785" s="264"/>
      <c r="R785" s="264"/>
      <c r="S785" s="264"/>
      <c r="T785" s="264"/>
      <c r="U785" s="264"/>
      <c r="V785" s="264"/>
      <c r="W785" s="264"/>
      <c r="X785" s="264"/>
      <c r="Y785" s="264"/>
      <c r="Z785" s="264"/>
    </row>
    <row r="786">
      <c r="A786" s="264"/>
      <c r="B786" s="264"/>
      <c r="C786" s="264"/>
      <c r="D786" s="264"/>
      <c r="E786" s="264"/>
      <c r="F786" s="264"/>
      <c r="G786" s="264"/>
      <c r="H786" s="264"/>
      <c r="I786" s="264"/>
      <c r="J786" s="264"/>
      <c r="K786" s="264"/>
      <c r="L786" s="264"/>
      <c r="M786" s="264"/>
      <c r="N786" s="264"/>
      <c r="O786" s="264"/>
      <c r="P786" s="264"/>
      <c r="Q786" s="264"/>
      <c r="R786" s="264"/>
      <c r="S786" s="264"/>
      <c r="T786" s="264"/>
      <c r="U786" s="264"/>
      <c r="V786" s="264"/>
      <c r="W786" s="264"/>
      <c r="X786" s="264"/>
      <c r="Y786" s="264"/>
      <c r="Z786" s="264"/>
    </row>
    <row r="787">
      <c r="A787" s="264"/>
      <c r="B787" s="264"/>
      <c r="C787" s="264"/>
      <c r="D787" s="264"/>
      <c r="E787" s="264"/>
      <c r="F787" s="264"/>
      <c r="G787" s="264"/>
      <c r="H787" s="264"/>
      <c r="I787" s="264"/>
      <c r="J787" s="264"/>
      <c r="K787" s="264"/>
      <c r="L787" s="264"/>
      <c r="M787" s="264"/>
      <c r="N787" s="264"/>
      <c r="O787" s="264"/>
      <c r="P787" s="264"/>
      <c r="Q787" s="264"/>
      <c r="R787" s="264"/>
      <c r="S787" s="264"/>
      <c r="T787" s="264"/>
      <c r="U787" s="264"/>
      <c r="V787" s="264"/>
      <c r="W787" s="264"/>
      <c r="X787" s="264"/>
      <c r="Y787" s="264"/>
      <c r="Z787" s="264"/>
    </row>
    <row r="788">
      <c r="A788" s="264"/>
      <c r="B788" s="264"/>
      <c r="C788" s="264"/>
      <c r="D788" s="264"/>
      <c r="E788" s="264"/>
      <c r="F788" s="264"/>
      <c r="G788" s="264"/>
      <c r="H788" s="264"/>
      <c r="I788" s="264"/>
      <c r="J788" s="264"/>
      <c r="K788" s="264"/>
      <c r="L788" s="264"/>
      <c r="M788" s="264"/>
      <c r="N788" s="264"/>
      <c r="O788" s="264"/>
      <c r="P788" s="264"/>
      <c r="Q788" s="264"/>
      <c r="R788" s="264"/>
      <c r="S788" s="264"/>
      <c r="T788" s="264"/>
      <c r="U788" s="264"/>
      <c r="V788" s="264"/>
      <c r="W788" s="264"/>
      <c r="X788" s="264"/>
      <c r="Y788" s="264"/>
      <c r="Z788" s="264"/>
    </row>
    <row r="789">
      <c r="A789" s="264"/>
      <c r="B789" s="264"/>
      <c r="C789" s="264"/>
      <c r="D789" s="264"/>
      <c r="E789" s="264"/>
      <c r="F789" s="264"/>
      <c r="G789" s="264"/>
      <c r="H789" s="264"/>
      <c r="I789" s="264"/>
      <c r="J789" s="264"/>
      <c r="K789" s="264"/>
      <c r="L789" s="264"/>
      <c r="M789" s="264"/>
      <c r="N789" s="264"/>
      <c r="O789" s="264"/>
      <c r="P789" s="264"/>
      <c r="Q789" s="264"/>
      <c r="R789" s="264"/>
      <c r="S789" s="264"/>
      <c r="T789" s="264"/>
      <c r="U789" s="264"/>
      <c r="V789" s="264"/>
      <c r="W789" s="264"/>
      <c r="X789" s="264"/>
      <c r="Y789" s="264"/>
      <c r="Z789" s="264"/>
    </row>
    <row r="790">
      <c r="A790" s="264"/>
      <c r="B790" s="264"/>
      <c r="C790" s="264"/>
      <c r="D790" s="264"/>
      <c r="E790" s="264"/>
      <c r="F790" s="264"/>
      <c r="G790" s="264"/>
      <c r="H790" s="264"/>
      <c r="I790" s="264"/>
      <c r="J790" s="264"/>
      <c r="K790" s="264"/>
      <c r="L790" s="264"/>
      <c r="M790" s="264"/>
      <c r="N790" s="264"/>
      <c r="O790" s="264"/>
      <c r="P790" s="264"/>
      <c r="Q790" s="264"/>
      <c r="R790" s="264"/>
      <c r="S790" s="264"/>
      <c r="T790" s="264"/>
      <c r="U790" s="264"/>
      <c r="V790" s="264"/>
      <c r="W790" s="264"/>
      <c r="X790" s="264"/>
      <c r="Y790" s="264"/>
      <c r="Z790" s="264"/>
    </row>
    <row r="791">
      <c r="A791" s="264"/>
      <c r="B791" s="264"/>
      <c r="C791" s="264"/>
      <c r="D791" s="264"/>
      <c r="E791" s="264"/>
      <c r="F791" s="264"/>
      <c r="G791" s="264"/>
      <c r="H791" s="264"/>
      <c r="I791" s="264"/>
      <c r="J791" s="264"/>
      <c r="K791" s="264"/>
      <c r="L791" s="264"/>
      <c r="M791" s="264"/>
      <c r="N791" s="264"/>
      <c r="O791" s="264"/>
      <c r="P791" s="264"/>
      <c r="Q791" s="264"/>
      <c r="R791" s="264"/>
      <c r="S791" s="264"/>
      <c r="T791" s="264"/>
      <c r="U791" s="264"/>
      <c r="V791" s="264"/>
      <c r="W791" s="264"/>
      <c r="X791" s="264"/>
      <c r="Y791" s="264"/>
      <c r="Z791" s="264"/>
    </row>
    <row r="792">
      <c r="A792" s="264"/>
      <c r="B792" s="264"/>
      <c r="C792" s="264"/>
      <c r="D792" s="264"/>
      <c r="E792" s="264"/>
      <c r="F792" s="264"/>
      <c r="G792" s="264"/>
      <c r="H792" s="264"/>
      <c r="I792" s="264"/>
      <c r="J792" s="264"/>
      <c r="K792" s="264"/>
      <c r="L792" s="264"/>
      <c r="M792" s="264"/>
      <c r="N792" s="264"/>
      <c r="O792" s="264"/>
      <c r="P792" s="264"/>
      <c r="Q792" s="264"/>
      <c r="R792" s="264"/>
      <c r="S792" s="264"/>
      <c r="T792" s="264"/>
      <c r="U792" s="264"/>
      <c r="V792" s="264"/>
      <c r="W792" s="264"/>
      <c r="X792" s="264"/>
      <c r="Y792" s="264"/>
      <c r="Z792" s="264"/>
    </row>
    <row r="793">
      <c r="A793" s="264"/>
      <c r="B793" s="264"/>
      <c r="C793" s="264"/>
      <c r="D793" s="264"/>
      <c r="E793" s="264"/>
      <c r="F793" s="264"/>
      <c r="G793" s="264"/>
      <c r="H793" s="264"/>
      <c r="I793" s="264"/>
      <c r="J793" s="264"/>
      <c r="K793" s="264"/>
      <c r="L793" s="264"/>
      <c r="M793" s="264"/>
      <c r="N793" s="264"/>
      <c r="O793" s="264"/>
      <c r="P793" s="264"/>
      <c r="Q793" s="264"/>
      <c r="R793" s="264"/>
      <c r="S793" s="264"/>
      <c r="T793" s="264"/>
      <c r="U793" s="264"/>
      <c r="V793" s="264"/>
      <c r="W793" s="264"/>
      <c r="X793" s="264"/>
      <c r="Y793" s="264"/>
      <c r="Z793" s="264"/>
    </row>
    <row r="794">
      <c r="A794" s="264"/>
      <c r="B794" s="264"/>
      <c r="C794" s="264"/>
      <c r="D794" s="264"/>
      <c r="E794" s="264"/>
      <c r="F794" s="264"/>
      <c r="G794" s="264"/>
      <c r="H794" s="264"/>
      <c r="I794" s="264"/>
      <c r="J794" s="264"/>
      <c r="K794" s="264"/>
      <c r="L794" s="264"/>
      <c r="M794" s="264"/>
      <c r="N794" s="264"/>
      <c r="O794" s="264"/>
      <c r="P794" s="264"/>
      <c r="Q794" s="264"/>
      <c r="R794" s="264"/>
      <c r="S794" s="264"/>
      <c r="T794" s="264"/>
      <c r="U794" s="264"/>
      <c r="V794" s="264"/>
      <c r="W794" s="264"/>
      <c r="X794" s="264"/>
      <c r="Y794" s="264"/>
      <c r="Z794" s="264"/>
    </row>
    <row r="795">
      <c r="A795" s="264"/>
      <c r="B795" s="264"/>
      <c r="C795" s="264"/>
      <c r="D795" s="264"/>
      <c r="E795" s="264"/>
      <c r="F795" s="264"/>
      <c r="G795" s="264"/>
      <c r="H795" s="264"/>
      <c r="I795" s="264"/>
      <c r="J795" s="264"/>
      <c r="K795" s="264"/>
      <c r="L795" s="264"/>
      <c r="M795" s="264"/>
      <c r="N795" s="264"/>
      <c r="O795" s="264"/>
      <c r="P795" s="264"/>
      <c r="Q795" s="264"/>
      <c r="R795" s="264"/>
      <c r="S795" s="264"/>
      <c r="T795" s="264"/>
      <c r="U795" s="264"/>
      <c r="V795" s="264"/>
      <c r="W795" s="264"/>
      <c r="X795" s="264"/>
      <c r="Y795" s="264"/>
      <c r="Z795" s="264"/>
    </row>
    <row r="796">
      <c r="A796" s="264"/>
      <c r="B796" s="264"/>
      <c r="C796" s="264"/>
      <c r="D796" s="264"/>
      <c r="E796" s="264"/>
      <c r="F796" s="264"/>
      <c r="G796" s="264"/>
      <c r="H796" s="264"/>
      <c r="I796" s="264"/>
      <c r="J796" s="264"/>
      <c r="K796" s="264"/>
      <c r="L796" s="264"/>
      <c r="M796" s="264"/>
      <c r="N796" s="264"/>
      <c r="O796" s="264"/>
      <c r="P796" s="264"/>
      <c r="Q796" s="264"/>
      <c r="R796" s="264"/>
      <c r="S796" s="264"/>
      <c r="T796" s="264"/>
      <c r="U796" s="264"/>
      <c r="V796" s="264"/>
      <c r="W796" s="264"/>
      <c r="X796" s="264"/>
      <c r="Y796" s="264"/>
      <c r="Z796" s="264"/>
    </row>
    <row r="797">
      <c r="A797" s="264"/>
      <c r="B797" s="264"/>
      <c r="C797" s="264"/>
      <c r="D797" s="264"/>
      <c r="E797" s="264"/>
      <c r="F797" s="264"/>
      <c r="G797" s="264"/>
      <c r="H797" s="264"/>
      <c r="I797" s="264"/>
      <c r="J797" s="264"/>
      <c r="K797" s="264"/>
      <c r="L797" s="264"/>
      <c r="M797" s="264"/>
      <c r="N797" s="264"/>
      <c r="O797" s="264"/>
      <c r="P797" s="264"/>
      <c r="Q797" s="264"/>
      <c r="R797" s="264"/>
      <c r="S797" s="264"/>
      <c r="T797" s="264"/>
      <c r="U797" s="264"/>
      <c r="V797" s="264"/>
      <c r="W797" s="264"/>
      <c r="X797" s="264"/>
      <c r="Y797" s="264"/>
      <c r="Z797" s="264"/>
    </row>
    <row r="798">
      <c r="A798" s="264"/>
      <c r="B798" s="264"/>
      <c r="C798" s="264"/>
      <c r="D798" s="264"/>
      <c r="E798" s="264"/>
      <c r="F798" s="264"/>
      <c r="G798" s="264"/>
      <c r="H798" s="264"/>
      <c r="I798" s="264"/>
      <c r="J798" s="264"/>
      <c r="K798" s="264"/>
      <c r="L798" s="264"/>
      <c r="M798" s="264"/>
      <c r="N798" s="264"/>
      <c r="O798" s="264"/>
      <c r="P798" s="264"/>
      <c r="Q798" s="264"/>
      <c r="R798" s="264"/>
      <c r="S798" s="264"/>
      <c r="T798" s="264"/>
      <c r="U798" s="264"/>
      <c r="V798" s="264"/>
      <c r="W798" s="264"/>
      <c r="X798" s="264"/>
      <c r="Y798" s="264"/>
      <c r="Z798" s="264"/>
    </row>
    <row r="799">
      <c r="A799" s="264"/>
      <c r="B799" s="264"/>
      <c r="C799" s="264"/>
      <c r="D799" s="264"/>
      <c r="E799" s="264"/>
      <c r="F799" s="264"/>
      <c r="G799" s="264"/>
      <c r="H799" s="264"/>
      <c r="I799" s="264"/>
      <c r="J799" s="264"/>
      <c r="K799" s="264"/>
      <c r="L799" s="264"/>
      <c r="M799" s="264"/>
      <c r="N799" s="264"/>
      <c r="O799" s="264"/>
      <c r="P799" s="264"/>
      <c r="Q799" s="264"/>
      <c r="R799" s="264"/>
      <c r="S799" s="264"/>
      <c r="T799" s="264"/>
      <c r="U799" s="264"/>
      <c r="V799" s="264"/>
      <c r="W799" s="264"/>
      <c r="X799" s="264"/>
      <c r="Y799" s="264"/>
      <c r="Z799" s="264"/>
    </row>
    <row r="800">
      <c r="A800" s="264"/>
      <c r="B800" s="264"/>
      <c r="C800" s="264"/>
      <c r="D800" s="264"/>
      <c r="E800" s="264"/>
      <c r="F800" s="264"/>
      <c r="G800" s="264"/>
      <c r="H800" s="264"/>
      <c r="I800" s="264"/>
      <c r="J800" s="264"/>
      <c r="K800" s="264"/>
      <c r="L800" s="264"/>
      <c r="M800" s="264"/>
      <c r="N800" s="264"/>
      <c r="O800" s="264"/>
      <c r="P800" s="264"/>
      <c r="Q800" s="264"/>
      <c r="R800" s="264"/>
      <c r="S800" s="264"/>
      <c r="T800" s="264"/>
      <c r="U800" s="264"/>
      <c r="V800" s="264"/>
      <c r="W800" s="264"/>
      <c r="X800" s="264"/>
      <c r="Y800" s="264"/>
      <c r="Z800" s="264"/>
    </row>
    <row r="801">
      <c r="A801" s="264"/>
      <c r="B801" s="264"/>
      <c r="C801" s="264"/>
      <c r="D801" s="264"/>
      <c r="E801" s="264"/>
      <c r="F801" s="264"/>
      <c r="G801" s="264"/>
      <c r="H801" s="264"/>
      <c r="I801" s="264"/>
      <c r="J801" s="264"/>
      <c r="K801" s="264"/>
      <c r="L801" s="264"/>
      <c r="M801" s="264"/>
      <c r="N801" s="264"/>
      <c r="O801" s="264"/>
      <c r="P801" s="264"/>
      <c r="Q801" s="264"/>
      <c r="R801" s="264"/>
      <c r="S801" s="264"/>
      <c r="T801" s="264"/>
      <c r="U801" s="264"/>
      <c r="V801" s="264"/>
      <c r="W801" s="264"/>
      <c r="X801" s="264"/>
      <c r="Y801" s="264"/>
      <c r="Z801" s="264"/>
    </row>
    <row r="802">
      <c r="A802" s="264"/>
      <c r="B802" s="264"/>
      <c r="C802" s="264"/>
      <c r="D802" s="264"/>
      <c r="E802" s="264"/>
      <c r="F802" s="264"/>
      <c r="G802" s="264"/>
      <c r="H802" s="264"/>
      <c r="I802" s="264"/>
      <c r="J802" s="264"/>
      <c r="K802" s="264"/>
      <c r="L802" s="264"/>
      <c r="M802" s="264"/>
      <c r="N802" s="264"/>
      <c r="O802" s="264"/>
      <c r="P802" s="264"/>
      <c r="Q802" s="264"/>
      <c r="R802" s="264"/>
      <c r="S802" s="264"/>
      <c r="T802" s="264"/>
      <c r="U802" s="264"/>
      <c r="V802" s="264"/>
      <c r="W802" s="264"/>
      <c r="X802" s="264"/>
      <c r="Y802" s="264"/>
      <c r="Z802" s="264"/>
    </row>
    <row r="803">
      <c r="A803" s="264"/>
      <c r="B803" s="264"/>
      <c r="C803" s="264"/>
      <c r="D803" s="264"/>
      <c r="E803" s="264"/>
      <c r="F803" s="264"/>
      <c r="G803" s="264"/>
      <c r="H803" s="264"/>
      <c r="I803" s="264"/>
      <c r="J803" s="264"/>
      <c r="K803" s="264"/>
      <c r="L803" s="264"/>
      <c r="M803" s="264"/>
      <c r="N803" s="264"/>
      <c r="O803" s="264"/>
      <c r="P803" s="264"/>
      <c r="Q803" s="264"/>
      <c r="R803" s="264"/>
      <c r="S803" s="264"/>
      <c r="T803" s="264"/>
      <c r="U803" s="264"/>
      <c r="V803" s="264"/>
      <c r="W803" s="264"/>
      <c r="X803" s="264"/>
      <c r="Y803" s="264"/>
      <c r="Z803" s="264"/>
    </row>
    <row r="804">
      <c r="A804" s="264"/>
      <c r="B804" s="264"/>
      <c r="C804" s="264"/>
      <c r="D804" s="264"/>
      <c r="E804" s="264"/>
      <c r="F804" s="264"/>
      <c r="G804" s="264"/>
      <c r="H804" s="264"/>
      <c r="I804" s="264"/>
      <c r="J804" s="264"/>
      <c r="K804" s="264"/>
      <c r="L804" s="264"/>
      <c r="M804" s="264"/>
      <c r="N804" s="264"/>
      <c r="O804" s="264"/>
      <c r="P804" s="264"/>
      <c r="Q804" s="264"/>
      <c r="R804" s="264"/>
      <c r="S804" s="264"/>
      <c r="T804" s="264"/>
      <c r="U804" s="264"/>
      <c r="V804" s="264"/>
      <c r="W804" s="264"/>
      <c r="X804" s="264"/>
      <c r="Y804" s="264"/>
      <c r="Z804" s="264"/>
    </row>
    <row r="805">
      <c r="A805" s="264"/>
      <c r="B805" s="264"/>
      <c r="C805" s="264"/>
      <c r="D805" s="264"/>
      <c r="E805" s="264"/>
      <c r="F805" s="264"/>
      <c r="G805" s="264"/>
      <c r="H805" s="264"/>
      <c r="I805" s="264"/>
      <c r="J805" s="264"/>
      <c r="K805" s="264"/>
      <c r="L805" s="264"/>
      <c r="M805" s="264"/>
      <c r="N805" s="264"/>
      <c r="O805" s="264"/>
      <c r="P805" s="264"/>
      <c r="Q805" s="264"/>
      <c r="R805" s="264"/>
      <c r="S805" s="264"/>
      <c r="T805" s="264"/>
      <c r="U805" s="264"/>
      <c r="V805" s="264"/>
      <c r="W805" s="264"/>
      <c r="X805" s="264"/>
      <c r="Y805" s="264"/>
      <c r="Z805" s="264"/>
    </row>
    <row r="806">
      <c r="A806" s="264"/>
      <c r="B806" s="264"/>
      <c r="C806" s="264"/>
      <c r="D806" s="264"/>
      <c r="E806" s="264"/>
      <c r="F806" s="264"/>
      <c r="G806" s="264"/>
      <c r="H806" s="264"/>
      <c r="I806" s="264"/>
      <c r="J806" s="264"/>
      <c r="K806" s="264"/>
      <c r="L806" s="264"/>
      <c r="M806" s="264"/>
      <c r="N806" s="264"/>
      <c r="O806" s="264"/>
      <c r="P806" s="264"/>
      <c r="Q806" s="264"/>
      <c r="R806" s="264"/>
      <c r="S806" s="264"/>
      <c r="T806" s="264"/>
      <c r="U806" s="264"/>
      <c r="V806" s="264"/>
      <c r="W806" s="264"/>
      <c r="X806" s="264"/>
      <c r="Y806" s="264"/>
      <c r="Z806" s="264"/>
    </row>
    <row r="807">
      <c r="A807" s="264"/>
      <c r="B807" s="264"/>
      <c r="C807" s="264"/>
      <c r="D807" s="264"/>
      <c r="E807" s="264"/>
      <c r="F807" s="264"/>
      <c r="G807" s="264"/>
      <c r="H807" s="264"/>
      <c r="I807" s="264"/>
      <c r="J807" s="264"/>
      <c r="K807" s="264"/>
      <c r="L807" s="264"/>
      <c r="M807" s="264"/>
      <c r="N807" s="264"/>
      <c r="O807" s="264"/>
      <c r="P807" s="264"/>
      <c r="Q807" s="264"/>
      <c r="R807" s="264"/>
      <c r="S807" s="264"/>
      <c r="T807" s="264"/>
      <c r="U807" s="264"/>
      <c r="V807" s="264"/>
      <c r="W807" s="264"/>
      <c r="X807" s="264"/>
      <c r="Y807" s="264"/>
      <c r="Z807" s="264"/>
    </row>
    <row r="808">
      <c r="A808" s="264"/>
      <c r="B808" s="264"/>
      <c r="C808" s="264"/>
      <c r="D808" s="264"/>
      <c r="E808" s="264"/>
      <c r="F808" s="264"/>
      <c r="G808" s="264"/>
      <c r="H808" s="264"/>
      <c r="I808" s="264"/>
      <c r="J808" s="264"/>
      <c r="K808" s="264"/>
      <c r="L808" s="264"/>
      <c r="M808" s="264"/>
      <c r="N808" s="264"/>
      <c r="O808" s="264"/>
      <c r="P808" s="264"/>
      <c r="Q808" s="264"/>
      <c r="R808" s="264"/>
      <c r="S808" s="264"/>
      <c r="T808" s="264"/>
      <c r="U808" s="264"/>
      <c r="V808" s="264"/>
      <c r="W808" s="264"/>
      <c r="X808" s="264"/>
      <c r="Y808" s="264"/>
      <c r="Z808" s="264"/>
    </row>
    <row r="809">
      <c r="A809" s="264"/>
      <c r="B809" s="264"/>
      <c r="C809" s="264"/>
      <c r="D809" s="264"/>
      <c r="E809" s="264"/>
      <c r="F809" s="264"/>
      <c r="G809" s="264"/>
      <c r="H809" s="264"/>
      <c r="I809" s="264"/>
      <c r="J809" s="264"/>
      <c r="K809" s="264"/>
      <c r="L809" s="264"/>
      <c r="M809" s="264"/>
      <c r="N809" s="264"/>
      <c r="O809" s="264"/>
      <c r="P809" s="264"/>
      <c r="Q809" s="264"/>
      <c r="R809" s="264"/>
      <c r="S809" s="264"/>
      <c r="T809" s="264"/>
      <c r="U809" s="264"/>
      <c r="V809" s="264"/>
      <c r="W809" s="264"/>
      <c r="X809" s="264"/>
      <c r="Y809" s="264"/>
      <c r="Z809" s="264"/>
    </row>
    <row r="810">
      <c r="A810" s="264"/>
      <c r="B810" s="264"/>
      <c r="C810" s="264"/>
      <c r="D810" s="264"/>
      <c r="E810" s="264"/>
      <c r="F810" s="264"/>
      <c r="G810" s="264"/>
      <c r="H810" s="264"/>
      <c r="I810" s="264"/>
      <c r="J810" s="264"/>
      <c r="K810" s="264"/>
      <c r="L810" s="264"/>
      <c r="M810" s="264"/>
      <c r="N810" s="264"/>
      <c r="O810" s="264"/>
      <c r="P810" s="264"/>
      <c r="Q810" s="264"/>
      <c r="R810" s="264"/>
      <c r="S810" s="264"/>
      <c r="T810" s="264"/>
      <c r="U810" s="264"/>
      <c r="V810" s="264"/>
      <c r="W810" s="264"/>
      <c r="X810" s="264"/>
      <c r="Y810" s="264"/>
      <c r="Z810" s="264"/>
    </row>
    <row r="811">
      <c r="A811" s="264"/>
      <c r="B811" s="264"/>
      <c r="C811" s="264"/>
      <c r="D811" s="264"/>
      <c r="E811" s="264"/>
      <c r="F811" s="264"/>
      <c r="G811" s="264"/>
      <c r="H811" s="264"/>
      <c r="I811" s="264"/>
      <c r="J811" s="264"/>
      <c r="K811" s="264"/>
      <c r="L811" s="264"/>
      <c r="M811" s="264"/>
      <c r="N811" s="264"/>
      <c r="O811" s="264"/>
      <c r="P811" s="264"/>
      <c r="Q811" s="264"/>
      <c r="R811" s="264"/>
      <c r="S811" s="264"/>
      <c r="T811" s="264"/>
      <c r="U811" s="264"/>
      <c r="V811" s="264"/>
      <c r="W811" s="264"/>
      <c r="X811" s="264"/>
      <c r="Y811" s="264"/>
      <c r="Z811" s="264"/>
    </row>
    <row r="812">
      <c r="A812" s="264"/>
      <c r="B812" s="264"/>
      <c r="C812" s="264"/>
      <c r="D812" s="264"/>
      <c r="E812" s="264"/>
      <c r="F812" s="264"/>
      <c r="G812" s="264"/>
      <c r="H812" s="264"/>
      <c r="I812" s="264"/>
      <c r="J812" s="264"/>
      <c r="K812" s="264"/>
      <c r="L812" s="264"/>
      <c r="M812" s="264"/>
      <c r="N812" s="264"/>
      <c r="O812" s="264"/>
      <c r="P812" s="264"/>
      <c r="Q812" s="264"/>
      <c r="R812" s="264"/>
      <c r="S812" s="264"/>
      <c r="T812" s="264"/>
      <c r="U812" s="264"/>
      <c r="V812" s="264"/>
      <c r="W812" s="264"/>
      <c r="X812" s="264"/>
      <c r="Y812" s="264"/>
      <c r="Z812" s="264"/>
    </row>
    <row r="813">
      <c r="A813" s="264"/>
      <c r="B813" s="264"/>
      <c r="C813" s="264"/>
      <c r="D813" s="264"/>
      <c r="E813" s="264"/>
      <c r="F813" s="264"/>
      <c r="G813" s="264"/>
      <c r="H813" s="264"/>
      <c r="I813" s="264"/>
      <c r="J813" s="264"/>
      <c r="K813" s="264"/>
      <c r="L813" s="264"/>
      <c r="M813" s="264"/>
      <c r="N813" s="264"/>
      <c r="O813" s="264"/>
      <c r="P813" s="264"/>
      <c r="Q813" s="264"/>
      <c r="R813" s="264"/>
      <c r="S813" s="264"/>
      <c r="T813" s="264"/>
      <c r="U813" s="264"/>
      <c r="V813" s="264"/>
      <c r="W813" s="264"/>
      <c r="X813" s="264"/>
      <c r="Y813" s="264"/>
      <c r="Z813" s="264"/>
    </row>
    <row r="814">
      <c r="A814" s="264"/>
      <c r="B814" s="264"/>
      <c r="C814" s="264"/>
      <c r="D814" s="264"/>
      <c r="E814" s="264"/>
      <c r="F814" s="264"/>
      <c r="G814" s="264"/>
      <c r="H814" s="264"/>
      <c r="I814" s="264"/>
      <c r="J814" s="264"/>
      <c r="K814" s="264"/>
      <c r="L814" s="264"/>
      <c r="M814" s="264"/>
      <c r="N814" s="264"/>
      <c r="O814" s="264"/>
      <c r="P814" s="264"/>
      <c r="Q814" s="264"/>
      <c r="R814" s="264"/>
      <c r="S814" s="264"/>
      <c r="T814" s="264"/>
      <c r="U814" s="264"/>
      <c r="V814" s="264"/>
      <c r="W814" s="264"/>
      <c r="X814" s="264"/>
      <c r="Y814" s="264"/>
      <c r="Z814" s="264"/>
    </row>
    <row r="815">
      <c r="A815" s="264"/>
      <c r="B815" s="264"/>
      <c r="C815" s="264"/>
      <c r="D815" s="264"/>
      <c r="E815" s="264"/>
      <c r="F815" s="264"/>
      <c r="G815" s="264"/>
      <c r="H815" s="264"/>
      <c r="I815" s="264"/>
      <c r="J815" s="264"/>
      <c r="K815" s="264"/>
      <c r="L815" s="264"/>
      <c r="M815" s="264"/>
      <c r="N815" s="264"/>
      <c r="O815" s="264"/>
      <c r="P815" s="264"/>
      <c r="Q815" s="264"/>
      <c r="R815" s="264"/>
      <c r="S815" s="264"/>
      <c r="T815" s="264"/>
      <c r="U815" s="264"/>
      <c r="V815" s="264"/>
      <c r="W815" s="264"/>
      <c r="X815" s="264"/>
      <c r="Y815" s="264"/>
      <c r="Z815" s="264"/>
    </row>
    <row r="816">
      <c r="A816" s="264"/>
      <c r="B816" s="264"/>
      <c r="C816" s="264"/>
      <c r="D816" s="264"/>
      <c r="E816" s="264"/>
      <c r="F816" s="264"/>
      <c r="G816" s="264"/>
      <c r="H816" s="264"/>
      <c r="I816" s="264"/>
      <c r="J816" s="264"/>
      <c r="K816" s="264"/>
      <c r="L816" s="264"/>
      <c r="M816" s="264"/>
      <c r="N816" s="264"/>
      <c r="O816" s="264"/>
      <c r="P816" s="264"/>
      <c r="Q816" s="264"/>
      <c r="R816" s="264"/>
      <c r="S816" s="264"/>
      <c r="T816" s="264"/>
      <c r="U816" s="264"/>
      <c r="V816" s="264"/>
      <c r="W816" s="264"/>
      <c r="X816" s="264"/>
      <c r="Y816" s="264"/>
      <c r="Z816" s="264"/>
    </row>
    <row r="817">
      <c r="A817" s="264"/>
      <c r="B817" s="264"/>
      <c r="C817" s="264"/>
      <c r="D817" s="264"/>
      <c r="E817" s="264"/>
      <c r="F817" s="264"/>
      <c r="G817" s="264"/>
      <c r="H817" s="264"/>
      <c r="I817" s="264"/>
      <c r="J817" s="264"/>
      <c r="K817" s="264"/>
      <c r="L817" s="264"/>
      <c r="M817" s="264"/>
      <c r="N817" s="264"/>
      <c r="O817" s="264"/>
      <c r="P817" s="264"/>
      <c r="Q817" s="264"/>
      <c r="R817" s="264"/>
      <c r="S817" s="264"/>
      <c r="T817" s="264"/>
      <c r="U817" s="264"/>
      <c r="V817" s="264"/>
      <c r="W817" s="264"/>
      <c r="X817" s="264"/>
      <c r="Y817" s="264"/>
      <c r="Z817" s="264"/>
    </row>
    <row r="818">
      <c r="A818" s="264"/>
      <c r="B818" s="264"/>
      <c r="C818" s="264"/>
      <c r="D818" s="264"/>
      <c r="E818" s="264"/>
      <c r="F818" s="264"/>
      <c r="G818" s="264"/>
      <c r="H818" s="264"/>
      <c r="I818" s="264"/>
      <c r="J818" s="264"/>
      <c r="K818" s="264"/>
      <c r="L818" s="264"/>
      <c r="M818" s="264"/>
      <c r="N818" s="264"/>
      <c r="O818" s="264"/>
      <c r="P818" s="264"/>
      <c r="Q818" s="264"/>
      <c r="R818" s="264"/>
      <c r="S818" s="264"/>
      <c r="T818" s="264"/>
      <c r="U818" s="264"/>
      <c r="V818" s="264"/>
      <c r="W818" s="264"/>
      <c r="X818" s="264"/>
      <c r="Y818" s="264"/>
      <c r="Z818" s="264"/>
    </row>
    <row r="819">
      <c r="A819" s="264"/>
      <c r="B819" s="264"/>
      <c r="C819" s="264"/>
      <c r="D819" s="264"/>
      <c r="E819" s="264"/>
      <c r="F819" s="264"/>
      <c r="G819" s="264"/>
      <c r="H819" s="264"/>
      <c r="I819" s="264"/>
      <c r="J819" s="264"/>
      <c r="K819" s="264"/>
      <c r="L819" s="264"/>
      <c r="M819" s="264"/>
      <c r="N819" s="264"/>
      <c r="O819" s="264"/>
      <c r="P819" s="264"/>
      <c r="Q819" s="264"/>
      <c r="R819" s="264"/>
      <c r="S819" s="264"/>
      <c r="T819" s="264"/>
      <c r="U819" s="264"/>
      <c r="V819" s="264"/>
      <c r="W819" s="264"/>
      <c r="X819" s="264"/>
      <c r="Y819" s="264"/>
      <c r="Z819" s="264"/>
    </row>
    <row r="820">
      <c r="A820" s="264"/>
      <c r="B820" s="264"/>
      <c r="C820" s="264"/>
      <c r="D820" s="264"/>
      <c r="E820" s="264"/>
      <c r="F820" s="264"/>
      <c r="G820" s="264"/>
      <c r="H820" s="264"/>
      <c r="I820" s="264"/>
      <c r="J820" s="264"/>
      <c r="K820" s="264"/>
      <c r="L820" s="264"/>
      <c r="M820" s="264"/>
      <c r="N820" s="264"/>
      <c r="O820" s="264"/>
      <c r="P820" s="264"/>
      <c r="Q820" s="264"/>
      <c r="R820" s="264"/>
      <c r="S820" s="264"/>
      <c r="T820" s="264"/>
      <c r="U820" s="264"/>
      <c r="V820" s="264"/>
      <c r="W820" s="264"/>
      <c r="X820" s="264"/>
      <c r="Y820" s="264"/>
      <c r="Z820" s="264"/>
    </row>
    <row r="821">
      <c r="A821" s="264"/>
      <c r="B821" s="264"/>
      <c r="C821" s="264"/>
      <c r="D821" s="264"/>
      <c r="E821" s="264"/>
      <c r="F821" s="264"/>
      <c r="G821" s="264"/>
      <c r="H821" s="264"/>
      <c r="I821" s="264"/>
      <c r="J821" s="264"/>
      <c r="K821" s="264"/>
      <c r="L821" s="264"/>
      <c r="M821" s="264"/>
      <c r="N821" s="264"/>
      <c r="O821" s="264"/>
      <c r="P821" s="264"/>
      <c r="Q821" s="264"/>
      <c r="R821" s="264"/>
      <c r="S821" s="264"/>
      <c r="T821" s="264"/>
      <c r="U821" s="264"/>
      <c r="V821" s="264"/>
      <c r="W821" s="264"/>
      <c r="X821" s="264"/>
      <c r="Y821" s="264"/>
      <c r="Z821" s="264"/>
    </row>
    <row r="822">
      <c r="A822" s="264"/>
      <c r="B822" s="264"/>
      <c r="C822" s="264"/>
      <c r="D822" s="264"/>
      <c r="E822" s="264"/>
      <c r="F822" s="264"/>
      <c r="G822" s="264"/>
      <c r="H822" s="264"/>
      <c r="I822" s="264"/>
      <c r="J822" s="264"/>
      <c r="K822" s="264"/>
      <c r="L822" s="264"/>
      <c r="M822" s="264"/>
      <c r="N822" s="264"/>
      <c r="O822" s="264"/>
      <c r="P822" s="264"/>
      <c r="Q822" s="264"/>
      <c r="R822" s="264"/>
      <c r="S822" s="264"/>
      <c r="T822" s="264"/>
      <c r="U822" s="264"/>
      <c r="V822" s="264"/>
      <c r="W822" s="264"/>
      <c r="X822" s="264"/>
      <c r="Y822" s="264"/>
      <c r="Z822" s="264"/>
    </row>
    <row r="823">
      <c r="A823" s="264"/>
      <c r="B823" s="264"/>
      <c r="C823" s="264"/>
      <c r="D823" s="264"/>
      <c r="E823" s="264"/>
      <c r="F823" s="264"/>
      <c r="G823" s="264"/>
      <c r="H823" s="264"/>
      <c r="I823" s="264"/>
      <c r="J823" s="264"/>
      <c r="K823" s="264"/>
      <c r="L823" s="264"/>
      <c r="M823" s="264"/>
      <c r="N823" s="264"/>
      <c r="O823" s="264"/>
      <c r="P823" s="264"/>
      <c r="Q823" s="264"/>
      <c r="R823" s="264"/>
      <c r="S823" s="264"/>
      <c r="T823" s="264"/>
      <c r="U823" s="264"/>
      <c r="V823" s="264"/>
      <c r="W823" s="264"/>
      <c r="X823" s="264"/>
      <c r="Y823" s="264"/>
      <c r="Z823" s="264"/>
    </row>
    <row r="824">
      <c r="A824" s="264"/>
      <c r="B824" s="264"/>
      <c r="C824" s="264"/>
      <c r="D824" s="264"/>
      <c r="E824" s="264"/>
      <c r="F824" s="264"/>
      <c r="G824" s="264"/>
      <c r="H824" s="264"/>
      <c r="I824" s="264"/>
      <c r="J824" s="264"/>
      <c r="K824" s="264"/>
      <c r="L824" s="264"/>
      <c r="M824" s="264"/>
      <c r="N824" s="264"/>
      <c r="O824" s="264"/>
      <c r="P824" s="264"/>
      <c r="Q824" s="264"/>
      <c r="R824" s="264"/>
      <c r="S824" s="264"/>
      <c r="T824" s="264"/>
      <c r="U824" s="264"/>
      <c r="V824" s="264"/>
      <c r="W824" s="264"/>
      <c r="X824" s="264"/>
      <c r="Y824" s="264"/>
      <c r="Z824" s="264"/>
    </row>
    <row r="825">
      <c r="A825" s="264"/>
      <c r="B825" s="264"/>
      <c r="C825" s="264"/>
      <c r="D825" s="264"/>
      <c r="E825" s="264"/>
      <c r="F825" s="264"/>
      <c r="G825" s="264"/>
      <c r="H825" s="264"/>
      <c r="I825" s="264"/>
      <c r="J825" s="264"/>
      <c r="K825" s="264"/>
      <c r="L825" s="264"/>
      <c r="M825" s="264"/>
      <c r="N825" s="264"/>
      <c r="O825" s="264"/>
      <c r="P825" s="264"/>
      <c r="Q825" s="264"/>
      <c r="R825" s="264"/>
      <c r="S825" s="264"/>
      <c r="T825" s="264"/>
      <c r="U825" s="264"/>
      <c r="V825" s="264"/>
      <c r="W825" s="264"/>
      <c r="X825" s="264"/>
      <c r="Y825" s="264"/>
      <c r="Z825" s="264"/>
    </row>
    <row r="826">
      <c r="A826" s="264"/>
      <c r="B826" s="264"/>
      <c r="C826" s="264"/>
      <c r="D826" s="264"/>
      <c r="E826" s="264"/>
      <c r="F826" s="264"/>
      <c r="G826" s="264"/>
      <c r="H826" s="264"/>
      <c r="I826" s="264"/>
      <c r="J826" s="264"/>
      <c r="K826" s="264"/>
      <c r="L826" s="264"/>
      <c r="M826" s="264"/>
      <c r="N826" s="264"/>
      <c r="O826" s="264"/>
      <c r="P826" s="264"/>
      <c r="Q826" s="264"/>
      <c r="R826" s="264"/>
      <c r="S826" s="264"/>
      <c r="T826" s="264"/>
      <c r="U826" s="264"/>
      <c r="V826" s="264"/>
      <c r="W826" s="264"/>
      <c r="X826" s="264"/>
      <c r="Y826" s="264"/>
      <c r="Z826" s="264"/>
    </row>
    <row r="827">
      <c r="A827" s="264"/>
      <c r="B827" s="264"/>
      <c r="C827" s="264"/>
      <c r="D827" s="264"/>
      <c r="E827" s="264"/>
      <c r="F827" s="264"/>
      <c r="G827" s="264"/>
      <c r="H827" s="264"/>
      <c r="I827" s="264"/>
      <c r="J827" s="264"/>
      <c r="K827" s="264"/>
      <c r="L827" s="264"/>
      <c r="M827" s="264"/>
      <c r="N827" s="264"/>
      <c r="O827" s="264"/>
      <c r="P827" s="264"/>
      <c r="Q827" s="264"/>
      <c r="R827" s="264"/>
      <c r="S827" s="264"/>
      <c r="T827" s="264"/>
      <c r="U827" s="264"/>
      <c r="V827" s="264"/>
      <c r="W827" s="264"/>
      <c r="X827" s="264"/>
      <c r="Y827" s="264"/>
      <c r="Z827" s="264"/>
    </row>
    <row r="828">
      <c r="A828" s="264"/>
      <c r="B828" s="264"/>
      <c r="C828" s="264"/>
      <c r="D828" s="264"/>
      <c r="E828" s="264"/>
      <c r="F828" s="264"/>
      <c r="G828" s="264"/>
      <c r="H828" s="264"/>
      <c r="I828" s="264"/>
      <c r="J828" s="264"/>
      <c r="K828" s="264"/>
      <c r="L828" s="264"/>
      <c r="M828" s="264"/>
      <c r="N828" s="264"/>
      <c r="O828" s="264"/>
      <c r="P828" s="264"/>
      <c r="Q828" s="264"/>
      <c r="R828" s="264"/>
      <c r="S828" s="264"/>
      <c r="T828" s="264"/>
      <c r="U828" s="264"/>
      <c r="V828" s="264"/>
      <c r="W828" s="264"/>
      <c r="X828" s="264"/>
      <c r="Y828" s="264"/>
      <c r="Z828" s="264"/>
    </row>
    <row r="829">
      <c r="A829" s="264"/>
      <c r="B829" s="264"/>
      <c r="C829" s="264"/>
      <c r="D829" s="264"/>
      <c r="E829" s="264"/>
      <c r="F829" s="264"/>
      <c r="G829" s="264"/>
      <c r="H829" s="264"/>
      <c r="I829" s="264"/>
      <c r="J829" s="264"/>
      <c r="K829" s="264"/>
      <c r="L829" s="264"/>
      <c r="M829" s="264"/>
      <c r="N829" s="264"/>
      <c r="O829" s="264"/>
      <c r="P829" s="264"/>
      <c r="Q829" s="264"/>
      <c r="R829" s="264"/>
      <c r="S829" s="264"/>
      <c r="T829" s="264"/>
      <c r="U829" s="264"/>
      <c r="V829" s="264"/>
      <c r="W829" s="264"/>
      <c r="X829" s="264"/>
      <c r="Y829" s="264"/>
      <c r="Z829" s="264"/>
    </row>
    <row r="830">
      <c r="A830" s="264"/>
      <c r="B830" s="264"/>
      <c r="C830" s="264"/>
      <c r="D830" s="264"/>
      <c r="E830" s="264"/>
      <c r="F830" s="264"/>
      <c r="G830" s="264"/>
      <c r="H830" s="264"/>
      <c r="I830" s="264"/>
      <c r="J830" s="264"/>
      <c r="K830" s="264"/>
      <c r="L830" s="264"/>
      <c r="M830" s="264"/>
      <c r="N830" s="264"/>
      <c r="O830" s="264"/>
      <c r="P830" s="264"/>
      <c r="Q830" s="264"/>
      <c r="R830" s="264"/>
      <c r="S830" s="264"/>
      <c r="T830" s="264"/>
      <c r="U830" s="264"/>
      <c r="V830" s="264"/>
      <c r="W830" s="264"/>
      <c r="X830" s="264"/>
      <c r="Y830" s="264"/>
      <c r="Z830" s="264"/>
    </row>
    <row r="831">
      <c r="A831" s="264"/>
      <c r="B831" s="264"/>
      <c r="C831" s="264"/>
      <c r="D831" s="264"/>
      <c r="E831" s="264"/>
      <c r="F831" s="264"/>
      <c r="G831" s="264"/>
      <c r="H831" s="264"/>
      <c r="I831" s="264"/>
      <c r="J831" s="264"/>
      <c r="K831" s="264"/>
      <c r="L831" s="264"/>
      <c r="M831" s="264"/>
      <c r="N831" s="264"/>
      <c r="O831" s="264"/>
      <c r="P831" s="264"/>
      <c r="Q831" s="264"/>
      <c r="R831" s="264"/>
      <c r="S831" s="264"/>
      <c r="T831" s="264"/>
      <c r="U831" s="264"/>
      <c r="V831" s="264"/>
      <c r="W831" s="264"/>
      <c r="X831" s="264"/>
      <c r="Y831" s="264"/>
      <c r="Z831" s="264"/>
    </row>
    <row r="832">
      <c r="A832" s="264"/>
      <c r="B832" s="264"/>
      <c r="C832" s="264"/>
      <c r="D832" s="264"/>
      <c r="E832" s="264"/>
      <c r="F832" s="264"/>
      <c r="G832" s="264"/>
      <c r="H832" s="264"/>
      <c r="I832" s="264"/>
      <c r="J832" s="264"/>
      <c r="K832" s="264"/>
      <c r="L832" s="264"/>
      <c r="M832" s="264"/>
      <c r="N832" s="264"/>
      <c r="O832" s="264"/>
      <c r="P832" s="264"/>
      <c r="Q832" s="264"/>
      <c r="R832" s="264"/>
      <c r="S832" s="264"/>
      <c r="T832" s="264"/>
      <c r="U832" s="264"/>
      <c r="V832" s="264"/>
      <c r="W832" s="264"/>
      <c r="X832" s="264"/>
      <c r="Y832" s="264"/>
      <c r="Z832" s="264"/>
    </row>
    <row r="833">
      <c r="A833" s="264"/>
      <c r="B833" s="264"/>
      <c r="C833" s="264"/>
      <c r="D833" s="264"/>
      <c r="E833" s="264"/>
      <c r="F833" s="264"/>
      <c r="G833" s="264"/>
      <c r="H833" s="264"/>
      <c r="I833" s="264"/>
      <c r="J833" s="264"/>
      <c r="K833" s="264"/>
      <c r="L833" s="264"/>
      <c r="M833" s="264"/>
      <c r="N833" s="264"/>
      <c r="O833" s="264"/>
      <c r="P833" s="264"/>
      <c r="Q833" s="264"/>
      <c r="R833" s="264"/>
      <c r="S833" s="264"/>
      <c r="T833" s="264"/>
      <c r="U833" s="264"/>
      <c r="V833" s="264"/>
      <c r="W833" s="264"/>
      <c r="X833" s="264"/>
      <c r="Y833" s="264"/>
      <c r="Z833" s="264"/>
    </row>
    <row r="834">
      <c r="A834" s="264"/>
      <c r="B834" s="264"/>
      <c r="C834" s="264"/>
      <c r="D834" s="264"/>
      <c r="E834" s="264"/>
      <c r="F834" s="264"/>
      <c r="G834" s="264"/>
      <c r="H834" s="264"/>
      <c r="I834" s="264"/>
      <c r="J834" s="264"/>
      <c r="K834" s="264"/>
      <c r="L834" s="264"/>
      <c r="M834" s="264"/>
      <c r="N834" s="264"/>
      <c r="O834" s="264"/>
      <c r="P834" s="264"/>
      <c r="Q834" s="264"/>
      <c r="R834" s="264"/>
      <c r="S834" s="264"/>
      <c r="T834" s="264"/>
      <c r="U834" s="264"/>
      <c r="V834" s="264"/>
      <c r="W834" s="264"/>
      <c r="X834" s="264"/>
      <c r="Y834" s="264"/>
      <c r="Z834" s="264"/>
    </row>
    <row r="835">
      <c r="A835" s="264"/>
      <c r="B835" s="264"/>
      <c r="C835" s="264"/>
      <c r="D835" s="264"/>
      <c r="E835" s="264"/>
      <c r="F835" s="264"/>
      <c r="G835" s="264"/>
      <c r="H835" s="264"/>
      <c r="I835" s="264"/>
      <c r="J835" s="264"/>
      <c r="K835" s="264"/>
      <c r="L835" s="264"/>
      <c r="M835" s="264"/>
      <c r="N835" s="264"/>
      <c r="O835" s="264"/>
      <c r="P835" s="264"/>
      <c r="Q835" s="264"/>
      <c r="R835" s="264"/>
      <c r="S835" s="264"/>
      <c r="T835" s="264"/>
      <c r="U835" s="264"/>
      <c r="V835" s="264"/>
      <c r="W835" s="264"/>
      <c r="X835" s="264"/>
      <c r="Y835" s="264"/>
      <c r="Z835" s="264"/>
    </row>
    <row r="836">
      <c r="A836" s="264"/>
      <c r="B836" s="264"/>
      <c r="C836" s="264"/>
      <c r="D836" s="264"/>
      <c r="E836" s="264"/>
      <c r="F836" s="264"/>
      <c r="G836" s="264"/>
      <c r="H836" s="264"/>
      <c r="I836" s="264"/>
      <c r="J836" s="264"/>
      <c r="K836" s="264"/>
      <c r="L836" s="264"/>
      <c r="M836" s="264"/>
      <c r="N836" s="264"/>
      <c r="O836" s="264"/>
      <c r="P836" s="264"/>
      <c r="Q836" s="264"/>
      <c r="R836" s="264"/>
      <c r="S836" s="264"/>
      <c r="T836" s="264"/>
      <c r="U836" s="264"/>
      <c r="V836" s="264"/>
      <c r="W836" s="264"/>
      <c r="X836" s="264"/>
      <c r="Y836" s="264"/>
      <c r="Z836" s="264"/>
    </row>
    <row r="837">
      <c r="A837" s="264"/>
      <c r="B837" s="264"/>
      <c r="C837" s="264"/>
      <c r="D837" s="264"/>
      <c r="E837" s="264"/>
      <c r="F837" s="264"/>
      <c r="G837" s="264"/>
      <c r="H837" s="264"/>
      <c r="I837" s="264"/>
      <c r="J837" s="264"/>
      <c r="K837" s="264"/>
      <c r="L837" s="264"/>
      <c r="M837" s="264"/>
      <c r="N837" s="264"/>
      <c r="O837" s="264"/>
      <c r="P837" s="264"/>
      <c r="Q837" s="264"/>
      <c r="R837" s="264"/>
      <c r="S837" s="264"/>
      <c r="T837" s="264"/>
      <c r="U837" s="264"/>
      <c r="V837" s="264"/>
      <c r="W837" s="264"/>
      <c r="X837" s="264"/>
      <c r="Y837" s="264"/>
      <c r="Z837" s="264"/>
    </row>
    <row r="838">
      <c r="A838" s="264"/>
      <c r="B838" s="264"/>
      <c r="C838" s="264"/>
      <c r="D838" s="264"/>
      <c r="E838" s="264"/>
      <c r="F838" s="264"/>
      <c r="G838" s="264"/>
      <c r="H838" s="264"/>
      <c r="I838" s="264"/>
      <c r="J838" s="264"/>
      <c r="K838" s="264"/>
      <c r="L838" s="264"/>
      <c r="M838" s="264"/>
      <c r="N838" s="264"/>
      <c r="O838" s="264"/>
      <c r="P838" s="264"/>
      <c r="Q838" s="264"/>
      <c r="R838" s="264"/>
      <c r="S838" s="264"/>
      <c r="T838" s="264"/>
      <c r="U838" s="264"/>
      <c r="V838" s="264"/>
      <c r="W838" s="264"/>
      <c r="X838" s="264"/>
      <c r="Y838" s="264"/>
      <c r="Z838" s="264"/>
    </row>
    <row r="839">
      <c r="A839" s="264"/>
      <c r="B839" s="264"/>
      <c r="C839" s="264"/>
      <c r="D839" s="264"/>
      <c r="E839" s="264"/>
      <c r="F839" s="264"/>
      <c r="G839" s="264"/>
      <c r="H839" s="264"/>
      <c r="I839" s="264"/>
      <c r="J839" s="264"/>
      <c r="K839" s="264"/>
      <c r="L839" s="264"/>
      <c r="M839" s="264"/>
      <c r="N839" s="264"/>
      <c r="O839" s="264"/>
      <c r="P839" s="264"/>
      <c r="Q839" s="264"/>
      <c r="R839" s="264"/>
      <c r="S839" s="264"/>
      <c r="T839" s="264"/>
      <c r="U839" s="264"/>
      <c r="V839" s="264"/>
      <c r="W839" s="264"/>
      <c r="X839" s="264"/>
      <c r="Y839" s="264"/>
      <c r="Z839" s="264"/>
    </row>
    <row r="840">
      <c r="A840" s="264"/>
      <c r="B840" s="264"/>
      <c r="C840" s="264"/>
      <c r="D840" s="264"/>
      <c r="E840" s="264"/>
      <c r="F840" s="264"/>
      <c r="G840" s="264"/>
      <c r="H840" s="264"/>
      <c r="I840" s="264"/>
      <c r="J840" s="264"/>
      <c r="K840" s="264"/>
      <c r="L840" s="264"/>
      <c r="M840" s="264"/>
      <c r="N840" s="264"/>
      <c r="O840" s="264"/>
      <c r="P840" s="264"/>
      <c r="Q840" s="264"/>
      <c r="R840" s="264"/>
      <c r="S840" s="264"/>
      <c r="T840" s="264"/>
      <c r="U840" s="264"/>
      <c r="V840" s="264"/>
      <c r="W840" s="264"/>
      <c r="X840" s="264"/>
      <c r="Y840" s="264"/>
      <c r="Z840" s="264"/>
    </row>
    <row r="841">
      <c r="A841" s="264"/>
      <c r="B841" s="264"/>
      <c r="C841" s="264"/>
      <c r="D841" s="264"/>
      <c r="E841" s="264"/>
      <c r="F841" s="264"/>
      <c r="G841" s="264"/>
      <c r="H841" s="264"/>
      <c r="I841" s="264"/>
      <c r="J841" s="264"/>
      <c r="K841" s="264"/>
      <c r="L841" s="264"/>
      <c r="M841" s="264"/>
      <c r="N841" s="264"/>
      <c r="O841" s="264"/>
      <c r="P841" s="264"/>
      <c r="Q841" s="264"/>
      <c r="R841" s="264"/>
      <c r="S841" s="264"/>
      <c r="T841" s="264"/>
      <c r="U841" s="264"/>
      <c r="V841" s="264"/>
      <c r="W841" s="264"/>
      <c r="X841" s="264"/>
      <c r="Y841" s="264"/>
      <c r="Z841" s="264"/>
    </row>
    <row r="842">
      <c r="A842" s="264"/>
      <c r="B842" s="264"/>
      <c r="C842" s="264"/>
      <c r="D842" s="264"/>
      <c r="E842" s="264"/>
      <c r="F842" s="264"/>
      <c r="G842" s="264"/>
      <c r="H842" s="264"/>
      <c r="I842" s="264"/>
      <c r="J842" s="264"/>
      <c r="K842" s="264"/>
      <c r="L842" s="264"/>
      <c r="M842" s="264"/>
      <c r="N842" s="264"/>
      <c r="O842" s="264"/>
      <c r="P842" s="264"/>
      <c r="Q842" s="264"/>
      <c r="R842" s="264"/>
      <c r="S842" s="264"/>
      <c r="T842" s="264"/>
      <c r="U842" s="264"/>
      <c r="V842" s="264"/>
      <c r="W842" s="264"/>
      <c r="X842" s="264"/>
      <c r="Y842" s="264"/>
      <c r="Z842" s="264"/>
    </row>
    <row r="843">
      <c r="A843" s="264"/>
      <c r="B843" s="264"/>
      <c r="C843" s="264"/>
      <c r="D843" s="264"/>
      <c r="E843" s="264"/>
      <c r="F843" s="264"/>
      <c r="G843" s="264"/>
      <c r="H843" s="264"/>
      <c r="I843" s="264"/>
      <c r="J843" s="264"/>
      <c r="K843" s="264"/>
      <c r="L843" s="264"/>
      <c r="M843" s="264"/>
      <c r="N843" s="264"/>
      <c r="O843" s="264"/>
      <c r="P843" s="264"/>
      <c r="Q843" s="264"/>
      <c r="R843" s="264"/>
      <c r="S843" s="264"/>
      <c r="T843" s="264"/>
      <c r="U843" s="264"/>
      <c r="V843" s="264"/>
      <c r="W843" s="264"/>
      <c r="X843" s="264"/>
      <c r="Y843" s="264"/>
      <c r="Z843" s="264"/>
    </row>
    <row r="844">
      <c r="A844" s="264"/>
      <c r="B844" s="264"/>
      <c r="C844" s="264"/>
      <c r="D844" s="264"/>
      <c r="E844" s="264"/>
      <c r="F844" s="264"/>
      <c r="G844" s="264"/>
      <c r="H844" s="264"/>
      <c r="I844" s="264"/>
      <c r="J844" s="264"/>
      <c r="K844" s="264"/>
      <c r="L844" s="264"/>
      <c r="M844" s="264"/>
      <c r="N844" s="264"/>
      <c r="O844" s="264"/>
      <c r="P844" s="264"/>
      <c r="Q844" s="264"/>
      <c r="R844" s="264"/>
      <c r="S844" s="264"/>
      <c r="T844" s="264"/>
      <c r="U844" s="264"/>
      <c r="V844" s="264"/>
      <c r="W844" s="264"/>
      <c r="X844" s="264"/>
      <c r="Y844" s="264"/>
      <c r="Z844" s="264"/>
    </row>
    <row r="845">
      <c r="A845" s="264"/>
      <c r="B845" s="264"/>
      <c r="C845" s="264"/>
      <c r="D845" s="264"/>
      <c r="E845" s="264"/>
      <c r="F845" s="264"/>
      <c r="G845" s="264"/>
      <c r="H845" s="264"/>
      <c r="I845" s="264"/>
      <c r="J845" s="264"/>
      <c r="K845" s="264"/>
      <c r="L845" s="264"/>
      <c r="M845" s="264"/>
      <c r="N845" s="264"/>
      <c r="O845" s="264"/>
      <c r="P845" s="264"/>
      <c r="Q845" s="264"/>
      <c r="R845" s="264"/>
      <c r="S845" s="264"/>
      <c r="T845" s="264"/>
      <c r="U845" s="264"/>
      <c r="V845" s="264"/>
      <c r="W845" s="264"/>
      <c r="X845" s="264"/>
      <c r="Y845" s="264"/>
      <c r="Z845" s="264"/>
    </row>
    <row r="846">
      <c r="A846" s="264"/>
      <c r="B846" s="264"/>
      <c r="C846" s="264"/>
      <c r="D846" s="264"/>
      <c r="E846" s="264"/>
      <c r="F846" s="264"/>
      <c r="G846" s="264"/>
      <c r="H846" s="264"/>
      <c r="I846" s="264"/>
      <c r="J846" s="264"/>
      <c r="K846" s="264"/>
      <c r="L846" s="264"/>
      <c r="M846" s="264"/>
      <c r="N846" s="264"/>
      <c r="O846" s="264"/>
      <c r="P846" s="264"/>
      <c r="Q846" s="264"/>
      <c r="R846" s="264"/>
      <c r="S846" s="264"/>
      <c r="T846" s="264"/>
      <c r="U846" s="264"/>
      <c r="V846" s="264"/>
      <c r="W846" s="264"/>
      <c r="X846" s="264"/>
      <c r="Y846" s="264"/>
      <c r="Z846" s="264"/>
    </row>
    <row r="847">
      <c r="A847" s="264"/>
      <c r="B847" s="264"/>
      <c r="C847" s="264"/>
      <c r="D847" s="264"/>
      <c r="E847" s="264"/>
      <c r="F847" s="264"/>
      <c r="G847" s="264"/>
      <c r="H847" s="264"/>
      <c r="I847" s="264"/>
      <c r="J847" s="264"/>
      <c r="K847" s="264"/>
      <c r="L847" s="264"/>
      <c r="M847" s="264"/>
      <c r="N847" s="264"/>
      <c r="O847" s="264"/>
      <c r="P847" s="264"/>
      <c r="Q847" s="264"/>
      <c r="R847" s="264"/>
      <c r="S847" s="264"/>
      <c r="T847" s="264"/>
      <c r="U847" s="264"/>
      <c r="V847" s="264"/>
      <c r="W847" s="264"/>
      <c r="X847" s="264"/>
      <c r="Y847" s="264"/>
      <c r="Z847" s="264"/>
    </row>
    <row r="848">
      <c r="A848" s="264"/>
      <c r="B848" s="264"/>
      <c r="C848" s="264"/>
      <c r="D848" s="264"/>
      <c r="E848" s="264"/>
      <c r="F848" s="264"/>
      <c r="G848" s="264"/>
      <c r="H848" s="264"/>
      <c r="I848" s="264"/>
      <c r="J848" s="264"/>
      <c r="K848" s="264"/>
      <c r="L848" s="264"/>
      <c r="M848" s="264"/>
      <c r="N848" s="264"/>
      <c r="O848" s="264"/>
      <c r="P848" s="264"/>
      <c r="Q848" s="264"/>
      <c r="R848" s="264"/>
      <c r="S848" s="264"/>
      <c r="T848" s="264"/>
      <c r="U848" s="264"/>
      <c r="V848" s="264"/>
      <c r="W848" s="264"/>
      <c r="X848" s="264"/>
      <c r="Y848" s="264"/>
      <c r="Z848" s="264"/>
    </row>
    <row r="849">
      <c r="A849" s="264"/>
      <c r="B849" s="264"/>
      <c r="C849" s="264"/>
      <c r="D849" s="264"/>
      <c r="E849" s="264"/>
      <c r="F849" s="264"/>
      <c r="G849" s="264"/>
      <c r="H849" s="264"/>
      <c r="I849" s="264"/>
      <c r="J849" s="264"/>
      <c r="K849" s="264"/>
      <c r="L849" s="264"/>
      <c r="M849" s="264"/>
      <c r="N849" s="264"/>
      <c r="O849" s="264"/>
      <c r="P849" s="264"/>
      <c r="Q849" s="264"/>
      <c r="R849" s="264"/>
      <c r="S849" s="264"/>
      <c r="T849" s="264"/>
      <c r="U849" s="264"/>
      <c r="V849" s="264"/>
      <c r="W849" s="264"/>
      <c r="X849" s="264"/>
      <c r="Y849" s="264"/>
      <c r="Z849" s="264"/>
    </row>
    <row r="850">
      <c r="A850" s="264"/>
      <c r="B850" s="264"/>
      <c r="C850" s="264"/>
      <c r="D850" s="264"/>
      <c r="E850" s="264"/>
      <c r="F850" s="264"/>
      <c r="G850" s="264"/>
      <c r="H850" s="264"/>
      <c r="I850" s="264"/>
      <c r="J850" s="264"/>
      <c r="K850" s="264"/>
      <c r="L850" s="264"/>
      <c r="M850" s="264"/>
      <c r="N850" s="264"/>
      <c r="O850" s="264"/>
      <c r="P850" s="264"/>
      <c r="Q850" s="264"/>
      <c r="R850" s="264"/>
      <c r="S850" s="264"/>
      <c r="T850" s="264"/>
      <c r="U850" s="264"/>
      <c r="V850" s="264"/>
      <c r="W850" s="264"/>
      <c r="X850" s="264"/>
      <c r="Y850" s="264"/>
      <c r="Z850" s="264"/>
    </row>
    <row r="851">
      <c r="A851" s="264"/>
      <c r="B851" s="264"/>
      <c r="C851" s="264"/>
      <c r="D851" s="264"/>
      <c r="E851" s="264"/>
      <c r="F851" s="264"/>
      <c r="G851" s="264"/>
      <c r="H851" s="264"/>
      <c r="I851" s="264"/>
      <c r="J851" s="264"/>
      <c r="K851" s="264"/>
      <c r="L851" s="264"/>
      <c r="M851" s="264"/>
      <c r="N851" s="264"/>
      <c r="O851" s="264"/>
      <c r="P851" s="264"/>
      <c r="Q851" s="264"/>
      <c r="R851" s="264"/>
      <c r="S851" s="264"/>
      <c r="T851" s="264"/>
      <c r="U851" s="264"/>
      <c r="V851" s="264"/>
      <c r="W851" s="264"/>
      <c r="X851" s="264"/>
      <c r="Y851" s="264"/>
      <c r="Z851" s="264"/>
    </row>
    <row r="852">
      <c r="A852" s="264"/>
      <c r="B852" s="264"/>
      <c r="C852" s="264"/>
      <c r="D852" s="264"/>
      <c r="E852" s="264"/>
      <c r="F852" s="264"/>
      <c r="G852" s="264"/>
      <c r="H852" s="264"/>
      <c r="I852" s="264"/>
      <c r="J852" s="264"/>
      <c r="K852" s="264"/>
      <c r="L852" s="264"/>
      <c r="M852" s="264"/>
      <c r="N852" s="264"/>
      <c r="O852" s="264"/>
      <c r="P852" s="264"/>
      <c r="Q852" s="264"/>
      <c r="R852" s="264"/>
      <c r="S852" s="264"/>
      <c r="T852" s="264"/>
      <c r="U852" s="264"/>
      <c r="V852" s="264"/>
      <c r="W852" s="264"/>
      <c r="X852" s="264"/>
      <c r="Y852" s="264"/>
      <c r="Z852" s="264"/>
    </row>
    <row r="853">
      <c r="A853" s="264"/>
      <c r="B853" s="264"/>
      <c r="C853" s="264"/>
      <c r="D853" s="264"/>
      <c r="E853" s="264"/>
      <c r="F853" s="264"/>
      <c r="G853" s="264"/>
      <c r="H853" s="264"/>
      <c r="I853" s="264"/>
      <c r="J853" s="264"/>
      <c r="K853" s="264"/>
      <c r="L853" s="264"/>
      <c r="M853" s="264"/>
      <c r="N853" s="264"/>
      <c r="O853" s="264"/>
      <c r="P853" s="264"/>
      <c r="Q853" s="264"/>
      <c r="R853" s="264"/>
      <c r="S853" s="264"/>
      <c r="T853" s="264"/>
      <c r="U853" s="264"/>
      <c r="V853" s="264"/>
      <c r="W853" s="264"/>
      <c r="X853" s="264"/>
      <c r="Y853" s="264"/>
      <c r="Z853" s="264"/>
    </row>
    <row r="854">
      <c r="A854" s="264"/>
      <c r="B854" s="264"/>
      <c r="C854" s="264"/>
      <c r="D854" s="264"/>
      <c r="E854" s="264"/>
      <c r="F854" s="264"/>
      <c r="G854" s="264"/>
      <c r="H854" s="264"/>
      <c r="I854" s="264"/>
      <c r="J854" s="264"/>
      <c r="K854" s="264"/>
      <c r="L854" s="264"/>
      <c r="M854" s="264"/>
      <c r="N854" s="264"/>
      <c r="O854" s="264"/>
      <c r="P854" s="264"/>
      <c r="Q854" s="264"/>
      <c r="R854" s="264"/>
      <c r="S854" s="264"/>
      <c r="T854" s="264"/>
      <c r="U854" s="264"/>
      <c r="V854" s="264"/>
      <c r="W854" s="264"/>
      <c r="X854" s="264"/>
      <c r="Y854" s="264"/>
      <c r="Z854" s="264"/>
    </row>
    <row r="855">
      <c r="A855" s="264"/>
      <c r="B855" s="264"/>
      <c r="C855" s="264"/>
      <c r="D855" s="264"/>
      <c r="E855" s="264"/>
      <c r="F855" s="264"/>
      <c r="G855" s="264"/>
      <c r="H855" s="264"/>
      <c r="I855" s="264"/>
      <c r="J855" s="264"/>
      <c r="K855" s="264"/>
      <c r="L855" s="264"/>
      <c r="M855" s="264"/>
      <c r="N855" s="264"/>
      <c r="O855" s="264"/>
      <c r="P855" s="264"/>
      <c r="Q855" s="264"/>
      <c r="R855" s="264"/>
      <c r="S855" s="264"/>
      <c r="T855" s="264"/>
      <c r="U855" s="264"/>
      <c r="V855" s="264"/>
      <c r="W855" s="264"/>
      <c r="X855" s="264"/>
      <c r="Y855" s="264"/>
      <c r="Z855" s="264"/>
    </row>
    <row r="856">
      <c r="A856" s="264"/>
      <c r="B856" s="264"/>
      <c r="C856" s="264"/>
      <c r="D856" s="264"/>
      <c r="E856" s="264"/>
      <c r="F856" s="264"/>
      <c r="G856" s="264"/>
      <c r="H856" s="264"/>
      <c r="I856" s="264"/>
      <c r="J856" s="264"/>
      <c r="K856" s="264"/>
      <c r="L856" s="264"/>
      <c r="M856" s="264"/>
      <c r="N856" s="264"/>
      <c r="O856" s="264"/>
      <c r="P856" s="264"/>
      <c r="Q856" s="264"/>
      <c r="R856" s="264"/>
      <c r="S856" s="264"/>
      <c r="T856" s="264"/>
      <c r="U856" s="264"/>
      <c r="V856" s="264"/>
      <c r="W856" s="264"/>
      <c r="X856" s="264"/>
      <c r="Y856" s="264"/>
      <c r="Z856" s="264"/>
    </row>
    <row r="857">
      <c r="A857" s="264"/>
      <c r="B857" s="264"/>
      <c r="C857" s="264"/>
      <c r="D857" s="264"/>
      <c r="E857" s="264"/>
      <c r="F857" s="264"/>
      <c r="G857" s="264"/>
      <c r="H857" s="264"/>
      <c r="I857" s="264"/>
      <c r="J857" s="264"/>
      <c r="K857" s="264"/>
      <c r="L857" s="264"/>
      <c r="M857" s="264"/>
      <c r="N857" s="264"/>
      <c r="O857" s="264"/>
      <c r="P857" s="264"/>
      <c r="Q857" s="264"/>
      <c r="R857" s="264"/>
      <c r="S857" s="264"/>
      <c r="T857" s="264"/>
      <c r="U857" s="264"/>
      <c r="V857" s="264"/>
      <c r="W857" s="264"/>
      <c r="X857" s="264"/>
      <c r="Y857" s="264"/>
      <c r="Z857" s="264"/>
    </row>
    <row r="858">
      <c r="A858" s="264"/>
      <c r="B858" s="264"/>
      <c r="C858" s="264"/>
      <c r="D858" s="264"/>
      <c r="E858" s="264"/>
      <c r="F858" s="264"/>
      <c r="G858" s="264"/>
      <c r="H858" s="264"/>
      <c r="I858" s="264"/>
      <c r="J858" s="264"/>
      <c r="K858" s="264"/>
      <c r="L858" s="264"/>
      <c r="M858" s="264"/>
      <c r="N858" s="264"/>
      <c r="O858" s="264"/>
      <c r="P858" s="264"/>
      <c r="Q858" s="264"/>
      <c r="R858" s="264"/>
      <c r="S858" s="264"/>
      <c r="T858" s="264"/>
      <c r="U858" s="264"/>
      <c r="V858" s="264"/>
      <c r="W858" s="264"/>
      <c r="X858" s="264"/>
      <c r="Y858" s="264"/>
      <c r="Z858" s="264"/>
    </row>
    <row r="859">
      <c r="A859" s="264"/>
      <c r="B859" s="264"/>
      <c r="C859" s="264"/>
      <c r="D859" s="264"/>
      <c r="E859" s="264"/>
      <c r="F859" s="264"/>
      <c r="G859" s="264"/>
      <c r="H859" s="264"/>
      <c r="I859" s="264"/>
      <c r="J859" s="264"/>
      <c r="K859" s="264"/>
      <c r="L859" s="264"/>
      <c r="M859" s="264"/>
      <c r="N859" s="264"/>
      <c r="O859" s="264"/>
      <c r="P859" s="264"/>
      <c r="Q859" s="264"/>
      <c r="R859" s="264"/>
      <c r="S859" s="264"/>
      <c r="T859" s="264"/>
      <c r="U859" s="264"/>
      <c r="V859" s="264"/>
      <c r="W859" s="264"/>
      <c r="X859" s="264"/>
      <c r="Y859" s="264"/>
      <c r="Z859" s="264"/>
    </row>
    <row r="860">
      <c r="A860" s="264"/>
      <c r="B860" s="264"/>
      <c r="C860" s="264"/>
      <c r="D860" s="264"/>
      <c r="E860" s="264"/>
      <c r="F860" s="264"/>
      <c r="G860" s="264"/>
      <c r="H860" s="264"/>
      <c r="I860" s="264"/>
      <c r="J860" s="264"/>
      <c r="K860" s="264"/>
      <c r="L860" s="264"/>
      <c r="M860" s="264"/>
      <c r="N860" s="264"/>
      <c r="O860" s="264"/>
      <c r="P860" s="264"/>
      <c r="Q860" s="264"/>
      <c r="R860" s="264"/>
      <c r="S860" s="264"/>
      <c r="T860" s="264"/>
      <c r="U860" s="264"/>
      <c r="V860" s="264"/>
      <c r="W860" s="264"/>
      <c r="X860" s="264"/>
      <c r="Y860" s="264"/>
      <c r="Z860" s="264"/>
    </row>
    <row r="861">
      <c r="A861" s="264"/>
      <c r="B861" s="264"/>
      <c r="C861" s="264"/>
      <c r="D861" s="264"/>
      <c r="E861" s="264"/>
      <c r="F861" s="264"/>
      <c r="G861" s="264"/>
      <c r="H861" s="264"/>
      <c r="I861" s="264"/>
      <c r="J861" s="264"/>
      <c r="K861" s="264"/>
      <c r="L861" s="264"/>
      <c r="M861" s="264"/>
      <c r="N861" s="264"/>
      <c r="O861" s="264"/>
      <c r="P861" s="264"/>
      <c r="Q861" s="264"/>
      <c r="R861" s="264"/>
      <c r="S861" s="264"/>
      <c r="T861" s="264"/>
      <c r="U861" s="264"/>
      <c r="V861" s="264"/>
      <c r="W861" s="264"/>
      <c r="X861" s="264"/>
      <c r="Y861" s="264"/>
      <c r="Z861" s="264"/>
    </row>
    <row r="862">
      <c r="A862" s="264"/>
      <c r="B862" s="264"/>
      <c r="C862" s="264"/>
      <c r="D862" s="264"/>
      <c r="E862" s="264"/>
      <c r="F862" s="264"/>
      <c r="G862" s="264"/>
      <c r="H862" s="264"/>
      <c r="I862" s="264"/>
      <c r="J862" s="264"/>
      <c r="K862" s="264"/>
      <c r="L862" s="264"/>
      <c r="M862" s="264"/>
      <c r="N862" s="264"/>
      <c r="O862" s="264"/>
      <c r="P862" s="264"/>
      <c r="Q862" s="264"/>
      <c r="R862" s="264"/>
      <c r="S862" s="264"/>
      <c r="T862" s="264"/>
      <c r="U862" s="264"/>
      <c r="V862" s="264"/>
      <c r="W862" s="264"/>
      <c r="X862" s="264"/>
      <c r="Y862" s="264"/>
      <c r="Z862" s="264"/>
    </row>
    <row r="863">
      <c r="A863" s="264"/>
      <c r="B863" s="264"/>
      <c r="C863" s="264"/>
      <c r="D863" s="264"/>
      <c r="E863" s="264"/>
      <c r="F863" s="264"/>
      <c r="G863" s="264"/>
      <c r="H863" s="264"/>
      <c r="I863" s="264"/>
      <c r="J863" s="264"/>
      <c r="K863" s="264"/>
      <c r="L863" s="264"/>
      <c r="M863" s="264"/>
      <c r="N863" s="264"/>
      <c r="O863" s="264"/>
      <c r="P863" s="264"/>
      <c r="Q863" s="264"/>
      <c r="R863" s="264"/>
      <c r="S863" s="264"/>
      <c r="T863" s="264"/>
      <c r="U863" s="264"/>
      <c r="V863" s="264"/>
      <c r="W863" s="264"/>
      <c r="X863" s="264"/>
      <c r="Y863" s="264"/>
      <c r="Z863" s="264"/>
    </row>
    <row r="864">
      <c r="A864" s="264"/>
      <c r="B864" s="264"/>
      <c r="C864" s="264"/>
      <c r="D864" s="264"/>
      <c r="E864" s="264"/>
      <c r="F864" s="264"/>
      <c r="G864" s="264"/>
      <c r="H864" s="264"/>
      <c r="I864" s="264"/>
      <c r="J864" s="264"/>
      <c r="K864" s="264"/>
      <c r="L864" s="264"/>
      <c r="M864" s="264"/>
      <c r="N864" s="264"/>
      <c r="O864" s="264"/>
      <c r="P864" s="264"/>
      <c r="Q864" s="264"/>
      <c r="R864" s="264"/>
      <c r="S864" s="264"/>
      <c r="T864" s="264"/>
      <c r="U864" s="264"/>
      <c r="V864" s="264"/>
      <c r="W864" s="264"/>
      <c r="X864" s="264"/>
      <c r="Y864" s="264"/>
      <c r="Z864" s="264"/>
    </row>
    <row r="865">
      <c r="A865" s="264"/>
      <c r="B865" s="264"/>
      <c r="C865" s="264"/>
      <c r="D865" s="264"/>
      <c r="E865" s="264"/>
      <c r="F865" s="264"/>
      <c r="G865" s="264"/>
      <c r="H865" s="264"/>
      <c r="I865" s="264"/>
      <c r="J865" s="264"/>
      <c r="K865" s="264"/>
      <c r="L865" s="264"/>
      <c r="M865" s="264"/>
      <c r="N865" s="264"/>
      <c r="O865" s="264"/>
      <c r="P865" s="264"/>
      <c r="Q865" s="264"/>
      <c r="R865" s="264"/>
      <c r="S865" s="264"/>
      <c r="T865" s="264"/>
      <c r="U865" s="264"/>
      <c r="V865" s="264"/>
      <c r="W865" s="264"/>
      <c r="X865" s="264"/>
      <c r="Y865" s="264"/>
      <c r="Z865" s="264"/>
    </row>
    <row r="866">
      <c r="A866" s="264"/>
      <c r="B866" s="264"/>
      <c r="C866" s="264"/>
      <c r="D866" s="264"/>
      <c r="E866" s="264"/>
      <c r="F866" s="264"/>
      <c r="G866" s="264"/>
      <c r="H866" s="264"/>
      <c r="I866" s="264"/>
      <c r="J866" s="264"/>
      <c r="K866" s="264"/>
      <c r="L866" s="264"/>
      <c r="M866" s="264"/>
      <c r="N866" s="264"/>
      <c r="O866" s="264"/>
      <c r="P866" s="264"/>
      <c r="Q866" s="264"/>
      <c r="R866" s="264"/>
      <c r="S866" s="264"/>
      <c r="T866" s="264"/>
      <c r="U866" s="264"/>
      <c r="V866" s="264"/>
      <c r="W866" s="264"/>
      <c r="X866" s="264"/>
      <c r="Y866" s="264"/>
      <c r="Z866" s="264"/>
    </row>
    <row r="867">
      <c r="A867" s="264"/>
      <c r="B867" s="264"/>
      <c r="C867" s="264"/>
      <c r="D867" s="264"/>
      <c r="E867" s="264"/>
      <c r="F867" s="264"/>
      <c r="G867" s="264"/>
      <c r="H867" s="264"/>
      <c r="I867" s="264"/>
      <c r="J867" s="264"/>
      <c r="K867" s="264"/>
      <c r="L867" s="264"/>
      <c r="M867" s="264"/>
      <c r="N867" s="264"/>
      <c r="O867" s="264"/>
      <c r="P867" s="264"/>
      <c r="Q867" s="264"/>
      <c r="R867" s="264"/>
      <c r="S867" s="264"/>
      <c r="T867" s="264"/>
      <c r="U867" s="264"/>
      <c r="V867" s="264"/>
      <c r="W867" s="264"/>
      <c r="X867" s="264"/>
      <c r="Y867" s="264"/>
      <c r="Z867" s="264"/>
    </row>
    <row r="868">
      <c r="A868" s="264"/>
      <c r="B868" s="264"/>
      <c r="C868" s="264"/>
      <c r="D868" s="264"/>
      <c r="E868" s="264"/>
      <c r="F868" s="264"/>
      <c r="G868" s="264"/>
      <c r="H868" s="264"/>
      <c r="I868" s="264"/>
      <c r="J868" s="264"/>
      <c r="K868" s="264"/>
      <c r="L868" s="264"/>
      <c r="M868" s="264"/>
      <c r="N868" s="264"/>
      <c r="O868" s="264"/>
      <c r="P868" s="264"/>
      <c r="Q868" s="264"/>
      <c r="R868" s="264"/>
      <c r="S868" s="264"/>
      <c r="T868" s="264"/>
      <c r="U868" s="264"/>
      <c r="V868" s="264"/>
      <c r="W868" s="264"/>
      <c r="X868" s="264"/>
      <c r="Y868" s="264"/>
      <c r="Z868" s="264"/>
    </row>
    <row r="869">
      <c r="A869" s="264"/>
      <c r="B869" s="264"/>
      <c r="C869" s="264"/>
      <c r="D869" s="264"/>
      <c r="E869" s="264"/>
      <c r="F869" s="264"/>
      <c r="G869" s="264"/>
      <c r="H869" s="264"/>
      <c r="I869" s="264"/>
      <c r="J869" s="264"/>
      <c r="K869" s="264"/>
      <c r="L869" s="264"/>
      <c r="M869" s="264"/>
      <c r="N869" s="264"/>
      <c r="O869" s="264"/>
      <c r="P869" s="264"/>
      <c r="Q869" s="264"/>
      <c r="R869" s="264"/>
      <c r="S869" s="264"/>
      <c r="T869" s="264"/>
      <c r="U869" s="264"/>
      <c r="V869" s="264"/>
      <c r="W869" s="264"/>
      <c r="X869" s="264"/>
      <c r="Y869" s="264"/>
      <c r="Z869" s="264"/>
    </row>
    <row r="870">
      <c r="A870" s="264"/>
      <c r="B870" s="264"/>
      <c r="C870" s="264"/>
      <c r="D870" s="264"/>
      <c r="E870" s="264"/>
      <c r="F870" s="264"/>
      <c r="G870" s="264"/>
      <c r="H870" s="264"/>
      <c r="I870" s="264"/>
      <c r="J870" s="264"/>
      <c r="K870" s="264"/>
      <c r="L870" s="264"/>
      <c r="M870" s="264"/>
      <c r="N870" s="264"/>
      <c r="O870" s="264"/>
      <c r="P870" s="264"/>
      <c r="Q870" s="264"/>
      <c r="R870" s="264"/>
      <c r="S870" s="264"/>
      <c r="T870" s="264"/>
      <c r="U870" s="264"/>
      <c r="V870" s="264"/>
      <c r="W870" s="264"/>
      <c r="X870" s="264"/>
      <c r="Y870" s="264"/>
      <c r="Z870" s="264"/>
    </row>
    <row r="871">
      <c r="A871" s="264"/>
      <c r="B871" s="264"/>
      <c r="C871" s="264"/>
      <c r="D871" s="264"/>
      <c r="E871" s="264"/>
      <c r="F871" s="264"/>
      <c r="G871" s="264"/>
      <c r="H871" s="264"/>
      <c r="I871" s="264"/>
      <c r="J871" s="264"/>
      <c r="K871" s="264"/>
      <c r="L871" s="264"/>
      <c r="M871" s="264"/>
      <c r="N871" s="264"/>
      <c r="O871" s="264"/>
      <c r="P871" s="264"/>
      <c r="Q871" s="264"/>
      <c r="R871" s="264"/>
      <c r="S871" s="264"/>
      <c r="T871" s="264"/>
      <c r="U871" s="264"/>
      <c r="V871" s="264"/>
      <c r="W871" s="264"/>
      <c r="X871" s="264"/>
      <c r="Y871" s="264"/>
      <c r="Z871" s="264"/>
    </row>
    <row r="872">
      <c r="A872" s="264"/>
      <c r="B872" s="264"/>
      <c r="C872" s="264"/>
      <c r="D872" s="264"/>
      <c r="E872" s="264"/>
      <c r="F872" s="264"/>
      <c r="G872" s="264"/>
      <c r="H872" s="264"/>
      <c r="I872" s="264"/>
      <c r="J872" s="264"/>
      <c r="K872" s="264"/>
      <c r="L872" s="264"/>
      <c r="M872" s="264"/>
      <c r="N872" s="264"/>
      <c r="O872" s="264"/>
      <c r="P872" s="264"/>
      <c r="Q872" s="264"/>
      <c r="R872" s="264"/>
      <c r="S872" s="264"/>
      <c r="T872" s="264"/>
      <c r="U872" s="264"/>
      <c r="V872" s="264"/>
      <c r="W872" s="264"/>
      <c r="X872" s="264"/>
      <c r="Y872" s="264"/>
      <c r="Z872" s="264"/>
    </row>
    <row r="873">
      <c r="A873" s="264"/>
      <c r="B873" s="264"/>
      <c r="C873" s="264"/>
      <c r="D873" s="264"/>
      <c r="E873" s="264"/>
      <c r="F873" s="264"/>
      <c r="G873" s="264"/>
      <c r="H873" s="264"/>
      <c r="I873" s="264"/>
      <c r="J873" s="264"/>
      <c r="K873" s="264"/>
      <c r="L873" s="264"/>
      <c r="M873" s="264"/>
      <c r="N873" s="264"/>
      <c r="O873" s="264"/>
      <c r="P873" s="264"/>
      <c r="Q873" s="264"/>
      <c r="R873" s="264"/>
      <c r="S873" s="264"/>
      <c r="T873" s="264"/>
      <c r="U873" s="264"/>
      <c r="V873" s="264"/>
      <c r="W873" s="264"/>
      <c r="X873" s="264"/>
      <c r="Y873" s="264"/>
      <c r="Z873" s="264"/>
    </row>
    <row r="874">
      <c r="A874" s="264"/>
      <c r="B874" s="264"/>
      <c r="C874" s="264"/>
      <c r="D874" s="264"/>
      <c r="E874" s="264"/>
      <c r="F874" s="264"/>
      <c r="G874" s="264"/>
      <c r="H874" s="264"/>
      <c r="I874" s="264"/>
      <c r="J874" s="264"/>
      <c r="K874" s="264"/>
      <c r="L874" s="264"/>
      <c r="M874" s="264"/>
      <c r="N874" s="264"/>
      <c r="O874" s="264"/>
      <c r="P874" s="264"/>
      <c r="Q874" s="264"/>
      <c r="R874" s="264"/>
      <c r="S874" s="264"/>
      <c r="T874" s="264"/>
      <c r="U874" s="264"/>
      <c r="V874" s="264"/>
      <c r="W874" s="264"/>
      <c r="X874" s="264"/>
      <c r="Y874" s="264"/>
      <c r="Z874" s="264"/>
    </row>
    <row r="875">
      <c r="A875" s="264"/>
      <c r="B875" s="264"/>
      <c r="C875" s="264"/>
      <c r="D875" s="264"/>
      <c r="E875" s="264"/>
      <c r="F875" s="264"/>
      <c r="G875" s="264"/>
      <c r="H875" s="264"/>
      <c r="I875" s="264"/>
      <c r="J875" s="264"/>
      <c r="K875" s="264"/>
      <c r="L875" s="264"/>
      <c r="M875" s="264"/>
      <c r="N875" s="264"/>
      <c r="O875" s="264"/>
      <c r="P875" s="264"/>
      <c r="Q875" s="264"/>
      <c r="R875" s="264"/>
      <c r="S875" s="264"/>
      <c r="T875" s="264"/>
      <c r="U875" s="264"/>
      <c r="V875" s="264"/>
      <c r="W875" s="264"/>
      <c r="X875" s="264"/>
      <c r="Y875" s="264"/>
      <c r="Z875" s="264"/>
    </row>
    <row r="876">
      <c r="A876" s="264"/>
      <c r="B876" s="264"/>
      <c r="C876" s="264"/>
      <c r="D876" s="264"/>
      <c r="E876" s="264"/>
      <c r="F876" s="264"/>
      <c r="G876" s="264"/>
      <c r="H876" s="264"/>
      <c r="I876" s="264"/>
      <c r="J876" s="264"/>
      <c r="K876" s="264"/>
      <c r="L876" s="264"/>
      <c r="M876" s="264"/>
      <c r="N876" s="264"/>
      <c r="O876" s="264"/>
      <c r="P876" s="264"/>
      <c r="Q876" s="264"/>
      <c r="R876" s="264"/>
      <c r="S876" s="264"/>
      <c r="T876" s="264"/>
      <c r="U876" s="264"/>
      <c r="V876" s="264"/>
      <c r="W876" s="264"/>
      <c r="X876" s="264"/>
      <c r="Y876" s="264"/>
      <c r="Z876" s="264"/>
    </row>
    <row r="877">
      <c r="A877" s="264"/>
      <c r="B877" s="264"/>
      <c r="C877" s="264"/>
      <c r="D877" s="264"/>
      <c r="E877" s="264"/>
      <c r="F877" s="264"/>
      <c r="G877" s="264"/>
      <c r="H877" s="264"/>
      <c r="I877" s="264"/>
      <c r="J877" s="264"/>
      <c r="K877" s="264"/>
      <c r="L877" s="264"/>
      <c r="M877" s="264"/>
      <c r="N877" s="264"/>
      <c r="O877" s="264"/>
      <c r="P877" s="264"/>
      <c r="Q877" s="264"/>
      <c r="R877" s="264"/>
      <c r="S877" s="264"/>
      <c r="T877" s="264"/>
      <c r="U877" s="264"/>
      <c r="V877" s="264"/>
      <c r="W877" s="264"/>
      <c r="X877" s="264"/>
      <c r="Y877" s="264"/>
      <c r="Z877" s="264"/>
    </row>
    <row r="878">
      <c r="A878" s="264"/>
      <c r="B878" s="264"/>
      <c r="C878" s="264"/>
      <c r="D878" s="264"/>
      <c r="E878" s="264"/>
      <c r="F878" s="264"/>
      <c r="G878" s="264"/>
      <c r="H878" s="264"/>
      <c r="I878" s="264"/>
      <c r="J878" s="264"/>
      <c r="K878" s="264"/>
      <c r="L878" s="264"/>
      <c r="M878" s="264"/>
      <c r="N878" s="264"/>
      <c r="O878" s="264"/>
      <c r="P878" s="264"/>
      <c r="Q878" s="264"/>
      <c r="R878" s="264"/>
      <c r="S878" s="264"/>
      <c r="T878" s="264"/>
      <c r="U878" s="264"/>
      <c r="V878" s="264"/>
      <c r="W878" s="264"/>
      <c r="X878" s="264"/>
      <c r="Y878" s="264"/>
      <c r="Z878" s="264"/>
    </row>
    <row r="879">
      <c r="A879" s="264"/>
      <c r="B879" s="264"/>
      <c r="C879" s="264"/>
      <c r="D879" s="264"/>
      <c r="E879" s="264"/>
      <c r="F879" s="264"/>
      <c r="G879" s="264"/>
      <c r="H879" s="264"/>
      <c r="I879" s="264"/>
      <c r="J879" s="264"/>
      <c r="K879" s="264"/>
      <c r="L879" s="264"/>
      <c r="M879" s="264"/>
      <c r="N879" s="264"/>
      <c r="O879" s="264"/>
      <c r="P879" s="264"/>
      <c r="Q879" s="264"/>
      <c r="R879" s="264"/>
      <c r="S879" s="264"/>
      <c r="T879" s="264"/>
      <c r="U879" s="264"/>
      <c r="V879" s="264"/>
      <c r="W879" s="264"/>
      <c r="X879" s="264"/>
      <c r="Y879" s="264"/>
      <c r="Z879" s="264"/>
    </row>
    <row r="880">
      <c r="A880" s="264"/>
      <c r="B880" s="264"/>
      <c r="C880" s="264"/>
      <c r="D880" s="264"/>
      <c r="E880" s="264"/>
      <c r="F880" s="264"/>
      <c r="G880" s="264"/>
      <c r="H880" s="264"/>
      <c r="I880" s="264"/>
      <c r="J880" s="264"/>
      <c r="K880" s="264"/>
      <c r="L880" s="264"/>
      <c r="M880" s="264"/>
      <c r="N880" s="264"/>
      <c r="O880" s="264"/>
      <c r="P880" s="264"/>
      <c r="Q880" s="264"/>
      <c r="R880" s="264"/>
      <c r="S880" s="264"/>
      <c r="T880" s="264"/>
      <c r="U880" s="264"/>
      <c r="V880" s="264"/>
      <c r="W880" s="264"/>
      <c r="X880" s="264"/>
      <c r="Y880" s="264"/>
      <c r="Z880" s="264"/>
    </row>
    <row r="881">
      <c r="A881" s="264"/>
      <c r="B881" s="264"/>
      <c r="C881" s="264"/>
      <c r="D881" s="264"/>
      <c r="E881" s="264"/>
      <c r="F881" s="264"/>
      <c r="G881" s="264"/>
      <c r="H881" s="264"/>
      <c r="I881" s="264"/>
      <c r="J881" s="264"/>
      <c r="K881" s="264"/>
      <c r="L881" s="264"/>
      <c r="M881" s="264"/>
      <c r="N881" s="264"/>
      <c r="O881" s="264"/>
      <c r="P881" s="264"/>
      <c r="Q881" s="264"/>
      <c r="R881" s="264"/>
      <c r="S881" s="264"/>
      <c r="T881" s="264"/>
      <c r="U881" s="264"/>
      <c r="V881" s="264"/>
      <c r="W881" s="264"/>
      <c r="X881" s="264"/>
      <c r="Y881" s="264"/>
      <c r="Z881" s="264"/>
    </row>
    <row r="882">
      <c r="A882" s="264"/>
      <c r="B882" s="264"/>
      <c r="C882" s="264"/>
      <c r="D882" s="264"/>
      <c r="E882" s="264"/>
      <c r="F882" s="264"/>
      <c r="G882" s="264"/>
      <c r="H882" s="264"/>
      <c r="I882" s="264"/>
      <c r="J882" s="264"/>
      <c r="K882" s="264"/>
      <c r="L882" s="264"/>
      <c r="M882" s="264"/>
      <c r="N882" s="264"/>
      <c r="O882" s="264"/>
      <c r="P882" s="264"/>
      <c r="Q882" s="264"/>
      <c r="R882" s="264"/>
      <c r="S882" s="264"/>
      <c r="T882" s="264"/>
      <c r="U882" s="264"/>
      <c r="V882" s="264"/>
      <c r="W882" s="264"/>
      <c r="X882" s="264"/>
      <c r="Y882" s="264"/>
      <c r="Z882" s="264"/>
    </row>
    <row r="883">
      <c r="A883" s="264"/>
      <c r="B883" s="264"/>
      <c r="C883" s="264"/>
      <c r="D883" s="264"/>
      <c r="E883" s="264"/>
      <c r="F883" s="264"/>
      <c r="G883" s="264"/>
      <c r="H883" s="264"/>
      <c r="I883" s="264"/>
      <c r="J883" s="264"/>
      <c r="K883" s="264"/>
      <c r="L883" s="264"/>
      <c r="M883" s="264"/>
      <c r="N883" s="264"/>
      <c r="O883" s="264"/>
      <c r="P883" s="264"/>
      <c r="Q883" s="264"/>
      <c r="R883" s="264"/>
      <c r="S883" s="264"/>
      <c r="T883" s="264"/>
      <c r="U883" s="264"/>
      <c r="V883" s="264"/>
      <c r="W883" s="264"/>
      <c r="X883" s="264"/>
      <c r="Y883" s="264"/>
      <c r="Z883" s="264"/>
    </row>
    <row r="884">
      <c r="A884" s="264"/>
      <c r="B884" s="264"/>
      <c r="C884" s="264"/>
      <c r="D884" s="264"/>
      <c r="E884" s="264"/>
      <c r="F884" s="264"/>
      <c r="G884" s="264"/>
      <c r="H884" s="264"/>
      <c r="I884" s="264"/>
      <c r="J884" s="264"/>
      <c r="K884" s="264"/>
      <c r="L884" s="264"/>
      <c r="M884" s="264"/>
      <c r="N884" s="264"/>
      <c r="O884" s="264"/>
      <c r="P884" s="264"/>
      <c r="Q884" s="264"/>
      <c r="R884" s="264"/>
      <c r="S884" s="264"/>
      <c r="T884" s="264"/>
      <c r="U884" s="264"/>
      <c r="V884" s="264"/>
      <c r="W884" s="264"/>
      <c r="X884" s="264"/>
      <c r="Y884" s="264"/>
      <c r="Z884" s="264"/>
    </row>
    <row r="885">
      <c r="A885" s="264"/>
      <c r="B885" s="264"/>
      <c r="C885" s="264"/>
      <c r="D885" s="264"/>
      <c r="E885" s="264"/>
      <c r="F885" s="264"/>
      <c r="G885" s="264"/>
      <c r="H885" s="264"/>
      <c r="I885" s="264"/>
      <c r="J885" s="264"/>
      <c r="K885" s="264"/>
      <c r="L885" s="264"/>
      <c r="M885" s="264"/>
      <c r="N885" s="264"/>
      <c r="O885" s="264"/>
      <c r="P885" s="264"/>
      <c r="Q885" s="264"/>
      <c r="R885" s="264"/>
      <c r="S885" s="264"/>
      <c r="T885" s="264"/>
      <c r="U885" s="264"/>
      <c r="V885" s="264"/>
      <c r="W885" s="264"/>
      <c r="X885" s="264"/>
      <c r="Y885" s="264"/>
      <c r="Z885" s="264"/>
    </row>
    <row r="886">
      <c r="A886" s="264"/>
      <c r="B886" s="264"/>
      <c r="C886" s="264"/>
      <c r="D886" s="264"/>
      <c r="E886" s="264"/>
      <c r="F886" s="264"/>
      <c r="G886" s="264"/>
      <c r="H886" s="264"/>
      <c r="I886" s="264"/>
      <c r="J886" s="264"/>
      <c r="K886" s="264"/>
      <c r="L886" s="264"/>
      <c r="M886" s="264"/>
      <c r="N886" s="264"/>
      <c r="O886" s="264"/>
      <c r="P886" s="264"/>
      <c r="Q886" s="264"/>
      <c r="R886" s="264"/>
      <c r="S886" s="264"/>
      <c r="T886" s="264"/>
      <c r="U886" s="264"/>
      <c r="V886" s="264"/>
      <c r="W886" s="264"/>
      <c r="X886" s="264"/>
      <c r="Y886" s="264"/>
      <c r="Z886" s="264"/>
    </row>
    <row r="887">
      <c r="A887" s="264"/>
      <c r="B887" s="264"/>
      <c r="C887" s="264"/>
      <c r="D887" s="264"/>
      <c r="E887" s="264"/>
      <c r="F887" s="264"/>
      <c r="G887" s="264"/>
      <c r="H887" s="264"/>
      <c r="I887" s="264"/>
      <c r="J887" s="264"/>
      <c r="K887" s="264"/>
      <c r="L887" s="264"/>
      <c r="M887" s="264"/>
      <c r="N887" s="264"/>
      <c r="O887" s="264"/>
      <c r="P887" s="264"/>
      <c r="Q887" s="264"/>
      <c r="R887" s="264"/>
      <c r="S887" s="264"/>
      <c r="T887" s="264"/>
      <c r="U887" s="264"/>
      <c r="V887" s="264"/>
      <c r="W887" s="264"/>
      <c r="X887" s="264"/>
      <c r="Y887" s="264"/>
      <c r="Z887" s="264"/>
    </row>
    <row r="888">
      <c r="A888" s="264"/>
      <c r="B888" s="264"/>
      <c r="C888" s="264"/>
      <c r="D888" s="264"/>
      <c r="E888" s="264"/>
      <c r="F888" s="264"/>
      <c r="G888" s="264"/>
      <c r="H888" s="264"/>
      <c r="I888" s="264"/>
      <c r="J888" s="264"/>
      <c r="K888" s="264"/>
      <c r="L888" s="264"/>
      <c r="M888" s="264"/>
      <c r="N888" s="264"/>
      <c r="O888" s="264"/>
      <c r="P888" s="264"/>
      <c r="Q888" s="264"/>
      <c r="R888" s="264"/>
      <c r="S888" s="264"/>
      <c r="T888" s="264"/>
      <c r="U888" s="264"/>
      <c r="V888" s="264"/>
      <c r="W888" s="264"/>
      <c r="X888" s="264"/>
      <c r="Y888" s="264"/>
      <c r="Z888" s="264"/>
    </row>
    <row r="889">
      <c r="A889" s="264"/>
      <c r="B889" s="264"/>
      <c r="C889" s="264"/>
      <c r="D889" s="264"/>
      <c r="E889" s="264"/>
      <c r="F889" s="264"/>
      <c r="G889" s="264"/>
      <c r="H889" s="264"/>
      <c r="I889" s="264"/>
      <c r="J889" s="264"/>
      <c r="K889" s="264"/>
      <c r="L889" s="264"/>
      <c r="M889" s="264"/>
      <c r="N889" s="264"/>
      <c r="O889" s="264"/>
      <c r="P889" s="264"/>
      <c r="Q889" s="264"/>
      <c r="R889" s="264"/>
      <c r="S889" s="264"/>
      <c r="T889" s="264"/>
      <c r="U889" s="264"/>
      <c r="V889" s="264"/>
      <c r="W889" s="264"/>
      <c r="X889" s="264"/>
      <c r="Y889" s="264"/>
      <c r="Z889" s="264"/>
    </row>
    <row r="890">
      <c r="A890" s="264"/>
      <c r="B890" s="264"/>
      <c r="C890" s="264"/>
      <c r="D890" s="264"/>
      <c r="E890" s="264"/>
      <c r="F890" s="264"/>
      <c r="G890" s="264"/>
      <c r="H890" s="264"/>
      <c r="I890" s="264"/>
      <c r="J890" s="264"/>
      <c r="K890" s="264"/>
      <c r="L890" s="264"/>
      <c r="M890" s="264"/>
      <c r="N890" s="264"/>
      <c r="O890" s="264"/>
      <c r="P890" s="264"/>
      <c r="Q890" s="264"/>
      <c r="R890" s="264"/>
      <c r="S890" s="264"/>
      <c r="T890" s="264"/>
      <c r="U890" s="264"/>
      <c r="V890" s="264"/>
      <c r="W890" s="264"/>
      <c r="X890" s="264"/>
      <c r="Y890" s="264"/>
      <c r="Z890" s="264"/>
    </row>
    <row r="891">
      <c r="A891" s="264"/>
      <c r="B891" s="264"/>
      <c r="C891" s="264"/>
      <c r="D891" s="264"/>
      <c r="E891" s="264"/>
      <c r="F891" s="264"/>
      <c r="G891" s="264"/>
      <c r="H891" s="264"/>
      <c r="I891" s="264"/>
      <c r="J891" s="264"/>
      <c r="K891" s="264"/>
      <c r="L891" s="264"/>
      <c r="M891" s="264"/>
      <c r="N891" s="264"/>
      <c r="O891" s="264"/>
      <c r="P891" s="264"/>
      <c r="Q891" s="264"/>
      <c r="R891" s="264"/>
      <c r="S891" s="264"/>
      <c r="T891" s="264"/>
      <c r="U891" s="264"/>
      <c r="V891" s="264"/>
      <c r="W891" s="264"/>
      <c r="X891" s="264"/>
      <c r="Y891" s="264"/>
      <c r="Z891" s="264"/>
    </row>
    <row r="892">
      <c r="A892" s="264"/>
      <c r="B892" s="264"/>
      <c r="C892" s="264"/>
      <c r="D892" s="264"/>
      <c r="E892" s="264"/>
      <c r="F892" s="264"/>
      <c r="G892" s="264"/>
      <c r="H892" s="264"/>
      <c r="I892" s="264"/>
      <c r="J892" s="264"/>
      <c r="K892" s="264"/>
      <c r="L892" s="264"/>
      <c r="M892" s="264"/>
      <c r="N892" s="264"/>
      <c r="O892" s="264"/>
      <c r="P892" s="264"/>
      <c r="Q892" s="264"/>
      <c r="R892" s="264"/>
      <c r="S892" s="264"/>
      <c r="T892" s="264"/>
      <c r="U892" s="264"/>
      <c r="V892" s="264"/>
      <c r="W892" s="264"/>
      <c r="X892" s="264"/>
      <c r="Y892" s="264"/>
      <c r="Z892" s="264"/>
    </row>
    <row r="893">
      <c r="A893" s="264"/>
      <c r="B893" s="264"/>
      <c r="C893" s="264"/>
      <c r="D893" s="264"/>
      <c r="E893" s="264"/>
      <c r="F893" s="264"/>
      <c r="G893" s="264"/>
      <c r="H893" s="264"/>
      <c r="I893" s="264"/>
      <c r="J893" s="264"/>
      <c r="K893" s="264"/>
      <c r="L893" s="264"/>
      <c r="M893" s="264"/>
      <c r="N893" s="264"/>
      <c r="O893" s="264"/>
      <c r="P893" s="264"/>
      <c r="Q893" s="264"/>
      <c r="R893" s="264"/>
      <c r="S893" s="264"/>
      <c r="T893" s="264"/>
      <c r="U893" s="264"/>
      <c r="V893" s="264"/>
      <c r="W893" s="264"/>
      <c r="X893" s="264"/>
      <c r="Y893" s="264"/>
      <c r="Z893" s="264"/>
    </row>
    <row r="894">
      <c r="A894" s="264"/>
      <c r="B894" s="264"/>
      <c r="C894" s="264"/>
      <c r="D894" s="264"/>
      <c r="E894" s="264"/>
      <c r="F894" s="264"/>
      <c r="G894" s="264"/>
      <c r="H894" s="264"/>
      <c r="I894" s="264"/>
      <c r="J894" s="264"/>
      <c r="K894" s="264"/>
      <c r="L894" s="264"/>
      <c r="M894" s="264"/>
      <c r="N894" s="264"/>
      <c r="O894" s="264"/>
      <c r="P894" s="264"/>
      <c r="Q894" s="264"/>
      <c r="R894" s="264"/>
      <c r="S894" s="264"/>
      <c r="T894" s="264"/>
      <c r="U894" s="264"/>
      <c r="V894" s="264"/>
      <c r="W894" s="264"/>
      <c r="X894" s="264"/>
      <c r="Y894" s="264"/>
      <c r="Z894" s="264"/>
    </row>
    <row r="895">
      <c r="A895" s="264"/>
      <c r="B895" s="264"/>
      <c r="C895" s="264"/>
      <c r="D895" s="264"/>
      <c r="E895" s="264"/>
      <c r="F895" s="264"/>
      <c r="G895" s="264"/>
      <c r="H895" s="264"/>
      <c r="I895" s="264"/>
      <c r="J895" s="264"/>
      <c r="K895" s="264"/>
      <c r="L895" s="264"/>
      <c r="M895" s="264"/>
      <c r="N895" s="264"/>
      <c r="O895" s="264"/>
      <c r="P895" s="264"/>
      <c r="Q895" s="264"/>
      <c r="R895" s="264"/>
      <c r="S895" s="264"/>
      <c r="T895" s="264"/>
      <c r="U895" s="264"/>
      <c r="V895" s="264"/>
      <c r="W895" s="264"/>
      <c r="X895" s="264"/>
      <c r="Y895" s="264"/>
      <c r="Z895" s="264"/>
    </row>
    <row r="896">
      <c r="A896" s="264"/>
      <c r="B896" s="264"/>
      <c r="C896" s="264"/>
      <c r="D896" s="264"/>
      <c r="E896" s="264"/>
      <c r="F896" s="264"/>
      <c r="G896" s="264"/>
      <c r="H896" s="264"/>
      <c r="I896" s="264"/>
      <c r="J896" s="264"/>
      <c r="K896" s="264"/>
      <c r="L896" s="264"/>
      <c r="M896" s="264"/>
      <c r="N896" s="264"/>
      <c r="O896" s="264"/>
      <c r="P896" s="264"/>
      <c r="Q896" s="264"/>
      <c r="R896" s="264"/>
      <c r="S896" s="264"/>
      <c r="T896" s="264"/>
      <c r="U896" s="264"/>
      <c r="V896" s="264"/>
      <c r="W896" s="264"/>
      <c r="X896" s="264"/>
      <c r="Y896" s="264"/>
      <c r="Z896" s="264"/>
    </row>
    <row r="897">
      <c r="A897" s="264"/>
      <c r="B897" s="264"/>
      <c r="C897" s="264"/>
      <c r="D897" s="264"/>
      <c r="E897" s="264"/>
      <c r="F897" s="264"/>
      <c r="G897" s="264"/>
      <c r="H897" s="264"/>
      <c r="I897" s="264"/>
      <c r="J897" s="264"/>
      <c r="K897" s="264"/>
      <c r="L897" s="264"/>
      <c r="M897" s="264"/>
      <c r="N897" s="264"/>
      <c r="O897" s="264"/>
      <c r="P897" s="264"/>
      <c r="Q897" s="264"/>
      <c r="R897" s="264"/>
      <c r="S897" s="264"/>
      <c r="T897" s="264"/>
      <c r="U897" s="264"/>
      <c r="V897" s="264"/>
      <c r="W897" s="264"/>
      <c r="X897" s="264"/>
      <c r="Y897" s="264"/>
      <c r="Z897" s="264"/>
    </row>
    <row r="898">
      <c r="A898" s="264"/>
      <c r="B898" s="264"/>
      <c r="C898" s="264"/>
      <c r="D898" s="264"/>
      <c r="E898" s="264"/>
      <c r="F898" s="264"/>
      <c r="G898" s="264"/>
      <c r="H898" s="264"/>
      <c r="I898" s="264"/>
      <c r="J898" s="264"/>
      <c r="K898" s="264"/>
      <c r="L898" s="264"/>
      <c r="M898" s="264"/>
      <c r="N898" s="264"/>
      <c r="O898" s="264"/>
      <c r="P898" s="264"/>
      <c r="Q898" s="264"/>
      <c r="R898" s="264"/>
      <c r="S898" s="264"/>
      <c r="T898" s="264"/>
      <c r="U898" s="264"/>
      <c r="V898" s="264"/>
      <c r="W898" s="264"/>
      <c r="X898" s="264"/>
      <c r="Y898" s="264"/>
      <c r="Z898" s="264"/>
    </row>
    <row r="899">
      <c r="A899" s="264"/>
      <c r="B899" s="264"/>
      <c r="C899" s="264"/>
      <c r="D899" s="264"/>
      <c r="E899" s="264"/>
      <c r="F899" s="264"/>
      <c r="G899" s="264"/>
      <c r="H899" s="264"/>
      <c r="I899" s="264"/>
      <c r="J899" s="264"/>
      <c r="K899" s="264"/>
      <c r="L899" s="264"/>
      <c r="M899" s="264"/>
      <c r="N899" s="264"/>
      <c r="O899" s="264"/>
      <c r="P899" s="264"/>
      <c r="Q899" s="264"/>
      <c r="R899" s="264"/>
      <c r="S899" s="264"/>
      <c r="T899" s="264"/>
      <c r="U899" s="264"/>
      <c r="V899" s="264"/>
      <c r="W899" s="264"/>
      <c r="X899" s="264"/>
      <c r="Y899" s="264"/>
      <c r="Z899" s="264"/>
    </row>
    <row r="900">
      <c r="A900" s="264"/>
      <c r="B900" s="264"/>
      <c r="C900" s="264"/>
      <c r="D900" s="264"/>
      <c r="E900" s="264"/>
      <c r="F900" s="264"/>
      <c r="G900" s="264"/>
      <c r="H900" s="264"/>
      <c r="I900" s="264"/>
      <c r="J900" s="264"/>
      <c r="K900" s="264"/>
      <c r="L900" s="264"/>
      <c r="M900" s="264"/>
      <c r="N900" s="264"/>
      <c r="O900" s="264"/>
      <c r="P900" s="264"/>
      <c r="Q900" s="264"/>
      <c r="R900" s="264"/>
      <c r="S900" s="264"/>
      <c r="T900" s="264"/>
      <c r="U900" s="264"/>
      <c r="V900" s="264"/>
      <c r="W900" s="264"/>
      <c r="X900" s="264"/>
      <c r="Y900" s="264"/>
      <c r="Z900" s="264"/>
    </row>
    <row r="901">
      <c r="A901" s="264"/>
      <c r="B901" s="264"/>
      <c r="C901" s="264"/>
      <c r="D901" s="264"/>
      <c r="E901" s="264"/>
      <c r="F901" s="264"/>
      <c r="G901" s="264"/>
      <c r="H901" s="264"/>
      <c r="I901" s="264"/>
      <c r="J901" s="264"/>
      <c r="K901" s="264"/>
      <c r="L901" s="264"/>
      <c r="M901" s="264"/>
      <c r="N901" s="264"/>
      <c r="O901" s="264"/>
      <c r="P901" s="264"/>
      <c r="Q901" s="264"/>
      <c r="R901" s="264"/>
      <c r="S901" s="264"/>
      <c r="T901" s="264"/>
      <c r="U901" s="264"/>
      <c r="V901" s="264"/>
      <c r="W901" s="264"/>
      <c r="X901" s="264"/>
      <c r="Y901" s="264"/>
      <c r="Z901" s="264"/>
    </row>
    <row r="902">
      <c r="A902" s="264"/>
      <c r="B902" s="264"/>
      <c r="C902" s="264"/>
      <c r="D902" s="264"/>
      <c r="E902" s="264"/>
      <c r="F902" s="264"/>
      <c r="G902" s="264"/>
      <c r="H902" s="264"/>
      <c r="I902" s="264"/>
      <c r="J902" s="264"/>
      <c r="K902" s="264"/>
      <c r="L902" s="264"/>
      <c r="M902" s="264"/>
      <c r="N902" s="264"/>
      <c r="O902" s="264"/>
      <c r="P902" s="264"/>
      <c r="Q902" s="264"/>
      <c r="R902" s="264"/>
      <c r="S902" s="264"/>
      <c r="T902" s="264"/>
      <c r="U902" s="264"/>
      <c r="V902" s="264"/>
      <c r="W902" s="264"/>
      <c r="X902" s="264"/>
      <c r="Y902" s="264"/>
      <c r="Z902" s="264"/>
    </row>
    <row r="903">
      <c r="A903" s="264"/>
      <c r="B903" s="264"/>
      <c r="C903" s="264"/>
      <c r="D903" s="264"/>
      <c r="E903" s="264"/>
      <c r="F903" s="264"/>
      <c r="G903" s="264"/>
      <c r="H903" s="264"/>
      <c r="I903" s="264"/>
      <c r="J903" s="264"/>
      <c r="K903" s="264"/>
      <c r="L903" s="264"/>
      <c r="M903" s="264"/>
      <c r="N903" s="264"/>
      <c r="O903" s="264"/>
      <c r="P903" s="264"/>
      <c r="Q903" s="264"/>
      <c r="R903" s="264"/>
      <c r="S903" s="264"/>
      <c r="T903" s="264"/>
      <c r="U903" s="264"/>
      <c r="V903" s="264"/>
      <c r="W903" s="264"/>
      <c r="X903" s="264"/>
      <c r="Y903" s="264"/>
      <c r="Z903" s="264"/>
    </row>
    <row r="904">
      <c r="A904" s="264"/>
      <c r="B904" s="264"/>
      <c r="C904" s="264"/>
      <c r="D904" s="264"/>
      <c r="E904" s="264"/>
      <c r="F904" s="264"/>
      <c r="G904" s="264"/>
      <c r="H904" s="264"/>
      <c r="I904" s="264"/>
      <c r="J904" s="264"/>
      <c r="K904" s="264"/>
      <c r="L904" s="264"/>
      <c r="M904" s="264"/>
      <c r="N904" s="264"/>
      <c r="O904" s="264"/>
      <c r="P904" s="264"/>
      <c r="Q904" s="264"/>
      <c r="R904" s="264"/>
      <c r="S904" s="264"/>
      <c r="T904" s="264"/>
      <c r="U904" s="264"/>
      <c r="V904" s="264"/>
      <c r="W904" s="264"/>
      <c r="X904" s="264"/>
      <c r="Y904" s="264"/>
      <c r="Z904" s="264"/>
    </row>
    <row r="905">
      <c r="A905" s="264"/>
      <c r="B905" s="264"/>
      <c r="C905" s="264"/>
      <c r="D905" s="264"/>
      <c r="E905" s="264"/>
      <c r="F905" s="264"/>
      <c r="G905" s="264"/>
      <c r="H905" s="264"/>
      <c r="I905" s="264"/>
      <c r="J905" s="264"/>
      <c r="K905" s="264"/>
      <c r="L905" s="264"/>
      <c r="M905" s="264"/>
      <c r="N905" s="264"/>
      <c r="O905" s="264"/>
      <c r="P905" s="264"/>
      <c r="Q905" s="264"/>
      <c r="R905" s="264"/>
      <c r="S905" s="264"/>
      <c r="T905" s="264"/>
      <c r="U905" s="264"/>
      <c r="V905" s="264"/>
      <c r="W905" s="264"/>
      <c r="X905" s="264"/>
      <c r="Y905" s="264"/>
      <c r="Z905" s="264"/>
    </row>
    <row r="906">
      <c r="A906" s="264"/>
      <c r="B906" s="264"/>
      <c r="C906" s="264"/>
      <c r="D906" s="264"/>
      <c r="E906" s="264"/>
      <c r="F906" s="264"/>
      <c r="G906" s="264"/>
      <c r="H906" s="264"/>
      <c r="I906" s="264"/>
      <c r="J906" s="264"/>
      <c r="K906" s="264"/>
      <c r="L906" s="264"/>
      <c r="M906" s="264"/>
      <c r="N906" s="264"/>
      <c r="O906" s="264"/>
      <c r="P906" s="264"/>
      <c r="Q906" s="264"/>
      <c r="R906" s="264"/>
      <c r="S906" s="264"/>
      <c r="T906" s="264"/>
      <c r="U906" s="264"/>
      <c r="V906" s="264"/>
      <c r="W906" s="264"/>
      <c r="X906" s="264"/>
      <c r="Y906" s="264"/>
      <c r="Z906" s="264"/>
    </row>
    <row r="907">
      <c r="A907" s="264"/>
      <c r="B907" s="264"/>
      <c r="C907" s="264"/>
      <c r="D907" s="264"/>
      <c r="E907" s="264"/>
      <c r="F907" s="264"/>
      <c r="G907" s="264"/>
      <c r="H907" s="264"/>
      <c r="I907" s="264"/>
      <c r="J907" s="264"/>
      <c r="K907" s="264"/>
      <c r="L907" s="264"/>
      <c r="M907" s="264"/>
      <c r="N907" s="264"/>
      <c r="O907" s="264"/>
      <c r="P907" s="264"/>
      <c r="Q907" s="264"/>
      <c r="R907" s="264"/>
      <c r="S907" s="264"/>
      <c r="T907" s="264"/>
      <c r="U907" s="264"/>
      <c r="V907" s="264"/>
      <c r="W907" s="264"/>
      <c r="X907" s="264"/>
      <c r="Y907" s="264"/>
      <c r="Z907" s="264"/>
    </row>
    <row r="908">
      <c r="A908" s="264"/>
      <c r="B908" s="264"/>
      <c r="C908" s="264"/>
      <c r="D908" s="264"/>
      <c r="E908" s="264"/>
      <c r="F908" s="264"/>
      <c r="G908" s="264"/>
      <c r="H908" s="264"/>
      <c r="I908" s="264"/>
      <c r="J908" s="264"/>
      <c r="K908" s="264"/>
      <c r="L908" s="264"/>
      <c r="M908" s="264"/>
      <c r="N908" s="264"/>
      <c r="O908" s="264"/>
      <c r="P908" s="264"/>
      <c r="Q908" s="264"/>
      <c r="R908" s="264"/>
      <c r="S908" s="264"/>
      <c r="T908" s="264"/>
      <c r="U908" s="264"/>
      <c r="V908" s="264"/>
      <c r="W908" s="264"/>
      <c r="X908" s="264"/>
      <c r="Y908" s="264"/>
      <c r="Z908" s="264"/>
    </row>
    <row r="909">
      <c r="A909" s="264"/>
      <c r="B909" s="264"/>
      <c r="C909" s="264"/>
      <c r="D909" s="264"/>
      <c r="E909" s="264"/>
      <c r="F909" s="264"/>
      <c r="G909" s="264"/>
      <c r="H909" s="264"/>
      <c r="I909" s="264"/>
      <c r="J909" s="264"/>
      <c r="K909" s="264"/>
      <c r="L909" s="264"/>
      <c r="M909" s="264"/>
      <c r="N909" s="264"/>
      <c r="O909" s="264"/>
      <c r="P909" s="264"/>
      <c r="Q909" s="264"/>
      <c r="R909" s="264"/>
      <c r="S909" s="264"/>
      <c r="T909" s="264"/>
      <c r="U909" s="264"/>
      <c r="V909" s="264"/>
      <c r="W909" s="264"/>
      <c r="X909" s="264"/>
      <c r="Y909" s="264"/>
      <c r="Z909" s="264"/>
    </row>
    <row r="910">
      <c r="A910" s="264"/>
      <c r="B910" s="264"/>
      <c r="C910" s="264"/>
      <c r="D910" s="264"/>
      <c r="E910" s="264"/>
      <c r="F910" s="264"/>
      <c r="G910" s="264"/>
      <c r="H910" s="264"/>
      <c r="I910" s="264"/>
      <c r="J910" s="264"/>
      <c r="K910" s="264"/>
      <c r="L910" s="264"/>
      <c r="M910" s="264"/>
      <c r="N910" s="264"/>
      <c r="O910" s="264"/>
      <c r="P910" s="264"/>
      <c r="Q910" s="264"/>
      <c r="R910" s="264"/>
      <c r="S910" s="264"/>
      <c r="T910" s="264"/>
      <c r="U910" s="264"/>
      <c r="V910" s="264"/>
      <c r="W910" s="264"/>
      <c r="X910" s="264"/>
      <c r="Y910" s="264"/>
      <c r="Z910" s="264"/>
    </row>
    <row r="911">
      <c r="A911" s="264"/>
      <c r="B911" s="264"/>
      <c r="C911" s="264"/>
      <c r="D911" s="264"/>
      <c r="E911" s="264"/>
      <c r="F911" s="264"/>
      <c r="G911" s="264"/>
      <c r="H911" s="264"/>
      <c r="I911" s="264"/>
      <c r="J911" s="264"/>
      <c r="K911" s="264"/>
      <c r="L911" s="264"/>
      <c r="M911" s="264"/>
      <c r="N911" s="264"/>
      <c r="O911" s="264"/>
      <c r="P911" s="264"/>
      <c r="Q911" s="264"/>
      <c r="R911" s="264"/>
      <c r="S911" s="264"/>
      <c r="T911" s="264"/>
      <c r="U911" s="264"/>
      <c r="V911" s="264"/>
      <c r="W911" s="264"/>
      <c r="X911" s="264"/>
      <c r="Y911" s="264"/>
      <c r="Z911" s="264"/>
    </row>
    <row r="912">
      <c r="A912" s="264"/>
      <c r="B912" s="264"/>
      <c r="C912" s="264"/>
      <c r="D912" s="264"/>
      <c r="E912" s="264"/>
      <c r="F912" s="264"/>
      <c r="G912" s="264"/>
      <c r="H912" s="264"/>
      <c r="I912" s="264"/>
      <c r="J912" s="264"/>
      <c r="K912" s="264"/>
      <c r="L912" s="264"/>
      <c r="M912" s="264"/>
      <c r="N912" s="264"/>
      <c r="O912" s="264"/>
      <c r="P912" s="264"/>
      <c r="Q912" s="264"/>
      <c r="R912" s="264"/>
      <c r="S912" s="264"/>
      <c r="T912" s="264"/>
      <c r="U912" s="264"/>
      <c r="V912" s="264"/>
      <c r="W912" s="264"/>
      <c r="X912" s="264"/>
      <c r="Y912" s="264"/>
      <c r="Z912" s="264"/>
    </row>
    <row r="913">
      <c r="A913" s="264"/>
      <c r="B913" s="264"/>
      <c r="C913" s="264"/>
      <c r="D913" s="264"/>
      <c r="E913" s="264"/>
      <c r="F913" s="264"/>
      <c r="G913" s="264"/>
      <c r="H913" s="264"/>
      <c r="I913" s="264"/>
      <c r="J913" s="264"/>
      <c r="K913" s="264"/>
      <c r="L913" s="264"/>
      <c r="M913" s="264"/>
      <c r="N913" s="264"/>
      <c r="O913" s="264"/>
      <c r="P913" s="264"/>
      <c r="Q913" s="264"/>
      <c r="R913" s="264"/>
      <c r="S913" s="264"/>
      <c r="T913" s="264"/>
      <c r="U913" s="264"/>
      <c r="V913" s="264"/>
      <c r="W913" s="264"/>
      <c r="X913" s="264"/>
      <c r="Y913" s="264"/>
      <c r="Z913" s="264"/>
    </row>
    <row r="914">
      <c r="A914" s="264"/>
      <c r="B914" s="264"/>
      <c r="C914" s="264"/>
      <c r="D914" s="264"/>
      <c r="E914" s="264"/>
      <c r="F914" s="264"/>
      <c r="G914" s="264"/>
      <c r="H914" s="264"/>
      <c r="I914" s="264"/>
      <c r="J914" s="264"/>
      <c r="K914" s="264"/>
      <c r="L914" s="264"/>
      <c r="M914" s="264"/>
      <c r="N914" s="264"/>
      <c r="O914" s="264"/>
      <c r="P914" s="264"/>
      <c r="Q914" s="264"/>
      <c r="R914" s="264"/>
      <c r="S914" s="264"/>
      <c r="T914" s="264"/>
      <c r="U914" s="264"/>
      <c r="V914" s="264"/>
      <c r="W914" s="264"/>
      <c r="X914" s="264"/>
      <c r="Y914" s="264"/>
      <c r="Z914" s="264"/>
    </row>
    <row r="915">
      <c r="A915" s="264"/>
      <c r="B915" s="264"/>
      <c r="C915" s="264"/>
      <c r="D915" s="264"/>
      <c r="E915" s="264"/>
      <c r="F915" s="264"/>
      <c r="G915" s="264"/>
      <c r="H915" s="264"/>
      <c r="I915" s="264"/>
      <c r="J915" s="264"/>
      <c r="K915" s="264"/>
      <c r="L915" s="264"/>
      <c r="M915" s="264"/>
      <c r="N915" s="264"/>
      <c r="O915" s="264"/>
      <c r="P915" s="264"/>
      <c r="Q915" s="264"/>
      <c r="R915" s="264"/>
      <c r="S915" s="264"/>
      <c r="T915" s="264"/>
      <c r="U915" s="264"/>
      <c r="V915" s="264"/>
      <c r="W915" s="264"/>
      <c r="X915" s="264"/>
      <c r="Y915" s="264"/>
      <c r="Z915" s="264"/>
    </row>
    <row r="916">
      <c r="A916" s="264"/>
      <c r="B916" s="264"/>
      <c r="C916" s="264"/>
      <c r="D916" s="264"/>
      <c r="E916" s="264"/>
      <c r="F916" s="264"/>
      <c r="G916" s="264"/>
      <c r="H916" s="264"/>
      <c r="I916" s="264"/>
      <c r="J916" s="264"/>
      <c r="K916" s="264"/>
      <c r="L916" s="264"/>
      <c r="M916" s="264"/>
      <c r="N916" s="264"/>
      <c r="O916" s="264"/>
      <c r="P916" s="264"/>
      <c r="Q916" s="264"/>
      <c r="R916" s="264"/>
      <c r="S916" s="264"/>
      <c r="T916" s="264"/>
      <c r="U916" s="264"/>
      <c r="V916" s="264"/>
      <c r="W916" s="264"/>
      <c r="X916" s="264"/>
      <c r="Y916" s="264"/>
      <c r="Z916" s="264"/>
    </row>
    <row r="917">
      <c r="A917" s="264"/>
      <c r="B917" s="264"/>
      <c r="C917" s="264"/>
      <c r="D917" s="264"/>
      <c r="E917" s="264"/>
      <c r="F917" s="264"/>
      <c r="G917" s="264"/>
      <c r="H917" s="264"/>
      <c r="I917" s="264"/>
      <c r="J917" s="264"/>
      <c r="K917" s="264"/>
      <c r="L917" s="264"/>
      <c r="M917" s="264"/>
      <c r="N917" s="264"/>
      <c r="O917" s="264"/>
      <c r="P917" s="264"/>
      <c r="Q917" s="264"/>
      <c r="R917" s="264"/>
      <c r="S917" s="264"/>
      <c r="T917" s="264"/>
      <c r="U917" s="264"/>
      <c r="V917" s="264"/>
      <c r="W917" s="264"/>
      <c r="X917" s="264"/>
      <c r="Y917" s="264"/>
      <c r="Z917" s="264"/>
    </row>
    <row r="918">
      <c r="A918" s="264"/>
      <c r="B918" s="264"/>
      <c r="C918" s="264"/>
      <c r="D918" s="264"/>
      <c r="E918" s="264"/>
      <c r="F918" s="264"/>
      <c r="G918" s="264"/>
      <c r="H918" s="264"/>
      <c r="I918" s="264"/>
      <c r="J918" s="264"/>
      <c r="K918" s="264"/>
      <c r="L918" s="264"/>
      <c r="M918" s="264"/>
      <c r="N918" s="264"/>
      <c r="O918" s="264"/>
      <c r="P918" s="264"/>
      <c r="Q918" s="264"/>
      <c r="R918" s="264"/>
      <c r="S918" s="264"/>
      <c r="T918" s="264"/>
      <c r="U918" s="264"/>
      <c r="V918" s="264"/>
      <c r="W918" s="264"/>
      <c r="X918" s="264"/>
      <c r="Y918" s="264"/>
      <c r="Z918" s="264"/>
    </row>
    <row r="919">
      <c r="A919" s="264"/>
      <c r="B919" s="264"/>
      <c r="C919" s="264"/>
      <c r="D919" s="264"/>
      <c r="E919" s="264"/>
      <c r="F919" s="264"/>
      <c r="G919" s="264"/>
      <c r="H919" s="264"/>
      <c r="I919" s="264"/>
      <c r="J919" s="264"/>
      <c r="K919" s="264"/>
      <c r="L919" s="264"/>
      <c r="M919" s="264"/>
      <c r="N919" s="264"/>
      <c r="O919" s="264"/>
      <c r="P919" s="264"/>
      <c r="Q919" s="264"/>
      <c r="R919" s="264"/>
      <c r="S919" s="264"/>
      <c r="T919" s="264"/>
      <c r="U919" s="264"/>
      <c r="V919" s="264"/>
      <c r="W919" s="264"/>
      <c r="X919" s="264"/>
      <c r="Y919" s="264"/>
      <c r="Z919" s="264"/>
    </row>
    <row r="920">
      <c r="A920" s="264"/>
      <c r="B920" s="264"/>
      <c r="C920" s="264"/>
      <c r="D920" s="264"/>
      <c r="E920" s="264"/>
      <c r="F920" s="264"/>
      <c r="G920" s="264"/>
      <c r="H920" s="264"/>
      <c r="I920" s="264"/>
      <c r="J920" s="264"/>
      <c r="K920" s="264"/>
      <c r="L920" s="264"/>
      <c r="M920" s="264"/>
      <c r="N920" s="264"/>
      <c r="O920" s="264"/>
      <c r="P920" s="264"/>
      <c r="Q920" s="264"/>
      <c r="R920" s="264"/>
      <c r="S920" s="264"/>
      <c r="T920" s="264"/>
      <c r="U920" s="264"/>
      <c r="V920" s="264"/>
      <c r="W920" s="264"/>
      <c r="X920" s="264"/>
      <c r="Y920" s="264"/>
      <c r="Z920" s="264"/>
    </row>
    <row r="921">
      <c r="A921" s="264"/>
      <c r="B921" s="264"/>
      <c r="C921" s="264"/>
      <c r="D921" s="264"/>
      <c r="E921" s="264"/>
      <c r="F921" s="264"/>
      <c r="G921" s="264"/>
      <c r="H921" s="264"/>
      <c r="I921" s="264"/>
      <c r="J921" s="264"/>
      <c r="K921" s="264"/>
      <c r="L921" s="264"/>
      <c r="M921" s="264"/>
      <c r="N921" s="264"/>
      <c r="O921" s="264"/>
      <c r="P921" s="264"/>
      <c r="Q921" s="264"/>
      <c r="R921" s="264"/>
      <c r="S921" s="264"/>
      <c r="T921" s="264"/>
      <c r="U921" s="264"/>
      <c r="V921" s="264"/>
      <c r="W921" s="264"/>
      <c r="X921" s="264"/>
      <c r="Y921" s="264"/>
      <c r="Z921" s="264"/>
    </row>
    <row r="922">
      <c r="A922" s="264"/>
      <c r="B922" s="264"/>
      <c r="C922" s="264"/>
      <c r="D922" s="264"/>
      <c r="E922" s="264"/>
      <c r="F922" s="264"/>
      <c r="G922" s="264"/>
      <c r="H922" s="264"/>
      <c r="I922" s="264"/>
      <c r="J922" s="264"/>
      <c r="K922" s="264"/>
      <c r="L922" s="264"/>
      <c r="M922" s="264"/>
      <c r="N922" s="264"/>
      <c r="O922" s="264"/>
      <c r="P922" s="264"/>
      <c r="Q922" s="264"/>
      <c r="R922" s="264"/>
      <c r="S922" s="264"/>
      <c r="T922" s="264"/>
      <c r="U922" s="264"/>
      <c r="V922" s="264"/>
      <c r="W922" s="264"/>
      <c r="X922" s="264"/>
      <c r="Y922" s="264"/>
      <c r="Z922" s="264"/>
    </row>
    <row r="923">
      <c r="A923" s="264"/>
      <c r="B923" s="264"/>
      <c r="C923" s="264"/>
      <c r="D923" s="264"/>
      <c r="E923" s="264"/>
      <c r="F923" s="264"/>
      <c r="G923" s="264"/>
      <c r="H923" s="264"/>
      <c r="I923" s="264"/>
      <c r="J923" s="264"/>
      <c r="K923" s="264"/>
      <c r="L923" s="264"/>
      <c r="M923" s="264"/>
      <c r="N923" s="264"/>
      <c r="O923" s="264"/>
      <c r="P923" s="264"/>
      <c r="Q923" s="264"/>
      <c r="R923" s="264"/>
      <c r="S923" s="264"/>
      <c r="T923" s="264"/>
      <c r="U923" s="264"/>
      <c r="V923" s="264"/>
      <c r="W923" s="264"/>
      <c r="X923" s="264"/>
      <c r="Y923" s="264"/>
      <c r="Z923" s="264"/>
    </row>
    <row r="924">
      <c r="A924" s="264"/>
      <c r="B924" s="264"/>
      <c r="C924" s="264"/>
      <c r="D924" s="264"/>
      <c r="E924" s="264"/>
      <c r="F924" s="264"/>
      <c r="G924" s="264"/>
      <c r="H924" s="264"/>
      <c r="I924" s="264"/>
      <c r="J924" s="264"/>
      <c r="K924" s="264"/>
      <c r="L924" s="264"/>
      <c r="M924" s="264"/>
      <c r="N924" s="264"/>
      <c r="O924" s="264"/>
      <c r="P924" s="264"/>
      <c r="Q924" s="264"/>
      <c r="R924" s="264"/>
      <c r="S924" s="264"/>
      <c r="T924" s="264"/>
      <c r="U924" s="264"/>
      <c r="V924" s="264"/>
      <c r="W924" s="264"/>
      <c r="X924" s="264"/>
      <c r="Y924" s="264"/>
      <c r="Z924" s="264"/>
    </row>
    <row r="925">
      <c r="A925" s="264"/>
      <c r="B925" s="264"/>
      <c r="C925" s="264"/>
      <c r="D925" s="264"/>
      <c r="E925" s="264"/>
      <c r="F925" s="264"/>
      <c r="G925" s="264"/>
      <c r="H925" s="264"/>
      <c r="I925" s="264"/>
      <c r="J925" s="264"/>
      <c r="K925" s="264"/>
      <c r="L925" s="264"/>
      <c r="M925" s="264"/>
      <c r="N925" s="264"/>
      <c r="O925" s="264"/>
      <c r="P925" s="264"/>
      <c r="Q925" s="264"/>
      <c r="R925" s="264"/>
      <c r="S925" s="264"/>
      <c r="T925" s="264"/>
      <c r="U925" s="264"/>
      <c r="V925" s="264"/>
      <c r="W925" s="264"/>
      <c r="X925" s="264"/>
      <c r="Y925" s="264"/>
      <c r="Z925" s="264"/>
    </row>
    <row r="926">
      <c r="A926" s="264"/>
      <c r="B926" s="264"/>
      <c r="C926" s="264"/>
      <c r="D926" s="264"/>
      <c r="E926" s="264"/>
      <c r="F926" s="264"/>
      <c r="G926" s="264"/>
      <c r="H926" s="264"/>
      <c r="I926" s="264"/>
      <c r="J926" s="264"/>
      <c r="K926" s="264"/>
      <c r="L926" s="264"/>
      <c r="M926" s="264"/>
      <c r="N926" s="264"/>
      <c r="O926" s="264"/>
      <c r="P926" s="264"/>
      <c r="Q926" s="264"/>
      <c r="R926" s="264"/>
      <c r="S926" s="264"/>
      <c r="T926" s="264"/>
      <c r="U926" s="264"/>
      <c r="V926" s="264"/>
      <c r="W926" s="264"/>
      <c r="X926" s="264"/>
      <c r="Y926" s="264"/>
      <c r="Z926" s="264"/>
    </row>
    <row r="927">
      <c r="A927" s="264"/>
      <c r="B927" s="264"/>
      <c r="C927" s="264"/>
      <c r="D927" s="264"/>
      <c r="E927" s="264"/>
      <c r="F927" s="264"/>
      <c r="G927" s="264"/>
      <c r="H927" s="264"/>
      <c r="I927" s="264"/>
      <c r="J927" s="264"/>
      <c r="K927" s="264"/>
      <c r="L927" s="264"/>
      <c r="M927" s="264"/>
      <c r="N927" s="264"/>
      <c r="O927" s="264"/>
      <c r="P927" s="264"/>
      <c r="Q927" s="264"/>
      <c r="R927" s="264"/>
      <c r="S927" s="264"/>
      <c r="T927" s="264"/>
      <c r="U927" s="264"/>
      <c r="V927" s="264"/>
      <c r="W927" s="264"/>
      <c r="X927" s="264"/>
      <c r="Y927" s="264"/>
      <c r="Z927" s="264"/>
    </row>
    <row r="928">
      <c r="A928" s="264"/>
      <c r="B928" s="264"/>
      <c r="C928" s="264"/>
      <c r="D928" s="264"/>
      <c r="E928" s="264"/>
      <c r="F928" s="264"/>
      <c r="G928" s="264"/>
      <c r="H928" s="264"/>
      <c r="I928" s="264"/>
      <c r="J928" s="264"/>
      <c r="K928" s="264"/>
      <c r="L928" s="264"/>
      <c r="M928" s="264"/>
      <c r="N928" s="264"/>
      <c r="O928" s="264"/>
      <c r="P928" s="264"/>
      <c r="Q928" s="264"/>
      <c r="R928" s="264"/>
      <c r="S928" s="264"/>
      <c r="T928" s="264"/>
      <c r="U928" s="264"/>
      <c r="V928" s="264"/>
      <c r="W928" s="264"/>
      <c r="X928" s="264"/>
      <c r="Y928" s="264"/>
      <c r="Z928" s="264"/>
    </row>
    <row r="929">
      <c r="A929" s="264"/>
      <c r="B929" s="264"/>
      <c r="C929" s="264"/>
      <c r="D929" s="264"/>
      <c r="E929" s="264"/>
      <c r="F929" s="264"/>
      <c r="G929" s="264"/>
      <c r="H929" s="264"/>
      <c r="I929" s="264"/>
      <c r="J929" s="264"/>
      <c r="K929" s="264"/>
      <c r="L929" s="264"/>
      <c r="M929" s="264"/>
      <c r="N929" s="264"/>
      <c r="O929" s="264"/>
      <c r="P929" s="264"/>
      <c r="Q929" s="264"/>
      <c r="R929" s="264"/>
      <c r="S929" s="264"/>
      <c r="T929" s="264"/>
      <c r="U929" s="264"/>
      <c r="V929" s="264"/>
      <c r="W929" s="264"/>
      <c r="X929" s="264"/>
      <c r="Y929" s="264"/>
      <c r="Z929" s="264"/>
    </row>
    <row r="930">
      <c r="A930" s="264"/>
      <c r="B930" s="264"/>
      <c r="C930" s="264"/>
      <c r="D930" s="264"/>
      <c r="E930" s="264"/>
      <c r="F930" s="264"/>
      <c r="G930" s="264"/>
      <c r="H930" s="264"/>
      <c r="I930" s="264"/>
      <c r="J930" s="264"/>
      <c r="K930" s="264"/>
      <c r="L930" s="264"/>
      <c r="M930" s="264"/>
      <c r="N930" s="264"/>
      <c r="O930" s="264"/>
      <c r="P930" s="264"/>
      <c r="Q930" s="264"/>
      <c r="R930" s="264"/>
      <c r="S930" s="264"/>
      <c r="T930" s="264"/>
      <c r="U930" s="264"/>
      <c r="V930" s="264"/>
      <c r="W930" s="264"/>
      <c r="X930" s="264"/>
      <c r="Y930" s="264"/>
      <c r="Z930" s="264"/>
    </row>
    <row r="931">
      <c r="A931" s="264"/>
      <c r="B931" s="264"/>
      <c r="C931" s="264"/>
      <c r="D931" s="264"/>
      <c r="E931" s="264"/>
      <c r="F931" s="264"/>
      <c r="G931" s="264"/>
      <c r="H931" s="264"/>
      <c r="I931" s="264"/>
      <c r="J931" s="264"/>
      <c r="K931" s="264"/>
      <c r="L931" s="264"/>
      <c r="M931" s="264"/>
      <c r="N931" s="264"/>
      <c r="O931" s="264"/>
      <c r="P931" s="264"/>
      <c r="Q931" s="264"/>
      <c r="R931" s="264"/>
      <c r="S931" s="264"/>
      <c r="T931" s="264"/>
      <c r="U931" s="264"/>
      <c r="V931" s="264"/>
      <c r="W931" s="264"/>
      <c r="X931" s="264"/>
      <c r="Y931" s="264"/>
      <c r="Z931" s="264"/>
    </row>
    <row r="932">
      <c r="A932" s="264"/>
      <c r="B932" s="264"/>
      <c r="C932" s="264"/>
      <c r="D932" s="264"/>
      <c r="E932" s="264"/>
      <c r="F932" s="264"/>
      <c r="G932" s="264"/>
      <c r="H932" s="264"/>
      <c r="I932" s="264"/>
      <c r="J932" s="264"/>
      <c r="K932" s="264"/>
      <c r="L932" s="264"/>
      <c r="M932" s="264"/>
      <c r="N932" s="264"/>
      <c r="O932" s="264"/>
      <c r="P932" s="264"/>
      <c r="Q932" s="264"/>
      <c r="R932" s="264"/>
      <c r="S932" s="264"/>
      <c r="T932" s="264"/>
      <c r="U932" s="264"/>
      <c r="V932" s="264"/>
      <c r="W932" s="264"/>
      <c r="X932" s="264"/>
      <c r="Y932" s="264"/>
      <c r="Z932" s="264"/>
    </row>
    <row r="933">
      <c r="A933" s="264"/>
      <c r="B933" s="264"/>
      <c r="C933" s="264"/>
      <c r="D933" s="264"/>
      <c r="E933" s="264"/>
      <c r="F933" s="264"/>
      <c r="G933" s="264"/>
      <c r="H933" s="264"/>
      <c r="I933" s="264"/>
      <c r="J933" s="264"/>
      <c r="K933" s="264"/>
      <c r="L933" s="264"/>
      <c r="M933" s="264"/>
      <c r="N933" s="264"/>
      <c r="O933" s="264"/>
      <c r="P933" s="264"/>
      <c r="Q933" s="264"/>
      <c r="R933" s="264"/>
      <c r="S933" s="264"/>
      <c r="T933" s="264"/>
      <c r="U933" s="264"/>
      <c r="V933" s="264"/>
      <c r="W933" s="264"/>
      <c r="X933" s="264"/>
      <c r="Y933" s="264"/>
      <c r="Z933" s="264"/>
    </row>
    <row r="934">
      <c r="A934" s="264"/>
      <c r="B934" s="264"/>
      <c r="C934" s="264"/>
      <c r="D934" s="264"/>
      <c r="E934" s="264"/>
      <c r="F934" s="264"/>
      <c r="G934" s="264"/>
      <c r="H934" s="264"/>
      <c r="I934" s="264"/>
      <c r="J934" s="264"/>
      <c r="K934" s="264"/>
      <c r="L934" s="264"/>
      <c r="M934" s="264"/>
      <c r="N934" s="264"/>
      <c r="O934" s="264"/>
      <c r="P934" s="264"/>
      <c r="Q934" s="264"/>
      <c r="R934" s="264"/>
      <c r="S934" s="264"/>
      <c r="T934" s="264"/>
      <c r="U934" s="264"/>
      <c r="V934" s="264"/>
      <c r="W934" s="264"/>
      <c r="X934" s="264"/>
      <c r="Y934" s="264"/>
      <c r="Z934" s="264"/>
    </row>
    <row r="935">
      <c r="A935" s="264"/>
      <c r="B935" s="264"/>
      <c r="C935" s="264"/>
      <c r="D935" s="264"/>
      <c r="E935" s="264"/>
      <c r="F935" s="264"/>
      <c r="G935" s="264"/>
      <c r="H935" s="264"/>
      <c r="I935" s="264"/>
      <c r="J935" s="264"/>
      <c r="K935" s="264"/>
      <c r="L935" s="264"/>
      <c r="M935" s="264"/>
      <c r="N935" s="264"/>
      <c r="O935" s="264"/>
      <c r="P935" s="264"/>
      <c r="Q935" s="264"/>
      <c r="R935" s="264"/>
      <c r="S935" s="264"/>
      <c r="T935" s="264"/>
      <c r="U935" s="264"/>
      <c r="V935" s="264"/>
      <c r="W935" s="264"/>
      <c r="X935" s="264"/>
      <c r="Y935" s="264"/>
      <c r="Z935" s="264"/>
    </row>
    <row r="936">
      <c r="A936" s="264"/>
      <c r="B936" s="264"/>
      <c r="C936" s="264"/>
      <c r="D936" s="264"/>
      <c r="E936" s="264"/>
      <c r="F936" s="264"/>
      <c r="G936" s="264"/>
      <c r="H936" s="264"/>
      <c r="I936" s="264"/>
      <c r="J936" s="264"/>
      <c r="K936" s="264"/>
      <c r="L936" s="264"/>
      <c r="M936" s="264"/>
      <c r="N936" s="264"/>
      <c r="O936" s="264"/>
      <c r="P936" s="264"/>
      <c r="Q936" s="264"/>
      <c r="R936" s="264"/>
      <c r="S936" s="264"/>
      <c r="T936" s="264"/>
      <c r="U936" s="264"/>
      <c r="V936" s="264"/>
      <c r="W936" s="264"/>
      <c r="X936" s="264"/>
      <c r="Y936" s="264"/>
      <c r="Z936" s="264"/>
    </row>
    <row r="937">
      <c r="A937" s="264"/>
      <c r="B937" s="264"/>
      <c r="C937" s="264"/>
      <c r="D937" s="264"/>
      <c r="E937" s="264"/>
      <c r="F937" s="264"/>
      <c r="G937" s="264"/>
      <c r="H937" s="264"/>
      <c r="I937" s="264"/>
      <c r="J937" s="264"/>
      <c r="K937" s="264"/>
      <c r="L937" s="264"/>
      <c r="M937" s="264"/>
      <c r="N937" s="264"/>
      <c r="O937" s="264"/>
      <c r="P937" s="264"/>
      <c r="Q937" s="264"/>
      <c r="R937" s="264"/>
      <c r="S937" s="264"/>
      <c r="T937" s="264"/>
      <c r="U937" s="264"/>
      <c r="V937" s="264"/>
      <c r="W937" s="264"/>
      <c r="X937" s="264"/>
      <c r="Y937" s="264"/>
      <c r="Z937" s="264"/>
    </row>
    <row r="938">
      <c r="A938" s="264"/>
      <c r="B938" s="264"/>
      <c r="C938" s="264"/>
      <c r="D938" s="264"/>
      <c r="E938" s="264"/>
      <c r="F938" s="264"/>
      <c r="G938" s="264"/>
      <c r="H938" s="264"/>
      <c r="I938" s="264"/>
      <c r="J938" s="264"/>
      <c r="K938" s="264"/>
      <c r="L938" s="264"/>
      <c r="M938" s="264"/>
      <c r="N938" s="264"/>
      <c r="O938" s="264"/>
      <c r="P938" s="264"/>
      <c r="Q938" s="264"/>
      <c r="R938" s="264"/>
      <c r="S938" s="264"/>
      <c r="T938" s="264"/>
      <c r="U938" s="264"/>
      <c r="V938" s="264"/>
      <c r="W938" s="264"/>
      <c r="X938" s="264"/>
      <c r="Y938" s="264"/>
      <c r="Z938" s="264"/>
    </row>
    <row r="939">
      <c r="A939" s="264"/>
      <c r="B939" s="264"/>
      <c r="C939" s="264"/>
      <c r="D939" s="264"/>
      <c r="E939" s="264"/>
      <c r="F939" s="264"/>
      <c r="G939" s="264"/>
      <c r="H939" s="264"/>
      <c r="I939" s="264"/>
      <c r="J939" s="264"/>
      <c r="K939" s="264"/>
      <c r="L939" s="264"/>
      <c r="M939" s="264"/>
      <c r="N939" s="264"/>
      <c r="O939" s="264"/>
      <c r="P939" s="264"/>
      <c r="Q939" s="264"/>
      <c r="R939" s="264"/>
      <c r="S939" s="264"/>
      <c r="T939" s="264"/>
      <c r="U939" s="264"/>
      <c r="V939" s="264"/>
      <c r="W939" s="264"/>
      <c r="X939" s="264"/>
      <c r="Y939" s="264"/>
      <c r="Z939" s="264"/>
    </row>
    <row r="940">
      <c r="A940" s="264"/>
      <c r="B940" s="264"/>
      <c r="C940" s="264"/>
      <c r="D940" s="264"/>
      <c r="E940" s="264"/>
      <c r="F940" s="264"/>
      <c r="G940" s="264"/>
      <c r="H940" s="264"/>
      <c r="I940" s="264"/>
      <c r="J940" s="264"/>
      <c r="K940" s="264"/>
      <c r="L940" s="264"/>
      <c r="M940" s="264"/>
      <c r="N940" s="264"/>
      <c r="O940" s="264"/>
      <c r="P940" s="264"/>
      <c r="Q940" s="264"/>
      <c r="R940" s="264"/>
      <c r="S940" s="264"/>
      <c r="T940" s="264"/>
      <c r="U940" s="264"/>
      <c r="V940" s="264"/>
      <c r="W940" s="264"/>
      <c r="X940" s="264"/>
      <c r="Y940" s="264"/>
      <c r="Z940" s="264"/>
    </row>
    <row r="941">
      <c r="A941" s="264"/>
      <c r="B941" s="264"/>
      <c r="C941" s="264"/>
      <c r="D941" s="264"/>
      <c r="E941" s="264"/>
      <c r="F941" s="264"/>
      <c r="G941" s="264"/>
      <c r="H941" s="264"/>
      <c r="I941" s="264"/>
      <c r="J941" s="264"/>
      <c r="K941" s="264"/>
      <c r="L941" s="264"/>
      <c r="M941" s="264"/>
      <c r="N941" s="264"/>
      <c r="O941" s="264"/>
      <c r="P941" s="264"/>
      <c r="Q941" s="264"/>
      <c r="R941" s="264"/>
      <c r="S941" s="264"/>
      <c r="T941" s="264"/>
      <c r="U941" s="264"/>
      <c r="V941" s="264"/>
      <c r="W941" s="264"/>
      <c r="X941" s="264"/>
      <c r="Y941" s="264"/>
      <c r="Z941" s="264"/>
    </row>
    <row r="942">
      <c r="A942" s="264"/>
      <c r="B942" s="264"/>
      <c r="C942" s="264"/>
      <c r="D942" s="264"/>
      <c r="E942" s="264"/>
      <c r="F942" s="264"/>
      <c r="G942" s="264"/>
      <c r="H942" s="264"/>
      <c r="I942" s="264"/>
      <c r="J942" s="264"/>
      <c r="K942" s="264"/>
      <c r="L942" s="264"/>
      <c r="M942" s="264"/>
      <c r="N942" s="264"/>
      <c r="O942" s="264"/>
      <c r="P942" s="264"/>
      <c r="Q942" s="264"/>
      <c r="R942" s="264"/>
      <c r="S942" s="264"/>
      <c r="T942" s="264"/>
      <c r="U942" s="264"/>
      <c r="V942" s="264"/>
      <c r="W942" s="264"/>
      <c r="X942" s="264"/>
      <c r="Y942" s="264"/>
      <c r="Z942" s="264"/>
    </row>
    <row r="943">
      <c r="A943" s="264"/>
      <c r="B943" s="264"/>
      <c r="C943" s="264"/>
      <c r="D943" s="264"/>
      <c r="E943" s="264"/>
      <c r="F943" s="264"/>
      <c r="G943" s="264"/>
      <c r="H943" s="264"/>
      <c r="I943" s="264"/>
      <c r="J943" s="264"/>
      <c r="K943" s="264"/>
      <c r="L943" s="264"/>
      <c r="M943" s="264"/>
      <c r="N943" s="264"/>
      <c r="O943" s="264"/>
      <c r="P943" s="264"/>
      <c r="Q943" s="264"/>
      <c r="R943" s="264"/>
      <c r="S943" s="264"/>
      <c r="T943" s="264"/>
      <c r="U943" s="264"/>
      <c r="V943" s="264"/>
      <c r="W943" s="264"/>
      <c r="X943" s="264"/>
      <c r="Y943" s="264"/>
      <c r="Z943" s="264"/>
    </row>
    <row r="944">
      <c r="A944" s="264"/>
      <c r="B944" s="264"/>
      <c r="C944" s="264"/>
      <c r="D944" s="264"/>
      <c r="E944" s="264"/>
      <c r="F944" s="264"/>
      <c r="G944" s="264"/>
      <c r="H944" s="264"/>
      <c r="I944" s="264"/>
      <c r="J944" s="264"/>
      <c r="K944" s="264"/>
      <c r="L944" s="264"/>
      <c r="M944" s="264"/>
      <c r="N944" s="264"/>
      <c r="O944" s="264"/>
      <c r="P944" s="264"/>
      <c r="Q944" s="264"/>
      <c r="R944" s="264"/>
      <c r="S944" s="264"/>
      <c r="T944" s="264"/>
      <c r="U944" s="264"/>
      <c r="V944" s="264"/>
      <c r="W944" s="264"/>
      <c r="X944" s="264"/>
      <c r="Y944" s="264"/>
      <c r="Z944" s="264"/>
    </row>
    <row r="945">
      <c r="A945" s="264"/>
      <c r="B945" s="264"/>
      <c r="C945" s="264"/>
      <c r="D945" s="264"/>
      <c r="E945" s="264"/>
      <c r="F945" s="264"/>
      <c r="G945" s="264"/>
      <c r="H945" s="264"/>
      <c r="I945" s="264"/>
      <c r="J945" s="264"/>
      <c r="K945" s="264"/>
      <c r="L945" s="264"/>
      <c r="M945" s="264"/>
      <c r="N945" s="264"/>
      <c r="O945" s="264"/>
      <c r="P945" s="264"/>
      <c r="Q945" s="264"/>
      <c r="R945" s="264"/>
      <c r="S945" s="264"/>
      <c r="T945" s="264"/>
      <c r="U945" s="264"/>
      <c r="V945" s="264"/>
      <c r="W945" s="264"/>
      <c r="X945" s="264"/>
      <c r="Y945" s="264"/>
      <c r="Z945" s="264"/>
    </row>
    <row r="946">
      <c r="A946" s="264"/>
      <c r="B946" s="264"/>
      <c r="C946" s="264"/>
      <c r="D946" s="264"/>
      <c r="E946" s="264"/>
      <c r="F946" s="264"/>
      <c r="G946" s="264"/>
      <c r="H946" s="264"/>
      <c r="I946" s="264"/>
      <c r="J946" s="264"/>
      <c r="K946" s="264"/>
      <c r="L946" s="264"/>
      <c r="M946" s="264"/>
      <c r="N946" s="264"/>
      <c r="O946" s="264"/>
      <c r="P946" s="264"/>
      <c r="Q946" s="264"/>
      <c r="R946" s="264"/>
      <c r="S946" s="264"/>
      <c r="T946" s="264"/>
      <c r="U946" s="264"/>
      <c r="V946" s="264"/>
      <c r="W946" s="264"/>
      <c r="X946" s="264"/>
      <c r="Y946" s="264"/>
      <c r="Z946" s="264"/>
    </row>
    <row r="947">
      <c r="A947" s="264"/>
      <c r="B947" s="264"/>
      <c r="C947" s="264"/>
      <c r="D947" s="264"/>
      <c r="E947" s="264"/>
      <c r="F947" s="264"/>
      <c r="G947" s="264"/>
      <c r="H947" s="264"/>
      <c r="I947" s="264"/>
      <c r="J947" s="264"/>
      <c r="K947" s="264"/>
      <c r="L947" s="264"/>
      <c r="M947" s="264"/>
      <c r="N947" s="264"/>
      <c r="O947" s="264"/>
      <c r="P947" s="264"/>
      <c r="Q947" s="264"/>
      <c r="R947" s="264"/>
      <c r="S947" s="264"/>
      <c r="T947" s="264"/>
      <c r="U947" s="264"/>
      <c r="V947" s="264"/>
      <c r="W947" s="264"/>
      <c r="X947" s="264"/>
      <c r="Y947" s="264"/>
      <c r="Z947" s="264"/>
    </row>
    <row r="948">
      <c r="A948" s="264"/>
      <c r="B948" s="264"/>
      <c r="C948" s="264"/>
      <c r="D948" s="264"/>
      <c r="E948" s="264"/>
      <c r="F948" s="264"/>
      <c r="G948" s="264"/>
      <c r="H948" s="264"/>
      <c r="I948" s="264"/>
      <c r="J948" s="264"/>
      <c r="K948" s="264"/>
      <c r="L948" s="264"/>
      <c r="M948" s="264"/>
      <c r="N948" s="264"/>
      <c r="O948" s="264"/>
      <c r="P948" s="264"/>
      <c r="Q948" s="264"/>
      <c r="R948" s="264"/>
      <c r="S948" s="264"/>
      <c r="T948" s="264"/>
      <c r="U948" s="264"/>
      <c r="V948" s="264"/>
      <c r="W948" s="264"/>
      <c r="X948" s="264"/>
      <c r="Y948" s="264"/>
      <c r="Z948" s="264"/>
    </row>
    <row r="949">
      <c r="A949" s="264"/>
      <c r="B949" s="264"/>
      <c r="C949" s="264"/>
      <c r="D949" s="264"/>
      <c r="E949" s="264"/>
      <c r="F949" s="264"/>
      <c r="G949" s="264"/>
      <c r="H949" s="264"/>
      <c r="I949" s="264"/>
      <c r="J949" s="264"/>
      <c r="K949" s="264"/>
      <c r="L949" s="264"/>
      <c r="M949" s="264"/>
      <c r="N949" s="264"/>
      <c r="O949" s="264"/>
      <c r="P949" s="264"/>
      <c r="Q949" s="264"/>
      <c r="R949" s="264"/>
      <c r="S949" s="264"/>
      <c r="T949" s="264"/>
      <c r="U949" s="264"/>
      <c r="V949" s="264"/>
      <c r="W949" s="264"/>
      <c r="X949" s="264"/>
      <c r="Y949" s="264"/>
      <c r="Z949" s="264"/>
    </row>
    <row r="950">
      <c r="A950" s="264"/>
      <c r="B950" s="264"/>
      <c r="C950" s="264"/>
      <c r="D950" s="264"/>
      <c r="E950" s="264"/>
      <c r="F950" s="264"/>
      <c r="G950" s="264"/>
      <c r="H950" s="264"/>
      <c r="I950" s="264"/>
      <c r="J950" s="264"/>
      <c r="K950" s="264"/>
      <c r="L950" s="264"/>
      <c r="M950" s="264"/>
      <c r="N950" s="264"/>
      <c r="O950" s="264"/>
      <c r="P950" s="264"/>
      <c r="Q950" s="264"/>
      <c r="R950" s="264"/>
      <c r="S950" s="264"/>
      <c r="T950" s="264"/>
      <c r="U950" s="264"/>
      <c r="V950" s="264"/>
      <c r="W950" s="264"/>
      <c r="X950" s="264"/>
      <c r="Y950" s="264"/>
      <c r="Z950" s="264"/>
    </row>
    <row r="951">
      <c r="A951" s="264"/>
      <c r="B951" s="264"/>
      <c r="C951" s="264"/>
      <c r="D951" s="264"/>
      <c r="E951" s="264"/>
      <c r="F951" s="264"/>
      <c r="G951" s="264"/>
      <c r="H951" s="264"/>
      <c r="I951" s="264"/>
      <c r="J951" s="264"/>
      <c r="K951" s="264"/>
      <c r="L951" s="264"/>
      <c r="M951" s="264"/>
      <c r="N951" s="264"/>
      <c r="O951" s="264"/>
      <c r="P951" s="264"/>
      <c r="Q951" s="264"/>
      <c r="R951" s="264"/>
      <c r="S951" s="264"/>
      <c r="T951" s="264"/>
      <c r="U951" s="264"/>
      <c r="V951" s="264"/>
      <c r="W951" s="264"/>
      <c r="X951" s="264"/>
      <c r="Y951" s="264"/>
      <c r="Z951" s="264"/>
    </row>
    <row r="952">
      <c r="A952" s="264"/>
      <c r="B952" s="264"/>
      <c r="C952" s="264"/>
      <c r="D952" s="264"/>
      <c r="E952" s="264"/>
      <c r="F952" s="264"/>
      <c r="G952" s="264"/>
      <c r="H952" s="264"/>
      <c r="I952" s="264"/>
      <c r="J952" s="264"/>
      <c r="K952" s="264"/>
      <c r="L952" s="264"/>
      <c r="M952" s="264"/>
      <c r="N952" s="264"/>
      <c r="O952" s="264"/>
      <c r="P952" s="264"/>
      <c r="Q952" s="264"/>
      <c r="R952" s="264"/>
      <c r="S952" s="264"/>
      <c r="T952" s="264"/>
      <c r="U952" s="264"/>
      <c r="V952" s="264"/>
      <c r="W952" s="264"/>
      <c r="X952" s="264"/>
      <c r="Y952" s="264"/>
      <c r="Z952" s="264"/>
    </row>
    <row r="953">
      <c r="A953" s="264"/>
      <c r="B953" s="264"/>
      <c r="C953" s="264"/>
      <c r="D953" s="264"/>
      <c r="E953" s="264"/>
      <c r="F953" s="264"/>
      <c r="G953" s="264"/>
      <c r="H953" s="264"/>
      <c r="I953" s="264"/>
      <c r="J953" s="264"/>
      <c r="K953" s="264"/>
      <c r="L953" s="264"/>
      <c r="M953" s="264"/>
      <c r="N953" s="264"/>
      <c r="O953" s="264"/>
      <c r="P953" s="264"/>
      <c r="Q953" s="264"/>
      <c r="R953" s="264"/>
      <c r="S953" s="264"/>
      <c r="T953" s="264"/>
      <c r="U953" s="264"/>
      <c r="V953" s="264"/>
      <c r="W953" s="264"/>
      <c r="X953" s="264"/>
      <c r="Y953" s="264"/>
      <c r="Z953" s="264"/>
    </row>
    <row r="954">
      <c r="A954" s="264"/>
      <c r="B954" s="264"/>
      <c r="C954" s="264"/>
      <c r="D954" s="264"/>
      <c r="E954" s="264"/>
      <c r="F954" s="264"/>
      <c r="G954" s="264"/>
      <c r="H954" s="264"/>
      <c r="I954" s="264"/>
      <c r="J954" s="264"/>
      <c r="K954" s="264"/>
      <c r="L954" s="264"/>
      <c r="M954" s="264"/>
      <c r="N954" s="264"/>
      <c r="O954" s="264"/>
      <c r="P954" s="264"/>
      <c r="Q954" s="264"/>
      <c r="R954" s="264"/>
      <c r="S954" s="264"/>
      <c r="T954" s="264"/>
      <c r="U954" s="264"/>
      <c r="V954" s="264"/>
      <c r="W954" s="264"/>
      <c r="X954" s="264"/>
      <c r="Y954" s="264"/>
      <c r="Z954" s="264"/>
    </row>
    <row r="955">
      <c r="A955" s="264"/>
      <c r="B955" s="264"/>
      <c r="C955" s="264"/>
      <c r="D955" s="264"/>
      <c r="E955" s="264"/>
      <c r="F955" s="264"/>
      <c r="G955" s="264"/>
      <c r="H955" s="264"/>
      <c r="I955" s="264"/>
      <c r="J955" s="264"/>
      <c r="K955" s="264"/>
      <c r="L955" s="264"/>
      <c r="M955" s="264"/>
      <c r="N955" s="264"/>
      <c r="O955" s="264"/>
      <c r="P955" s="264"/>
      <c r="Q955" s="264"/>
      <c r="R955" s="264"/>
      <c r="S955" s="264"/>
      <c r="T955" s="264"/>
      <c r="U955" s="264"/>
      <c r="V955" s="264"/>
      <c r="W955" s="264"/>
      <c r="X955" s="264"/>
      <c r="Y955" s="264"/>
      <c r="Z955" s="264"/>
    </row>
    <row r="956">
      <c r="A956" s="264"/>
      <c r="B956" s="264"/>
      <c r="C956" s="264"/>
      <c r="D956" s="264"/>
      <c r="E956" s="264"/>
      <c r="F956" s="264"/>
      <c r="G956" s="264"/>
      <c r="H956" s="264"/>
      <c r="I956" s="264"/>
      <c r="J956" s="264"/>
      <c r="K956" s="264"/>
      <c r="L956" s="264"/>
      <c r="M956" s="264"/>
      <c r="N956" s="264"/>
      <c r="O956" s="264"/>
      <c r="P956" s="264"/>
      <c r="Q956" s="264"/>
      <c r="R956" s="264"/>
      <c r="S956" s="264"/>
      <c r="T956" s="264"/>
      <c r="U956" s="264"/>
      <c r="V956" s="264"/>
      <c r="W956" s="264"/>
      <c r="X956" s="264"/>
      <c r="Y956" s="264"/>
      <c r="Z956" s="264"/>
    </row>
    <row r="957">
      <c r="A957" s="264"/>
      <c r="B957" s="264"/>
      <c r="C957" s="264"/>
      <c r="D957" s="264"/>
      <c r="E957" s="264"/>
      <c r="F957" s="264"/>
      <c r="G957" s="264"/>
      <c r="H957" s="264"/>
      <c r="I957" s="264"/>
      <c r="J957" s="264"/>
      <c r="K957" s="264"/>
      <c r="L957" s="264"/>
      <c r="M957" s="264"/>
      <c r="N957" s="264"/>
      <c r="O957" s="264"/>
      <c r="P957" s="264"/>
      <c r="Q957" s="264"/>
      <c r="R957" s="264"/>
      <c r="S957" s="264"/>
      <c r="T957" s="264"/>
      <c r="U957" s="264"/>
      <c r="V957" s="264"/>
      <c r="W957" s="264"/>
      <c r="X957" s="264"/>
      <c r="Y957" s="264"/>
      <c r="Z957" s="264"/>
    </row>
    <row r="958">
      <c r="A958" s="264"/>
      <c r="B958" s="264"/>
      <c r="C958" s="264"/>
      <c r="D958" s="264"/>
      <c r="E958" s="264"/>
      <c r="F958" s="264"/>
      <c r="G958" s="264"/>
      <c r="H958" s="264"/>
      <c r="I958" s="264"/>
      <c r="J958" s="264"/>
      <c r="K958" s="264"/>
      <c r="L958" s="264"/>
      <c r="M958" s="264"/>
      <c r="N958" s="264"/>
      <c r="O958" s="264"/>
      <c r="P958" s="264"/>
      <c r="Q958" s="264"/>
      <c r="R958" s="264"/>
      <c r="S958" s="264"/>
      <c r="T958" s="264"/>
      <c r="U958" s="264"/>
      <c r="V958" s="264"/>
      <c r="W958" s="264"/>
      <c r="X958" s="264"/>
      <c r="Y958" s="264"/>
      <c r="Z958" s="264"/>
    </row>
    <row r="959">
      <c r="A959" s="264"/>
      <c r="B959" s="264"/>
      <c r="C959" s="264"/>
      <c r="D959" s="264"/>
      <c r="E959" s="264"/>
      <c r="F959" s="264"/>
      <c r="G959" s="264"/>
      <c r="H959" s="264"/>
      <c r="I959" s="264"/>
      <c r="J959" s="264"/>
      <c r="K959" s="264"/>
      <c r="L959" s="264"/>
      <c r="M959" s="264"/>
      <c r="N959" s="264"/>
      <c r="O959" s="264"/>
      <c r="P959" s="264"/>
      <c r="Q959" s="264"/>
      <c r="R959" s="264"/>
      <c r="S959" s="264"/>
      <c r="T959" s="264"/>
      <c r="U959" s="264"/>
      <c r="V959" s="264"/>
      <c r="W959" s="264"/>
      <c r="X959" s="264"/>
      <c r="Y959" s="264"/>
      <c r="Z959" s="264"/>
    </row>
    <row r="960">
      <c r="A960" s="264"/>
      <c r="B960" s="264"/>
      <c r="C960" s="264"/>
      <c r="D960" s="264"/>
      <c r="E960" s="264"/>
      <c r="F960" s="264"/>
      <c r="G960" s="264"/>
      <c r="H960" s="264"/>
      <c r="I960" s="264"/>
      <c r="J960" s="264"/>
      <c r="K960" s="264"/>
      <c r="L960" s="264"/>
      <c r="M960" s="264"/>
      <c r="N960" s="264"/>
      <c r="O960" s="264"/>
      <c r="P960" s="264"/>
      <c r="Q960" s="264"/>
      <c r="R960" s="264"/>
      <c r="S960" s="264"/>
      <c r="T960" s="264"/>
      <c r="U960" s="264"/>
      <c r="V960" s="264"/>
      <c r="W960" s="264"/>
      <c r="X960" s="264"/>
      <c r="Y960" s="264"/>
      <c r="Z960" s="264"/>
    </row>
    <row r="961">
      <c r="A961" s="264"/>
      <c r="B961" s="264"/>
      <c r="C961" s="264"/>
      <c r="D961" s="264"/>
      <c r="E961" s="264"/>
      <c r="F961" s="264"/>
      <c r="G961" s="264"/>
      <c r="H961" s="264"/>
      <c r="I961" s="264"/>
      <c r="J961" s="264"/>
      <c r="K961" s="264"/>
      <c r="L961" s="264"/>
      <c r="M961" s="264"/>
      <c r="N961" s="264"/>
      <c r="O961" s="264"/>
      <c r="P961" s="264"/>
      <c r="Q961" s="264"/>
      <c r="R961" s="264"/>
      <c r="S961" s="264"/>
      <c r="T961" s="264"/>
      <c r="U961" s="264"/>
      <c r="V961" s="264"/>
      <c r="W961" s="264"/>
      <c r="X961" s="264"/>
      <c r="Y961" s="264"/>
      <c r="Z961" s="264"/>
    </row>
    <row r="962">
      <c r="A962" s="264"/>
      <c r="B962" s="264"/>
      <c r="C962" s="264"/>
      <c r="D962" s="264"/>
      <c r="E962" s="264"/>
      <c r="F962" s="264"/>
      <c r="G962" s="264"/>
      <c r="H962" s="264"/>
      <c r="I962" s="264"/>
      <c r="J962" s="264"/>
      <c r="K962" s="264"/>
      <c r="L962" s="264"/>
      <c r="M962" s="264"/>
      <c r="N962" s="264"/>
      <c r="O962" s="264"/>
      <c r="P962" s="264"/>
      <c r="Q962" s="264"/>
      <c r="R962" s="264"/>
      <c r="S962" s="264"/>
      <c r="T962" s="264"/>
      <c r="U962" s="264"/>
      <c r="V962" s="264"/>
      <c r="W962" s="264"/>
      <c r="X962" s="264"/>
      <c r="Y962" s="264"/>
      <c r="Z962" s="264"/>
    </row>
    <row r="963">
      <c r="A963" s="264"/>
      <c r="B963" s="264"/>
      <c r="C963" s="264"/>
      <c r="D963" s="264"/>
      <c r="E963" s="264"/>
      <c r="F963" s="264"/>
      <c r="G963" s="264"/>
      <c r="H963" s="264"/>
      <c r="I963" s="264"/>
      <c r="J963" s="264"/>
      <c r="K963" s="264"/>
      <c r="L963" s="264"/>
      <c r="M963" s="264"/>
      <c r="N963" s="264"/>
      <c r="O963" s="264"/>
      <c r="P963" s="264"/>
      <c r="Q963" s="264"/>
      <c r="R963" s="264"/>
      <c r="S963" s="264"/>
      <c r="T963" s="264"/>
      <c r="U963" s="264"/>
      <c r="V963" s="264"/>
      <c r="W963" s="264"/>
      <c r="X963" s="264"/>
      <c r="Y963" s="264"/>
      <c r="Z963" s="264"/>
    </row>
    <row r="964">
      <c r="A964" s="264"/>
      <c r="B964" s="264"/>
      <c r="C964" s="264"/>
      <c r="D964" s="264"/>
      <c r="E964" s="264"/>
      <c r="F964" s="264"/>
      <c r="G964" s="264"/>
      <c r="H964" s="264"/>
      <c r="I964" s="264"/>
      <c r="J964" s="264"/>
      <c r="K964" s="264"/>
      <c r="L964" s="264"/>
      <c r="M964" s="264"/>
      <c r="N964" s="264"/>
      <c r="O964" s="264"/>
      <c r="P964" s="264"/>
      <c r="Q964" s="264"/>
      <c r="R964" s="264"/>
      <c r="S964" s="264"/>
      <c r="T964" s="264"/>
      <c r="U964" s="264"/>
      <c r="V964" s="264"/>
      <c r="W964" s="264"/>
      <c r="X964" s="264"/>
      <c r="Y964" s="264"/>
      <c r="Z964" s="264"/>
    </row>
    <row r="965">
      <c r="A965" s="264"/>
      <c r="B965" s="264"/>
      <c r="C965" s="264"/>
      <c r="D965" s="264"/>
      <c r="E965" s="264"/>
      <c r="F965" s="264"/>
      <c r="G965" s="264"/>
      <c r="H965" s="264"/>
      <c r="I965" s="264"/>
      <c r="J965" s="264"/>
      <c r="K965" s="264"/>
      <c r="L965" s="264"/>
      <c r="M965" s="264"/>
      <c r="N965" s="264"/>
      <c r="O965" s="264"/>
      <c r="P965" s="264"/>
      <c r="Q965" s="264"/>
      <c r="R965" s="264"/>
      <c r="S965" s="264"/>
      <c r="T965" s="264"/>
      <c r="U965" s="264"/>
      <c r="V965" s="264"/>
      <c r="W965" s="264"/>
      <c r="X965" s="264"/>
      <c r="Y965" s="264"/>
      <c r="Z965" s="264"/>
    </row>
    <row r="966">
      <c r="A966" s="264"/>
      <c r="B966" s="264"/>
      <c r="C966" s="264"/>
      <c r="D966" s="264"/>
      <c r="E966" s="264"/>
      <c r="F966" s="264"/>
      <c r="G966" s="264"/>
      <c r="H966" s="264"/>
      <c r="I966" s="264"/>
      <c r="J966" s="264"/>
      <c r="K966" s="264"/>
      <c r="L966" s="264"/>
      <c r="M966" s="264"/>
      <c r="N966" s="264"/>
      <c r="O966" s="264"/>
      <c r="P966" s="264"/>
      <c r="Q966" s="264"/>
      <c r="R966" s="264"/>
      <c r="S966" s="264"/>
      <c r="T966" s="264"/>
      <c r="U966" s="264"/>
      <c r="V966" s="264"/>
      <c r="W966" s="264"/>
      <c r="X966" s="264"/>
      <c r="Y966" s="264"/>
      <c r="Z966" s="264"/>
    </row>
    <row r="967">
      <c r="A967" s="264"/>
      <c r="B967" s="264"/>
      <c r="C967" s="264"/>
      <c r="D967" s="264"/>
      <c r="E967" s="264"/>
      <c r="F967" s="264"/>
      <c r="G967" s="264"/>
      <c r="H967" s="264"/>
      <c r="I967" s="264"/>
      <c r="J967" s="264"/>
      <c r="K967" s="264"/>
      <c r="L967" s="264"/>
      <c r="M967" s="264"/>
      <c r="N967" s="264"/>
      <c r="O967" s="264"/>
      <c r="P967" s="264"/>
      <c r="Q967" s="264"/>
      <c r="R967" s="264"/>
      <c r="S967" s="264"/>
      <c r="T967" s="264"/>
      <c r="U967" s="264"/>
      <c r="V967" s="264"/>
      <c r="W967" s="264"/>
      <c r="X967" s="264"/>
      <c r="Y967" s="264"/>
      <c r="Z967" s="264"/>
    </row>
    <row r="968">
      <c r="A968" s="264"/>
      <c r="B968" s="264"/>
      <c r="C968" s="264"/>
      <c r="D968" s="264"/>
      <c r="E968" s="264"/>
      <c r="F968" s="264"/>
      <c r="G968" s="264"/>
      <c r="H968" s="264"/>
      <c r="I968" s="264"/>
      <c r="J968" s="264"/>
      <c r="K968" s="264"/>
      <c r="L968" s="264"/>
      <c r="M968" s="264"/>
      <c r="N968" s="264"/>
      <c r="O968" s="264"/>
      <c r="P968" s="264"/>
      <c r="Q968" s="264"/>
      <c r="R968" s="264"/>
      <c r="S968" s="264"/>
      <c r="T968" s="264"/>
      <c r="U968" s="264"/>
      <c r="V968" s="264"/>
      <c r="W968" s="264"/>
      <c r="X968" s="264"/>
      <c r="Y968" s="264"/>
      <c r="Z968" s="264"/>
    </row>
    <row r="969">
      <c r="A969" s="264"/>
      <c r="B969" s="264"/>
      <c r="C969" s="264"/>
      <c r="D969" s="264"/>
      <c r="E969" s="264"/>
      <c r="F969" s="264"/>
      <c r="G969" s="264"/>
      <c r="H969" s="264"/>
      <c r="I969" s="264"/>
      <c r="J969" s="264"/>
      <c r="K969" s="264"/>
      <c r="L969" s="264"/>
      <c r="M969" s="264"/>
      <c r="N969" s="264"/>
      <c r="O969" s="264"/>
      <c r="P969" s="264"/>
      <c r="Q969" s="264"/>
      <c r="R969" s="264"/>
      <c r="S969" s="264"/>
      <c r="T969" s="264"/>
      <c r="U969" s="264"/>
      <c r="V969" s="264"/>
      <c r="W969" s="264"/>
      <c r="X969" s="264"/>
      <c r="Y969" s="264"/>
      <c r="Z969" s="264"/>
    </row>
    <row r="970">
      <c r="A970" s="264"/>
      <c r="B970" s="264"/>
      <c r="C970" s="264"/>
      <c r="D970" s="264"/>
      <c r="E970" s="264"/>
      <c r="F970" s="264"/>
      <c r="G970" s="264"/>
      <c r="H970" s="264"/>
      <c r="I970" s="264"/>
      <c r="J970" s="264"/>
      <c r="K970" s="264"/>
      <c r="L970" s="264"/>
      <c r="M970" s="264"/>
      <c r="N970" s="264"/>
      <c r="O970" s="264"/>
      <c r="P970" s="264"/>
      <c r="Q970" s="264"/>
      <c r="R970" s="264"/>
      <c r="S970" s="264"/>
      <c r="T970" s="264"/>
      <c r="U970" s="264"/>
      <c r="V970" s="264"/>
      <c r="W970" s="264"/>
      <c r="X970" s="264"/>
      <c r="Y970" s="264"/>
      <c r="Z970" s="264"/>
    </row>
    <row r="971">
      <c r="A971" s="264"/>
      <c r="B971" s="264"/>
      <c r="C971" s="264"/>
      <c r="D971" s="264"/>
      <c r="E971" s="264"/>
      <c r="F971" s="264"/>
      <c r="G971" s="264"/>
      <c r="H971" s="264"/>
      <c r="I971" s="264"/>
      <c r="J971" s="264"/>
      <c r="K971" s="264"/>
      <c r="L971" s="264"/>
      <c r="M971" s="264"/>
      <c r="N971" s="264"/>
      <c r="O971" s="264"/>
      <c r="P971" s="264"/>
      <c r="Q971" s="264"/>
      <c r="R971" s="264"/>
      <c r="S971" s="264"/>
      <c r="T971" s="264"/>
      <c r="U971" s="264"/>
      <c r="V971" s="264"/>
      <c r="W971" s="264"/>
      <c r="X971" s="264"/>
      <c r="Y971" s="264"/>
      <c r="Z971" s="264"/>
    </row>
    <row r="972">
      <c r="A972" s="264"/>
      <c r="B972" s="264"/>
      <c r="C972" s="264"/>
      <c r="D972" s="264"/>
      <c r="E972" s="264"/>
      <c r="F972" s="264"/>
      <c r="G972" s="264"/>
      <c r="H972" s="264"/>
      <c r="I972" s="264"/>
      <c r="J972" s="264"/>
      <c r="K972" s="264"/>
      <c r="L972" s="264"/>
      <c r="M972" s="264"/>
      <c r="N972" s="264"/>
      <c r="O972" s="264"/>
      <c r="P972" s="264"/>
      <c r="Q972" s="264"/>
      <c r="R972" s="264"/>
      <c r="S972" s="264"/>
      <c r="T972" s="264"/>
      <c r="U972" s="264"/>
      <c r="V972" s="264"/>
      <c r="W972" s="264"/>
      <c r="X972" s="264"/>
      <c r="Y972" s="264"/>
      <c r="Z972" s="264"/>
    </row>
    <row r="973">
      <c r="A973" s="264"/>
      <c r="B973" s="264"/>
      <c r="C973" s="264"/>
      <c r="D973" s="264"/>
      <c r="E973" s="264"/>
      <c r="F973" s="264"/>
      <c r="G973" s="264"/>
      <c r="H973" s="264"/>
      <c r="I973" s="264"/>
      <c r="J973" s="264"/>
      <c r="K973" s="264"/>
      <c r="L973" s="264"/>
      <c r="M973" s="264"/>
      <c r="N973" s="264"/>
      <c r="O973" s="264"/>
      <c r="P973" s="264"/>
      <c r="Q973" s="264"/>
      <c r="R973" s="264"/>
      <c r="S973" s="264"/>
      <c r="T973" s="264"/>
      <c r="U973" s="264"/>
      <c r="V973" s="264"/>
      <c r="W973" s="264"/>
      <c r="X973" s="264"/>
      <c r="Y973" s="264"/>
      <c r="Z973" s="264"/>
    </row>
    <row r="974">
      <c r="A974" s="264"/>
      <c r="B974" s="264"/>
      <c r="C974" s="264"/>
      <c r="D974" s="264"/>
      <c r="E974" s="264"/>
      <c r="F974" s="264"/>
      <c r="G974" s="264"/>
      <c r="H974" s="264"/>
      <c r="I974" s="264"/>
      <c r="J974" s="264"/>
      <c r="K974" s="264"/>
      <c r="L974" s="264"/>
      <c r="M974" s="264"/>
      <c r="N974" s="264"/>
      <c r="O974" s="264"/>
      <c r="P974" s="264"/>
      <c r="Q974" s="264"/>
      <c r="R974" s="264"/>
      <c r="S974" s="264"/>
      <c r="T974" s="264"/>
      <c r="U974" s="264"/>
      <c r="V974" s="264"/>
      <c r="W974" s="264"/>
      <c r="X974" s="264"/>
      <c r="Y974" s="264"/>
      <c r="Z974" s="264"/>
    </row>
    <row r="975">
      <c r="A975" s="264"/>
      <c r="B975" s="264"/>
      <c r="C975" s="264"/>
      <c r="D975" s="264"/>
      <c r="E975" s="264"/>
      <c r="F975" s="264"/>
      <c r="G975" s="264"/>
      <c r="H975" s="264"/>
      <c r="I975" s="264"/>
      <c r="J975" s="264"/>
      <c r="K975" s="264"/>
      <c r="L975" s="264"/>
      <c r="M975" s="264"/>
      <c r="N975" s="264"/>
      <c r="O975" s="264"/>
      <c r="P975" s="264"/>
      <c r="Q975" s="264"/>
      <c r="R975" s="264"/>
      <c r="S975" s="264"/>
      <c r="T975" s="264"/>
      <c r="U975" s="264"/>
      <c r="V975" s="264"/>
      <c r="W975" s="264"/>
      <c r="X975" s="264"/>
      <c r="Y975" s="264"/>
      <c r="Z975" s="264"/>
    </row>
    <row r="976">
      <c r="A976" s="264"/>
      <c r="B976" s="264"/>
      <c r="C976" s="264"/>
      <c r="D976" s="264"/>
      <c r="E976" s="264"/>
      <c r="F976" s="264"/>
      <c r="G976" s="264"/>
      <c r="H976" s="264"/>
      <c r="I976" s="264"/>
      <c r="J976" s="264"/>
      <c r="K976" s="264"/>
      <c r="L976" s="264"/>
      <c r="M976" s="264"/>
      <c r="N976" s="264"/>
      <c r="O976" s="264"/>
      <c r="P976" s="264"/>
      <c r="Q976" s="264"/>
      <c r="R976" s="264"/>
      <c r="S976" s="264"/>
      <c r="T976" s="264"/>
      <c r="U976" s="264"/>
      <c r="V976" s="264"/>
      <c r="W976" s="264"/>
      <c r="X976" s="264"/>
      <c r="Y976" s="264"/>
      <c r="Z976" s="264"/>
    </row>
    <row r="977">
      <c r="A977" s="264"/>
      <c r="B977" s="264"/>
      <c r="C977" s="264"/>
      <c r="D977" s="264"/>
      <c r="E977" s="264"/>
      <c r="F977" s="264"/>
      <c r="G977" s="264"/>
      <c r="H977" s="264"/>
      <c r="I977" s="264"/>
      <c r="J977" s="264"/>
      <c r="K977" s="264"/>
      <c r="L977" s="264"/>
      <c r="M977" s="264"/>
      <c r="N977" s="264"/>
      <c r="O977" s="264"/>
      <c r="P977" s="264"/>
      <c r="Q977" s="264"/>
      <c r="R977" s="264"/>
      <c r="S977" s="264"/>
      <c r="T977" s="264"/>
      <c r="U977" s="264"/>
      <c r="V977" s="264"/>
      <c r="W977" s="264"/>
      <c r="X977" s="264"/>
      <c r="Y977" s="264"/>
      <c r="Z977" s="264"/>
    </row>
    <row r="978">
      <c r="A978" s="264"/>
      <c r="B978" s="264"/>
      <c r="C978" s="264"/>
      <c r="D978" s="264"/>
      <c r="E978" s="264"/>
      <c r="F978" s="264"/>
      <c r="G978" s="264"/>
      <c r="H978" s="264"/>
      <c r="I978" s="264"/>
      <c r="J978" s="264"/>
      <c r="K978" s="264"/>
      <c r="L978" s="264"/>
      <c r="M978" s="264"/>
      <c r="N978" s="264"/>
      <c r="O978" s="264"/>
      <c r="P978" s="264"/>
      <c r="Q978" s="264"/>
      <c r="R978" s="264"/>
      <c r="S978" s="264"/>
      <c r="T978" s="264"/>
      <c r="U978" s="264"/>
      <c r="V978" s="264"/>
      <c r="W978" s="264"/>
      <c r="X978" s="264"/>
      <c r="Y978" s="264"/>
      <c r="Z978" s="264"/>
    </row>
    <row r="979">
      <c r="A979" s="264"/>
      <c r="B979" s="264"/>
      <c r="C979" s="264"/>
      <c r="D979" s="264"/>
      <c r="E979" s="264"/>
      <c r="F979" s="264"/>
      <c r="G979" s="264"/>
      <c r="H979" s="264"/>
      <c r="I979" s="264"/>
      <c r="J979" s="264"/>
      <c r="K979" s="264"/>
      <c r="L979" s="264"/>
      <c r="M979" s="264"/>
      <c r="N979" s="264"/>
      <c r="O979" s="264"/>
      <c r="P979" s="264"/>
      <c r="Q979" s="264"/>
      <c r="R979" s="264"/>
      <c r="S979" s="264"/>
      <c r="T979" s="264"/>
      <c r="U979" s="264"/>
      <c r="V979" s="264"/>
      <c r="W979" s="264"/>
      <c r="X979" s="264"/>
      <c r="Y979" s="264"/>
      <c r="Z979" s="264"/>
    </row>
    <row r="980">
      <c r="A980" s="264"/>
      <c r="B980" s="264"/>
      <c r="C980" s="264"/>
      <c r="D980" s="264"/>
      <c r="E980" s="264"/>
      <c r="F980" s="264"/>
      <c r="G980" s="264"/>
      <c r="H980" s="264"/>
      <c r="I980" s="264"/>
      <c r="J980" s="264"/>
      <c r="K980" s="264"/>
      <c r="L980" s="264"/>
      <c r="M980" s="264"/>
      <c r="N980" s="264"/>
      <c r="O980" s="264"/>
      <c r="P980" s="264"/>
      <c r="Q980" s="264"/>
      <c r="R980" s="264"/>
      <c r="S980" s="264"/>
      <c r="T980" s="264"/>
      <c r="U980" s="264"/>
      <c r="V980" s="264"/>
      <c r="W980" s="264"/>
      <c r="X980" s="264"/>
      <c r="Y980" s="264"/>
      <c r="Z980" s="264"/>
    </row>
    <row r="981">
      <c r="A981" s="264"/>
      <c r="B981" s="264"/>
      <c r="C981" s="264"/>
      <c r="D981" s="264"/>
      <c r="E981" s="264"/>
      <c r="F981" s="264"/>
      <c r="G981" s="264"/>
      <c r="H981" s="264"/>
      <c r="I981" s="264"/>
      <c r="J981" s="264"/>
      <c r="K981" s="264"/>
      <c r="L981" s="264"/>
      <c r="M981" s="264"/>
      <c r="N981" s="264"/>
      <c r="O981" s="264"/>
      <c r="P981" s="264"/>
      <c r="Q981" s="264"/>
      <c r="R981" s="264"/>
      <c r="S981" s="264"/>
      <c r="T981" s="264"/>
      <c r="U981" s="264"/>
      <c r="V981" s="264"/>
      <c r="W981" s="264"/>
      <c r="X981" s="264"/>
      <c r="Y981" s="264"/>
      <c r="Z981" s="264"/>
    </row>
    <row r="982">
      <c r="A982" s="264"/>
      <c r="B982" s="264"/>
      <c r="C982" s="264"/>
      <c r="D982" s="264"/>
      <c r="E982" s="264"/>
      <c r="F982" s="264"/>
      <c r="G982" s="264"/>
      <c r="H982" s="264"/>
      <c r="I982" s="264"/>
      <c r="J982" s="264"/>
      <c r="K982" s="264"/>
      <c r="L982" s="264"/>
      <c r="M982" s="264"/>
      <c r="N982" s="264"/>
      <c r="O982" s="264"/>
      <c r="P982" s="264"/>
      <c r="Q982" s="264"/>
      <c r="R982" s="264"/>
      <c r="S982" s="264"/>
      <c r="T982" s="264"/>
      <c r="U982" s="264"/>
      <c r="V982" s="264"/>
      <c r="W982" s="264"/>
      <c r="X982" s="264"/>
      <c r="Y982" s="264"/>
      <c r="Z982" s="264"/>
    </row>
    <row r="983">
      <c r="A983" s="264"/>
      <c r="B983" s="264"/>
      <c r="C983" s="264"/>
      <c r="D983" s="264"/>
      <c r="E983" s="264"/>
      <c r="F983" s="264"/>
      <c r="G983" s="264"/>
      <c r="H983" s="264"/>
      <c r="I983" s="264"/>
      <c r="J983" s="264"/>
      <c r="K983" s="264"/>
      <c r="L983" s="264"/>
      <c r="M983" s="264"/>
      <c r="N983" s="264"/>
      <c r="O983" s="264"/>
      <c r="P983" s="264"/>
      <c r="Q983" s="264"/>
      <c r="R983" s="264"/>
      <c r="S983" s="264"/>
      <c r="T983" s="264"/>
      <c r="U983" s="264"/>
      <c r="V983" s="264"/>
      <c r="W983" s="264"/>
      <c r="X983" s="264"/>
      <c r="Y983" s="264"/>
      <c r="Z983" s="264"/>
    </row>
    <row r="984">
      <c r="A984" s="264"/>
      <c r="B984" s="264"/>
      <c r="C984" s="264"/>
      <c r="D984" s="264"/>
      <c r="E984" s="264"/>
      <c r="F984" s="264"/>
      <c r="G984" s="264"/>
      <c r="H984" s="264"/>
      <c r="I984" s="264"/>
      <c r="J984" s="264"/>
      <c r="K984" s="264"/>
      <c r="L984" s="264"/>
      <c r="M984" s="264"/>
      <c r="N984" s="264"/>
      <c r="O984" s="264"/>
      <c r="P984" s="264"/>
      <c r="Q984" s="264"/>
      <c r="R984" s="264"/>
      <c r="S984" s="264"/>
      <c r="T984" s="264"/>
      <c r="U984" s="264"/>
      <c r="V984" s="264"/>
      <c r="W984" s="264"/>
      <c r="X984" s="264"/>
      <c r="Y984" s="264"/>
      <c r="Z984" s="264"/>
    </row>
    <row r="985">
      <c r="A985" s="264"/>
      <c r="B985" s="264"/>
      <c r="C985" s="264"/>
      <c r="D985" s="264"/>
      <c r="E985" s="264"/>
      <c r="F985" s="264"/>
      <c r="G985" s="264"/>
      <c r="H985" s="264"/>
      <c r="I985" s="264"/>
      <c r="J985" s="264"/>
      <c r="K985" s="264"/>
      <c r="L985" s="264"/>
      <c r="M985" s="264"/>
      <c r="N985" s="264"/>
      <c r="O985" s="264"/>
      <c r="P985" s="264"/>
      <c r="Q985" s="264"/>
      <c r="R985" s="264"/>
      <c r="S985" s="264"/>
      <c r="T985" s="264"/>
      <c r="U985" s="264"/>
      <c r="V985" s="264"/>
      <c r="W985" s="264"/>
      <c r="X985" s="264"/>
      <c r="Y985" s="264"/>
      <c r="Z985" s="264"/>
    </row>
    <row r="986">
      <c r="A986" s="264"/>
      <c r="B986" s="264"/>
      <c r="C986" s="264"/>
      <c r="D986" s="264"/>
      <c r="E986" s="264"/>
      <c r="F986" s="264"/>
      <c r="G986" s="264"/>
      <c r="H986" s="264"/>
      <c r="I986" s="264"/>
      <c r="J986" s="264"/>
      <c r="K986" s="264"/>
      <c r="L986" s="264"/>
      <c r="M986" s="264"/>
      <c r="N986" s="264"/>
      <c r="O986" s="264"/>
      <c r="P986" s="264"/>
      <c r="Q986" s="264"/>
      <c r="R986" s="264"/>
      <c r="S986" s="264"/>
      <c r="T986" s="264"/>
      <c r="U986" s="264"/>
      <c r="V986" s="264"/>
      <c r="W986" s="264"/>
      <c r="X986" s="264"/>
      <c r="Y986" s="264"/>
      <c r="Z986" s="264"/>
    </row>
    <row r="987">
      <c r="A987" s="264"/>
      <c r="B987" s="264"/>
      <c r="C987" s="264"/>
      <c r="D987" s="264"/>
      <c r="E987" s="264"/>
      <c r="F987" s="264"/>
      <c r="G987" s="264"/>
      <c r="H987" s="264"/>
      <c r="I987" s="264"/>
      <c r="J987" s="264"/>
      <c r="K987" s="264"/>
      <c r="L987" s="264"/>
      <c r="M987" s="264"/>
      <c r="N987" s="264"/>
      <c r="O987" s="264"/>
      <c r="P987" s="264"/>
      <c r="Q987" s="264"/>
      <c r="R987" s="264"/>
      <c r="S987" s="264"/>
      <c r="T987" s="264"/>
      <c r="U987" s="264"/>
      <c r="V987" s="264"/>
      <c r="W987" s="264"/>
      <c r="X987" s="264"/>
      <c r="Y987" s="264"/>
      <c r="Z987" s="264"/>
    </row>
    <row r="988">
      <c r="A988" s="264"/>
      <c r="B988" s="264"/>
      <c r="C988" s="264"/>
      <c r="D988" s="264"/>
      <c r="E988" s="264"/>
      <c r="F988" s="264"/>
      <c r="G988" s="264"/>
      <c r="H988" s="264"/>
      <c r="I988" s="264"/>
      <c r="J988" s="264"/>
      <c r="K988" s="264"/>
      <c r="L988" s="264"/>
      <c r="M988" s="264"/>
      <c r="N988" s="264"/>
      <c r="O988" s="264"/>
      <c r="P988" s="264"/>
      <c r="Q988" s="264"/>
      <c r="R988" s="264"/>
      <c r="S988" s="264"/>
      <c r="T988" s="264"/>
      <c r="U988" s="264"/>
      <c r="V988" s="264"/>
      <c r="W988" s="264"/>
      <c r="X988" s="264"/>
      <c r="Y988" s="264"/>
      <c r="Z988" s="264"/>
    </row>
    <row r="989">
      <c r="A989" s="264"/>
      <c r="B989" s="264"/>
      <c r="C989" s="264"/>
      <c r="D989" s="264"/>
      <c r="E989" s="264"/>
      <c r="F989" s="264"/>
      <c r="G989" s="264"/>
      <c r="H989" s="264"/>
      <c r="I989" s="264"/>
      <c r="J989" s="264"/>
      <c r="K989" s="264"/>
      <c r="L989" s="264"/>
      <c r="M989" s="264"/>
      <c r="N989" s="264"/>
      <c r="O989" s="264"/>
      <c r="P989" s="264"/>
      <c r="Q989" s="264"/>
      <c r="R989" s="264"/>
      <c r="S989" s="264"/>
      <c r="T989" s="264"/>
      <c r="U989" s="264"/>
      <c r="V989" s="264"/>
      <c r="W989" s="264"/>
      <c r="X989" s="264"/>
      <c r="Y989" s="264"/>
      <c r="Z989" s="264"/>
    </row>
    <row r="990">
      <c r="A990" s="264"/>
      <c r="B990" s="264"/>
      <c r="C990" s="264"/>
      <c r="D990" s="264"/>
      <c r="E990" s="264"/>
      <c r="F990" s="264"/>
      <c r="G990" s="264"/>
      <c r="H990" s="264"/>
      <c r="I990" s="264"/>
      <c r="J990" s="264"/>
      <c r="K990" s="264"/>
      <c r="L990" s="264"/>
      <c r="M990" s="264"/>
      <c r="N990" s="264"/>
      <c r="O990" s="264"/>
      <c r="P990" s="264"/>
      <c r="Q990" s="264"/>
      <c r="R990" s="264"/>
      <c r="S990" s="264"/>
      <c r="T990" s="264"/>
      <c r="U990" s="264"/>
      <c r="V990" s="264"/>
      <c r="W990" s="264"/>
      <c r="X990" s="264"/>
      <c r="Y990" s="264"/>
      <c r="Z990" s="264"/>
    </row>
    <row r="991">
      <c r="A991" s="264"/>
      <c r="B991" s="264"/>
      <c r="C991" s="264"/>
      <c r="D991" s="264"/>
      <c r="E991" s="264"/>
      <c r="F991" s="264"/>
      <c r="G991" s="264"/>
      <c r="H991" s="264"/>
      <c r="I991" s="264"/>
      <c r="J991" s="264"/>
      <c r="K991" s="264"/>
      <c r="L991" s="264"/>
      <c r="M991" s="264"/>
      <c r="N991" s="264"/>
      <c r="O991" s="264"/>
      <c r="P991" s="264"/>
      <c r="Q991" s="264"/>
      <c r="R991" s="264"/>
      <c r="S991" s="264"/>
      <c r="T991" s="264"/>
      <c r="U991" s="264"/>
      <c r="V991" s="264"/>
      <c r="W991" s="264"/>
      <c r="X991" s="264"/>
      <c r="Y991" s="264"/>
      <c r="Z991" s="264"/>
    </row>
    <row r="992">
      <c r="A992" s="264"/>
      <c r="B992" s="264"/>
      <c r="C992" s="264"/>
      <c r="D992" s="264"/>
      <c r="E992" s="264"/>
      <c r="F992" s="264"/>
      <c r="G992" s="264"/>
      <c r="H992" s="264"/>
      <c r="I992" s="264"/>
      <c r="J992" s="264"/>
      <c r="K992" s="264"/>
      <c r="L992" s="264"/>
      <c r="M992" s="264"/>
      <c r="N992" s="264"/>
      <c r="O992" s="264"/>
      <c r="P992" s="264"/>
      <c r="Q992" s="264"/>
      <c r="R992" s="264"/>
      <c r="S992" s="264"/>
      <c r="T992" s="264"/>
      <c r="U992" s="264"/>
      <c r="V992" s="264"/>
      <c r="W992" s="264"/>
      <c r="X992" s="264"/>
      <c r="Y992" s="264"/>
      <c r="Z992" s="264"/>
    </row>
    <row r="993">
      <c r="A993" s="264"/>
      <c r="B993" s="264"/>
      <c r="C993" s="264"/>
      <c r="D993" s="264"/>
      <c r="E993" s="264"/>
      <c r="F993" s="264"/>
      <c r="G993" s="264"/>
      <c r="H993" s="264"/>
      <c r="I993" s="264"/>
      <c r="J993" s="264"/>
      <c r="K993" s="264"/>
      <c r="L993" s="264"/>
      <c r="M993" s="264"/>
      <c r="N993" s="264"/>
      <c r="O993" s="264"/>
      <c r="P993" s="264"/>
      <c r="Q993" s="264"/>
      <c r="R993" s="264"/>
      <c r="S993" s="264"/>
      <c r="T993" s="264"/>
      <c r="U993" s="264"/>
      <c r="V993" s="264"/>
      <c r="W993" s="264"/>
      <c r="X993" s="264"/>
      <c r="Y993" s="264"/>
      <c r="Z993" s="264"/>
    </row>
    <row r="994">
      <c r="A994" s="264"/>
      <c r="B994" s="264"/>
      <c r="C994" s="264"/>
      <c r="D994" s="264"/>
      <c r="E994" s="264"/>
      <c r="F994" s="264"/>
      <c r="G994" s="264"/>
      <c r="H994" s="264"/>
      <c r="I994" s="264"/>
      <c r="J994" s="264"/>
      <c r="K994" s="264"/>
      <c r="L994" s="264"/>
      <c r="M994" s="264"/>
      <c r="N994" s="264"/>
      <c r="O994" s="264"/>
      <c r="P994" s="264"/>
      <c r="Q994" s="264"/>
      <c r="R994" s="264"/>
      <c r="S994" s="264"/>
      <c r="T994" s="264"/>
      <c r="U994" s="264"/>
      <c r="V994" s="264"/>
      <c r="W994" s="264"/>
      <c r="X994" s="264"/>
      <c r="Y994" s="264"/>
      <c r="Z994" s="264"/>
    </row>
    <row r="995">
      <c r="A995" s="264"/>
      <c r="B995" s="264"/>
      <c r="C995" s="264"/>
      <c r="D995" s="264"/>
      <c r="E995" s="264"/>
      <c r="F995" s="264"/>
      <c r="G995" s="264"/>
      <c r="H995" s="264"/>
      <c r="I995" s="264"/>
      <c r="J995" s="264"/>
      <c r="K995" s="264"/>
      <c r="L995" s="264"/>
      <c r="M995" s="264"/>
      <c r="N995" s="264"/>
      <c r="O995" s="264"/>
      <c r="P995" s="264"/>
      <c r="Q995" s="264"/>
      <c r="R995" s="264"/>
      <c r="S995" s="264"/>
      <c r="T995" s="264"/>
      <c r="U995" s="264"/>
      <c r="V995" s="264"/>
      <c r="W995" s="264"/>
      <c r="X995" s="264"/>
      <c r="Y995" s="264"/>
      <c r="Z995" s="264"/>
    </row>
    <row r="996">
      <c r="A996" s="264"/>
      <c r="B996" s="264"/>
      <c r="C996" s="264"/>
      <c r="D996" s="264"/>
      <c r="E996" s="264"/>
      <c r="F996" s="264"/>
      <c r="G996" s="264"/>
      <c r="H996" s="264"/>
      <c r="I996" s="264"/>
      <c r="J996" s="264"/>
      <c r="K996" s="264"/>
      <c r="L996" s="264"/>
      <c r="M996" s="264"/>
      <c r="N996" s="264"/>
      <c r="O996" s="264"/>
      <c r="P996" s="264"/>
      <c r="Q996" s="264"/>
      <c r="R996" s="264"/>
      <c r="S996" s="264"/>
      <c r="T996" s="264"/>
      <c r="U996" s="264"/>
      <c r="V996" s="264"/>
      <c r="W996" s="264"/>
      <c r="X996" s="264"/>
      <c r="Y996" s="264"/>
      <c r="Z996" s="264"/>
    </row>
    <row r="997">
      <c r="A997" s="264"/>
      <c r="B997" s="264"/>
      <c r="C997" s="264"/>
      <c r="D997" s="264"/>
      <c r="E997" s="264"/>
      <c r="F997" s="264"/>
      <c r="G997" s="264"/>
      <c r="H997" s="264"/>
      <c r="I997" s="264"/>
      <c r="J997" s="264"/>
      <c r="K997" s="264"/>
      <c r="L997" s="264"/>
      <c r="M997" s="264"/>
      <c r="N997" s="264"/>
      <c r="O997" s="264"/>
      <c r="P997" s="264"/>
      <c r="Q997" s="264"/>
      <c r="R997" s="264"/>
      <c r="S997" s="264"/>
      <c r="T997" s="264"/>
      <c r="U997" s="264"/>
      <c r="V997" s="264"/>
      <c r="W997" s="264"/>
      <c r="X997" s="264"/>
      <c r="Y997" s="264"/>
      <c r="Z997" s="264"/>
    </row>
    <row r="998">
      <c r="A998" s="264"/>
      <c r="B998" s="264"/>
      <c r="C998" s="264"/>
      <c r="D998" s="264"/>
      <c r="E998" s="264"/>
      <c r="F998" s="264"/>
      <c r="G998" s="264"/>
      <c r="H998" s="264"/>
      <c r="I998" s="264"/>
      <c r="J998" s="264"/>
      <c r="K998" s="264"/>
      <c r="L998" s="264"/>
      <c r="M998" s="264"/>
      <c r="N998" s="264"/>
      <c r="O998" s="264"/>
      <c r="P998" s="264"/>
      <c r="Q998" s="264"/>
      <c r="R998" s="264"/>
      <c r="S998" s="264"/>
      <c r="T998" s="264"/>
      <c r="U998" s="264"/>
      <c r="V998" s="264"/>
      <c r="W998" s="264"/>
      <c r="X998" s="264"/>
      <c r="Y998" s="264"/>
      <c r="Z998" s="264"/>
    </row>
    <row r="999">
      <c r="A999" s="264"/>
      <c r="B999" s="264"/>
      <c r="C999" s="264"/>
      <c r="D999" s="264"/>
      <c r="E999" s="264"/>
      <c r="F999" s="264"/>
      <c r="G999" s="264"/>
      <c r="H999" s="264"/>
      <c r="I999" s="264"/>
      <c r="J999" s="264"/>
      <c r="K999" s="264"/>
      <c r="L999" s="264"/>
      <c r="M999" s="264"/>
      <c r="N999" s="264"/>
      <c r="O999" s="264"/>
      <c r="P999" s="264"/>
      <c r="Q999" s="264"/>
      <c r="R999" s="264"/>
      <c r="S999" s="264"/>
      <c r="T999" s="264"/>
      <c r="U999" s="264"/>
      <c r="V999" s="264"/>
      <c r="W999" s="264"/>
      <c r="X999" s="264"/>
      <c r="Y999" s="264"/>
      <c r="Z999" s="264"/>
    </row>
    <row r="1000">
      <c r="A1000" s="264"/>
      <c r="B1000" s="264"/>
      <c r="C1000" s="264"/>
      <c r="D1000" s="264"/>
      <c r="E1000" s="264"/>
      <c r="F1000" s="264"/>
      <c r="G1000" s="264"/>
      <c r="H1000" s="264"/>
      <c r="I1000" s="264"/>
      <c r="J1000" s="264"/>
      <c r="K1000" s="264"/>
      <c r="L1000" s="264"/>
      <c r="M1000" s="264"/>
      <c r="N1000" s="264"/>
      <c r="O1000" s="264"/>
      <c r="P1000" s="264"/>
      <c r="Q1000" s="264"/>
      <c r="R1000" s="264"/>
      <c r="S1000" s="264"/>
      <c r="T1000" s="264"/>
      <c r="U1000" s="264"/>
      <c r="V1000" s="264"/>
      <c r="W1000" s="264"/>
      <c r="X1000" s="264"/>
      <c r="Y1000" s="264"/>
      <c r="Z1000" s="264"/>
    </row>
    <row r="1001">
      <c r="A1001" s="264"/>
      <c r="B1001" s="264"/>
      <c r="C1001" s="264"/>
      <c r="D1001" s="264"/>
      <c r="E1001" s="264"/>
      <c r="F1001" s="264"/>
      <c r="G1001" s="264"/>
      <c r="H1001" s="264"/>
      <c r="I1001" s="264"/>
      <c r="J1001" s="264"/>
      <c r="K1001" s="264"/>
      <c r="L1001" s="264"/>
      <c r="M1001" s="264"/>
      <c r="N1001" s="264"/>
      <c r="O1001" s="264"/>
      <c r="P1001" s="264"/>
      <c r="Q1001" s="264"/>
      <c r="R1001" s="264"/>
      <c r="S1001" s="264"/>
      <c r="T1001" s="264"/>
      <c r="U1001" s="264"/>
      <c r="V1001" s="264"/>
      <c r="W1001" s="264"/>
      <c r="X1001" s="264"/>
      <c r="Y1001" s="264"/>
      <c r="Z1001" s="264"/>
    </row>
    <row r="1002">
      <c r="A1002" s="264"/>
      <c r="B1002" s="264"/>
      <c r="C1002" s="264"/>
      <c r="D1002" s="264"/>
      <c r="E1002" s="264"/>
      <c r="F1002" s="264"/>
      <c r="G1002" s="264"/>
      <c r="H1002" s="264"/>
      <c r="I1002" s="264"/>
      <c r="J1002" s="264"/>
      <c r="K1002" s="264"/>
      <c r="L1002" s="264"/>
      <c r="M1002" s="264"/>
      <c r="N1002" s="264"/>
      <c r="O1002" s="264"/>
      <c r="P1002" s="264"/>
      <c r="Q1002" s="264"/>
      <c r="R1002" s="264"/>
      <c r="S1002" s="264"/>
      <c r="T1002" s="264"/>
      <c r="U1002" s="264"/>
      <c r="V1002" s="264"/>
      <c r="W1002" s="264"/>
      <c r="X1002" s="264"/>
      <c r="Y1002" s="264"/>
      <c r="Z1002" s="264"/>
    </row>
    <row r="1003">
      <c r="A1003" s="264"/>
      <c r="B1003" s="264"/>
      <c r="C1003" s="264"/>
      <c r="D1003" s="264"/>
      <c r="E1003" s="264"/>
      <c r="F1003" s="264"/>
      <c r="G1003" s="264"/>
      <c r="H1003" s="264"/>
      <c r="I1003" s="264"/>
      <c r="J1003" s="264"/>
      <c r="K1003" s="264"/>
      <c r="L1003" s="264"/>
      <c r="M1003" s="264"/>
      <c r="N1003" s="264"/>
      <c r="O1003" s="264"/>
      <c r="P1003" s="264"/>
      <c r="Q1003" s="264"/>
      <c r="R1003" s="264"/>
      <c r="S1003" s="264"/>
      <c r="T1003" s="264"/>
      <c r="U1003" s="264"/>
      <c r="V1003" s="264"/>
      <c r="W1003" s="264"/>
      <c r="X1003" s="264"/>
      <c r="Y1003" s="264"/>
      <c r="Z1003" s="264"/>
    </row>
    <row r="1004">
      <c r="A1004" s="264"/>
      <c r="B1004" s="264"/>
      <c r="C1004" s="264"/>
      <c r="D1004" s="264"/>
      <c r="E1004" s="264"/>
      <c r="F1004" s="264"/>
      <c r="G1004" s="264"/>
      <c r="H1004" s="264"/>
      <c r="I1004" s="264"/>
      <c r="J1004" s="264"/>
      <c r="K1004" s="264"/>
      <c r="L1004" s="264"/>
      <c r="M1004" s="264"/>
      <c r="N1004" s="264"/>
      <c r="O1004" s="264"/>
      <c r="P1004" s="264"/>
      <c r="Q1004" s="264"/>
      <c r="R1004" s="264"/>
      <c r="S1004" s="264"/>
      <c r="T1004" s="264"/>
      <c r="U1004" s="264"/>
      <c r="V1004" s="264"/>
      <c r="W1004" s="264"/>
      <c r="X1004" s="264"/>
      <c r="Y1004" s="264"/>
      <c r="Z1004" s="264"/>
    </row>
    <row r="1005">
      <c r="A1005" s="264"/>
      <c r="B1005" s="264"/>
      <c r="C1005" s="264"/>
      <c r="D1005" s="264"/>
      <c r="E1005" s="264"/>
      <c r="F1005" s="264"/>
      <c r="G1005" s="264"/>
      <c r="H1005" s="264"/>
      <c r="I1005" s="264"/>
      <c r="J1005" s="264"/>
      <c r="K1005" s="264"/>
      <c r="L1005" s="264"/>
      <c r="M1005" s="264"/>
      <c r="N1005" s="264"/>
      <c r="O1005" s="264"/>
      <c r="P1005" s="264"/>
      <c r="Q1005" s="264"/>
      <c r="R1005" s="264"/>
      <c r="S1005" s="264"/>
      <c r="T1005" s="264"/>
      <c r="U1005" s="264"/>
      <c r="V1005" s="264"/>
      <c r="W1005" s="264"/>
      <c r="X1005" s="264"/>
      <c r="Y1005" s="264"/>
      <c r="Z1005" s="264"/>
    </row>
    <row r="1006">
      <c r="A1006" s="264"/>
      <c r="B1006" s="264"/>
      <c r="C1006" s="264"/>
      <c r="D1006" s="264"/>
      <c r="E1006" s="264"/>
      <c r="F1006" s="264"/>
      <c r="G1006" s="264"/>
      <c r="H1006" s="264"/>
      <c r="I1006" s="264"/>
      <c r="J1006" s="264"/>
      <c r="K1006" s="264"/>
      <c r="L1006" s="264"/>
      <c r="M1006" s="264"/>
      <c r="N1006" s="264"/>
      <c r="O1006" s="264"/>
      <c r="P1006" s="264"/>
      <c r="Q1006" s="264"/>
      <c r="R1006" s="264"/>
      <c r="S1006" s="264"/>
      <c r="T1006" s="264"/>
      <c r="U1006" s="264"/>
      <c r="V1006" s="264"/>
      <c r="W1006" s="264"/>
      <c r="X1006" s="264"/>
      <c r="Y1006" s="264"/>
      <c r="Z1006" s="264"/>
    </row>
    <row r="1007">
      <c r="A1007" s="264"/>
      <c r="B1007" s="264"/>
      <c r="C1007" s="264"/>
      <c r="D1007" s="264"/>
      <c r="E1007" s="264"/>
      <c r="F1007" s="264"/>
      <c r="G1007" s="264"/>
      <c r="H1007" s="264"/>
      <c r="I1007" s="264"/>
      <c r="J1007" s="264"/>
      <c r="K1007" s="264"/>
      <c r="L1007" s="264"/>
      <c r="M1007" s="264"/>
      <c r="N1007" s="264"/>
      <c r="O1007" s="264"/>
      <c r="P1007" s="264"/>
      <c r="Q1007" s="264"/>
      <c r="R1007" s="264"/>
      <c r="S1007" s="264"/>
      <c r="T1007" s="264"/>
      <c r="U1007" s="264"/>
      <c r="V1007" s="264"/>
      <c r="W1007" s="264"/>
      <c r="X1007" s="264"/>
      <c r="Y1007" s="264"/>
      <c r="Z1007" s="264"/>
    </row>
    <row r="1008">
      <c r="A1008" s="264"/>
      <c r="B1008" s="264"/>
      <c r="C1008" s="264"/>
      <c r="D1008" s="264"/>
      <c r="E1008" s="264"/>
      <c r="F1008" s="264"/>
      <c r="G1008" s="264"/>
      <c r="H1008" s="264"/>
      <c r="I1008" s="264"/>
      <c r="J1008" s="264"/>
      <c r="K1008" s="264"/>
      <c r="L1008" s="264"/>
      <c r="M1008" s="264"/>
      <c r="N1008" s="264"/>
      <c r="O1008" s="264"/>
      <c r="P1008" s="264"/>
      <c r="Q1008" s="264"/>
      <c r="R1008" s="264"/>
      <c r="S1008" s="264"/>
      <c r="T1008" s="264"/>
      <c r="U1008" s="264"/>
      <c r="V1008" s="264"/>
      <c r="W1008" s="264"/>
      <c r="X1008" s="264"/>
      <c r="Y1008" s="264"/>
      <c r="Z1008" s="264"/>
    </row>
    <row r="1009">
      <c r="A1009" s="264"/>
      <c r="B1009" s="264"/>
      <c r="C1009" s="264"/>
      <c r="D1009" s="264"/>
      <c r="E1009" s="264"/>
      <c r="F1009" s="264"/>
      <c r="G1009" s="264"/>
      <c r="H1009" s="264"/>
      <c r="I1009" s="264"/>
      <c r="J1009" s="264"/>
      <c r="K1009" s="264"/>
      <c r="L1009" s="264"/>
      <c r="M1009" s="264"/>
      <c r="N1009" s="264"/>
      <c r="O1009" s="264"/>
      <c r="P1009" s="264"/>
      <c r="Q1009" s="264"/>
      <c r="R1009" s="264"/>
      <c r="S1009" s="264"/>
      <c r="T1009" s="264"/>
      <c r="U1009" s="264"/>
      <c r="V1009" s="264"/>
      <c r="W1009" s="264"/>
      <c r="X1009" s="264"/>
      <c r="Y1009" s="264"/>
      <c r="Z1009" s="264"/>
    </row>
    <row r="1010">
      <c r="A1010" s="264"/>
      <c r="B1010" s="264"/>
      <c r="C1010" s="264"/>
      <c r="D1010" s="264"/>
      <c r="E1010" s="264"/>
      <c r="F1010" s="264"/>
      <c r="G1010" s="264"/>
      <c r="H1010" s="264"/>
      <c r="I1010" s="264"/>
      <c r="J1010" s="264"/>
      <c r="K1010" s="264"/>
      <c r="L1010" s="264"/>
      <c r="M1010" s="264"/>
      <c r="N1010" s="264"/>
      <c r="O1010" s="264"/>
      <c r="P1010" s="264"/>
      <c r="Q1010" s="264"/>
      <c r="R1010" s="264"/>
      <c r="S1010" s="264"/>
      <c r="T1010" s="264"/>
      <c r="U1010" s="264"/>
      <c r="V1010" s="264"/>
      <c r="W1010" s="264"/>
      <c r="X1010" s="264"/>
      <c r="Y1010" s="264"/>
      <c r="Z1010" s="264"/>
    </row>
    <row r="1011">
      <c r="A1011" s="264"/>
      <c r="B1011" s="264"/>
      <c r="C1011" s="264"/>
      <c r="D1011" s="264"/>
      <c r="E1011" s="264"/>
      <c r="F1011" s="264"/>
      <c r="G1011" s="264"/>
      <c r="H1011" s="264"/>
      <c r="I1011" s="264"/>
      <c r="J1011" s="264"/>
      <c r="K1011" s="264"/>
      <c r="L1011" s="264"/>
      <c r="M1011" s="264"/>
      <c r="N1011" s="264"/>
      <c r="O1011" s="264"/>
      <c r="P1011" s="264"/>
      <c r="Q1011" s="264"/>
      <c r="R1011" s="264"/>
      <c r="S1011" s="264"/>
      <c r="T1011" s="264"/>
      <c r="U1011" s="264"/>
      <c r="V1011" s="264"/>
      <c r="W1011" s="264"/>
      <c r="X1011" s="264"/>
      <c r="Y1011" s="264"/>
      <c r="Z1011" s="264"/>
    </row>
    <row r="1012">
      <c r="A1012" s="264"/>
      <c r="B1012" s="264"/>
      <c r="C1012" s="264"/>
      <c r="D1012" s="264"/>
      <c r="E1012" s="264"/>
      <c r="F1012" s="264"/>
      <c r="G1012" s="264"/>
      <c r="H1012" s="264"/>
      <c r="I1012" s="264"/>
      <c r="J1012" s="264"/>
      <c r="K1012" s="264"/>
      <c r="L1012" s="264"/>
      <c r="M1012" s="264"/>
      <c r="N1012" s="264"/>
      <c r="O1012" s="264"/>
      <c r="P1012" s="264"/>
      <c r="Q1012" s="264"/>
      <c r="R1012" s="264"/>
      <c r="S1012" s="264"/>
      <c r="T1012" s="264"/>
      <c r="U1012" s="264"/>
      <c r="V1012" s="264"/>
      <c r="W1012" s="264"/>
      <c r="X1012" s="264"/>
      <c r="Y1012" s="264"/>
      <c r="Z1012" s="264"/>
    </row>
    <row r="1013">
      <c r="A1013" s="264"/>
      <c r="B1013" s="264"/>
      <c r="C1013" s="264"/>
      <c r="D1013" s="264"/>
      <c r="E1013" s="264"/>
      <c r="F1013" s="264"/>
      <c r="G1013" s="264"/>
      <c r="H1013" s="264"/>
      <c r="I1013" s="264"/>
      <c r="J1013" s="264"/>
      <c r="K1013" s="264"/>
      <c r="L1013" s="264"/>
      <c r="M1013" s="264"/>
      <c r="N1013" s="264"/>
      <c r="O1013" s="264"/>
      <c r="P1013" s="264"/>
      <c r="Q1013" s="264"/>
      <c r="R1013" s="264"/>
      <c r="S1013" s="264"/>
      <c r="T1013" s="264"/>
      <c r="U1013" s="264"/>
      <c r="V1013" s="264"/>
      <c r="W1013" s="264"/>
      <c r="X1013" s="264"/>
      <c r="Y1013" s="264"/>
      <c r="Z1013" s="264"/>
    </row>
    <row r="1014">
      <c r="A1014" s="264"/>
      <c r="B1014" s="264"/>
      <c r="C1014" s="264"/>
      <c r="D1014" s="264"/>
      <c r="E1014" s="264"/>
      <c r="F1014" s="264"/>
      <c r="G1014" s="264"/>
      <c r="H1014" s="264"/>
      <c r="I1014" s="264"/>
      <c r="J1014" s="264"/>
      <c r="K1014" s="264"/>
      <c r="L1014" s="264"/>
      <c r="M1014" s="264"/>
      <c r="N1014" s="264"/>
      <c r="O1014" s="264"/>
      <c r="P1014" s="264"/>
      <c r="Q1014" s="264"/>
      <c r="R1014" s="264"/>
      <c r="S1014" s="264"/>
      <c r="T1014" s="264"/>
      <c r="U1014" s="264"/>
      <c r="V1014" s="264"/>
      <c r="W1014" s="264"/>
      <c r="X1014" s="264"/>
      <c r="Y1014" s="264"/>
      <c r="Z1014" s="264"/>
    </row>
    <row r="1015">
      <c r="A1015" s="264"/>
      <c r="B1015" s="264"/>
      <c r="C1015" s="264"/>
      <c r="D1015" s="264"/>
      <c r="E1015" s="264"/>
      <c r="F1015" s="264"/>
      <c r="G1015" s="264"/>
      <c r="H1015" s="264"/>
      <c r="I1015" s="264"/>
      <c r="J1015" s="264"/>
      <c r="K1015" s="264"/>
      <c r="L1015" s="264"/>
      <c r="M1015" s="264"/>
      <c r="N1015" s="264"/>
      <c r="O1015" s="264"/>
      <c r="P1015" s="264"/>
      <c r="Q1015" s="264"/>
      <c r="R1015" s="264"/>
      <c r="S1015" s="264"/>
      <c r="T1015" s="264"/>
      <c r="U1015" s="264"/>
      <c r="V1015" s="264"/>
      <c r="W1015" s="264"/>
      <c r="X1015" s="264"/>
      <c r="Y1015" s="264"/>
      <c r="Z1015" s="264"/>
    </row>
    <row r="1016">
      <c r="A1016" s="264"/>
      <c r="B1016" s="264"/>
      <c r="C1016" s="264"/>
      <c r="D1016" s="264"/>
      <c r="E1016" s="264"/>
      <c r="F1016" s="264"/>
      <c r="G1016" s="264"/>
      <c r="H1016" s="264"/>
      <c r="I1016" s="264"/>
      <c r="J1016" s="264"/>
      <c r="K1016" s="264"/>
      <c r="L1016" s="264"/>
      <c r="M1016" s="264"/>
      <c r="N1016" s="264"/>
      <c r="O1016" s="264"/>
      <c r="P1016" s="264"/>
      <c r="Q1016" s="264"/>
      <c r="R1016" s="264"/>
      <c r="S1016" s="264"/>
      <c r="T1016" s="264"/>
      <c r="U1016" s="264"/>
      <c r="V1016" s="264"/>
      <c r="W1016" s="264"/>
      <c r="X1016" s="264"/>
      <c r="Y1016" s="264"/>
      <c r="Z1016" s="264"/>
    </row>
    <row r="1017">
      <c r="A1017" s="264"/>
      <c r="B1017" s="264"/>
      <c r="C1017" s="264"/>
      <c r="D1017" s="264"/>
      <c r="E1017" s="264"/>
      <c r="F1017" s="264"/>
      <c r="G1017" s="264"/>
      <c r="H1017" s="264"/>
      <c r="I1017" s="264"/>
      <c r="J1017" s="264"/>
      <c r="K1017" s="264"/>
      <c r="L1017" s="264"/>
      <c r="M1017" s="264"/>
      <c r="N1017" s="264"/>
      <c r="O1017" s="264"/>
      <c r="P1017" s="264"/>
      <c r="Q1017" s="264"/>
      <c r="R1017" s="264"/>
      <c r="S1017" s="264"/>
      <c r="T1017" s="264"/>
      <c r="U1017" s="264"/>
      <c r="V1017" s="264"/>
      <c r="W1017" s="264"/>
      <c r="X1017" s="264"/>
      <c r="Y1017" s="264"/>
      <c r="Z1017" s="264"/>
    </row>
    <row r="1018">
      <c r="A1018" s="264"/>
      <c r="B1018" s="264"/>
      <c r="C1018" s="264"/>
      <c r="D1018" s="264"/>
      <c r="E1018" s="264"/>
      <c r="F1018" s="264"/>
      <c r="G1018" s="264"/>
      <c r="H1018" s="264"/>
      <c r="I1018" s="264"/>
      <c r="J1018" s="264"/>
      <c r="K1018" s="264"/>
      <c r="L1018" s="264"/>
      <c r="M1018" s="264"/>
      <c r="N1018" s="264"/>
      <c r="O1018" s="264"/>
      <c r="P1018" s="264"/>
      <c r="Q1018" s="264"/>
      <c r="R1018" s="264"/>
      <c r="S1018" s="264"/>
      <c r="T1018" s="264"/>
      <c r="U1018" s="264"/>
      <c r="V1018" s="264"/>
      <c r="W1018" s="264"/>
      <c r="X1018" s="264"/>
      <c r="Y1018" s="264"/>
      <c r="Z1018" s="264"/>
    </row>
    <row r="1019">
      <c r="A1019" s="264"/>
      <c r="B1019" s="264"/>
      <c r="C1019" s="264"/>
      <c r="D1019" s="264"/>
      <c r="E1019" s="264"/>
      <c r="F1019" s="264"/>
      <c r="G1019" s="264"/>
      <c r="H1019" s="264"/>
      <c r="I1019" s="264"/>
      <c r="J1019" s="264"/>
      <c r="K1019" s="264"/>
      <c r="L1019" s="264"/>
      <c r="M1019" s="264"/>
      <c r="N1019" s="264"/>
      <c r="O1019" s="264"/>
      <c r="P1019" s="264"/>
      <c r="Q1019" s="264"/>
      <c r="R1019" s="264"/>
      <c r="S1019" s="264"/>
      <c r="T1019" s="264"/>
      <c r="U1019" s="264"/>
      <c r="V1019" s="264"/>
      <c r="W1019" s="264"/>
      <c r="X1019" s="264"/>
      <c r="Y1019" s="264"/>
      <c r="Z1019" s="264"/>
    </row>
    <row r="1020">
      <c r="A1020" s="264"/>
      <c r="B1020" s="264"/>
      <c r="C1020" s="264"/>
      <c r="D1020" s="264"/>
      <c r="E1020" s="264"/>
      <c r="F1020" s="264"/>
      <c r="G1020" s="264"/>
      <c r="H1020" s="264"/>
      <c r="I1020" s="264"/>
      <c r="J1020" s="264"/>
      <c r="K1020" s="264"/>
      <c r="L1020" s="264"/>
      <c r="M1020" s="264"/>
      <c r="N1020" s="264"/>
      <c r="O1020" s="264"/>
      <c r="P1020" s="264"/>
      <c r="Q1020" s="264"/>
      <c r="R1020" s="264"/>
      <c r="S1020" s="264"/>
      <c r="T1020" s="264"/>
      <c r="U1020" s="264"/>
      <c r="V1020" s="264"/>
      <c r="W1020" s="264"/>
      <c r="X1020" s="264"/>
      <c r="Y1020" s="264"/>
      <c r="Z1020" s="264"/>
    </row>
    <row r="1021">
      <c r="A1021" s="264"/>
      <c r="B1021" s="264"/>
      <c r="C1021" s="264"/>
      <c r="D1021" s="264"/>
      <c r="E1021" s="264"/>
      <c r="F1021" s="264"/>
      <c r="G1021" s="264"/>
      <c r="H1021" s="264"/>
      <c r="I1021" s="264"/>
      <c r="J1021" s="264"/>
      <c r="K1021" s="264"/>
      <c r="L1021" s="264"/>
      <c r="M1021" s="264"/>
      <c r="N1021" s="264"/>
      <c r="O1021" s="264"/>
      <c r="P1021" s="264"/>
      <c r="Q1021" s="264"/>
      <c r="R1021" s="264"/>
      <c r="S1021" s="264"/>
      <c r="T1021" s="264"/>
      <c r="U1021" s="264"/>
      <c r="V1021" s="264"/>
      <c r="W1021" s="264"/>
      <c r="X1021" s="264"/>
      <c r="Y1021" s="264"/>
      <c r="Z1021" s="264"/>
    </row>
    <row r="1022">
      <c r="A1022" s="264"/>
      <c r="B1022" s="264"/>
      <c r="C1022" s="264"/>
      <c r="D1022" s="264"/>
      <c r="E1022" s="264"/>
      <c r="F1022" s="264"/>
      <c r="G1022" s="264"/>
      <c r="H1022" s="264"/>
      <c r="I1022" s="264"/>
      <c r="J1022" s="264"/>
      <c r="K1022" s="264"/>
      <c r="L1022" s="264"/>
      <c r="M1022" s="264"/>
      <c r="N1022" s="264"/>
      <c r="O1022" s="264"/>
      <c r="P1022" s="264"/>
      <c r="Q1022" s="264"/>
      <c r="R1022" s="264"/>
      <c r="S1022" s="264"/>
      <c r="T1022" s="264"/>
      <c r="U1022" s="264"/>
      <c r="V1022" s="264"/>
      <c r="W1022" s="264"/>
      <c r="X1022" s="264"/>
      <c r="Y1022" s="264"/>
      <c r="Z1022" s="264"/>
    </row>
    <row r="1023">
      <c r="A1023" s="264"/>
      <c r="B1023" s="264"/>
      <c r="C1023" s="264"/>
      <c r="D1023" s="264"/>
      <c r="E1023" s="264"/>
      <c r="F1023" s="264"/>
      <c r="G1023" s="264"/>
      <c r="H1023" s="264"/>
      <c r="I1023" s="264"/>
      <c r="J1023" s="264"/>
      <c r="K1023" s="264"/>
      <c r="L1023" s="264"/>
      <c r="M1023" s="264"/>
      <c r="N1023" s="264"/>
      <c r="O1023" s="264"/>
      <c r="P1023" s="264"/>
      <c r="Q1023" s="264"/>
      <c r="R1023" s="264"/>
      <c r="S1023" s="264"/>
      <c r="T1023" s="264"/>
      <c r="U1023" s="264"/>
      <c r="V1023" s="264"/>
      <c r="W1023" s="264"/>
      <c r="X1023" s="264"/>
      <c r="Y1023" s="264"/>
      <c r="Z1023" s="264"/>
    </row>
    <row r="1024">
      <c r="A1024" s="264"/>
      <c r="B1024" s="264"/>
      <c r="C1024" s="264"/>
      <c r="D1024" s="264"/>
      <c r="E1024" s="264"/>
      <c r="F1024" s="264"/>
      <c r="G1024" s="264"/>
      <c r="H1024" s="264"/>
      <c r="I1024" s="264"/>
      <c r="J1024" s="264"/>
      <c r="K1024" s="264"/>
      <c r="L1024" s="264"/>
      <c r="M1024" s="264"/>
      <c r="N1024" s="264"/>
      <c r="O1024" s="264"/>
      <c r="P1024" s="264"/>
      <c r="Q1024" s="264"/>
      <c r="R1024" s="264"/>
      <c r="S1024" s="264"/>
      <c r="T1024" s="264"/>
      <c r="U1024" s="264"/>
      <c r="V1024" s="264"/>
      <c r="W1024" s="264"/>
      <c r="X1024" s="264"/>
      <c r="Y1024" s="264"/>
      <c r="Z1024" s="264"/>
    </row>
    <row r="1025">
      <c r="A1025" s="264"/>
      <c r="B1025" s="264"/>
      <c r="C1025" s="264"/>
      <c r="D1025" s="264"/>
      <c r="E1025" s="264"/>
      <c r="F1025" s="264"/>
      <c r="G1025" s="264"/>
      <c r="H1025" s="264"/>
      <c r="I1025" s="264"/>
      <c r="J1025" s="264"/>
      <c r="K1025" s="264"/>
      <c r="L1025" s="264"/>
      <c r="M1025" s="264"/>
      <c r="N1025" s="264"/>
      <c r="O1025" s="264"/>
      <c r="P1025" s="264"/>
      <c r="Q1025" s="264"/>
      <c r="R1025" s="264"/>
      <c r="S1025" s="264"/>
      <c r="T1025" s="264"/>
      <c r="U1025" s="264"/>
      <c r="V1025" s="264"/>
      <c r="W1025" s="264"/>
      <c r="X1025" s="264"/>
      <c r="Y1025" s="264"/>
      <c r="Z1025" s="264"/>
    </row>
    <row r="1026">
      <c r="A1026" s="264"/>
      <c r="B1026" s="264"/>
      <c r="C1026" s="264"/>
      <c r="D1026" s="264"/>
      <c r="E1026" s="264"/>
      <c r="F1026" s="264"/>
      <c r="G1026" s="264"/>
      <c r="H1026" s="264"/>
      <c r="I1026" s="264"/>
      <c r="J1026" s="264"/>
      <c r="K1026" s="264"/>
      <c r="L1026" s="264"/>
      <c r="M1026" s="264"/>
      <c r="N1026" s="264"/>
      <c r="O1026" s="264"/>
      <c r="P1026" s="264"/>
      <c r="Q1026" s="264"/>
      <c r="R1026" s="264"/>
      <c r="S1026" s="264"/>
      <c r="T1026" s="264"/>
      <c r="U1026" s="264"/>
      <c r="V1026" s="264"/>
      <c r="W1026" s="264"/>
      <c r="X1026" s="264"/>
      <c r="Y1026" s="264"/>
      <c r="Z1026" s="264"/>
    </row>
    <row r="1027">
      <c r="A1027" s="264"/>
      <c r="B1027" s="264"/>
      <c r="C1027" s="264"/>
      <c r="D1027" s="264"/>
      <c r="E1027" s="264"/>
      <c r="F1027" s="264"/>
      <c r="G1027" s="264"/>
      <c r="H1027" s="264"/>
      <c r="I1027" s="264"/>
      <c r="J1027" s="264"/>
      <c r="K1027" s="264"/>
      <c r="L1027" s="264"/>
      <c r="M1027" s="264"/>
      <c r="N1027" s="264"/>
      <c r="O1027" s="264"/>
      <c r="P1027" s="264"/>
      <c r="Q1027" s="264"/>
      <c r="R1027" s="264"/>
      <c r="S1027" s="264"/>
      <c r="T1027" s="264"/>
      <c r="U1027" s="264"/>
      <c r="V1027" s="264"/>
      <c r="W1027" s="264"/>
      <c r="X1027" s="264"/>
      <c r="Y1027" s="264"/>
      <c r="Z1027" s="264"/>
    </row>
    <row r="1028">
      <c r="A1028" s="264"/>
      <c r="B1028" s="264"/>
      <c r="C1028" s="264"/>
      <c r="D1028" s="264"/>
      <c r="E1028" s="264"/>
      <c r="F1028" s="264"/>
      <c r="G1028" s="264"/>
      <c r="H1028" s="264"/>
      <c r="I1028" s="264"/>
      <c r="J1028" s="264"/>
      <c r="K1028" s="264"/>
      <c r="L1028" s="264"/>
      <c r="M1028" s="264"/>
      <c r="N1028" s="264"/>
      <c r="O1028" s="264"/>
      <c r="P1028" s="264"/>
      <c r="Q1028" s="264"/>
      <c r="R1028" s="264"/>
      <c r="S1028" s="264"/>
      <c r="T1028" s="264"/>
      <c r="U1028" s="264"/>
      <c r="V1028" s="264"/>
      <c r="W1028" s="264"/>
      <c r="X1028" s="264"/>
      <c r="Y1028" s="264"/>
      <c r="Z1028" s="264"/>
    </row>
    <row r="1029">
      <c r="A1029" s="264"/>
      <c r="B1029" s="264"/>
      <c r="C1029" s="264"/>
      <c r="D1029" s="264"/>
      <c r="E1029" s="264"/>
      <c r="F1029" s="264"/>
      <c r="G1029" s="264"/>
      <c r="H1029" s="264"/>
      <c r="I1029" s="264"/>
      <c r="J1029" s="264"/>
      <c r="K1029" s="264"/>
      <c r="L1029" s="264"/>
      <c r="M1029" s="264"/>
      <c r="N1029" s="264"/>
      <c r="O1029" s="264"/>
      <c r="P1029" s="264"/>
      <c r="Q1029" s="264"/>
      <c r="R1029" s="264"/>
      <c r="S1029" s="264"/>
      <c r="T1029" s="264"/>
      <c r="U1029" s="264"/>
      <c r="V1029" s="264"/>
      <c r="W1029" s="264"/>
      <c r="X1029" s="264"/>
      <c r="Y1029" s="264"/>
      <c r="Z1029" s="264"/>
    </row>
    <row r="1030">
      <c r="A1030" s="264"/>
      <c r="B1030" s="264"/>
      <c r="C1030" s="264"/>
      <c r="D1030" s="264"/>
      <c r="E1030" s="264"/>
      <c r="F1030" s="264"/>
      <c r="G1030" s="264"/>
      <c r="H1030" s="264"/>
      <c r="I1030" s="264"/>
      <c r="J1030" s="264"/>
      <c r="K1030" s="264"/>
      <c r="L1030" s="264"/>
      <c r="M1030" s="264"/>
      <c r="N1030" s="264"/>
      <c r="O1030" s="264"/>
      <c r="P1030" s="264"/>
      <c r="Q1030" s="264"/>
      <c r="R1030" s="264"/>
      <c r="S1030" s="264"/>
      <c r="T1030" s="264"/>
      <c r="U1030" s="264"/>
      <c r="V1030" s="264"/>
      <c r="W1030" s="264"/>
      <c r="X1030" s="264"/>
      <c r="Y1030" s="264"/>
      <c r="Z1030" s="264"/>
    </row>
    <row r="1031">
      <c r="A1031" s="264"/>
      <c r="B1031" s="264"/>
      <c r="C1031" s="264"/>
      <c r="D1031" s="264"/>
      <c r="E1031" s="264"/>
      <c r="F1031" s="264"/>
      <c r="G1031" s="264"/>
      <c r="H1031" s="264"/>
      <c r="I1031" s="264"/>
      <c r="J1031" s="264"/>
      <c r="K1031" s="264"/>
      <c r="L1031" s="264"/>
      <c r="M1031" s="264"/>
      <c r="N1031" s="264"/>
      <c r="O1031" s="264"/>
      <c r="P1031" s="264"/>
      <c r="Q1031" s="264"/>
      <c r="R1031" s="264"/>
      <c r="S1031" s="264"/>
      <c r="T1031" s="264"/>
      <c r="U1031" s="264"/>
      <c r="V1031" s="264"/>
      <c r="W1031" s="264"/>
      <c r="X1031" s="264"/>
      <c r="Y1031" s="264"/>
      <c r="Z1031" s="264"/>
    </row>
    <row r="1032">
      <c r="A1032" s="264"/>
      <c r="B1032" s="264"/>
      <c r="C1032" s="264"/>
      <c r="D1032" s="264"/>
      <c r="E1032" s="264"/>
      <c r="F1032" s="264"/>
      <c r="G1032" s="264"/>
      <c r="H1032" s="264"/>
      <c r="I1032" s="264"/>
      <c r="J1032" s="264"/>
      <c r="K1032" s="264"/>
      <c r="L1032" s="264"/>
      <c r="M1032" s="264"/>
      <c r="N1032" s="264"/>
      <c r="O1032" s="264"/>
      <c r="P1032" s="264"/>
      <c r="Q1032" s="264"/>
      <c r="R1032" s="264"/>
      <c r="S1032" s="264"/>
      <c r="T1032" s="264"/>
      <c r="U1032" s="264"/>
      <c r="V1032" s="264"/>
      <c r="W1032" s="264"/>
      <c r="X1032" s="264"/>
      <c r="Y1032" s="264"/>
      <c r="Z1032" s="264"/>
    </row>
    <row r="1033">
      <c r="A1033" s="264"/>
      <c r="B1033" s="264"/>
      <c r="C1033" s="264"/>
      <c r="D1033" s="264"/>
      <c r="E1033" s="264"/>
      <c r="F1033" s="264"/>
      <c r="G1033" s="264"/>
      <c r="H1033" s="264"/>
      <c r="I1033" s="264"/>
      <c r="J1033" s="264"/>
      <c r="K1033" s="264"/>
      <c r="L1033" s="264"/>
      <c r="M1033" s="264"/>
      <c r="N1033" s="264"/>
      <c r="O1033" s="264"/>
      <c r="P1033" s="264"/>
      <c r="Q1033" s="264"/>
      <c r="R1033" s="264"/>
      <c r="S1033" s="264"/>
      <c r="T1033" s="264"/>
      <c r="U1033" s="264"/>
      <c r="V1033" s="264"/>
      <c r="W1033" s="264"/>
      <c r="X1033" s="264"/>
      <c r="Y1033" s="264"/>
      <c r="Z1033" s="264"/>
    </row>
    <row r="1034">
      <c r="A1034" s="264"/>
      <c r="B1034" s="264"/>
      <c r="C1034" s="264"/>
      <c r="D1034" s="264"/>
      <c r="E1034" s="264"/>
      <c r="F1034" s="264"/>
      <c r="G1034" s="264"/>
      <c r="H1034" s="264"/>
      <c r="I1034" s="264"/>
      <c r="J1034" s="264"/>
      <c r="K1034" s="264"/>
      <c r="L1034" s="264"/>
      <c r="M1034" s="264"/>
      <c r="N1034" s="264"/>
      <c r="O1034" s="264"/>
      <c r="P1034" s="264"/>
      <c r="Q1034" s="264"/>
      <c r="R1034" s="264"/>
      <c r="S1034" s="264"/>
      <c r="T1034" s="264"/>
      <c r="U1034" s="264"/>
      <c r="V1034" s="264"/>
      <c r="W1034" s="264"/>
      <c r="X1034" s="264"/>
      <c r="Y1034" s="264"/>
      <c r="Z1034" s="264"/>
    </row>
    <row r="1035">
      <c r="A1035" s="264"/>
      <c r="B1035" s="264"/>
      <c r="C1035" s="264"/>
      <c r="D1035" s="264"/>
      <c r="E1035" s="264"/>
      <c r="F1035" s="264"/>
      <c r="G1035" s="264"/>
      <c r="H1035" s="264"/>
      <c r="I1035" s="264"/>
      <c r="J1035" s="264"/>
      <c r="K1035" s="264"/>
      <c r="L1035" s="264"/>
      <c r="M1035" s="264"/>
      <c r="N1035" s="264"/>
      <c r="O1035" s="264"/>
      <c r="P1035" s="264"/>
      <c r="Q1035" s="264"/>
      <c r="R1035" s="264"/>
      <c r="S1035" s="264"/>
      <c r="T1035" s="264"/>
      <c r="U1035" s="264"/>
      <c r="V1035" s="264"/>
      <c r="W1035" s="264"/>
      <c r="X1035" s="264"/>
      <c r="Y1035" s="264"/>
      <c r="Z1035" s="264"/>
    </row>
    <row r="1036">
      <c r="A1036" s="264"/>
      <c r="B1036" s="264"/>
      <c r="C1036" s="264"/>
      <c r="D1036" s="264"/>
      <c r="E1036" s="264"/>
      <c r="F1036" s="264"/>
      <c r="G1036" s="264"/>
      <c r="H1036" s="264"/>
      <c r="I1036" s="264"/>
      <c r="J1036" s="264"/>
      <c r="K1036" s="264"/>
      <c r="L1036" s="264"/>
      <c r="M1036" s="264"/>
      <c r="N1036" s="264"/>
      <c r="O1036" s="264"/>
      <c r="P1036" s="264"/>
      <c r="Q1036" s="264"/>
      <c r="R1036" s="264"/>
      <c r="S1036" s="264"/>
      <c r="T1036" s="264"/>
      <c r="U1036" s="264"/>
      <c r="V1036" s="264"/>
      <c r="W1036" s="264"/>
      <c r="X1036" s="264"/>
      <c r="Y1036" s="264"/>
      <c r="Z1036" s="264"/>
    </row>
    <row r="1037">
      <c r="A1037" s="264"/>
      <c r="B1037" s="264"/>
      <c r="C1037" s="264"/>
      <c r="D1037" s="264"/>
      <c r="E1037" s="264"/>
      <c r="F1037" s="264"/>
      <c r="G1037" s="264"/>
      <c r="H1037" s="264"/>
      <c r="I1037" s="264"/>
      <c r="J1037" s="264"/>
      <c r="K1037" s="264"/>
      <c r="L1037" s="264"/>
      <c r="M1037" s="264"/>
      <c r="N1037" s="264"/>
      <c r="O1037" s="264"/>
      <c r="P1037" s="264"/>
      <c r="Q1037" s="264"/>
      <c r="R1037" s="264"/>
      <c r="S1037" s="264"/>
      <c r="T1037" s="264"/>
      <c r="U1037" s="264"/>
      <c r="V1037" s="264"/>
      <c r="W1037" s="264"/>
      <c r="X1037" s="264"/>
      <c r="Y1037" s="264"/>
      <c r="Z1037" s="264"/>
    </row>
    <row r="1038">
      <c r="A1038" s="264"/>
      <c r="B1038" s="264"/>
      <c r="C1038" s="264"/>
      <c r="D1038" s="264"/>
      <c r="E1038" s="264"/>
      <c r="F1038" s="264"/>
      <c r="G1038" s="264"/>
      <c r="H1038" s="264"/>
      <c r="I1038" s="264"/>
      <c r="J1038" s="264"/>
      <c r="K1038" s="264"/>
      <c r="L1038" s="264"/>
      <c r="M1038" s="264"/>
      <c r="N1038" s="264"/>
      <c r="O1038" s="264"/>
      <c r="P1038" s="264"/>
      <c r="Q1038" s="264"/>
      <c r="R1038" s="264"/>
      <c r="S1038" s="264"/>
      <c r="T1038" s="264"/>
      <c r="U1038" s="264"/>
      <c r="V1038" s="264"/>
      <c r="W1038" s="264"/>
      <c r="X1038" s="264"/>
      <c r="Y1038" s="264"/>
      <c r="Z1038" s="264"/>
    </row>
    <row r="1039">
      <c r="A1039" s="264"/>
      <c r="B1039" s="264"/>
      <c r="C1039" s="264"/>
      <c r="D1039" s="264"/>
      <c r="E1039" s="264"/>
      <c r="F1039" s="264"/>
      <c r="G1039" s="264"/>
      <c r="H1039" s="264"/>
      <c r="I1039" s="264"/>
      <c r="J1039" s="264"/>
      <c r="K1039" s="264"/>
      <c r="L1039" s="264"/>
      <c r="M1039" s="264"/>
      <c r="N1039" s="264"/>
      <c r="O1039" s="264"/>
      <c r="P1039" s="264"/>
      <c r="Q1039" s="264"/>
      <c r="R1039" s="264"/>
      <c r="S1039" s="264"/>
      <c r="T1039" s="264"/>
      <c r="U1039" s="264"/>
      <c r="V1039" s="264"/>
      <c r="W1039" s="264"/>
      <c r="X1039" s="264"/>
      <c r="Y1039" s="264"/>
      <c r="Z1039" s="264"/>
    </row>
    <row r="1040">
      <c r="A1040" s="264"/>
      <c r="B1040" s="264"/>
      <c r="C1040" s="264"/>
      <c r="D1040" s="264"/>
      <c r="E1040" s="264"/>
      <c r="F1040" s="264"/>
      <c r="G1040" s="264"/>
      <c r="H1040" s="264"/>
      <c r="I1040" s="264"/>
      <c r="J1040" s="264"/>
      <c r="K1040" s="264"/>
      <c r="L1040" s="264"/>
      <c r="M1040" s="264"/>
      <c r="N1040" s="264"/>
      <c r="O1040" s="264"/>
      <c r="P1040" s="264"/>
      <c r="Q1040" s="264"/>
      <c r="R1040" s="264"/>
      <c r="S1040" s="264"/>
      <c r="T1040" s="264"/>
      <c r="U1040" s="264"/>
      <c r="V1040" s="264"/>
      <c r="W1040" s="264"/>
      <c r="X1040" s="264"/>
      <c r="Y1040" s="264"/>
      <c r="Z1040" s="264"/>
    </row>
    <row r="1041">
      <c r="A1041" s="264"/>
      <c r="B1041" s="264"/>
      <c r="C1041" s="264"/>
      <c r="D1041" s="264"/>
      <c r="E1041" s="264"/>
      <c r="F1041" s="264"/>
      <c r="G1041" s="264"/>
      <c r="H1041" s="264"/>
      <c r="I1041" s="264"/>
      <c r="J1041" s="264"/>
      <c r="K1041" s="264"/>
      <c r="L1041" s="264"/>
      <c r="M1041" s="264"/>
      <c r="N1041" s="264"/>
      <c r="O1041" s="264"/>
      <c r="P1041" s="264"/>
      <c r="Q1041" s="264"/>
      <c r="R1041" s="264"/>
      <c r="S1041" s="264"/>
      <c r="T1041" s="264"/>
      <c r="U1041" s="264"/>
      <c r="V1041" s="264"/>
      <c r="W1041" s="264"/>
      <c r="X1041" s="264"/>
      <c r="Y1041" s="264"/>
      <c r="Z1041" s="264"/>
    </row>
    <row r="1042">
      <c r="A1042" s="264"/>
      <c r="B1042" s="264"/>
      <c r="C1042" s="264"/>
      <c r="D1042" s="264"/>
      <c r="E1042" s="264"/>
      <c r="F1042" s="264"/>
      <c r="G1042" s="264"/>
      <c r="H1042" s="264"/>
      <c r="I1042" s="264"/>
      <c r="J1042" s="264"/>
      <c r="K1042" s="264"/>
      <c r="L1042" s="264"/>
      <c r="M1042" s="264"/>
      <c r="N1042" s="264"/>
      <c r="O1042" s="264"/>
      <c r="P1042" s="264"/>
      <c r="Q1042" s="264"/>
      <c r="R1042" s="264"/>
      <c r="S1042" s="264"/>
      <c r="T1042" s="264"/>
      <c r="U1042" s="264"/>
      <c r="V1042" s="264"/>
      <c r="W1042" s="264"/>
      <c r="X1042" s="264"/>
      <c r="Y1042" s="264"/>
      <c r="Z1042" s="264"/>
    </row>
    <row r="1043">
      <c r="A1043" s="264"/>
      <c r="B1043" s="264"/>
      <c r="C1043" s="264"/>
      <c r="D1043" s="264"/>
      <c r="E1043" s="264"/>
      <c r="F1043" s="264"/>
      <c r="G1043" s="264"/>
      <c r="H1043" s="264"/>
      <c r="I1043" s="264"/>
      <c r="J1043" s="264"/>
      <c r="K1043" s="264"/>
      <c r="L1043" s="264"/>
      <c r="M1043" s="264"/>
      <c r="N1043" s="264"/>
      <c r="O1043" s="264"/>
      <c r="P1043" s="264"/>
      <c r="Q1043" s="264"/>
      <c r="R1043" s="264"/>
      <c r="S1043" s="264"/>
      <c r="T1043" s="264"/>
      <c r="U1043" s="264"/>
      <c r="V1043" s="264"/>
      <c r="W1043" s="264"/>
      <c r="X1043" s="264"/>
      <c r="Y1043" s="264"/>
      <c r="Z1043" s="264"/>
    </row>
    <row r="1044">
      <c r="A1044" s="264"/>
      <c r="B1044" s="264"/>
      <c r="C1044" s="264"/>
      <c r="D1044" s="264"/>
      <c r="E1044" s="264"/>
      <c r="F1044" s="264"/>
      <c r="G1044" s="264"/>
      <c r="H1044" s="264"/>
      <c r="I1044" s="264"/>
      <c r="J1044" s="264"/>
      <c r="K1044" s="264"/>
      <c r="L1044" s="264"/>
      <c r="M1044" s="264"/>
      <c r="N1044" s="264"/>
      <c r="O1044" s="264"/>
      <c r="P1044" s="264"/>
      <c r="Q1044" s="264"/>
      <c r="R1044" s="264"/>
      <c r="S1044" s="264"/>
      <c r="T1044" s="264"/>
      <c r="U1044" s="264"/>
      <c r="V1044" s="264"/>
      <c r="W1044" s="264"/>
      <c r="X1044" s="264"/>
      <c r="Y1044" s="264"/>
      <c r="Z1044" s="264"/>
    </row>
    <row r="1045">
      <c r="A1045" s="264"/>
      <c r="B1045" s="264"/>
      <c r="C1045" s="264"/>
      <c r="D1045" s="264"/>
      <c r="E1045" s="264"/>
      <c r="F1045" s="264"/>
      <c r="G1045" s="264"/>
      <c r="H1045" s="264"/>
      <c r="I1045" s="264"/>
      <c r="J1045" s="264"/>
      <c r="K1045" s="264"/>
      <c r="L1045" s="264"/>
      <c r="M1045" s="264"/>
      <c r="N1045" s="264"/>
      <c r="O1045" s="264"/>
      <c r="P1045" s="264"/>
      <c r="Q1045" s="264"/>
      <c r="R1045" s="264"/>
      <c r="S1045" s="264"/>
      <c r="T1045" s="264"/>
      <c r="U1045" s="264"/>
      <c r="V1045" s="264"/>
      <c r="W1045" s="264"/>
      <c r="X1045" s="264"/>
      <c r="Y1045" s="264"/>
      <c r="Z1045" s="264"/>
    </row>
    <row r="1046">
      <c r="A1046" s="264"/>
      <c r="B1046" s="264"/>
      <c r="C1046" s="264"/>
      <c r="D1046" s="264"/>
      <c r="E1046" s="264"/>
      <c r="F1046" s="264"/>
      <c r="G1046" s="264"/>
      <c r="H1046" s="264"/>
      <c r="I1046" s="264"/>
      <c r="J1046" s="264"/>
      <c r="K1046" s="264"/>
      <c r="L1046" s="264"/>
      <c r="M1046" s="264"/>
      <c r="N1046" s="264"/>
      <c r="O1046" s="264"/>
      <c r="P1046" s="264"/>
      <c r="Q1046" s="264"/>
      <c r="R1046" s="264"/>
      <c r="S1046" s="264"/>
      <c r="T1046" s="264"/>
      <c r="U1046" s="264"/>
      <c r="V1046" s="264"/>
      <c r="W1046" s="264"/>
      <c r="X1046" s="264"/>
      <c r="Y1046" s="264"/>
      <c r="Z1046" s="264"/>
    </row>
    <row r="1047">
      <c r="A1047" s="264"/>
      <c r="B1047" s="264"/>
      <c r="C1047" s="264"/>
      <c r="D1047" s="264"/>
      <c r="E1047" s="264"/>
      <c r="F1047" s="264"/>
      <c r="G1047" s="264"/>
      <c r="H1047" s="264"/>
      <c r="I1047" s="264"/>
      <c r="J1047" s="264"/>
      <c r="K1047" s="264"/>
      <c r="L1047" s="264"/>
      <c r="M1047" s="264"/>
      <c r="N1047" s="264"/>
      <c r="O1047" s="264"/>
      <c r="P1047" s="264"/>
      <c r="Q1047" s="264"/>
      <c r="R1047" s="264"/>
      <c r="S1047" s="264"/>
      <c r="T1047" s="264"/>
      <c r="U1047" s="264"/>
      <c r="V1047" s="264"/>
      <c r="W1047" s="264"/>
      <c r="X1047" s="264"/>
      <c r="Y1047" s="264"/>
      <c r="Z1047" s="264"/>
    </row>
    <row r="1048">
      <c r="A1048" s="264"/>
      <c r="B1048" s="264"/>
      <c r="C1048" s="264"/>
      <c r="D1048" s="264"/>
      <c r="E1048" s="264"/>
      <c r="F1048" s="264"/>
      <c r="G1048" s="264"/>
      <c r="H1048" s="264"/>
      <c r="I1048" s="264"/>
      <c r="J1048" s="264"/>
      <c r="K1048" s="264"/>
      <c r="L1048" s="264"/>
      <c r="M1048" s="264"/>
      <c r="N1048" s="264"/>
      <c r="O1048" s="264"/>
      <c r="P1048" s="264"/>
      <c r="Q1048" s="264"/>
      <c r="R1048" s="264"/>
      <c r="S1048" s="264"/>
      <c r="T1048" s="264"/>
      <c r="U1048" s="264"/>
      <c r="V1048" s="264"/>
      <c r="W1048" s="264"/>
      <c r="X1048" s="264"/>
      <c r="Y1048" s="264"/>
      <c r="Z1048" s="264"/>
    </row>
    <row r="1049">
      <c r="A1049" s="264"/>
      <c r="B1049" s="264"/>
      <c r="C1049" s="264"/>
      <c r="D1049" s="264"/>
      <c r="E1049" s="264"/>
      <c r="F1049" s="264"/>
      <c r="G1049" s="264"/>
      <c r="H1049" s="264"/>
      <c r="I1049" s="264"/>
      <c r="J1049" s="264"/>
      <c r="K1049" s="264"/>
      <c r="L1049" s="264"/>
      <c r="M1049" s="264"/>
      <c r="N1049" s="264"/>
      <c r="O1049" s="264"/>
      <c r="P1049" s="264"/>
      <c r="Q1049" s="264"/>
      <c r="R1049" s="264"/>
      <c r="S1049" s="264"/>
      <c r="T1049" s="264"/>
      <c r="U1049" s="264"/>
      <c r="V1049" s="264"/>
      <c r="W1049" s="264"/>
      <c r="X1049" s="264"/>
      <c r="Y1049" s="264"/>
      <c r="Z1049" s="264"/>
    </row>
    <row r="1050">
      <c r="A1050" s="264"/>
      <c r="B1050" s="264"/>
      <c r="C1050" s="264"/>
      <c r="D1050" s="264"/>
      <c r="E1050" s="264"/>
      <c r="F1050" s="264"/>
      <c r="G1050" s="264"/>
      <c r="H1050" s="264"/>
      <c r="I1050" s="264"/>
      <c r="J1050" s="264"/>
      <c r="K1050" s="264"/>
      <c r="L1050" s="264"/>
      <c r="M1050" s="264"/>
      <c r="N1050" s="264"/>
      <c r="O1050" s="264"/>
      <c r="P1050" s="264"/>
      <c r="Q1050" s="264"/>
      <c r="R1050" s="264"/>
      <c r="S1050" s="264"/>
      <c r="T1050" s="264"/>
      <c r="U1050" s="264"/>
      <c r="V1050" s="264"/>
      <c r="W1050" s="264"/>
      <c r="X1050" s="264"/>
      <c r="Y1050" s="264"/>
      <c r="Z1050" s="264"/>
    </row>
    <row r="1051">
      <c r="A1051" s="264"/>
      <c r="B1051" s="264"/>
      <c r="C1051" s="264"/>
      <c r="D1051" s="264"/>
      <c r="E1051" s="264"/>
      <c r="F1051" s="264"/>
      <c r="G1051" s="264"/>
      <c r="H1051" s="264"/>
      <c r="I1051" s="264"/>
      <c r="J1051" s="264"/>
      <c r="K1051" s="264"/>
      <c r="L1051" s="264"/>
      <c r="M1051" s="264"/>
      <c r="N1051" s="264"/>
      <c r="O1051" s="264"/>
      <c r="P1051" s="264"/>
      <c r="Q1051" s="264"/>
      <c r="R1051" s="264"/>
      <c r="S1051" s="264"/>
      <c r="T1051" s="264"/>
      <c r="U1051" s="264"/>
      <c r="V1051" s="264"/>
      <c r="W1051" s="264"/>
      <c r="X1051" s="264"/>
      <c r="Y1051" s="264"/>
      <c r="Z1051" s="264"/>
    </row>
    <row r="1052">
      <c r="A1052" s="264"/>
      <c r="B1052" s="264"/>
      <c r="C1052" s="264"/>
      <c r="D1052" s="264"/>
      <c r="E1052" s="264"/>
      <c r="F1052" s="264"/>
      <c r="G1052" s="264"/>
      <c r="H1052" s="264"/>
      <c r="I1052" s="264"/>
      <c r="J1052" s="264"/>
      <c r="K1052" s="264"/>
      <c r="L1052" s="264"/>
      <c r="M1052" s="264"/>
      <c r="N1052" s="264"/>
      <c r="O1052" s="264"/>
      <c r="P1052" s="264"/>
      <c r="Q1052" s="264"/>
      <c r="R1052" s="264"/>
      <c r="S1052" s="264"/>
      <c r="T1052" s="264"/>
      <c r="U1052" s="264"/>
      <c r="V1052" s="264"/>
      <c r="W1052" s="264"/>
      <c r="X1052" s="264"/>
      <c r="Y1052" s="264"/>
      <c r="Z1052" s="264"/>
    </row>
    <row r="1053">
      <c r="A1053" s="264"/>
      <c r="B1053" s="264"/>
      <c r="C1053" s="264"/>
      <c r="D1053" s="264"/>
      <c r="E1053" s="264"/>
      <c r="F1053" s="264"/>
      <c r="G1053" s="264"/>
      <c r="H1053" s="264"/>
      <c r="I1053" s="264"/>
      <c r="J1053" s="264"/>
      <c r="K1053" s="264"/>
      <c r="L1053" s="264"/>
      <c r="M1053" s="264"/>
      <c r="N1053" s="264"/>
      <c r="O1053" s="264"/>
      <c r="P1053" s="264"/>
      <c r="Q1053" s="264"/>
      <c r="R1053" s="264"/>
      <c r="S1053" s="264"/>
      <c r="T1053" s="264"/>
      <c r="U1053" s="264"/>
      <c r="V1053" s="264"/>
      <c r="W1053" s="264"/>
      <c r="X1053" s="264"/>
      <c r="Y1053" s="264"/>
      <c r="Z1053" s="264"/>
    </row>
    <row r="1054">
      <c r="A1054" s="264"/>
      <c r="B1054" s="264"/>
      <c r="C1054" s="264"/>
      <c r="D1054" s="264"/>
      <c r="E1054" s="264"/>
      <c r="F1054" s="264"/>
      <c r="G1054" s="264"/>
      <c r="H1054" s="264"/>
      <c r="I1054" s="264"/>
      <c r="J1054" s="264"/>
      <c r="K1054" s="264"/>
      <c r="L1054" s="264"/>
      <c r="M1054" s="264"/>
      <c r="N1054" s="264"/>
      <c r="O1054" s="264"/>
      <c r="P1054" s="264"/>
      <c r="Q1054" s="264"/>
      <c r="R1054" s="264"/>
      <c r="S1054" s="264"/>
      <c r="T1054" s="264"/>
      <c r="U1054" s="264"/>
      <c r="V1054" s="264"/>
      <c r="W1054" s="264"/>
      <c r="X1054" s="264"/>
      <c r="Y1054" s="264"/>
      <c r="Z1054" s="264"/>
    </row>
    <row r="1055">
      <c r="A1055" s="264"/>
      <c r="B1055" s="264"/>
      <c r="C1055" s="264"/>
      <c r="D1055" s="264"/>
      <c r="E1055" s="264"/>
      <c r="F1055" s="264"/>
      <c r="G1055" s="264"/>
      <c r="H1055" s="264"/>
      <c r="I1055" s="264"/>
      <c r="J1055" s="264"/>
      <c r="K1055" s="264"/>
      <c r="L1055" s="264"/>
      <c r="M1055" s="264"/>
      <c r="N1055" s="264"/>
      <c r="O1055" s="264"/>
      <c r="P1055" s="264"/>
      <c r="Q1055" s="264"/>
      <c r="R1055" s="264"/>
      <c r="S1055" s="264"/>
      <c r="T1055" s="264"/>
      <c r="U1055" s="264"/>
      <c r="V1055" s="264"/>
      <c r="W1055" s="264"/>
      <c r="X1055" s="264"/>
      <c r="Y1055" s="264"/>
      <c r="Z1055" s="264"/>
    </row>
    <row r="1056">
      <c r="A1056" s="264"/>
      <c r="B1056" s="264"/>
      <c r="C1056" s="264"/>
      <c r="D1056" s="264"/>
      <c r="E1056" s="264"/>
      <c r="F1056" s="264"/>
      <c r="G1056" s="264"/>
      <c r="H1056" s="264"/>
      <c r="I1056" s="264"/>
      <c r="J1056" s="264"/>
      <c r="K1056" s="264"/>
      <c r="L1056" s="264"/>
      <c r="M1056" s="264"/>
      <c r="N1056" s="264"/>
      <c r="O1056" s="264"/>
      <c r="P1056" s="264"/>
      <c r="Q1056" s="264"/>
      <c r="R1056" s="264"/>
      <c r="S1056" s="264"/>
      <c r="T1056" s="264"/>
      <c r="U1056" s="264"/>
      <c r="V1056" s="264"/>
      <c r="W1056" s="264"/>
      <c r="X1056" s="264"/>
      <c r="Y1056" s="264"/>
      <c r="Z1056" s="264"/>
    </row>
    <row r="1057">
      <c r="A1057" s="264"/>
      <c r="B1057" s="264"/>
      <c r="C1057" s="264"/>
      <c r="D1057" s="264"/>
      <c r="E1057" s="264"/>
      <c r="F1057" s="264"/>
      <c r="G1057" s="264"/>
      <c r="H1057" s="264"/>
      <c r="I1057" s="264"/>
      <c r="J1057" s="264"/>
      <c r="K1057" s="264"/>
      <c r="L1057" s="264"/>
      <c r="M1057" s="264"/>
      <c r="N1057" s="264"/>
      <c r="O1057" s="264"/>
      <c r="P1057" s="264"/>
      <c r="Q1057" s="264"/>
      <c r="R1057" s="264"/>
      <c r="S1057" s="264"/>
      <c r="T1057" s="264"/>
      <c r="U1057" s="264"/>
      <c r="V1057" s="264"/>
      <c r="W1057" s="264"/>
      <c r="X1057" s="264"/>
      <c r="Y1057" s="264"/>
      <c r="Z1057" s="264"/>
    </row>
    <row r="1058">
      <c r="A1058" s="264"/>
      <c r="B1058" s="264"/>
      <c r="C1058" s="264"/>
      <c r="D1058" s="264"/>
      <c r="E1058" s="264"/>
      <c r="F1058" s="264"/>
      <c r="G1058" s="264"/>
      <c r="H1058" s="264"/>
      <c r="I1058" s="264"/>
      <c r="J1058" s="264"/>
      <c r="K1058" s="264"/>
      <c r="L1058" s="264"/>
      <c r="M1058" s="264"/>
      <c r="N1058" s="264"/>
      <c r="O1058" s="264"/>
      <c r="P1058" s="264"/>
      <c r="Q1058" s="264"/>
      <c r="R1058" s="264"/>
      <c r="S1058" s="264"/>
      <c r="T1058" s="264"/>
      <c r="U1058" s="264"/>
      <c r="V1058" s="264"/>
      <c r="W1058" s="264"/>
      <c r="X1058" s="264"/>
      <c r="Y1058" s="264"/>
      <c r="Z1058" s="264"/>
    </row>
    <row r="1059">
      <c r="A1059" s="264"/>
      <c r="B1059" s="264"/>
      <c r="C1059" s="264"/>
      <c r="D1059" s="264"/>
      <c r="E1059" s="264"/>
      <c r="F1059" s="264"/>
      <c r="G1059" s="264"/>
      <c r="H1059" s="264"/>
      <c r="I1059" s="264"/>
      <c r="J1059" s="264"/>
      <c r="K1059" s="264"/>
      <c r="L1059" s="264"/>
      <c r="M1059" s="264"/>
      <c r="N1059" s="264"/>
      <c r="O1059" s="264"/>
      <c r="P1059" s="264"/>
      <c r="Q1059" s="264"/>
      <c r="R1059" s="264"/>
      <c r="S1059" s="264"/>
      <c r="T1059" s="264"/>
      <c r="U1059" s="264"/>
      <c r="V1059" s="264"/>
      <c r="W1059" s="264"/>
      <c r="X1059" s="264"/>
      <c r="Y1059" s="264"/>
      <c r="Z1059" s="264"/>
    </row>
    <row r="1060">
      <c r="A1060" s="264"/>
      <c r="B1060" s="264"/>
      <c r="C1060" s="264"/>
      <c r="D1060" s="264"/>
      <c r="E1060" s="264"/>
      <c r="F1060" s="264"/>
      <c r="G1060" s="264"/>
      <c r="H1060" s="264"/>
      <c r="I1060" s="264"/>
      <c r="J1060" s="264"/>
      <c r="K1060" s="264"/>
      <c r="L1060" s="264"/>
      <c r="M1060" s="264"/>
      <c r="N1060" s="264"/>
      <c r="O1060" s="264"/>
      <c r="P1060" s="264"/>
      <c r="Q1060" s="264"/>
      <c r="R1060" s="264"/>
      <c r="S1060" s="264"/>
      <c r="T1060" s="264"/>
      <c r="U1060" s="264"/>
      <c r="V1060" s="264"/>
      <c r="W1060" s="264"/>
      <c r="X1060" s="264"/>
      <c r="Y1060" s="264"/>
      <c r="Z1060" s="264"/>
    </row>
    <row r="1061">
      <c r="A1061" s="264"/>
      <c r="B1061" s="264"/>
      <c r="C1061" s="264"/>
      <c r="D1061" s="264"/>
      <c r="E1061" s="264"/>
      <c r="F1061" s="264"/>
      <c r="G1061" s="264"/>
      <c r="H1061" s="264"/>
      <c r="I1061" s="264"/>
      <c r="J1061" s="264"/>
      <c r="K1061" s="264"/>
      <c r="L1061" s="264"/>
      <c r="M1061" s="264"/>
      <c r="N1061" s="264"/>
      <c r="O1061" s="264"/>
      <c r="P1061" s="264"/>
      <c r="Q1061" s="264"/>
      <c r="R1061" s="264"/>
      <c r="S1061" s="264"/>
      <c r="T1061" s="264"/>
      <c r="U1061" s="264"/>
      <c r="V1061" s="264"/>
      <c r="W1061" s="264"/>
      <c r="X1061" s="264"/>
      <c r="Y1061" s="264"/>
      <c r="Z1061" s="264"/>
    </row>
    <row r="1062">
      <c r="A1062" s="264"/>
      <c r="B1062" s="264"/>
      <c r="C1062" s="264"/>
      <c r="D1062" s="264"/>
      <c r="E1062" s="264"/>
      <c r="F1062" s="264"/>
      <c r="G1062" s="264"/>
      <c r="H1062" s="264"/>
      <c r="I1062" s="264"/>
      <c r="J1062" s="264"/>
      <c r="K1062" s="264"/>
      <c r="L1062" s="264"/>
      <c r="M1062" s="264"/>
      <c r="N1062" s="264"/>
      <c r="O1062" s="264"/>
      <c r="P1062" s="264"/>
      <c r="Q1062" s="264"/>
      <c r="R1062" s="264"/>
      <c r="S1062" s="264"/>
      <c r="T1062" s="264"/>
      <c r="U1062" s="264"/>
      <c r="V1062" s="264"/>
      <c r="W1062" s="264"/>
      <c r="X1062" s="264"/>
      <c r="Y1062" s="264"/>
      <c r="Z1062" s="264"/>
    </row>
    <row r="1063">
      <c r="A1063" s="264"/>
      <c r="B1063" s="264"/>
      <c r="C1063" s="264"/>
      <c r="D1063" s="264"/>
      <c r="E1063" s="264"/>
      <c r="F1063" s="264"/>
      <c r="G1063" s="264"/>
      <c r="H1063" s="264"/>
      <c r="I1063" s="264"/>
      <c r="J1063" s="264"/>
      <c r="K1063" s="264"/>
      <c r="L1063" s="264"/>
      <c r="M1063" s="264"/>
      <c r="N1063" s="264"/>
      <c r="O1063" s="264"/>
      <c r="P1063" s="264"/>
      <c r="Q1063" s="264"/>
      <c r="R1063" s="264"/>
      <c r="S1063" s="264"/>
      <c r="T1063" s="264"/>
      <c r="U1063" s="264"/>
      <c r="V1063" s="264"/>
      <c r="W1063" s="264"/>
      <c r="X1063" s="264"/>
      <c r="Y1063" s="264"/>
      <c r="Z1063" s="264"/>
    </row>
    <row r="1064">
      <c r="A1064" s="264"/>
      <c r="B1064" s="264"/>
      <c r="C1064" s="264"/>
      <c r="D1064" s="264"/>
      <c r="E1064" s="264"/>
      <c r="F1064" s="264"/>
      <c r="G1064" s="264"/>
      <c r="H1064" s="264"/>
      <c r="I1064" s="264"/>
      <c r="J1064" s="264"/>
      <c r="K1064" s="264"/>
      <c r="L1064" s="264"/>
      <c r="M1064" s="264"/>
      <c r="N1064" s="264"/>
      <c r="O1064" s="264"/>
      <c r="P1064" s="264"/>
      <c r="Q1064" s="264"/>
      <c r="R1064" s="264"/>
      <c r="S1064" s="264"/>
      <c r="T1064" s="264"/>
      <c r="U1064" s="264"/>
      <c r="V1064" s="264"/>
      <c r="W1064" s="264"/>
      <c r="X1064" s="264"/>
      <c r="Y1064" s="264"/>
      <c r="Z1064" s="264"/>
    </row>
    <row r="1065">
      <c r="A1065" s="264"/>
      <c r="B1065" s="264"/>
      <c r="C1065" s="264"/>
      <c r="D1065" s="264"/>
      <c r="E1065" s="264"/>
      <c r="F1065" s="264"/>
      <c r="G1065" s="264"/>
      <c r="H1065" s="264"/>
      <c r="I1065" s="264"/>
      <c r="J1065" s="264"/>
      <c r="K1065" s="264"/>
      <c r="L1065" s="264"/>
      <c r="M1065" s="264"/>
      <c r="N1065" s="264"/>
      <c r="O1065" s="264"/>
      <c r="P1065" s="264"/>
      <c r="Q1065" s="264"/>
      <c r="R1065" s="264"/>
      <c r="S1065" s="264"/>
      <c r="T1065" s="264"/>
      <c r="U1065" s="264"/>
      <c r="V1065" s="264"/>
      <c r="W1065" s="264"/>
      <c r="X1065" s="264"/>
      <c r="Y1065" s="264"/>
      <c r="Z1065" s="264"/>
    </row>
    <row r="1066">
      <c r="A1066" s="264"/>
      <c r="B1066" s="264"/>
      <c r="C1066" s="264"/>
      <c r="D1066" s="264"/>
      <c r="E1066" s="264"/>
      <c r="F1066" s="264"/>
      <c r="G1066" s="264"/>
      <c r="H1066" s="264"/>
      <c r="I1066" s="264"/>
      <c r="J1066" s="264"/>
      <c r="K1066" s="264"/>
      <c r="L1066" s="264"/>
      <c r="M1066" s="264"/>
      <c r="N1066" s="264"/>
      <c r="O1066" s="264"/>
      <c r="P1066" s="264"/>
      <c r="Q1066" s="264"/>
      <c r="R1066" s="264"/>
      <c r="S1066" s="264"/>
      <c r="T1066" s="264"/>
      <c r="U1066" s="264"/>
      <c r="V1066" s="264"/>
      <c r="W1066" s="264"/>
      <c r="X1066" s="264"/>
      <c r="Y1066" s="264"/>
      <c r="Z1066" s="264"/>
    </row>
  </sheetData>
  <autoFilter ref="$B$1:$O$66">
    <filterColumn colId="8">
      <filters>
        <filter val="WELLCARE OF TEXAS"/>
        <filter val="AMERIGROUP"/>
        <filter val="EL PASO HEALTH PLAN"/>
        <filter val="MEDICARE TEXAS"/>
        <filter val="FRIDAY HEALTH PLAN"/>
        <filter val="BCBSTX PPO"/>
        <filter val="BCBS FEDERAL"/>
        <filter val="WPS VA - COMMUNITY CARE"/>
        <filter val="AMERIVANTAGE DUAL"/>
        <filter val="BCBS CENTENNIAL"/>
        <filter val="AETNA"/>
        <filter val="WELLCARE OF TEXAS HMO"/>
        <filter val="TRICARE PRIME"/>
        <filter val="WC - DEPARTMENT OF LABOR"/>
        <filter val="HUMANA MEDICARE PPO"/>
        <filter val="HUMANA GOLD PLUS HMO"/>
        <filter val="UNITED HEALTH CARE"/>
        <filter val="AMERIVANTAGE"/>
        <filter val="UNITED HEALTH CARE CHOICEPLUS"/>
        <filter val="CIGNA OPEN ACCESS PLAN (OAP)"/>
        <filter val="UMR"/>
        <filter val="AMBETTER - SUPERIOR"/>
      </filters>
    </filterColumn>
  </autoFilter>
  <conditionalFormatting sqref="A1:Z1066">
    <cfRule type="notContainsBlanks" dxfId="7" priority="1">
      <formula>LEN(TRIM(A1))&gt;0</formula>
    </cfRule>
  </conditionalFormatting>
  <conditionalFormatting sqref="A1:J1066 O1:Z1066">
    <cfRule type="containsBlanks" dxfId="29" priority="2">
      <formula>LEN(TRIM(A1))=0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1.57"/>
    <col customWidth="1" min="2" max="2" width="6.43"/>
    <col customWidth="1" min="3" max="3" width="9.71"/>
    <col customWidth="1" min="4" max="4" width="10.71"/>
    <col customWidth="1" min="5" max="5" width="11.29"/>
    <col customWidth="1" min="6" max="6" width="5.43"/>
    <col customWidth="1" min="7" max="7" width="8.14"/>
    <col customWidth="1" min="8" max="8" width="12.71"/>
    <col customWidth="1" min="9" max="9" width="42.57"/>
    <col customWidth="1" min="10" max="10" width="7.86"/>
    <col customWidth="1" min="11" max="11" width="6.57"/>
    <col customWidth="1" min="12" max="12" width="7.57"/>
    <col customWidth="1" min="13" max="13" width="7.0"/>
    <col customWidth="1" min="14" max="14" width="14.86"/>
  </cols>
  <sheetData>
    <row r="1">
      <c r="A1" s="269" t="s">
        <v>24</v>
      </c>
      <c r="B1" s="269" t="s">
        <v>6237</v>
      </c>
      <c r="C1" s="269" t="s">
        <v>25</v>
      </c>
      <c r="D1" s="269" t="s">
        <v>21</v>
      </c>
      <c r="E1" s="269" t="s">
        <v>6077</v>
      </c>
      <c r="F1" s="269" t="s">
        <v>6318</v>
      </c>
      <c r="G1" s="269" t="s">
        <v>2</v>
      </c>
      <c r="H1" s="269" t="s">
        <v>6206</v>
      </c>
      <c r="I1" s="269" t="s">
        <v>6135</v>
      </c>
      <c r="J1" s="269" t="s">
        <v>6238</v>
      </c>
      <c r="K1" s="269" t="s">
        <v>6239</v>
      </c>
      <c r="L1" s="269" t="s">
        <v>6240</v>
      </c>
      <c r="M1" s="269" t="s">
        <v>7</v>
      </c>
      <c r="N1" s="269" t="s">
        <v>6320</v>
      </c>
    </row>
    <row r="2">
      <c r="A2" s="270" t="s">
        <v>1522</v>
      </c>
      <c r="B2" s="270">
        <v>12538.0</v>
      </c>
      <c r="C2" s="271">
        <v>18832.0</v>
      </c>
      <c r="D2" s="271">
        <v>44564.0</v>
      </c>
      <c r="E2" s="272">
        <v>0.3333333333333333</v>
      </c>
      <c r="F2" s="270" t="s">
        <v>6328</v>
      </c>
      <c r="G2" s="270" t="s">
        <v>12</v>
      </c>
      <c r="H2" s="270" t="s">
        <v>6212</v>
      </c>
      <c r="I2" s="270" t="s">
        <v>6199</v>
      </c>
      <c r="J2" s="270"/>
      <c r="K2" s="270" t="s">
        <v>6242</v>
      </c>
      <c r="L2" s="270"/>
      <c r="M2" s="244"/>
      <c r="N2" s="270" t="s">
        <v>5</v>
      </c>
    </row>
    <row r="3">
      <c r="A3" s="270" t="s">
        <v>3956</v>
      </c>
      <c r="B3" s="270">
        <v>15575.0</v>
      </c>
      <c r="C3" s="271">
        <v>25072.0</v>
      </c>
      <c r="D3" s="271">
        <v>44564.0</v>
      </c>
      <c r="E3" s="272">
        <v>0.3541666666666667</v>
      </c>
      <c r="F3" s="270" t="s">
        <v>6323</v>
      </c>
      <c r="G3" s="270" t="s">
        <v>12</v>
      </c>
      <c r="H3" s="270" t="s">
        <v>6212</v>
      </c>
      <c r="I3" s="270" t="s">
        <v>6082</v>
      </c>
      <c r="J3" s="270"/>
      <c r="K3" s="270" t="s">
        <v>6242</v>
      </c>
      <c r="L3" s="270"/>
      <c r="M3" s="244"/>
      <c r="N3" s="270" t="s">
        <v>5</v>
      </c>
    </row>
    <row r="4">
      <c r="A4" s="270" t="s">
        <v>3140</v>
      </c>
      <c r="B4" s="270">
        <v>14600.0</v>
      </c>
      <c r="C4" s="271">
        <v>18872.0</v>
      </c>
      <c r="D4" s="271">
        <v>44564.0</v>
      </c>
      <c r="E4" s="272">
        <v>0.3333333333333333</v>
      </c>
      <c r="F4" s="270" t="s">
        <v>6323</v>
      </c>
      <c r="G4" s="270" t="s">
        <v>14</v>
      </c>
      <c r="H4" s="270" t="s">
        <v>6219</v>
      </c>
      <c r="I4" s="270" t="s">
        <v>6137</v>
      </c>
      <c r="J4" s="270"/>
      <c r="K4" s="270" t="s">
        <v>6242</v>
      </c>
      <c r="L4" s="270"/>
      <c r="M4" s="244"/>
      <c r="N4" s="270" t="s">
        <v>5</v>
      </c>
    </row>
    <row r="5">
      <c r="A5" s="270" t="s">
        <v>4167</v>
      </c>
      <c r="B5" s="270">
        <v>15807.0</v>
      </c>
      <c r="C5" s="271">
        <v>22632.0</v>
      </c>
      <c r="D5" s="271">
        <v>44564.0</v>
      </c>
      <c r="E5" s="272">
        <v>0.3541666666666667</v>
      </c>
      <c r="F5" s="270" t="s">
        <v>6328</v>
      </c>
      <c r="G5" s="270" t="s">
        <v>14</v>
      </c>
      <c r="H5" s="270" t="s">
        <v>6219</v>
      </c>
      <c r="I5" s="270" t="s">
        <v>6186</v>
      </c>
      <c r="J5" s="270"/>
      <c r="K5" s="270" t="s">
        <v>6242</v>
      </c>
      <c r="L5" s="270"/>
      <c r="M5" s="244"/>
      <c r="N5" s="270" t="s">
        <v>5</v>
      </c>
    </row>
    <row r="6">
      <c r="A6" s="270" t="s">
        <v>4967</v>
      </c>
      <c r="B6" s="270">
        <v>16796.0</v>
      </c>
      <c r="C6" s="271">
        <v>12606.0</v>
      </c>
      <c r="D6" s="271">
        <v>44564.0</v>
      </c>
      <c r="E6" s="272">
        <v>0.375</v>
      </c>
      <c r="F6" s="270" t="s">
        <v>6323</v>
      </c>
      <c r="G6" s="270" t="s">
        <v>13</v>
      </c>
      <c r="H6" s="270" t="s">
        <v>6221</v>
      </c>
      <c r="I6" s="270" t="s">
        <v>6137</v>
      </c>
      <c r="J6" s="270"/>
      <c r="K6" s="270" t="s">
        <v>6242</v>
      </c>
      <c r="L6" s="270"/>
      <c r="M6" s="244"/>
      <c r="N6" s="270" t="s">
        <v>5</v>
      </c>
    </row>
    <row r="7">
      <c r="A7" s="270" t="s">
        <v>5364</v>
      </c>
      <c r="B7" s="270">
        <v>17294.0</v>
      </c>
      <c r="C7" s="271">
        <v>28685.0</v>
      </c>
      <c r="D7" s="271">
        <v>44564.0</v>
      </c>
      <c r="E7" s="272">
        <v>0.3645833333333333</v>
      </c>
      <c r="F7" s="270" t="s">
        <v>6328</v>
      </c>
      <c r="G7" s="270" t="s">
        <v>13</v>
      </c>
      <c r="H7" s="270" t="s">
        <v>6212</v>
      </c>
      <c r="I7" s="270" t="s">
        <v>6082</v>
      </c>
      <c r="J7" s="270" t="s">
        <v>6242</v>
      </c>
      <c r="K7" s="270"/>
      <c r="L7" s="270"/>
      <c r="M7" s="244"/>
      <c r="N7" s="270" t="s">
        <v>6213</v>
      </c>
    </row>
    <row r="8">
      <c r="A8" s="270" t="s">
        <v>325</v>
      </c>
      <c r="B8" s="270">
        <v>9861.0</v>
      </c>
      <c r="C8" s="271">
        <v>22756.0</v>
      </c>
      <c r="D8" s="271">
        <v>44564.0</v>
      </c>
      <c r="E8" s="272">
        <v>0.375</v>
      </c>
      <c r="F8" s="270" t="s">
        <v>6323</v>
      </c>
      <c r="G8" s="270" t="s">
        <v>14</v>
      </c>
      <c r="H8" s="270" t="s">
        <v>6219</v>
      </c>
      <c r="I8" s="270" t="s">
        <v>6082</v>
      </c>
      <c r="J8" s="270"/>
      <c r="K8" s="270" t="s">
        <v>6242</v>
      </c>
      <c r="L8" s="270"/>
      <c r="M8" s="244"/>
      <c r="N8" s="270" t="s">
        <v>5</v>
      </c>
    </row>
    <row r="9">
      <c r="A9" s="270" t="s">
        <v>5928</v>
      </c>
      <c r="B9" s="270">
        <v>17733.0</v>
      </c>
      <c r="C9" s="271">
        <v>22321.0</v>
      </c>
      <c r="D9" s="271">
        <v>44564.0</v>
      </c>
      <c r="E9" s="272">
        <v>0.34375</v>
      </c>
      <c r="F9" s="270" t="s">
        <v>6328</v>
      </c>
      <c r="G9" s="270" t="s">
        <v>13</v>
      </c>
      <c r="H9" s="270" t="s">
        <v>6212</v>
      </c>
      <c r="I9" s="270" t="s">
        <v>6202</v>
      </c>
      <c r="J9" s="270" t="s">
        <v>6242</v>
      </c>
      <c r="K9" s="270"/>
      <c r="L9" s="270"/>
      <c r="M9" s="244"/>
      <c r="N9" s="270" t="s">
        <v>6213</v>
      </c>
    </row>
    <row r="10">
      <c r="A10" s="270" t="s">
        <v>4382</v>
      </c>
      <c r="B10" s="270">
        <v>16051.0</v>
      </c>
      <c r="C10" s="271">
        <v>24194.0</v>
      </c>
      <c r="D10" s="271">
        <v>44564.0</v>
      </c>
      <c r="E10" s="272">
        <v>0.3958333333333333</v>
      </c>
      <c r="F10" s="270" t="s">
        <v>6328</v>
      </c>
      <c r="G10" s="270" t="s">
        <v>14</v>
      </c>
      <c r="H10" s="270" t="s">
        <v>6219</v>
      </c>
      <c r="I10" s="270" t="s">
        <v>6199</v>
      </c>
      <c r="J10" s="270"/>
      <c r="K10" s="270" t="s">
        <v>6242</v>
      </c>
      <c r="L10" s="270" t="s">
        <v>6242</v>
      </c>
      <c r="M10" s="244"/>
      <c r="N10" s="270" t="s">
        <v>6215</v>
      </c>
    </row>
    <row r="11">
      <c r="A11" s="270" t="s">
        <v>4070</v>
      </c>
      <c r="B11" s="270">
        <v>15702.0</v>
      </c>
      <c r="C11" s="271">
        <v>25899.0</v>
      </c>
      <c r="D11" s="271">
        <v>44564.0</v>
      </c>
      <c r="E11" s="272">
        <v>0.3958333333333333</v>
      </c>
      <c r="F11" s="270" t="s">
        <v>6323</v>
      </c>
      <c r="G11" s="270" t="s">
        <v>14</v>
      </c>
      <c r="H11" s="270" t="s">
        <v>6222</v>
      </c>
      <c r="I11" s="270" t="s">
        <v>6124</v>
      </c>
      <c r="J11" s="270"/>
      <c r="K11" s="270" t="s">
        <v>6242</v>
      </c>
      <c r="L11" s="270"/>
      <c r="M11" s="244"/>
      <c r="N11" s="270" t="s">
        <v>5</v>
      </c>
    </row>
    <row r="12">
      <c r="A12" s="270" t="s">
        <v>2865</v>
      </c>
      <c r="B12" s="270">
        <v>14263.0</v>
      </c>
      <c r="C12" s="271">
        <v>23301.0</v>
      </c>
      <c r="D12" s="271">
        <v>44564.0</v>
      </c>
      <c r="E12" s="272">
        <v>0.40625</v>
      </c>
      <c r="F12" s="270" t="s">
        <v>6328</v>
      </c>
      <c r="G12" s="270" t="s">
        <v>14</v>
      </c>
      <c r="H12" s="270" t="s">
        <v>6222</v>
      </c>
      <c r="I12" s="270" t="s">
        <v>6095</v>
      </c>
      <c r="J12" s="270"/>
      <c r="K12" s="270" t="s">
        <v>6242</v>
      </c>
      <c r="L12" s="270"/>
      <c r="M12" s="244"/>
      <c r="N12" s="270" t="s">
        <v>5</v>
      </c>
    </row>
    <row r="13">
      <c r="A13" s="270" t="s">
        <v>331</v>
      </c>
      <c r="B13" s="270">
        <v>9878.0</v>
      </c>
      <c r="C13" s="271">
        <v>26966.0</v>
      </c>
      <c r="D13" s="271">
        <v>44564.0</v>
      </c>
      <c r="E13" s="272">
        <v>0.4583333333333333</v>
      </c>
      <c r="F13" s="270" t="s">
        <v>6323</v>
      </c>
      <c r="G13" s="270" t="s">
        <v>14</v>
      </c>
      <c r="H13" s="270" t="s">
        <v>6222</v>
      </c>
      <c r="I13" s="270" t="s">
        <v>6126</v>
      </c>
      <c r="J13" s="270"/>
      <c r="K13" s="270" t="s">
        <v>6242</v>
      </c>
      <c r="L13" s="270"/>
      <c r="M13" s="244"/>
      <c r="N13" s="270" t="s">
        <v>5</v>
      </c>
    </row>
    <row r="14">
      <c r="A14" s="270" t="s">
        <v>5937</v>
      </c>
      <c r="B14" s="270">
        <v>17799.0</v>
      </c>
      <c r="C14" s="271">
        <v>24580.0</v>
      </c>
      <c r="D14" s="271">
        <v>44564.0</v>
      </c>
      <c r="E14" s="272">
        <v>0.46875</v>
      </c>
      <c r="F14" s="270" t="s">
        <v>6323</v>
      </c>
      <c r="G14" s="270" t="s">
        <v>12</v>
      </c>
      <c r="H14" s="270" t="s">
        <v>6212</v>
      </c>
      <c r="I14" s="270" t="s">
        <v>6082</v>
      </c>
      <c r="J14" s="270" t="s">
        <v>6242</v>
      </c>
      <c r="K14" s="270"/>
      <c r="L14" s="270"/>
      <c r="M14" s="244"/>
      <c r="N14" s="270" t="s">
        <v>6213</v>
      </c>
    </row>
    <row r="15">
      <c r="A15" s="270" t="s">
        <v>1084</v>
      </c>
      <c r="B15" s="270">
        <v>11736.0</v>
      </c>
      <c r="C15" s="271">
        <v>21851.0</v>
      </c>
      <c r="D15" s="271">
        <v>44564.0</v>
      </c>
      <c r="E15" s="272">
        <v>0.46875</v>
      </c>
      <c r="F15" s="270" t="s">
        <v>6323</v>
      </c>
      <c r="G15" s="270" t="s">
        <v>14</v>
      </c>
      <c r="H15" s="270" t="s">
        <v>6222</v>
      </c>
      <c r="I15" s="270" t="s">
        <v>6091</v>
      </c>
      <c r="J15" s="270"/>
      <c r="K15" s="270" t="s">
        <v>6242</v>
      </c>
      <c r="L15" s="270"/>
      <c r="M15" s="244"/>
      <c r="N15" s="270" t="s">
        <v>5</v>
      </c>
    </row>
    <row r="16">
      <c r="A16" s="270" t="s">
        <v>2793</v>
      </c>
      <c r="B16" s="270">
        <v>14167.0</v>
      </c>
      <c r="C16" s="271">
        <v>30502.0</v>
      </c>
      <c r="D16" s="271">
        <v>44564.0</v>
      </c>
      <c r="E16" s="272">
        <v>0.4791666666666667</v>
      </c>
      <c r="F16" s="270" t="s">
        <v>6328</v>
      </c>
      <c r="G16" s="270" t="s">
        <v>14</v>
      </c>
      <c r="H16" s="270" t="s">
        <v>6222</v>
      </c>
      <c r="I16" s="270" t="s">
        <v>6199</v>
      </c>
      <c r="J16" s="270"/>
      <c r="K16" s="270" t="s">
        <v>6242</v>
      </c>
      <c r="L16" s="270"/>
      <c r="M16" s="244"/>
      <c r="N16" s="270" t="e">
        <v>#N/A</v>
      </c>
    </row>
    <row r="17">
      <c r="A17" s="270" t="s">
        <v>312</v>
      </c>
      <c r="B17" s="270">
        <v>9838.0</v>
      </c>
      <c r="C17" s="271">
        <v>27927.0</v>
      </c>
      <c r="D17" s="271">
        <v>44564.0</v>
      </c>
      <c r="E17" s="272">
        <v>0.46875</v>
      </c>
      <c r="F17" s="270" t="s">
        <v>6323</v>
      </c>
      <c r="G17" s="270" t="s">
        <v>12</v>
      </c>
      <c r="H17" s="270" t="s">
        <v>6221</v>
      </c>
      <c r="I17" s="270" t="s">
        <v>6137</v>
      </c>
      <c r="J17" s="270"/>
      <c r="K17" s="270" t="s">
        <v>6242</v>
      </c>
      <c r="L17" s="270" t="s">
        <v>6242</v>
      </c>
      <c r="M17" s="244"/>
      <c r="N17" s="270" t="s">
        <v>6215</v>
      </c>
    </row>
    <row r="18">
      <c r="A18" s="270" t="s">
        <v>410</v>
      </c>
      <c r="B18" s="270">
        <v>10094.0</v>
      </c>
      <c r="C18" s="271">
        <v>24190.0</v>
      </c>
      <c r="D18" s="271">
        <v>44564.0</v>
      </c>
      <c r="E18" s="272">
        <v>0.4791666666666667</v>
      </c>
      <c r="F18" s="270" t="s">
        <v>6323</v>
      </c>
      <c r="G18" s="270" t="s">
        <v>14</v>
      </c>
      <c r="H18" s="270" t="s">
        <v>6219</v>
      </c>
      <c r="I18" s="270" t="s">
        <v>6095</v>
      </c>
      <c r="J18" s="270"/>
      <c r="K18" s="270" t="s">
        <v>6242</v>
      </c>
      <c r="L18" s="270"/>
      <c r="M18" s="244"/>
      <c r="N18" s="270" t="s">
        <v>5</v>
      </c>
    </row>
    <row r="19">
      <c r="A19" s="270" t="s">
        <v>4625</v>
      </c>
      <c r="B19" s="270">
        <v>16350.0</v>
      </c>
      <c r="C19" s="271">
        <v>22243.0</v>
      </c>
      <c r="D19" s="271">
        <v>44564.0</v>
      </c>
      <c r="E19" s="272">
        <v>0.4791666666666667</v>
      </c>
      <c r="F19" s="270" t="s">
        <v>6328</v>
      </c>
      <c r="G19" s="270" t="s">
        <v>14</v>
      </c>
      <c r="H19" s="270" t="s">
        <v>6222</v>
      </c>
      <c r="I19" s="270" t="s">
        <v>6117</v>
      </c>
      <c r="J19" s="270"/>
      <c r="K19" s="270" t="s">
        <v>6242</v>
      </c>
      <c r="L19" s="270"/>
      <c r="M19" s="244"/>
      <c r="N19" s="270" t="s">
        <v>5</v>
      </c>
    </row>
    <row r="20">
      <c r="A20" s="270" t="s">
        <v>591</v>
      </c>
      <c r="B20" s="270">
        <v>10573.0</v>
      </c>
      <c r="C20" s="271">
        <v>23562.0</v>
      </c>
      <c r="D20" s="271">
        <v>44564.0</v>
      </c>
      <c r="E20" s="272">
        <v>0.5</v>
      </c>
      <c r="F20" s="270" t="s">
        <v>6323</v>
      </c>
      <c r="G20" s="270" t="s">
        <v>14</v>
      </c>
      <c r="H20" s="270" t="s">
        <v>6222</v>
      </c>
      <c r="I20" s="270" t="s">
        <v>6199</v>
      </c>
      <c r="J20" s="270"/>
      <c r="K20" s="270" t="s">
        <v>6242</v>
      </c>
      <c r="L20" s="270" t="s">
        <v>6242</v>
      </c>
      <c r="M20" s="244"/>
      <c r="N20" s="270" t="s">
        <v>6215</v>
      </c>
    </row>
    <row r="21">
      <c r="A21" s="270" t="s">
        <v>619</v>
      </c>
      <c r="B21" s="270">
        <v>10634.0</v>
      </c>
      <c r="C21" s="271">
        <v>14961.0</v>
      </c>
      <c r="D21" s="271">
        <v>44564.0</v>
      </c>
      <c r="E21" s="272">
        <v>0.5</v>
      </c>
      <c r="F21" s="270" t="s">
        <v>6323</v>
      </c>
      <c r="G21" s="270" t="s">
        <v>14</v>
      </c>
      <c r="H21" s="270" t="s">
        <v>6222</v>
      </c>
      <c r="I21" s="270" t="s">
        <v>6137</v>
      </c>
      <c r="J21" s="270"/>
      <c r="K21" s="270" t="s">
        <v>6242</v>
      </c>
      <c r="L21" s="270"/>
      <c r="M21" s="244"/>
      <c r="N21" s="270" t="s">
        <v>5</v>
      </c>
    </row>
    <row r="22">
      <c r="A22" s="270" t="s">
        <v>1638</v>
      </c>
      <c r="B22" s="270">
        <v>12697.0</v>
      </c>
      <c r="C22" s="271">
        <v>30536.0</v>
      </c>
      <c r="D22" s="271">
        <v>44564.0</v>
      </c>
      <c r="E22" s="272">
        <v>0.5104166666666666</v>
      </c>
      <c r="F22" s="270" t="s">
        <v>6328</v>
      </c>
      <c r="G22" s="270" t="s">
        <v>14</v>
      </c>
      <c r="H22" s="270" t="s">
        <v>6219</v>
      </c>
      <c r="I22" s="270" t="s">
        <v>6084</v>
      </c>
      <c r="J22" s="270"/>
      <c r="K22" s="270" t="s">
        <v>6242</v>
      </c>
      <c r="L22" s="270" t="s">
        <v>6242</v>
      </c>
      <c r="M22" s="244"/>
      <c r="N22" s="270" t="s">
        <v>6215</v>
      </c>
    </row>
    <row r="23">
      <c r="A23" s="270" t="s">
        <v>2976</v>
      </c>
      <c r="B23" s="270">
        <v>14392.0</v>
      </c>
      <c r="C23" s="271">
        <v>21549.0</v>
      </c>
      <c r="D23" s="271">
        <v>44564.0</v>
      </c>
      <c r="E23" s="272">
        <v>0.53125</v>
      </c>
      <c r="F23" s="270" t="s">
        <v>6323</v>
      </c>
      <c r="G23" s="270" t="s">
        <v>14</v>
      </c>
      <c r="H23" s="270" t="s">
        <v>6219</v>
      </c>
      <c r="I23" s="270" t="s">
        <v>6083</v>
      </c>
      <c r="J23" s="270"/>
      <c r="K23" s="270" t="s">
        <v>6242</v>
      </c>
      <c r="L23" s="270" t="s">
        <v>6242</v>
      </c>
      <c r="M23" s="244"/>
      <c r="N23" s="270" t="s">
        <v>6215</v>
      </c>
    </row>
    <row r="24">
      <c r="A24" s="270" t="s">
        <v>1285</v>
      </c>
      <c r="B24" s="270">
        <v>12124.0</v>
      </c>
      <c r="C24" s="271">
        <v>13850.0</v>
      </c>
      <c r="D24" s="271">
        <v>44564.0</v>
      </c>
      <c r="E24" s="272">
        <v>0.5729166666666666</v>
      </c>
      <c r="F24" s="270" t="s">
        <v>6323</v>
      </c>
      <c r="G24" s="270" t="s">
        <v>14</v>
      </c>
      <c r="H24" s="270" t="s">
        <v>6222</v>
      </c>
      <c r="I24" s="270" t="s">
        <v>6094</v>
      </c>
      <c r="J24" s="270"/>
      <c r="K24" s="270" t="s">
        <v>6242</v>
      </c>
      <c r="L24" s="270" t="s">
        <v>6242</v>
      </c>
      <c r="M24" s="244"/>
      <c r="N24" s="270" t="s">
        <v>6215</v>
      </c>
    </row>
    <row r="25">
      <c r="A25" s="270" t="s">
        <v>524</v>
      </c>
      <c r="B25" s="270">
        <v>10380.0</v>
      </c>
      <c r="C25" s="271">
        <v>17576.0</v>
      </c>
      <c r="D25" s="271">
        <v>44564.0</v>
      </c>
      <c r="E25" s="272">
        <v>0.5833333333333334</v>
      </c>
      <c r="F25" s="270" t="s">
        <v>6328</v>
      </c>
      <c r="G25" s="270" t="s">
        <v>14</v>
      </c>
      <c r="H25" s="270" t="s">
        <v>6222</v>
      </c>
      <c r="I25" s="270" t="s">
        <v>6199</v>
      </c>
      <c r="J25" s="270"/>
      <c r="K25" s="270" t="s">
        <v>6242</v>
      </c>
      <c r="L25" s="270"/>
      <c r="M25" s="244"/>
      <c r="N25" s="270" t="s">
        <v>5</v>
      </c>
    </row>
    <row r="26">
      <c r="A26" s="270" t="s">
        <v>2078</v>
      </c>
      <c r="B26" s="270">
        <v>13234.0</v>
      </c>
      <c r="C26" s="271">
        <v>17399.0</v>
      </c>
      <c r="D26" s="271">
        <v>44564.0</v>
      </c>
      <c r="E26" s="272">
        <v>0.5833333333333334</v>
      </c>
      <c r="F26" s="270" t="s">
        <v>6328</v>
      </c>
      <c r="G26" s="270" t="s">
        <v>14</v>
      </c>
      <c r="H26" s="270" t="s">
        <v>6219</v>
      </c>
      <c r="I26" s="270" t="s">
        <v>6187</v>
      </c>
      <c r="J26" s="270"/>
      <c r="K26" s="270" t="s">
        <v>6242</v>
      </c>
      <c r="L26" s="270" t="s">
        <v>6242</v>
      </c>
      <c r="M26" s="244"/>
      <c r="N26" s="270" t="s">
        <v>6215</v>
      </c>
    </row>
    <row r="27">
      <c r="A27" s="270" t="s">
        <v>2106</v>
      </c>
      <c r="B27" s="270">
        <v>13273.0</v>
      </c>
      <c r="C27" s="271">
        <v>30146.0</v>
      </c>
      <c r="D27" s="271">
        <v>44564.0</v>
      </c>
      <c r="E27" s="272">
        <v>0.5833333333333334</v>
      </c>
      <c r="F27" s="270" t="s">
        <v>6328</v>
      </c>
      <c r="G27" s="270" t="s">
        <v>14</v>
      </c>
      <c r="H27" s="270" t="s">
        <v>6219</v>
      </c>
      <c r="I27" s="270" t="s">
        <v>6154</v>
      </c>
      <c r="J27" s="270"/>
      <c r="K27" s="270" t="s">
        <v>6242</v>
      </c>
      <c r="L27" s="270" t="s">
        <v>6242</v>
      </c>
      <c r="M27" s="244"/>
      <c r="N27" s="270" t="s">
        <v>6215</v>
      </c>
    </row>
    <row r="28">
      <c r="A28" s="270" t="s">
        <v>455</v>
      </c>
      <c r="B28" s="270">
        <v>10204.0</v>
      </c>
      <c r="C28" s="271">
        <v>30612.0</v>
      </c>
      <c r="D28" s="271">
        <v>44564.0</v>
      </c>
      <c r="E28" s="272">
        <v>0.5833333333333334</v>
      </c>
      <c r="F28" s="270" t="s">
        <v>6328</v>
      </c>
      <c r="G28" s="270" t="s">
        <v>14</v>
      </c>
      <c r="H28" s="270" t="s">
        <v>6222</v>
      </c>
      <c r="I28" s="270" t="s">
        <v>6091</v>
      </c>
      <c r="J28" s="270"/>
      <c r="K28" s="270" t="s">
        <v>6242</v>
      </c>
      <c r="L28" s="270"/>
      <c r="M28" s="244"/>
      <c r="N28" s="270" t="s">
        <v>5</v>
      </c>
    </row>
    <row r="29">
      <c r="A29" s="270" t="s">
        <v>5771</v>
      </c>
      <c r="B29" s="270">
        <v>17730.0</v>
      </c>
      <c r="C29" s="271">
        <v>20478.0</v>
      </c>
      <c r="D29" s="271">
        <v>44564.0</v>
      </c>
      <c r="E29" s="272">
        <v>0.6041666666666666</v>
      </c>
      <c r="F29" s="270" t="s">
        <v>6323</v>
      </c>
      <c r="G29" s="270" t="s">
        <v>13</v>
      </c>
      <c r="H29" s="270" t="s">
        <v>6212</v>
      </c>
      <c r="I29" s="270" t="s">
        <v>6161</v>
      </c>
      <c r="J29" s="270" t="s">
        <v>6242</v>
      </c>
      <c r="K29" s="270"/>
      <c r="L29" s="270"/>
      <c r="M29" s="244"/>
      <c r="N29" s="270" t="s">
        <v>6213</v>
      </c>
    </row>
    <row r="30">
      <c r="A30" s="270" t="s">
        <v>5746</v>
      </c>
      <c r="B30" s="270">
        <v>17575.0</v>
      </c>
      <c r="C30" s="271">
        <v>30266.0</v>
      </c>
      <c r="D30" s="271">
        <v>44564.0</v>
      </c>
      <c r="E30" s="272">
        <v>0.6041666666666666</v>
      </c>
      <c r="F30" s="270" t="s">
        <v>6323</v>
      </c>
      <c r="G30" s="270" t="s">
        <v>14</v>
      </c>
      <c r="H30" s="270" t="s">
        <v>6222</v>
      </c>
      <c r="I30" s="270" t="s">
        <v>6154</v>
      </c>
      <c r="J30" s="270"/>
      <c r="K30" s="270" t="s">
        <v>6242</v>
      </c>
      <c r="L30" s="270" t="s">
        <v>6242</v>
      </c>
      <c r="M30" s="244"/>
      <c r="N30" s="270" t="s">
        <v>6215</v>
      </c>
    </row>
    <row r="31">
      <c r="A31" s="270" t="s">
        <v>73</v>
      </c>
      <c r="B31" s="270">
        <v>9199.0</v>
      </c>
      <c r="C31" s="271">
        <v>17981.0</v>
      </c>
      <c r="D31" s="271">
        <v>44564.0</v>
      </c>
      <c r="E31" s="272">
        <v>0.40625</v>
      </c>
      <c r="F31" s="270" t="s">
        <v>6323</v>
      </c>
      <c r="G31" s="270" t="s">
        <v>13</v>
      </c>
      <c r="H31" s="270" t="s">
        <v>6221</v>
      </c>
      <c r="I31" s="270" t="s">
        <v>6137</v>
      </c>
      <c r="J31" s="270"/>
      <c r="K31" s="270" t="s">
        <v>6242</v>
      </c>
      <c r="L31" s="270"/>
      <c r="M31" s="244"/>
      <c r="N31" s="270" t="s">
        <v>5</v>
      </c>
    </row>
    <row r="32">
      <c r="A32" s="270" t="s">
        <v>2565</v>
      </c>
      <c r="B32" s="270">
        <v>13863.0</v>
      </c>
      <c r="C32" s="271">
        <v>29842.0</v>
      </c>
      <c r="D32" s="271">
        <v>44564.0</v>
      </c>
      <c r="E32" s="272">
        <v>0.4166666666666667</v>
      </c>
      <c r="F32" s="270" t="s">
        <v>6328</v>
      </c>
      <c r="G32" s="270" t="s">
        <v>13</v>
      </c>
      <c r="H32" s="270" t="s">
        <v>6212</v>
      </c>
      <c r="I32" s="270" t="s">
        <v>6174</v>
      </c>
      <c r="J32" s="270"/>
      <c r="K32" s="270" t="s">
        <v>6242</v>
      </c>
      <c r="L32" s="270" t="s">
        <v>6242</v>
      </c>
      <c r="M32" s="244"/>
      <c r="N32" s="270" t="s">
        <v>6215</v>
      </c>
    </row>
    <row r="33">
      <c r="A33" s="270" t="s">
        <v>5934</v>
      </c>
      <c r="B33" s="270">
        <v>17379.0</v>
      </c>
      <c r="C33" s="271">
        <v>25124.0</v>
      </c>
      <c r="D33" s="271">
        <v>44564.0</v>
      </c>
      <c r="E33" s="272">
        <v>0.4166666666666667</v>
      </c>
      <c r="F33" s="270" t="s">
        <v>6328</v>
      </c>
      <c r="G33" s="270" t="s">
        <v>13</v>
      </c>
      <c r="H33" s="270" t="s">
        <v>6212</v>
      </c>
      <c r="I33" s="270" t="s">
        <v>6199</v>
      </c>
      <c r="J33" s="270" t="s">
        <v>6242</v>
      </c>
      <c r="K33" s="270"/>
      <c r="L33" s="270"/>
      <c r="M33" s="244"/>
      <c r="N33" s="270" t="s">
        <v>6213</v>
      </c>
    </row>
    <row r="34">
      <c r="A34" s="270" t="s">
        <v>5936</v>
      </c>
      <c r="B34" s="270">
        <v>17658.0</v>
      </c>
      <c r="C34" s="271">
        <v>22123.0</v>
      </c>
      <c r="D34" s="271">
        <v>44564.0</v>
      </c>
      <c r="E34" s="272">
        <v>0.46875</v>
      </c>
      <c r="F34" s="270" t="s">
        <v>6323</v>
      </c>
      <c r="G34" s="270" t="s">
        <v>13</v>
      </c>
      <c r="H34" s="270" t="s">
        <v>6212</v>
      </c>
      <c r="I34" s="270" t="s">
        <v>6099</v>
      </c>
      <c r="J34" s="270" t="s">
        <v>6242</v>
      </c>
      <c r="K34" s="270"/>
      <c r="L34" s="270"/>
      <c r="M34" s="244"/>
      <c r="N34" s="270" t="s">
        <v>6213</v>
      </c>
    </row>
    <row r="35">
      <c r="A35" s="270" t="s">
        <v>1881</v>
      </c>
      <c r="B35" s="270">
        <v>12990.0</v>
      </c>
      <c r="C35" s="271">
        <v>23448.0</v>
      </c>
      <c r="D35" s="271">
        <v>44564.0</v>
      </c>
      <c r="E35" s="272">
        <v>0.4791666666666667</v>
      </c>
      <c r="F35" s="270" t="s">
        <v>6328</v>
      </c>
      <c r="G35" s="270" t="s">
        <v>13</v>
      </c>
      <c r="H35" s="270" t="s">
        <v>6212</v>
      </c>
      <c r="I35" s="270" t="s">
        <v>6199</v>
      </c>
      <c r="J35" s="270"/>
      <c r="K35" s="270" t="s">
        <v>6242</v>
      </c>
      <c r="L35" s="270"/>
      <c r="M35" s="244"/>
      <c r="N35" s="270" t="s">
        <v>5</v>
      </c>
    </row>
    <row r="36">
      <c r="A36" s="270" t="s">
        <v>4869</v>
      </c>
      <c r="B36" s="270">
        <v>16675.0</v>
      </c>
      <c r="C36" s="271">
        <v>11940.0</v>
      </c>
      <c r="D36" s="271">
        <v>44564.0</v>
      </c>
      <c r="E36" s="272">
        <v>0.625</v>
      </c>
      <c r="F36" s="270" t="s">
        <v>6323</v>
      </c>
      <c r="G36" s="270" t="s">
        <v>12</v>
      </c>
      <c r="H36" s="270" t="s">
        <v>6221</v>
      </c>
      <c r="I36" s="270" t="s">
        <v>6137</v>
      </c>
      <c r="J36" s="270"/>
      <c r="K36" s="270" t="s">
        <v>6242</v>
      </c>
      <c r="L36" s="270"/>
      <c r="M36" s="244"/>
      <c r="N36" s="270" t="s">
        <v>5</v>
      </c>
    </row>
    <row r="37">
      <c r="A37" s="270" t="s">
        <v>5941</v>
      </c>
      <c r="B37" s="270">
        <v>17823.0</v>
      </c>
      <c r="C37" s="271">
        <v>26239.0</v>
      </c>
      <c r="D37" s="271">
        <v>44564.0</v>
      </c>
      <c r="E37" s="272">
        <v>0.65625</v>
      </c>
      <c r="F37" s="270" t="s">
        <v>6328</v>
      </c>
      <c r="G37" s="270" t="s">
        <v>13</v>
      </c>
      <c r="H37" s="270" t="s">
        <v>6212</v>
      </c>
      <c r="I37" s="270" t="s">
        <v>6082</v>
      </c>
      <c r="J37" s="270" t="s">
        <v>6242</v>
      </c>
      <c r="K37" s="270"/>
      <c r="L37" s="270"/>
      <c r="M37" s="244"/>
      <c r="N37" s="270" t="e">
        <v>#N/A</v>
      </c>
    </row>
    <row r="38">
      <c r="A38" s="270" t="s">
        <v>125</v>
      </c>
      <c r="B38" s="270">
        <v>9271.0</v>
      </c>
      <c r="C38" s="271">
        <v>24708.0</v>
      </c>
      <c r="D38" s="271">
        <v>44564.0</v>
      </c>
      <c r="E38" s="272">
        <v>0.65625</v>
      </c>
      <c r="F38" s="270" t="s">
        <v>6323</v>
      </c>
      <c r="G38" s="270" t="s">
        <v>13</v>
      </c>
      <c r="H38" s="270" t="s">
        <v>6212</v>
      </c>
      <c r="I38" s="270" t="s">
        <v>6137</v>
      </c>
      <c r="J38" s="270"/>
      <c r="K38" s="270" t="s">
        <v>6242</v>
      </c>
      <c r="L38" s="270"/>
      <c r="M38" s="244"/>
      <c r="N38" s="270" t="s">
        <v>5</v>
      </c>
    </row>
    <row r="39">
      <c r="A39" s="270" t="s">
        <v>5446</v>
      </c>
      <c r="B39" s="270">
        <v>17403.0</v>
      </c>
      <c r="C39" s="271">
        <v>26246.0</v>
      </c>
      <c r="D39" s="271">
        <v>44564.0</v>
      </c>
      <c r="E39" s="272">
        <v>0.65625</v>
      </c>
      <c r="F39" s="270" t="s">
        <v>6323</v>
      </c>
      <c r="G39" s="270" t="s">
        <v>13</v>
      </c>
      <c r="H39" s="270" t="s">
        <v>6212</v>
      </c>
      <c r="I39" s="270" t="s">
        <v>6160</v>
      </c>
      <c r="J39" s="270" t="s">
        <v>6242</v>
      </c>
      <c r="K39" s="270"/>
      <c r="L39" s="270"/>
      <c r="M39" s="244"/>
      <c r="N39" s="270" t="s">
        <v>6213</v>
      </c>
    </row>
    <row r="40">
      <c r="A40" s="270" t="s">
        <v>5925</v>
      </c>
      <c r="B40" s="270">
        <v>17694.0</v>
      </c>
      <c r="C40" s="271">
        <v>23052.0</v>
      </c>
      <c r="D40" s="271">
        <v>44564.0</v>
      </c>
      <c r="E40" s="272">
        <v>0.65625</v>
      </c>
      <c r="F40" s="270" t="s">
        <v>6323</v>
      </c>
      <c r="G40" s="270" t="s">
        <v>13</v>
      </c>
      <c r="H40" s="270" t="s">
        <v>6212</v>
      </c>
      <c r="I40" s="270" t="s">
        <v>6130</v>
      </c>
      <c r="J40" s="270" t="s">
        <v>6242</v>
      </c>
      <c r="K40" s="270"/>
      <c r="L40" s="270"/>
      <c r="M40" s="244"/>
      <c r="N40" s="270" t="s">
        <v>6213</v>
      </c>
    </row>
    <row r="41">
      <c r="A41" s="270" t="s">
        <v>247</v>
      </c>
      <c r="B41" s="270">
        <v>9652.0</v>
      </c>
      <c r="C41" s="271">
        <v>18328.0</v>
      </c>
      <c r="D41" s="271">
        <v>44564.0</v>
      </c>
      <c r="E41" s="272">
        <v>0.65625</v>
      </c>
      <c r="F41" s="270" t="s">
        <v>6328</v>
      </c>
      <c r="G41" s="270" t="s">
        <v>14</v>
      </c>
      <c r="H41" s="270" t="s">
        <v>6222</v>
      </c>
      <c r="I41" s="270" t="s">
        <v>6199</v>
      </c>
      <c r="J41" s="270"/>
      <c r="K41" s="270" t="s">
        <v>6242</v>
      </c>
      <c r="L41" s="270"/>
      <c r="M41" s="244"/>
      <c r="N41" s="270" t="s">
        <v>5</v>
      </c>
    </row>
    <row r="42">
      <c r="A42" s="270" t="s">
        <v>4371</v>
      </c>
      <c r="B42" s="270">
        <v>16037.0</v>
      </c>
      <c r="C42" s="271">
        <v>16788.0</v>
      </c>
      <c r="D42" s="271">
        <v>44564.0</v>
      </c>
      <c r="E42" s="272">
        <v>0.65625</v>
      </c>
      <c r="F42" s="270" t="s">
        <v>6328</v>
      </c>
      <c r="G42" s="270" t="s">
        <v>13</v>
      </c>
      <c r="H42" s="270" t="s">
        <v>6212</v>
      </c>
      <c r="I42" s="270" t="s">
        <v>6174</v>
      </c>
      <c r="J42" s="270"/>
      <c r="K42" s="270" t="s">
        <v>6242</v>
      </c>
      <c r="L42" s="270"/>
      <c r="M42" s="244"/>
      <c r="N42" s="270" t="s">
        <v>5</v>
      </c>
    </row>
    <row r="43">
      <c r="A43" s="270" t="s">
        <v>227</v>
      </c>
      <c r="B43" s="270">
        <v>9593.0</v>
      </c>
      <c r="C43" s="271">
        <v>23217.0</v>
      </c>
      <c r="D43" s="271">
        <v>44564.0</v>
      </c>
      <c r="E43" s="272">
        <v>0.65625</v>
      </c>
      <c r="F43" s="270" t="s">
        <v>6328</v>
      </c>
      <c r="G43" s="270" t="s">
        <v>14</v>
      </c>
      <c r="H43" s="270" t="s">
        <v>6222</v>
      </c>
      <c r="I43" s="270" t="s">
        <v>6199</v>
      </c>
      <c r="J43" s="270"/>
      <c r="K43" s="270" t="s">
        <v>6242</v>
      </c>
      <c r="L43" s="270"/>
      <c r="M43" s="244"/>
      <c r="N43" s="270" t="s">
        <v>5</v>
      </c>
    </row>
    <row r="44">
      <c r="A44" s="270" t="s">
        <v>3005</v>
      </c>
      <c r="B44" s="270">
        <v>14434.0</v>
      </c>
      <c r="C44" s="271">
        <v>22526.0</v>
      </c>
      <c r="D44" s="271">
        <v>44564.0</v>
      </c>
      <c r="E44" s="272">
        <v>0.65625</v>
      </c>
      <c r="F44" s="270" t="s">
        <v>6323</v>
      </c>
      <c r="G44" s="270" t="s">
        <v>14</v>
      </c>
      <c r="H44" s="270" t="s">
        <v>6219</v>
      </c>
      <c r="I44" s="270" t="s">
        <v>6130</v>
      </c>
      <c r="J44" s="270"/>
      <c r="K44" s="270" t="s">
        <v>6242</v>
      </c>
      <c r="L44" s="270"/>
      <c r="M44" s="244"/>
      <c r="N44" s="270" t="s">
        <v>5</v>
      </c>
    </row>
    <row r="45">
      <c r="A45" s="270" t="s">
        <v>2232</v>
      </c>
      <c r="B45" s="270">
        <v>13442.0</v>
      </c>
      <c r="C45" s="271">
        <v>19087.0</v>
      </c>
      <c r="D45" s="271">
        <v>44564.0</v>
      </c>
      <c r="E45" s="272">
        <v>0.65625</v>
      </c>
      <c r="F45" s="270" t="s">
        <v>6328</v>
      </c>
      <c r="G45" s="270" t="s">
        <v>14</v>
      </c>
      <c r="H45" s="270" t="s">
        <v>6219</v>
      </c>
      <c r="I45" s="270" t="s">
        <v>6199</v>
      </c>
      <c r="J45" s="270"/>
      <c r="K45" s="270" t="s">
        <v>6242</v>
      </c>
      <c r="L45" s="270" t="s">
        <v>6242</v>
      </c>
      <c r="M45" s="244"/>
      <c r="N45" s="270" t="s">
        <v>6215</v>
      </c>
    </row>
    <row r="46">
      <c r="A46" s="270" t="s">
        <v>5933</v>
      </c>
      <c r="B46" s="270">
        <v>17678.0</v>
      </c>
      <c r="C46" s="271">
        <v>16948.0</v>
      </c>
      <c r="D46" s="271">
        <v>44564.0</v>
      </c>
      <c r="E46" s="272">
        <v>0.6458333333333334</v>
      </c>
      <c r="F46" s="270" t="s">
        <v>6328</v>
      </c>
      <c r="G46" s="270" t="s">
        <v>13</v>
      </c>
      <c r="H46" s="270" t="s">
        <v>6212</v>
      </c>
      <c r="I46" s="270" t="s">
        <v>6199</v>
      </c>
      <c r="J46" s="270" t="s">
        <v>6242</v>
      </c>
      <c r="K46" s="270"/>
      <c r="L46" s="270"/>
      <c r="M46" s="244"/>
      <c r="N46" s="270" t="s">
        <v>6213</v>
      </c>
    </row>
    <row r="47">
      <c r="A47" s="270" t="s">
        <v>5940</v>
      </c>
      <c r="B47" s="270">
        <v>17814.0</v>
      </c>
      <c r="C47" s="271">
        <v>27895.0</v>
      </c>
      <c r="D47" s="271">
        <v>44564.0</v>
      </c>
      <c r="E47" s="272">
        <v>0.6458333333333334</v>
      </c>
      <c r="F47" s="270" t="s">
        <v>6328</v>
      </c>
      <c r="G47" s="270" t="s">
        <v>13</v>
      </c>
      <c r="H47" s="270" t="s">
        <v>6212</v>
      </c>
      <c r="I47" s="270" t="s">
        <v>6101</v>
      </c>
      <c r="J47" s="270" t="s">
        <v>6242</v>
      </c>
      <c r="K47" s="270"/>
      <c r="L47" s="270"/>
      <c r="M47" s="244"/>
      <c r="N47" s="270" t="s">
        <v>6213</v>
      </c>
    </row>
    <row r="48">
      <c r="A48" s="270" t="s">
        <v>5939</v>
      </c>
      <c r="B48" s="270">
        <v>17812.0</v>
      </c>
      <c r="C48" s="271">
        <v>21219.0</v>
      </c>
      <c r="D48" s="271">
        <v>44564.0</v>
      </c>
      <c r="E48" s="272">
        <v>0.65625</v>
      </c>
      <c r="F48" s="270" t="s">
        <v>6323</v>
      </c>
      <c r="G48" s="270" t="s">
        <v>13</v>
      </c>
      <c r="H48" s="270" t="s">
        <v>6212</v>
      </c>
      <c r="I48" s="270" t="s">
        <v>6089</v>
      </c>
      <c r="J48" s="270" t="s">
        <v>6242</v>
      </c>
      <c r="K48" s="270"/>
      <c r="L48" s="270"/>
      <c r="M48" s="244"/>
      <c r="N48" s="270" t="s">
        <v>6213</v>
      </c>
      <c r="O48" s="1">
        <f>COUNTIF(J2:K48,"x")</f>
        <v>47</v>
      </c>
      <c r="P48" s="1">
        <f>O48-(countif(L2:L48,"x"))</f>
        <v>36</v>
      </c>
    </row>
    <row r="49">
      <c r="A49" s="244"/>
      <c r="B49" s="244"/>
      <c r="C49" s="244"/>
      <c r="D49" s="244"/>
      <c r="E49" s="244"/>
      <c r="F49" s="244"/>
      <c r="G49" s="244"/>
      <c r="H49" s="244"/>
      <c r="I49" s="244"/>
      <c r="J49" s="244"/>
      <c r="K49" s="244"/>
      <c r="L49" s="244"/>
      <c r="M49" s="244"/>
      <c r="N49" s="244"/>
    </row>
    <row r="50">
      <c r="A50" s="270" t="s">
        <v>2827</v>
      </c>
      <c r="B50" s="270">
        <v>14212.0</v>
      </c>
      <c r="C50" s="271">
        <v>21952.0</v>
      </c>
      <c r="D50" s="271">
        <v>44565.0</v>
      </c>
      <c r="E50" s="272">
        <v>0.3541666666666667</v>
      </c>
      <c r="F50" s="270" t="s">
        <v>6323</v>
      </c>
      <c r="G50" s="270" t="s">
        <v>14</v>
      </c>
      <c r="H50" s="270" t="s">
        <v>6219</v>
      </c>
      <c r="I50" s="270" t="s">
        <v>6091</v>
      </c>
      <c r="J50" s="270"/>
      <c r="K50" s="270" t="s">
        <v>6242</v>
      </c>
      <c r="L50" s="270" t="s">
        <v>6242</v>
      </c>
      <c r="M50" s="244"/>
      <c r="N50" s="270" t="s">
        <v>6215</v>
      </c>
    </row>
    <row r="51">
      <c r="A51" s="270" t="s">
        <v>2556</v>
      </c>
      <c r="B51" s="270">
        <v>13850.0</v>
      </c>
      <c r="C51" s="271">
        <v>27494.0</v>
      </c>
      <c r="D51" s="271">
        <v>44565.0</v>
      </c>
      <c r="E51" s="272">
        <v>0.375</v>
      </c>
      <c r="F51" s="270" t="s">
        <v>6328</v>
      </c>
      <c r="G51" s="270" t="s">
        <v>14</v>
      </c>
      <c r="H51" s="270" t="s">
        <v>6222</v>
      </c>
      <c r="I51" s="270" t="s">
        <v>6202</v>
      </c>
      <c r="J51" s="270"/>
      <c r="K51" s="270" t="s">
        <v>6242</v>
      </c>
      <c r="L51" s="270"/>
      <c r="M51" s="244"/>
      <c r="N51" s="270" t="s">
        <v>5</v>
      </c>
    </row>
    <row r="52">
      <c r="A52" s="270" t="s">
        <v>241</v>
      </c>
      <c r="B52" s="270">
        <v>9630.0</v>
      </c>
      <c r="C52" s="271">
        <v>26628.0</v>
      </c>
      <c r="D52" s="271">
        <v>44565.0</v>
      </c>
      <c r="E52" s="272">
        <v>0.375</v>
      </c>
      <c r="F52" s="270" t="s">
        <v>6328</v>
      </c>
      <c r="G52" s="270" t="s">
        <v>14</v>
      </c>
      <c r="H52" s="270" t="s">
        <v>6219</v>
      </c>
      <c r="I52" s="270" t="s">
        <v>6199</v>
      </c>
      <c r="J52" s="270"/>
      <c r="K52" s="270" t="s">
        <v>6242</v>
      </c>
      <c r="L52" s="270"/>
      <c r="M52" s="244"/>
      <c r="N52" s="270" t="s">
        <v>5</v>
      </c>
    </row>
    <row r="53">
      <c r="A53" s="270" t="s">
        <v>1678</v>
      </c>
      <c r="B53" s="270">
        <v>12749.0</v>
      </c>
      <c r="C53" s="271">
        <v>14564.0</v>
      </c>
      <c r="D53" s="271">
        <v>44565.0</v>
      </c>
      <c r="E53" s="272">
        <v>0.40625</v>
      </c>
      <c r="F53" s="270" t="s">
        <v>6323</v>
      </c>
      <c r="G53" s="270" t="s">
        <v>14</v>
      </c>
      <c r="H53" s="270" t="s">
        <v>6219</v>
      </c>
      <c r="I53" s="270" t="s">
        <v>6137</v>
      </c>
      <c r="J53" s="270"/>
      <c r="K53" s="270" t="s">
        <v>6242</v>
      </c>
      <c r="L53" s="270"/>
      <c r="M53" s="244"/>
      <c r="N53" s="270" t="s">
        <v>5</v>
      </c>
    </row>
    <row r="54">
      <c r="A54" s="270" t="s">
        <v>55</v>
      </c>
      <c r="B54" s="270">
        <v>9171.0</v>
      </c>
      <c r="C54" s="271">
        <v>20896.0</v>
      </c>
      <c r="D54" s="271">
        <v>44565.0</v>
      </c>
      <c r="E54" s="272">
        <v>0.40625</v>
      </c>
      <c r="F54" s="270" t="s">
        <v>6328</v>
      </c>
      <c r="G54" s="270" t="s">
        <v>14</v>
      </c>
      <c r="H54" s="270" t="s">
        <v>6222</v>
      </c>
      <c r="I54" s="270" t="s">
        <v>6083</v>
      </c>
      <c r="J54" s="270"/>
      <c r="K54" s="270" t="s">
        <v>6242</v>
      </c>
      <c r="L54" s="270"/>
      <c r="M54" s="244"/>
      <c r="N54" s="270" t="s">
        <v>5</v>
      </c>
    </row>
    <row r="55">
      <c r="A55" s="270" t="s">
        <v>664</v>
      </c>
      <c r="B55" s="270">
        <v>10741.0</v>
      </c>
      <c r="C55" s="271">
        <v>18129.0</v>
      </c>
      <c r="D55" s="271">
        <v>44565.0</v>
      </c>
      <c r="E55" s="272">
        <v>0.4166666666666667</v>
      </c>
      <c r="F55" s="270" t="s">
        <v>6328</v>
      </c>
      <c r="G55" s="270" t="s">
        <v>14</v>
      </c>
      <c r="H55" s="270" t="s">
        <v>6219</v>
      </c>
      <c r="I55" s="270" t="s">
        <v>6199</v>
      </c>
      <c r="J55" s="270"/>
      <c r="K55" s="270" t="s">
        <v>6242</v>
      </c>
      <c r="L55" s="270"/>
      <c r="M55" s="244"/>
      <c r="N55" s="270" t="s">
        <v>5</v>
      </c>
    </row>
    <row r="56">
      <c r="A56" s="270" t="s">
        <v>3509</v>
      </c>
      <c r="B56" s="270">
        <v>15046.0</v>
      </c>
      <c r="C56" s="271">
        <v>35872.0</v>
      </c>
      <c r="D56" s="271">
        <v>44565.0</v>
      </c>
      <c r="E56" s="272">
        <v>0.4479166666666667</v>
      </c>
      <c r="F56" s="270" t="s">
        <v>6323</v>
      </c>
      <c r="G56" s="270" t="s">
        <v>14</v>
      </c>
      <c r="H56" s="270" t="s">
        <v>6219</v>
      </c>
      <c r="I56" s="270" t="s">
        <v>6154</v>
      </c>
      <c r="J56" s="270"/>
      <c r="K56" s="270" t="s">
        <v>6242</v>
      </c>
      <c r="L56" s="270" t="s">
        <v>6242</v>
      </c>
      <c r="M56" s="244"/>
      <c r="N56" s="270" t="s">
        <v>6215</v>
      </c>
    </row>
    <row r="57">
      <c r="A57" s="270" t="s">
        <v>5421</v>
      </c>
      <c r="B57" s="270">
        <v>17372.0</v>
      </c>
      <c r="C57" s="271">
        <v>28927.0</v>
      </c>
      <c r="D57" s="271">
        <v>44565.0</v>
      </c>
      <c r="E57" s="272">
        <v>0.4583333333333333</v>
      </c>
      <c r="F57" s="270" t="s">
        <v>6323</v>
      </c>
      <c r="G57" s="270" t="s">
        <v>14</v>
      </c>
      <c r="H57" s="270" t="s">
        <v>6222</v>
      </c>
      <c r="I57" s="270" t="s">
        <v>6126</v>
      </c>
      <c r="J57" s="270"/>
      <c r="K57" s="270" t="s">
        <v>6242</v>
      </c>
      <c r="L57" s="270" t="s">
        <v>6242</v>
      </c>
      <c r="M57" s="270"/>
      <c r="N57" s="270" t="s">
        <v>6215</v>
      </c>
    </row>
    <row r="58">
      <c r="A58" s="270" t="s">
        <v>2520</v>
      </c>
      <c r="B58" s="270">
        <v>13800.0</v>
      </c>
      <c r="C58" s="271">
        <v>21061.0</v>
      </c>
      <c r="D58" s="271">
        <v>44565.0</v>
      </c>
      <c r="E58" s="272">
        <v>0.46875</v>
      </c>
      <c r="F58" s="270" t="s">
        <v>6323</v>
      </c>
      <c r="G58" s="270" t="s">
        <v>14</v>
      </c>
      <c r="H58" s="270" t="s">
        <v>6222</v>
      </c>
      <c r="I58" s="270" t="s">
        <v>6117</v>
      </c>
      <c r="J58" s="244"/>
      <c r="K58" s="270" t="s">
        <v>6242</v>
      </c>
      <c r="L58" s="270" t="s">
        <v>6242</v>
      </c>
      <c r="M58" s="244"/>
      <c r="N58" s="270" t="s">
        <v>6215</v>
      </c>
    </row>
    <row r="59">
      <c r="A59" s="270" t="s">
        <v>5080</v>
      </c>
      <c r="B59" s="270">
        <v>16942.0</v>
      </c>
      <c r="C59" s="271">
        <v>21275.0</v>
      </c>
      <c r="D59" s="271">
        <v>44565.0</v>
      </c>
      <c r="E59" s="272">
        <v>0.4583333333333333</v>
      </c>
      <c r="F59" s="270" t="s">
        <v>6323</v>
      </c>
      <c r="G59" s="270" t="s">
        <v>12</v>
      </c>
      <c r="H59" s="270" t="s">
        <v>6212</v>
      </c>
      <c r="I59" s="270" t="s">
        <v>6089</v>
      </c>
      <c r="J59" s="270" t="s">
        <v>6242</v>
      </c>
      <c r="K59" s="270"/>
      <c r="L59" s="270"/>
      <c r="M59" s="244"/>
      <c r="N59" s="270" t="s">
        <v>6213</v>
      </c>
    </row>
    <row r="60">
      <c r="A60" s="270" t="s">
        <v>5951</v>
      </c>
      <c r="B60" s="270">
        <v>17815.0</v>
      </c>
      <c r="C60" s="271">
        <v>26567.0</v>
      </c>
      <c r="D60" s="271">
        <v>44565.0</v>
      </c>
      <c r="E60" s="272">
        <v>0.4583333333333333</v>
      </c>
      <c r="F60" s="270" t="s">
        <v>6328</v>
      </c>
      <c r="G60" s="270" t="s">
        <v>12</v>
      </c>
      <c r="H60" s="270" t="s">
        <v>6212</v>
      </c>
      <c r="I60" s="270" t="s">
        <v>6217</v>
      </c>
      <c r="J60" s="270" t="s">
        <v>6242</v>
      </c>
      <c r="K60" s="270"/>
      <c r="L60" s="270"/>
      <c r="M60" s="244"/>
      <c r="N60" s="270" t="s">
        <v>6213</v>
      </c>
    </row>
    <row r="61">
      <c r="A61" s="270" t="s">
        <v>883</v>
      </c>
      <c r="B61" s="270">
        <v>11255.0</v>
      </c>
      <c r="C61" s="271">
        <v>12029.0</v>
      </c>
      <c r="D61" s="271">
        <v>44565.0</v>
      </c>
      <c r="E61" s="272">
        <v>0.4791666666666667</v>
      </c>
      <c r="F61" s="270" t="s">
        <v>6328</v>
      </c>
      <c r="G61" s="270" t="s">
        <v>13</v>
      </c>
      <c r="H61" s="270" t="s">
        <v>6212</v>
      </c>
      <c r="I61" s="270" t="s">
        <v>6199</v>
      </c>
      <c r="J61" s="270"/>
      <c r="K61" s="270" t="s">
        <v>6242</v>
      </c>
      <c r="L61" s="270"/>
      <c r="M61" s="270"/>
      <c r="N61" s="270" t="s">
        <v>5</v>
      </c>
    </row>
    <row r="62">
      <c r="A62" s="270" t="s">
        <v>5948</v>
      </c>
      <c r="B62" s="270">
        <v>17802.0</v>
      </c>
      <c r="C62" s="271">
        <v>17369.0</v>
      </c>
      <c r="D62" s="271">
        <v>44565.0</v>
      </c>
      <c r="E62" s="272">
        <v>0.5</v>
      </c>
      <c r="F62" s="270" t="s">
        <v>6328</v>
      </c>
      <c r="G62" s="270" t="s">
        <v>13</v>
      </c>
      <c r="H62" s="270" t="s">
        <v>6212</v>
      </c>
      <c r="I62" s="270" t="s">
        <v>6199</v>
      </c>
      <c r="J62" s="270" t="s">
        <v>6242</v>
      </c>
      <c r="K62" s="270"/>
      <c r="L62" s="270"/>
      <c r="M62" s="244"/>
      <c r="N62" s="270" t="s">
        <v>6213</v>
      </c>
    </row>
    <row r="63">
      <c r="A63" s="270" t="s">
        <v>5949</v>
      </c>
      <c r="B63" s="270">
        <v>17788.0</v>
      </c>
      <c r="C63" s="271">
        <v>11506.0</v>
      </c>
      <c r="D63" s="271">
        <v>44565.0</v>
      </c>
      <c r="E63" s="272">
        <v>0.5208333333333334</v>
      </c>
      <c r="F63" s="270" t="s">
        <v>6328</v>
      </c>
      <c r="G63" s="270" t="s">
        <v>12</v>
      </c>
      <c r="H63" s="270" t="s">
        <v>6212</v>
      </c>
      <c r="I63" s="270" t="s">
        <v>6095</v>
      </c>
      <c r="J63" s="270" t="s">
        <v>6242</v>
      </c>
      <c r="K63" s="270"/>
      <c r="L63" s="270"/>
      <c r="M63" s="244"/>
      <c r="N63" s="270" t="s">
        <v>6213</v>
      </c>
    </row>
    <row r="64">
      <c r="A64" s="270" t="s">
        <v>533</v>
      </c>
      <c r="B64" s="270">
        <v>10400.0</v>
      </c>
      <c r="C64" s="271">
        <v>23351.0</v>
      </c>
      <c r="D64" s="271">
        <v>44565.0</v>
      </c>
      <c r="E64" s="272">
        <v>0.5520833333333334</v>
      </c>
      <c r="F64" s="270" t="s">
        <v>6328</v>
      </c>
      <c r="G64" s="270" t="s">
        <v>14</v>
      </c>
      <c r="H64" s="270" t="s">
        <v>6222</v>
      </c>
      <c r="I64" s="270" t="s">
        <v>6099</v>
      </c>
      <c r="J64" s="270"/>
      <c r="K64" s="270" t="s">
        <v>6242</v>
      </c>
      <c r="L64" s="270"/>
      <c r="M64" s="270"/>
      <c r="N64" s="270" t="s">
        <v>5</v>
      </c>
    </row>
    <row r="65">
      <c r="A65" s="270" t="s">
        <v>3547</v>
      </c>
      <c r="B65" s="270">
        <v>15483.0</v>
      </c>
      <c r="C65" s="271">
        <v>27630.0</v>
      </c>
      <c r="D65" s="271">
        <v>44565.0</v>
      </c>
      <c r="E65" s="272">
        <v>0.5729166666666666</v>
      </c>
      <c r="F65" s="270" t="s">
        <v>6328</v>
      </c>
      <c r="G65" s="270" t="s">
        <v>14</v>
      </c>
      <c r="H65" s="270" t="s">
        <v>6222</v>
      </c>
      <c r="I65" s="270" t="s">
        <v>6091</v>
      </c>
      <c r="J65" s="270"/>
      <c r="K65" s="270" t="s">
        <v>6242</v>
      </c>
      <c r="L65" s="270"/>
      <c r="M65" s="270"/>
      <c r="N65" s="270" t="s">
        <v>5</v>
      </c>
    </row>
    <row r="66">
      <c r="A66" s="270" t="s">
        <v>393</v>
      </c>
      <c r="B66" s="270">
        <v>10055.0</v>
      </c>
      <c r="C66" s="271">
        <v>22515.0</v>
      </c>
      <c r="D66" s="271">
        <v>44565.0</v>
      </c>
      <c r="E66" s="272">
        <v>0.5729166666666666</v>
      </c>
      <c r="F66" s="270" t="s">
        <v>6328</v>
      </c>
      <c r="G66" s="270" t="s">
        <v>14</v>
      </c>
      <c r="H66" s="270" t="s">
        <v>6219</v>
      </c>
      <c r="I66" s="270" t="s">
        <v>6199</v>
      </c>
      <c r="J66" s="270"/>
      <c r="K66" s="270" t="s">
        <v>6242</v>
      </c>
      <c r="L66" s="270"/>
      <c r="M66" s="270"/>
      <c r="N66" s="270" t="s">
        <v>5</v>
      </c>
    </row>
    <row r="67">
      <c r="A67" s="270" t="s">
        <v>5903</v>
      </c>
      <c r="B67" s="270">
        <v>17738.0</v>
      </c>
      <c r="C67" s="271">
        <v>24348.0</v>
      </c>
      <c r="D67" s="271">
        <v>44565.0</v>
      </c>
      <c r="E67" s="272">
        <v>0.5729166666666666</v>
      </c>
      <c r="F67" s="270" t="s">
        <v>6323</v>
      </c>
      <c r="G67" s="270" t="s">
        <v>13</v>
      </c>
      <c r="H67" s="270" t="s">
        <v>6212</v>
      </c>
      <c r="I67" s="270" t="s">
        <v>6091</v>
      </c>
      <c r="J67" s="270" t="s">
        <v>6242</v>
      </c>
      <c r="K67" s="270"/>
      <c r="L67" s="270"/>
      <c r="M67" s="244"/>
      <c r="N67" s="270" t="s">
        <v>6213</v>
      </c>
    </row>
    <row r="68">
      <c r="A68" s="270" t="s">
        <v>127</v>
      </c>
      <c r="B68" s="270">
        <v>9273.0</v>
      </c>
      <c r="C68" s="271">
        <v>32428.0</v>
      </c>
      <c r="D68" s="271">
        <v>44565.0</v>
      </c>
      <c r="E68" s="272">
        <v>0.5833333333333334</v>
      </c>
      <c r="F68" s="270" t="s">
        <v>6323</v>
      </c>
      <c r="G68" s="270" t="s">
        <v>12</v>
      </c>
      <c r="H68" s="270" t="s">
        <v>6212</v>
      </c>
      <c r="I68" s="270" t="s">
        <v>6083</v>
      </c>
      <c r="J68" s="244"/>
      <c r="K68" s="270" t="s">
        <v>6242</v>
      </c>
      <c r="L68" s="270"/>
      <c r="M68" s="244"/>
      <c r="N68" s="270" t="s">
        <v>5</v>
      </c>
    </row>
    <row r="69">
      <c r="A69" s="270" t="s">
        <v>4890</v>
      </c>
      <c r="B69" s="270">
        <v>16703.0</v>
      </c>
      <c r="C69" s="271">
        <v>22337.0</v>
      </c>
      <c r="D69" s="271">
        <v>44565.0</v>
      </c>
      <c r="E69" s="272">
        <v>0.5833333333333334</v>
      </c>
      <c r="F69" s="270" t="s">
        <v>6323</v>
      </c>
      <c r="G69" s="270" t="s">
        <v>13</v>
      </c>
      <c r="H69" s="270" t="s">
        <v>6212</v>
      </c>
      <c r="I69" s="270" t="s">
        <v>6118</v>
      </c>
      <c r="J69" s="244"/>
      <c r="K69" s="270" t="s">
        <v>6242</v>
      </c>
      <c r="L69" s="270"/>
      <c r="M69" s="270"/>
      <c r="N69" s="270" t="s">
        <v>5</v>
      </c>
    </row>
    <row r="70">
      <c r="A70" s="270" t="s">
        <v>5953</v>
      </c>
      <c r="B70" s="270">
        <v>17826.0</v>
      </c>
      <c r="C70" s="271">
        <v>23296.0</v>
      </c>
      <c r="D70" s="271">
        <v>44565.0</v>
      </c>
      <c r="E70" s="272">
        <v>0.5833333333333334</v>
      </c>
      <c r="F70" s="270" t="s">
        <v>6328</v>
      </c>
      <c r="G70" s="270" t="s">
        <v>12</v>
      </c>
      <c r="H70" s="270" t="s">
        <v>6212</v>
      </c>
      <c r="I70" s="270" t="s">
        <v>6120</v>
      </c>
      <c r="J70" s="270" t="s">
        <v>6242</v>
      </c>
      <c r="K70" s="270"/>
      <c r="L70" s="270"/>
      <c r="M70" s="270"/>
      <c r="N70" s="270" t="s">
        <v>6213</v>
      </c>
    </row>
    <row r="71">
      <c r="A71" s="270" t="s">
        <v>5420</v>
      </c>
      <c r="B71" s="270">
        <v>17371.0</v>
      </c>
      <c r="C71" s="271">
        <v>31691.0</v>
      </c>
      <c r="D71" s="271">
        <v>44565.0</v>
      </c>
      <c r="E71" s="272">
        <v>0.6041666666666666</v>
      </c>
      <c r="F71" s="270" t="s">
        <v>6323</v>
      </c>
      <c r="G71" s="270" t="s">
        <v>12</v>
      </c>
      <c r="H71" s="270" t="s">
        <v>6212</v>
      </c>
      <c r="I71" s="270" t="s">
        <v>6126</v>
      </c>
      <c r="J71" s="270" t="s">
        <v>6242</v>
      </c>
      <c r="K71" s="270"/>
      <c r="L71" s="270"/>
      <c r="M71" s="244"/>
      <c r="N71" s="270" t="s">
        <v>6213</v>
      </c>
    </row>
    <row r="72">
      <c r="A72" s="270" t="s">
        <v>285</v>
      </c>
      <c r="B72" s="270">
        <v>9775.0</v>
      </c>
      <c r="C72" s="271">
        <v>16906.0</v>
      </c>
      <c r="D72" s="271">
        <v>44565.0</v>
      </c>
      <c r="E72" s="272">
        <v>0.5833333333333334</v>
      </c>
      <c r="F72" s="270" t="s">
        <v>6328</v>
      </c>
      <c r="G72" s="270" t="s">
        <v>14</v>
      </c>
      <c r="H72" s="270" t="s">
        <v>6219</v>
      </c>
      <c r="I72" s="270" t="s">
        <v>6094</v>
      </c>
      <c r="J72" s="270"/>
      <c r="K72" s="270" t="s">
        <v>6242</v>
      </c>
      <c r="L72" s="270" t="s">
        <v>6242</v>
      </c>
      <c r="M72" s="244"/>
      <c r="N72" s="270" t="s">
        <v>6215</v>
      </c>
    </row>
    <row r="73">
      <c r="A73" s="270" t="s">
        <v>2081</v>
      </c>
      <c r="B73" s="270">
        <v>13240.0</v>
      </c>
      <c r="C73" s="271">
        <v>14574.0</v>
      </c>
      <c r="D73" s="271">
        <v>44565.0</v>
      </c>
      <c r="E73" s="272">
        <v>0.59375</v>
      </c>
      <c r="F73" s="270" t="s">
        <v>6323</v>
      </c>
      <c r="G73" s="270" t="s">
        <v>14</v>
      </c>
      <c r="H73" s="270" t="s">
        <v>6219</v>
      </c>
      <c r="I73" s="270" t="s">
        <v>6158</v>
      </c>
      <c r="J73" s="244"/>
      <c r="K73" s="270" t="s">
        <v>6242</v>
      </c>
      <c r="L73" s="270"/>
      <c r="M73" s="244"/>
      <c r="N73" s="270" t="s">
        <v>5</v>
      </c>
    </row>
    <row r="74">
      <c r="A74" s="270" t="s">
        <v>5950</v>
      </c>
      <c r="B74" s="270">
        <v>17807.0</v>
      </c>
      <c r="C74" s="271">
        <v>27578.0</v>
      </c>
      <c r="D74" s="271">
        <v>44565.0</v>
      </c>
      <c r="E74" s="272">
        <v>0.6145833333333334</v>
      </c>
      <c r="F74" s="270" t="s">
        <v>6328</v>
      </c>
      <c r="G74" s="270" t="s">
        <v>12</v>
      </c>
      <c r="H74" s="270" t="s">
        <v>6212</v>
      </c>
      <c r="I74" s="270" t="s">
        <v>6199</v>
      </c>
      <c r="J74" s="270" t="s">
        <v>6242</v>
      </c>
      <c r="K74" s="270"/>
      <c r="L74" s="270"/>
      <c r="M74" s="244"/>
      <c r="N74" s="270" t="s">
        <v>6213</v>
      </c>
    </row>
    <row r="75">
      <c r="A75" s="270" t="s">
        <v>5672</v>
      </c>
      <c r="B75" s="270">
        <v>13604.0</v>
      </c>
      <c r="C75" s="271">
        <v>24561.0</v>
      </c>
      <c r="D75" s="271">
        <v>44565.0</v>
      </c>
      <c r="E75" s="272">
        <v>0.6041666666666666</v>
      </c>
      <c r="F75" s="270" t="s">
        <v>6328</v>
      </c>
      <c r="G75" s="270" t="s">
        <v>14</v>
      </c>
      <c r="H75" s="270" t="s">
        <v>6222</v>
      </c>
      <c r="I75" s="270" t="s">
        <v>6117</v>
      </c>
      <c r="J75" s="244"/>
      <c r="K75" s="270" t="s">
        <v>6242</v>
      </c>
      <c r="L75" s="270"/>
      <c r="M75" s="244"/>
      <c r="N75" s="270" t="e">
        <v>#N/A</v>
      </c>
    </row>
    <row r="76">
      <c r="A76" s="270" t="s">
        <v>693</v>
      </c>
      <c r="B76" s="270">
        <v>10801.0</v>
      </c>
      <c r="C76" s="271">
        <v>28794.0</v>
      </c>
      <c r="D76" s="271">
        <v>44565.0</v>
      </c>
      <c r="E76" s="272">
        <v>0.6041666666666666</v>
      </c>
      <c r="F76" s="270" t="s">
        <v>6323</v>
      </c>
      <c r="G76" s="270" t="s">
        <v>14</v>
      </c>
      <c r="H76" s="270" t="s">
        <v>6222</v>
      </c>
      <c r="I76" s="270" t="s">
        <v>6082</v>
      </c>
      <c r="J76" s="270"/>
      <c r="K76" s="270" t="s">
        <v>6242</v>
      </c>
      <c r="L76" s="270" t="s">
        <v>6242</v>
      </c>
      <c r="M76" s="244"/>
      <c r="N76" s="270" t="s">
        <v>6215</v>
      </c>
    </row>
    <row r="77">
      <c r="A77" s="270" t="s">
        <v>1612</v>
      </c>
      <c r="B77" s="270">
        <v>12662.0</v>
      </c>
      <c r="C77" s="271">
        <v>25947.0</v>
      </c>
      <c r="D77" s="271">
        <v>44565.0</v>
      </c>
      <c r="E77" s="272">
        <v>0.6458333333333334</v>
      </c>
      <c r="F77" s="270" t="s">
        <v>6323</v>
      </c>
      <c r="G77" s="270" t="s">
        <v>14</v>
      </c>
      <c r="H77" s="270" t="s">
        <v>6219</v>
      </c>
      <c r="I77" s="270" t="s">
        <v>6091</v>
      </c>
      <c r="J77" s="244"/>
      <c r="K77" s="270" t="s">
        <v>6242</v>
      </c>
      <c r="L77" s="270"/>
      <c r="M77" s="244"/>
      <c r="N77" s="270" t="s">
        <v>5</v>
      </c>
    </row>
    <row r="78">
      <c r="A78" s="270" t="s">
        <v>4701</v>
      </c>
      <c r="B78" s="270">
        <v>16455.0</v>
      </c>
      <c r="C78" s="271">
        <v>27691.0</v>
      </c>
      <c r="D78" s="271">
        <v>44565.0</v>
      </c>
      <c r="E78" s="272">
        <v>0.6875</v>
      </c>
      <c r="F78" s="270" t="s">
        <v>6323</v>
      </c>
      <c r="G78" s="270" t="s">
        <v>12</v>
      </c>
      <c r="H78" s="270" t="s">
        <v>6212</v>
      </c>
      <c r="I78" s="270" t="s">
        <v>6126</v>
      </c>
      <c r="J78" s="270" t="s">
        <v>6242</v>
      </c>
      <c r="K78" s="270"/>
      <c r="L78" s="270"/>
      <c r="M78" s="270"/>
      <c r="N78" s="270" t="s">
        <v>6213</v>
      </c>
    </row>
    <row r="79">
      <c r="A79" s="270" t="s">
        <v>779</v>
      </c>
      <c r="B79" s="270">
        <v>11037.0</v>
      </c>
      <c r="C79" s="271">
        <v>30904.0</v>
      </c>
      <c r="D79" s="271">
        <v>44565.0</v>
      </c>
      <c r="E79" s="272">
        <v>0.6458333333333334</v>
      </c>
      <c r="F79" s="270" t="s">
        <v>6323</v>
      </c>
      <c r="G79" s="270" t="s">
        <v>14</v>
      </c>
      <c r="H79" s="270" t="s">
        <v>6219</v>
      </c>
      <c r="I79" s="270" t="s">
        <v>6089</v>
      </c>
      <c r="J79" s="244"/>
      <c r="K79" s="270" t="s">
        <v>6242</v>
      </c>
      <c r="L79" s="270"/>
      <c r="M79" s="270"/>
      <c r="N79" s="270" t="s">
        <v>5</v>
      </c>
    </row>
    <row r="80">
      <c r="A80" s="270" t="s">
        <v>3919</v>
      </c>
      <c r="B80" s="270">
        <v>15534.0</v>
      </c>
      <c r="C80" s="271">
        <v>23905.0</v>
      </c>
      <c r="D80" s="271">
        <v>44565.0</v>
      </c>
      <c r="E80" s="272">
        <v>0.6354166666666666</v>
      </c>
      <c r="F80" s="270" t="s">
        <v>6328</v>
      </c>
      <c r="G80" s="270" t="s">
        <v>14</v>
      </c>
      <c r="H80" s="270" t="s">
        <v>6219</v>
      </c>
      <c r="I80" s="270" t="s">
        <v>6117</v>
      </c>
      <c r="J80" s="244"/>
      <c r="K80" s="270" t="s">
        <v>6242</v>
      </c>
      <c r="L80" s="270"/>
      <c r="M80" s="270"/>
      <c r="N80" s="270" t="s">
        <v>5</v>
      </c>
    </row>
    <row r="81">
      <c r="A81" s="270" t="s">
        <v>5923</v>
      </c>
      <c r="B81" s="270">
        <v>17818.0</v>
      </c>
      <c r="C81" s="271">
        <v>18630.0</v>
      </c>
      <c r="D81" s="271">
        <v>44565.0</v>
      </c>
      <c r="E81" s="272">
        <v>0.6145833333333334</v>
      </c>
      <c r="F81" s="270" t="s">
        <v>6328</v>
      </c>
      <c r="G81" s="270" t="s">
        <v>12</v>
      </c>
      <c r="H81" s="270" t="s">
        <v>6212</v>
      </c>
      <c r="I81" s="270" t="s">
        <v>6101</v>
      </c>
      <c r="J81" s="270" t="s">
        <v>6242</v>
      </c>
      <c r="K81" s="270"/>
      <c r="L81" s="270"/>
      <c r="M81" s="270"/>
      <c r="N81" s="270" t="s">
        <v>6213</v>
      </c>
      <c r="O81" s="1">
        <f>COUNTIF(J50:K81,"x")</f>
        <v>32</v>
      </c>
      <c r="P81" s="1">
        <f>O81-(countif(L50:L81,"x"))</f>
        <v>26</v>
      </c>
    </row>
    <row r="82">
      <c r="A82" s="244"/>
      <c r="B82" s="244"/>
      <c r="C82" s="244"/>
      <c r="D82" s="244"/>
      <c r="E82" s="244"/>
      <c r="F82" s="244"/>
      <c r="G82" s="244"/>
      <c r="H82" s="244"/>
      <c r="I82" s="244"/>
      <c r="J82" s="244"/>
      <c r="K82" s="244"/>
      <c r="L82" s="244"/>
      <c r="M82" s="244"/>
      <c r="N82" s="244"/>
    </row>
    <row r="83">
      <c r="A83" s="244" t="s">
        <v>1171</v>
      </c>
      <c r="B83" s="244">
        <v>11883.0</v>
      </c>
      <c r="C83" s="273">
        <v>18355.0</v>
      </c>
      <c r="D83" s="271">
        <v>44566.0</v>
      </c>
      <c r="E83" s="272">
        <v>0.3333333333333333</v>
      </c>
      <c r="F83" s="244" t="s">
        <v>6328</v>
      </c>
      <c r="G83" s="244" t="s">
        <v>15</v>
      </c>
      <c r="H83" s="244" t="s">
        <v>6219</v>
      </c>
      <c r="I83" s="244" t="s">
        <v>6199</v>
      </c>
      <c r="J83" s="244"/>
      <c r="K83" s="244" t="s">
        <v>6242</v>
      </c>
      <c r="L83" s="244"/>
      <c r="M83" s="244"/>
      <c r="N83" s="244" t="s">
        <v>5</v>
      </c>
    </row>
    <row r="84">
      <c r="A84" s="244" t="s">
        <v>4016</v>
      </c>
      <c r="B84" s="244">
        <v>15643.0</v>
      </c>
      <c r="C84" s="273">
        <v>26218.0</v>
      </c>
      <c r="D84" s="271">
        <v>44566.0</v>
      </c>
      <c r="E84" s="272">
        <v>0.3541666666666667</v>
      </c>
      <c r="F84" s="244" t="s">
        <v>6323</v>
      </c>
      <c r="G84" s="244" t="s">
        <v>15</v>
      </c>
      <c r="H84" s="244" t="s">
        <v>6219</v>
      </c>
      <c r="I84" s="244" t="s">
        <v>6158</v>
      </c>
      <c r="J84" s="244"/>
      <c r="K84" s="244" t="s">
        <v>6242</v>
      </c>
      <c r="L84" s="244"/>
      <c r="M84" s="244"/>
      <c r="N84" s="244" t="s">
        <v>5</v>
      </c>
    </row>
    <row r="85">
      <c r="A85" s="244" t="s">
        <v>5079</v>
      </c>
      <c r="B85" s="244">
        <v>16941.0</v>
      </c>
      <c r="C85" s="273">
        <v>21789.0</v>
      </c>
      <c r="D85" s="271">
        <v>44566.0</v>
      </c>
      <c r="E85" s="272">
        <v>0.3645833333333333</v>
      </c>
      <c r="F85" s="244" t="s">
        <v>6323</v>
      </c>
      <c r="G85" s="244" t="s">
        <v>15</v>
      </c>
      <c r="H85" s="244" t="s">
        <v>6219</v>
      </c>
      <c r="I85" s="244" t="s">
        <v>6094</v>
      </c>
      <c r="J85" s="244"/>
      <c r="K85" s="244" t="s">
        <v>6242</v>
      </c>
      <c r="L85" s="244"/>
      <c r="M85" s="244"/>
      <c r="N85" s="244" t="s">
        <v>5</v>
      </c>
    </row>
    <row r="86">
      <c r="A86" s="244" t="s">
        <v>1344</v>
      </c>
      <c r="B86" s="244">
        <v>12250.0</v>
      </c>
      <c r="C86" s="273">
        <v>23723.0</v>
      </c>
      <c r="D86" s="271">
        <v>44566.0</v>
      </c>
      <c r="E86" s="272">
        <v>0.40625</v>
      </c>
      <c r="F86" s="244" t="s">
        <v>6328</v>
      </c>
      <c r="G86" s="244" t="s">
        <v>14</v>
      </c>
      <c r="H86" s="244" t="s">
        <v>6222</v>
      </c>
      <c r="I86" s="244" t="s">
        <v>6154</v>
      </c>
      <c r="J86" s="244"/>
      <c r="K86" s="244" t="s">
        <v>6242</v>
      </c>
      <c r="L86" s="244"/>
      <c r="M86" s="244"/>
      <c r="N86" s="244" t="e">
        <v>#N/A</v>
      </c>
    </row>
    <row r="87">
      <c r="A87" s="244" t="s">
        <v>4081</v>
      </c>
      <c r="B87" s="244">
        <v>15713.0</v>
      </c>
      <c r="C87" s="273">
        <v>18132.0</v>
      </c>
      <c r="D87" s="271">
        <v>44566.0</v>
      </c>
      <c r="E87" s="272">
        <v>0.40625</v>
      </c>
      <c r="F87" s="244" t="s">
        <v>6328</v>
      </c>
      <c r="G87" s="244" t="s">
        <v>15</v>
      </c>
      <c r="H87" s="244" t="s">
        <v>6219</v>
      </c>
      <c r="I87" s="244" t="s">
        <v>6199</v>
      </c>
      <c r="J87" s="244"/>
      <c r="K87" s="244" t="s">
        <v>6242</v>
      </c>
      <c r="L87" s="244"/>
      <c r="M87" s="244"/>
      <c r="N87" s="244" t="s">
        <v>5</v>
      </c>
    </row>
    <row r="88">
      <c r="A88" s="244" t="s">
        <v>2815</v>
      </c>
      <c r="B88" s="244">
        <v>14194.0</v>
      </c>
      <c r="C88" s="273">
        <v>25721.0</v>
      </c>
      <c r="D88" s="271">
        <v>44566.0</v>
      </c>
      <c r="E88" s="272">
        <v>0.46875</v>
      </c>
      <c r="F88" s="244" t="s">
        <v>6323</v>
      </c>
      <c r="G88" s="244" t="s">
        <v>12</v>
      </c>
      <c r="H88" s="244" t="s">
        <v>6212</v>
      </c>
      <c r="I88" s="244" t="s">
        <v>6154</v>
      </c>
      <c r="J88" s="244"/>
      <c r="K88" s="244" t="s">
        <v>6242</v>
      </c>
      <c r="L88" s="244" t="s">
        <v>6242</v>
      </c>
      <c r="M88" s="244"/>
      <c r="N88" s="244" t="s">
        <v>6215</v>
      </c>
    </row>
    <row r="89">
      <c r="A89" s="244" t="s">
        <v>5025</v>
      </c>
      <c r="B89" s="244">
        <v>16875.0</v>
      </c>
      <c r="C89" s="273">
        <v>19869.0</v>
      </c>
      <c r="D89" s="271">
        <v>44566.0</v>
      </c>
      <c r="E89" s="272">
        <v>0.5416666666666666</v>
      </c>
      <c r="F89" s="244" t="s">
        <v>6328</v>
      </c>
      <c r="G89" s="244" t="s">
        <v>15</v>
      </c>
      <c r="H89" s="244" t="s">
        <v>6219</v>
      </c>
      <c r="I89" s="244" t="s">
        <v>6199</v>
      </c>
      <c r="J89" s="244"/>
      <c r="K89" s="244" t="s">
        <v>6242</v>
      </c>
      <c r="L89" s="244"/>
      <c r="M89" s="244"/>
      <c r="N89" s="244" t="s">
        <v>5</v>
      </c>
    </row>
    <row r="90">
      <c r="A90" s="244" t="s">
        <v>5274</v>
      </c>
      <c r="B90" s="244">
        <v>17186.0</v>
      </c>
      <c r="C90" s="273">
        <v>32887.0</v>
      </c>
      <c r="D90" s="271">
        <v>44566.0</v>
      </c>
      <c r="E90" s="272">
        <v>0.5729166666666666</v>
      </c>
      <c r="F90" s="244" t="s">
        <v>6323</v>
      </c>
      <c r="G90" s="244" t="s">
        <v>14</v>
      </c>
      <c r="H90" s="244" t="s">
        <v>6222</v>
      </c>
      <c r="I90" s="244" t="s">
        <v>6126</v>
      </c>
      <c r="J90" s="244"/>
      <c r="K90" s="244" t="s">
        <v>6242</v>
      </c>
      <c r="L90" s="244" t="s">
        <v>6242</v>
      </c>
      <c r="M90" s="244"/>
      <c r="N90" s="244" t="s">
        <v>6215</v>
      </c>
    </row>
    <row r="91">
      <c r="A91" s="244" t="s">
        <v>4255</v>
      </c>
      <c r="B91" s="244">
        <v>15901.0</v>
      </c>
      <c r="C91" s="273">
        <v>21182.0</v>
      </c>
      <c r="D91" s="271">
        <v>44566.0</v>
      </c>
      <c r="E91" s="272">
        <v>0.5729166666666666</v>
      </c>
      <c r="F91" s="244" t="s">
        <v>6323</v>
      </c>
      <c r="G91" s="244" t="s">
        <v>13</v>
      </c>
      <c r="H91" s="244" t="s">
        <v>6212</v>
      </c>
      <c r="I91" s="244" t="s">
        <v>6185</v>
      </c>
      <c r="J91" s="244"/>
      <c r="K91" s="244" t="s">
        <v>6242</v>
      </c>
      <c r="L91" s="244"/>
      <c r="M91" s="244"/>
      <c r="N91" s="244" t="s">
        <v>5</v>
      </c>
    </row>
    <row r="92">
      <c r="A92" s="244" t="s">
        <v>5947</v>
      </c>
      <c r="B92" s="244">
        <v>17795.0</v>
      </c>
      <c r="C92" s="273">
        <v>27896.0</v>
      </c>
      <c r="D92" s="271">
        <v>44566.0</v>
      </c>
      <c r="E92" s="272">
        <v>0.6041666666666666</v>
      </c>
      <c r="F92" s="244" t="s">
        <v>6328</v>
      </c>
      <c r="G92" s="244" t="s">
        <v>13</v>
      </c>
      <c r="H92" s="244" t="s">
        <v>6212</v>
      </c>
      <c r="I92" s="244" t="s">
        <v>6137</v>
      </c>
      <c r="J92" s="244" t="s">
        <v>6242</v>
      </c>
      <c r="K92" s="244"/>
      <c r="L92" s="244"/>
      <c r="M92" s="244"/>
      <c r="N92" s="244" t="s">
        <v>6213</v>
      </c>
    </row>
    <row r="93">
      <c r="A93" s="244" t="s">
        <v>4510</v>
      </c>
      <c r="B93" s="244">
        <v>16202.0</v>
      </c>
      <c r="C93" s="273">
        <v>24456.0</v>
      </c>
      <c r="D93" s="271">
        <v>44566.0</v>
      </c>
      <c r="E93" s="272">
        <v>0.6354166666666666</v>
      </c>
      <c r="F93" s="244" t="s">
        <v>6328</v>
      </c>
      <c r="G93" s="244" t="s">
        <v>15</v>
      </c>
      <c r="H93" s="244" t="s">
        <v>6219</v>
      </c>
      <c r="I93" s="244" t="s">
        <v>6117</v>
      </c>
      <c r="J93" s="244"/>
      <c r="K93" s="244" t="s">
        <v>6242</v>
      </c>
      <c r="L93" s="244"/>
      <c r="M93" s="244"/>
      <c r="N93" s="244" t="s">
        <v>5</v>
      </c>
    </row>
    <row r="94">
      <c r="A94" s="244" t="s">
        <v>4116</v>
      </c>
      <c r="B94" s="244">
        <v>15749.0</v>
      </c>
      <c r="C94" s="273">
        <v>30064.0</v>
      </c>
      <c r="D94" s="271">
        <v>44566.0</v>
      </c>
      <c r="E94" s="272">
        <v>0.6458333333333334</v>
      </c>
      <c r="F94" s="244" t="s">
        <v>6328</v>
      </c>
      <c r="G94" s="244" t="s">
        <v>15</v>
      </c>
      <c r="H94" s="244" t="s">
        <v>6219</v>
      </c>
      <c r="I94" s="244" t="s">
        <v>6154</v>
      </c>
      <c r="J94" s="244"/>
      <c r="K94" s="244" t="s">
        <v>6242</v>
      </c>
      <c r="L94" s="244"/>
      <c r="M94" s="244"/>
      <c r="N94" s="244" t="e">
        <v>#N/A</v>
      </c>
    </row>
    <row r="95">
      <c r="A95" s="244" t="s">
        <v>5795</v>
      </c>
      <c r="B95" s="244">
        <v>12462.0</v>
      </c>
      <c r="C95" s="273">
        <v>34256.0</v>
      </c>
      <c r="D95" s="271">
        <v>44566.0</v>
      </c>
      <c r="E95" s="272">
        <v>0.625</v>
      </c>
      <c r="F95" s="244" t="s">
        <v>6328</v>
      </c>
      <c r="G95" s="244" t="s">
        <v>12</v>
      </c>
      <c r="H95" s="244" t="s">
        <v>6212</v>
      </c>
      <c r="I95" s="244" t="s">
        <v>6103</v>
      </c>
      <c r="J95" s="244"/>
      <c r="K95" s="244" t="s">
        <v>6242</v>
      </c>
      <c r="L95" s="244"/>
      <c r="M95" s="244"/>
      <c r="N95" s="244" t="s">
        <v>5</v>
      </c>
      <c r="O95" s="1">
        <f>COUNTIF(J83:K95,"x")</f>
        <v>13</v>
      </c>
      <c r="P95" s="1">
        <f>O95-(countif(L83:L95,"x"))</f>
        <v>11</v>
      </c>
    </row>
    <row r="96">
      <c r="A96" s="244"/>
      <c r="B96" s="244"/>
      <c r="C96" s="244"/>
      <c r="D96" s="244"/>
      <c r="E96" s="244"/>
      <c r="F96" s="244"/>
      <c r="G96" s="244"/>
      <c r="H96" s="244"/>
      <c r="I96" s="244"/>
      <c r="J96" s="244"/>
      <c r="K96" s="244"/>
      <c r="L96" s="244"/>
      <c r="M96" s="244"/>
      <c r="N96" s="244"/>
    </row>
    <row r="97">
      <c r="A97" s="244" t="s">
        <v>4450</v>
      </c>
      <c r="B97" s="244">
        <v>16128.0</v>
      </c>
      <c r="C97" s="273">
        <v>16663.0</v>
      </c>
      <c r="D97" s="271">
        <v>44567.0</v>
      </c>
      <c r="E97" s="272">
        <v>0.34375</v>
      </c>
      <c r="F97" s="244" t="s">
        <v>6328</v>
      </c>
      <c r="G97" s="244" t="s">
        <v>15</v>
      </c>
      <c r="H97" s="244" t="s">
        <v>6212</v>
      </c>
      <c r="I97" s="244" t="s">
        <v>6187</v>
      </c>
      <c r="J97" s="244"/>
      <c r="K97" s="244" t="s">
        <v>6242</v>
      </c>
      <c r="L97" s="244" t="s">
        <v>6242</v>
      </c>
      <c r="M97" s="244"/>
      <c r="N97" s="244" t="s">
        <v>6215</v>
      </c>
    </row>
    <row r="98">
      <c r="A98" s="244" t="s">
        <v>1196</v>
      </c>
      <c r="B98" s="244">
        <v>11940.0</v>
      </c>
      <c r="C98" s="273">
        <v>20958.0</v>
      </c>
      <c r="D98" s="271">
        <v>44567.0</v>
      </c>
      <c r="E98" s="272">
        <v>0.3333333333333333</v>
      </c>
      <c r="F98" s="244" t="s">
        <v>6328</v>
      </c>
      <c r="G98" s="244" t="s">
        <v>15</v>
      </c>
      <c r="H98" s="244" t="s">
        <v>6222</v>
      </c>
      <c r="I98" s="244" t="s">
        <v>6089</v>
      </c>
      <c r="J98" s="244"/>
      <c r="K98" s="244" t="s">
        <v>6242</v>
      </c>
      <c r="L98" s="244"/>
      <c r="M98" s="244"/>
      <c r="N98" s="244" t="s">
        <v>5</v>
      </c>
    </row>
    <row r="99">
      <c r="A99" s="244" t="s">
        <v>339</v>
      </c>
      <c r="B99" s="244">
        <v>9909.0</v>
      </c>
      <c r="C99" s="273">
        <v>22143.0</v>
      </c>
      <c r="D99" s="271">
        <v>44567.0</v>
      </c>
      <c r="E99" s="272" t="e">
        <v>#N/A</v>
      </c>
      <c r="F99" s="244" t="s">
        <v>6328</v>
      </c>
      <c r="G99" s="244" t="s">
        <v>15</v>
      </c>
      <c r="H99" s="244" t="e">
        <v>#N/A</v>
      </c>
      <c r="I99" s="244" t="e">
        <v>#N/A</v>
      </c>
      <c r="J99" s="244"/>
      <c r="K99" s="244" t="s">
        <v>6242</v>
      </c>
      <c r="L99" s="244"/>
      <c r="M99" s="244"/>
      <c r="N99" s="244" t="e">
        <v>#N/A</v>
      </c>
    </row>
    <row r="100">
      <c r="A100" s="244" t="s">
        <v>1436</v>
      </c>
      <c r="B100" s="244">
        <v>12397.0</v>
      </c>
      <c r="C100" s="273">
        <v>24151.0</v>
      </c>
      <c r="D100" s="271">
        <v>44567.0</v>
      </c>
      <c r="E100" s="272">
        <v>0.3541666666666667</v>
      </c>
      <c r="F100" s="244" t="s">
        <v>6328</v>
      </c>
      <c r="G100" s="244" t="s">
        <v>15</v>
      </c>
      <c r="H100" s="244" t="s">
        <v>6219</v>
      </c>
      <c r="I100" s="244" t="s">
        <v>6091</v>
      </c>
      <c r="J100" s="244"/>
      <c r="K100" s="244" t="s">
        <v>6242</v>
      </c>
      <c r="L100" s="244" t="s">
        <v>6242</v>
      </c>
      <c r="M100" s="244"/>
      <c r="N100" s="244" t="s">
        <v>6215</v>
      </c>
    </row>
    <row r="101">
      <c r="A101" s="244" t="s">
        <v>3607</v>
      </c>
      <c r="B101" s="244">
        <v>15160.0</v>
      </c>
      <c r="C101" s="273">
        <v>29365.0</v>
      </c>
      <c r="D101" s="271">
        <v>44567.0</v>
      </c>
      <c r="E101" s="272" t="e">
        <v>#N/A</v>
      </c>
      <c r="F101" s="244" t="s">
        <v>6328</v>
      </c>
      <c r="G101" s="244" t="s">
        <v>15</v>
      </c>
      <c r="H101" s="244" t="e">
        <v>#N/A</v>
      </c>
      <c r="I101" s="244" t="e">
        <v>#N/A</v>
      </c>
      <c r="J101" s="244"/>
      <c r="K101" s="244" t="s">
        <v>6242</v>
      </c>
      <c r="L101" s="244"/>
      <c r="M101" s="244"/>
      <c r="N101" s="244" t="e">
        <v>#N/A</v>
      </c>
    </row>
    <row r="102">
      <c r="A102" s="244" t="s">
        <v>4559</v>
      </c>
      <c r="B102" s="244">
        <v>16260.0</v>
      </c>
      <c r="C102" s="273">
        <v>17025.0</v>
      </c>
      <c r="D102" s="271">
        <v>44567.0</v>
      </c>
      <c r="E102" s="272">
        <v>0.3854166666666667</v>
      </c>
      <c r="F102" s="244" t="s">
        <v>6328</v>
      </c>
      <c r="G102" s="244" t="s">
        <v>15</v>
      </c>
      <c r="H102" s="244" t="s">
        <v>6212</v>
      </c>
      <c r="I102" s="244" t="s">
        <v>6137</v>
      </c>
      <c r="J102" s="244"/>
      <c r="K102" s="244" t="s">
        <v>6242</v>
      </c>
      <c r="L102" s="244"/>
      <c r="M102" s="244"/>
      <c r="N102" s="244" t="s">
        <v>5</v>
      </c>
    </row>
    <row r="103">
      <c r="A103" s="244" t="s">
        <v>718</v>
      </c>
      <c r="B103" s="244">
        <v>10903.0</v>
      </c>
      <c r="C103" s="273">
        <v>22992.0</v>
      </c>
      <c r="D103" s="271">
        <v>44567.0</v>
      </c>
      <c r="E103" s="272">
        <v>0.375</v>
      </c>
      <c r="F103" s="244" t="s">
        <v>6328</v>
      </c>
      <c r="G103" s="244" t="s">
        <v>15</v>
      </c>
      <c r="H103" s="244" t="s">
        <v>6222</v>
      </c>
      <c r="I103" s="244" t="s">
        <v>6094</v>
      </c>
      <c r="J103" s="244"/>
      <c r="K103" s="244" t="s">
        <v>6242</v>
      </c>
      <c r="L103" s="244"/>
      <c r="M103" s="244"/>
      <c r="N103" s="244" t="s">
        <v>5</v>
      </c>
    </row>
    <row r="104">
      <c r="A104" s="244" t="s">
        <v>1331</v>
      </c>
      <c r="B104" s="244">
        <v>12224.0</v>
      </c>
      <c r="C104" s="273">
        <v>28683.0</v>
      </c>
      <c r="D104" s="271">
        <v>44567.0</v>
      </c>
      <c r="E104" s="272">
        <v>0.3854166666666667</v>
      </c>
      <c r="F104" s="244" t="s">
        <v>6328</v>
      </c>
      <c r="G104" s="244" t="s">
        <v>15</v>
      </c>
      <c r="H104" s="244" t="s">
        <v>6222</v>
      </c>
      <c r="I104" s="244" t="s">
        <v>6154</v>
      </c>
      <c r="J104" s="244"/>
      <c r="K104" s="244" t="s">
        <v>6242</v>
      </c>
      <c r="L104" s="244"/>
      <c r="M104" s="244"/>
      <c r="N104" s="244" t="s">
        <v>5</v>
      </c>
    </row>
    <row r="105">
      <c r="A105" s="244" t="s">
        <v>4623</v>
      </c>
      <c r="B105" s="244">
        <v>16348.0</v>
      </c>
      <c r="C105" s="273">
        <v>15288.0</v>
      </c>
      <c r="D105" s="271">
        <v>44567.0</v>
      </c>
      <c r="E105" s="272">
        <v>0.3854166666666667</v>
      </c>
      <c r="F105" s="244" t="s">
        <v>6328</v>
      </c>
      <c r="G105" s="244" t="s">
        <v>15</v>
      </c>
      <c r="H105" s="244" t="s">
        <v>6212</v>
      </c>
      <c r="I105" s="244" t="s">
        <v>6094</v>
      </c>
      <c r="J105" s="244"/>
      <c r="K105" s="244" t="s">
        <v>6242</v>
      </c>
      <c r="L105" s="244" t="s">
        <v>6242</v>
      </c>
      <c r="M105" s="244"/>
      <c r="N105" s="244" t="s">
        <v>6215</v>
      </c>
    </row>
    <row r="106">
      <c r="A106" s="244" t="s">
        <v>587</v>
      </c>
      <c r="B106" s="244">
        <v>10525.0</v>
      </c>
      <c r="C106" s="273">
        <v>21713.0</v>
      </c>
      <c r="D106" s="271">
        <v>44567.0</v>
      </c>
      <c r="E106" s="272" t="e">
        <v>#N/A</v>
      </c>
      <c r="F106" s="244" t="s">
        <v>6328</v>
      </c>
      <c r="G106" s="244" t="s">
        <v>15</v>
      </c>
      <c r="H106" s="244" t="e">
        <v>#N/A</v>
      </c>
      <c r="I106" s="244" t="e">
        <v>#N/A</v>
      </c>
      <c r="J106" s="244"/>
      <c r="K106" s="244" t="s">
        <v>6242</v>
      </c>
      <c r="L106" s="244" t="s">
        <v>6242</v>
      </c>
      <c r="M106" s="244"/>
      <c r="N106" s="244" t="e">
        <v>#N/A</v>
      </c>
    </row>
    <row r="107">
      <c r="A107" s="244" t="s">
        <v>2237</v>
      </c>
      <c r="B107" s="244">
        <v>13447.0</v>
      </c>
      <c r="C107" s="273">
        <v>24516.0</v>
      </c>
      <c r="D107" s="271">
        <v>44567.0</v>
      </c>
      <c r="E107" s="272">
        <v>0.3854166666666667</v>
      </c>
      <c r="F107" s="244" t="s">
        <v>6328</v>
      </c>
      <c r="G107" s="244" t="s">
        <v>15</v>
      </c>
      <c r="H107" s="244" t="s">
        <v>6219</v>
      </c>
      <c r="I107" s="244" t="s">
        <v>6119</v>
      </c>
      <c r="J107" s="244"/>
      <c r="K107" s="244" t="s">
        <v>6242</v>
      </c>
      <c r="L107" s="244"/>
      <c r="M107" s="244"/>
      <c r="N107" s="244" t="s">
        <v>5</v>
      </c>
    </row>
    <row r="108">
      <c r="A108" s="244" t="s">
        <v>3327</v>
      </c>
      <c r="B108" s="244">
        <v>14821.0</v>
      </c>
      <c r="C108" s="273">
        <v>21380.0</v>
      </c>
      <c r="D108" s="271">
        <v>44567.0</v>
      </c>
      <c r="E108" s="272">
        <v>0.3958333333333333</v>
      </c>
      <c r="F108" s="244" t="s">
        <v>6328</v>
      </c>
      <c r="G108" s="244" t="s">
        <v>15</v>
      </c>
      <c r="H108" s="244" t="s">
        <v>6212</v>
      </c>
      <c r="I108" s="244" t="s">
        <v>6084</v>
      </c>
      <c r="J108" s="244"/>
      <c r="K108" s="244" t="s">
        <v>6242</v>
      </c>
      <c r="L108" s="244" t="s">
        <v>6242</v>
      </c>
      <c r="M108" s="244"/>
      <c r="N108" s="244" t="s">
        <v>6215</v>
      </c>
    </row>
    <row r="109">
      <c r="A109" s="244" t="s">
        <v>3541</v>
      </c>
      <c r="B109" s="244">
        <v>15081.0</v>
      </c>
      <c r="C109" s="273">
        <v>22789.0</v>
      </c>
      <c r="D109" s="271">
        <v>44567.0</v>
      </c>
      <c r="E109" s="272">
        <v>0.3958333333333333</v>
      </c>
      <c r="F109" s="244" t="s">
        <v>6328</v>
      </c>
      <c r="G109" s="244" t="s">
        <v>15</v>
      </c>
      <c r="H109" s="244" t="s">
        <v>6219</v>
      </c>
      <c r="I109" s="244" t="s">
        <v>6130</v>
      </c>
      <c r="J109" s="244"/>
      <c r="K109" s="244" t="s">
        <v>6242</v>
      </c>
      <c r="L109" s="244"/>
      <c r="M109" s="244"/>
      <c r="N109" s="244" t="s">
        <v>5</v>
      </c>
    </row>
    <row r="110">
      <c r="A110" s="244" t="s">
        <v>321</v>
      </c>
      <c r="B110" s="244">
        <v>9854.0</v>
      </c>
      <c r="C110" s="273">
        <v>21614.0</v>
      </c>
      <c r="D110" s="271">
        <v>44567.0</v>
      </c>
      <c r="E110" s="272">
        <v>0.4375</v>
      </c>
      <c r="F110" s="244" t="s">
        <v>6328</v>
      </c>
      <c r="G110" s="244" t="s">
        <v>15</v>
      </c>
      <c r="H110" s="244" t="s">
        <v>6222</v>
      </c>
      <c r="I110" s="244" t="s">
        <v>6137</v>
      </c>
      <c r="J110" s="244"/>
      <c r="K110" s="244" t="s">
        <v>6242</v>
      </c>
      <c r="L110" s="244"/>
      <c r="M110" s="244"/>
      <c r="N110" s="244" t="s">
        <v>5</v>
      </c>
    </row>
    <row r="111">
      <c r="A111" s="244" t="s">
        <v>5630</v>
      </c>
      <c r="B111" s="244">
        <v>17713.0</v>
      </c>
      <c r="C111" s="273">
        <v>21325.0</v>
      </c>
      <c r="D111" s="271">
        <v>44567.0</v>
      </c>
      <c r="E111" s="272">
        <v>0.4166666666666667</v>
      </c>
      <c r="F111" s="244" t="s">
        <v>6328</v>
      </c>
      <c r="G111" s="244" t="s">
        <v>15</v>
      </c>
      <c r="H111" s="244" t="s">
        <v>6212</v>
      </c>
      <c r="I111" s="244" t="s">
        <v>6082</v>
      </c>
      <c r="J111" s="244"/>
      <c r="K111" s="244" t="s">
        <v>6242</v>
      </c>
      <c r="L111" s="244" t="s">
        <v>6242</v>
      </c>
      <c r="M111" s="244"/>
      <c r="N111" s="244" t="s">
        <v>6215</v>
      </c>
    </row>
    <row r="112">
      <c r="A112" s="244" t="s">
        <v>320</v>
      </c>
      <c r="B112" s="244">
        <v>9853.0</v>
      </c>
      <c r="C112" s="273">
        <v>23125.0</v>
      </c>
      <c r="D112" s="271">
        <v>44567.0</v>
      </c>
      <c r="E112" s="272">
        <v>0.46875</v>
      </c>
      <c r="F112" s="244" t="s">
        <v>6328</v>
      </c>
      <c r="G112" s="244" t="s">
        <v>15</v>
      </c>
      <c r="H112" s="244" t="s">
        <v>6212</v>
      </c>
      <c r="I112" s="244" t="s">
        <v>6158</v>
      </c>
      <c r="J112" s="244"/>
      <c r="K112" s="244" t="s">
        <v>6242</v>
      </c>
      <c r="L112" s="244"/>
      <c r="M112" s="244"/>
      <c r="N112" s="244" t="s">
        <v>5</v>
      </c>
    </row>
    <row r="113">
      <c r="A113" s="244" t="s">
        <v>936</v>
      </c>
      <c r="B113" s="244">
        <v>11391.0</v>
      </c>
      <c r="C113" s="273">
        <v>21293.0</v>
      </c>
      <c r="D113" s="271">
        <v>44567.0</v>
      </c>
      <c r="E113" s="272">
        <v>0.4375</v>
      </c>
      <c r="F113" s="244" t="s">
        <v>6328</v>
      </c>
      <c r="G113" s="244" t="s">
        <v>15</v>
      </c>
      <c r="H113" s="244" t="s">
        <v>6222</v>
      </c>
      <c r="I113" s="244" t="s">
        <v>6095</v>
      </c>
      <c r="J113" s="244"/>
      <c r="K113" s="244" t="s">
        <v>6242</v>
      </c>
      <c r="L113" s="244"/>
      <c r="M113" s="244"/>
      <c r="N113" s="244" t="s">
        <v>5</v>
      </c>
    </row>
    <row r="114">
      <c r="A114" s="244" t="s">
        <v>4166</v>
      </c>
      <c r="B114" s="244">
        <v>15806.0</v>
      </c>
      <c r="C114" s="273">
        <v>18664.0</v>
      </c>
      <c r="D114" s="271">
        <v>44567.0</v>
      </c>
      <c r="E114" s="272">
        <v>0.4479166666666667</v>
      </c>
      <c r="F114" s="244" t="s">
        <v>6328</v>
      </c>
      <c r="G114" s="244" t="s">
        <v>15</v>
      </c>
      <c r="H114" s="244" t="s">
        <v>6212</v>
      </c>
      <c r="I114" s="244" t="s">
        <v>6137</v>
      </c>
      <c r="J114" s="244"/>
      <c r="K114" s="244" t="s">
        <v>6242</v>
      </c>
      <c r="L114" s="244" t="s">
        <v>6242</v>
      </c>
      <c r="M114" s="244"/>
      <c r="N114" s="244" t="s">
        <v>6215</v>
      </c>
    </row>
    <row r="115">
      <c r="A115" s="244" t="s">
        <v>5138</v>
      </c>
      <c r="B115" s="244">
        <v>17017.0</v>
      </c>
      <c r="C115" s="273">
        <v>29428.0</v>
      </c>
      <c r="D115" s="271">
        <v>44567.0</v>
      </c>
      <c r="E115" s="272">
        <v>0.4479166666666667</v>
      </c>
      <c r="F115" s="244" t="s">
        <v>6328</v>
      </c>
      <c r="G115" s="244" t="s">
        <v>15</v>
      </c>
      <c r="H115" s="244" t="s">
        <v>6212</v>
      </c>
      <c r="I115" s="244" t="s">
        <v>6082</v>
      </c>
      <c r="J115" s="244"/>
      <c r="K115" s="244" t="s">
        <v>6242</v>
      </c>
      <c r="L115" s="244"/>
      <c r="M115" s="244"/>
      <c r="N115" s="244" t="s">
        <v>5</v>
      </c>
    </row>
    <row r="116">
      <c r="A116" s="244" t="s">
        <v>2730</v>
      </c>
      <c r="B116" s="244">
        <v>14085.0</v>
      </c>
      <c r="C116" s="273">
        <v>15888.0</v>
      </c>
      <c r="D116" s="271">
        <v>44567.0</v>
      </c>
      <c r="E116" s="272">
        <v>0.4583333333333333</v>
      </c>
      <c r="F116" s="244" t="s">
        <v>6328</v>
      </c>
      <c r="G116" s="244" t="s">
        <v>15</v>
      </c>
      <c r="H116" s="244" t="s">
        <v>6222</v>
      </c>
      <c r="I116" s="244" t="s">
        <v>6083</v>
      </c>
      <c r="J116" s="244"/>
      <c r="K116" s="244" t="s">
        <v>6242</v>
      </c>
      <c r="L116" s="244"/>
      <c r="M116" s="244"/>
      <c r="N116" s="244" t="s">
        <v>5</v>
      </c>
    </row>
    <row r="117">
      <c r="A117" s="244" t="s">
        <v>449</v>
      </c>
      <c r="B117" s="244">
        <v>10185.0</v>
      </c>
      <c r="C117" s="273">
        <v>24575.0</v>
      </c>
      <c r="D117" s="271">
        <v>44567.0</v>
      </c>
      <c r="E117" s="272" t="e">
        <v>#N/A</v>
      </c>
      <c r="F117" s="244" t="s">
        <v>6328</v>
      </c>
      <c r="G117" s="244" t="s">
        <v>15</v>
      </c>
      <c r="H117" s="244" t="e">
        <v>#N/A</v>
      </c>
      <c r="I117" s="244" t="e">
        <v>#N/A</v>
      </c>
      <c r="J117" s="244"/>
      <c r="K117" s="244" t="s">
        <v>6242</v>
      </c>
      <c r="L117" s="244"/>
      <c r="M117" s="244"/>
      <c r="N117" s="244" t="e">
        <v>#N/A</v>
      </c>
    </row>
    <row r="118">
      <c r="A118" s="244" t="s">
        <v>532</v>
      </c>
      <c r="B118" s="244">
        <v>10399.0</v>
      </c>
      <c r="C118" s="273">
        <v>29259.0</v>
      </c>
      <c r="D118" s="271">
        <v>44567.0</v>
      </c>
      <c r="E118" s="272">
        <v>0.5416666666666666</v>
      </c>
      <c r="F118" s="244" t="s">
        <v>6328</v>
      </c>
      <c r="G118" s="244" t="s">
        <v>15</v>
      </c>
      <c r="H118" s="244" t="s">
        <v>6222</v>
      </c>
      <c r="I118" s="244" t="s">
        <v>6199</v>
      </c>
      <c r="J118" s="244"/>
      <c r="K118" s="244" t="s">
        <v>6242</v>
      </c>
      <c r="L118" s="244"/>
      <c r="M118" s="244"/>
      <c r="N118" s="244" t="s">
        <v>5</v>
      </c>
    </row>
    <row r="119">
      <c r="A119" s="244" t="s">
        <v>3252</v>
      </c>
      <c r="B119" s="244">
        <v>14729.0</v>
      </c>
      <c r="C119" s="273">
        <v>30461.0</v>
      </c>
      <c r="D119" s="271">
        <v>44567.0</v>
      </c>
      <c r="E119" s="272">
        <v>0.5729166666666666</v>
      </c>
      <c r="F119" s="244" t="s">
        <v>6328</v>
      </c>
      <c r="G119" s="244" t="s">
        <v>15</v>
      </c>
      <c r="H119" s="244" t="s">
        <v>6222</v>
      </c>
      <c r="I119" s="244" t="s">
        <v>6154</v>
      </c>
      <c r="J119" s="244"/>
      <c r="K119" s="244" t="s">
        <v>6242</v>
      </c>
      <c r="L119" s="244"/>
      <c r="M119" s="244"/>
      <c r="N119" s="244" t="s">
        <v>5</v>
      </c>
    </row>
    <row r="120">
      <c r="A120" s="244" t="s">
        <v>4481</v>
      </c>
      <c r="B120" s="244">
        <v>16166.0</v>
      </c>
      <c r="C120" s="273">
        <v>21767.0</v>
      </c>
      <c r="D120" s="271">
        <v>44567.0</v>
      </c>
      <c r="E120" s="272">
        <v>0.5625</v>
      </c>
      <c r="F120" s="244" t="s">
        <v>6328</v>
      </c>
      <c r="G120" s="244" t="s">
        <v>15</v>
      </c>
      <c r="H120" s="244" t="s">
        <v>6219</v>
      </c>
      <c r="I120" s="244" t="s">
        <v>6186</v>
      </c>
      <c r="J120" s="244"/>
      <c r="K120" s="244" t="s">
        <v>6242</v>
      </c>
      <c r="L120" s="244"/>
      <c r="M120" s="244"/>
      <c r="N120" s="244" t="s">
        <v>5</v>
      </c>
    </row>
    <row r="121">
      <c r="A121" s="244" t="s">
        <v>1595</v>
      </c>
      <c r="B121" s="244">
        <v>12638.0</v>
      </c>
      <c r="C121" s="273">
        <v>25617.0</v>
      </c>
      <c r="D121" s="271">
        <v>44567.0</v>
      </c>
      <c r="E121" s="272">
        <v>0.5729166666666666</v>
      </c>
      <c r="F121" s="244" t="s">
        <v>6328</v>
      </c>
      <c r="G121" s="244" t="s">
        <v>15</v>
      </c>
      <c r="H121" s="244" t="s">
        <v>6212</v>
      </c>
      <c r="I121" s="244" t="s">
        <v>6117</v>
      </c>
      <c r="J121" s="244"/>
      <c r="K121" s="244" t="s">
        <v>6242</v>
      </c>
      <c r="L121" s="244"/>
      <c r="M121" s="244"/>
      <c r="N121" s="244" t="s">
        <v>5</v>
      </c>
    </row>
    <row r="122">
      <c r="A122" s="244" t="s">
        <v>527</v>
      </c>
      <c r="B122" s="244">
        <v>10392.0</v>
      </c>
      <c r="C122" s="273">
        <v>31105.0</v>
      </c>
      <c r="D122" s="271">
        <v>44567.0</v>
      </c>
      <c r="E122" s="272">
        <v>0.5625</v>
      </c>
      <c r="F122" s="244" t="s">
        <v>6328</v>
      </c>
      <c r="G122" s="244" t="s">
        <v>15</v>
      </c>
      <c r="H122" s="244" t="s">
        <v>6222</v>
      </c>
      <c r="I122" s="244" t="s">
        <v>6137</v>
      </c>
      <c r="J122" s="244"/>
      <c r="K122" s="244" t="s">
        <v>6242</v>
      </c>
      <c r="L122" s="244"/>
      <c r="M122" s="244"/>
      <c r="N122" s="244" t="s">
        <v>5</v>
      </c>
    </row>
    <row r="123">
      <c r="A123" s="244" t="s">
        <v>4482</v>
      </c>
      <c r="B123" s="244">
        <v>16167.0</v>
      </c>
      <c r="C123" s="273">
        <v>19877.0</v>
      </c>
      <c r="D123" s="271">
        <v>44567.0</v>
      </c>
      <c r="E123" s="272">
        <v>0.5625</v>
      </c>
      <c r="F123" s="244" t="s">
        <v>6328</v>
      </c>
      <c r="G123" s="244" t="s">
        <v>15</v>
      </c>
      <c r="H123" s="244" t="s">
        <v>6219</v>
      </c>
      <c r="I123" s="244" t="s">
        <v>6186</v>
      </c>
      <c r="J123" s="244"/>
      <c r="K123" s="244" t="s">
        <v>6242</v>
      </c>
      <c r="L123" s="244"/>
      <c r="M123" s="244"/>
      <c r="N123" s="244" t="s">
        <v>5</v>
      </c>
    </row>
    <row r="124">
      <c r="A124" s="244" t="s">
        <v>4817</v>
      </c>
      <c r="B124" s="244">
        <v>16609.0</v>
      </c>
      <c r="C124" s="273">
        <v>19761.0</v>
      </c>
      <c r="D124" s="271">
        <v>44567.0</v>
      </c>
      <c r="E124" s="272">
        <v>0.5729166666666666</v>
      </c>
      <c r="F124" s="244" t="s">
        <v>6328</v>
      </c>
      <c r="G124" s="244" t="s">
        <v>15</v>
      </c>
      <c r="H124" s="244" t="s">
        <v>6212</v>
      </c>
      <c r="I124" s="244" t="s">
        <v>6082</v>
      </c>
      <c r="J124" s="244"/>
      <c r="K124" s="244" t="s">
        <v>6242</v>
      </c>
      <c r="L124" s="244"/>
      <c r="M124" s="244"/>
      <c r="N124" s="244" t="s">
        <v>5</v>
      </c>
    </row>
    <row r="125">
      <c r="A125" s="244" t="s">
        <v>335</v>
      </c>
      <c r="B125" s="244">
        <v>9892.0</v>
      </c>
      <c r="C125" s="273">
        <v>24543.0</v>
      </c>
      <c r="D125" s="271">
        <v>44567.0</v>
      </c>
      <c r="E125" s="272">
        <v>0.6145833333333334</v>
      </c>
      <c r="F125" s="244" t="s">
        <v>6328</v>
      </c>
      <c r="G125" s="244" t="s">
        <v>15</v>
      </c>
      <c r="H125" s="244" t="s">
        <v>6212</v>
      </c>
      <c r="I125" s="244" t="s">
        <v>6199</v>
      </c>
      <c r="J125" s="244"/>
      <c r="K125" s="244" t="s">
        <v>6242</v>
      </c>
      <c r="L125" s="244" t="s">
        <v>6242</v>
      </c>
      <c r="M125" s="244"/>
      <c r="N125" s="244" t="s">
        <v>6215</v>
      </c>
    </row>
    <row r="126">
      <c r="A126" s="244" t="s">
        <v>372</v>
      </c>
      <c r="B126" s="244">
        <v>10015.0</v>
      </c>
      <c r="C126" s="273">
        <v>20741.0</v>
      </c>
      <c r="D126" s="271">
        <v>44567.0</v>
      </c>
      <c r="E126" s="272">
        <v>0.59375</v>
      </c>
      <c r="F126" s="244" t="s">
        <v>6328</v>
      </c>
      <c r="G126" s="244" t="s">
        <v>15</v>
      </c>
      <c r="H126" s="244" t="s">
        <v>6212</v>
      </c>
      <c r="I126" s="244" t="s">
        <v>6085</v>
      </c>
      <c r="J126" s="244"/>
      <c r="K126" s="244" t="s">
        <v>6242</v>
      </c>
      <c r="L126" s="244"/>
      <c r="M126" s="244"/>
      <c r="N126" s="244" t="s">
        <v>5</v>
      </c>
    </row>
    <row r="127">
      <c r="A127" s="244" t="s">
        <v>2153</v>
      </c>
      <c r="B127" s="244">
        <v>13331.0</v>
      </c>
      <c r="C127" s="273">
        <v>17613.0</v>
      </c>
      <c r="D127" s="271">
        <v>44567.0</v>
      </c>
      <c r="E127" s="272">
        <v>0.59375</v>
      </c>
      <c r="F127" s="244" t="s">
        <v>6328</v>
      </c>
      <c r="G127" s="244" t="s">
        <v>15</v>
      </c>
      <c r="H127" s="244" t="s">
        <v>6219</v>
      </c>
      <c r="I127" s="244" t="s">
        <v>6095</v>
      </c>
      <c r="J127" s="244"/>
      <c r="K127" s="244" t="s">
        <v>6242</v>
      </c>
      <c r="L127" s="244" t="s">
        <v>6242</v>
      </c>
      <c r="M127" s="244"/>
      <c r="N127" s="244" t="s">
        <v>6215</v>
      </c>
    </row>
    <row r="128">
      <c r="A128" s="244" t="s">
        <v>2316</v>
      </c>
      <c r="B128" s="244">
        <v>13544.0</v>
      </c>
      <c r="C128" s="273">
        <v>27937.0</v>
      </c>
      <c r="D128" s="271">
        <v>44567.0</v>
      </c>
      <c r="E128" s="272">
        <v>0.6354166666666666</v>
      </c>
      <c r="F128" s="244" t="s">
        <v>6328</v>
      </c>
      <c r="G128" s="244" t="s">
        <v>15</v>
      </c>
      <c r="H128" s="244" t="s">
        <v>6219</v>
      </c>
      <c r="I128" s="244" t="s">
        <v>6117</v>
      </c>
      <c r="J128" s="244"/>
      <c r="K128" s="244" t="s">
        <v>6242</v>
      </c>
      <c r="L128" s="244"/>
      <c r="M128" s="244"/>
      <c r="N128" s="244" t="s">
        <v>5</v>
      </c>
    </row>
    <row r="129">
      <c r="A129" s="244" t="s">
        <v>3686</v>
      </c>
      <c r="B129" s="244">
        <v>15253.0</v>
      </c>
      <c r="C129" s="273">
        <v>24706.0</v>
      </c>
      <c r="D129" s="271">
        <v>44567.0</v>
      </c>
      <c r="E129" s="272">
        <v>0.6458333333333334</v>
      </c>
      <c r="F129" s="244" t="s">
        <v>6328</v>
      </c>
      <c r="G129" s="244" t="s">
        <v>15</v>
      </c>
      <c r="H129" s="244" t="s">
        <v>6219</v>
      </c>
      <c r="I129" s="244" t="s">
        <v>6084</v>
      </c>
      <c r="J129" s="244"/>
      <c r="K129" s="244" t="s">
        <v>6242</v>
      </c>
      <c r="L129" s="244" t="s">
        <v>6242</v>
      </c>
      <c r="M129" s="244"/>
      <c r="N129" s="244" t="s">
        <v>6215</v>
      </c>
    </row>
    <row r="130">
      <c r="A130" s="244" t="s">
        <v>4750</v>
      </c>
      <c r="B130" s="244">
        <v>16515.0</v>
      </c>
      <c r="C130" s="273">
        <v>17317.0</v>
      </c>
      <c r="D130" s="271">
        <v>44567.0</v>
      </c>
      <c r="E130" s="272">
        <v>0.6354166666666666</v>
      </c>
      <c r="F130" s="244" t="s">
        <v>6328</v>
      </c>
      <c r="G130" s="244" t="s">
        <v>15</v>
      </c>
      <c r="H130" s="244" t="s">
        <v>6222</v>
      </c>
      <c r="I130" s="244" t="s">
        <v>6094</v>
      </c>
      <c r="J130" s="244"/>
      <c r="K130" s="244" t="s">
        <v>6242</v>
      </c>
      <c r="L130" s="244"/>
      <c r="M130" s="244"/>
      <c r="N130" s="244" t="s">
        <v>5</v>
      </c>
    </row>
    <row r="131">
      <c r="A131" s="244" t="s">
        <v>3871</v>
      </c>
      <c r="B131" s="244">
        <v>15479.0</v>
      </c>
      <c r="C131" s="273">
        <v>28397.0</v>
      </c>
      <c r="D131" s="271">
        <v>44567.0</v>
      </c>
      <c r="E131" s="272">
        <v>0.6458333333333334</v>
      </c>
      <c r="F131" s="244" t="s">
        <v>6328</v>
      </c>
      <c r="G131" s="244" t="s">
        <v>15</v>
      </c>
      <c r="H131" s="244" t="s">
        <v>6219</v>
      </c>
      <c r="I131" s="244" t="s">
        <v>6202</v>
      </c>
      <c r="J131" s="244"/>
      <c r="K131" s="244" t="s">
        <v>6242</v>
      </c>
      <c r="L131" s="244" t="s">
        <v>6242</v>
      </c>
      <c r="M131" s="244"/>
      <c r="N131" s="244" t="s">
        <v>6215</v>
      </c>
    </row>
    <row r="132">
      <c r="A132" s="244" t="s">
        <v>140</v>
      </c>
      <c r="B132" s="244">
        <v>9337.0</v>
      </c>
      <c r="C132" s="273">
        <v>17297.0</v>
      </c>
      <c r="D132" s="271">
        <v>44567.0</v>
      </c>
      <c r="E132" s="272" t="e">
        <v>#N/A</v>
      </c>
      <c r="F132" s="244" t="s">
        <v>6328</v>
      </c>
      <c r="G132" s="244" t="s">
        <v>15</v>
      </c>
      <c r="H132" s="244" t="e">
        <v>#N/A</v>
      </c>
      <c r="I132" s="244" t="e">
        <v>#N/A</v>
      </c>
      <c r="J132" s="244"/>
      <c r="K132" s="244" t="s">
        <v>6242</v>
      </c>
      <c r="L132" s="244"/>
      <c r="M132" s="244"/>
      <c r="N132" s="244" t="e">
        <v>#N/A</v>
      </c>
    </row>
    <row r="133">
      <c r="A133" s="244" t="s">
        <v>537</v>
      </c>
      <c r="B133" s="244">
        <v>10415.0</v>
      </c>
      <c r="C133" s="273">
        <v>25164.0</v>
      </c>
      <c r="D133" s="271">
        <v>44567.0</v>
      </c>
      <c r="E133" s="272">
        <v>0.6458333333333334</v>
      </c>
      <c r="F133" s="244" t="s">
        <v>6328</v>
      </c>
      <c r="G133" s="244" t="s">
        <v>15</v>
      </c>
      <c r="H133" s="244" t="s">
        <v>6222</v>
      </c>
      <c r="I133" s="244" t="s">
        <v>6137</v>
      </c>
      <c r="J133" s="244"/>
      <c r="K133" s="244" t="s">
        <v>6242</v>
      </c>
      <c r="L133" s="244"/>
      <c r="M133" s="244"/>
      <c r="N133" s="244" t="s">
        <v>5</v>
      </c>
      <c r="O133" s="1">
        <f>COUNTIF(J97:K133,"x")</f>
        <v>37</v>
      </c>
      <c r="P133" s="1">
        <f>O133-(countif(L97:L133,"x"))</f>
        <v>26</v>
      </c>
    </row>
    <row r="134">
      <c r="A134" s="244"/>
      <c r="B134" s="244"/>
      <c r="C134" s="244"/>
      <c r="D134" s="244"/>
      <c r="E134" s="244"/>
      <c r="F134" s="244"/>
      <c r="G134" s="244"/>
      <c r="H134" s="244"/>
      <c r="I134" s="244"/>
      <c r="J134" s="244"/>
      <c r="K134" s="244"/>
      <c r="L134" s="244"/>
      <c r="M134" s="244"/>
      <c r="N134" s="244"/>
    </row>
    <row r="135">
      <c r="A135" s="270" t="s">
        <v>142</v>
      </c>
      <c r="B135" s="270">
        <v>9353.0</v>
      </c>
      <c r="C135" s="273">
        <v>11841.0</v>
      </c>
      <c r="D135" s="271">
        <v>44568.0</v>
      </c>
      <c r="E135" s="272">
        <v>0.3333333333333333</v>
      </c>
      <c r="F135" s="244" t="s">
        <v>6323</v>
      </c>
      <c r="G135" s="244" t="s">
        <v>15</v>
      </c>
      <c r="H135" s="244" t="s">
        <v>6219</v>
      </c>
      <c r="I135" s="244" t="s">
        <v>6137</v>
      </c>
      <c r="J135" s="244"/>
      <c r="K135" s="244" t="s">
        <v>6242</v>
      </c>
      <c r="L135" s="244"/>
      <c r="M135" s="244"/>
      <c r="N135" s="244" t="s">
        <v>5</v>
      </c>
    </row>
    <row r="136">
      <c r="A136" s="270" t="s">
        <v>4206</v>
      </c>
      <c r="B136" s="270">
        <v>15851.0</v>
      </c>
      <c r="C136" s="273">
        <v>23918.0</v>
      </c>
      <c r="D136" s="271">
        <v>44568.0</v>
      </c>
      <c r="E136" s="272">
        <v>0.3333333333333333</v>
      </c>
      <c r="F136" s="244" t="s">
        <v>6323</v>
      </c>
      <c r="G136" s="244" t="s">
        <v>14</v>
      </c>
      <c r="H136" s="244" t="s">
        <v>6222</v>
      </c>
      <c r="I136" s="244" t="s">
        <v>6082</v>
      </c>
      <c r="J136" s="244"/>
      <c r="K136" s="244" t="s">
        <v>6242</v>
      </c>
      <c r="L136" s="244"/>
      <c r="M136" s="244"/>
      <c r="N136" s="244" t="s">
        <v>5</v>
      </c>
    </row>
    <row r="137">
      <c r="A137" s="270" t="s">
        <v>2796</v>
      </c>
      <c r="B137" s="270">
        <v>14172.0</v>
      </c>
      <c r="C137" s="273">
        <v>17875.0</v>
      </c>
      <c r="D137" s="271">
        <v>44568.0</v>
      </c>
      <c r="E137" s="272">
        <v>0.3645833333333333</v>
      </c>
      <c r="F137" s="244" t="s">
        <v>6328</v>
      </c>
      <c r="G137" s="244" t="s">
        <v>15</v>
      </c>
      <c r="H137" s="244" t="s">
        <v>6219</v>
      </c>
      <c r="I137" s="244" t="s">
        <v>6199</v>
      </c>
      <c r="J137" s="244"/>
      <c r="K137" s="244" t="s">
        <v>6242</v>
      </c>
      <c r="L137" s="244" t="s">
        <v>6242</v>
      </c>
      <c r="M137" s="244"/>
      <c r="N137" s="244" t="s">
        <v>6215</v>
      </c>
    </row>
    <row r="138">
      <c r="A138" s="270" t="s">
        <v>3771</v>
      </c>
      <c r="B138" s="270">
        <v>15359.0</v>
      </c>
      <c r="C138" s="273">
        <v>29328.0</v>
      </c>
      <c r="D138" s="271">
        <v>44568.0</v>
      </c>
      <c r="E138" s="272">
        <v>0.375</v>
      </c>
      <c r="F138" s="244" t="s">
        <v>6323</v>
      </c>
      <c r="G138" s="244" t="s">
        <v>14</v>
      </c>
      <c r="H138" s="244" t="s">
        <v>6222</v>
      </c>
      <c r="I138" s="244" t="s">
        <v>6091</v>
      </c>
      <c r="J138" s="244"/>
      <c r="K138" s="244" t="s">
        <v>6242</v>
      </c>
      <c r="L138" s="244" t="s">
        <v>6242</v>
      </c>
      <c r="M138" s="244"/>
      <c r="N138" s="244" t="s">
        <v>6215</v>
      </c>
    </row>
    <row r="139">
      <c r="A139" s="270" t="s">
        <v>100</v>
      </c>
      <c r="B139" s="270">
        <v>9239.0</v>
      </c>
      <c r="C139" s="273">
        <v>17941.0</v>
      </c>
      <c r="D139" s="271">
        <v>44568.0</v>
      </c>
      <c r="E139" s="272">
        <v>0.3958333333333333</v>
      </c>
      <c r="F139" s="244" t="s">
        <v>6328</v>
      </c>
      <c r="G139" s="244" t="s">
        <v>14</v>
      </c>
      <c r="H139" s="244" t="s">
        <v>6222</v>
      </c>
      <c r="I139" s="244" t="s">
        <v>6199</v>
      </c>
      <c r="J139" s="244"/>
      <c r="K139" s="244" t="s">
        <v>6242</v>
      </c>
      <c r="L139" s="244"/>
      <c r="M139" s="244"/>
      <c r="N139" s="244" t="s">
        <v>5</v>
      </c>
    </row>
    <row r="140">
      <c r="A140" s="270" t="s">
        <v>4441</v>
      </c>
      <c r="B140" s="270">
        <v>16119.0</v>
      </c>
      <c r="C140" s="273">
        <v>22435.0</v>
      </c>
      <c r="D140" s="271">
        <v>44568.0</v>
      </c>
      <c r="E140" s="272">
        <v>0.3854166666666667</v>
      </c>
      <c r="F140" s="244" t="s">
        <v>6328</v>
      </c>
      <c r="G140" s="244" t="s">
        <v>13</v>
      </c>
      <c r="H140" s="244" t="s">
        <v>6212</v>
      </c>
      <c r="I140" s="244" t="s">
        <v>6117</v>
      </c>
      <c r="J140" s="244"/>
      <c r="K140" s="244" t="s">
        <v>6242</v>
      </c>
      <c r="L140" s="244" t="s">
        <v>6242</v>
      </c>
      <c r="M140" s="244"/>
      <c r="N140" s="244" t="s">
        <v>6215</v>
      </c>
    </row>
    <row r="141">
      <c r="A141" s="270" t="s">
        <v>1191</v>
      </c>
      <c r="B141" s="270">
        <v>11931.0</v>
      </c>
      <c r="C141" s="273">
        <v>22360.0</v>
      </c>
      <c r="D141" s="271">
        <v>44568.0</v>
      </c>
      <c r="E141" s="272" t="e">
        <v>#N/A</v>
      </c>
      <c r="F141" s="244" t="s">
        <v>6323</v>
      </c>
      <c r="G141" s="244" t="s">
        <v>13</v>
      </c>
      <c r="H141" s="244" t="e">
        <v>#N/A</v>
      </c>
      <c r="I141" s="244" t="e">
        <v>#N/A</v>
      </c>
      <c r="J141" s="244"/>
      <c r="K141" s="244" t="s">
        <v>6242</v>
      </c>
      <c r="L141" s="244"/>
      <c r="M141" s="244"/>
      <c r="N141" s="244" t="e">
        <v>#N/A</v>
      </c>
    </row>
    <row r="142">
      <c r="A142" s="270" t="s">
        <v>2115</v>
      </c>
      <c r="B142" s="270">
        <v>13283.0</v>
      </c>
      <c r="C142" s="273">
        <v>28196.0</v>
      </c>
      <c r="D142" s="271">
        <v>44568.0</v>
      </c>
      <c r="E142" s="272">
        <v>0.3958333333333333</v>
      </c>
      <c r="F142" s="244" t="s">
        <v>6328</v>
      </c>
      <c r="G142" s="244" t="s">
        <v>15</v>
      </c>
      <c r="H142" s="244" t="s">
        <v>6219</v>
      </c>
      <c r="I142" s="244" t="s">
        <v>6199</v>
      </c>
      <c r="J142" s="244"/>
      <c r="K142" s="244" t="s">
        <v>6242</v>
      </c>
      <c r="L142" s="244" t="s">
        <v>6242</v>
      </c>
      <c r="M142" s="244"/>
      <c r="N142" s="244" t="s">
        <v>6215</v>
      </c>
    </row>
    <row r="143">
      <c r="A143" s="270" t="s">
        <v>913</v>
      </c>
      <c r="B143" s="270">
        <v>11345.0</v>
      </c>
      <c r="C143" s="273">
        <v>23642.0</v>
      </c>
      <c r="D143" s="271">
        <v>44568.0</v>
      </c>
      <c r="E143" s="272" t="e">
        <v>#N/A</v>
      </c>
      <c r="F143" s="244" t="s">
        <v>6328</v>
      </c>
      <c r="G143" s="244" t="s">
        <v>15</v>
      </c>
      <c r="H143" s="244" t="e">
        <v>#N/A</v>
      </c>
      <c r="I143" s="244" t="e">
        <v>#N/A</v>
      </c>
      <c r="J143" s="244"/>
      <c r="K143" s="244" t="s">
        <v>6242</v>
      </c>
      <c r="L143" s="244"/>
      <c r="M143" s="244"/>
      <c r="N143" s="244" t="e">
        <v>#N/A</v>
      </c>
    </row>
    <row r="144">
      <c r="A144" s="270" t="s">
        <v>767</v>
      </c>
      <c r="B144" s="270">
        <v>11012.0</v>
      </c>
      <c r="C144" s="273">
        <v>23539.0</v>
      </c>
      <c r="D144" s="271">
        <v>44568.0</v>
      </c>
      <c r="E144" s="272">
        <v>0.4270833333333333</v>
      </c>
      <c r="F144" s="244" t="s">
        <v>6328</v>
      </c>
      <c r="G144" s="244" t="s">
        <v>14</v>
      </c>
      <c r="H144" s="244" t="s">
        <v>6222</v>
      </c>
      <c r="I144" s="244" t="s">
        <v>6091</v>
      </c>
      <c r="J144" s="244"/>
      <c r="K144" s="244" t="s">
        <v>6242</v>
      </c>
      <c r="L144" s="244" t="s">
        <v>6242</v>
      </c>
      <c r="M144" s="244"/>
      <c r="N144" s="244" t="s">
        <v>6215</v>
      </c>
    </row>
    <row r="145">
      <c r="A145" s="270" t="s">
        <v>2543</v>
      </c>
      <c r="B145" s="270">
        <v>13835.0</v>
      </c>
      <c r="C145" s="273">
        <v>18179.0</v>
      </c>
      <c r="D145" s="271">
        <v>44568.0</v>
      </c>
      <c r="E145" s="272">
        <v>0.4166666666666667</v>
      </c>
      <c r="F145" s="244" t="s">
        <v>6328</v>
      </c>
      <c r="G145" s="244" t="s">
        <v>13</v>
      </c>
      <c r="H145" s="244" t="s">
        <v>6212</v>
      </c>
      <c r="I145" s="244" t="s">
        <v>6199</v>
      </c>
      <c r="J145" s="244"/>
      <c r="K145" s="244" t="s">
        <v>6242</v>
      </c>
      <c r="L145" s="244" t="s">
        <v>6242</v>
      </c>
      <c r="M145" s="244"/>
      <c r="N145" s="244" t="s">
        <v>6215</v>
      </c>
    </row>
    <row r="146">
      <c r="A146" s="270" t="s">
        <v>4491</v>
      </c>
      <c r="B146" s="270">
        <v>16178.0</v>
      </c>
      <c r="C146" s="273">
        <v>16356.0</v>
      </c>
      <c r="D146" s="271">
        <v>44568.0</v>
      </c>
      <c r="E146" s="272">
        <v>0.4479166666666667</v>
      </c>
      <c r="F146" s="244" t="s">
        <v>6323</v>
      </c>
      <c r="G146" s="244" t="s">
        <v>15</v>
      </c>
      <c r="H146" s="244" t="s">
        <v>6219</v>
      </c>
      <c r="I146" s="244" t="s">
        <v>6137</v>
      </c>
      <c r="J146" s="244"/>
      <c r="K146" s="244" t="s">
        <v>6242</v>
      </c>
      <c r="L146" s="244" t="s">
        <v>6242</v>
      </c>
      <c r="M146" s="244"/>
      <c r="N146" s="244" t="s">
        <v>6215</v>
      </c>
    </row>
    <row r="147">
      <c r="A147" s="270" t="s">
        <v>1180</v>
      </c>
      <c r="B147" s="270">
        <v>11903.0</v>
      </c>
      <c r="C147" s="273">
        <v>21184.0</v>
      </c>
      <c r="D147" s="271">
        <v>44568.0</v>
      </c>
      <c r="E147" s="272">
        <v>0.4166666666666667</v>
      </c>
      <c r="F147" s="244" t="s">
        <v>6323</v>
      </c>
      <c r="G147" s="244" t="s">
        <v>14</v>
      </c>
      <c r="H147" s="244" t="s">
        <v>6222</v>
      </c>
      <c r="I147" s="244" t="s">
        <v>6089</v>
      </c>
      <c r="J147" s="244"/>
      <c r="K147" s="244" t="s">
        <v>6242</v>
      </c>
      <c r="L147" s="244" t="s">
        <v>6242</v>
      </c>
      <c r="M147" s="244"/>
      <c r="N147" s="244" t="s">
        <v>6215</v>
      </c>
    </row>
    <row r="148">
      <c r="A148" s="270" t="s">
        <v>2747</v>
      </c>
      <c r="B148" s="270">
        <v>14103.0</v>
      </c>
      <c r="C148" s="273">
        <v>16960.0</v>
      </c>
      <c r="D148" s="271">
        <v>44568.0</v>
      </c>
      <c r="E148" s="272">
        <v>0.4375</v>
      </c>
      <c r="F148" s="244" t="s">
        <v>6328</v>
      </c>
      <c r="G148" s="244" t="s">
        <v>14</v>
      </c>
      <c r="H148" s="244" t="s">
        <v>6222</v>
      </c>
      <c r="I148" s="244" t="s">
        <v>6199</v>
      </c>
      <c r="J148" s="244"/>
      <c r="K148" s="244" t="s">
        <v>6242</v>
      </c>
      <c r="L148" s="244"/>
      <c r="M148" s="244"/>
      <c r="N148" s="244" t="s">
        <v>5</v>
      </c>
    </row>
    <row r="149">
      <c r="A149" s="270" t="s">
        <v>258</v>
      </c>
      <c r="B149" s="270">
        <v>9683.0</v>
      </c>
      <c r="C149" s="273">
        <v>29811.0</v>
      </c>
      <c r="D149" s="271">
        <v>44568.0</v>
      </c>
      <c r="E149" s="272" t="e">
        <v>#N/A</v>
      </c>
      <c r="F149" s="244" t="s">
        <v>6328</v>
      </c>
      <c r="G149" s="244" t="s">
        <v>15</v>
      </c>
      <c r="H149" s="244" t="e">
        <v>#N/A</v>
      </c>
      <c r="I149" s="244" t="e">
        <v>#N/A</v>
      </c>
      <c r="J149" s="244"/>
      <c r="K149" s="244" t="s">
        <v>6242</v>
      </c>
      <c r="L149" s="244"/>
      <c r="M149" s="244"/>
      <c r="N149" s="244" t="e">
        <v>#N/A</v>
      </c>
    </row>
    <row r="150">
      <c r="A150" s="270" t="s">
        <v>1788</v>
      </c>
      <c r="B150" s="270">
        <v>12879.0</v>
      </c>
      <c r="C150" s="273">
        <v>20311.0</v>
      </c>
      <c r="D150" s="271">
        <v>44568.0</v>
      </c>
      <c r="E150" s="272" t="e">
        <v>#N/A</v>
      </c>
      <c r="F150" s="244" t="s">
        <v>6328</v>
      </c>
      <c r="G150" s="244" t="s">
        <v>14</v>
      </c>
      <c r="H150" s="244" t="e">
        <v>#N/A</v>
      </c>
      <c r="I150" s="244" t="e">
        <v>#N/A</v>
      </c>
      <c r="J150" s="244"/>
      <c r="K150" s="244" t="s">
        <v>6242</v>
      </c>
      <c r="L150" s="244"/>
      <c r="M150" s="244"/>
      <c r="N150" s="244" t="e">
        <v>#N/A</v>
      </c>
    </row>
    <row r="151">
      <c r="A151" s="270" t="s">
        <v>2765</v>
      </c>
      <c r="B151" s="270">
        <v>14126.0</v>
      </c>
      <c r="C151" s="273">
        <v>18823.0</v>
      </c>
      <c r="D151" s="271">
        <v>44568.0</v>
      </c>
      <c r="E151" s="272">
        <v>0.4479166666666667</v>
      </c>
      <c r="F151" s="244" t="s">
        <v>6328</v>
      </c>
      <c r="G151" s="244" t="s">
        <v>13</v>
      </c>
      <c r="H151" s="244" t="s">
        <v>6212</v>
      </c>
      <c r="I151" s="244" t="s">
        <v>6199</v>
      </c>
      <c r="J151" s="244"/>
      <c r="K151" s="244" t="s">
        <v>6242</v>
      </c>
      <c r="L151" s="244" t="s">
        <v>6242</v>
      </c>
      <c r="M151" s="244"/>
      <c r="N151" s="244" t="s">
        <v>6215</v>
      </c>
    </row>
    <row r="152">
      <c r="A152" s="270" t="s">
        <v>818</v>
      </c>
      <c r="B152" s="270">
        <v>11116.0</v>
      </c>
      <c r="C152" s="273">
        <v>17610.0</v>
      </c>
      <c r="D152" s="271">
        <v>44568.0</v>
      </c>
      <c r="E152" s="272">
        <v>0.4375</v>
      </c>
      <c r="F152" s="244" t="s">
        <v>6328</v>
      </c>
      <c r="G152" s="244" t="s">
        <v>14</v>
      </c>
      <c r="H152" s="244" t="s">
        <v>6222</v>
      </c>
      <c r="I152" s="244" t="s">
        <v>6137</v>
      </c>
      <c r="J152" s="244"/>
      <c r="K152" s="244" t="s">
        <v>6242</v>
      </c>
      <c r="L152" s="244" t="s">
        <v>6242</v>
      </c>
      <c r="M152" s="244"/>
      <c r="N152" s="244" t="s">
        <v>6215</v>
      </c>
    </row>
    <row r="153">
      <c r="A153" s="270" t="s">
        <v>4986</v>
      </c>
      <c r="B153" s="270">
        <v>16818.0</v>
      </c>
      <c r="C153" s="273">
        <v>19668.0</v>
      </c>
      <c r="D153" s="271">
        <v>44568.0</v>
      </c>
      <c r="E153" s="272">
        <v>0.4583333333333333</v>
      </c>
      <c r="F153" s="244" t="s">
        <v>6323</v>
      </c>
      <c r="G153" s="244" t="s">
        <v>13</v>
      </c>
      <c r="H153" s="244" t="s">
        <v>6212</v>
      </c>
      <c r="I153" s="244" t="s">
        <v>6161</v>
      </c>
      <c r="J153" s="244"/>
      <c r="K153" s="244" t="s">
        <v>6242</v>
      </c>
      <c r="L153" s="244"/>
      <c r="M153" s="244"/>
      <c r="N153" s="244" t="s">
        <v>5</v>
      </c>
    </row>
    <row r="154">
      <c r="A154" s="270" t="s">
        <v>995</v>
      </c>
      <c r="B154" s="270">
        <v>11523.0</v>
      </c>
      <c r="C154" s="273">
        <v>16133.0</v>
      </c>
      <c r="D154" s="271">
        <v>44568.0</v>
      </c>
      <c r="E154" s="272">
        <v>0.4270833333333333</v>
      </c>
      <c r="F154" s="244" t="s">
        <v>6328</v>
      </c>
      <c r="G154" s="244" t="s">
        <v>15</v>
      </c>
      <c r="H154" s="244" t="s">
        <v>6219</v>
      </c>
      <c r="I154" s="244" t="s">
        <v>6094</v>
      </c>
      <c r="J154" s="244"/>
      <c r="K154" s="244" t="s">
        <v>6242</v>
      </c>
      <c r="L154" s="244"/>
      <c r="M154" s="244"/>
      <c r="N154" s="244" t="s">
        <v>5</v>
      </c>
    </row>
    <row r="155">
      <c r="A155" s="270" t="s">
        <v>4446</v>
      </c>
      <c r="B155" s="270">
        <v>16124.0</v>
      </c>
      <c r="C155" s="273">
        <v>16746.0</v>
      </c>
      <c r="D155" s="271">
        <v>44568.0</v>
      </c>
      <c r="E155" s="272" t="e">
        <v>#N/A</v>
      </c>
      <c r="F155" s="244" t="s">
        <v>6328</v>
      </c>
      <c r="G155" s="244" t="s">
        <v>15</v>
      </c>
      <c r="H155" s="244" t="e">
        <v>#N/A</v>
      </c>
      <c r="I155" s="244" t="e">
        <v>#N/A</v>
      </c>
      <c r="J155" s="244"/>
      <c r="K155" s="244" t="s">
        <v>6242</v>
      </c>
      <c r="L155" s="244"/>
      <c r="M155" s="244"/>
      <c r="N155" s="244" t="e">
        <v>#N/A</v>
      </c>
    </row>
    <row r="156">
      <c r="A156" s="270" t="s">
        <v>3358</v>
      </c>
      <c r="B156" s="270">
        <v>14858.0</v>
      </c>
      <c r="C156" s="273">
        <v>33442.0</v>
      </c>
      <c r="D156" s="271">
        <v>44568.0</v>
      </c>
      <c r="E156" s="272">
        <v>0.5416666666666666</v>
      </c>
      <c r="F156" s="244" t="s">
        <v>6328</v>
      </c>
      <c r="G156" s="244" t="s">
        <v>14</v>
      </c>
      <c r="H156" s="244" t="s">
        <v>6222</v>
      </c>
      <c r="I156" s="244" t="s">
        <v>6091</v>
      </c>
      <c r="J156" s="244"/>
      <c r="K156" s="244" t="s">
        <v>6242</v>
      </c>
      <c r="L156" s="244"/>
      <c r="M156" s="244"/>
      <c r="N156" s="244" t="s">
        <v>5</v>
      </c>
    </row>
    <row r="157">
      <c r="A157" s="270" t="s">
        <v>304</v>
      </c>
      <c r="B157" s="270">
        <v>9813.0</v>
      </c>
      <c r="C157" s="273">
        <v>19008.0</v>
      </c>
      <c r="D157" s="271">
        <v>44568.0</v>
      </c>
      <c r="E157" s="272">
        <v>0.5520833333333334</v>
      </c>
      <c r="F157" s="244" t="s">
        <v>6328</v>
      </c>
      <c r="G157" s="244" t="s">
        <v>14</v>
      </c>
      <c r="H157" s="244" t="s">
        <v>6219</v>
      </c>
      <c r="I157" s="244" t="s">
        <v>6117</v>
      </c>
      <c r="J157" s="244"/>
      <c r="K157" s="244" t="s">
        <v>6242</v>
      </c>
      <c r="L157" s="244"/>
      <c r="M157" s="244"/>
      <c r="N157" s="244" t="s">
        <v>5</v>
      </c>
    </row>
    <row r="158">
      <c r="A158" s="270" t="s">
        <v>2123</v>
      </c>
      <c r="B158" s="270">
        <v>13293.0</v>
      </c>
      <c r="C158" s="273">
        <v>30806.0</v>
      </c>
      <c r="D158" s="271">
        <v>44568.0</v>
      </c>
      <c r="E158" s="272" t="e">
        <v>#N/A</v>
      </c>
      <c r="F158" s="244" t="s">
        <v>6323</v>
      </c>
      <c r="G158" s="244" t="s">
        <v>15</v>
      </c>
      <c r="H158" s="244" t="e">
        <v>#N/A</v>
      </c>
      <c r="I158" s="244" t="e">
        <v>#N/A</v>
      </c>
      <c r="J158" s="244"/>
      <c r="K158" s="244" t="s">
        <v>6242</v>
      </c>
      <c r="L158" s="244"/>
      <c r="M158" s="244"/>
      <c r="N158" s="244" t="e">
        <v>#N/A</v>
      </c>
    </row>
    <row r="159">
      <c r="A159" s="270" t="s">
        <v>135</v>
      </c>
      <c r="B159" s="270">
        <v>9300.0</v>
      </c>
      <c r="C159" s="273">
        <v>32377.0</v>
      </c>
      <c r="D159" s="271">
        <v>44568.0</v>
      </c>
      <c r="E159" s="272" t="e">
        <v>#N/A</v>
      </c>
      <c r="F159" s="244" t="s">
        <v>6323</v>
      </c>
      <c r="G159" s="244" t="s">
        <v>14</v>
      </c>
      <c r="H159" s="244" t="e">
        <v>#N/A</v>
      </c>
      <c r="I159" s="244" t="e">
        <v>#N/A</v>
      </c>
      <c r="J159" s="244"/>
      <c r="K159" s="244"/>
      <c r="L159" s="244"/>
      <c r="M159" s="244"/>
      <c r="N159" s="244" t="e">
        <v>#N/A</v>
      </c>
    </row>
    <row r="160">
      <c r="A160" s="270" t="s">
        <v>5467</v>
      </c>
      <c r="B160" s="270">
        <v>17432.0</v>
      </c>
      <c r="C160" s="273">
        <v>28960.0</v>
      </c>
      <c r="D160" s="271">
        <v>44568.0</v>
      </c>
      <c r="E160" s="272">
        <v>0.59375</v>
      </c>
      <c r="F160" s="244" t="s">
        <v>6328</v>
      </c>
      <c r="G160" s="244" t="s">
        <v>13</v>
      </c>
      <c r="H160" s="244" t="s">
        <v>6212</v>
      </c>
      <c r="I160" s="244" t="s">
        <v>6146</v>
      </c>
      <c r="J160" s="244"/>
      <c r="K160" s="244" t="s">
        <v>6242</v>
      </c>
      <c r="L160" s="244" t="s">
        <v>6242</v>
      </c>
      <c r="M160" s="244"/>
      <c r="N160" s="244" t="s">
        <v>6215</v>
      </c>
    </row>
    <row r="161">
      <c r="A161" s="270" t="s">
        <v>5498</v>
      </c>
      <c r="B161" s="270">
        <v>17470.0</v>
      </c>
      <c r="C161" s="273">
        <v>34674.0</v>
      </c>
      <c r="D161" s="271">
        <v>44568.0</v>
      </c>
      <c r="E161" s="272">
        <v>0.625</v>
      </c>
      <c r="F161" s="244" t="s">
        <v>6328</v>
      </c>
      <c r="G161" s="244" t="s">
        <v>14</v>
      </c>
      <c r="H161" s="244" t="s">
        <v>6222</v>
      </c>
      <c r="I161" s="244" t="s">
        <v>6126</v>
      </c>
      <c r="J161" s="244"/>
      <c r="K161" s="244" t="s">
        <v>6341</v>
      </c>
      <c r="L161" s="244" t="s">
        <v>6341</v>
      </c>
      <c r="M161" s="244"/>
      <c r="N161" s="244" t="s">
        <v>6215</v>
      </c>
    </row>
    <row r="162">
      <c r="A162" s="270" t="s">
        <v>1564</v>
      </c>
      <c r="B162" s="270">
        <v>12597.0</v>
      </c>
      <c r="C162" s="273">
        <v>30610.0</v>
      </c>
      <c r="D162" s="271">
        <v>44568.0</v>
      </c>
      <c r="E162" s="272">
        <v>0.6354166666666666</v>
      </c>
      <c r="F162" s="244" t="s">
        <v>6328</v>
      </c>
      <c r="G162" s="244" t="s">
        <v>14</v>
      </c>
      <c r="H162" s="244" t="s">
        <v>6222</v>
      </c>
      <c r="I162" s="244" t="s">
        <v>6101</v>
      </c>
      <c r="J162" s="244"/>
      <c r="K162" s="244" t="s">
        <v>6242</v>
      </c>
      <c r="L162" s="244"/>
      <c r="M162" s="244"/>
      <c r="N162" s="244" t="s">
        <v>5</v>
      </c>
    </row>
    <row r="163">
      <c r="A163" s="270" t="s">
        <v>1578</v>
      </c>
      <c r="B163" s="270">
        <v>12617.0</v>
      </c>
      <c r="C163" s="273">
        <v>25468.0</v>
      </c>
      <c r="D163" s="271">
        <v>44568.0</v>
      </c>
      <c r="E163" s="272">
        <v>0.6458333333333334</v>
      </c>
      <c r="F163" s="244" t="s">
        <v>6328</v>
      </c>
      <c r="G163" s="244" t="s">
        <v>14</v>
      </c>
      <c r="H163" s="244" t="s">
        <v>6222</v>
      </c>
      <c r="I163" s="244" t="s">
        <v>6199</v>
      </c>
      <c r="J163" s="244"/>
      <c r="K163" s="244" t="s">
        <v>6242</v>
      </c>
      <c r="L163" s="244"/>
      <c r="M163" s="244"/>
      <c r="N163" s="244" t="s">
        <v>5</v>
      </c>
    </row>
    <row r="164">
      <c r="A164" s="270" t="s">
        <v>4948</v>
      </c>
      <c r="B164" s="270">
        <v>16773.0</v>
      </c>
      <c r="C164" s="273">
        <v>13956.0</v>
      </c>
      <c r="D164" s="271">
        <v>44568.0</v>
      </c>
      <c r="E164" s="272" t="e">
        <v>#N/A</v>
      </c>
      <c r="F164" s="244" t="s">
        <v>6323</v>
      </c>
      <c r="G164" s="244" t="s">
        <v>15</v>
      </c>
      <c r="H164" s="244" t="e">
        <v>#N/A</v>
      </c>
      <c r="I164" s="244" t="e">
        <v>#N/A</v>
      </c>
      <c r="J164" s="244"/>
      <c r="K164" s="244" t="s">
        <v>6242</v>
      </c>
      <c r="L164" s="244"/>
      <c r="M164" s="244"/>
      <c r="N164" s="244" t="e">
        <v>#N/A</v>
      </c>
    </row>
    <row r="165">
      <c r="A165" s="270" t="s">
        <v>3663</v>
      </c>
      <c r="B165" s="270">
        <v>15227.0</v>
      </c>
      <c r="C165" s="273">
        <v>27243.0</v>
      </c>
      <c r="D165" s="271">
        <v>44568.0</v>
      </c>
      <c r="E165" s="272" t="e">
        <v>#N/A</v>
      </c>
      <c r="F165" s="244" t="s">
        <v>6323</v>
      </c>
      <c r="G165" s="244" t="s">
        <v>15</v>
      </c>
      <c r="H165" s="244" t="e">
        <v>#N/A</v>
      </c>
      <c r="I165" s="244" t="e">
        <v>#N/A</v>
      </c>
      <c r="J165" s="244"/>
      <c r="K165" s="244" t="s">
        <v>6242</v>
      </c>
      <c r="L165" s="244"/>
      <c r="M165" s="244"/>
      <c r="N165" s="244" t="e">
        <v>#N/A</v>
      </c>
      <c r="O165" s="1">
        <f>COUNTIF(J135:K165,"x")</f>
        <v>30</v>
      </c>
      <c r="P165" s="1">
        <f>O165-(countif(L135:L165,"x"))</f>
        <v>18</v>
      </c>
    </row>
    <row r="166">
      <c r="A166" s="244"/>
      <c r="B166" s="244"/>
      <c r="C166" s="244"/>
      <c r="D166" s="244"/>
      <c r="E166" s="244"/>
      <c r="F166" s="244"/>
      <c r="G166" s="244"/>
      <c r="H166" s="244"/>
      <c r="I166" s="244"/>
      <c r="J166" s="244"/>
      <c r="K166" s="244"/>
      <c r="L166" s="244"/>
      <c r="M166" s="244"/>
      <c r="N166" s="244"/>
    </row>
    <row r="167">
      <c r="A167" s="244" t="s">
        <v>3596</v>
      </c>
      <c r="B167" s="244">
        <v>15146.0</v>
      </c>
      <c r="C167" s="273">
        <v>23030.0</v>
      </c>
      <c r="D167" s="271">
        <v>44571.0</v>
      </c>
      <c r="E167" s="272">
        <v>0.3229166666666667</v>
      </c>
      <c r="F167" s="244" t="s">
        <v>6323</v>
      </c>
      <c r="G167" s="244" t="s">
        <v>12</v>
      </c>
      <c r="H167" s="244" t="s">
        <v>6221</v>
      </c>
      <c r="I167" s="244" t="s">
        <v>6137</v>
      </c>
      <c r="J167" s="244"/>
      <c r="K167" s="244" t="s">
        <v>6242</v>
      </c>
      <c r="L167" s="244"/>
      <c r="M167" s="244"/>
      <c r="N167" s="244" t="s">
        <v>5</v>
      </c>
    </row>
    <row r="168">
      <c r="A168" s="244" t="s">
        <v>3862</v>
      </c>
      <c r="B168" s="244">
        <v>15469.0</v>
      </c>
      <c r="C168" s="273">
        <v>18802.0</v>
      </c>
      <c r="D168" s="271">
        <v>44571.0</v>
      </c>
      <c r="E168" s="272">
        <v>0.3333333333333333</v>
      </c>
      <c r="F168" s="244" t="s">
        <v>6323</v>
      </c>
      <c r="G168" s="244" t="s">
        <v>14</v>
      </c>
      <c r="H168" s="244" t="s">
        <v>6222</v>
      </c>
      <c r="I168" s="244" t="s">
        <v>6158</v>
      </c>
      <c r="J168" s="244"/>
      <c r="K168" s="244" t="s">
        <v>6242</v>
      </c>
      <c r="L168" s="244"/>
      <c r="M168" s="244"/>
      <c r="N168" s="244" t="s">
        <v>5</v>
      </c>
    </row>
    <row r="169">
      <c r="A169" s="244" t="s">
        <v>104</v>
      </c>
      <c r="B169" s="244">
        <v>9245.0</v>
      </c>
      <c r="C169" s="273">
        <v>16580.0</v>
      </c>
      <c r="D169" s="271">
        <v>44571.0</v>
      </c>
      <c r="E169" s="272">
        <v>0.3541666666666667</v>
      </c>
      <c r="F169" s="244" t="s">
        <v>6323</v>
      </c>
      <c r="G169" s="244" t="s">
        <v>14</v>
      </c>
      <c r="H169" s="244" t="s">
        <v>6222</v>
      </c>
      <c r="I169" s="244" t="s">
        <v>6094</v>
      </c>
      <c r="J169" s="244"/>
      <c r="K169" s="244" t="s">
        <v>6242</v>
      </c>
      <c r="L169" s="244"/>
      <c r="M169" s="244"/>
      <c r="N169" s="244" t="s">
        <v>5</v>
      </c>
    </row>
    <row r="170">
      <c r="A170" s="244" t="s">
        <v>3749</v>
      </c>
      <c r="B170" s="244">
        <v>15335.0</v>
      </c>
      <c r="C170" s="273">
        <v>33029.0</v>
      </c>
      <c r="D170" s="271">
        <v>44571.0</v>
      </c>
      <c r="E170" s="272" t="e">
        <v>#N/A</v>
      </c>
      <c r="F170" s="244" t="s">
        <v>6323</v>
      </c>
      <c r="G170" s="244" t="s">
        <v>14</v>
      </c>
      <c r="H170" s="244" t="e">
        <v>#N/A</v>
      </c>
      <c r="I170" s="244" t="e">
        <v>#N/A</v>
      </c>
      <c r="J170" s="244"/>
      <c r="K170" s="244" t="s">
        <v>6242</v>
      </c>
      <c r="L170" s="244"/>
      <c r="M170" s="244"/>
      <c r="N170" s="244" t="e">
        <v>#N/A</v>
      </c>
    </row>
    <row r="171">
      <c r="A171" s="244" t="s">
        <v>2832</v>
      </c>
      <c r="B171" s="244">
        <v>14219.0</v>
      </c>
      <c r="C171" s="273">
        <v>24977.0</v>
      </c>
      <c r="D171" s="271">
        <v>44571.0</v>
      </c>
      <c r="E171" s="272">
        <v>0.3541666666666667</v>
      </c>
      <c r="F171" s="244" t="s">
        <v>6328</v>
      </c>
      <c r="G171" s="244" t="s">
        <v>15</v>
      </c>
      <c r="H171" s="244" t="s">
        <v>6219</v>
      </c>
      <c r="I171" s="244" t="s">
        <v>6091</v>
      </c>
      <c r="J171" s="244"/>
      <c r="K171" s="244" t="s">
        <v>6242</v>
      </c>
      <c r="L171" s="244"/>
      <c r="M171" s="244"/>
      <c r="N171" s="244" t="s">
        <v>5</v>
      </c>
    </row>
    <row r="172">
      <c r="A172" s="244" t="s">
        <v>3971</v>
      </c>
      <c r="B172" s="244">
        <v>15593.0</v>
      </c>
      <c r="C172" s="273">
        <v>26161.0</v>
      </c>
      <c r="D172" s="271">
        <v>44571.0</v>
      </c>
      <c r="E172" s="272">
        <v>0.3645833333333333</v>
      </c>
      <c r="F172" s="244" t="s">
        <v>6323</v>
      </c>
      <c r="G172" s="244" t="s">
        <v>15</v>
      </c>
      <c r="H172" s="244" t="s">
        <v>6219</v>
      </c>
      <c r="I172" s="244" t="s">
        <v>6089</v>
      </c>
      <c r="J172" s="244"/>
      <c r="K172" s="244" t="s">
        <v>6242</v>
      </c>
      <c r="L172" s="244"/>
      <c r="M172" s="244"/>
      <c r="N172" s="244" t="s">
        <v>5</v>
      </c>
    </row>
    <row r="173">
      <c r="A173" s="244" t="s">
        <v>4077</v>
      </c>
      <c r="B173" s="244">
        <v>12148.0</v>
      </c>
      <c r="C173" s="273">
        <v>19436.0</v>
      </c>
      <c r="D173" s="271">
        <v>44571.0</v>
      </c>
      <c r="E173" s="272" t="e">
        <v>#N/A</v>
      </c>
      <c r="F173" s="244" t="s">
        <v>6328</v>
      </c>
      <c r="G173" s="244" t="s">
        <v>15</v>
      </c>
      <c r="H173" s="244" t="e">
        <v>#N/A</v>
      </c>
      <c r="I173" s="244" t="e">
        <v>#N/A</v>
      </c>
      <c r="J173" s="244"/>
      <c r="K173" s="244" t="s">
        <v>6242</v>
      </c>
      <c r="L173" s="244"/>
      <c r="M173" s="244"/>
      <c r="N173" s="244" t="e">
        <v>#N/A</v>
      </c>
    </row>
    <row r="174">
      <c r="A174" s="244" t="s">
        <v>437</v>
      </c>
      <c r="B174" s="244">
        <v>10160.0</v>
      </c>
      <c r="C174" s="273">
        <v>21263.0</v>
      </c>
      <c r="D174" s="271">
        <v>44571.0</v>
      </c>
      <c r="E174" s="272">
        <v>0.40625</v>
      </c>
      <c r="F174" s="244" t="s">
        <v>6328</v>
      </c>
      <c r="G174" s="244" t="s">
        <v>14</v>
      </c>
      <c r="H174" s="244" t="s">
        <v>6222</v>
      </c>
      <c r="I174" s="244" t="s">
        <v>6091</v>
      </c>
      <c r="J174" s="244"/>
      <c r="K174" s="244" t="s">
        <v>6242</v>
      </c>
      <c r="L174" s="244" t="s">
        <v>6242</v>
      </c>
      <c r="M174" s="244"/>
      <c r="N174" s="244" t="s">
        <v>6215</v>
      </c>
    </row>
    <row r="175">
      <c r="A175" s="244" t="s">
        <v>326</v>
      </c>
      <c r="B175" s="244">
        <v>9862.0</v>
      </c>
      <c r="C175" s="273">
        <v>18805.0</v>
      </c>
      <c r="D175" s="271">
        <v>44571.0</v>
      </c>
      <c r="E175" s="272">
        <v>0.4166666666666667</v>
      </c>
      <c r="F175" s="244" t="s">
        <v>6328</v>
      </c>
      <c r="G175" s="244" t="s">
        <v>14</v>
      </c>
      <c r="H175" s="244" t="s">
        <v>6222</v>
      </c>
      <c r="I175" s="244" t="s">
        <v>6199</v>
      </c>
      <c r="J175" s="244"/>
      <c r="K175" s="244" t="s">
        <v>6242</v>
      </c>
      <c r="L175" s="244" t="s">
        <v>6242</v>
      </c>
      <c r="M175" s="244"/>
      <c r="N175" s="244" t="s">
        <v>6215</v>
      </c>
    </row>
    <row r="176">
      <c r="A176" s="244" t="s">
        <v>4117</v>
      </c>
      <c r="B176" s="244">
        <v>15750.0</v>
      </c>
      <c r="C176" s="273">
        <v>19538.0</v>
      </c>
      <c r="D176" s="271">
        <v>44571.0</v>
      </c>
      <c r="E176" s="272">
        <v>0.3854166666666667</v>
      </c>
      <c r="F176" s="244" t="s">
        <v>6328</v>
      </c>
      <c r="G176" s="244" t="s">
        <v>15</v>
      </c>
      <c r="H176" s="244" t="s">
        <v>6222</v>
      </c>
      <c r="I176" s="244" t="s">
        <v>6199</v>
      </c>
      <c r="J176" s="244"/>
      <c r="K176" s="244" t="s">
        <v>6242</v>
      </c>
      <c r="L176" s="244"/>
      <c r="M176" s="244"/>
      <c r="N176" s="244" t="s">
        <v>5</v>
      </c>
    </row>
    <row r="177">
      <c r="A177" s="244" t="s">
        <v>119</v>
      </c>
      <c r="B177" s="244">
        <v>9263.0</v>
      </c>
      <c r="C177" s="273">
        <v>14169.0</v>
      </c>
      <c r="D177" s="271">
        <v>44571.0</v>
      </c>
      <c r="E177" s="272">
        <v>0.4583333333333333</v>
      </c>
      <c r="F177" s="244" t="s">
        <v>6323</v>
      </c>
      <c r="G177" s="244" t="s">
        <v>12</v>
      </c>
      <c r="H177" s="244" t="s">
        <v>6221</v>
      </c>
      <c r="I177" s="244" t="s">
        <v>6137</v>
      </c>
      <c r="J177" s="244"/>
      <c r="K177" s="244" t="s">
        <v>6242</v>
      </c>
      <c r="L177" s="244"/>
      <c r="M177" s="244"/>
      <c r="N177" s="244" t="s">
        <v>5</v>
      </c>
    </row>
    <row r="178">
      <c r="A178" s="244" t="s">
        <v>385</v>
      </c>
      <c r="B178" s="244">
        <v>10036.0</v>
      </c>
      <c r="C178" s="273">
        <v>25546.0</v>
      </c>
      <c r="D178" s="271">
        <v>44571.0</v>
      </c>
      <c r="E178" s="272">
        <v>0.375</v>
      </c>
      <c r="F178" s="244" t="s">
        <v>6323</v>
      </c>
      <c r="G178" s="244" t="s">
        <v>15</v>
      </c>
      <c r="H178" s="244" t="s">
        <v>6219</v>
      </c>
      <c r="I178" s="244" t="s">
        <v>6199</v>
      </c>
      <c r="J178" s="244"/>
      <c r="K178" s="244"/>
      <c r="L178" s="244"/>
      <c r="M178" s="244"/>
      <c r="N178" s="244" t="s">
        <v>5</v>
      </c>
      <c r="O178" s="1">
        <f>COUNTIF(J167:K178,"x")</f>
        <v>11</v>
      </c>
      <c r="P178" s="1">
        <f>O178-(countif(L167:L178,"x"))</f>
        <v>9</v>
      </c>
    </row>
    <row r="179">
      <c r="A179" s="244"/>
      <c r="B179" s="244"/>
      <c r="C179" s="244"/>
      <c r="D179" s="244"/>
      <c r="E179" s="244"/>
      <c r="F179" s="244"/>
      <c r="G179" s="244"/>
      <c r="H179" s="244"/>
      <c r="I179" s="244"/>
      <c r="J179" s="244"/>
      <c r="K179" s="244"/>
      <c r="L179" s="244"/>
      <c r="M179" s="244"/>
      <c r="N179" s="244"/>
    </row>
    <row r="180">
      <c r="A180" s="244" t="s">
        <v>175</v>
      </c>
      <c r="B180" s="244">
        <v>9466.0</v>
      </c>
      <c r="C180" s="273">
        <v>14634.0</v>
      </c>
      <c r="D180" s="271">
        <v>44572.0</v>
      </c>
      <c r="E180" s="272">
        <v>0.3333333333333333</v>
      </c>
      <c r="F180" s="244" t="s">
        <v>6323</v>
      </c>
      <c r="G180" s="244" t="s">
        <v>12</v>
      </c>
      <c r="H180" s="244" t="s">
        <v>6221</v>
      </c>
      <c r="I180" s="244" t="s">
        <v>6137</v>
      </c>
      <c r="J180" s="244"/>
      <c r="K180" s="244" t="s">
        <v>6242</v>
      </c>
      <c r="L180" s="244"/>
      <c r="M180" s="244"/>
      <c r="N180" s="244" t="s">
        <v>5</v>
      </c>
    </row>
    <row r="181">
      <c r="A181" s="244" t="s">
        <v>5222</v>
      </c>
      <c r="B181" s="244">
        <v>17119.0</v>
      </c>
      <c r="C181" s="273">
        <v>22189.0</v>
      </c>
      <c r="D181" s="271">
        <v>44572.0</v>
      </c>
      <c r="E181" s="272">
        <v>0.3645833333333333</v>
      </c>
      <c r="F181" s="244" t="s">
        <v>6323</v>
      </c>
      <c r="G181" s="244" t="s">
        <v>14</v>
      </c>
      <c r="H181" s="244" t="s">
        <v>6222</v>
      </c>
      <c r="I181" s="244" t="s">
        <v>6154</v>
      </c>
      <c r="J181" s="244"/>
      <c r="K181" s="244" t="s">
        <v>6242</v>
      </c>
      <c r="L181" s="244"/>
      <c r="M181" s="244"/>
      <c r="N181" s="244" t="s">
        <v>5</v>
      </c>
    </row>
    <row r="182">
      <c r="A182" s="244" t="s">
        <v>1368</v>
      </c>
      <c r="B182" s="244">
        <v>12289.0</v>
      </c>
      <c r="C182" s="273">
        <v>15105.0</v>
      </c>
      <c r="D182" s="271">
        <v>44572.0</v>
      </c>
      <c r="E182" s="272">
        <v>0.3333333333333333</v>
      </c>
      <c r="F182" s="244" t="s">
        <v>6328</v>
      </c>
      <c r="G182" s="244" t="s">
        <v>15</v>
      </c>
      <c r="H182" s="244" t="s">
        <v>6219</v>
      </c>
      <c r="I182" s="244" t="s">
        <v>6137</v>
      </c>
      <c r="J182" s="244"/>
      <c r="K182" s="244" t="s">
        <v>6242</v>
      </c>
      <c r="L182" s="244"/>
      <c r="M182" s="244"/>
      <c r="N182" s="244" t="s">
        <v>5</v>
      </c>
    </row>
    <row r="183">
      <c r="A183" s="244" t="s">
        <v>661</v>
      </c>
      <c r="B183" s="244">
        <v>10732.0</v>
      </c>
      <c r="C183" s="273">
        <v>22198.0</v>
      </c>
      <c r="D183" s="271">
        <v>44572.0</v>
      </c>
      <c r="E183" s="272">
        <v>0.40625</v>
      </c>
      <c r="F183" s="244" t="s">
        <v>6323</v>
      </c>
      <c r="G183" s="244" t="s">
        <v>15</v>
      </c>
      <c r="H183" s="244" t="s">
        <v>6219</v>
      </c>
      <c r="I183" s="244" t="s">
        <v>6091</v>
      </c>
      <c r="J183" s="244"/>
      <c r="K183" s="244" t="s">
        <v>6242</v>
      </c>
      <c r="L183" s="244"/>
      <c r="M183" s="244"/>
      <c r="N183" s="244" t="s">
        <v>5</v>
      </c>
    </row>
    <row r="184">
      <c r="A184" s="244" t="s">
        <v>3595</v>
      </c>
      <c r="B184" s="244">
        <v>15145.0</v>
      </c>
      <c r="C184" s="273">
        <v>18524.0</v>
      </c>
      <c r="D184" s="271">
        <v>44572.0</v>
      </c>
      <c r="E184" s="272">
        <v>0.375</v>
      </c>
      <c r="F184" s="244" t="s">
        <v>6328</v>
      </c>
      <c r="G184" s="244" t="s">
        <v>14</v>
      </c>
      <c r="H184" s="244" t="s">
        <v>6222</v>
      </c>
      <c r="I184" s="244" t="s">
        <v>6199</v>
      </c>
      <c r="J184" s="244"/>
      <c r="K184" s="244" t="s">
        <v>6242</v>
      </c>
      <c r="L184" s="244"/>
      <c r="M184" s="244"/>
      <c r="N184" s="244" t="s">
        <v>6215</v>
      </c>
    </row>
    <row r="185">
      <c r="A185" s="244" t="s">
        <v>680</v>
      </c>
      <c r="B185" s="244">
        <v>10768.0</v>
      </c>
      <c r="C185" s="273">
        <v>19517.0</v>
      </c>
      <c r="D185" s="271">
        <v>44572.0</v>
      </c>
      <c r="E185" s="272">
        <v>0.4166666666666667</v>
      </c>
      <c r="F185" s="244" t="s">
        <v>6323</v>
      </c>
      <c r="G185" s="244" t="s">
        <v>15</v>
      </c>
      <c r="H185" s="244" t="s">
        <v>6219</v>
      </c>
      <c r="I185" s="244" t="s">
        <v>6117</v>
      </c>
      <c r="J185" s="244"/>
      <c r="K185" s="244" t="s">
        <v>6242</v>
      </c>
      <c r="L185" s="244" t="s">
        <v>6242</v>
      </c>
      <c r="M185" s="244"/>
      <c r="N185" s="244" t="s">
        <v>6215</v>
      </c>
    </row>
    <row r="186">
      <c r="A186" s="244" t="s">
        <v>2424</v>
      </c>
      <c r="B186" s="244">
        <v>13680.0</v>
      </c>
      <c r="C186" s="273">
        <v>26459.0</v>
      </c>
      <c r="D186" s="271">
        <v>44572.0</v>
      </c>
      <c r="E186" s="272">
        <v>0.4375</v>
      </c>
      <c r="F186" s="244" t="s">
        <v>6323</v>
      </c>
      <c r="G186" s="244" t="s">
        <v>15</v>
      </c>
      <c r="H186" s="244" t="s">
        <v>6219</v>
      </c>
      <c r="I186" s="244" t="s">
        <v>6199</v>
      </c>
      <c r="J186" s="244"/>
      <c r="K186" s="244" t="s">
        <v>6242</v>
      </c>
      <c r="L186" s="244"/>
      <c r="M186" s="244"/>
      <c r="N186" s="244" t="s">
        <v>5</v>
      </c>
    </row>
    <row r="187">
      <c r="A187" s="244" t="s">
        <v>4429</v>
      </c>
      <c r="B187" s="244">
        <v>16106.0</v>
      </c>
      <c r="C187" s="273">
        <v>23484.0</v>
      </c>
      <c r="D187" s="271">
        <v>44572.0</v>
      </c>
      <c r="E187" s="272">
        <v>0.4375</v>
      </c>
      <c r="F187" s="244" t="s">
        <v>6323</v>
      </c>
      <c r="G187" s="244" t="s">
        <v>14</v>
      </c>
      <c r="H187" s="244" t="s">
        <v>6222</v>
      </c>
      <c r="I187" s="244" t="s">
        <v>6137</v>
      </c>
      <c r="J187" s="244"/>
      <c r="K187" s="244" t="s">
        <v>6242</v>
      </c>
      <c r="L187" s="244"/>
      <c r="M187" s="244"/>
      <c r="N187" s="244" t="s">
        <v>5</v>
      </c>
    </row>
    <row r="188">
      <c r="A188" s="244" t="s">
        <v>4084</v>
      </c>
      <c r="B188" s="244">
        <v>15716.0</v>
      </c>
      <c r="C188" s="273">
        <v>22638.0</v>
      </c>
      <c r="D188" s="271">
        <v>44572.0</v>
      </c>
      <c r="E188" s="272">
        <v>0.5416666666666666</v>
      </c>
      <c r="F188" s="244" t="s">
        <v>6328</v>
      </c>
      <c r="G188" s="244" t="s">
        <v>15</v>
      </c>
      <c r="H188" s="244" t="s">
        <v>6219</v>
      </c>
      <c r="I188" s="244" t="s">
        <v>6199</v>
      </c>
      <c r="J188" s="244"/>
      <c r="K188" s="244" t="s">
        <v>6242</v>
      </c>
      <c r="L188" s="244"/>
      <c r="M188" s="244"/>
      <c r="N188" s="244" t="s">
        <v>5</v>
      </c>
    </row>
    <row r="189">
      <c r="A189" s="244" t="s">
        <v>3209</v>
      </c>
      <c r="B189" s="244">
        <v>14682.0</v>
      </c>
      <c r="C189" s="273">
        <v>33997.0</v>
      </c>
      <c r="D189" s="271">
        <v>44572.0</v>
      </c>
      <c r="E189" s="272">
        <v>0.5416666666666666</v>
      </c>
      <c r="F189" s="244" t="s">
        <v>6323</v>
      </c>
      <c r="G189" s="244" t="s">
        <v>15</v>
      </c>
      <c r="H189" s="244" t="s">
        <v>6222</v>
      </c>
      <c r="I189" s="244" t="s">
        <v>6137</v>
      </c>
      <c r="J189" s="244"/>
      <c r="K189" s="244" t="s">
        <v>6242</v>
      </c>
      <c r="L189" s="244" t="s">
        <v>6242</v>
      </c>
      <c r="M189" s="244"/>
      <c r="N189" s="244" t="s">
        <v>6215</v>
      </c>
    </row>
    <row r="190">
      <c r="A190" s="244" t="s">
        <v>2582</v>
      </c>
      <c r="B190" s="244">
        <v>13885.0</v>
      </c>
      <c r="C190" s="273">
        <v>22542.0</v>
      </c>
      <c r="D190" s="271">
        <v>44572.0</v>
      </c>
      <c r="E190" s="272">
        <v>0.5625</v>
      </c>
      <c r="F190" s="244" t="s">
        <v>6323</v>
      </c>
      <c r="G190" s="244" t="s">
        <v>15</v>
      </c>
      <c r="H190" s="244" t="s">
        <v>6219</v>
      </c>
      <c r="I190" s="244" t="s">
        <v>6089</v>
      </c>
      <c r="J190" s="244"/>
      <c r="K190" s="244" t="s">
        <v>6242</v>
      </c>
      <c r="L190" s="244"/>
      <c r="M190" s="244"/>
      <c r="N190" s="244" t="s">
        <v>5</v>
      </c>
    </row>
    <row r="191">
      <c r="A191" s="244" t="s">
        <v>3980</v>
      </c>
      <c r="B191" s="244">
        <v>15603.0</v>
      </c>
      <c r="C191" s="273">
        <v>21691.0</v>
      </c>
      <c r="D191" s="271">
        <v>44572.0</v>
      </c>
      <c r="E191" s="272">
        <v>0.5520833333333334</v>
      </c>
      <c r="F191" s="244" t="s">
        <v>6323</v>
      </c>
      <c r="G191" s="244" t="s">
        <v>14</v>
      </c>
      <c r="H191" s="244" t="s">
        <v>6222</v>
      </c>
      <c r="I191" s="244" t="s">
        <v>6159</v>
      </c>
      <c r="J191" s="244"/>
      <c r="K191" s="244" t="s">
        <v>6242</v>
      </c>
      <c r="L191" s="244"/>
      <c r="M191" s="244"/>
      <c r="N191" s="244" t="s">
        <v>5</v>
      </c>
    </row>
    <row r="192">
      <c r="A192" s="244" t="s">
        <v>2222</v>
      </c>
      <c r="B192" s="244">
        <v>13432.0</v>
      </c>
      <c r="C192" s="273">
        <v>26678.0</v>
      </c>
      <c r="D192" s="271">
        <v>44572.0</v>
      </c>
      <c r="E192" s="272">
        <v>0.5729166666666666</v>
      </c>
      <c r="F192" s="244" t="s">
        <v>6323</v>
      </c>
      <c r="G192" s="244" t="s">
        <v>13</v>
      </c>
      <c r="H192" s="244" t="s">
        <v>6219</v>
      </c>
      <c r="I192" s="244" t="s">
        <v>6146</v>
      </c>
      <c r="J192" s="244"/>
      <c r="K192" s="244" t="s">
        <v>6242</v>
      </c>
      <c r="L192" s="244" t="s">
        <v>6242</v>
      </c>
      <c r="M192" s="244"/>
      <c r="N192" s="244" t="s">
        <v>6215</v>
      </c>
    </row>
    <row r="193">
      <c r="A193" s="244" t="s">
        <v>4489</v>
      </c>
      <c r="B193" s="244">
        <v>16176.0</v>
      </c>
      <c r="C193" s="273">
        <v>24766.0</v>
      </c>
      <c r="D193" s="271">
        <v>44572.0</v>
      </c>
      <c r="E193" s="272">
        <v>0.6041666666666666</v>
      </c>
      <c r="F193" s="244" t="s">
        <v>6323</v>
      </c>
      <c r="G193" s="244" t="s">
        <v>13</v>
      </c>
      <c r="H193" s="244" t="s">
        <v>6219</v>
      </c>
      <c r="I193" s="244" t="s">
        <v>6091</v>
      </c>
      <c r="J193" s="244"/>
      <c r="K193" s="244" t="s">
        <v>6242</v>
      </c>
      <c r="L193" s="244" t="s">
        <v>6242</v>
      </c>
      <c r="M193" s="244"/>
      <c r="N193" s="244" t="s">
        <v>6215</v>
      </c>
    </row>
    <row r="194">
      <c r="A194" s="244" t="s">
        <v>4973</v>
      </c>
      <c r="B194" s="244">
        <v>16803.0</v>
      </c>
      <c r="C194" s="273">
        <v>13461.0</v>
      </c>
      <c r="D194" s="271">
        <v>44572.0</v>
      </c>
      <c r="E194" s="272" t="e">
        <v>#N/A</v>
      </c>
      <c r="F194" s="244" t="s">
        <v>6323</v>
      </c>
      <c r="G194" s="244" t="s">
        <v>14</v>
      </c>
      <c r="H194" s="244" t="e">
        <v>#N/A</v>
      </c>
      <c r="I194" s="244" t="e">
        <v>#N/A</v>
      </c>
      <c r="J194" s="244"/>
      <c r="K194" s="244" t="s">
        <v>6242</v>
      </c>
      <c r="L194" s="244"/>
      <c r="M194" s="244"/>
      <c r="N194" s="244" t="e">
        <v>#N/A</v>
      </c>
    </row>
    <row r="195">
      <c r="A195" s="244" t="s">
        <v>4135</v>
      </c>
      <c r="B195" s="244">
        <v>15771.0</v>
      </c>
      <c r="C195" s="273">
        <v>19858.0</v>
      </c>
      <c r="D195" s="271">
        <v>44572.0</v>
      </c>
      <c r="E195" s="272">
        <v>0.6458333333333334</v>
      </c>
      <c r="F195" s="244" t="s">
        <v>6328</v>
      </c>
      <c r="G195" s="244" t="s">
        <v>14</v>
      </c>
      <c r="H195" s="244" t="s">
        <v>6222</v>
      </c>
      <c r="I195" s="244" t="s">
        <v>6084</v>
      </c>
      <c r="J195" s="244"/>
      <c r="K195" s="244" t="s">
        <v>6242</v>
      </c>
      <c r="L195" s="244" t="s">
        <v>6242</v>
      </c>
      <c r="M195" s="244"/>
      <c r="N195" s="244" t="s">
        <v>6215</v>
      </c>
    </row>
    <row r="196">
      <c r="A196" s="244" t="s">
        <v>1481</v>
      </c>
      <c r="B196" s="244">
        <v>12469.0</v>
      </c>
      <c r="C196" s="273">
        <v>16911.0</v>
      </c>
      <c r="D196" s="271">
        <v>44572.0</v>
      </c>
      <c r="E196" s="272">
        <v>0.6458333333333334</v>
      </c>
      <c r="F196" s="244" t="s">
        <v>6323</v>
      </c>
      <c r="G196" s="244" t="s">
        <v>14</v>
      </c>
      <c r="H196" s="244" t="s">
        <v>6219</v>
      </c>
      <c r="I196" s="244" t="s">
        <v>6186</v>
      </c>
      <c r="J196" s="244"/>
      <c r="K196" s="244" t="s">
        <v>6242</v>
      </c>
      <c r="L196" s="244"/>
      <c r="M196" s="244"/>
      <c r="N196" s="244" t="s">
        <v>5</v>
      </c>
      <c r="O196" s="1">
        <f>COUNTIF(J180:K196,"x")</f>
        <v>17</v>
      </c>
      <c r="P196" s="1">
        <f>O196-(countif(L180:L196,"x"))</f>
        <v>12</v>
      </c>
    </row>
    <row r="197">
      <c r="A197" s="244"/>
      <c r="B197" s="244"/>
      <c r="C197" s="244"/>
      <c r="D197" s="244"/>
      <c r="E197" s="244"/>
      <c r="F197" s="244"/>
      <c r="G197" s="244"/>
      <c r="H197" s="244"/>
      <c r="I197" s="244"/>
      <c r="J197" s="244"/>
      <c r="K197" s="244"/>
      <c r="L197" s="244"/>
      <c r="M197" s="244"/>
      <c r="N197" s="244"/>
    </row>
    <row r="198">
      <c r="A198" s="244" t="s">
        <v>3940</v>
      </c>
      <c r="B198" s="244">
        <v>15555.0</v>
      </c>
      <c r="C198" s="273">
        <v>20542.0</v>
      </c>
      <c r="D198" s="271">
        <v>44573.0</v>
      </c>
      <c r="E198" s="272">
        <v>0.3125</v>
      </c>
      <c r="F198" s="244" t="s">
        <v>6323</v>
      </c>
      <c r="G198" s="244" t="s">
        <v>12</v>
      </c>
      <c r="H198" s="244" t="s">
        <v>6221</v>
      </c>
      <c r="I198" s="244" t="s">
        <v>6137</v>
      </c>
      <c r="J198" s="244"/>
      <c r="K198" s="244" t="s">
        <v>6242</v>
      </c>
      <c r="L198" s="244"/>
      <c r="M198" s="244"/>
      <c r="N198" s="244" t="s">
        <v>5</v>
      </c>
    </row>
    <row r="199">
      <c r="A199" s="244" t="s">
        <v>987</v>
      </c>
      <c r="B199" s="244">
        <v>11511.0</v>
      </c>
      <c r="C199" s="273">
        <v>29821.0</v>
      </c>
      <c r="D199" s="271">
        <v>44573.0</v>
      </c>
      <c r="E199" s="272">
        <v>0.3541666666666667</v>
      </c>
      <c r="F199" s="244" t="s">
        <v>6328</v>
      </c>
      <c r="G199" s="244" t="s">
        <v>14</v>
      </c>
      <c r="H199" s="244" t="s">
        <v>6222</v>
      </c>
      <c r="I199" s="244" t="s">
        <v>6082</v>
      </c>
      <c r="J199" s="244"/>
      <c r="K199" s="244" t="s">
        <v>6242</v>
      </c>
      <c r="L199" s="244"/>
      <c r="M199" s="244"/>
      <c r="N199" s="244" t="s">
        <v>5</v>
      </c>
    </row>
    <row r="200">
      <c r="A200" s="244" t="s">
        <v>3395</v>
      </c>
      <c r="B200" s="244">
        <v>14901.0</v>
      </c>
      <c r="C200" s="273">
        <v>21206.0</v>
      </c>
      <c r="D200" s="271">
        <v>44573.0</v>
      </c>
      <c r="E200" s="272">
        <v>0.3541666666666667</v>
      </c>
      <c r="F200" s="244" t="s">
        <v>6323</v>
      </c>
      <c r="G200" s="244" t="s">
        <v>15</v>
      </c>
      <c r="H200" s="244" t="s">
        <v>6219</v>
      </c>
      <c r="I200" s="244" t="s">
        <v>6124</v>
      </c>
      <c r="J200" s="244"/>
      <c r="K200" s="244" t="s">
        <v>6242</v>
      </c>
      <c r="L200" s="244"/>
      <c r="M200" s="244"/>
      <c r="N200" s="244" t="s">
        <v>5</v>
      </c>
    </row>
    <row r="201">
      <c r="A201" s="244" t="s">
        <v>5547</v>
      </c>
      <c r="B201" s="244">
        <v>17542.0</v>
      </c>
      <c r="C201" s="273">
        <v>20417.0</v>
      </c>
      <c r="D201" s="271">
        <v>44573.0</v>
      </c>
      <c r="E201" s="272">
        <v>0.3541666666666667</v>
      </c>
      <c r="F201" s="244" t="s">
        <v>6323</v>
      </c>
      <c r="G201" s="244" t="s">
        <v>15</v>
      </c>
      <c r="H201" s="244" t="s">
        <v>6219</v>
      </c>
      <c r="I201" s="244" t="s">
        <v>6117</v>
      </c>
      <c r="J201" s="244"/>
      <c r="K201" s="244" t="s">
        <v>6242</v>
      </c>
      <c r="L201" s="244" t="s">
        <v>6242</v>
      </c>
      <c r="M201" s="244"/>
      <c r="N201" s="244" t="s">
        <v>6215</v>
      </c>
    </row>
    <row r="202">
      <c r="A202" s="244" t="s">
        <v>2820</v>
      </c>
      <c r="B202" s="244">
        <v>14200.0</v>
      </c>
      <c r="C202" s="273">
        <v>25722.0</v>
      </c>
      <c r="D202" s="271">
        <v>44573.0</v>
      </c>
      <c r="E202" s="272">
        <v>0.34375</v>
      </c>
      <c r="F202" s="244" t="s">
        <v>6323</v>
      </c>
      <c r="G202" s="244" t="s">
        <v>15</v>
      </c>
      <c r="H202" s="244" t="s">
        <v>6219</v>
      </c>
      <c r="I202" s="244" t="s">
        <v>6117</v>
      </c>
      <c r="J202" s="244"/>
      <c r="K202" s="244" t="s">
        <v>6242</v>
      </c>
      <c r="L202" s="244"/>
      <c r="M202" s="244"/>
      <c r="N202" s="244" t="s">
        <v>5</v>
      </c>
    </row>
    <row r="203">
      <c r="A203" s="244" t="s">
        <v>4151</v>
      </c>
      <c r="B203" s="244">
        <v>15791.0</v>
      </c>
      <c r="C203" s="273">
        <v>21098.0</v>
      </c>
      <c r="D203" s="271">
        <v>44573.0</v>
      </c>
      <c r="E203" s="272">
        <v>0.3958333333333333</v>
      </c>
      <c r="F203" s="244" t="s">
        <v>6323</v>
      </c>
      <c r="G203" s="244" t="s">
        <v>14</v>
      </c>
      <c r="H203" s="244" t="s">
        <v>6222</v>
      </c>
      <c r="I203" s="244" t="s">
        <v>6091</v>
      </c>
      <c r="J203" s="244"/>
      <c r="K203" s="244" t="s">
        <v>6242</v>
      </c>
      <c r="L203" s="244"/>
      <c r="M203" s="244"/>
      <c r="N203" s="244" t="s">
        <v>5</v>
      </c>
    </row>
    <row r="204">
      <c r="A204" s="244" t="s">
        <v>5973</v>
      </c>
      <c r="B204" s="244">
        <v>17834.0</v>
      </c>
      <c r="C204" s="273">
        <v>10266.0</v>
      </c>
      <c r="D204" s="271">
        <v>44573.0</v>
      </c>
      <c r="E204" s="272">
        <v>0.3958333333333333</v>
      </c>
      <c r="F204" s="244" t="s">
        <v>6328</v>
      </c>
      <c r="G204" s="244" t="s">
        <v>12</v>
      </c>
      <c r="H204" s="244" t="s">
        <v>6221</v>
      </c>
      <c r="I204" s="244" t="s">
        <v>6137</v>
      </c>
      <c r="J204" s="244" t="s">
        <v>6242</v>
      </c>
      <c r="K204" s="244"/>
      <c r="L204" s="244"/>
      <c r="M204" s="244"/>
      <c r="N204" s="244" t="s">
        <v>6213</v>
      </c>
    </row>
    <row r="205">
      <c r="A205" s="244" t="s">
        <v>778</v>
      </c>
      <c r="B205" s="244">
        <v>11036.0</v>
      </c>
      <c r="C205" s="273">
        <v>18515.0</v>
      </c>
      <c r="D205" s="271">
        <v>44573.0</v>
      </c>
      <c r="E205" s="272">
        <v>0.4166666666666667</v>
      </c>
      <c r="F205" s="244" t="s">
        <v>6328</v>
      </c>
      <c r="G205" s="244" t="s">
        <v>14</v>
      </c>
      <c r="H205" s="244" t="s">
        <v>6222</v>
      </c>
      <c r="I205" s="244" t="s">
        <v>6084</v>
      </c>
      <c r="J205" s="244"/>
      <c r="K205" s="244" t="s">
        <v>6242</v>
      </c>
      <c r="L205" s="244"/>
      <c r="M205" s="244"/>
      <c r="N205" s="244" t="s">
        <v>5</v>
      </c>
    </row>
    <row r="206">
      <c r="A206" s="244" t="s">
        <v>1329</v>
      </c>
      <c r="B206" s="244">
        <v>12220.0</v>
      </c>
      <c r="C206" s="273">
        <v>14923.0</v>
      </c>
      <c r="D206" s="271">
        <v>44573.0</v>
      </c>
      <c r="E206" s="272">
        <v>0.3958333333333333</v>
      </c>
      <c r="F206" s="244" t="s">
        <v>6328</v>
      </c>
      <c r="G206" s="244" t="s">
        <v>15</v>
      </c>
      <c r="H206" s="244" t="s">
        <v>6219</v>
      </c>
      <c r="I206" s="244" t="s">
        <v>6095</v>
      </c>
      <c r="J206" s="244"/>
      <c r="K206" s="244" t="s">
        <v>6242</v>
      </c>
      <c r="L206" s="244"/>
      <c r="M206" s="244"/>
      <c r="N206" s="244" t="s">
        <v>5</v>
      </c>
    </row>
    <row r="207">
      <c r="A207" s="244" t="s">
        <v>900</v>
      </c>
      <c r="B207" s="244">
        <v>11303.0</v>
      </c>
      <c r="C207" s="273">
        <v>17223.0</v>
      </c>
      <c r="D207" s="271">
        <v>44573.0</v>
      </c>
      <c r="E207" s="272">
        <v>0.4166666666666667</v>
      </c>
      <c r="F207" s="244" t="s">
        <v>6328</v>
      </c>
      <c r="G207" s="244" t="s">
        <v>14</v>
      </c>
      <c r="H207" s="244" t="s">
        <v>6222</v>
      </c>
      <c r="I207" s="244" t="s">
        <v>6199</v>
      </c>
      <c r="J207" s="244"/>
      <c r="K207" s="244" t="s">
        <v>6242</v>
      </c>
      <c r="L207" s="244" t="s">
        <v>6242</v>
      </c>
      <c r="M207" s="244"/>
      <c r="N207" s="244" t="s">
        <v>6215</v>
      </c>
    </row>
    <row r="208">
      <c r="A208" s="244" t="s">
        <v>1028</v>
      </c>
      <c r="B208" s="244">
        <v>11619.0</v>
      </c>
      <c r="C208" s="273">
        <v>29756.0</v>
      </c>
      <c r="D208" s="271">
        <v>44573.0</v>
      </c>
      <c r="E208" s="272">
        <v>0.4270833333333333</v>
      </c>
      <c r="F208" s="244" t="s">
        <v>6328</v>
      </c>
      <c r="G208" s="244" t="s">
        <v>15</v>
      </c>
      <c r="H208" s="244" t="s">
        <v>6219</v>
      </c>
      <c r="I208" s="244" t="s">
        <v>6084</v>
      </c>
      <c r="J208" s="244"/>
      <c r="K208" s="244" t="s">
        <v>6242</v>
      </c>
      <c r="L208" s="244"/>
      <c r="M208" s="244"/>
      <c r="N208" s="244" t="s">
        <v>5</v>
      </c>
    </row>
    <row r="209">
      <c r="A209" s="244" t="s">
        <v>2711</v>
      </c>
      <c r="B209" s="244">
        <v>14063.0</v>
      </c>
      <c r="C209" s="273">
        <v>22822.0</v>
      </c>
      <c r="D209" s="271">
        <v>44573.0</v>
      </c>
      <c r="E209" s="272">
        <v>0.3958333333333333</v>
      </c>
      <c r="F209" s="244" t="s">
        <v>6328</v>
      </c>
      <c r="G209" s="244" t="s">
        <v>15</v>
      </c>
      <c r="H209" s="244" t="s">
        <v>6219</v>
      </c>
      <c r="I209" s="244" t="s">
        <v>6199</v>
      </c>
      <c r="J209" s="244"/>
      <c r="K209" s="244" t="s">
        <v>6242</v>
      </c>
      <c r="L209" s="244"/>
      <c r="M209" s="244"/>
      <c r="N209" s="244" t="s">
        <v>5</v>
      </c>
    </row>
    <row r="210">
      <c r="A210" s="244" t="s">
        <v>2097</v>
      </c>
      <c r="B210" s="244">
        <v>13260.0</v>
      </c>
      <c r="C210" s="273">
        <v>22127.0</v>
      </c>
      <c r="D210" s="271">
        <v>44573.0</v>
      </c>
      <c r="E210" s="272">
        <v>0.4375</v>
      </c>
      <c r="F210" s="244" t="s">
        <v>6323</v>
      </c>
      <c r="G210" s="244" t="s">
        <v>15</v>
      </c>
      <c r="H210" s="244" t="s">
        <v>6219</v>
      </c>
      <c r="I210" s="244" t="s">
        <v>6186</v>
      </c>
      <c r="J210" s="244"/>
      <c r="K210" s="244" t="s">
        <v>6242</v>
      </c>
      <c r="L210" s="244"/>
      <c r="M210" s="244"/>
      <c r="N210" s="244" t="s">
        <v>5</v>
      </c>
    </row>
    <row r="211">
      <c r="A211" s="244" t="s">
        <v>274</v>
      </c>
      <c r="B211" s="244">
        <v>9726.0</v>
      </c>
      <c r="C211" s="273">
        <v>23374.0</v>
      </c>
      <c r="D211" s="271">
        <v>44573.0</v>
      </c>
      <c r="E211" s="272" t="e">
        <v>#N/A</v>
      </c>
      <c r="F211" s="244" t="s">
        <v>6328</v>
      </c>
      <c r="G211" s="244" t="s">
        <v>15</v>
      </c>
      <c r="H211" s="244" t="e">
        <v>#N/A</v>
      </c>
      <c r="I211" s="244" t="e">
        <v>#N/A</v>
      </c>
      <c r="J211" s="244"/>
      <c r="K211" s="244" t="s">
        <v>6242</v>
      </c>
      <c r="L211" s="244"/>
      <c r="M211" s="244"/>
      <c r="N211" s="244" t="e">
        <v>#N/A</v>
      </c>
    </row>
    <row r="212">
      <c r="A212" s="244" t="s">
        <v>631</v>
      </c>
      <c r="B212" s="244">
        <v>10662.0</v>
      </c>
      <c r="C212" s="273">
        <v>18416.0</v>
      </c>
      <c r="D212" s="271">
        <v>44573.0</v>
      </c>
      <c r="E212" s="272">
        <v>0.4375</v>
      </c>
      <c r="F212" s="244" t="s">
        <v>6328</v>
      </c>
      <c r="G212" s="244" t="s">
        <v>14</v>
      </c>
      <c r="H212" s="244" t="s">
        <v>6222</v>
      </c>
      <c r="I212" s="244" t="s">
        <v>6199</v>
      </c>
      <c r="J212" s="244"/>
      <c r="K212" s="244" t="s">
        <v>6242</v>
      </c>
      <c r="L212" s="244"/>
      <c r="M212" s="244"/>
      <c r="N212" s="244" t="s">
        <v>5</v>
      </c>
    </row>
    <row r="213">
      <c r="A213" s="244" t="s">
        <v>1357</v>
      </c>
      <c r="B213" s="244">
        <v>12275.0</v>
      </c>
      <c r="C213" s="273">
        <v>14237.0</v>
      </c>
      <c r="D213" s="271">
        <v>44573.0</v>
      </c>
      <c r="E213" s="272" t="e">
        <v>#N/A</v>
      </c>
      <c r="F213" s="244" t="s">
        <v>6328</v>
      </c>
      <c r="G213" s="244" t="s">
        <v>14</v>
      </c>
      <c r="H213" s="244" t="e">
        <v>#N/A</v>
      </c>
      <c r="I213" s="244" t="e">
        <v>#N/A</v>
      </c>
      <c r="J213" s="244"/>
      <c r="K213" s="244" t="s">
        <v>6242</v>
      </c>
      <c r="L213" s="244" t="s">
        <v>6242</v>
      </c>
      <c r="M213" s="244"/>
      <c r="N213" s="244" t="e">
        <v>#N/A</v>
      </c>
    </row>
    <row r="214">
      <c r="A214" s="244" t="s">
        <v>5980</v>
      </c>
      <c r="B214" s="244">
        <v>17872.0</v>
      </c>
      <c r="C214" s="273">
        <v>11312.0</v>
      </c>
      <c r="D214" s="271">
        <v>44573.0</v>
      </c>
      <c r="E214" s="272" t="e">
        <v>#N/A</v>
      </c>
      <c r="F214" s="244" t="s">
        <v>6323</v>
      </c>
      <c r="G214" s="244" t="s">
        <v>12</v>
      </c>
      <c r="H214" s="244" t="e">
        <v>#N/A</v>
      </c>
      <c r="I214" s="244" t="e">
        <v>#N/A</v>
      </c>
      <c r="J214" s="244"/>
      <c r="K214" s="244" t="s">
        <v>6242</v>
      </c>
      <c r="L214" s="244"/>
      <c r="M214" s="244"/>
      <c r="N214" s="244" t="e">
        <v>#N/A</v>
      </c>
    </row>
    <row r="215">
      <c r="A215" s="244" t="s">
        <v>1905</v>
      </c>
      <c r="B215" s="244">
        <v>13019.0</v>
      </c>
      <c r="C215" s="273">
        <v>20401.0</v>
      </c>
      <c r="D215" s="271">
        <v>44573.0</v>
      </c>
      <c r="E215" s="272">
        <v>0.5416666666666666</v>
      </c>
      <c r="F215" s="244" t="s">
        <v>6328</v>
      </c>
      <c r="G215" s="244" t="s">
        <v>15</v>
      </c>
      <c r="H215" s="244" t="s">
        <v>6222</v>
      </c>
      <c r="I215" s="244" t="s">
        <v>6158</v>
      </c>
      <c r="J215" s="244"/>
      <c r="K215" s="244" t="s">
        <v>6242</v>
      </c>
      <c r="L215" s="244"/>
      <c r="M215" s="244"/>
      <c r="N215" s="244" t="s">
        <v>5</v>
      </c>
    </row>
    <row r="216">
      <c r="A216" s="244" t="s">
        <v>806</v>
      </c>
      <c r="B216" s="244">
        <v>11088.0</v>
      </c>
      <c r="C216" s="273">
        <v>14999.0</v>
      </c>
      <c r="D216" s="271">
        <v>44573.0</v>
      </c>
      <c r="E216" s="272">
        <v>0.5625</v>
      </c>
      <c r="F216" s="244" t="s">
        <v>6323</v>
      </c>
      <c r="G216" s="244" t="s">
        <v>15</v>
      </c>
      <c r="H216" s="244" t="s">
        <v>6222</v>
      </c>
      <c r="I216" s="244" t="s">
        <v>6186</v>
      </c>
      <c r="J216" s="244"/>
      <c r="K216" s="244" t="s">
        <v>6242</v>
      </c>
      <c r="L216" s="244" t="s">
        <v>6242</v>
      </c>
      <c r="M216" s="244"/>
      <c r="N216" s="244" t="s">
        <v>6215</v>
      </c>
    </row>
    <row r="217">
      <c r="A217" s="244" t="s">
        <v>1116</v>
      </c>
      <c r="B217" s="244">
        <v>11792.0</v>
      </c>
      <c r="C217" s="273">
        <v>20872.0</v>
      </c>
      <c r="D217" s="271">
        <v>44573.0</v>
      </c>
      <c r="E217" s="272">
        <v>0.34375</v>
      </c>
      <c r="F217" s="244" t="s">
        <v>6323</v>
      </c>
      <c r="G217" s="244" t="s">
        <v>12</v>
      </c>
      <c r="H217" s="244" t="s">
        <v>6221</v>
      </c>
      <c r="I217" s="244" t="s">
        <v>6137</v>
      </c>
      <c r="J217" s="244"/>
      <c r="K217" s="244" t="s">
        <v>6242</v>
      </c>
      <c r="L217" s="244"/>
      <c r="M217" s="244"/>
      <c r="N217" s="244" t="s">
        <v>5</v>
      </c>
    </row>
    <row r="218">
      <c r="A218" s="244" t="s">
        <v>1659</v>
      </c>
      <c r="B218" s="244">
        <v>12724.0</v>
      </c>
      <c r="C218" s="273">
        <v>25314.0</v>
      </c>
      <c r="D218" s="271">
        <v>44573.0</v>
      </c>
      <c r="E218" s="272">
        <v>0.5833333333333334</v>
      </c>
      <c r="F218" s="244" t="s">
        <v>6328</v>
      </c>
      <c r="G218" s="244" t="s">
        <v>15</v>
      </c>
      <c r="H218" s="244" t="s">
        <v>6222</v>
      </c>
      <c r="I218" s="244" t="s">
        <v>6148</v>
      </c>
      <c r="J218" s="244"/>
      <c r="K218" s="244" t="s">
        <v>6242</v>
      </c>
      <c r="L218" s="244" t="s">
        <v>6242</v>
      </c>
      <c r="M218" s="244"/>
      <c r="N218" s="244" t="s">
        <v>6215</v>
      </c>
    </row>
    <row r="219">
      <c r="A219" s="244" t="s">
        <v>2040</v>
      </c>
      <c r="B219" s="244">
        <v>13187.0</v>
      </c>
      <c r="C219" s="273">
        <v>20156.0</v>
      </c>
      <c r="D219" s="271">
        <v>44573.0</v>
      </c>
      <c r="E219" s="272">
        <v>0.5416666666666666</v>
      </c>
      <c r="F219" s="244" t="s">
        <v>6323</v>
      </c>
      <c r="G219" s="244" t="s">
        <v>14</v>
      </c>
      <c r="H219" s="244" t="s">
        <v>6219</v>
      </c>
      <c r="I219" s="244" t="s">
        <v>6105</v>
      </c>
      <c r="J219" s="244"/>
      <c r="K219" s="244" t="s">
        <v>6242</v>
      </c>
      <c r="L219" s="244" t="s">
        <v>6242</v>
      </c>
      <c r="M219" s="244"/>
      <c r="N219" s="244" t="s">
        <v>6215</v>
      </c>
    </row>
    <row r="220">
      <c r="A220" s="244" t="s">
        <v>2789</v>
      </c>
      <c r="B220" s="244">
        <v>14159.0</v>
      </c>
      <c r="C220" s="273">
        <v>31274.0</v>
      </c>
      <c r="D220" s="271">
        <v>44573.0</v>
      </c>
      <c r="E220" s="272">
        <v>0.6145833333333334</v>
      </c>
      <c r="F220" s="244" t="s">
        <v>6323</v>
      </c>
      <c r="G220" s="244" t="s">
        <v>14</v>
      </c>
      <c r="H220" s="244" t="s">
        <v>6222</v>
      </c>
      <c r="I220" s="244" t="s">
        <v>6199</v>
      </c>
      <c r="J220" s="244"/>
      <c r="K220" s="244" t="s">
        <v>6242</v>
      </c>
      <c r="L220" s="244"/>
      <c r="M220" s="244"/>
      <c r="N220" s="244" t="s">
        <v>5</v>
      </c>
    </row>
    <row r="221">
      <c r="A221" s="244" t="s">
        <v>4038</v>
      </c>
      <c r="B221" s="244">
        <v>15667.0</v>
      </c>
      <c r="C221" s="273">
        <v>28612.0</v>
      </c>
      <c r="D221" s="271">
        <v>44573.0</v>
      </c>
      <c r="E221" s="272">
        <v>0.625</v>
      </c>
      <c r="F221" s="244" t="s">
        <v>6323</v>
      </c>
      <c r="G221" s="244" t="s">
        <v>14</v>
      </c>
      <c r="H221" s="244" t="s">
        <v>6222</v>
      </c>
      <c r="I221" s="244" t="s">
        <v>6126</v>
      </c>
      <c r="J221" s="244"/>
      <c r="K221" s="244" t="s">
        <v>6242</v>
      </c>
      <c r="L221" s="244" t="s">
        <v>6242</v>
      </c>
      <c r="M221" s="244"/>
      <c r="N221" s="244" t="s">
        <v>6215</v>
      </c>
    </row>
    <row r="222">
      <c r="A222" s="244" t="s">
        <v>4162</v>
      </c>
      <c r="B222" s="244">
        <v>15802.0</v>
      </c>
      <c r="C222" s="273">
        <v>14014.0</v>
      </c>
      <c r="D222" s="271">
        <v>44573.0</v>
      </c>
      <c r="E222" s="272">
        <v>0.625</v>
      </c>
      <c r="F222" s="244" t="s">
        <v>6328</v>
      </c>
      <c r="G222" s="244" t="s">
        <v>15</v>
      </c>
      <c r="H222" s="244" t="s">
        <v>6219</v>
      </c>
      <c r="I222" s="244" t="s">
        <v>6137</v>
      </c>
      <c r="J222" s="244"/>
      <c r="K222" s="244" t="s">
        <v>6242</v>
      </c>
      <c r="L222" s="244" t="s">
        <v>6242</v>
      </c>
      <c r="M222" s="244"/>
      <c r="N222" s="244" t="s">
        <v>6215</v>
      </c>
    </row>
    <row r="223">
      <c r="A223" s="244" t="s">
        <v>363</v>
      </c>
      <c r="B223" s="244">
        <v>9987.0</v>
      </c>
      <c r="C223" s="273">
        <v>25661.0</v>
      </c>
      <c r="D223" s="271">
        <v>44573.0</v>
      </c>
      <c r="E223" s="272">
        <v>0.625</v>
      </c>
      <c r="F223" s="244" t="s">
        <v>6323</v>
      </c>
      <c r="G223" s="244" t="s">
        <v>14</v>
      </c>
      <c r="H223" s="244" t="s">
        <v>6222</v>
      </c>
      <c r="I223" s="244" t="s">
        <v>6117</v>
      </c>
      <c r="J223" s="244"/>
      <c r="K223" s="244" t="s">
        <v>6242</v>
      </c>
      <c r="L223" s="244"/>
      <c r="M223" s="244"/>
      <c r="N223" s="244" t="s">
        <v>5</v>
      </c>
    </row>
    <row r="224">
      <c r="A224" s="244" t="s">
        <v>5753</v>
      </c>
      <c r="B224" s="244">
        <v>16856.0</v>
      </c>
      <c r="C224" s="273">
        <v>12796.0</v>
      </c>
      <c r="D224" s="271">
        <v>44573.0</v>
      </c>
      <c r="E224" s="272">
        <v>0.6458333333333334</v>
      </c>
      <c r="F224" s="244" t="s">
        <v>6323</v>
      </c>
      <c r="G224" s="244" t="s">
        <v>15</v>
      </c>
      <c r="H224" s="244" t="s">
        <v>6219</v>
      </c>
      <c r="I224" s="244" t="s">
        <v>6137</v>
      </c>
      <c r="J224" s="244"/>
      <c r="K224" s="244" t="s">
        <v>6242</v>
      </c>
      <c r="L224" s="244"/>
      <c r="M224" s="244"/>
      <c r="N224" s="244" t="s">
        <v>5</v>
      </c>
    </row>
    <row r="225">
      <c r="A225" s="244"/>
      <c r="B225" s="244"/>
      <c r="C225" s="244"/>
      <c r="D225" s="244"/>
      <c r="E225" s="244"/>
      <c r="F225" s="244"/>
      <c r="G225" s="244"/>
      <c r="H225" s="244"/>
      <c r="I225" s="244"/>
      <c r="J225" s="244"/>
      <c r="K225" s="244"/>
      <c r="L225" s="244"/>
      <c r="M225" s="244"/>
      <c r="N225" s="244"/>
    </row>
    <row r="226">
      <c r="A226" s="244" t="s">
        <v>1146</v>
      </c>
      <c r="B226" s="244">
        <v>11852.0</v>
      </c>
      <c r="C226" s="273">
        <v>12931.0</v>
      </c>
      <c r="D226" s="271">
        <v>44574.0</v>
      </c>
      <c r="E226" s="272">
        <v>0.3333333333333333</v>
      </c>
      <c r="F226" s="244" t="s">
        <v>6323</v>
      </c>
      <c r="G226" s="244" t="s">
        <v>14</v>
      </c>
      <c r="H226" s="244" t="s">
        <v>6222</v>
      </c>
      <c r="I226" s="244" t="s">
        <v>6094</v>
      </c>
      <c r="J226" s="244"/>
      <c r="K226" s="244" t="s">
        <v>6242</v>
      </c>
      <c r="L226" s="244"/>
      <c r="M226" s="244"/>
      <c r="N226" s="244" t="s">
        <v>5</v>
      </c>
    </row>
    <row r="227">
      <c r="A227" s="244" t="s">
        <v>346</v>
      </c>
      <c r="B227" s="244">
        <v>9938.0</v>
      </c>
      <c r="C227" s="273">
        <v>25985.0</v>
      </c>
      <c r="D227" s="271">
        <v>44574.0</v>
      </c>
      <c r="E227" s="272">
        <v>0.34375</v>
      </c>
      <c r="F227" s="244" t="s">
        <v>6328</v>
      </c>
      <c r="G227" s="244" t="s">
        <v>14</v>
      </c>
      <c r="H227" s="244" t="s">
        <v>6222</v>
      </c>
      <c r="I227" s="244" t="s">
        <v>6082</v>
      </c>
      <c r="J227" s="244"/>
      <c r="K227" s="244" t="s">
        <v>6242</v>
      </c>
      <c r="L227" s="244"/>
      <c r="M227" s="244"/>
      <c r="N227" s="244" t="s">
        <v>5</v>
      </c>
    </row>
    <row r="228">
      <c r="A228" s="244" t="s">
        <v>187</v>
      </c>
      <c r="B228" s="244">
        <v>9493.0</v>
      </c>
      <c r="C228" s="273">
        <v>20636.0</v>
      </c>
      <c r="D228" s="271">
        <v>44574.0</v>
      </c>
      <c r="E228" s="272">
        <v>0.375</v>
      </c>
      <c r="F228" s="244" t="s">
        <v>6328</v>
      </c>
      <c r="G228" s="244" t="s">
        <v>14</v>
      </c>
      <c r="H228" s="244" t="s">
        <v>6222</v>
      </c>
      <c r="I228" s="244" t="s">
        <v>6199</v>
      </c>
      <c r="J228" s="244"/>
      <c r="K228" s="244" t="s">
        <v>6242</v>
      </c>
      <c r="L228" s="244"/>
      <c r="M228" s="244"/>
      <c r="N228" s="244" t="s">
        <v>6215</v>
      </c>
    </row>
    <row r="229">
      <c r="A229" s="244" t="s">
        <v>107</v>
      </c>
      <c r="B229" s="244">
        <v>9248.0</v>
      </c>
      <c r="C229" s="273">
        <v>21239.0</v>
      </c>
      <c r="D229" s="271">
        <v>44574.0</v>
      </c>
      <c r="E229" s="272">
        <v>0.3645833333333333</v>
      </c>
      <c r="F229" s="244" t="s">
        <v>6323</v>
      </c>
      <c r="G229" s="244" t="s">
        <v>12</v>
      </c>
      <c r="H229" s="244" t="s">
        <v>6212</v>
      </c>
      <c r="I229" s="244" t="s">
        <v>6085</v>
      </c>
      <c r="J229" s="244"/>
      <c r="K229" s="244" t="s">
        <v>6242</v>
      </c>
      <c r="L229" s="244"/>
      <c r="M229" s="244"/>
      <c r="N229" s="244" t="s">
        <v>5</v>
      </c>
    </row>
    <row r="230">
      <c r="A230" s="244" t="s">
        <v>5128</v>
      </c>
      <c r="B230" s="244">
        <v>17005.0</v>
      </c>
      <c r="C230" s="273">
        <v>22398.0</v>
      </c>
      <c r="D230" s="271">
        <v>44574.0</v>
      </c>
      <c r="E230" s="272">
        <v>0.375</v>
      </c>
      <c r="F230" s="244" t="s">
        <v>6328</v>
      </c>
      <c r="G230" s="244" t="s">
        <v>13</v>
      </c>
      <c r="H230" s="244" t="s">
        <v>6212</v>
      </c>
      <c r="I230" s="244" t="s">
        <v>6225</v>
      </c>
      <c r="J230" s="244"/>
      <c r="K230" s="244" t="s">
        <v>6242</v>
      </c>
      <c r="L230" s="244" t="s">
        <v>6242</v>
      </c>
      <c r="M230" s="244"/>
      <c r="N230" s="244" t="s">
        <v>6215</v>
      </c>
    </row>
    <row r="231">
      <c r="A231" s="244" t="s">
        <v>4658</v>
      </c>
      <c r="B231" s="244">
        <v>16388.0</v>
      </c>
      <c r="C231" s="273">
        <v>15830.0</v>
      </c>
      <c r="D231" s="271">
        <v>44574.0</v>
      </c>
      <c r="E231" s="272">
        <v>0.4479166666666667</v>
      </c>
      <c r="F231" s="244" t="s">
        <v>6323</v>
      </c>
      <c r="G231" s="244" t="s">
        <v>12</v>
      </c>
      <c r="H231" s="244" t="s">
        <v>6212</v>
      </c>
      <c r="I231" s="244" t="s">
        <v>6161</v>
      </c>
      <c r="J231" s="244"/>
      <c r="K231" s="244" t="s">
        <v>6242</v>
      </c>
      <c r="L231" s="244"/>
      <c r="M231" s="244"/>
      <c r="N231" s="244" t="s">
        <v>5</v>
      </c>
    </row>
    <row r="232">
      <c r="A232" s="244" t="s">
        <v>4679</v>
      </c>
      <c r="B232" s="244">
        <v>16427.0</v>
      </c>
      <c r="C232" s="273">
        <v>24828.0</v>
      </c>
      <c r="D232" s="271">
        <v>44574.0</v>
      </c>
      <c r="E232" s="272">
        <v>0.3958333333333333</v>
      </c>
      <c r="F232" s="244" t="s">
        <v>6323</v>
      </c>
      <c r="G232" s="244" t="s">
        <v>12</v>
      </c>
      <c r="H232" s="244" t="s">
        <v>6212</v>
      </c>
      <c r="I232" s="244" t="s">
        <v>6091</v>
      </c>
      <c r="J232" s="244"/>
      <c r="K232" s="244" t="s">
        <v>6242</v>
      </c>
      <c r="L232" s="244"/>
      <c r="M232" s="244"/>
      <c r="N232" s="244" t="s">
        <v>6216</v>
      </c>
    </row>
    <row r="233">
      <c r="A233" s="244" t="s">
        <v>2740</v>
      </c>
      <c r="B233" s="244">
        <v>14095.0</v>
      </c>
      <c r="C233" s="273">
        <v>22965.0</v>
      </c>
      <c r="D233" s="271">
        <v>44574.0</v>
      </c>
      <c r="E233" s="272">
        <v>0.3958333333333333</v>
      </c>
      <c r="F233" s="244" t="s">
        <v>6323</v>
      </c>
      <c r="G233" s="244" t="s">
        <v>15</v>
      </c>
      <c r="H233" s="244" t="s">
        <v>6219</v>
      </c>
      <c r="I233" s="244" t="s">
        <v>6117</v>
      </c>
      <c r="J233" s="244"/>
      <c r="K233" s="244" t="s">
        <v>6242</v>
      </c>
      <c r="L233" s="244" t="s">
        <v>6242</v>
      </c>
      <c r="M233" s="244"/>
      <c r="N233" s="244" t="s">
        <v>6215</v>
      </c>
    </row>
    <row r="234">
      <c r="A234" s="244" t="s">
        <v>1547</v>
      </c>
      <c r="B234" s="244">
        <v>12567.0</v>
      </c>
      <c r="C234" s="273">
        <v>21873.0</v>
      </c>
      <c r="D234" s="271">
        <v>44574.0</v>
      </c>
      <c r="E234" s="272">
        <v>0.3958333333333333</v>
      </c>
      <c r="F234" s="244" t="s">
        <v>6328</v>
      </c>
      <c r="G234" s="244" t="s">
        <v>15</v>
      </c>
      <c r="H234" s="244" t="s">
        <v>6219</v>
      </c>
      <c r="I234" s="244" t="s">
        <v>6154</v>
      </c>
      <c r="J234" s="244"/>
      <c r="K234" s="244" t="s">
        <v>6242</v>
      </c>
      <c r="L234" s="244"/>
      <c r="M234" s="244"/>
      <c r="N234" s="244" t="s">
        <v>5</v>
      </c>
    </row>
    <row r="235">
      <c r="A235" s="244" t="s">
        <v>2435</v>
      </c>
      <c r="B235" s="244">
        <v>13695.0</v>
      </c>
      <c r="C235" s="273">
        <v>20076.0</v>
      </c>
      <c r="D235" s="271">
        <v>44574.0</v>
      </c>
      <c r="E235" s="272">
        <v>0.40625</v>
      </c>
      <c r="F235" s="244" t="s">
        <v>6328</v>
      </c>
      <c r="G235" s="244" t="s">
        <v>14</v>
      </c>
      <c r="H235" s="244" t="s">
        <v>6222</v>
      </c>
      <c r="I235" s="244" t="s">
        <v>6158</v>
      </c>
      <c r="J235" s="244"/>
      <c r="K235" s="244" t="s">
        <v>6242</v>
      </c>
      <c r="L235" s="244"/>
      <c r="M235" s="244"/>
      <c r="N235" s="244" t="s">
        <v>5</v>
      </c>
    </row>
    <row r="236">
      <c r="A236" s="244" t="s">
        <v>1724</v>
      </c>
      <c r="B236" s="244">
        <v>12804.0</v>
      </c>
      <c r="C236" s="273">
        <v>20763.0</v>
      </c>
      <c r="D236" s="271">
        <v>44574.0</v>
      </c>
      <c r="E236" s="272">
        <v>0.4270833333333333</v>
      </c>
      <c r="F236" s="244" t="s">
        <v>6328</v>
      </c>
      <c r="G236" s="244" t="s">
        <v>13</v>
      </c>
      <c r="H236" s="244" t="s">
        <v>6212</v>
      </c>
      <c r="I236" s="244" t="s">
        <v>6202</v>
      </c>
      <c r="J236" s="244"/>
      <c r="K236" s="244" t="s">
        <v>6242</v>
      </c>
      <c r="L236" s="244"/>
      <c r="M236" s="244"/>
      <c r="N236" s="244" t="s">
        <v>5</v>
      </c>
    </row>
    <row r="237">
      <c r="A237" s="244" t="s">
        <v>2755</v>
      </c>
      <c r="B237" s="244">
        <v>14113.0</v>
      </c>
      <c r="C237" s="273">
        <v>21851.0</v>
      </c>
      <c r="D237" s="271">
        <v>44574.0</v>
      </c>
      <c r="E237" s="272">
        <v>0.40625</v>
      </c>
      <c r="F237" s="244" t="s">
        <v>6328</v>
      </c>
      <c r="G237" s="244" t="s">
        <v>13</v>
      </c>
      <c r="H237" s="244" t="s">
        <v>6212</v>
      </c>
      <c r="I237" s="244" t="s">
        <v>6182</v>
      </c>
      <c r="J237" s="244"/>
      <c r="K237" s="244" t="s">
        <v>6242</v>
      </c>
      <c r="L237" s="244"/>
      <c r="M237" s="244"/>
      <c r="N237" s="244" t="s">
        <v>5</v>
      </c>
    </row>
    <row r="238">
      <c r="A238" s="244" t="s">
        <v>63</v>
      </c>
      <c r="B238" s="244">
        <v>9182.0</v>
      </c>
      <c r="C238" s="273">
        <v>25713.0</v>
      </c>
      <c r="D238" s="271">
        <v>44574.0</v>
      </c>
      <c r="E238" s="272">
        <v>0.40625</v>
      </c>
      <c r="F238" s="244" t="s">
        <v>6328</v>
      </c>
      <c r="G238" s="244" t="s">
        <v>15</v>
      </c>
      <c r="H238" s="244" t="s">
        <v>6222</v>
      </c>
      <c r="I238" s="244" t="s">
        <v>6199</v>
      </c>
      <c r="J238" s="244"/>
      <c r="K238" s="244" t="s">
        <v>6242</v>
      </c>
      <c r="L238" s="244"/>
      <c r="M238" s="244"/>
      <c r="N238" s="244" t="s">
        <v>5</v>
      </c>
    </row>
    <row r="239">
      <c r="A239" s="244" t="s">
        <v>583</v>
      </c>
      <c r="B239" s="244">
        <v>10521.0</v>
      </c>
      <c r="C239" s="273">
        <v>22660.0</v>
      </c>
      <c r="D239" s="271">
        <v>44574.0</v>
      </c>
      <c r="E239" s="272">
        <v>0.4270833333333333</v>
      </c>
      <c r="F239" s="244" t="s">
        <v>6323</v>
      </c>
      <c r="G239" s="244" t="s">
        <v>14</v>
      </c>
      <c r="H239" s="244" t="s">
        <v>6222</v>
      </c>
      <c r="I239" s="244" t="s">
        <v>6083</v>
      </c>
      <c r="J239" s="244"/>
      <c r="K239" s="244" t="s">
        <v>6242</v>
      </c>
      <c r="L239" s="244"/>
      <c r="M239" s="244"/>
      <c r="N239" s="244" t="s">
        <v>5</v>
      </c>
    </row>
    <row r="240">
      <c r="A240" s="244" t="s">
        <v>2413</v>
      </c>
      <c r="B240" s="244">
        <v>13668.0</v>
      </c>
      <c r="C240" s="273">
        <v>23634.0</v>
      </c>
      <c r="D240" s="271">
        <v>44574.0</v>
      </c>
      <c r="E240" s="272">
        <v>0.4375</v>
      </c>
      <c r="F240" s="244" t="s">
        <v>6328</v>
      </c>
      <c r="G240" s="244" t="s">
        <v>12</v>
      </c>
      <c r="H240" s="244" t="s">
        <v>6212</v>
      </c>
      <c r="I240" s="244" t="s">
        <v>6136</v>
      </c>
      <c r="J240" s="244"/>
      <c r="K240" s="244" t="s">
        <v>6242</v>
      </c>
      <c r="L240" s="244"/>
      <c r="M240" s="244"/>
      <c r="N240" s="244" t="s">
        <v>5</v>
      </c>
    </row>
    <row r="241">
      <c r="A241" s="244" t="s">
        <v>2562</v>
      </c>
      <c r="B241" s="244">
        <v>13860.0</v>
      </c>
      <c r="C241" s="273">
        <v>23450.0</v>
      </c>
      <c r="D241" s="271">
        <v>44574.0</v>
      </c>
      <c r="E241" s="272">
        <v>0.4583333333333333</v>
      </c>
      <c r="F241" s="244" t="s">
        <v>6328</v>
      </c>
      <c r="G241" s="244" t="s">
        <v>14</v>
      </c>
      <c r="H241" s="244" t="s">
        <v>6222</v>
      </c>
      <c r="I241" s="244" t="s">
        <v>6091</v>
      </c>
      <c r="J241" s="244"/>
      <c r="K241" s="244" t="s">
        <v>6242</v>
      </c>
      <c r="L241" s="244"/>
      <c r="M241" s="244"/>
      <c r="N241" s="244" t="s">
        <v>5</v>
      </c>
    </row>
    <row r="242">
      <c r="A242" s="244" t="s">
        <v>1184</v>
      </c>
      <c r="B242" s="244">
        <v>11910.0</v>
      </c>
      <c r="C242" s="273">
        <v>25986.0</v>
      </c>
      <c r="D242" s="271">
        <v>44574.0</v>
      </c>
      <c r="E242" s="272">
        <v>0.4375</v>
      </c>
      <c r="F242" s="244" t="s">
        <v>6328</v>
      </c>
      <c r="G242" s="244" t="s">
        <v>15</v>
      </c>
      <c r="H242" s="244" t="s">
        <v>6219</v>
      </c>
      <c r="I242" s="244" t="s">
        <v>6101</v>
      </c>
      <c r="J242" s="244"/>
      <c r="K242" s="244" t="s">
        <v>6242</v>
      </c>
      <c r="L242" s="244"/>
      <c r="M242" s="244"/>
      <c r="N242" s="244" t="s">
        <v>5</v>
      </c>
    </row>
    <row r="243">
      <c r="A243" s="244" t="s">
        <v>895</v>
      </c>
      <c r="B243" s="244">
        <v>11282.0</v>
      </c>
      <c r="C243" s="273">
        <v>20131.0</v>
      </c>
      <c r="D243" s="271">
        <v>44574.0</v>
      </c>
      <c r="E243" s="272">
        <v>0.4166666666666667</v>
      </c>
      <c r="F243" s="244" t="s">
        <v>6328</v>
      </c>
      <c r="G243" s="244" t="s">
        <v>15</v>
      </c>
      <c r="H243" s="244" t="s">
        <v>6219</v>
      </c>
      <c r="I243" s="244" t="s">
        <v>6199</v>
      </c>
      <c r="J243" s="244"/>
      <c r="K243" s="244" t="s">
        <v>6242</v>
      </c>
      <c r="L243" s="244"/>
      <c r="M243" s="244"/>
      <c r="N243" s="244" t="s">
        <v>5</v>
      </c>
    </row>
    <row r="244">
      <c r="A244" s="244" t="s">
        <v>1480</v>
      </c>
      <c r="B244" s="244">
        <v>12467.0</v>
      </c>
      <c r="C244" s="273">
        <v>20416.0</v>
      </c>
      <c r="D244" s="271">
        <v>44574.0</v>
      </c>
      <c r="E244" s="272">
        <v>0.4583333333333333</v>
      </c>
      <c r="F244" s="244" t="s">
        <v>6328</v>
      </c>
      <c r="G244" s="244" t="s">
        <v>15</v>
      </c>
      <c r="H244" s="244" t="s">
        <v>6219</v>
      </c>
      <c r="I244" s="244" t="s">
        <v>6095</v>
      </c>
      <c r="J244" s="244"/>
      <c r="K244" s="244" t="s">
        <v>6242</v>
      </c>
      <c r="L244" s="244"/>
      <c r="M244" s="244"/>
      <c r="N244" s="244" t="s">
        <v>5</v>
      </c>
    </row>
    <row r="245">
      <c r="A245" s="244" t="s">
        <v>133</v>
      </c>
      <c r="B245" s="244">
        <v>9286.0</v>
      </c>
      <c r="C245" s="273">
        <v>14829.0</v>
      </c>
      <c r="D245" s="271">
        <v>44574.0</v>
      </c>
      <c r="E245" s="272">
        <v>0.5729166666666666</v>
      </c>
      <c r="F245" s="244" t="s">
        <v>6323</v>
      </c>
      <c r="G245" s="244" t="s">
        <v>12</v>
      </c>
      <c r="H245" s="244" t="s">
        <v>6212</v>
      </c>
      <c r="I245" s="244" t="s">
        <v>6137</v>
      </c>
      <c r="J245" s="244"/>
      <c r="K245" s="244" t="s">
        <v>6242</v>
      </c>
      <c r="L245" s="244"/>
      <c r="M245" s="244"/>
      <c r="N245" s="244" t="s">
        <v>5</v>
      </c>
    </row>
    <row r="246">
      <c r="A246" s="244" t="s">
        <v>5226</v>
      </c>
      <c r="B246" s="244">
        <v>17125.0</v>
      </c>
      <c r="C246" s="273">
        <v>17554.0</v>
      </c>
      <c r="D246" s="271">
        <v>44574.0</v>
      </c>
      <c r="E246" s="272">
        <v>0.5520833333333334</v>
      </c>
      <c r="F246" s="244" t="s">
        <v>6328</v>
      </c>
      <c r="G246" s="244" t="s">
        <v>12</v>
      </c>
      <c r="H246" s="244" t="s">
        <v>6212</v>
      </c>
      <c r="I246" s="244" t="s">
        <v>6186</v>
      </c>
      <c r="J246" s="244"/>
      <c r="K246" s="244" t="s">
        <v>6242</v>
      </c>
      <c r="L246" s="244" t="s">
        <v>6242</v>
      </c>
      <c r="M246" s="244"/>
      <c r="N246" s="244" t="s">
        <v>6215</v>
      </c>
    </row>
    <row r="247">
      <c r="A247" s="244" t="s">
        <v>2720</v>
      </c>
      <c r="B247" s="244">
        <v>14073.0</v>
      </c>
      <c r="C247" s="273">
        <v>19245.0</v>
      </c>
      <c r="D247" s="271">
        <v>44574.0</v>
      </c>
      <c r="E247" s="272">
        <v>0.5416666666666666</v>
      </c>
      <c r="F247" s="244" t="s">
        <v>6328</v>
      </c>
      <c r="G247" s="244" t="s">
        <v>15</v>
      </c>
      <c r="H247" s="244" t="s">
        <v>6219</v>
      </c>
      <c r="I247" s="244" t="s">
        <v>6199</v>
      </c>
      <c r="J247" s="244"/>
      <c r="K247" s="244" t="s">
        <v>6242</v>
      </c>
      <c r="L247" s="244"/>
      <c r="M247" s="244"/>
      <c r="N247" s="244" t="s">
        <v>5</v>
      </c>
    </row>
    <row r="248">
      <c r="A248" s="244" t="s">
        <v>79</v>
      </c>
      <c r="B248" s="244">
        <v>9210.0</v>
      </c>
      <c r="C248" s="273">
        <v>9983.0</v>
      </c>
      <c r="D248" s="271">
        <v>44574.0</v>
      </c>
      <c r="E248" s="272">
        <v>0.5625</v>
      </c>
      <c r="F248" s="244" t="s">
        <v>6323</v>
      </c>
      <c r="G248" s="244" t="s">
        <v>13</v>
      </c>
      <c r="H248" s="244" t="s">
        <v>6221</v>
      </c>
      <c r="I248" s="244" t="s">
        <v>6137</v>
      </c>
      <c r="J248" s="244"/>
      <c r="K248" s="244" t="s">
        <v>6242</v>
      </c>
      <c r="L248" s="244" t="s">
        <v>6242</v>
      </c>
      <c r="M248" s="244"/>
      <c r="N248" s="244" t="s">
        <v>6215</v>
      </c>
    </row>
    <row r="249">
      <c r="A249" s="244" t="s">
        <v>3217</v>
      </c>
      <c r="B249" s="244">
        <v>14691.0</v>
      </c>
      <c r="C249" s="273">
        <v>18045.0</v>
      </c>
      <c r="D249" s="271">
        <v>44574.0</v>
      </c>
      <c r="E249" s="272">
        <v>0.5729166666666666</v>
      </c>
      <c r="F249" s="244" t="s">
        <v>6323</v>
      </c>
      <c r="G249" s="244" t="s">
        <v>13</v>
      </c>
      <c r="H249" s="244" t="s">
        <v>6221</v>
      </c>
      <c r="I249" s="244" t="s">
        <v>6137</v>
      </c>
      <c r="J249" s="244"/>
      <c r="K249" s="244" t="s">
        <v>6242</v>
      </c>
      <c r="L249" s="244"/>
      <c r="M249" s="244"/>
      <c r="N249" s="244" t="s">
        <v>5</v>
      </c>
    </row>
    <row r="250">
      <c r="A250" s="244" t="s">
        <v>83</v>
      </c>
      <c r="B250" s="244">
        <v>9214.0</v>
      </c>
      <c r="C250" s="273">
        <v>20158.0</v>
      </c>
      <c r="D250" s="271">
        <v>44574.0</v>
      </c>
      <c r="E250" s="272">
        <v>0.5833333333333334</v>
      </c>
      <c r="F250" s="244" t="s">
        <v>6323</v>
      </c>
      <c r="G250" s="244" t="s">
        <v>14</v>
      </c>
      <c r="H250" s="244" t="s">
        <v>6219</v>
      </c>
      <c r="I250" s="244" t="s">
        <v>6094</v>
      </c>
      <c r="J250" s="244"/>
      <c r="K250" s="244" t="s">
        <v>6242</v>
      </c>
      <c r="L250" s="244" t="s">
        <v>6242</v>
      </c>
      <c r="M250" s="244"/>
      <c r="N250" s="244" t="s">
        <v>6215</v>
      </c>
    </row>
    <row r="251">
      <c r="A251" s="244" t="s">
        <v>4197</v>
      </c>
      <c r="B251" s="244">
        <v>15842.0</v>
      </c>
      <c r="C251" s="273">
        <v>18789.0</v>
      </c>
      <c r="D251" s="271">
        <v>44574.0</v>
      </c>
      <c r="E251" s="272" t="e">
        <v>#N/A</v>
      </c>
      <c r="F251" s="244" t="s">
        <v>6323</v>
      </c>
      <c r="G251" s="244" t="s">
        <v>14</v>
      </c>
      <c r="H251" s="244" t="e">
        <v>#N/A</v>
      </c>
      <c r="I251" s="244" t="e">
        <v>#N/A</v>
      </c>
      <c r="J251" s="244"/>
      <c r="K251" s="244" t="s">
        <v>6242</v>
      </c>
      <c r="L251" s="244"/>
      <c r="M251" s="244"/>
      <c r="N251" s="244" t="e">
        <v>#N/A</v>
      </c>
    </row>
    <row r="252">
      <c r="A252" s="244" t="s">
        <v>2723</v>
      </c>
      <c r="B252" s="244">
        <v>14076.0</v>
      </c>
      <c r="C252" s="273">
        <v>29289.0</v>
      </c>
      <c r="D252" s="271">
        <v>44574.0</v>
      </c>
      <c r="E252" s="272">
        <v>0.59375</v>
      </c>
      <c r="F252" s="244" t="s">
        <v>6328</v>
      </c>
      <c r="G252" s="244" t="s">
        <v>13</v>
      </c>
      <c r="H252" s="244" t="s">
        <v>6212</v>
      </c>
      <c r="I252" s="244" t="s">
        <v>6199</v>
      </c>
      <c r="J252" s="244"/>
      <c r="K252" s="244" t="s">
        <v>6242</v>
      </c>
      <c r="L252" s="244"/>
      <c r="M252" s="244"/>
      <c r="N252" s="244" t="s">
        <v>5</v>
      </c>
    </row>
    <row r="253">
      <c r="A253" s="244" t="s">
        <v>2623</v>
      </c>
      <c r="B253" s="244">
        <v>13938.0</v>
      </c>
      <c r="C253" s="273">
        <v>17231.0</v>
      </c>
      <c r="D253" s="271">
        <v>44574.0</v>
      </c>
      <c r="E253" s="272">
        <v>0.6041666666666666</v>
      </c>
      <c r="F253" s="244" t="s">
        <v>6328</v>
      </c>
      <c r="G253" s="244" t="s">
        <v>13</v>
      </c>
      <c r="H253" s="244" t="s">
        <v>6212</v>
      </c>
      <c r="I253" s="244" t="s">
        <v>6199</v>
      </c>
      <c r="J253" s="244"/>
      <c r="K253" s="244" t="s">
        <v>6242</v>
      </c>
      <c r="L253" s="244"/>
      <c r="M253" s="244"/>
      <c r="N253" s="244" t="s">
        <v>5</v>
      </c>
    </row>
    <row r="254">
      <c r="A254" s="244" t="s">
        <v>1669</v>
      </c>
      <c r="B254" s="244">
        <v>12740.0</v>
      </c>
      <c r="C254" s="273">
        <v>24173.0</v>
      </c>
      <c r="D254" s="271">
        <v>44574.0</v>
      </c>
      <c r="E254" s="272">
        <v>0.5833333333333334</v>
      </c>
      <c r="F254" s="244" t="s">
        <v>6328</v>
      </c>
      <c r="G254" s="244" t="s">
        <v>14</v>
      </c>
      <c r="H254" s="244" t="s">
        <v>6222</v>
      </c>
      <c r="I254" s="244" t="s">
        <v>6199</v>
      </c>
      <c r="J254" s="244"/>
      <c r="K254" s="244" t="s">
        <v>6242</v>
      </c>
      <c r="L254" s="244"/>
      <c r="M254" s="244"/>
      <c r="N254" s="244" t="s">
        <v>5</v>
      </c>
    </row>
    <row r="255">
      <c r="A255" s="244" t="s">
        <v>2111</v>
      </c>
      <c r="B255" s="244">
        <v>13278.0</v>
      </c>
      <c r="C255" s="273">
        <v>20536.0</v>
      </c>
      <c r="D255" s="271">
        <v>44574.0</v>
      </c>
      <c r="E255" s="272">
        <v>0.6145833333333334</v>
      </c>
      <c r="F255" s="244" t="s">
        <v>6323</v>
      </c>
      <c r="G255" s="244" t="s">
        <v>14</v>
      </c>
      <c r="H255" s="244" t="s">
        <v>6222</v>
      </c>
      <c r="I255" s="244" t="s">
        <v>6117</v>
      </c>
      <c r="J255" s="244"/>
      <c r="K255" s="244" t="s">
        <v>6242</v>
      </c>
      <c r="L255" s="244"/>
      <c r="M255" s="244"/>
      <c r="N255" s="244" t="s">
        <v>5</v>
      </c>
    </row>
    <row r="256">
      <c r="A256" s="244" t="s">
        <v>1832</v>
      </c>
      <c r="B256" s="244">
        <v>12933.0</v>
      </c>
      <c r="C256" s="273">
        <v>22390.0</v>
      </c>
      <c r="D256" s="271">
        <v>44574.0</v>
      </c>
      <c r="E256" s="272">
        <v>0.5625</v>
      </c>
      <c r="F256" s="244" t="s">
        <v>6328</v>
      </c>
      <c r="G256" s="244" t="s">
        <v>15</v>
      </c>
      <c r="H256" s="244" t="s">
        <v>6219</v>
      </c>
      <c r="I256" s="244" t="s">
        <v>6095</v>
      </c>
      <c r="J256" s="244"/>
      <c r="K256" s="244" t="s">
        <v>6242</v>
      </c>
      <c r="L256" s="244"/>
      <c r="M256" s="244"/>
      <c r="N256" s="244" t="s">
        <v>5</v>
      </c>
    </row>
    <row r="257">
      <c r="A257" s="244" t="s">
        <v>2206</v>
      </c>
      <c r="B257" s="244">
        <v>13405.0</v>
      </c>
      <c r="C257" s="273">
        <v>23929.0</v>
      </c>
      <c r="D257" s="271">
        <v>44574.0</v>
      </c>
      <c r="E257" s="272" t="e">
        <v>#N/A</v>
      </c>
      <c r="F257" s="244" t="s">
        <v>6323</v>
      </c>
      <c r="G257" s="244" t="s">
        <v>14</v>
      </c>
      <c r="H257" s="244" t="e">
        <v>#N/A</v>
      </c>
      <c r="I257" s="244" t="e">
        <v>#N/A</v>
      </c>
      <c r="J257" s="244"/>
      <c r="K257" s="244" t="s">
        <v>6242</v>
      </c>
      <c r="L257" s="244"/>
      <c r="M257" s="244"/>
      <c r="N257" s="244" t="e">
        <v>#N/A</v>
      </c>
    </row>
  </sheetData>
  <conditionalFormatting sqref="A256:N257">
    <cfRule type="notContainsBlanks" dxfId="7" priority="1">
      <formula>LEN(TRIM(A256))&gt;0</formula>
    </cfRule>
  </conditionalFormatting>
  <conditionalFormatting sqref="A256:I257 N256:N257">
    <cfRule type="containsBlanks" dxfId="29" priority="2">
      <formula>LEN(TRIM(A256))=0</formula>
    </cfRule>
  </conditionalFormatting>
  <conditionalFormatting sqref="A255:N255">
    <cfRule type="notContainsBlanks" dxfId="7" priority="3">
      <formula>LEN(TRIM(A255))&gt;0</formula>
    </cfRule>
  </conditionalFormatting>
  <conditionalFormatting sqref="A255:I255 N255">
    <cfRule type="containsBlanks" dxfId="29" priority="4">
      <formula>LEN(TRIM(A255))=0</formula>
    </cfRule>
  </conditionalFormatting>
  <conditionalFormatting sqref="A253:N254">
    <cfRule type="notContainsBlanks" dxfId="7" priority="5">
      <formula>LEN(TRIM(A253))&gt;0</formula>
    </cfRule>
  </conditionalFormatting>
  <conditionalFormatting sqref="A253:I254 N253:N254">
    <cfRule type="containsBlanks" dxfId="29" priority="6">
      <formula>LEN(TRIM(A253))=0</formula>
    </cfRule>
  </conditionalFormatting>
  <conditionalFormatting sqref="A252:N252">
    <cfRule type="notContainsBlanks" dxfId="7" priority="7">
      <formula>LEN(TRIM(A252))&gt;0</formula>
    </cfRule>
  </conditionalFormatting>
  <conditionalFormatting sqref="A252:I252 N252">
    <cfRule type="containsBlanks" dxfId="29" priority="8">
      <formula>LEN(TRIM(A252))=0</formula>
    </cfRule>
  </conditionalFormatting>
  <conditionalFormatting sqref="A247:N251">
    <cfRule type="notContainsBlanks" dxfId="7" priority="9">
      <formula>LEN(TRIM(A247))&gt;0</formula>
    </cfRule>
  </conditionalFormatting>
  <conditionalFormatting sqref="A247:I251 N247:N251">
    <cfRule type="containsBlanks" dxfId="29" priority="10">
      <formula>LEN(TRIM(A247))=0</formula>
    </cfRule>
  </conditionalFormatting>
  <conditionalFormatting sqref="A245:N246">
    <cfRule type="notContainsBlanks" dxfId="7" priority="11">
      <formula>LEN(TRIM(A245))&gt;0</formula>
    </cfRule>
  </conditionalFormatting>
  <conditionalFormatting sqref="A245:I246 N245:N246">
    <cfRule type="containsBlanks" dxfId="29" priority="12">
      <formula>LEN(TRIM(A245))=0</formula>
    </cfRule>
  </conditionalFormatting>
  <conditionalFormatting sqref="A244:N244">
    <cfRule type="notContainsBlanks" dxfId="7" priority="13">
      <formula>LEN(TRIM(A244))&gt;0</formula>
    </cfRule>
  </conditionalFormatting>
  <conditionalFormatting sqref="A244:I244 N244">
    <cfRule type="containsBlanks" dxfId="29" priority="14">
      <formula>LEN(TRIM(A244))=0</formula>
    </cfRule>
  </conditionalFormatting>
  <conditionalFormatting sqref="A238:N243">
    <cfRule type="notContainsBlanks" dxfId="7" priority="15">
      <formula>LEN(TRIM(A238))&gt;0</formula>
    </cfRule>
  </conditionalFormatting>
  <conditionalFormatting sqref="A238:I243 N238:N243">
    <cfRule type="containsBlanks" dxfId="29" priority="16">
      <formula>LEN(TRIM(A238))=0</formula>
    </cfRule>
  </conditionalFormatting>
  <conditionalFormatting sqref="A237:N237">
    <cfRule type="notContainsBlanks" dxfId="7" priority="17">
      <formula>LEN(TRIM(A237))&gt;0</formula>
    </cfRule>
  </conditionalFormatting>
  <conditionalFormatting sqref="A237:I237 N237">
    <cfRule type="containsBlanks" dxfId="29" priority="18">
      <formula>LEN(TRIM(A237))=0</formula>
    </cfRule>
  </conditionalFormatting>
  <conditionalFormatting sqref="A235:N236">
    <cfRule type="notContainsBlanks" dxfId="7" priority="19">
      <formula>LEN(TRIM(A235))&gt;0</formula>
    </cfRule>
  </conditionalFormatting>
  <conditionalFormatting sqref="A235:I236 N235:N236">
    <cfRule type="containsBlanks" dxfId="29" priority="20">
      <formula>LEN(TRIM(A235))=0</formula>
    </cfRule>
  </conditionalFormatting>
  <conditionalFormatting sqref="A226:N234">
    <cfRule type="notContainsBlanks" dxfId="7" priority="21">
      <formula>LEN(TRIM(A226))&gt;0</formula>
    </cfRule>
  </conditionalFormatting>
  <conditionalFormatting sqref="A226:I234 N226:N234">
    <cfRule type="containsBlanks" dxfId="29" priority="22">
      <formula>LEN(TRIM(A226))=0</formula>
    </cfRule>
  </conditionalFormatting>
  <conditionalFormatting sqref="A225:N225">
    <cfRule type="notContainsBlanks" dxfId="7" priority="23">
      <formula>LEN(TRIM(A225))&gt;0</formula>
    </cfRule>
  </conditionalFormatting>
  <conditionalFormatting sqref="A225:I225 N225">
    <cfRule type="containsBlanks" dxfId="29" priority="24">
      <formula>LEN(TRIM(A225))=0</formula>
    </cfRule>
  </conditionalFormatting>
  <conditionalFormatting sqref="A223:N224">
    <cfRule type="notContainsBlanks" dxfId="7" priority="25">
      <formula>LEN(TRIM(A223))&gt;0</formula>
    </cfRule>
  </conditionalFormatting>
  <conditionalFormatting sqref="A223:I224 N223:N224">
    <cfRule type="containsBlanks" dxfId="29" priority="26">
      <formula>LEN(TRIM(A223))=0</formula>
    </cfRule>
  </conditionalFormatting>
  <conditionalFormatting sqref="A222:N222">
    <cfRule type="notContainsBlanks" dxfId="7" priority="27">
      <formula>LEN(TRIM(A222))&gt;0</formula>
    </cfRule>
  </conditionalFormatting>
  <conditionalFormatting sqref="A222:I222 N222">
    <cfRule type="containsBlanks" dxfId="29" priority="28">
      <formula>LEN(TRIM(A222))=0</formula>
    </cfRule>
  </conditionalFormatting>
  <conditionalFormatting sqref="A220:N221">
    <cfRule type="notContainsBlanks" dxfId="7" priority="29">
      <formula>LEN(TRIM(A220))&gt;0</formula>
    </cfRule>
  </conditionalFormatting>
  <conditionalFormatting sqref="A220:I221 N220:N221">
    <cfRule type="containsBlanks" dxfId="29" priority="30">
      <formula>LEN(TRIM(A220))=0</formula>
    </cfRule>
  </conditionalFormatting>
  <conditionalFormatting sqref="A219:N219">
    <cfRule type="notContainsBlanks" dxfId="7" priority="31">
      <formula>LEN(TRIM(A219))&gt;0</formula>
    </cfRule>
  </conditionalFormatting>
  <conditionalFormatting sqref="A219:I219 N219">
    <cfRule type="containsBlanks" dxfId="29" priority="32">
      <formula>LEN(TRIM(A219))=0</formula>
    </cfRule>
  </conditionalFormatting>
  <conditionalFormatting sqref="A218:N218">
    <cfRule type="notContainsBlanks" dxfId="7" priority="33">
      <formula>LEN(TRIM(A218))&gt;0</formula>
    </cfRule>
  </conditionalFormatting>
  <conditionalFormatting sqref="A218:I218 N218">
    <cfRule type="containsBlanks" dxfId="29" priority="34">
      <formula>LEN(TRIM(A218))=0</formula>
    </cfRule>
  </conditionalFormatting>
  <conditionalFormatting sqref="A214:N217">
    <cfRule type="notContainsBlanks" dxfId="7" priority="35">
      <formula>LEN(TRIM(A214))&gt;0</formula>
    </cfRule>
  </conditionalFormatting>
  <conditionalFormatting sqref="A214:I217 N214:N217">
    <cfRule type="containsBlanks" dxfId="29" priority="36">
      <formula>LEN(TRIM(A214))=0</formula>
    </cfRule>
  </conditionalFormatting>
  <conditionalFormatting sqref="A212:N213">
    <cfRule type="notContainsBlanks" dxfId="7" priority="37">
      <formula>LEN(TRIM(A212))&gt;0</formula>
    </cfRule>
  </conditionalFormatting>
  <conditionalFormatting sqref="A212:I213 N212:N213">
    <cfRule type="containsBlanks" dxfId="29" priority="38">
      <formula>LEN(TRIM(A212))=0</formula>
    </cfRule>
  </conditionalFormatting>
  <conditionalFormatting sqref="A204:N211">
    <cfRule type="notContainsBlanks" dxfId="7" priority="39">
      <formula>LEN(TRIM(A204))&gt;0</formula>
    </cfRule>
  </conditionalFormatting>
  <conditionalFormatting sqref="A204:I211 N204:N211">
    <cfRule type="containsBlanks" dxfId="29" priority="40">
      <formula>LEN(TRIM(A204))=0</formula>
    </cfRule>
  </conditionalFormatting>
  <conditionalFormatting sqref="A200:N203">
    <cfRule type="notContainsBlanks" dxfId="7" priority="41">
      <formula>LEN(TRIM(A200))&gt;0</formula>
    </cfRule>
  </conditionalFormatting>
  <conditionalFormatting sqref="A200:I203 N200:N203">
    <cfRule type="containsBlanks" dxfId="29" priority="42">
      <formula>LEN(TRIM(A200))=0</formula>
    </cfRule>
  </conditionalFormatting>
  <conditionalFormatting sqref="A195:N199">
    <cfRule type="notContainsBlanks" dxfId="7" priority="43">
      <formula>LEN(TRIM(A195))&gt;0</formula>
    </cfRule>
  </conditionalFormatting>
  <conditionalFormatting sqref="A195:I199 N195:N199">
    <cfRule type="containsBlanks" dxfId="29" priority="44">
      <formula>LEN(TRIM(A195))=0</formula>
    </cfRule>
  </conditionalFormatting>
  <conditionalFormatting sqref="A194:N194">
    <cfRule type="notContainsBlanks" dxfId="7" priority="45">
      <formula>LEN(TRIM(A194))&gt;0</formula>
    </cfRule>
  </conditionalFormatting>
  <conditionalFormatting sqref="A194:I194 N194">
    <cfRule type="containsBlanks" dxfId="29" priority="46">
      <formula>LEN(TRIM(A194))=0</formula>
    </cfRule>
  </conditionalFormatting>
  <conditionalFormatting sqref="A193:N193">
    <cfRule type="notContainsBlanks" dxfId="7" priority="47">
      <formula>LEN(TRIM(A193))&gt;0</formula>
    </cfRule>
  </conditionalFormatting>
  <conditionalFormatting sqref="A193:I193 N193">
    <cfRule type="containsBlanks" dxfId="29" priority="48">
      <formula>LEN(TRIM(A193))=0</formula>
    </cfRule>
  </conditionalFormatting>
  <conditionalFormatting sqref="A192:N192">
    <cfRule type="notContainsBlanks" dxfId="7" priority="49">
      <formula>LEN(TRIM(A192))&gt;0</formula>
    </cfRule>
  </conditionalFormatting>
  <conditionalFormatting sqref="A192:I192 N192">
    <cfRule type="containsBlanks" dxfId="29" priority="50">
      <formula>LEN(TRIM(A192))=0</formula>
    </cfRule>
  </conditionalFormatting>
  <conditionalFormatting sqref="A188:N191">
    <cfRule type="notContainsBlanks" dxfId="7" priority="51">
      <formula>LEN(TRIM(A188))&gt;0</formula>
    </cfRule>
  </conditionalFormatting>
  <conditionalFormatting sqref="A188:I191 N188:N191">
    <cfRule type="containsBlanks" dxfId="29" priority="52">
      <formula>LEN(TRIM(A188))=0</formula>
    </cfRule>
  </conditionalFormatting>
  <conditionalFormatting sqref="A187:N187">
    <cfRule type="notContainsBlanks" dxfId="7" priority="53">
      <formula>LEN(TRIM(A187))&gt;0</formula>
    </cfRule>
  </conditionalFormatting>
  <conditionalFormatting sqref="A187:I187 N187">
    <cfRule type="containsBlanks" dxfId="29" priority="54">
      <formula>LEN(TRIM(A187))=0</formula>
    </cfRule>
  </conditionalFormatting>
  <conditionalFormatting sqref="A185:N186">
    <cfRule type="notContainsBlanks" dxfId="7" priority="55">
      <formula>LEN(TRIM(A185))&gt;0</formula>
    </cfRule>
  </conditionalFormatting>
  <conditionalFormatting sqref="A185:I186 N185:N186">
    <cfRule type="containsBlanks" dxfId="29" priority="56">
      <formula>LEN(TRIM(A185))=0</formula>
    </cfRule>
  </conditionalFormatting>
  <conditionalFormatting sqref="A183:N184">
    <cfRule type="notContainsBlanks" dxfId="7" priority="57">
      <formula>LEN(TRIM(A183))&gt;0</formula>
    </cfRule>
  </conditionalFormatting>
  <conditionalFormatting sqref="A183:I184 N183:N184">
    <cfRule type="containsBlanks" dxfId="29" priority="58">
      <formula>LEN(TRIM(A183))=0</formula>
    </cfRule>
  </conditionalFormatting>
  <conditionalFormatting sqref="A181:N182">
    <cfRule type="notContainsBlanks" dxfId="7" priority="59">
      <formula>LEN(TRIM(A181))&gt;0</formula>
    </cfRule>
  </conditionalFormatting>
  <conditionalFormatting sqref="A181:I182 N181:N182">
    <cfRule type="containsBlanks" dxfId="29" priority="60">
      <formula>LEN(TRIM(A181))=0</formula>
    </cfRule>
  </conditionalFormatting>
  <conditionalFormatting sqref="A178:N180">
    <cfRule type="notContainsBlanks" dxfId="7" priority="61">
      <formula>LEN(TRIM(A178))&gt;0</formula>
    </cfRule>
  </conditionalFormatting>
  <conditionalFormatting sqref="A178:I180 N178:N180">
    <cfRule type="containsBlanks" dxfId="29" priority="62">
      <formula>LEN(TRIM(A178))=0</formula>
    </cfRule>
  </conditionalFormatting>
  <conditionalFormatting sqref="A177:N177">
    <cfRule type="notContainsBlanks" dxfId="7" priority="63">
      <formula>LEN(TRIM(A177))&gt;0</formula>
    </cfRule>
  </conditionalFormatting>
  <conditionalFormatting sqref="A177:I177 N177">
    <cfRule type="containsBlanks" dxfId="29" priority="64">
      <formula>LEN(TRIM(A177))=0</formula>
    </cfRule>
  </conditionalFormatting>
  <conditionalFormatting sqref="A176:N176">
    <cfRule type="notContainsBlanks" dxfId="7" priority="65">
      <formula>LEN(TRIM(A176))&gt;0</formula>
    </cfRule>
  </conditionalFormatting>
  <conditionalFormatting sqref="A176:I176 N176">
    <cfRule type="containsBlanks" dxfId="29" priority="66">
      <formula>LEN(TRIM(A176))=0</formula>
    </cfRule>
  </conditionalFormatting>
  <conditionalFormatting sqref="A174:N175">
    <cfRule type="notContainsBlanks" dxfId="7" priority="67">
      <formula>LEN(TRIM(A174))&gt;0</formula>
    </cfRule>
  </conditionalFormatting>
  <conditionalFormatting sqref="A174:I175 N174:N175">
    <cfRule type="containsBlanks" dxfId="29" priority="68">
      <formula>LEN(TRIM(A174))=0</formula>
    </cfRule>
  </conditionalFormatting>
  <conditionalFormatting sqref="A172:N173">
    <cfRule type="notContainsBlanks" dxfId="7" priority="69">
      <formula>LEN(TRIM(A172))&gt;0</formula>
    </cfRule>
  </conditionalFormatting>
  <conditionalFormatting sqref="A172:I173 N172:N173">
    <cfRule type="containsBlanks" dxfId="29" priority="70">
      <formula>LEN(TRIM(A172))=0</formula>
    </cfRule>
  </conditionalFormatting>
  <conditionalFormatting sqref="A171:N171">
    <cfRule type="notContainsBlanks" dxfId="7" priority="71">
      <formula>LEN(TRIM(A171))&gt;0</formula>
    </cfRule>
  </conditionalFormatting>
  <conditionalFormatting sqref="A171:I171 N171">
    <cfRule type="containsBlanks" dxfId="29" priority="72">
      <formula>LEN(TRIM(A171))=0</formula>
    </cfRule>
  </conditionalFormatting>
  <conditionalFormatting sqref="A170:N170">
    <cfRule type="notContainsBlanks" dxfId="7" priority="73">
      <formula>LEN(TRIM(A170))&gt;0</formula>
    </cfRule>
  </conditionalFormatting>
  <conditionalFormatting sqref="A170:I170 N170">
    <cfRule type="containsBlanks" dxfId="29" priority="74">
      <formula>LEN(TRIM(A170))=0</formula>
    </cfRule>
  </conditionalFormatting>
  <conditionalFormatting sqref="A163:N169">
    <cfRule type="notContainsBlanks" dxfId="7" priority="75">
      <formula>LEN(TRIM(A163))&gt;0</formula>
    </cfRule>
  </conditionalFormatting>
  <conditionalFormatting sqref="A163:I169 N163:N169">
    <cfRule type="containsBlanks" dxfId="29" priority="76">
      <formula>LEN(TRIM(A163))=0</formula>
    </cfRule>
  </conditionalFormatting>
  <conditionalFormatting sqref="A162:N162">
    <cfRule type="notContainsBlanks" dxfId="7" priority="77">
      <formula>LEN(TRIM(A162))&gt;0</formula>
    </cfRule>
  </conditionalFormatting>
  <conditionalFormatting sqref="A162:I162 N162">
    <cfRule type="containsBlanks" dxfId="29" priority="78">
      <formula>LEN(TRIM(A162))=0</formula>
    </cfRule>
  </conditionalFormatting>
  <conditionalFormatting sqref="A161:N161">
    <cfRule type="notContainsBlanks" dxfId="7" priority="79">
      <formula>LEN(TRIM(A161))&gt;0</formula>
    </cfRule>
  </conditionalFormatting>
  <conditionalFormatting sqref="A161:I161 N161">
    <cfRule type="containsBlanks" dxfId="29" priority="80">
      <formula>LEN(TRIM(A161))=0</formula>
    </cfRule>
  </conditionalFormatting>
  <conditionalFormatting sqref="A159:N160">
    <cfRule type="notContainsBlanks" dxfId="7" priority="81">
      <formula>LEN(TRIM(A159))&gt;0</formula>
    </cfRule>
  </conditionalFormatting>
  <conditionalFormatting sqref="A159:I160 N159:N160">
    <cfRule type="containsBlanks" dxfId="29" priority="82">
      <formula>LEN(TRIM(A159))=0</formula>
    </cfRule>
  </conditionalFormatting>
  <conditionalFormatting sqref="A158:N158">
    <cfRule type="notContainsBlanks" dxfId="7" priority="83">
      <formula>LEN(TRIM(A158))&gt;0</formula>
    </cfRule>
  </conditionalFormatting>
  <conditionalFormatting sqref="A158:I158 N158">
    <cfRule type="containsBlanks" dxfId="29" priority="84">
      <formula>LEN(TRIM(A158))=0</formula>
    </cfRule>
  </conditionalFormatting>
  <conditionalFormatting sqref="A157:N157">
    <cfRule type="notContainsBlanks" dxfId="7" priority="85">
      <formula>LEN(TRIM(A157))&gt;0</formula>
    </cfRule>
  </conditionalFormatting>
  <conditionalFormatting sqref="A157:I157 N157">
    <cfRule type="containsBlanks" dxfId="29" priority="86">
      <formula>LEN(TRIM(A157))=0</formula>
    </cfRule>
  </conditionalFormatting>
  <conditionalFormatting sqref="A153:N156">
    <cfRule type="notContainsBlanks" dxfId="7" priority="87">
      <formula>LEN(TRIM(A153))&gt;0</formula>
    </cfRule>
  </conditionalFormatting>
  <conditionalFormatting sqref="A153:I156 N153:N156">
    <cfRule type="containsBlanks" dxfId="29" priority="88">
      <formula>LEN(TRIM(A153))=0</formula>
    </cfRule>
  </conditionalFormatting>
  <conditionalFormatting sqref="A152:N152">
    <cfRule type="notContainsBlanks" dxfId="7" priority="89">
      <formula>LEN(TRIM(A152))&gt;0</formula>
    </cfRule>
  </conditionalFormatting>
  <conditionalFormatting sqref="A152:I152 N152">
    <cfRule type="containsBlanks" dxfId="29" priority="90">
      <formula>LEN(TRIM(A152))=0</formula>
    </cfRule>
  </conditionalFormatting>
  <conditionalFormatting sqref="A144:N151">
    <cfRule type="notContainsBlanks" dxfId="7" priority="91">
      <formula>LEN(TRIM(A144))&gt;0</formula>
    </cfRule>
  </conditionalFormatting>
  <conditionalFormatting sqref="A144:I151 N144:N151">
    <cfRule type="containsBlanks" dxfId="29" priority="92">
      <formula>LEN(TRIM(A144))=0</formula>
    </cfRule>
  </conditionalFormatting>
  <conditionalFormatting sqref="A141:N143">
    <cfRule type="notContainsBlanks" dxfId="7" priority="93">
      <formula>LEN(TRIM(A141))&gt;0</formula>
    </cfRule>
  </conditionalFormatting>
  <conditionalFormatting sqref="A141:I143 N141:N143">
    <cfRule type="containsBlanks" dxfId="29" priority="94">
      <formula>LEN(TRIM(A141))=0</formula>
    </cfRule>
  </conditionalFormatting>
  <conditionalFormatting sqref="A140:N140">
    <cfRule type="notContainsBlanks" dxfId="7" priority="95">
      <formula>LEN(TRIM(A140))&gt;0</formula>
    </cfRule>
  </conditionalFormatting>
  <conditionalFormatting sqref="A140:I140 N140">
    <cfRule type="containsBlanks" dxfId="29" priority="96">
      <formula>LEN(TRIM(A140))=0</formula>
    </cfRule>
  </conditionalFormatting>
  <conditionalFormatting sqref="A138:N139">
    <cfRule type="notContainsBlanks" dxfId="7" priority="97">
      <formula>LEN(TRIM(A138))&gt;0</formula>
    </cfRule>
  </conditionalFormatting>
  <conditionalFormatting sqref="A138:I139 N138:N139">
    <cfRule type="containsBlanks" dxfId="29" priority="98">
      <formula>LEN(TRIM(A138))=0</formula>
    </cfRule>
  </conditionalFormatting>
  <conditionalFormatting sqref="A128:N137">
    <cfRule type="notContainsBlanks" dxfId="7" priority="99">
      <formula>LEN(TRIM(A128))&gt;0</formula>
    </cfRule>
  </conditionalFormatting>
  <conditionalFormatting sqref="A128:I137 N128:N137">
    <cfRule type="containsBlanks" dxfId="29" priority="100">
      <formula>LEN(TRIM(A128))=0</formula>
    </cfRule>
  </conditionalFormatting>
  <conditionalFormatting sqref="A125:N127">
    <cfRule type="notContainsBlanks" dxfId="7" priority="101">
      <formula>LEN(TRIM(A125))&gt;0</formula>
    </cfRule>
  </conditionalFormatting>
  <conditionalFormatting sqref="A125:I127 N125:N127">
    <cfRule type="containsBlanks" dxfId="29" priority="102">
      <formula>LEN(TRIM(A125))=0</formula>
    </cfRule>
  </conditionalFormatting>
  <conditionalFormatting sqref="A118:N124">
    <cfRule type="notContainsBlanks" dxfId="7" priority="103">
      <formula>LEN(TRIM(A118))&gt;0</formula>
    </cfRule>
  </conditionalFormatting>
  <conditionalFormatting sqref="A118:I124 N118:N124">
    <cfRule type="containsBlanks" dxfId="29" priority="104">
      <formula>LEN(TRIM(A118))=0</formula>
    </cfRule>
  </conditionalFormatting>
  <conditionalFormatting sqref="A116:N117">
    <cfRule type="notContainsBlanks" dxfId="7" priority="105">
      <formula>LEN(TRIM(A116))&gt;0</formula>
    </cfRule>
  </conditionalFormatting>
  <conditionalFormatting sqref="A116:I117 N116:N117">
    <cfRule type="containsBlanks" dxfId="29" priority="106">
      <formula>LEN(TRIM(A116))=0</formula>
    </cfRule>
  </conditionalFormatting>
  <conditionalFormatting sqref="A115:N115">
    <cfRule type="notContainsBlanks" dxfId="7" priority="107">
      <formula>LEN(TRIM(A115))&gt;0</formula>
    </cfRule>
  </conditionalFormatting>
  <conditionalFormatting sqref="A115:I115 N115">
    <cfRule type="containsBlanks" dxfId="29" priority="108">
      <formula>LEN(TRIM(A115))=0</formula>
    </cfRule>
  </conditionalFormatting>
  <conditionalFormatting sqref="A114:N114">
    <cfRule type="notContainsBlanks" dxfId="7" priority="109">
      <formula>LEN(TRIM(A114))&gt;0</formula>
    </cfRule>
  </conditionalFormatting>
  <conditionalFormatting sqref="A114:I114 N114">
    <cfRule type="containsBlanks" dxfId="29" priority="110">
      <formula>LEN(TRIM(A114))=0</formula>
    </cfRule>
  </conditionalFormatting>
  <conditionalFormatting sqref="A110:N113">
    <cfRule type="notContainsBlanks" dxfId="7" priority="111">
      <formula>LEN(TRIM(A110))&gt;0</formula>
    </cfRule>
  </conditionalFormatting>
  <conditionalFormatting sqref="A110:I113 N110:N113">
    <cfRule type="containsBlanks" dxfId="29" priority="112">
      <formula>LEN(TRIM(A110))=0</formula>
    </cfRule>
  </conditionalFormatting>
  <conditionalFormatting sqref="A109:N109">
    <cfRule type="notContainsBlanks" dxfId="7" priority="113">
      <formula>LEN(TRIM(A109))&gt;0</formula>
    </cfRule>
  </conditionalFormatting>
  <conditionalFormatting sqref="A109:I109 N109">
    <cfRule type="containsBlanks" dxfId="29" priority="114">
      <formula>LEN(TRIM(A109))=0</formula>
    </cfRule>
  </conditionalFormatting>
  <conditionalFormatting sqref="A106:N108">
    <cfRule type="notContainsBlanks" dxfId="7" priority="115">
      <formula>LEN(TRIM(A106))&gt;0</formula>
    </cfRule>
  </conditionalFormatting>
  <conditionalFormatting sqref="A106:I108 N106:N108">
    <cfRule type="containsBlanks" dxfId="29" priority="116">
      <formula>LEN(TRIM(A106))=0</formula>
    </cfRule>
  </conditionalFormatting>
  <conditionalFormatting sqref="A99:N105">
    <cfRule type="notContainsBlanks" dxfId="7" priority="117">
      <formula>LEN(TRIM(A99))&gt;0</formula>
    </cfRule>
  </conditionalFormatting>
  <conditionalFormatting sqref="A99:I105 N99:N105">
    <cfRule type="containsBlanks" dxfId="29" priority="118">
      <formula>LEN(TRIM(A99))=0</formula>
    </cfRule>
  </conditionalFormatting>
  <conditionalFormatting sqref="A91:N98">
    <cfRule type="notContainsBlanks" dxfId="7" priority="119">
      <formula>LEN(TRIM(A91))&gt;0</formula>
    </cfRule>
  </conditionalFormatting>
  <conditionalFormatting sqref="A91:I98 N91:N98">
    <cfRule type="containsBlanks" dxfId="29" priority="120">
      <formula>LEN(TRIM(A91))=0</formula>
    </cfRule>
  </conditionalFormatting>
  <conditionalFormatting sqref="A90:N90">
    <cfRule type="notContainsBlanks" dxfId="7" priority="121">
      <formula>LEN(TRIM(A90))&gt;0</formula>
    </cfRule>
  </conditionalFormatting>
  <conditionalFormatting sqref="A90:I90 N90">
    <cfRule type="containsBlanks" dxfId="29" priority="122">
      <formula>LEN(TRIM(A90))=0</formula>
    </cfRule>
  </conditionalFormatting>
  <conditionalFormatting sqref="A89:N89">
    <cfRule type="notContainsBlanks" dxfId="7" priority="123">
      <formula>LEN(TRIM(A89))&gt;0</formula>
    </cfRule>
  </conditionalFormatting>
  <conditionalFormatting sqref="A89:I89 N89">
    <cfRule type="containsBlanks" dxfId="29" priority="124">
      <formula>LEN(TRIM(A89))=0</formula>
    </cfRule>
  </conditionalFormatting>
  <conditionalFormatting sqref="A88:N88">
    <cfRule type="notContainsBlanks" dxfId="7" priority="125">
      <formula>LEN(TRIM(A88))&gt;0</formula>
    </cfRule>
  </conditionalFormatting>
  <conditionalFormatting sqref="A88:I88 N88">
    <cfRule type="containsBlanks" dxfId="29" priority="126">
      <formula>LEN(TRIM(A88))=0</formula>
    </cfRule>
  </conditionalFormatting>
  <conditionalFormatting sqref="A85:N87">
    <cfRule type="notContainsBlanks" dxfId="7" priority="127">
      <formula>LEN(TRIM(A85))&gt;0</formula>
    </cfRule>
  </conditionalFormatting>
  <conditionalFormatting sqref="A85:I87 N85:N87">
    <cfRule type="containsBlanks" dxfId="29" priority="128">
      <formula>LEN(TRIM(A85))=0</formula>
    </cfRule>
  </conditionalFormatting>
  <conditionalFormatting sqref="A49:N49 A81:N84">
    <cfRule type="notContainsBlanks" dxfId="7" priority="129">
      <formula>LEN(TRIM(A49))&gt;0</formula>
    </cfRule>
  </conditionalFormatting>
  <conditionalFormatting sqref="A49:I49 N49 A81:I84 N81:N84">
    <cfRule type="containsBlanks" dxfId="29" priority="130">
      <formula>LEN(TRIM(A49))=0</formula>
    </cfRule>
  </conditionalFormatting>
  <conditionalFormatting sqref="A78:N80">
    <cfRule type="notContainsBlanks" dxfId="7" priority="131">
      <formula>LEN(TRIM(A78))&gt;0</formula>
    </cfRule>
  </conditionalFormatting>
  <conditionalFormatting sqref="A78:I80 N78:N80">
    <cfRule type="containsBlanks" dxfId="29" priority="132">
      <formula>LEN(TRIM(A78))=0</formula>
    </cfRule>
  </conditionalFormatting>
  <conditionalFormatting sqref="A75:N77">
    <cfRule type="notContainsBlanks" dxfId="7" priority="133">
      <formula>LEN(TRIM(A75))&gt;0</formula>
    </cfRule>
  </conditionalFormatting>
  <conditionalFormatting sqref="A75:I77 N75:N77">
    <cfRule type="containsBlanks" dxfId="29" priority="134">
      <formula>LEN(TRIM(A75))=0</formula>
    </cfRule>
  </conditionalFormatting>
  <conditionalFormatting sqref="A73:N74">
    <cfRule type="notContainsBlanks" dxfId="7" priority="135">
      <formula>LEN(TRIM(A73))&gt;0</formula>
    </cfRule>
  </conditionalFormatting>
  <conditionalFormatting sqref="A73:I74 N73:N74">
    <cfRule type="containsBlanks" dxfId="29" priority="136">
      <formula>LEN(TRIM(A73))=0</formula>
    </cfRule>
  </conditionalFormatting>
  <conditionalFormatting sqref="A72:N72">
    <cfRule type="notContainsBlanks" dxfId="7" priority="137">
      <formula>LEN(TRIM(A72))&gt;0</formula>
    </cfRule>
  </conditionalFormatting>
  <conditionalFormatting sqref="A72:I72 N72">
    <cfRule type="containsBlanks" dxfId="29" priority="138">
      <formula>LEN(TRIM(A72))=0</formula>
    </cfRule>
  </conditionalFormatting>
  <conditionalFormatting sqref="A71:N71">
    <cfRule type="notContainsBlanks" dxfId="7" priority="139">
      <formula>LEN(TRIM(A71))&gt;0</formula>
    </cfRule>
  </conditionalFormatting>
  <conditionalFormatting sqref="A71:I71 N71">
    <cfRule type="containsBlanks" dxfId="29" priority="140">
      <formula>LEN(TRIM(A71))=0</formula>
    </cfRule>
  </conditionalFormatting>
  <conditionalFormatting sqref="A68:N70">
    <cfRule type="notContainsBlanks" dxfId="7" priority="141">
      <formula>LEN(TRIM(A68))&gt;0</formula>
    </cfRule>
  </conditionalFormatting>
  <conditionalFormatting sqref="A68:I70 N68:N70">
    <cfRule type="containsBlanks" dxfId="29" priority="142">
      <formula>LEN(TRIM(A68))=0</formula>
    </cfRule>
  </conditionalFormatting>
  <conditionalFormatting sqref="A65:N67">
    <cfRule type="notContainsBlanks" dxfId="7" priority="143">
      <formula>LEN(TRIM(A65))&gt;0</formula>
    </cfRule>
  </conditionalFormatting>
  <conditionalFormatting sqref="A65:I67 N65:N67">
    <cfRule type="containsBlanks" dxfId="29" priority="144">
      <formula>LEN(TRIM(A65))=0</formula>
    </cfRule>
  </conditionalFormatting>
  <conditionalFormatting sqref="A64:N64">
    <cfRule type="notContainsBlanks" dxfId="7" priority="145">
      <formula>LEN(TRIM(A64))&gt;0</formula>
    </cfRule>
  </conditionalFormatting>
  <conditionalFormatting sqref="A64:I64 N64">
    <cfRule type="containsBlanks" dxfId="29" priority="146">
      <formula>LEN(TRIM(A64))=0</formula>
    </cfRule>
  </conditionalFormatting>
  <conditionalFormatting sqref="A62:N63">
    <cfRule type="notContainsBlanks" dxfId="7" priority="147">
      <formula>LEN(TRIM(A62))&gt;0</formula>
    </cfRule>
  </conditionalFormatting>
  <conditionalFormatting sqref="A62:I63 N62:N63">
    <cfRule type="containsBlanks" dxfId="29" priority="148">
      <formula>LEN(TRIM(A62))=0</formula>
    </cfRule>
  </conditionalFormatting>
  <conditionalFormatting sqref="A61:N61">
    <cfRule type="notContainsBlanks" dxfId="7" priority="149">
      <formula>LEN(TRIM(A61))&gt;0</formula>
    </cfRule>
  </conditionalFormatting>
  <conditionalFormatting sqref="A61:I61 N61">
    <cfRule type="containsBlanks" dxfId="29" priority="150">
      <formula>LEN(TRIM(A61))=0</formula>
    </cfRule>
  </conditionalFormatting>
  <conditionalFormatting sqref="A57:N60">
    <cfRule type="notContainsBlanks" dxfId="7" priority="151">
      <formula>LEN(TRIM(A57))&gt;0</formula>
    </cfRule>
  </conditionalFormatting>
  <conditionalFormatting sqref="A57:I60 N57:N60">
    <cfRule type="containsBlanks" dxfId="29" priority="152">
      <formula>LEN(TRIM(A57))=0</formula>
    </cfRule>
  </conditionalFormatting>
  <conditionalFormatting sqref="A53:N56">
    <cfRule type="notContainsBlanks" dxfId="7" priority="153">
      <formula>LEN(TRIM(A53))&gt;0</formula>
    </cfRule>
  </conditionalFormatting>
  <conditionalFormatting sqref="A53:I56 N53:N56">
    <cfRule type="containsBlanks" dxfId="29" priority="154">
      <formula>LEN(TRIM(A53))=0</formula>
    </cfRule>
  </conditionalFormatting>
  <conditionalFormatting sqref="A2:N48 A50:N52">
    <cfRule type="notContainsBlanks" dxfId="7" priority="155">
      <formula>LEN(TRIM(A2))&gt;0</formula>
    </cfRule>
  </conditionalFormatting>
  <conditionalFormatting sqref="A2:I48 N2:N48 A50:I52 N50:N52">
    <cfRule type="containsBlanks" dxfId="29" priority="156">
      <formula>LEN(TRIM(A2))=0</formula>
    </cfRule>
  </conditionalFormatting>
  <conditionalFormatting sqref="A1:N1">
    <cfRule type="notContainsBlanks" dxfId="7" priority="157">
      <formula>LEN(TRIM(A1))&gt;0</formula>
    </cfRule>
  </conditionalFormatting>
  <conditionalFormatting sqref="A1:I1 N1">
    <cfRule type="containsBlanks" dxfId="29" priority="158">
      <formula>LEN(TRIM(A1))=0</formula>
    </cfRule>
  </conditionalFormatting>
  <dataValidations>
    <dataValidation type="list" allowBlank="1" showErrorMessage="1" sqref="G2:G48 G50:G81">
      <formula1>"CH,DA,DC,DM,FA,LM"</formula1>
    </dataValidation>
    <dataValidation type="list" allowBlank="1" showErrorMessage="1" sqref="I2:I48 I50:I81">
      <formula1>Data!$A$2:$A1046</formula1>
    </dataValidation>
    <dataValidation type="custom" allowBlank="1" showDropDown="1" showInputMessage="1" showErrorMessage="1" prompt="CAPITALS" sqref="A1:A48 A50:A81 A135:A165">
      <formula1>ISERROR(SEARCH((exact(upper(B:N),B:N)),(A1)))</formula1>
    </dataValidation>
    <dataValidation type="list" allowBlank="1" showErrorMessage="1" sqref="E2:E48 E50:E81">
      <formula1>Data!$B$1:$B$44</formula1>
    </dataValidation>
    <dataValidation type="custom" allowBlank="1" showDropDown="1" showInputMessage="1" showErrorMessage="1" prompt="CAPITALS" sqref="B1:B48 B50:B81 B135:B165">
      <formula1>ISERROR(SEARCH((exact(upper(B:O),B:O)),(B1)))</formula1>
    </dataValidation>
    <dataValidation type="list" allowBlank="1" showErrorMessage="1" sqref="F2:F48 F50:F81">
      <formula1>"F,M"</formula1>
    </dataValidation>
    <dataValidation type="list" allowBlank="1" showErrorMessage="1" sqref="J2:L48 J50:L81">
      <formula1>"X"</formula1>
    </dataValidation>
    <dataValidation type="list" allowBlank="1" showInputMessage="1" showErrorMessage="1" prompt="Click and enter a value from range 'Insurance Data'!C2:C608" sqref="D2:D48 D50:D81">
      <formula1>Data!$C:$C</formula1>
    </dataValidation>
    <dataValidation type="list" allowBlank="1" showErrorMessage="1" sqref="H2:H48 H50:H81">
      <formula1>"LOPEZ,MARTINEZ,TORRES,CAMPOS,THOMAS"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27.57"/>
    <col customWidth="1" min="2" max="2" width="6.43"/>
    <col customWidth="1" min="3" max="3" width="2.14"/>
    <col customWidth="1" min="4" max="4" width="9.71"/>
    <col customWidth="1" min="5" max="5" width="10.71"/>
    <col customWidth="1" min="6" max="6" width="11.57"/>
    <col customWidth="1" min="7" max="7" width="8.43"/>
    <col customWidth="1" min="8" max="8" width="8.29"/>
    <col customWidth="1" min="9" max="9" width="12.71"/>
    <col customWidth="1" min="10" max="10" width="36.71"/>
    <col customWidth="1" min="11" max="11" width="8.29"/>
    <col customWidth="1" min="12" max="12" width="8.57"/>
    <col customWidth="1" min="13" max="13" width="7.57"/>
    <col customWidth="1" min="14" max="14" width="7.0"/>
    <col customWidth="1" min="15" max="15" width="2.14"/>
    <col customWidth="1" hidden="1" min="16" max="20" width="12.57"/>
    <col customWidth="1" hidden="1" min="21" max="21" width="2.14"/>
    <col customWidth="1" min="22" max="22" width="14.86"/>
    <col customWidth="1" hidden="1" min="23" max="24" width="34.57"/>
    <col customWidth="1" hidden="1" min="25" max="25" width="12.14"/>
    <col customWidth="1" hidden="1" min="26" max="26" width="1.57"/>
    <col customWidth="1" min="27" max="27" width="9.57"/>
  </cols>
  <sheetData>
    <row r="1">
      <c r="A1" s="204" t="s">
        <v>24</v>
      </c>
      <c r="B1" s="205" t="s">
        <v>6237</v>
      </c>
      <c r="C1" s="206"/>
      <c r="D1" s="207" t="s">
        <v>25</v>
      </c>
      <c r="E1" s="207" t="s">
        <v>21</v>
      </c>
      <c r="F1" s="208" t="s">
        <v>6077</v>
      </c>
      <c r="G1" s="208" t="s">
        <v>6318</v>
      </c>
      <c r="H1" s="209" t="s">
        <v>2</v>
      </c>
      <c r="I1" s="209" t="s">
        <v>6206</v>
      </c>
      <c r="J1" s="209" t="s">
        <v>6135</v>
      </c>
      <c r="K1" s="208" t="s">
        <v>6238</v>
      </c>
      <c r="L1" s="208" t="s">
        <v>6239</v>
      </c>
      <c r="M1" s="208" t="s">
        <v>6240</v>
      </c>
      <c r="N1" s="210" t="s">
        <v>7</v>
      </c>
      <c r="O1" s="206"/>
      <c r="P1" s="207" t="s">
        <v>6188</v>
      </c>
      <c r="Q1" s="208" t="s">
        <v>6319</v>
      </c>
      <c r="R1" s="208" t="s">
        <v>6132</v>
      </c>
      <c r="S1" s="208" t="s">
        <v>6134</v>
      </c>
      <c r="T1" s="208" t="s">
        <v>6147</v>
      </c>
      <c r="U1" s="211"/>
      <c r="V1" s="212" t="s">
        <v>6320</v>
      </c>
      <c r="W1" s="207"/>
      <c r="X1" s="209"/>
      <c r="Y1" s="208" t="s">
        <v>6321</v>
      </c>
      <c r="Z1" s="213"/>
      <c r="AA1" s="241"/>
    </row>
    <row r="2">
      <c r="A2" s="214" t="s">
        <v>1171</v>
      </c>
      <c r="B2" s="215">
        <v>11883.0</v>
      </c>
      <c r="C2" s="216" t="s">
        <v>6322</v>
      </c>
      <c r="D2" s="226">
        <v>18355.0</v>
      </c>
      <c r="E2" s="218">
        <v>44566.0</v>
      </c>
      <c r="F2" s="219">
        <v>0.3333333333333333</v>
      </c>
      <c r="G2" s="220" t="s">
        <v>6328</v>
      </c>
      <c r="H2" s="221" t="s">
        <v>15</v>
      </c>
      <c r="I2" s="222" t="s">
        <v>6219</v>
      </c>
      <c r="J2" s="223" t="s">
        <v>6199</v>
      </c>
      <c r="K2" s="242"/>
      <c r="L2" s="224" t="s">
        <v>6242</v>
      </c>
      <c r="M2" s="224"/>
      <c r="N2" s="225"/>
      <c r="O2" s="216" t="s">
        <v>6322</v>
      </c>
      <c r="P2" s="226" t="e">
        <v>#VALUE!</v>
      </c>
      <c r="Q2" s="227" t="e">
        <v>#VALUE!</v>
      </c>
      <c r="R2" s="228" t="e">
        <v>#VALUE!</v>
      </c>
      <c r="S2" s="220" t="e">
        <v>#VALUE!</v>
      </c>
      <c r="T2" s="220" t="e">
        <v>#VALUE!</v>
      </c>
      <c r="U2" s="221">
        <v>0.0</v>
      </c>
      <c r="V2" s="229" t="s">
        <v>5</v>
      </c>
      <c r="W2" s="24" t="s">
        <v>6329</v>
      </c>
      <c r="X2" s="222" t="s">
        <v>6329</v>
      </c>
      <c r="Y2" s="222" t="s">
        <v>6327</v>
      </c>
      <c r="Z2" s="224" t="s">
        <v>6325</v>
      </c>
      <c r="AA2" s="243"/>
    </row>
    <row r="3">
      <c r="A3" s="214" t="s">
        <v>4016</v>
      </c>
      <c r="B3" s="215">
        <v>15643.0</v>
      </c>
      <c r="C3" s="216" t="s">
        <v>6322</v>
      </c>
      <c r="D3" s="226">
        <v>26218.0</v>
      </c>
      <c r="E3" s="218">
        <v>44566.0</v>
      </c>
      <c r="F3" s="219">
        <v>0.3541666666666667</v>
      </c>
      <c r="G3" s="220" t="s">
        <v>6323</v>
      </c>
      <c r="H3" s="221" t="s">
        <v>15</v>
      </c>
      <c r="I3" s="222" t="s">
        <v>6219</v>
      </c>
      <c r="J3" s="223" t="s">
        <v>6158</v>
      </c>
      <c r="K3" s="224"/>
      <c r="L3" s="224" t="s">
        <v>6242</v>
      </c>
      <c r="M3" s="224"/>
      <c r="N3" s="225"/>
      <c r="O3" s="216" t="s">
        <v>6322</v>
      </c>
      <c r="P3" s="226" t="e">
        <v>#VALUE!</v>
      </c>
      <c r="Q3" s="227" t="e">
        <v>#VALUE!</v>
      </c>
      <c r="R3" s="228" t="e">
        <v>#VALUE!</v>
      </c>
      <c r="S3" s="220" t="e">
        <v>#VALUE!</v>
      </c>
      <c r="T3" s="220" t="e">
        <v>#VALUE!</v>
      </c>
      <c r="U3" s="221">
        <v>0.0</v>
      </c>
      <c r="V3" s="229" t="s">
        <v>5</v>
      </c>
      <c r="W3" s="24" t="s">
        <v>6329</v>
      </c>
      <c r="X3" s="222" t="s">
        <v>6329</v>
      </c>
      <c r="Y3" s="222" t="s">
        <v>6327</v>
      </c>
      <c r="Z3" s="224" t="s">
        <v>6325</v>
      </c>
      <c r="AA3" s="243"/>
    </row>
    <row r="4">
      <c r="A4" s="214" t="s">
        <v>268</v>
      </c>
      <c r="B4" s="215">
        <v>9716.0</v>
      </c>
      <c r="C4" s="216" t="s">
        <v>6322</v>
      </c>
      <c r="D4" s="226">
        <v>20692.0</v>
      </c>
      <c r="E4" s="218">
        <v>44566.0</v>
      </c>
      <c r="F4" s="219">
        <v>0.3645833333333333</v>
      </c>
      <c r="G4" s="220" t="s">
        <v>6323</v>
      </c>
      <c r="H4" s="221" t="s">
        <v>14</v>
      </c>
      <c r="I4" s="222" t="s">
        <v>6222</v>
      </c>
      <c r="J4" s="223" t="s">
        <v>6196</v>
      </c>
      <c r="K4" s="242"/>
      <c r="L4" s="224" t="s">
        <v>6242</v>
      </c>
      <c r="M4" s="224"/>
      <c r="N4" s="225"/>
      <c r="O4" s="216" t="s">
        <v>6322</v>
      </c>
      <c r="P4" s="226" t="s">
        <v>6242</v>
      </c>
      <c r="Q4" s="227" t="e">
        <v>#VALUE!</v>
      </c>
      <c r="R4" s="228" t="e">
        <v>#VALUE!</v>
      </c>
      <c r="S4" s="220" t="e">
        <v>#VALUE!</v>
      </c>
      <c r="T4" s="220" t="e">
        <v>#VALUE!</v>
      </c>
      <c r="U4" s="221">
        <v>1.0</v>
      </c>
      <c r="V4" s="229" t="s">
        <v>6216</v>
      </c>
      <c r="W4" s="24" t="s">
        <v>6324</v>
      </c>
      <c r="X4" s="222" t="s">
        <v>6324</v>
      </c>
      <c r="Y4" s="222" t="s">
        <v>6327</v>
      </c>
      <c r="Z4" s="224" t="s">
        <v>6325</v>
      </c>
      <c r="AA4" s="243"/>
    </row>
    <row r="5">
      <c r="A5" s="214" t="s">
        <v>5079</v>
      </c>
      <c r="B5" s="215">
        <v>16941.0</v>
      </c>
      <c r="C5" s="216" t="s">
        <v>6322</v>
      </c>
      <c r="D5" s="226">
        <v>21789.0</v>
      </c>
      <c r="E5" s="218">
        <v>44566.0</v>
      </c>
      <c r="F5" s="219">
        <v>0.3645833333333333</v>
      </c>
      <c r="G5" s="220" t="s">
        <v>6323</v>
      </c>
      <c r="H5" s="221" t="s">
        <v>15</v>
      </c>
      <c r="I5" s="222" t="s">
        <v>6219</v>
      </c>
      <c r="J5" s="223" t="s">
        <v>6094</v>
      </c>
      <c r="K5" s="224"/>
      <c r="L5" s="224" t="s">
        <v>6242</v>
      </c>
      <c r="M5" s="224"/>
      <c r="N5" s="225"/>
      <c r="O5" s="216" t="s">
        <v>6322</v>
      </c>
      <c r="P5" s="226" t="e">
        <v>#VALUE!</v>
      </c>
      <c r="Q5" s="227" t="e">
        <v>#VALUE!</v>
      </c>
      <c r="R5" s="228" t="e">
        <v>#VALUE!</v>
      </c>
      <c r="S5" s="220" t="e">
        <v>#VALUE!</v>
      </c>
      <c r="T5" s="220" t="e">
        <v>#VALUE!</v>
      </c>
      <c r="U5" s="221">
        <v>0.0</v>
      </c>
      <c r="V5" s="229" t="s">
        <v>5</v>
      </c>
      <c r="W5" s="24" t="s">
        <v>6329</v>
      </c>
      <c r="X5" s="222" t="s">
        <v>6329</v>
      </c>
      <c r="Y5" s="222" t="s">
        <v>6327</v>
      </c>
      <c r="Z5" s="224" t="s">
        <v>6325</v>
      </c>
      <c r="AA5" s="243"/>
    </row>
    <row r="6">
      <c r="A6" s="214" t="s">
        <v>1344</v>
      </c>
      <c r="B6" s="215">
        <v>12250.0</v>
      </c>
      <c r="C6" s="216" t="s">
        <v>6322</v>
      </c>
      <c r="D6" s="226">
        <v>23723.0</v>
      </c>
      <c r="E6" s="218">
        <v>44566.0</v>
      </c>
      <c r="F6" s="219">
        <v>0.40625</v>
      </c>
      <c r="G6" s="220" t="s">
        <v>6328</v>
      </c>
      <c r="H6" s="221" t="s">
        <v>14</v>
      </c>
      <c r="I6" s="222" t="s">
        <v>6222</v>
      </c>
      <c r="J6" s="223" t="s">
        <v>6154</v>
      </c>
      <c r="K6" s="242"/>
      <c r="L6" s="224" t="s">
        <v>6242</v>
      </c>
      <c r="M6" s="224"/>
      <c r="N6" s="225"/>
      <c r="O6" s="216" t="s">
        <v>6322</v>
      </c>
      <c r="P6" s="226" t="e">
        <v>#VALUE!</v>
      </c>
      <c r="Q6" s="227" t="e">
        <v>#VALUE!</v>
      </c>
      <c r="R6" s="228" t="e">
        <v>#VALUE!</v>
      </c>
      <c r="S6" s="220" t="e">
        <v>#VALUE!</v>
      </c>
      <c r="T6" s="220" t="e">
        <v>#VALUE!</v>
      </c>
      <c r="U6" s="221">
        <v>0.0</v>
      </c>
      <c r="V6" s="229" t="e">
        <v>#N/A</v>
      </c>
      <c r="W6" s="24" t="e">
        <v>#N/A</v>
      </c>
      <c r="X6" s="222" t="s">
        <v>6329</v>
      </c>
      <c r="Y6" s="222" t="e">
        <v>#N/A</v>
      </c>
      <c r="Z6" s="224" t="s">
        <v>6325</v>
      </c>
      <c r="AA6" s="243"/>
    </row>
    <row r="7">
      <c r="A7" s="214" t="s">
        <v>4081</v>
      </c>
      <c r="B7" s="215">
        <v>15713.0</v>
      </c>
      <c r="C7" s="216" t="s">
        <v>6322</v>
      </c>
      <c r="D7" s="226">
        <v>18132.0</v>
      </c>
      <c r="E7" s="218">
        <v>44566.0</v>
      </c>
      <c r="F7" s="219">
        <v>0.40625</v>
      </c>
      <c r="G7" s="220" t="s">
        <v>6328</v>
      </c>
      <c r="H7" s="221" t="s">
        <v>15</v>
      </c>
      <c r="I7" s="222" t="s">
        <v>6219</v>
      </c>
      <c r="J7" s="223" t="s">
        <v>6199</v>
      </c>
      <c r="K7" s="242"/>
      <c r="L7" s="224" t="s">
        <v>6242</v>
      </c>
      <c r="M7" s="224"/>
      <c r="N7" s="225"/>
      <c r="O7" s="216" t="s">
        <v>6322</v>
      </c>
      <c r="P7" s="226" t="e">
        <v>#VALUE!</v>
      </c>
      <c r="Q7" s="227" t="e">
        <v>#VALUE!</v>
      </c>
      <c r="R7" s="228" t="e">
        <v>#VALUE!</v>
      </c>
      <c r="S7" s="220" t="e">
        <v>#VALUE!</v>
      </c>
      <c r="T7" s="220" t="e">
        <v>#VALUE!</v>
      </c>
      <c r="U7" s="221">
        <v>0.0</v>
      </c>
      <c r="V7" s="229" t="s">
        <v>5</v>
      </c>
      <c r="W7" s="24" t="s">
        <v>6329</v>
      </c>
      <c r="X7" s="222" t="s">
        <v>6329</v>
      </c>
      <c r="Y7" s="222" t="s">
        <v>6327</v>
      </c>
      <c r="Z7" s="224" t="s">
        <v>6325</v>
      </c>
      <c r="AA7" s="243"/>
    </row>
    <row r="8">
      <c r="A8" s="214" t="s">
        <v>2469</v>
      </c>
      <c r="B8" s="215">
        <v>13739.0</v>
      </c>
      <c r="C8" s="216" t="s">
        <v>6322</v>
      </c>
      <c r="D8" s="226">
        <v>22361.0</v>
      </c>
      <c r="E8" s="218">
        <v>44566.0</v>
      </c>
      <c r="F8" s="219">
        <v>0.4270833333333333</v>
      </c>
      <c r="G8" s="220" t="s">
        <v>6328</v>
      </c>
      <c r="H8" s="221" t="s">
        <v>13</v>
      </c>
      <c r="I8" s="222" t="s">
        <v>6212</v>
      </c>
      <c r="J8" s="223" t="s">
        <v>6196</v>
      </c>
      <c r="K8" s="242"/>
      <c r="L8" s="224" t="s">
        <v>6242</v>
      </c>
      <c r="M8" s="224" t="s">
        <v>6242</v>
      </c>
      <c r="N8" s="225"/>
      <c r="O8" s="216" t="s">
        <v>6322</v>
      </c>
      <c r="P8" s="226" t="s">
        <v>6242</v>
      </c>
      <c r="Q8" s="227" t="e">
        <v>#VALUE!</v>
      </c>
      <c r="R8" s="228" t="e">
        <v>#VALUE!</v>
      </c>
      <c r="S8" s="220" t="e">
        <v>#VALUE!</v>
      </c>
      <c r="T8" s="220" t="e">
        <v>#VALUE!</v>
      </c>
      <c r="U8" s="221">
        <v>1.0</v>
      </c>
      <c r="V8" s="229" t="s">
        <v>6220</v>
      </c>
      <c r="W8" s="24" t="s">
        <v>6330</v>
      </c>
      <c r="X8" s="222" t="s">
        <v>6330</v>
      </c>
      <c r="Y8" s="222" t="s">
        <v>6327</v>
      </c>
      <c r="Z8" s="224" t="s">
        <v>6325</v>
      </c>
      <c r="AA8" s="243"/>
    </row>
    <row r="9">
      <c r="A9" s="214" t="s">
        <v>4267</v>
      </c>
      <c r="B9" s="215">
        <v>15916.0</v>
      </c>
      <c r="C9" s="216" t="s">
        <v>6322</v>
      </c>
      <c r="D9" s="226">
        <v>24736.0</v>
      </c>
      <c r="E9" s="218">
        <v>44566.0</v>
      </c>
      <c r="F9" s="219">
        <v>0.4166666666666667</v>
      </c>
      <c r="G9" s="220" t="s">
        <v>6323</v>
      </c>
      <c r="H9" s="221" t="s">
        <v>12</v>
      </c>
      <c r="I9" s="222" t="s">
        <v>6212</v>
      </c>
      <c r="J9" s="223" t="s">
        <v>6142</v>
      </c>
      <c r="K9" s="242"/>
      <c r="L9" s="224" t="s">
        <v>6242</v>
      </c>
      <c r="M9" s="224" t="s">
        <v>6242</v>
      </c>
      <c r="N9" s="225"/>
      <c r="O9" s="216" t="s">
        <v>6322</v>
      </c>
      <c r="P9" s="226" t="e">
        <v>#VALUE!</v>
      </c>
      <c r="Q9" s="227" t="s">
        <v>6242</v>
      </c>
      <c r="R9" s="228" t="e">
        <v>#VALUE!</v>
      </c>
      <c r="S9" s="220" t="e">
        <v>#VALUE!</v>
      </c>
      <c r="T9" s="220" t="e">
        <v>#VALUE!</v>
      </c>
      <c r="U9" s="221">
        <v>1.0</v>
      </c>
      <c r="V9" s="229" t="s">
        <v>6220</v>
      </c>
      <c r="W9" s="24" t="s">
        <v>6330</v>
      </c>
      <c r="X9" s="222" t="s">
        <v>6330</v>
      </c>
      <c r="Y9" s="222" t="s">
        <v>6327</v>
      </c>
      <c r="Z9" s="224" t="s">
        <v>6325</v>
      </c>
      <c r="AA9" s="243"/>
    </row>
    <row r="10">
      <c r="A10" s="214" t="s">
        <v>3954</v>
      </c>
      <c r="B10" s="215">
        <v>15573.0</v>
      </c>
      <c r="C10" s="216" t="s">
        <v>6322</v>
      </c>
      <c r="D10" s="226">
        <v>26123.0</v>
      </c>
      <c r="E10" s="218">
        <v>44566.0</v>
      </c>
      <c r="F10" s="219">
        <v>0.375</v>
      </c>
      <c r="G10" s="220" t="s">
        <v>6323</v>
      </c>
      <c r="H10" s="221" t="s">
        <v>15</v>
      </c>
      <c r="I10" s="222" t="s">
        <v>6219</v>
      </c>
      <c r="J10" s="223" t="s">
        <v>6142</v>
      </c>
      <c r="K10" s="242"/>
      <c r="L10" s="224" t="s">
        <v>6242</v>
      </c>
      <c r="M10" s="224"/>
      <c r="N10" s="224" t="s">
        <v>6340</v>
      </c>
      <c r="O10" s="216" t="s">
        <v>6322</v>
      </c>
      <c r="P10" s="226" t="e">
        <v>#VALUE!</v>
      </c>
      <c r="Q10" s="227" t="s">
        <v>6242</v>
      </c>
      <c r="R10" s="228" t="e">
        <v>#VALUE!</v>
      </c>
      <c r="S10" s="220" t="e">
        <v>#VALUE!</v>
      </c>
      <c r="T10" s="220" t="e">
        <v>#VALUE!</v>
      </c>
      <c r="U10" s="221">
        <v>1.0</v>
      </c>
      <c r="V10" s="229" t="s">
        <v>6224</v>
      </c>
      <c r="W10" s="24" t="s">
        <v>6345</v>
      </c>
      <c r="X10" s="222" t="s">
        <v>6345</v>
      </c>
      <c r="Y10" s="222" t="s">
        <v>6327</v>
      </c>
      <c r="Z10" s="224" t="s">
        <v>6325</v>
      </c>
      <c r="AA10" s="243"/>
    </row>
    <row r="11">
      <c r="A11" s="214" t="s">
        <v>1378</v>
      </c>
      <c r="B11" s="215">
        <v>12305.0</v>
      </c>
      <c r="C11" s="216" t="s">
        <v>6322</v>
      </c>
      <c r="D11" s="226">
        <v>21728.0</v>
      </c>
      <c r="E11" s="218">
        <v>44566.0</v>
      </c>
      <c r="F11" s="219">
        <v>0.4583333333333333</v>
      </c>
      <c r="G11" s="220" t="s">
        <v>6328</v>
      </c>
      <c r="H11" s="221" t="s">
        <v>15</v>
      </c>
      <c r="I11" s="222" t="s">
        <v>6219</v>
      </c>
      <c r="J11" s="223" t="s">
        <v>6192</v>
      </c>
      <c r="K11" s="242"/>
      <c r="L11" s="224" t="s">
        <v>6242</v>
      </c>
      <c r="M11" s="224"/>
      <c r="N11" s="225"/>
      <c r="O11" s="216" t="s">
        <v>6322</v>
      </c>
      <c r="P11" s="226" t="s">
        <v>6242</v>
      </c>
      <c r="Q11" s="227" t="e">
        <v>#VALUE!</v>
      </c>
      <c r="R11" s="228" t="e">
        <v>#VALUE!</v>
      </c>
      <c r="S11" s="220" t="e">
        <v>#VALUE!</v>
      </c>
      <c r="T11" s="220" t="e">
        <v>#VALUE!</v>
      </c>
      <c r="U11" s="221">
        <v>1.0</v>
      </c>
      <c r="V11" s="229" t="s">
        <v>5</v>
      </c>
      <c r="W11" s="24" t="s">
        <v>6329</v>
      </c>
      <c r="X11" s="222" t="s">
        <v>6324</v>
      </c>
      <c r="Y11" s="222" t="s">
        <v>6346</v>
      </c>
      <c r="Z11" s="224" t="s">
        <v>6325</v>
      </c>
      <c r="AA11" s="245" t="s">
        <v>6347</v>
      </c>
    </row>
    <row r="12">
      <c r="A12" s="214" t="s">
        <v>992</v>
      </c>
      <c r="B12" s="215">
        <v>11518.0</v>
      </c>
      <c r="C12" s="216" t="s">
        <v>6322</v>
      </c>
      <c r="D12" s="226">
        <v>20702.0</v>
      </c>
      <c r="E12" s="218">
        <v>44566.0</v>
      </c>
      <c r="F12" s="219">
        <v>0.4583333333333333</v>
      </c>
      <c r="G12" s="220" t="s">
        <v>6323</v>
      </c>
      <c r="H12" s="221" t="s">
        <v>15</v>
      </c>
      <c r="I12" s="222" t="s">
        <v>6219</v>
      </c>
      <c r="J12" s="223" t="s">
        <v>6196</v>
      </c>
      <c r="K12" s="242"/>
      <c r="L12" s="224" t="s">
        <v>6242</v>
      </c>
      <c r="M12" s="224"/>
      <c r="N12" s="225"/>
      <c r="O12" s="216" t="s">
        <v>6322</v>
      </c>
      <c r="P12" s="226" t="s">
        <v>6242</v>
      </c>
      <c r="Q12" s="227" t="e">
        <v>#VALUE!</v>
      </c>
      <c r="R12" s="228" t="e">
        <v>#VALUE!</v>
      </c>
      <c r="S12" s="220" t="e">
        <v>#VALUE!</v>
      </c>
      <c r="T12" s="220" t="e">
        <v>#VALUE!</v>
      </c>
      <c r="U12" s="221">
        <v>1.0</v>
      </c>
      <c r="V12" s="229" t="s">
        <v>6216</v>
      </c>
      <c r="W12" s="24" t="s">
        <v>6324</v>
      </c>
      <c r="X12" s="222" t="s">
        <v>6324</v>
      </c>
      <c r="Y12" s="222" t="s">
        <v>6327</v>
      </c>
      <c r="Z12" s="224" t="s">
        <v>6325</v>
      </c>
      <c r="AA12" s="243"/>
    </row>
    <row r="13">
      <c r="A13" s="214" t="s">
        <v>1080</v>
      </c>
      <c r="B13" s="215">
        <v>11727.0</v>
      </c>
      <c r="C13" s="216" t="s">
        <v>6322</v>
      </c>
      <c r="D13" s="226">
        <v>17812.0</v>
      </c>
      <c r="E13" s="218">
        <v>44566.0</v>
      </c>
      <c r="F13" s="219">
        <v>0.4583333333333333</v>
      </c>
      <c r="G13" s="220" t="s">
        <v>6323</v>
      </c>
      <c r="H13" s="221" t="s">
        <v>12</v>
      </c>
      <c r="I13" s="222" t="s">
        <v>6212</v>
      </c>
      <c r="J13" s="223" t="s">
        <v>6190</v>
      </c>
      <c r="K13" s="242"/>
      <c r="L13" s="224" t="s">
        <v>6242</v>
      </c>
      <c r="M13" s="224" t="s">
        <v>6242</v>
      </c>
      <c r="N13" s="225"/>
      <c r="O13" s="216" t="s">
        <v>6322</v>
      </c>
      <c r="P13" s="226" t="s">
        <v>6242</v>
      </c>
      <c r="Q13" s="227" t="e">
        <v>#VALUE!</v>
      </c>
      <c r="R13" s="228" t="e">
        <v>#VALUE!</v>
      </c>
      <c r="S13" s="220" t="e">
        <v>#VALUE!</v>
      </c>
      <c r="T13" s="220" t="e">
        <v>#VALUE!</v>
      </c>
      <c r="U13" s="221">
        <v>1.0</v>
      </c>
      <c r="V13" s="229" t="s">
        <v>6220</v>
      </c>
      <c r="W13" s="24" t="s">
        <v>6330</v>
      </c>
      <c r="X13" s="222" t="s">
        <v>6330</v>
      </c>
      <c r="Y13" s="222" t="s">
        <v>6327</v>
      </c>
      <c r="Z13" s="224" t="s">
        <v>6325</v>
      </c>
      <c r="AA13" s="243"/>
    </row>
    <row r="14">
      <c r="A14" s="214" t="s">
        <v>2815</v>
      </c>
      <c r="B14" s="215">
        <v>14194.0</v>
      </c>
      <c r="C14" s="216" t="s">
        <v>6322</v>
      </c>
      <c r="D14" s="226">
        <v>25721.0</v>
      </c>
      <c r="E14" s="218">
        <v>44566.0</v>
      </c>
      <c r="F14" s="219">
        <v>0.46875</v>
      </c>
      <c r="G14" s="220" t="s">
        <v>6323</v>
      </c>
      <c r="H14" s="221" t="s">
        <v>12</v>
      </c>
      <c r="I14" s="222" t="s">
        <v>6212</v>
      </c>
      <c r="J14" s="223" t="s">
        <v>6154</v>
      </c>
      <c r="K14" s="225"/>
      <c r="L14" s="224" t="s">
        <v>6242</v>
      </c>
      <c r="M14" s="224" t="s">
        <v>6242</v>
      </c>
      <c r="N14" s="225"/>
      <c r="O14" s="216" t="s">
        <v>6322</v>
      </c>
      <c r="P14" s="226" t="e">
        <v>#VALUE!</v>
      </c>
      <c r="Q14" s="227" t="e">
        <v>#VALUE!</v>
      </c>
      <c r="R14" s="228" t="e">
        <v>#VALUE!</v>
      </c>
      <c r="S14" s="220" t="e">
        <v>#VALUE!</v>
      </c>
      <c r="T14" s="220" t="e">
        <v>#VALUE!</v>
      </c>
      <c r="U14" s="221">
        <v>0.0</v>
      </c>
      <c r="V14" s="229" t="s">
        <v>6215</v>
      </c>
      <c r="W14" s="24" t="s">
        <v>6326</v>
      </c>
      <c r="X14" s="222" t="s">
        <v>6326</v>
      </c>
      <c r="Y14" s="222" t="s">
        <v>6327</v>
      </c>
      <c r="Z14" s="224" t="s">
        <v>6325</v>
      </c>
      <c r="AA14" s="244"/>
    </row>
    <row r="15">
      <c r="A15" s="214" t="s">
        <v>4025</v>
      </c>
      <c r="B15" s="215">
        <v>15653.0</v>
      </c>
      <c r="C15" s="216" t="s">
        <v>6322</v>
      </c>
      <c r="D15" s="226">
        <v>18431.0</v>
      </c>
      <c r="E15" s="218">
        <v>44566.0</v>
      </c>
      <c r="F15" s="219">
        <v>0.4895833333333333</v>
      </c>
      <c r="G15" s="220" t="s">
        <v>6328</v>
      </c>
      <c r="H15" s="221" t="s">
        <v>14</v>
      </c>
      <c r="I15" s="222" t="s">
        <v>6222</v>
      </c>
      <c r="J15" s="223" t="s">
        <v>6100</v>
      </c>
      <c r="K15" s="225"/>
      <c r="L15" s="224" t="s">
        <v>6242</v>
      </c>
      <c r="M15" s="224" t="s">
        <v>6242</v>
      </c>
      <c r="N15" s="225"/>
      <c r="O15" s="216" t="s">
        <v>6322</v>
      </c>
      <c r="P15" s="226" t="e">
        <v>#VALUE!</v>
      </c>
      <c r="Q15" s="227" t="s">
        <v>6242</v>
      </c>
      <c r="R15" s="228" t="e">
        <v>#VALUE!</v>
      </c>
      <c r="S15" s="220" t="e">
        <v>#VALUE!</v>
      </c>
      <c r="T15" s="220" t="e">
        <v>#VALUE!</v>
      </c>
      <c r="U15" s="221">
        <v>1.0</v>
      </c>
      <c r="V15" s="229" t="e">
        <v>#N/A</v>
      </c>
      <c r="W15" s="24" t="e">
        <v>#N/A</v>
      </c>
      <c r="X15" s="222" t="s">
        <v>6330</v>
      </c>
      <c r="Y15" s="222" t="e">
        <v>#N/A</v>
      </c>
      <c r="Z15" s="224" t="s">
        <v>6325</v>
      </c>
      <c r="AA15" s="244"/>
    </row>
    <row r="16">
      <c r="A16" s="214" t="s">
        <v>2782</v>
      </c>
      <c r="B16" s="215">
        <v>14144.0</v>
      </c>
      <c r="C16" s="216" t="s">
        <v>6322</v>
      </c>
      <c r="D16" s="226">
        <v>15387.0</v>
      </c>
      <c r="E16" s="218">
        <v>44566.0</v>
      </c>
      <c r="F16" s="219">
        <v>0.4895833333333333</v>
      </c>
      <c r="G16" s="220" t="s">
        <v>6328</v>
      </c>
      <c r="H16" s="221" t="s">
        <v>12</v>
      </c>
      <c r="I16" s="222" t="s">
        <v>6212</v>
      </c>
      <c r="J16" s="223" t="s">
        <v>6189</v>
      </c>
      <c r="K16" s="224"/>
      <c r="L16" s="224" t="s">
        <v>6242</v>
      </c>
      <c r="M16" s="224"/>
      <c r="N16" s="225"/>
      <c r="O16" s="216" t="s">
        <v>6322</v>
      </c>
      <c r="P16" s="226" t="s">
        <v>6242</v>
      </c>
      <c r="Q16" s="227" t="e">
        <v>#VALUE!</v>
      </c>
      <c r="R16" s="228" t="e">
        <v>#VALUE!</v>
      </c>
      <c r="S16" s="220" t="e">
        <v>#VALUE!</v>
      </c>
      <c r="T16" s="220" t="e">
        <v>#VALUE!</v>
      </c>
      <c r="U16" s="221">
        <v>1.0</v>
      </c>
      <c r="V16" s="229" t="s">
        <v>6216</v>
      </c>
      <c r="W16" s="24" t="s">
        <v>6324</v>
      </c>
      <c r="X16" s="222" t="s">
        <v>6324</v>
      </c>
      <c r="Y16" s="222" t="s">
        <v>6327</v>
      </c>
      <c r="Z16" s="224" t="s">
        <v>6325</v>
      </c>
      <c r="AA16" s="244"/>
    </row>
    <row r="17">
      <c r="A17" s="214" t="s">
        <v>718</v>
      </c>
      <c r="B17" s="215">
        <v>16705.0</v>
      </c>
      <c r="C17" s="216" t="s">
        <v>6322</v>
      </c>
      <c r="D17" s="226">
        <v>20001.0</v>
      </c>
      <c r="E17" s="218">
        <v>44566.0</v>
      </c>
      <c r="F17" s="219">
        <v>0.5416666666666666</v>
      </c>
      <c r="G17" s="220" t="s">
        <v>6328</v>
      </c>
      <c r="H17" s="221" t="s">
        <v>15</v>
      </c>
      <c r="I17" s="222" t="s">
        <v>6219</v>
      </c>
      <c r="J17" s="223" t="s">
        <v>6189</v>
      </c>
      <c r="K17" s="225"/>
      <c r="L17" s="224" t="s">
        <v>6242</v>
      </c>
      <c r="M17" s="224"/>
      <c r="N17" s="224"/>
      <c r="O17" s="216" t="s">
        <v>6322</v>
      </c>
      <c r="P17" s="226" t="s">
        <v>6242</v>
      </c>
      <c r="Q17" s="227" t="e">
        <v>#VALUE!</v>
      </c>
      <c r="R17" s="228" t="e">
        <v>#VALUE!</v>
      </c>
      <c r="S17" s="220" t="e">
        <v>#VALUE!</v>
      </c>
      <c r="T17" s="220" t="e">
        <v>#VALUE!</v>
      </c>
      <c r="U17" s="221">
        <v>1.0</v>
      </c>
      <c r="V17" s="229" t="s">
        <v>6216</v>
      </c>
      <c r="W17" s="24" t="s">
        <v>6324</v>
      </c>
      <c r="X17" s="222" t="s">
        <v>6324</v>
      </c>
      <c r="Y17" s="222" t="s">
        <v>6327</v>
      </c>
      <c r="Z17" s="224" t="s">
        <v>6325</v>
      </c>
      <c r="AA17" s="245"/>
    </row>
    <row r="18">
      <c r="A18" s="214" t="s">
        <v>4328</v>
      </c>
      <c r="B18" s="215">
        <v>15987.0</v>
      </c>
      <c r="C18" s="216" t="s">
        <v>6322</v>
      </c>
      <c r="D18" s="226">
        <v>17734.0</v>
      </c>
      <c r="E18" s="218">
        <v>44566.0</v>
      </c>
      <c r="F18" s="219">
        <v>0.53125</v>
      </c>
      <c r="G18" s="220" t="s">
        <v>6323</v>
      </c>
      <c r="H18" s="221" t="s">
        <v>15</v>
      </c>
      <c r="I18" s="222" t="s">
        <v>6222</v>
      </c>
      <c r="J18" s="223" t="s">
        <v>6196</v>
      </c>
      <c r="K18" s="224"/>
      <c r="L18" s="224" t="s">
        <v>6242</v>
      </c>
      <c r="M18" s="224" t="s">
        <v>6242</v>
      </c>
      <c r="N18" s="224"/>
      <c r="O18" s="216" t="s">
        <v>6322</v>
      </c>
      <c r="P18" s="226" t="s">
        <v>6242</v>
      </c>
      <c r="Q18" s="227" t="e">
        <v>#VALUE!</v>
      </c>
      <c r="R18" s="228" t="e">
        <v>#VALUE!</v>
      </c>
      <c r="S18" s="220" t="e">
        <v>#VALUE!</v>
      </c>
      <c r="T18" s="220" t="e">
        <v>#VALUE!</v>
      </c>
      <c r="U18" s="221">
        <v>1.0</v>
      </c>
      <c r="V18" s="229" t="e">
        <v>#N/A</v>
      </c>
      <c r="W18" s="24" t="e">
        <v>#N/A</v>
      </c>
      <c r="X18" s="222" t="s">
        <v>6330</v>
      </c>
      <c r="Y18" s="222" t="e">
        <v>#N/A</v>
      </c>
      <c r="Z18" s="224" t="s">
        <v>6325</v>
      </c>
      <c r="AA18" s="244"/>
    </row>
    <row r="19">
      <c r="A19" s="214" t="s">
        <v>5025</v>
      </c>
      <c r="B19" s="215">
        <v>16875.0</v>
      </c>
      <c r="C19" s="216" t="s">
        <v>6322</v>
      </c>
      <c r="D19" s="226">
        <v>19869.0</v>
      </c>
      <c r="E19" s="218">
        <v>44566.0</v>
      </c>
      <c r="F19" s="219">
        <v>0.5416666666666666</v>
      </c>
      <c r="G19" s="220" t="s">
        <v>6328</v>
      </c>
      <c r="H19" s="221" t="s">
        <v>15</v>
      </c>
      <c r="I19" s="222" t="s">
        <v>6219</v>
      </c>
      <c r="J19" s="223" t="s">
        <v>6199</v>
      </c>
      <c r="K19" s="225"/>
      <c r="L19" s="224" t="s">
        <v>6242</v>
      </c>
      <c r="M19" s="224"/>
      <c r="N19" s="225"/>
      <c r="O19" s="216" t="s">
        <v>6322</v>
      </c>
      <c r="P19" s="226" t="e">
        <v>#VALUE!</v>
      </c>
      <c r="Q19" s="227" t="e">
        <v>#VALUE!</v>
      </c>
      <c r="R19" s="228" t="e">
        <v>#VALUE!</v>
      </c>
      <c r="S19" s="220" t="e">
        <v>#VALUE!</v>
      </c>
      <c r="T19" s="220" t="e">
        <v>#VALUE!</v>
      </c>
      <c r="U19" s="221">
        <v>0.0</v>
      </c>
      <c r="V19" s="229" t="s">
        <v>5</v>
      </c>
      <c r="W19" s="24" t="s">
        <v>6329</v>
      </c>
      <c r="X19" s="222" t="s">
        <v>6329</v>
      </c>
      <c r="Y19" s="222" t="s">
        <v>6327</v>
      </c>
      <c r="Z19" s="224" t="s">
        <v>6325</v>
      </c>
      <c r="AA19" s="244"/>
    </row>
    <row r="20">
      <c r="A20" s="214" t="s">
        <v>3464</v>
      </c>
      <c r="B20" s="215">
        <v>14987.0</v>
      </c>
      <c r="C20" s="216" t="s">
        <v>6322</v>
      </c>
      <c r="D20" s="226">
        <v>27390.0</v>
      </c>
      <c r="E20" s="218">
        <v>44566.0</v>
      </c>
      <c r="F20" s="219">
        <v>0.5833333333333334</v>
      </c>
      <c r="G20" s="220" t="s">
        <v>6328</v>
      </c>
      <c r="H20" s="221" t="s">
        <v>14</v>
      </c>
      <c r="I20" s="222" t="s">
        <v>6219</v>
      </c>
      <c r="J20" s="223" t="s">
        <v>6195</v>
      </c>
      <c r="K20" s="225"/>
      <c r="L20" s="224" t="s">
        <v>6242</v>
      </c>
      <c r="M20" s="224" t="s">
        <v>6242</v>
      </c>
      <c r="N20" s="224"/>
      <c r="O20" s="216" t="s">
        <v>6322</v>
      </c>
      <c r="P20" s="226" t="s">
        <v>6242</v>
      </c>
      <c r="Q20" s="227" t="e">
        <v>#VALUE!</v>
      </c>
      <c r="R20" s="228" t="e">
        <v>#VALUE!</v>
      </c>
      <c r="S20" s="220" t="e">
        <v>#VALUE!</v>
      </c>
      <c r="T20" s="220" t="e">
        <v>#VALUE!</v>
      </c>
      <c r="U20" s="221">
        <v>1.0</v>
      </c>
      <c r="V20" s="229" t="s">
        <v>6220</v>
      </c>
      <c r="W20" s="24" t="s">
        <v>6330</v>
      </c>
      <c r="X20" s="222" t="s">
        <v>6330</v>
      </c>
      <c r="Y20" s="222" t="s">
        <v>6327</v>
      </c>
      <c r="Z20" s="224" t="s">
        <v>6325</v>
      </c>
      <c r="AA20" s="244"/>
    </row>
    <row r="21">
      <c r="A21" s="214" t="s">
        <v>5909</v>
      </c>
      <c r="B21" s="215">
        <v>17778.0</v>
      </c>
      <c r="C21" s="216" t="s">
        <v>6322</v>
      </c>
      <c r="D21" s="226">
        <v>19156.0</v>
      </c>
      <c r="E21" s="218">
        <v>44566.0</v>
      </c>
      <c r="F21" s="219">
        <v>0.5729166666666666</v>
      </c>
      <c r="G21" s="220" t="s">
        <v>6323</v>
      </c>
      <c r="H21" s="221" t="s">
        <v>12</v>
      </c>
      <c r="I21" s="222" t="s">
        <v>6212</v>
      </c>
      <c r="J21" s="223" t="s">
        <v>6195</v>
      </c>
      <c r="K21" s="224" t="s">
        <v>6242</v>
      </c>
      <c r="L21" s="224"/>
      <c r="M21" s="224"/>
      <c r="N21" s="225"/>
      <c r="O21" s="216" t="s">
        <v>6322</v>
      </c>
      <c r="P21" s="226" t="s">
        <v>6242</v>
      </c>
      <c r="Q21" s="227" t="e">
        <v>#VALUE!</v>
      </c>
      <c r="R21" s="228" t="e">
        <v>#VALUE!</v>
      </c>
      <c r="S21" s="220" t="e">
        <v>#VALUE!</v>
      </c>
      <c r="T21" s="220" t="e">
        <v>#VALUE!</v>
      </c>
      <c r="U21" s="221">
        <v>1.0</v>
      </c>
      <c r="V21" s="229" t="s">
        <v>6214</v>
      </c>
      <c r="W21" s="24" t="s">
        <v>6332</v>
      </c>
      <c r="X21" s="222" t="s">
        <v>6332</v>
      </c>
      <c r="Y21" s="222" t="s">
        <v>6327</v>
      </c>
      <c r="Z21" s="224" t="s">
        <v>6325</v>
      </c>
      <c r="AA21" s="244"/>
    </row>
    <row r="22">
      <c r="A22" s="214" t="s">
        <v>5274</v>
      </c>
      <c r="B22" s="215">
        <v>17186.0</v>
      </c>
      <c r="C22" s="216" t="s">
        <v>6322</v>
      </c>
      <c r="D22" s="226">
        <v>32887.0</v>
      </c>
      <c r="E22" s="218">
        <v>44566.0</v>
      </c>
      <c r="F22" s="219">
        <v>0.5729166666666666</v>
      </c>
      <c r="G22" s="220" t="s">
        <v>6323</v>
      </c>
      <c r="H22" s="221" t="s">
        <v>14</v>
      </c>
      <c r="I22" s="222" t="s">
        <v>6222</v>
      </c>
      <c r="J22" s="223" t="s">
        <v>6126</v>
      </c>
      <c r="K22" s="225"/>
      <c r="L22" s="224" t="s">
        <v>6242</v>
      </c>
      <c r="M22" s="224" t="s">
        <v>6242</v>
      </c>
      <c r="N22" s="225"/>
      <c r="O22" s="216" t="s">
        <v>6322</v>
      </c>
      <c r="P22" s="226" t="e">
        <v>#VALUE!</v>
      </c>
      <c r="Q22" s="227" t="e">
        <v>#VALUE!</v>
      </c>
      <c r="R22" s="228" t="e">
        <v>#VALUE!</v>
      </c>
      <c r="S22" s="220" t="e">
        <v>#VALUE!</v>
      </c>
      <c r="T22" s="220" t="e">
        <v>#VALUE!</v>
      </c>
      <c r="U22" s="221">
        <v>0.0</v>
      </c>
      <c r="V22" s="229" t="s">
        <v>6215</v>
      </c>
      <c r="W22" s="24" t="s">
        <v>6326</v>
      </c>
      <c r="X22" s="222" t="s">
        <v>6326</v>
      </c>
      <c r="Y22" s="222" t="s">
        <v>6327</v>
      </c>
      <c r="Z22" s="224" t="s">
        <v>6325</v>
      </c>
      <c r="AA22" s="244"/>
    </row>
    <row r="23">
      <c r="A23" s="214" t="s">
        <v>2508</v>
      </c>
      <c r="B23" s="215">
        <v>13784.0</v>
      </c>
      <c r="C23" s="216" t="s">
        <v>6322</v>
      </c>
      <c r="D23" s="226">
        <v>21088.0</v>
      </c>
      <c r="E23" s="218">
        <v>44566.0</v>
      </c>
      <c r="F23" s="219">
        <v>0.6041666666666666</v>
      </c>
      <c r="G23" s="220" t="s">
        <v>6323</v>
      </c>
      <c r="H23" s="221" t="s">
        <v>14</v>
      </c>
      <c r="I23" s="222" t="s">
        <v>6222</v>
      </c>
      <c r="J23" s="223" t="s">
        <v>6142</v>
      </c>
      <c r="K23" s="225"/>
      <c r="L23" s="224" t="s">
        <v>6242</v>
      </c>
      <c r="M23" s="224"/>
      <c r="N23" s="225"/>
      <c r="O23" s="216" t="s">
        <v>6322</v>
      </c>
      <c r="P23" s="226" t="e">
        <v>#VALUE!</v>
      </c>
      <c r="Q23" s="227" t="s">
        <v>6242</v>
      </c>
      <c r="R23" s="228" t="e">
        <v>#VALUE!</v>
      </c>
      <c r="S23" s="220" t="e">
        <v>#VALUE!</v>
      </c>
      <c r="T23" s="220" t="e">
        <v>#VALUE!</v>
      </c>
      <c r="U23" s="221">
        <v>1.0</v>
      </c>
      <c r="V23" s="229" t="s">
        <v>6220</v>
      </c>
      <c r="W23" s="24" t="s">
        <v>6330</v>
      </c>
      <c r="X23" s="222" t="s">
        <v>6324</v>
      </c>
      <c r="Y23" s="222" t="s">
        <v>6346</v>
      </c>
      <c r="Z23" s="224" t="s">
        <v>6325</v>
      </c>
      <c r="AA23" s="244"/>
    </row>
    <row r="24">
      <c r="A24" s="214" t="s">
        <v>2411</v>
      </c>
      <c r="B24" s="215">
        <v>13666.0</v>
      </c>
      <c r="C24" s="216" t="s">
        <v>6322</v>
      </c>
      <c r="D24" s="226">
        <v>27283.0</v>
      </c>
      <c r="E24" s="218">
        <v>44566.0</v>
      </c>
      <c r="F24" s="219">
        <v>0.59375</v>
      </c>
      <c r="G24" s="220" t="s">
        <v>6323</v>
      </c>
      <c r="H24" s="221" t="s">
        <v>14</v>
      </c>
      <c r="I24" s="222" t="s">
        <v>6222</v>
      </c>
      <c r="J24" s="223" t="s">
        <v>6142</v>
      </c>
      <c r="K24" s="225"/>
      <c r="L24" s="224" t="s">
        <v>6242</v>
      </c>
      <c r="M24" s="224" t="s">
        <v>6242</v>
      </c>
      <c r="N24" s="225"/>
      <c r="O24" s="216" t="s">
        <v>6322</v>
      </c>
      <c r="P24" s="226" t="e">
        <v>#VALUE!</v>
      </c>
      <c r="Q24" s="227" t="s">
        <v>6242</v>
      </c>
      <c r="R24" s="228" t="e">
        <v>#VALUE!</v>
      </c>
      <c r="S24" s="220" t="e">
        <v>#VALUE!</v>
      </c>
      <c r="T24" s="220" t="e">
        <v>#VALUE!</v>
      </c>
      <c r="U24" s="221">
        <v>1.0</v>
      </c>
      <c r="V24" s="229" t="s">
        <v>6220</v>
      </c>
      <c r="W24" s="24" t="s">
        <v>6330</v>
      </c>
      <c r="X24" s="222" t="s">
        <v>6330</v>
      </c>
      <c r="Y24" s="222" t="s">
        <v>6327</v>
      </c>
      <c r="Z24" s="224" t="s">
        <v>6325</v>
      </c>
      <c r="AA24" s="244"/>
    </row>
    <row r="25">
      <c r="A25" s="214" t="s">
        <v>4255</v>
      </c>
      <c r="B25" s="215">
        <v>15901.0</v>
      </c>
      <c r="C25" s="216" t="s">
        <v>6322</v>
      </c>
      <c r="D25" s="226">
        <v>21182.0</v>
      </c>
      <c r="E25" s="218">
        <v>44566.0</v>
      </c>
      <c r="F25" s="219">
        <v>0.5729166666666666</v>
      </c>
      <c r="G25" s="220" t="s">
        <v>6323</v>
      </c>
      <c r="H25" s="221" t="s">
        <v>13</v>
      </c>
      <c r="I25" s="222" t="s">
        <v>6212</v>
      </c>
      <c r="J25" s="223" t="s">
        <v>6185</v>
      </c>
      <c r="K25" s="224"/>
      <c r="L25" s="224" t="s">
        <v>6242</v>
      </c>
      <c r="M25" s="224"/>
      <c r="N25" s="225"/>
      <c r="O25" s="216" t="s">
        <v>6322</v>
      </c>
      <c r="P25" s="226" t="e">
        <v>#VALUE!</v>
      </c>
      <c r="Q25" s="227" t="e">
        <v>#VALUE!</v>
      </c>
      <c r="R25" s="228" t="e">
        <v>#VALUE!</v>
      </c>
      <c r="S25" s="220" t="e">
        <v>#VALUE!</v>
      </c>
      <c r="T25" s="220" t="e">
        <v>#VALUE!</v>
      </c>
      <c r="U25" s="221">
        <v>0.0</v>
      </c>
      <c r="V25" s="229" t="s">
        <v>5</v>
      </c>
      <c r="W25" s="24" t="s">
        <v>6329</v>
      </c>
      <c r="X25" s="222" t="s">
        <v>6329</v>
      </c>
      <c r="Y25" s="222" t="s">
        <v>6327</v>
      </c>
      <c r="Z25" s="224" t="s">
        <v>6325</v>
      </c>
      <c r="AA25" s="244"/>
    </row>
    <row r="26">
      <c r="A26" s="214" t="s">
        <v>5947</v>
      </c>
      <c r="B26" s="215">
        <v>17795.0</v>
      </c>
      <c r="C26" s="216" t="s">
        <v>6322</v>
      </c>
      <c r="D26" s="226">
        <v>27896.0</v>
      </c>
      <c r="E26" s="218">
        <v>44566.0</v>
      </c>
      <c r="F26" s="219">
        <v>0.6041666666666666</v>
      </c>
      <c r="G26" s="220" t="s">
        <v>6328</v>
      </c>
      <c r="H26" s="221" t="s">
        <v>13</v>
      </c>
      <c r="I26" s="222" t="s">
        <v>6212</v>
      </c>
      <c r="J26" s="223" t="s">
        <v>6137</v>
      </c>
      <c r="K26" s="224" t="s">
        <v>6242</v>
      </c>
      <c r="L26" s="224"/>
      <c r="M26" s="224"/>
      <c r="N26" s="224"/>
      <c r="O26" s="216" t="s">
        <v>6322</v>
      </c>
      <c r="P26" s="226" t="e">
        <v>#VALUE!</v>
      </c>
      <c r="Q26" s="227" t="e">
        <v>#VALUE!</v>
      </c>
      <c r="R26" s="228" t="e">
        <v>#VALUE!</v>
      </c>
      <c r="S26" s="220" t="e">
        <v>#VALUE!</v>
      </c>
      <c r="T26" s="220" t="e">
        <v>#VALUE!</v>
      </c>
      <c r="U26" s="221">
        <v>0.0</v>
      </c>
      <c r="V26" s="229" t="s">
        <v>6213</v>
      </c>
      <c r="W26" s="24" t="s">
        <v>6331</v>
      </c>
      <c r="X26" s="222" t="s">
        <v>6331</v>
      </c>
      <c r="Y26" s="222" t="s">
        <v>6327</v>
      </c>
      <c r="Z26" s="224" t="s">
        <v>6325</v>
      </c>
      <c r="AA26" s="245"/>
    </row>
    <row r="27">
      <c r="A27" s="214" t="s">
        <v>4510</v>
      </c>
      <c r="B27" s="215">
        <v>16202.0</v>
      </c>
      <c r="C27" s="216" t="s">
        <v>6322</v>
      </c>
      <c r="D27" s="226">
        <v>24456.0</v>
      </c>
      <c r="E27" s="218">
        <v>44566.0</v>
      </c>
      <c r="F27" s="219">
        <v>0.6354166666666666</v>
      </c>
      <c r="G27" s="220" t="s">
        <v>6328</v>
      </c>
      <c r="H27" s="221" t="s">
        <v>15</v>
      </c>
      <c r="I27" s="222" t="s">
        <v>6219</v>
      </c>
      <c r="J27" s="223" t="s">
        <v>6117</v>
      </c>
      <c r="K27" s="224"/>
      <c r="L27" s="224" t="s">
        <v>6242</v>
      </c>
      <c r="M27" s="224"/>
      <c r="N27" s="225"/>
      <c r="O27" s="216" t="s">
        <v>6322</v>
      </c>
      <c r="P27" s="226" t="e">
        <v>#VALUE!</v>
      </c>
      <c r="Q27" s="227" t="e">
        <v>#VALUE!</v>
      </c>
      <c r="R27" s="228" t="e">
        <v>#VALUE!</v>
      </c>
      <c r="S27" s="220" t="e">
        <v>#VALUE!</v>
      </c>
      <c r="T27" s="220" t="e">
        <v>#VALUE!</v>
      </c>
      <c r="U27" s="221">
        <v>0.0</v>
      </c>
      <c r="V27" s="229" t="s">
        <v>5</v>
      </c>
      <c r="W27" s="24" t="s">
        <v>6329</v>
      </c>
      <c r="X27" s="222" t="s">
        <v>6329</v>
      </c>
      <c r="Y27" s="222" t="s">
        <v>6327</v>
      </c>
      <c r="Z27" s="224" t="s">
        <v>6325</v>
      </c>
      <c r="AA27" s="244"/>
    </row>
    <row r="28">
      <c r="A28" s="214" t="s">
        <v>4116</v>
      </c>
      <c r="B28" s="215">
        <v>15749.0</v>
      </c>
      <c r="C28" s="216" t="s">
        <v>6322</v>
      </c>
      <c r="D28" s="226">
        <v>30064.0</v>
      </c>
      <c r="E28" s="218">
        <v>44566.0</v>
      </c>
      <c r="F28" s="219">
        <v>0.6458333333333334</v>
      </c>
      <c r="G28" s="220" t="s">
        <v>6328</v>
      </c>
      <c r="H28" s="221" t="s">
        <v>15</v>
      </c>
      <c r="I28" s="222" t="s">
        <v>6219</v>
      </c>
      <c r="J28" s="223" t="s">
        <v>6154</v>
      </c>
      <c r="K28" s="224"/>
      <c r="L28" s="224" t="s">
        <v>6242</v>
      </c>
      <c r="M28" s="224"/>
      <c r="N28" s="225"/>
      <c r="O28" s="216" t="s">
        <v>6322</v>
      </c>
      <c r="P28" s="226" t="e">
        <v>#VALUE!</v>
      </c>
      <c r="Q28" s="227" t="e">
        <v>#VALUE!</v>
      </c>
      <c r="R28" s="228" t="e">
        <v>#VALUE!</v>
      </c>
      <c r="S28" s="220" t="e">
        <v>#VALUE!</v>
      </c>
      <c r="T28" s="220" t="e">
        <v>#VALUE!</v>
      </c>
      <c r="U28" s="221">
        <v>0.0</v>
      </c>
      <c r="V28" s="229" t="e">
        <v>#N/A</v>
      </c>
      <c r="W28" s="24" t="e">
        <v>#N/A</v>
      </c>
      <c r="X28" s="222" t="s">
        <v>6329</v>
      </c>
      <c r="Y28" s="222" t="e">
        <v>#N/A</v>
      </c>
      <c r="Z28" s="224" t="s">
        <v>6325</v>
      </c>
      <c r="AA28" s="244"/>
    </row>
    <row r="29">
      <c r="A29" s="214" t="s">
        <v>5795</v>
      </c>
      <c r="B29" s="246">
        <v>12462.0</v>
      </c>
      <c r="C29" s="216" t="s">
        <v>6322</v>
      </c>
      <c r="D29" s="226">
        <v>34256.0</v>
      </c>
      <c r="E29" s="218">
        <v>44566.0</v>
      </c>
      <c r="F29" s="219">
        <v>0.625</v>
      </c>
      <c r="G29" s="220" t="s">
        <v>6328</v>
      </c>
      <c r="H29" s="221" t="s">
        <v>12</v>
      </c>
      <c r="I29" s="222" t="s">
        <v>6212</v>
      </c>
      <c r="J29" s="223" t="s">
        <v>6103</v>
      </c>
      <c r="K29" s="224"/>
      <c r="L29" s="224" t="s">
        <v>6242</v>
      </c>
      <c r="M29" s="224"/>
      <c r="N29" s="224"/>
      <c r="O29" s="216" t="s">
        <v>6322</v>
      </c>
      <c r="P29" s="226" t="e">
        <v>#VALUE!</v>
      </c>
      <c r="Q29" s="227" t="e">
        <v>#VALUE!</v>
      </c>
      <c r="R29" s="228" t="e">
        <v>#VALUE!</v>
      </c>
      <c r="S29" s="220" t="e">
        <v>#VALUE!</v>
      </c>
      <c r="T29" s="220" t="e">
        <v>#VALUE!</v>
      </c>
      <c r="U29" s="221">
        <v>0.0</v>
      </c>
      <c r="V29" s="229" t="s">
        <v>5</v>
      </c>
      <c r="W29" s="24" t="s">
        <v>6329</v>
      </c>
      <c r="X29" s="222" t="s">
        <v>6329</v>
      </c>
      <c r="Y29" s="222" t="s">
        <v>6327</v>
      </c>
      <c r="Z29" s="224" t="s">
        <v>6325</v>
      </c>
      <c r="AA29" s="245"/>
    </row>
    <row r="30">
      <c r="A30" s="214" t="s">
        <v>6348</v>
      </c>
      <c r="B30" s="215"/>
      <c r="C30" s="230" t="s">
        <v>6242</v>
      </c>
      <c r="D30" s="226" t="s">
        <v>6348</v>
      </c>
      <c r="E30" s="218">
        <v>44566.0</v>
      </c>
      <c r="F30" s="219" t="s">
        <v>6348</v>
      </c>
      <c r="G30" s="231"/>
      <c r="H30" s="221"/>
      <c r="I30" s="222" t="e">
        <v>#N/A</v>
      </c>
      <c r="J30" s="223" t="e">
        <v>#N/A</v>
      </c>
      <c r="K30" s="224"/>
      <c r="L30" s="224"/>
      <c r="M30" s="224"/>
      <c r="N30" s="225"/>
      <c r="O30" s="216" t="s">
        <v>6242</v>
      </c>
      <c r="P30" s="226" t="e">
        <v>#N/A</v>
      </c>
      <c r="Q30" s="227" t="e">
        <v>#N/A</v>
      </c>
      <c r="R30" s="228" t="e">
        <v>#N/A</v>
      </c>
      <c r="S30" s="220" t="e">
        <v>#N/A</v>
      </c>
      <c r="T30" s="220" t="e">
        <v>#N/A</v>
      </c>
      <c r="U30" s="221">
        <v>0.0</v>
      </c>
      <c r="V30" s="229" t="e">
        <v>#N/A</v>
      </c>
      <c r="W30" s="24" t="e">
        <v>#N/A</v>
      </c>
      <c r="X30" s="222" t="s">
        <v>6348</v>
      </c>
      <c r="Y30" s="222" t="s">
        <v>6348</v>
      </c>
      <c r="Z30" s="224" t="s">
        <v>6325</v>
      </c>
      <c r="AA30" s="244"/>
    </row>
    <row r="31">
      <c r="A31" s="214" t="s">
        <v>6348</v>
      </c>
      <c r="B31" s="215"/>
      <c r="C31" s="230" t="s">
        <v>6242</v>
      </c>
      <c r="D31" s="226" t="s">
        <v>6348</v>
      </c>
      <c r="E31" s="218">
        <v>44566.0</v>
      </c>
      <c r="F31" s="219" t="s">
        <v>6348</v>
      </c>
      <c r="G31" s="231"/>
      <c r="H31" s="221"/>
      <c r="I31" s="222" t="e">
        <v>#N/A</v>
      </c>
      <c r="J31" s="223" t="e">
        <v>#N/A</v>
      </c>
      <c r="K31" s="225"/>
      <c r="L31" s="224"/>
      <c r="M31" s="224"/>
      <c r="N31" s="225"/>
      <c r="O31" s="216" t="s">
        <v>6242</v>
      </c>
      <c r="P31" s="226" t="e">
        <v>#N/A</v>
      </c>
      <c r="Q31" s="227" t="e">
        <v>#N/A</v>
      </c>
      <c r="R31" s="228" t="e">
        <v>#N/A</v>
      </c>
      <c r="S31" s="220" t="e">
        <v>#N/A</v>
      </c>
      <c r="T31" s="220" t="e">
        <v>#N/A</v>
      </c>
      <c r="U31" s="221">
        <v>0.0</v>
      </c>
      <c r="V31" s="229" t="e">
        <v>#N/A</v>
      </c>
      <c r="W31" s="24" t="e">
        <v>#N/A</v>
      </c>
      <c r="X31" s="222" t="s">
        <v>6348</v>
      </c>
      <c r="Y31" s="222" t="s">
        <v>6348</v>
      </c>
      <c r="Z31" s="224" t="s">
        <v>6325</v>
      </c>
      <c r="AA31" s="244"/>
    </row>
    <row r="32">
      <c r="A32" s="214" t="s">
        <v>6348</v>
      </c>
      <c r="B32" s="215"/>
      <c r="C32" s="230" t="s">
        <v>6242</v>
      </c>
      <c r="D32" s="226" t="s">
        <v>6348</v>
      </c>
      <c r="E32" s="218">
        <v>44566.0</v>
      </c>
      <c r="F32" s="219" t="s">
        <v>6348</v>
      </c>
      <c r="G32" s="231"/>
      <c r="H32" s="221"/>
      <c r="I32" s="222" t="e">
        <v>#N/A</v>
      </c>
      <c r="J32" s="223" t="e">
        <v>#N/A</v>
      </c>
      <c r="K32" s="224"/>
      <c r="L32" s="224"/>
      <c r="M32" s="224"/>
      <c r="N32" s="225"/>
      <c r="O32" s="216" t="s">
        <v>6242</v>
      </c>
      <c r="P32" s="226" t="e">
        <v>#N/A</v>
      </c>
      <c r="Q32" s="227" t="e">
        <v>#N/A</v>
      </c>
      <c r="R32" s="228" t="e">
        <v>#N/A</v>
      </c>
      <c r="S32" s="220" t="e">
        <v>#N/A</v>
      </c>
      <c r="T32" s="220" t="e">
        <v>#N/A</v>
      </c>
      <c r="U32" s="221">
        <v>0.0</v>
      </c>
      <c r="V32" s="229" t="e">
        <v>#N/A</v>
      </c>
      <c r="W32" s="24" t="e">
        <v>#N/A</v>
      </c>
      <c r="X32" s="222" t="s">
        <v>6348</v>
      </c>
      <c r="Y32" s="222" t="s">
        <v>6348</v>
      </c>
      <c r="Z32" s="224" t="s">
        <v>6325</v>
      </c>
      <c r="AA32" s="244"/>
    </row>
    <row r="33">
      <c r="A33" s="214" t="s">
        <v>6348</v>
      </c>
      <c r="B33" s="215"/>
      <c r="C33" s="230" t="s">
        <v>6242</v>
      </c>
      <c r="D33" s="226" t="s">
        <v>6348</v>
      </c>
      <c r="E33" s="218">
        <v>44566.0</v>
      </c>
      <c r="F33" s="219" t="s">
        <v>6348</v>
      </c>
      <c r="G33" s="231"/>
      <c r="H33" s="221"/>
      <c r="I33" s="222" t="e">
        <v>#N/A</v>
      </c>
      <c r="J33" s="223" t="e">
        <v>#N/A</v>
      </c>
      <c r="K33" s="225"/>
      <c r="L33" s="224"/>
      <c r="M33" s="224"/>
      <c r="N33" s="225"/>
      <c r="O33" s="216" t="s">
        <v>6242</v>
      </c>
      <c r="P33" s="226" t="e">
        <v>#N/A</v>
      </c>
      <c r="Q33" s="227" t="e">
        <v>#N/A</v>
      </c>
      <c r="R33" s="228" t="e">
        <v>#N/A</v>
      </c>
      <c r="S33" s="220" t="e">
        <v>#N/A</v>
      </c>
      <c r="T33" s="220" t="e">
        <v>#N/A</v>
      </c>
      <c r="U33" s="221">
        <v>0.0</v>
      </c>
      <c r="V33" s="229" t="e">
        <v>#N/A</v>
      </c>
      <c r="W33" s="24" t="e">
        <v>#N/A</v>
      </c>
      <c r="X33" s="222" t="s">
        <v>6348</v>
      </c>
      <c r="Y33" s="222" t="s">
        <v>6348</v>
      </c>
      <c r="Z33" s="224" t="s">
        <v>6325</v>
      </c>
      <c r="AA33" s="244"/>
    </row>
    <row r="34">
      <c r="A34" s="214" t="s">
        <v>6348</v>
      </c>
      <c r="B34" s="215"/>
      <c r="C34" s="230" t="s">
        <v>6242</v>
      </c>
      <c r="D34" s="226" t="s">
        <v>6348</v>
      </c>
      <c r="E34" s="218">
        <v>44566.0</v>
      </c>
      <c r="F34" s="219" t="s">
        <v>6348</v>
      </c>
      <c r="G34" s="231"/>
      <c r="H34" s="221"/>
      <c r="I34" s="222" t="e">
        <v>#N/A</v>
      </c>
      <c r="J34" s="223" t="e">
        <v>#N/A</v>
      </c>
      <c r="K34" s="225"/>
      <c r="L34" s="224"/>
      <c r="M34" s="224"/>
      <c r="N34" s="225"/>
      <c r="O34" s="216" t="s">
        <v>6242</v>
      </c>
      <c r="P34" s="226" t="e">
        <v>#N/A</v>
      </c>
      <c r="Q34" s="227" t="e">
        <v>#N/A</v>
      </c>
      <c r="R34" s="228" t="e">
        <v>#N/A</v>
      </c>
      <c r="S34" s="220" t="e">
        <v>#N/A</v>
      </c>
      <c r="T34" s="220" t="e">
        <v>#N/A</v>
      </c>
      <c r="U34" s="221">
        <v>0.0</v>
      </c>
      <c r="V34" s="229" t="e">
        <v>#N/A</v>
      </c>
      <c r="W34" s="24" t="e">
        <v>#N/A</v>
      </c>
      <c r="X34" s="222" t="s">
        <v>6348</v>
      </c>
      <c r="Y34" s="222" t="s">
        <v>6348</v>
      </c>
      <c r="Z34" s="224" t="s">
        <v>6325</v>
      </c>
      <c r="AA34" s="244"/>
    </row>
    <row r="35">
      <c r="A35" s="214" t="s">
        <v>6348</v>
      </c>
      <c r="B35" s="215"/>
      <c r="C35" s="230" t="s">
        <v>6242</v>
      </c>
      <c r="D35" s="226" t="s">
        <v>6348</v>
      </c>
      <c r="E35" s="218">
        <v>44566.0</v>
      </c>
      <c r="F35" s="219" t="s">
        <v>6348</v>
      </c>
      <c r="G35" s="231"/>
      <c r="H35" s="221"/>
      <c r="I35" s="222" t="e">
        <v>#N/A</v>
      </c>
      <c r="J35" s="223" t="e">
        <v>#N/A</v>
      </c>
      <c r="K35" s="224"/>
      <c r="L35" s="224"/>
      <c r="M35" s="224"/>
      <c r="N35" s="224"/>
      <c r="O35" s="216" t="s">
        <v>6242</v>
      </c>
      <c r="P35" s="226" t="e">
        <v>#N/A</v>
      </c>
      <c r="Q35" s="227" t="e">
        <v>#N/A</v>
      </c>
      <c r="R35" s="228" t="e">
        <v>#N/A</v>
      </c>
      <c r="S35" s="220" t="e">
        <v>#N/A</v>
      </c>
      <c r="T35" s="220" t="e">
        <v>#N/A</v>
      </c>
      <c r="U35" s="221">
        <v>0.0</v>
      </c>
      <c r="V35" s="229" t="e">
        <v>#N/A</v>
      </c>
      <c r="W35" s="24" t="e">
        <v>#N/A</v>
      </c>
      <c r="X35" s="222" t="s">
        <v>6348</v>
      </c>
      <c r="Y35" s="222" t="s">
        <v>6348</v>
      </c>
      <c r="Z35" s="224" t="s">
        <v>6325</v>
      </c>
      <c r="AA35" s="244"/>
    </row>
    <row r="36">
      <c r="A36" s="214" t="s">
        <v>6348</v>
      </c>
      <c r="B36" s="215"/>
      <c r="C36" s="230" t="s">
        <v>6242</v>
      </c>
      <c r="D36" s="226" t="s">
        <v>6348</v>
      </c>
      <c r="E36" s="218">
        <v>44566.0</v>
      </c>
      <c r="F36" s="219" t="s">
        <v>6348</v>
      </c>
      <c r="G36" s="231"/>
      <c r="H36" s="221"/>
      <c r="I36" s="222" t="e">
        <v>#N/A</v>
      </c>
      <c r="J36" s="223" t="e">
        <v>#N/A</v>
      </c>
      <c r="K36" s="225"/>
      <c r="L36" s="224"/>
      <c r="M36" s="224"/>
      <c r="N36" s="225"/>
      <c r="O36" s="216" t="s">
        <v>6242</v>
      </c>
      <c r="P36" s="226" t="e">
        <v>#N/A</v>
      </c>
      <c r="Q36" s="227" t="e">
        <v>#N/A</v>
      </c>
      <c r="R36" s="228" t="e">
        <v>#N/A</v>
      </c>
      <c r="S36" s="220" t="e">
        <v>#N/A</v>
      </c>
      <c r="T36" s="220" t="e">
        <v>#N/A</v>
      </c>
      <c r="U36" s="221">
        <v>0.0</v>
      </c>
      <c r="V36" s="229" t="e">
        <v>#N/A</v>
      </c>
      <c r="W36" s="24" t="e">
        <v>#N/A</v>
      </c>
      <c r="X36" s="222" t="s">
        <v>6348</v>
      </c>
      <c r="Y36" s="222" t="s">
        <v>6348</v>
      </c>
      <c r="Z36" s="224" t="s">
        <v>6325</v>
      </c>
      <c r="AA36" s="244"/>
    </row>
    <row r="37">
      <c r="A37" s="214" t="s">
        <v>6348</v>
      </c>
      <c r="B37" s="215"/>
      <c r="C37" s="230" t="s">
        <v>6242</v>
      </c>
      <c r="D37" s="226" t="s">
        <v>6348</v>
      </c>
      <c r="E37" s="218">
        <v>44566.0</v>
      </c>
      <c r="F37" s="219" t="s">
        <v>6348</v>
      </c>
      <c r="G37" s="231"/>
      <c r="H37" s="221"/>
      <c r="I37" s="222" t="e">
        <v>#N/A</v>
      </c>
      <c r="J37" s="223" t="e">
        <v>#N/A</v>
      </c>
      <c r="K37" s="225"/>
      <c r="L37" s="224"/>
      <c r="M37" s="224"/>
      <c r="N37" s="225"/>
      <c r="O37" s="216" t="s">
        <v>6242</v>
      </c>
      <c r="P37" s="226" t="e">
        <v>#N/A</v>
      </c>
      <c r="Q37" s="227" t="e">
        <v>#N/A</v>
      </c>
      <c r="R37" s="228" t="e">
        <v>#N/A</v>
      </c>
      <c r="S37" s="220" t="e">
        <v>#N/A</v>
      </c>
      <c r="T37" s="220" t="e">
        <v>#N/A</v>
      </c>
      <c r="U37" s="221">
        <v>0.0</v>
      </c>
      <c r="V37" s="229" t="e">
        <v>#N/A</v>
      </c>
      <c r="W37" s="24" t="e">
        <v>#N/A</v>
      </c>
      <c r="X37" s="222" t="s">
        <v>6348</v>
      </c>
      <c r="Y37" s="222" t="s">
        <v>6348</v>
      </c>
      <c r="Z37" s="224" t="s">
        <v>6325</v>
      </c>
      <c r="AA37" s="244"/>
    </row>
    <row r="38">
      <c r="A38" s="214" t="s">
        <v>6348</v>
      </c>
      <c r="B38" s="215"/>
      <c r="C38" s="230" t="s">
        <v>6242</v>
      </c>
      <c r="D38" s="226" t="s">
        <v>6348</v>
      </c>
      <c r="E38" s="218">
        <v>44566.0</v>
      </c>
      <c r="F38" s="219" t="s">
        <v>6348</v>
      </c>
      <c r="G38" s="231"/>
      <c r="H38" s="221"/>
      <c r="I38" s="222" t="e">
        <v>#N/A</v>
      </c>
      <c r="J38" s="223" t="e">
        <v>#N/A</v>
      </c>
      <c r="K38" s="225"/>
      <c r="L38" s="224"/>
      <c r="M38" s="224"/>
      <c r="N38" s="225"/>
      <c r="O38" s="216" t="s">
        <v>6242</v>
      </c>
      <c r="P38" s="226" t="e">
        <v>#N/A</v>
      </c>
      <c r="Q38" s="227" t="e">
        <v>#N/A</v>
      </c>
      <c r="R38" s="228" t="e">
        <v>#N/A</v>
      </c>
      <c r="S38" s="220" t="e">
        <v>#N/A</v>
      </c>
      <c r="T38" s="220" t="e">
        <v>#N/A</v>
      </c>
      <c r="U38" s="221">
        <v>0.0</v>
      </c>
      <c r="V38" s="229" t="e">
        <v>#N/A</v>
      </c>
      <c r="W38" s="24" t="e">
        <v>#N/A</v>
      </c>
      <c r="X38" s="222" t="s">
        <v>6348</v>
      </c>
      <c r="Y38" s="222" t="s">
        <v>6348</v>
      </c>
      <c r="Z38" s="224" t="s">
        <v>6325</v>
      </c>
      <c r="AA38" s="244"/>
    </row>
    <row r="39">
      <c r="A39" s="214" t="s">
        <v>6348</v>
      </c>
      <c r="B39" s="215"/>
      <c r="C39" s="230" t="s">
        <v>6242</v>
      </c>
      <c r="D39" s="226" t="s">
        <v>6348</v>
      </c>
      <c r="E39" s="218">
        <v>44566.0</v>
      </c>
      <c r="F39" s="219" t="s">
        <v>6348</v>
      </c>
      <c r="G39" s="231"/>
      <c r="H39" s="221"/>
      <c r="I39" s="222" t="e">
        <v>#N/A</v>
      </c>
      <c r="J39" s="223" t="e">
        <v>#N/A</v>
      </c>
      <c r="K39" s="225"/>
      <c r="L39" s="224"/>
      <c r="M39" s="224"/>
      <c r="N39" s="225"/>
      <c r="O39" s="216" t="s">
        <v>6242</v>
      </c>
      <c r="P39" s="226" t="e">
        <v>#N/A</v>
      </c>
      <c r="Q39" s="227" t="e">
        <v>#N/A</v>
      </c>
      <c r="R39" s="228" t="e">
        <v>#N/A</v>
      </c>
      <c r="S39" s="220" t="e">
        <v>#N/A</v>
      </c>
      <c r="T39" s="220" t="e">
        <v>#N/A</v>
      </c>
      <c r="U39" s="221">
        <v>0.0</v>
      </c>
      <c r="V39" s="229" t="e">
        <v>#N/A</v>
      </c>
      <c r="W39" s="24" t="e">
        <v>#N/A</v>
      </c>
      <c r="X39" s="222" t="s">
        <v>6348</v>
      </c>
      <c r="Y39" s="222" t="s">
        <v>6348</v>
      </c>
      <c r="Z39" s="224" t="s">
        <v>6325</v>
      </c>
      <c r="AA39" s="244"/>
    </row>
    <row r="40">
      <c r="A40" s="214" t="s">
        <v>6348</v>
      </c>
      <c r="B40" s="215"/>
      <c r="C40" s="230" t="s">
        <v>6242</v>
      </c>
      <c r="D40" s="226" t="s">
        <v>6348</v>
      </c>
      <c r="E40" s="218">
        <v>44566.0</v>
      </c>
      <c r="F40" s="219" t="s">
        <v>6348</v>
      </c>
      <c r="G40" s="231"/>
      <c r="H40" s="221"/>
      <c r="I40" s="222" t="e">
        <v>#N/A</v>
      </c>
      <c r="J40" s="223" t="e">
        <v>#N/A</v>
      </c>
      <c r="K40" s="224"/>
      <c r="L40" s="224"/>
      <c r="M40" s="224"/>
      <c r="N40" s="225"/>
      <c r="O40" s="216" t="s">
        <v>6242</v>
      </c>
      <c r="P40" s="226" t="e">
        <v>#N/A</v>
      </c>
      <c r="Q40" s="227" t="e">
        <v>#N/A</v>
      </c>
      <c r="R40" s="228" t="e">
        <v>#N/A</v>
      </c>
      <c r="S40" s="220" t="e">
        <v>#N/A</v>
      </c>
      <c r="T40" s="220" t="e">
        <v>#N/A</v>
      </c>
      <c r="U40" s="221">
        <v>0.0</v>
      </c>
      <c r="V40" s="229" t="e">
        <v>#N/A</v>
      </c>
      <c r="W40" s="24" t="e">
        <v>#N/A</v>
      </c>
      <c r="X40" s="222" t="s">
        <v>6348</v>
      </c>
      <c r="Y40" s="222" t="s">
        <v>6348</v>
      </c>
      <c r="Z40" s="224" t="s">
        <v>6325</v>
      </c>
      <c r="AA40" s="244"/>
    </row>
    <row r="41">
      <c r="A41" s="214" t="s">
        <v>6348</v>
      </c>
      <c r="B41" s="215"/>
      <c r="C41" s="216" t="s">
        <v>6242</v>
      </c>
      <c r="D41" s="226" t="s">
        <v>6348</v>
      </c>
      <c r="E41" s="218">
        <v>44566.0</v>
      </c>
      <c r="F41" s="219" t="s">
        <v>6348</v>
      </c>
      <c r="G41" s="220"/>
      <c r="H41" s="221"/>
      <c r="I41" s="222" t="e">
        <v>#N/A</v>
      </c>
      <c r="J41" s="223" t="e">
        <v>#N/A</v>
      </c>
      <c r="K41" s="225"/>
      <c r="L41" s="224"/>
      <c r="M41" s="224"/>
      <c r="N41" s="225"/>
      <c r="O41" s="216" t="s">
        <v>6242</v>
      </c>
      <c r="P41" s="226" t="e">
        <v>#N/A</v>
      </c>
      <c r="Q41" s="227" t="e">
        <v>#N/A</v>
      </c>
      <c r="R41" s="228" t="e">
        <v>#N/A</v>
      </c>
      <c r="S41" s="220" t="e">
        <v>#N/A</v>
      </c>
      <c r="T41" s="220" t="e">
        <v>#N/A</v>
      </c>
      <c r="U41" s="221">
        <v>0.0</v>
      </c>
      <c r="V41" s="229" t="e">
        <v>#N/A</v>
      </c>
      <c r="W41" s="24" t="e">
        <v>#N/A</v>
      </c>
      <c r="X41" s="222" t="s">
        <v>6348</v>
      </c>
      <c r="Y41" s="222" t="s">
        <v>6348</v>
      </c>
      <c r="Z41" s="224" t="s">
        <v>6325</v>
      </c>
      <c r="AA41" s="244"/>
    </row>
    <row r="42">
      <c r="A42" s="214" t="s">
        <v>6348</v>
      </c>
      <c r="B42" s="215"/>
      <c r="C42" s="216" t="s">
        <v>6242</v>
      </c>
      <c r="D42" s="226" t="s">
        <v>6348</v>
      </c>
      <c r="E42" s="218">
        <v>44566.0</v>
      </c>
      <c r="F42" s="219" t="s">
        <v>6348</v>
      </c>
      <c r="G42" s="220"/>
      <c r="H42" s="221"/>
      <c r="I42" s="222" t="e">
        <v>#N/A</v>
      </c>
      <c r="J42" s="223" t="e">
        <v>#N/A</v>
      </c>
      <c r="K42" s="225"/>
      <c r="L42" s="224"/>
      <c r="M42" s="224"/>
      <c r="N42" s="225"/>
      <c r="O42" s="216" t="s">
        <v>6242</v>
      </c>
      <c r="P42" s="226" t="e">
        <v>#N/A</v>
      </c>
      <c r="Q42" s="227" t="e">
        <v>#N/A</v>
      </c>
      <c r="R42" s="228" t="e">
        <v>#N/A</v>
      </c>
      <c r="S42" s="220" t="e">
        <v>#N/A</v>
      </c>
      <c r="T42" s="220" t="e">
        <v>#N/A</v>
      </c>
      <c r="U42" s="221">
        <v>0.0</v>
      </c>
      <c r="V42" s="229" t="e">
        <v>#N/A</v>
      </c>
      <c r="W42" s="24" t="e">
        <v>#N/A</v>
      </c>
      <c r="X42" s="222" t="s">
        <v>6348</v>
      </c>
      <c r="Y42" s="222" t="s">
        <v>6348</v>
      </c>
      <c r="Z42" s="224" t="s">
        <v>6325</v>
      </c>
      <c r="AA42" s="244"/>
    </row>
    <row r="43">
      <c r="A43" s="214" t="s">
        <v>6348</v>
      </c>
      <c r="B43" s="215"/>
      <c r="C43" s="216" t="s">
        <v>6242</v>
      </c>
      <c r="D43" s="226" t="s">
        <v>6348</v>
      </c>
      <c r="E43" s="218">
        <v>44566.0</v>
      </c>
      <c r="F43" s="219" t="s">
        <v>6348</v>
      </c>
      <c r="G43" s="220"/>
      <c r="H43" s="221"/>
      <c r="I43" s="222" t="e">
        <v>#N/A</v>
      </c>
      <c r="J43" s="223" t="e">
        <v>#N/A</v>
      </c>
      <c r="K43" s="225"/>
      <c r="L43" s="224"/>
      <c r="M43" s="224"/>
      <c r="N43" s="225"/>
      <c r="O43" s="216" t="s">
        <v>6242</v>
      </c>
      <c r="P43" s="226" t="e">
        <v>#N/A</v>
      </c>
      <c r="Q43" s="227" t="e">
        <v>#N/A</v>
      </c>
      <c r="R43" s="228" t="e">
        <v>#N/A</v>
      </c>
      <c r="S43" s="220" t="e">
        <v>#N/A</v>
      </c>
      <c r="T43" s="220" t="e">
        <v>#N/A</v>
      </c>
      <c r="U43" s="221">
        <v>0.0</v>
      </c>
      <c r="V43" s="229" t="e">
        <v>#N/A</v>
      </c>
      <c r="W43" s="24" t="e">
        <v>#N/A</v>
      </c>
      <c r="X43" s="222" t="s">
        <v>6348</v>
      </c>
      <c r="Y43" s="222" t="s">
        <v>6348</v>
      </c>
      <c r="Z43" s="224" t="s">
        <v>6325</v>
      </c>
      <c r="AA43" s="244"/>
    </row>
    <row r="44">
      <c r="A44" s="214" t="s">
        <v>6348</v>
      </c>
      <c r="B44" s="215"/>
      <c r="C44" s="216" t="s">
        <v>6242</v>
      </c>
      <c r="D44" s="226" t="s">
        <v>6348</v>
      </c>
      <c r="E44" s="218">
        <v>44566.0</v>
      </c>
      <c r="F44" s="219" t="s">
        <v>6348</v>
      </c>
      <c r="G44" s="220"/>
      <c r="H44" s="221"/>
      <c r="I44" s="222" t="e">
        <v>#N/A</v>
      </c>
      <c r="J44" s="223" t="e">
        <v>#N/A</v>
      </c>
      <c r="K44" s="224"/>
      <c r="L44" s="224"/>
      <c r="M44" s="224"/>
      <c r="N44" s="225"/>
      <c r="O44" s="216" t="s">
        <v>6242</v>
      </c>
      <c r="P44" s="226" t="e">
        <v>#N/A</v>
      </c>
      <c r="Q44" s="227" t="e">
        <v>#N/A</v>
      </c>
      <c r="R44" s="228" t="e">
        <v>#N/A</v>
      </c>
      <c r="S44" s="220" t="e">
        <v>#N/A</v>
      </c>
      <c r="T44" s="220" t="e">
        <v>#N/A</v>
      </c>
      <c r="U44" s="221">
        <v>0.0</v>
      </c>
      <c r="V44" s="229" t="e">
        <v>#N/A</v>
      </c>
      <c r="W44" s="24" t="e">
        <v>#N/A</v>
      </c>
      <c r="X44" s="222" t="s">
        <v>6348</v>
      </c>
      <c r="Y44" s="222" t="s">
        <v>6348</v>
      </c>
      <c r="Z44" s="224" t="s">
        <v>6325</v>
      </c>
      <c r="AA44" s="244"/>
    </row>
    <row r="45">
      <c r="A45" s="214" t="s">
        <v>6348</v>
      </c>
      <c r="B45" s="215"/>
      <c r="C45" s="216" t="s">
        <v>6242</v>
      </c>
      <c r="D45" s="226" t="s">
        <v>6348</v>
      </c>
      <c r="E45" s="218">
        <v>44566.0</v>
      </c>
      <c r="F45" s="219" t="s">
        <v>6348</v>
      </c>
      <c r="G45" s="220"/>
      <c r="H45" s="221"/>
      <c r="I45" s="222" t="e">
        <v>#N/A</v>
      </c>
      <c r="J45" s="223" t="e">
        <v>#N/A</v>
      </c>
      <c r="K45" s="225"/>
      <c r="L45" s="224"/>
      <c r="M45" s="224"/>
      <c r="N45" s="225"/>
      <c r="O45" s="216" t="s">
        <v>6242</v>
      </c>
      <c r="P45" s="226" t="e">
        <v>#N/A</v>
      </c>
      <c r="Q45" s="227" t="e">
        <v>#N/A</v>
      </c>
      <c r="R45" s="228" t="e">
        <v>#N/A</v>
      </c>
      <c r="S45" s="220" t="e">
        <v>#N/A</v>
      </c>
      <c r="T45" s="220" t="e">
        <v>#N/A</v>
      </c>
      <c r="U45" s="221">
        <v>0.0</v>
      </c>
      <c r="V45" s="229" t="e">
        <v>#N/A</v>
      </c>
      <c r="W45" s="24" t="e">
        <v>#N/A</v>
      </c>
      <c r="X45" s="222" t="s">
        <v>6348</v>
      </c>
      <c r="Y45" s="222" t="s">
        <v>6348</v>
      </c>
      <c r="Z45" s="224" t="s">
        <v>6325</v>
      </c>
      <c r="AA45" s="244"/>
    </row>
    <row r="46">
      <c r="A46" s="214" t="s">
        <v>6348</v>
      </c>
      <c r="B46" s="215"/>
      <c r="C46" s="216" t="s">
        <v>6242</v>
      </c>
      <c r="D46" s="226" t="s">
        <v>6348</v>
      </c>
      <c r="E46" s="218">
        <v>44566.0</v>
      </c>
      <c r="F46" s="219" t="s">
        <v>6348</v>
      </c>
      <c r="G46" s="220"/>
      <c r="H46" s="221"/>
      <c r="I46" s="222" t="e">
        <v>#N/A</v>
      </c>
      <c r="J46" s="223" t="e">
        <v>#N/A</v>
      </c>
      <c r="K46" s="224"/>
      <c r="L46" s="224"/>
      <c r="M46" s="224"/>
      <c r="N46" s="225"/>
      <c r="O46" s="216" t="s">
        <v>6242</v>
      </c>
      <c r="P46" s="226" t="e">
        <v>#N/A</v>
      </c>
      <c r="Q46" s="227" t="e">
        <v>#N/A</v>
      </c>
      <c r="R46" s="228" t="e">
        <v>#N/A</v>
      </c>
      <c r="S46" s="220" t="e">
        <v>#N/A</v>
      </c>
      <c r="T46" s="220" t="e">
        <v>#N/A</v>
      </c>
      <c r="U46" s="221">
        <v>0.0</v>
      </c>
      <c r="V46" s="229" t="e">
        <v>#N/A</v>
      </c>
      <c r="W46" s="24" t="e">
        <v>#N/A</v>
      </c>
      <c r="X46" s="222" t="s">
        <v>6348</v>
      </c>
      <c r="Y46" s="222" t="s">
        <v>6348</v>
      </c>
      <c r="Z46" s="224" t="s">
        <v>6325</v>
      </c>
      <c r="AA46" s="244"/>
    </row>
    <row r="47">
      <c r="A47" s="214" t="s">
        <v>6348</v>
      </c>
      <c r="B47" s="215"/>
      <c r="C47" s="230" t="s">
        <v>6242</v>
      </c>
      <c r="D47" s="226" t="s">
        <v>6348</v>
      </c>
      <c r="E47" s="218">
        <v>44566.0</v>
      </c>
      <c r="F47" s="219" t="s">
        <v>6348</v>
      </c>
      <c r="G47" s="220"/>
      <c r="H47" s="221"/>
      <c r="I47" s="222" t="e">
        <v>#N/A</v>
      </c>
      <c r="J47" s="223" t="e">
        <v>#N/A</v>
      </c>
      <c r="K47" s="225"/>
      <c r="L47" s="224"/>
      <c r="M47" s="224"/>
      <c r="N47" s="225"/>
      <c r="O47" s="216" t="s">
        <v>6242</v>
      </c>
      <c r="P47" s="226" t="e">
        <v>#N/A</v>
      </c>
      <c r="Q47" s="227" t="e">
        <v>#N/A</v>
      </c>
      <c r="R47" s="228" t="e">
        <v>#N/A</v>
      </c>
      <c r="S47" s="220" t="e">
        <v>#N/A</v>
      </c>
      <c r="T47" s="220" t="e">
        <v>#N/A</v>
      </c>
      <c r="U47" s="221">
        <v>0.0</v>
      </c>
      <c r="V47" s="229" t="e">
        <v>#N/A</v>
      </c>
      <c r="W47" s="24" t="e">
        <v>#N/A</v>
      </c>
      <c r="X47" s="222" t="s">
        <v>6348</v>
      </c>
      <c r="Y47" s="222" t="s">
        <v>6348</v>
      </c>
      <c r="Z47" s="224" t="s">
        <v>6325</v>
      </c>
      <c r="AA47" s="244"/>
    </row>
    <row r="48">
      <c r="A48" s="214" t="s">
        <v>6348</v>
      </c>
      <c r="B48" s="215"/>
      <c r="C48" s="230" t="s">
        <v>6242</v>
      </c>
      <c r="D48" s="226" t="s">
        <v>6348</v>
      </c>
      <c r="E48" s="218">
        <v>44566.0</v>
      </c>
      <c r="F48" s="219" t="s">
        <v>6348</v>
      </c>
      <c r="G48" s="220"/>
      <c r="H48" s="221"/>
      <c r="I48" s="222" t="e">
        <v>#N/A</v>
      </c>
      <c r="J48" s="223" t="e">
        <v>#N/A</v>
      </c>
      <c r="K48" s="225"/>
      <c r="L48" s="224"/>
      <c r="M48" s="224"/>
      <c r="N48" s="224"/>
      <c r="O48" s="216" t="s">
        <v>6242</v>
      </c>
      <c r="P48" s="226" t="e">
        <v>#N/A</v>
      </c>
      <c r="Q48" s="227" t="e">
        <v>#N/A</v>
      </c>
      <c r="R48" s="228" t="e">
        <v>#N/A</v>
      </c>
      <c r="S48" s="220" t="e">
        <v>#N/A</v>
      </c>
      <c r="T48" s="220" t="e">
        <v>#N/A</v>
      </c>
      <c r="U48" s="221">
        <v>0.0</v>
      </c>
      <c r="V48" s="229" t="e">
        <v>#N/A</v>
      </c>
      <c r="W48" s="24" t="e">
        <v>#N/A</v>
      </c>
      <c r="X48" s="222" t="s">
        <v>6348</v>
      </c>
      <c r="Y48" s="222" t="s">
        <v>6348</v>
      </c>
      <c r="Z48" s="224" t="s">
        <v>6325</v>
      </c>
      <c r="AA48" s="244"/>
    </row>
    <row r="49">
      <c r="A49" s="214" t="s">
        <v>6348</v>
      </c>
      <c r="B49" s="215"/>
      <c r="C49" s="247" t="s">
        <v>6242</v>
      </c>
      <c r="D49" s="226" t="s">
        <v>6348</v>
      </c>
      <c r="E49" s="218">
        <v>44566.0</v>
      </c>
      <c r="F49" s="219" t="s">
        <v>6348</v>
      </c>
      <c r="G49" s="220"/>
      <c r="H49" s="221"/>
      <c r="I49" s="222" t="e">
        <v>#N/A</v>
      </c>
      <c r="J49" s="223" t="e">
        <v>#N/A</v>
      </c>
      <c r="K49" s="225"/>
      <c r="L49" s="224"/>
      <c r="M49" s="224"/>
      <c r="N49" s="225"/>
      <c r="O49" s="247" t="s">
        <v>6242</v>
      </c>
      <c r="P49" s="226" t="e">
        <v>#N/A</v>
      </c>
      <c r="Q49" s="227" t="e">
        <v>#N/A</v>
      </c>
      <c r="R49" s="228" t="e">
        <v>#N/A</v>
      </c>
      <c r="S49" s="220" t="e">
        <v>#N/A</v>
      </c>
      <c r="T49" s="220" t="e">
        <v>#N/A</v>
      </c>
      <c r="U49" s="221">
        <v>0.0</v>
      </c>
      <c r="V49" s="229" t="e">
        <v>#N/A</v>
      </c>
      <c r="W49" s="24" t="e">
        <v>#N/A</v>
      </c>
      <c r="X49" s="222" t="s">
        <v>6348</v>
      </c>
      <c r="Y49" s="222" t="s">
        <v>6348</v>
      </c>
      <c r="Z49" s="274" t="s">
        <v>6325</v>
      </c>
      <c r="AA49" s="275"/>
    </row>
    <row r="50">
      <c r="A50" s="248" t="s">
        <v>6348</v>
      </c>
      <c r="B50" s="249"/>
      <c r="C50" s="250" t="s">
        <v>6242</v>
      </c>
      <c r="D50" s="251" t="s">
        <v>6348</v>
      </c>
      <c r="E50" s="252">
        <v>44566.0</v>
      </c>
      <c r="F50" s="219" t="s">
        <v>6348</v>
      </c>
      <c r="G50" s="254"/>
      <c r="H50" s="255" t="s">
        <v>6348</v>
      </c>
      <c r="I50" s="256" t="e">
        <v>#N/A</v>
      </c>
      <c r="J50" s="257" t="e">
        <v>#N/A</v>
      </c>
      <c r="K50" s="258"/>
      <c r="L50" s="259"/>
      <c r="M50" s="259"/>
      <c r="N50" s="258"/>
      <c r="O50" s="260" t="s">
        <v>6242</v>
      </c>
      <c r="P50" s="226" t="e">
        <v>#N/A</v>
      </c>
      <c r="Q50" s="227" t="e">
        <v>#N/A</v>
      </c>
      <c r="R50" s="228" t="e">
        <v>#N/A</v>
      </c>
      <c r="S50" s="220" t="e">
        <v>#N/A</v>
      </c>
      <c r="T50" s="220" t="e">
        <v>#N/A</v>
      </c>
      <c r="U50" s="221">
        <v>0.0</v>
      </c>
      <c r="V50" s="261" t="e">
        <v>#N/A</v>
      </c>
      <c r="W50" s="24" t="e">
        <v>#N/A</v>
      </c>
      <c r="X50" s="222" t="s">
        <v>6348</v>
      </c>
      <c r="Y50" s="222" t="s">
        <v>6348</v>
      </c>
      <c r="Z50" s="224" t="s">
        <v>6325</v>
      </c>
      <c r="AA50" s="276"/>
    </row>
    <row r="51">
      <c r="A51" s="214" t="s">
        <v>6348</v>
      </c>
      <c r="B51" s="215"/>
      <c r="C51" s="230" t="s">
        <v>6242</v>
      </c>
      <c r="D51" s="226" t="s">
        <v>6348</v>
      </c>
      <c r="E51" s="218">
        <v>44566.0</v>
      </c>
      <c r="F51" s="219" t="s">
        <v>6348</v>
      </c>
      <c r="G51" s="231"/>
      <c r="H51" s="221" t="s">
        <v>6348</v>
      </c>
      <c r="I51" s="262" t="e">
        <v>#N/A</v>
      </c>
      <c r="J51" s="223" t="e">
        <v>#N/A</v>
      </c>
      <c r="K51" s="225"/>
      <c r="L51" s="224"/>
      <c r="M51" s="224"/>
      <c r="N51" s="225"/>
      <c r="O51" s="216" t="s">
        <v>6242</v>
      </c>
      <c r="P51" s="226" t="e">
        <v>#N/A</v>
      </c>
      <c r="Q51" s="227" t="e">
        <v>#N/A</v>
      </c>
      <c r="R51" s="228" t="e">
        <v>#N/A</v>
      </c>
      <c r="S51" s="220" t="e">
        <v>#N/A</v>
      </c>
      <c r="T51" s="220" t="e">
        <v>#N/A</v>
      </c>
      <c r="U51" s="221">
        <v>0.0</v>
      </c>
      <c r="V51" s="229" t="e">
        <v>#N/A</v>
      </c>
      <c r="W51" s="24" t="e">
        <v>#N/A</v>
      </c>
      <c r="X51" s="222" t="s">
        <v>6348</v>
      </c>
      <c r="Y51" s="222" t="s">
        <v>6348</v>
      </c>
      <c r="Z51" s="224" t="s">
        <v>6325</v>
      </c>
      <c r="AA51" s="276"/>
    </row>
    <row r="52">
      <c r="A52" s="214" t="s">
        <v>6348</v>
      </c>
      <c r="B52" s="215"/>
      <c r="C52" s="230" t="s">
        <v>6242</v>
      </c>
      <c r="D52" s="226" t="s">
        <v>6348</v>
      </c>
      <c r="E52" s="218">
        <v>44566.0</v>
      </c>
      <c r="F52" s="219" t="s">
        <v>6348</v>
      </c>
      <c r="G52" s="231"/>
      <c r="H52" s="221" t="s">
        <v>6348</v>
      </c>
      <c r="I52" s="262" t="e">
        <v>#N/A</v>
      </c>
      <c r="J52" s="223" t="e">
        <v>#N/A</v>
      </c>
      <c r="K52" s="225"/>
      <c r="L52" s="224"/>
      <c r="M52" s="224"/>
      <c r="N52" s="225"/>
      <c r="O52" s="216" t="s">
        <v>6242</v>
      </c>
      <c r="P52" s="226" t="e">
        <v>#N/A</v>
      </c>
      <c r="Q52" s="227" t="e">
        <v>#N/A</v>
      </c>
      <c r="R52" s="228" t="e">
        <v>#N/A</v>
      </c>
      <c r="S52" s="220" t="e">
        <v>#N/A</v>
      </c>
      <c r="T52" s="220" t="e">
        <v>#N/A</v>
      </c>
      <c r="U52" s="221">
        <v>0.0</v>
      </c>
      <c r="V52" s="229" t="e">
        <v>#N/A</v>
      </c>
      <c r="W52" s="24" t="e">
        <v>#N/A</v>
      </c>
      <c r="X52" s="222" t="s">
        <v>6348</v>
      </c>
      <c r="Y52" s="222" t="s">
        <v>6348</v>
      </c>
      <c r="Z52" s="224" t="s">
        <v>6325</v>
      </c>
      <c r="AA52" s="276"/>
    </row>
    <row r="53">
      <c r="A53" s="214" t="s">
        <v>6348</v>
      </c>
      <c r="B53" s="215"/>
      <c r="C53" s="230" t="s">
        <v>6242</v>
      </c>
      <c r="D53" s="226" t="s">
        <v>6348</v>
      </c>
      <c r="E53" s="218">
        <v>44566.0</v>
      </c>
      <c r="F53" s="219" t="s">
        <v>6348</v>
      </c>
      <c r="G53" s="231"/>
      <c r="H53" s="221" t="s">
        <v>6348</v>
      </c>
      <c r="I53" s="262" t="e">
        <v>#N/A</v>
      </c>
      <c r="J53" s="223" t="e">
        <v>#N/A</v>
      </c>
      <c r="K53" s="224"/>
      <c r="L53" s="224"/>
      <c r="M53" s="224"/>
      <c r="N53" s="225"/>
      <c r="O53" s="216" t="s">
        <v>6242</v>
      </c>
      <c r="P53" s="226" t="e">
        <v>#N/A</v>
      </c>
      <c r="Q53" s="227" t="e">
        <v>#N/A</v>
      </c>
      <c r="R53" s="228" t="e">
        <v>#N/A</v>
      </c>
      <c r="S53" s="220" t="e">
        <v>#N/A</v>
      </c>
      <c r="T53" s="220" t="e">
        <v>#N/A</v>
      </c>
      <c r="U53" s="221">
        <v>0.0</v>
      </c>
      <c r="V53" s="229" t="e">
        <v>#N/A</v>
      </c>
      <c r="W53" s="24" t="e">
        <v>#N/A</v>
      </c>
      <c r="X53" s="222" t="s">
        <v>6348</v>
      </c>
      <c r="Y53" s="222" t="s">
        <v>6348</v>
      </c>
      <c r="Z53" s="224" t="s">
        <v>6325</v>
      </c>
      <c r="AA53" s="244"/>
    </row>
    <row r="54">
      <c r="A54" s="214" t="s">
        <v>6348</v>
      </c>
      <c r="B54" s="215"/>
      <c r="C54" s="230" t="s">
        <v>6242</v>
      </c>
      <c r="D54" s="226" t="s">
        <v>6348</v>
      </c>
      <c r="E54" s="218">
        <v>44566.0</v>
      </c>
      <c r="F54" s="219" t="s">
        <v>6348</v>
      </c>
      <c r="G54" s="231"/>
      <c r="H54" s="221" t="s">
        <v>6348</v>
      </c>
      <c r="I54" s="262" t="e">
        <v>#N/A</v>
      </c>
      <c r="J54" s="223" t="e">
        <v>#N/A</v>
      </c>
      <c r="K54" s="225"/>
      <c r="L54" s="224"/>
      <c r="M54" s="224"/>
      <c r="N54" s="225"/>
      <c r="O54" s="216" t="s">
        <v>6242</v>
      </c>
      <c r="P54" s="226" t="e">
        <v>#N/A</v>
      </c>
      <c r="Q54" s="227" t="e">
        <v>#N/A</v>
      </c>
      <c r="R54" s="228" t="e">
        <v>#N/A</v>
      </c>
      <c r="S54" s="220" t="e">
        <v>#N/A</v>
      </c>
      <c r="T54" s="220" t="e">
        <v>#N/A</v>
      </c>
      <c r="U54" s="221">
        <v>0.0</v>
      </c>
      <c r="V54" s="229" t="e">
        <v>#N/A</v>
      </c>
      <c r="W54" s="24" t="e">
        <v>#N/A</v>
      </c>
      <c r="X54" s="222" t="s">
        <v>6348</v>
      </c>
      <c r="Y54" s="222" t="s">
        <v>6348</v>
      </c>
      <c r="Z54" s="224" t="s">
        <v>6325</v>
      </c>
      <c r="AA54" s="244"/>
    </row>
    <row r="55">
      <c r="A55" s="214" t="s">
        <v>6348</v>
      </c>
      <c r="B55" s="215"/>
      <c r="C55" s="230" t="s">
        <v>6242</v>
      </c>
      <c r="D55" s="226" t="s">
        <v>6348</v>
      </c>
      <c r="E55" s="218">
        <v>44566.0</v>
      </c>
      <c r="F55" s="219" t="s">
        <v>6348</v>
      </c>
      <c r="G55" s="231"/>
      <c r="H55" s="221" t="s">
        <v>6348</v>
      </c>
      <c r="I55" s="262" t="e">
        <v>#N/A</v>
      </c>
      <c r="J55" s="223" t="e">
        <v>#N/A</v>
      </c>
      <c r="K55" s="225"/>
      <c r="L55" s="224"/>
      <c r="M55" s="224"/>
      <c r="N55" s="225"/>
      <c r="O55" s="216" t="s">
        <v>6242</v>
      </c>
      <c r="P55" s="226" t="e">
        <v>#N/A</v>
      </c>
      <c r="Q55" s="227" t="e">
        <v>#N/A</v>
      </c>
      <c r="R55" s="228" t="e">
        <v>#N/A</v>
      </c>
      <c r="S55" s="220" t="e">
        <v>#N/A</v>
      </c>
      <c r="T55" s="220" t="e">
        <v>#N/A</v>
      </c>
      <c r="U55" s="221">
        <v>0.0</v>
      </c>
      <c r="V55" s="229" t="e">
        <v>#N/A</v>
      </c>
      <c r="W55" s="24" t="e">
        <v>#N/A</v>
      </c>
      <c r="X55" s="222" t="s">
        <v>6348</v>
      </c>
      <c r="Y55" s="222" t="s">
        <v>6348</v>
      </c>
      <c r="Z55" s="224" t="s">
        <v>6325</v>
      </c>
      <c r="AA55" s="244"/>
    </row>
    <row r="56">
      <c r="A56" s="214" t="s">
        <v>6348</v>
      </c>
      <c r="B56" s="215"/>
      <c r="C56" s="230" t="s">
        <v>6242</v>
      </c>
      <c r="D56" s="226" t="s">
        <v>6348</v>
      </c>
      <c r="E56" s="218">
        <v>44566.0</v>
      </c>
      <c r="F56" s="219" t="s">
        <v>6348</v>
      </c>
      <c r="G56" s="231"/>
      <c r="H56" s="221" t="s">
        <v>6348</v>
      </c>
      <c r="I56" s="262" t="e">
        <v>#N/A</v>
      </c>
      <c r="J56" s="223" t="e">
        <v>#N/A</v>
      </c>
      <c r="K56" s="225"/>
      <c r="L56" s="224"/>
      <c r="M56" s="224"/>
      <c r="N56" s="225"/>
      <c r="O56" s="216" t="s">
        <v>6242</v>
      </c>
      <c r="P56" s="226" t="e">
        <v>#N/A</v>
      </c>
      <c r="Q56" s="227" t="e">
        <v>#N/A</v>
      </c>
      <c r="R56" s="228" t="e">
        <v>#N/A</v>
      </c>
      <c r="S56" s="220" t="e">
        <v>#N/A</v>
      </c>
      <c r="T56" s="220" t="e">
        <v>#N/A</v>
      </c>
      <c r="U56" s="221">
        <v>0.0</v>
      </c>
      <c r="V56" s="229" t="e">
        <v>#N/A</v>
      </c>
      <c r="W56" s="24" t="e">
        <v>#N/A</v>
      </c>
      <c r="X56" s="222" t="s">
        <v>6348</v>
      </c>
      <c r="Y56" s="222" t="s">
        <v>6348</v>
      </c>
      <c r="Z56" s="224" t="s">
        <v>6325</v>
      </c>
      <c r="AA56" s="244"/>
    </row>
    <row r="57">
      <c r="A57" s="214" t="s">
        <v>6348</v>
      </c>
      <c r="B57" s="215"/>
      <c r="C57" s="230" t="s">
        <v>6242</v>
      </c>
      <c r="D57" s="226" t="s">
        <v>6348</v>
      </c>
      <c r="E57" s="218">
        <v>44566.0</v>
      </c>
      <c r="F57" s="219" t="s">
        <v>6348</v>
      </c>
      <c r="G57" s="231"/>
      <c r="H57" s="221" t="s">
        <v>6348</v>
      </c>
      <c r="I57" s="262" t="e">
        <v>#N/A</v>
      </c>
      <c r="J57" s="223" t="e">
        <v>#N/A</v>
      </c>
      <c r="K57" s="225"/>
      <c r="L57" s="224"/>
      <c r="M57" s="224"/>
      <c r="N57" s="225"/>
      <c r="O57" s="216" t="s">
        <v>6242</v>
      </c>
      <c r="P57" s="226" t="e">
        <v>#N/A</v>
      </c>
      <c r="Q57" s="227" t="e">
        <v>#N/A</v>
      </c>
      <c r="R57" s="228" t="e">
        <v>#N/A</v>
      </c>
      <c r="S57" s="220" t="e">
        <v>#N/A</v>
      </c>
      <c r="T57" s="220" t="e">
        <v>#N/A</v>
      </c>
      <c r="U57" s="221">
        <v>0.0</v>
      </c>
      <c r="V57" s="229" t="e">
        <v>#N/A</v>
      </c>
      <c r="W57" s="24" t="e">
        <v>#N/A</v>
      </c>
      <c r="X57" s="222" t="s">
        <v>6348</v>
      </c>
      <c r="Y57" s="222" t="s">
        <v>6348</v>
      </c>
      <c r="Z57" s="224" t="s">
        <v>6325</v>
      </c>
      <c r="AA57" s="244"/>
    </row>
    <row r="58">
      <c r="A58" s="214" t="s">
        <v>6348</v>
      </c>
      <c r="B58" s="215"/>
      <c r="C58" s="230" t="s">
        <v>6242</v>
      </c>
      <c r="D58" s="226" t="s">
        <v>6348</v>
      </c>
      <c r="E58" s="218">
        <v>44566.0</v>
      </c>
      <c r="F58" s="219" t="s">
        <v>6348</v>
      </c>
      <c r="G58" s="231"/>
      <c r="H58" s="221" t="s">
        <v>6348</v>
      </c>
      <c r="I58" s="262" t="e">
        <v>#N/A</v>
      </c>
      <c r="J58" s="223" t="e">
        <v>#N/A</v>
      </c>
      <c r="K58" s="224"/>
      <c r="L58" s="224"/>
      <c r="M58" s="224"/>
      <c r="N58" s="225"/>
      <c r="O58" s="216" t="s">
        <v>6242</v>
      </c>
      <c r="P58" s="226" t="e">
        <v>#N/A</v>
      </c>
      <c r="Q58" s="227" t="e">
        <v>#N/A</v>
      </c>
      <c r="R58" s="228" t="e">
        <v>#N/A</v>
      </c>
      <c r="S58" s="220" t="e">
        <v>#N/A</v>
      </c>
      <c r="T58" s="220" t="e">
        <v>#N/A</v>
      </c>
      <c r="U58" s="221">
        <v>0.0</v>
      </c>
      <c r="V58" s="229" t="e">
        <v>#N/A</v>
      </c>
      <c r="W58" s="24" t="e">
        <v>#N/A</v>
      </c>
      <c r="X58" s="222" t="s">
        <v>6348</v>
      </c>
      <c r="Y58" s="222" t="s">
        <v>6348</v>
      </c>
      <c r="Z58" s="224" t="s">
        <v>6325</v>
      </c>
      <c r="AA58" s="245"/>
    </row>
    <row r="59">
      <c r="A59" s="214" t="s">
        <v>6348</v>
      </c>
      <c r="B59" s="215"/>
      <c r="C59" s="230" t="s">
        <v>6242</v>
      </c>
      <c r="D59" s="226" t="s">
        <v>6348</v>
      </c>
      <c r="E59" s="218">
        <v>44566.0</v>
      </c>
      <c r="F59" s="219" t="s">
        <v>6348</v>
      </c>
      <c r="G59" s="231"/>
      <c r="H59" s="221" t="s">
        <v>6348</v>
      </c>
      <c r="I59" s="262" t="e">
        <v>#N/A</v>
      </c>
      <c r="J59" s="223" t="e">
        <v>#N/A</v>
      </c>
      <c r="K59" s="224"/>
      <c r="L59" s="224"/>
      <c r="M59" s="224"/>
      <c r="N59" s="225"/>
      <c r="O59" s="216" t="s">
        <v>6242</v>
      </c>
      <c r="P59" s="226" t="e">
        <v>#N/A</v>
      </c>
      <c r="Q59" s="227" t="e">
        <v>#N/A</v>
      </c>
      <c r="R59" s="228" t="e">
        <v>#N/A</v>
      </c>
      <c r="S59" s="220" t="e">
        <v>#N/A</v>
      </c>
      <c r="T59" s="220" t="e">
        <v>#N/A</v>
      </c>
      <c r="U59" s="221">
        <v>0.0</v>
      </c>
      <c r="V59" s="229" t="e">
        <v>#N/A</v>
      </c>
      <c r="W59" s="24" t="e">
        <v>#N/A</v>
      </c>
      <c r="X59" s="222" t="s">
        <v>6348</v>
      </c>
      <c r="Y59" s="222" t="s">
        <v>6348</v>
      </c>
      <c r="Z59" s="224" t="s">
        <v>6325</v>
      </c>
      <c r="AA59" s="244"/>
    </row>
    <row r="60">
      <c r="A60" s="214" t="s">
        <v>6348</v>
      </c>
      <c r="B60" s="215"/>
      <c r="C60" s="230" t="s">
        <v>6242</v>
      </c>
      <c r="D60" s="226" t="s">
        <v>6348</v>
      </c>
      <c r="E60" s="218">
        <v>44566.0</v>
      </c>
      <c r="F60" s="219" t="s">
        <v>6348</v>
      </c>
      <c r="G60" s="231"/>
      <c r="H60" s="221" t="s">
        <v>6348</v>
      </c>
      <c r="I60" s="262" t="e">
        <v>#N/A</v>
      </c>
      <c r="J60" s="223" t="e">
        <v>#N/A</v>
      </c>
      <c r="K60" s="225"/>
      <c r="L60" s="224"/>
      <c r="M60" s="224"/>
      <c r="N60" s="225"/>
      <c r="O60" s="216" t="s">
        <v>6242</v>
      </c>
      <c r="P60" s="226" t="e">
        <v>#N/A</v>
      </c>
      <c r="Q60" s="227" t="e">
        <v>#N/A</v>
      </c>
      <c r="R60" s="228" t="e">
        <v>#N/A</v>
      </c>
      <c r="S60" s="220" t="e">
        <v>#N/A</v>
      </c>
      <c r="T60" s="220" t="e">
        <v>#N/A</v>
      </c>
      <c r="U60" s="221">
        <v>0.0</v>
      </c>
      <c r="V60" s="229" t="e">
        <v>#N/A</v>
      </c>
      <c r="W60" s="24" t="e">
        <v>#N/A</v>
      </c>
      <c r="X60" s="222" t="s">
        <v>6348</v>
      </c>
      <c r="Y60" s="222" t="s">
        <v>6348</v>
      </c>
      <c r="Z60" s="224" t="s">
        <v>6325</v>
      </c>
      <c r="AA60" s="244"/>
    </row>
    <row r="61">
      <c r="A61" s="214" t="s">
        <v>6348</v>
      </c>
      <c r="B61" s="215"/>
      <c r="C61" s="230" t="s">
        <v>6242</v>
      </c>
      <c r="D61" s="226" t="s">
        <v>6348</v>
      </c>
      <c r="E61" s="218">
        <v>44566.0</v>
      </c>
      <c r="F61" s="219" t="s">
        <v>6348</v>
      </c>
      <c r="G61" s="231"/>
      <c r="H61" s="221" t="s">
        <v>6348</v>
      </c>
      <c r="I61" s="262" t="e">
        <v>#N/A</v>
      </c>
      <c r="J61" s="223" t="e">
        <v>#N/A</v>
      </c>
      <c r="K61" s="225"/>
      <c r="L61" s="224"/>
      <c r="M61" s="224"/>
      <c r="N61" s="225"/>
      <c r="O61" s="216" t="s">
        <v>6242</v>
      </c>
      <c r="P61" s="226" t="e">
        <v>#N/A</v>
      </c>
      <c r="Q61" s="227" t="e">
        <v>#N/A</v>
      </c>
      <c r="R61" s="228" t="e">
        <v>#N/A</v>
      </c>
      <c r="S61" s="220" t="e">
        <v>#N/A</v>
      </c>
      <c r="T61" s="220" t="e">
        <v>#N/A</v>
      </c>
      <c r="U61" s="221">
        <v>0.0</v>
      </c>
      <c r="V61" s="229" t="e">
        <v>#N/A</v>
      </c>
      <c r="W61" s="24" t="e">
        <v>#N/A</v>
      </c>
      <c r="X61" s="222" t="s">
        <v>6348</v>
      </c>
      <c r="Y61" s="222" t="s">
        <v>6348</v>
      </c>
      <c r="Z61" s="224" t="s">
        <v>6325</v>
      </c>
      <c r="AA61" s="244"/>
    </row>
    <row r="62">
      <c r="A62" s="214" t="s">
        <v>6348</v>
      </c>
      <c r="B62" s="215"/>
      <c r="C62" s="230" t="s">
        <v>6242</v>
      </c>
      <c r="D62" s="226" t="s">
        <v>6348</v>
      </c>
      <c r="E62" s="218">
        <v>44566.0</v>
      </c>
      <c r="F62" s="219" t="s">
        <v>6348</v>
      </c>
      <c r="G62" s="231"/>
      <c r="H62" s="221" t="s">
        <v>6348</v>
      </c>
      <c r="I62" s="262" t="e">
        <v>#N/A</v>
      </c>
      <c r="J62" s="223" t="e">
        <v>#N/A</v>
      </c>
      <c r="K62" s="225"/>
      <c r="L62" s="224"/>
      <c r="M62" s="224"/>
      <c r="N62" s="225"/>
      <c r="O62" s="216" t="s">
        <v>6242</v>
      </c>
      <c r="P62" s="226" t="e">
        <v>#N/A</v>
      </c>
      <c r="Q62" s="227" t="e">
        <v>#N/A</v>
      </c>
      <c r="R62" s="228" t="e">
        <v>#N/A</v>
      </c>
      <c r="S62" s="220" t="e">
        <v>#N/A</v>
      </c>
      <c r="T62" s="220" t="e">
        <v>#N/A</v>
      </c>
      <c r="U62" s="221">
        <v>0.0</v>
      </c>
      <c r="V62" s="229" t="e">
        <v>#N/A</v>
      </c>
      <c r="W62" s="24" t="e">
        <v>#N/A</v>
      </c>
      <c r="X62" s="222" t="s">
        <v>6348</v>
      </c>
      <c r="Y62" s="222" t="s">
        <v>6348</v>
      </c>
      <c r="Z62" s="224" t="s">
        <v>6325</v>
      </c>
      <c r="AA62" s="244"/>
    </row>
    <row r="63">
      <c r="A63" s="214" t="s">
        <v>6348</v>
      </c>
      <c r="B63" s="215"/>
      <c r="C63" s="230" t="s">
        <v>6242</v>
      </c>
      <c r="D63" s="226" t="s">
        <v>6348</v>
      </c>
      <c r="E63" s="218">
        <v>44566.0</v>
      </c>
      <c r="F63" s="219" t="s">
        <v>6348</v>
      </c>
      <c r="G63" s="231"/>
      <c r="H63" s="221" t="s">
        <v>6348</v>
      </c>
      <c r="I63" s="262" t="e">
        <v>#N/A</v>
      </c>
      <c r="J63" s="223" t="e">
        <v>#N/A</v>
      </c>
      <c r="K63" s="225"/>
      <c r="L63" s="224"/>
      <c r="M63" s="224"/>
      <c r="N63" s="225"/>
      <c r="O63" s="216" t="s">
        <v>6242</v>
      </c>
      <c r="P63" s="226" t="e">
        <v>#N/A</v>
      </c>
      <c r="Q63" s="227" t="e">
        <v>#N/A</v>
      </c>
      <c r="R63" s="228" t="e">
        <v>#N/A</v>
      </c>
      <c r="S63" s="220" t="e">
        <v>#N/A</v>
      </c>
      <c r="T63" s="220" t="e">
        <v>#N/A</v>
      </c>
      <c r="U63" s="221">
        <v>0.0</v>
      </c>
      <c r="V63" s="229" t="e">
        <v>#N/A</v>
      </c>
      <c r="W63" s="24" t="e">
        <v>#N/A</v>
      </c>
      <c r="X63" s="222" t="s">
        <v>6348</v>
      </c>
      <c r="Y63" s="222" t="s">
        <v>6348</v>
      </c>
      <c r="Z63" s="224" t="s">
        <v>6325</v>
      </c>
      <c r="AA63" s="244"/>
    </row>
    <row r="64">
      <c r="A64" s="214" t="s">
        <v>6348</v>
      </c>
      <c r="B64" s="215"/>
      <c r="C64" s="230" t="s">
        <v>6242</v>
      </c>
      <c r="D64" s="226" t="s">
        <v>6348</v>
      </c>
      <c r="E64" s="218">
        <v>44566.0</v>
      </c>
      <c r="F64" s="219" t="s">
        <v>6348</v>
      </c>
      <c r="G64" s="231"/>
      <c r="H64" s="221" t="s">
        <v>6348</v>
      </c>
      <c r="I64" s="262" t="e">
        <v>#N/A</v>
      </c>
      <c r="J64" s="223" t="e">
        <v>#N/A</v>
      </c>
      <c r="K64" s="225"/>
      <c r="L64" s="224"/>
      <c r="M64" s="224"/>
      <c r="N64" s="225"/>
      <c r="O64" s="216" t="s">
        <v>6242</v>
      </c>
      <c r="P64" s="226" t="e">
        <v>#N/A</v>
      </c>
      <c r="Q64" s="227" t="e">
        <v>#N/A</v>
      </c>
      <c r="R64" s="228" t="e">
        <v>#N/A</v>
      </c>
      <c r="S64" s="220" t="e">
        <v>#N/A</v>
      </c>
      <c r="T64" s="220" t="e">
        <v>#N/A</v>
      </c>
      <c r="U64" s="221">
        <v>0.0</v>
      </c>
      <c r="V64" s="229" t="e">
        <v>#N/A</v>
      </c>
      <c r="W64" s="24" t="e">
        <v>#N/A</v>
      </c>
      <c r="X64" s="222" t="s">
        <v>6348</v>
      </c>
      <c r="Y64" s="222" t="s">
        <v>6348</v>
      </c>
      <c r="Z64" s="224" t="s">
        <v>6325</v>
      </c>
      <c r="AA64" s="244"/>
    </row>
    <row r="65">
      <c r="A65" s="214" t="s">
        <v>6348</v>
      </c>
      <c r="B65" s="215"/>
      <c r="C65" s="230" t="s">
        <v>6242</v>
      </c>
      <c r="D65" s="226" t="s">
        <v>6348</v>
      </c>
      <c r="E65" s="218">
        <v>44566.0</v>
      </c>
      <c r="F65" s="219" t="s">
        <v>6348</v>
      </c>
      <c r="G65" s="231"/>
      <c r="H65" s="221" t="s">
        <v>6348</v>
      </c>
      <c r="I65" s="262" t="e">
        <v>#N/A</v>
      </c>
      <c r="J65" s="223" t="e">
        <v>#N/A</v>
      </c>
      <c r="K65" s="225"/>
      <c r="L65" s="224"/>
      <c r="M65" s="224"/>
      <c r="N65" s="225"/>
      <c r="O65" s="216" t="s">
        <v>6242</v>
      </c>
      <c r="P65" s="226" t="e">
        <v>#N/A</v>
      </c>
      <c r="Q65" s="227" t="e">
        <v>#N/A</v>
      </c>
      <c r="R65" s="228" t="e">
        <v>#N/A</v>
      </c>
      <c r="S65" s="220" t="e">
        <v>#N/A</v>
      </c>
      <c r="T65" s="220" t="e">
        <v>#N/A</v>
      </c>
      <c r="U65" s="221">
        <v>0.0</v>
      </c>
      <c r="V65" s="229" t="e">
        <v>#N/A</v>
      </c>
      <c r="W65" s="24" t="e">
        <v>#N/A</v>
      </c>
      <c r="X65" s="222" t="s">
        <v>6348</v>
      </c>
      <c r="Y65" s="222" t="s">
        <v>6348</v>
      </c>
      <c r="Z65" s="224" t="s">
        <v>6325</v>
      </c>
      <c r="AA65" s="244"/>
    </row>
    <row r="66">
      <c r="A66" s="214" t="s">
        <v>6348</v>
      </c>
      <c r="B66" s="215"/>
      <c r="C66" s="230" t="s">
        <v>6242</v>
      </c>
      <c r="D66" s="226" t="s">
        <v>6348</v>
      </c>
      <c r="E66" s="218">
        <v>44566.0</v>
      </c>
      <c r="F66" s="219" t="s">
        <v>6348</v>
      </c>
      <c r="G66" s="231"/>
      <c r="H66" s="221" t="s">
        <v>6348</v>
      </c>
      <c r="I66" s="262" t="e">
        <v>#N/A</v>
      </c>
      <c r="J66" s="223" t="e">
        <v>#N/A</v>
      </c>
      <c r="K66" s="225"/>
      <c r="L66" s="224"/>
      <c r="M66" s="224"/>
      <c r="N66" s="225"/>
      <c r="O66" s="216" t="s">
        <v>6242</v>
      </c>
      <c r="P66" s="226" t="e">
        <v>#N/A</v>
      </c>
      <c r="Q66" s="227" t="e">
        <v>#N/A</v>
      </c>
      <c r="R66" s="228" t="e">
        <v>#N/A</v>
      </c>
      <c r="S66" s="220" t="e">
        <v>#N/A</v>
      </c>
      <c r="T66" s="220" t="e">
        <v>#N/A</v>
      </c>
      <c r="U66" s="221">
        <v>0.0</v>
      </c>
      <c r="V66" s="229" t="e">
        <v>#N/A</v>
      </c>
      <c r="W66" s="24" t="e">
        <v>#N/A</v>
      </c>
      <c r="X66" s="222" t="s">
        <v>6348</v>
      </c>
      <c r="Y66" s="222" t="s">
        <v>6348</v>
      </c>
      <c r="Z66" s="224" t="s">
        <v>6325</v>
      </c>
      <c r="AA66" s="244"/>
    </row>
    <row r="67">
      <c r="A67" s="214" t="s">
        <v>6348</v>
      </c>
      <c r="B67" s="215"/>
      <c r="C67" s="230" t="s">
        <v>6242</v>
      </c>
      <c r="D67" s="226" t="s">
        <v>6348</v>
      </c>
      <c r="E67" s="218">
        <v>44566.0</v>
      </c>
      <c r="F67" s="219" t="s">
        <v>6348</v>
      </c>
      <c r="G67" s="231"/>
      <c r="H67" s="221" t="s">
        <v>6348</v>
      </c>
      <c r="I67" s="262" t="e">
        <v>#N/A</v>
      </c>
      <c r="J67" s="223" t="e">
        <v>#N/A</v>
      </c>
      <c r="K67" s="225"/>
      <c r="L67" s="224"/>
      <c r="M67" s="224"/>
      <c r="N67" s="225"/>
      <c r="O67" s="216" t="s">
        <v>6242</v>
      </c>
      <c r="P67" s="226" t="e">
        <v>#N/A</v>
      </c>
      <c r="Q67" s="227" t="e">
        <v>#N/A</v>
      </c>
      <c r="R67" s="228" t="e">
        <v>#N/A</v>
      </c>
      <c r="S67" s="220" t="e">
        <v>#N/A</v>
      </c>
      <c r="T67" s="220" t="e">
        <v>#N/A</v>
      </c>
      <c r="U67" s="221">
        <v>0.0</v>
      </c>
      <c r="V67" s="229" t="e">
        <v>#N/A</v>
      </c>
      <c r="W67" s="24" t="e">
        <v>#N/A</v>
      </c>
      <c r="X67" s="222" t="s">
        <v>6348</v>
      </c>
      <c r="Y67" s="222" t="s">
        <v>6348</v>
      </c>
      <c r="Z67" s="224" t="s">
        <v>6325</v>
      </c>
      <c r="AA67" s="244"/>
    </row>
    <row r="68">
      <c r="A68" s="214" t="s">
        <v>6348</v>
      </c>
      <c r="B68" s="215"/>
      <c r="C68" s="230" t="s">
        <v>6242</v>
      </c>
      <c r="D68" s="226" t="s">
        <v>6348</v>
      </c>
      <c r="E68" s="218">
        <v>44566.0</v>
      </c>
      <c r="F68" s="219" t="s">
        <v>6348</v>
      </c>
      <c r="G68" s="231"/>
      <c r="H68" s="221" t="s">
        <v>6348</v>
      </c>
      <c r="I68" s="262" t="e">
        <v>#N/A</v>
      </c>
      <c r="J68" s="223" t="e">
        <v>#N/A</v>
      </c>
      <c r="K68" s="225"/>
      <c r="L68" s="224"/>
      <c r="M68" s="224"/>
      <c r="N68" s="225"/>
      <c r="O68" s="216" t="s">
        <v>6242</v>
      </c>
      <c r="P68" s="226" t="e">
        <v>#N/A</v>
      </c>
      <c r="Q68" s="227" t="e">
        <v>#N/A</v>
      </c>
      <c r="R68" s="228" t="e">
        <v>#N/A</v>
      </c>
      <c r="S68" s="220" t="e">
        <v>#N/A</v>
      </c>
      <c r="T68" s="220" t="e">
        <v>#N/A</v>
      </c>
      <c r="U68" s="221">
        <v>0.0</v>
      </c>
      <c r="V68" s="229" t="e">
        <v>#N/A</v>
      </c>
      <c r="W68" s="24" t="e">
        <v>#N/A</v>
      </c>
      <c r="X68" s="222" t="s">
        <v>6348</v>
      </c>
      <c r="Y68" s="222" t="s">
        <v>6348</v>
      </c>
      <c r="Z68" s="224" t="s">
        <v>6325</v>
      </c>
      <c r="AA68" s="244"/>
    </row>
    <row r="69">
      <c r="A69" s="214" t="s">
        <v>6348</v>
      </c>
      <c r="B69" s="215"/>
      <c r="C69" s="230" t="s">
        <v>6242</v>
      </c>
      <c r="D69" s="226" t="s">
        <v>6348</v>
      </c>
      <c r="E69" s="218">
        <v>44566.0</v>
      </c>
      <c r="F69" s="219" t="s">
        <v>6348</v>
      </c>
      <c r="G69" s="231"/>
      <c r="H69" s="221" t="s">
        <v>6348</v>
      </c>
      <c r="I69" s="262" t="e">
        <v>#N/A</v>
      </c>
      <c r="J69" s="223" t="e">
        <v>#N/A</v>
      </c>
      <c r="K69" s="224"/>
      <c r="L69" s="224"/>
      <c r="M69" s="224"/>
      <c r="N69" s="225"/>
      <c r="O69" s="216" t="s">
        <v>6242</v>
      </c>
      <c r="P69" s="226" t="e">
        <v>#N/A</v>
      </c>
      <c r="Q69" s="227" t="e">
        <v>#N/A</v>
      </c>
      <c r="R69" s="228" t="e">
        <v>#N/A</v>
      </c>
      <c r="S69" s="220" t="e">
        <v>#N/A</v>
      </c>
      <c r="T69" s="220" t="e">
        <v>#N/A</v>
      </c>
      <c r="U69" s="221">
        <v>0.0</v>
      </c>
      <c r="V69" s="229" t="e">
        <v>#N/A</v>
      </c>
      <c r="W69" s="24" t="e">
        <v>#N/A</v>
      </c>
      <c r="X69" s="222" t="s">
        <v>6348</v>
      </c>
      <c r="Y69" s="222" t="s">
        <v>6348</v>
      </c>
      <c r="Z69" s="224" t="s">
        <v>6325</v>
      </c>
      <c r="AA69" s="244"/>
    </row>
    <row r="70">
      <c r="A70" s="214" t="s">
        <v>6348</v>
      </c>
      <c r="B70" s="215"/>
      <c r="C70" s="230" t="s">
        <v>6242</v>
      </c>
      <c r="D70" s="226" t="s">
        <v>6348</v>
      </c>
      <c r="E70" s="218">
        <v>44566.0</v>
      </c>
      <c r="F70" s="219" t="s">
        <v>6348</v>
      </c>
      <c r="G70" s="231"/>
      <c r="H70" s="221" t="s">
        <v>6348</v>
      </c>
      <c r="I70" s="262" t="e">
        <v>#N/A</v>
      </c>
      <c r="J70" s="223" t="e">
        <v>#N/A</v>
      </c>
      <c r="K70" s="224"/>
      <c r="L70" s="224"/>
      <c r="M70" s="224"/>
      <c r="N70" s="225"/>
      <c r="O70" s="216" t="s">
        <v>6242</v>
      </c>
      <c r="P70" s="226" t="e">
        <v>#N/A</v>
      </c>
      <c r="Q70" s="227" t="e">
        <v>#N/A</v>
      </c>
      <c r="R70" s="228" t="e">
        <v>#N/A</v>
      </c>
      <c r="S70" s="220" t="e">
        <v>#N/A</v>
      </c>
      <c r="T70" s="220" t="e">
        <v>#N/A</v>
      </c>
      <c r="U70" s="221">
        <v>0.0</v>
      </c>
      <c r="V70" s="229" t="e">
        <v>#N/A</v>
      </c>
      <c r="W70" s="24" t="e">
        <v>#N/A</v>
      </c>
      <c r="X70" s="222" t="s">
        <v>6348</v>
      </c>
      <c r="Y70" s="222" t="s">
        <v>6348</v>
      </c>
      <c r="Z70" s="224" t="s">
        <v>6325</v>
      </c>
      <c r="AA70" s="244"/>
    </row>
    <row r="71">
      <c r="A71" s="214" t="s">
        <v>6348</v>
      </c>
      <c r="B71" s="215"/>
      <c r="C71" s="230" t="s">
        <v>6242</v>
      </c>
      <c r="D71" s="226" t="s">
        <v>6348</v>
      </c>
      <c r="E71" s="218">
        <v>44566.0</v>
      </c>
      <c r="F71" s="219" t="s">
        <v>6348</v>
      </c>
      <c r="G71" s="231"/>
      <c r="H71" s="221" t="s">
        <v>6348</v>
      </c>
      <c r="I71" s="262" t="e">
        <v>#N/A</v>
      </c>
      <c r="J71" s="223" t="e">
        <v>#N/A</v>
      </c>
      <c r="K71" s="225"/>
      <c r="L71" s="224"/>
      <c r="M71" s="224"/>
      <c r="N71" s="225"/>
      <c r="O71" s="216" t="s">
        <v>6242</v>
      </c>
      <c r="P71" s="226" t="e">
        <v>#N/A</v>
      </c>
      <c r="Q71" s="227" t="e">
        <v>#N/A</v>
      </c>
      <c r="R71" s="228" t="e">
        <v>#N/A</v>
      </c>
      <c r="S71" s="220" t="e">
        <v>#N/A</v>
      </c>
      <c r="T71" s="220" t="e">
        <v>#N/A</v>
      </c>
      <c r="U71" s="221">
        <v>0.0</v>
      </c>
      <c r="V71" s="229" t="e">
        <v>#N/A</v>
      </c>
      <c r="W71" s="24" t="e">
        <v>#N/A</v>
      </c>
      <c r="X71" s="222" t="s">
        <v>6348</v>
      </c>
      <c r="Y71" s="222" t="s">
        <v>6348</v>
      </c>
      <c r="Z71" s="224" t="s">
        <v>6325</v>
      </c>
      <c r="AA71" s="244"/>
    </row>
    <row r="72">
      <c r="A72" s="214" t="s">
        <v>6348</v>
      </c>
      <c r="B72" s="215"/>
      <c r="C72" s="230" t="s">
        <v>6242</v>
      </c>
      <c r="D72" s="226" t="s">
        <v>6348</v>
      </c>
      <c r="E72" s="218">
        <v>44566.0</v>
      </c>
      <c r="F72" s="219" t="s">
        <v>6348</v>
      </c>
      <c r="G72" s="231"/>
      <c r="H72" s="221" t="s">
        <v>6348</v>
      </c>
      <c r="I72" s="262" t="e">
        <v>#N/A</v>
      </c>
      <c r="J72" s="223" t="e">
        <v>#N/A</v>
      </c>
      <c r="K72" s="225"/>
      <c r="L72" s="224"/>
      <c r="M72" s="224"/>
      <c r="N72" s="225"/>
      <c r="O72" s="216" t="s">
        <v>6242</v>
      </c>
      <c r="P72" s="226" t="e">
        <v>#N/A</v>
      </c>
      <c r="Q72" s="227" t="e">
        <v>#N/A</v>
      </c>
      <c r="R72" s="228" t="e">
        <v>#N/A</v>
      </c>
      <c r="S72" s="220" t="e">
        <v>#N/A</v>
      </c>
      <c r="T72" s="220" t="e">
        <v>#N/A</v>
      </c>
      <c r="U72" s="221">
        <v>0.0</v>
      </c>
      <c r="V72" s="229" t="e">
        <v>#N/A</v>
      </c>
      <c r="W72" s="24" t="e">
        <v>#N/A</v>
      </c>
      <c r="X72" s="222" t="s">
        <v>6348</v>
      </c>
      <c r="Y72" s="222" t="s">
        <v>6348</v>
      </c>
      <c r="Z72" s="224" t="s">
        <v>6325</v>
      </c>
      <c r="AA72" s="244"/>
    </row>
    <row r="73">
      <c r="A73" s="214" t="s">
        <v>6348</v>
      </c>
      <c r="B73" s="215"/>
      <c r="C73" s="230" t="s">
        <v>6242</v>
      </c>
      <c r="D73" s="226" t="s">
        <v>6348</v>
      </c>
      <c r="E73" s="218">
        <v>44566.0</v>
      </c>
      <c r="F73" s="219" t="s">
        <v>6348</v>
      </c>
      <c r="G73" s="231"/>
      <c r="H73" s="221" t="s">
        <v>6348</v>
      </c>
      <c r="I73" s="262" t="e">
        <v>#N/A</v>
      </c>
      <c r="J73" s="223" t="e">
        <v>#N/A</v>
      </c>
      <c r="K73" s="225"/>
      <c r="L73" s="224"/>
      <c r="M73" s="224"/>
      <c r="N73" s="225"/>
      <c r="O73" s="216" t="s">
        <v>6242</v>
      </c>
      <c r="P73" s="226" t="e">
        <v>#N/A</v>
      </c>
      <c r="Q73" s="227" t="e">
        <v>#N/A</v>
      </c>
      <c r="R73" s="228" t="e">
        <v>#N/A</v>
      </c>
      <c r="S73" s="220" t="e">
        <v>#N/A</v>
      </c>
      <c r="T73" s="220" t="e">
        <v>#N/A</v>
      </c>
      <c r="U73" s="221">
        <v>0.0</v>
      </c>
      <c r="V73" s="229" t="e">
        <v>#N/A</v>
      </c>
      <c r="W73" s="24" t="e">
        <v>#N/A</v>
      </c>
      <c r="X73" s="222" t="s">
        <v>6348</v>
      </c>
      <c r="Y73" s="222" t="s">
        <v>6348</v>
      </c>
      <c r="Z73" s="224" t="s">
        <v>6325</v>
      </c>
      <c r="AA73" s="244"/>
    </row>
    <row r="74">
      <c r="A74" s="214" t="s">
        <v>6348</v>
      </c>
      <c r="B74" s="215"/>
      <c r="C74" s="230" t="s">
        <v>6242</v>
      </c>
      <c r="D74" s="226" t="s">
        <v>6348</v>
      </c>
      <c r="E74" s="218">
        <v>44566.0</v>
      </c>
      <c r="F74" s="219" t="s">
        <v>6348</v>
      </c>
      <c r="G74" s="231"/>
      <c r="H74" s="221" t="s">
        <v>6348</v>
      </c>
      <c r="I74" s="262" t="e">
        <v>#N/A</v>
      </c>
      <c r="J74" s="223" t="e">
        <v>#N/A</v>
      </c>
      <c r="K74" s="225"/>
      <c r="L74" s="224"/>
      <c r="M74" s="224"/>
      <c r="N74" s="225"/>
      <c r="O74" s="216" t="s">
        <v>6242</v>
      </c>
      <c r="P74" s="226" t="e">
        <v>#N/A</v>
      </c>
      <c r="Q74" s="227" t="e">
        <v>#N/A</v>
      </c>
      <c r="R74" s="228" t="e">
        <v>#N/A</v>
      </c>
      <c r="S74" s="220" t="e">
        <v>#N/A</v>
      </c>
      <c r="T74" s="220" t="e">
        <v>#N/A</v>
      </c>
      <c r="U74" s="221">
        <v>0.0</v>
      </c>
      <c r="V74" s="229" t="e">
        <v>#N/A</v>
      </c>
      <c r="W74" s="24" t="e">
        <v>#N/A</v>
      </c>
      <c r="X74" s="222" t="s">
        <v>6348</v>
      </c>
      <c r="Y74" s="222" t="s">
        <v>6348</v>
      </c>
      <c r="Z74" s="224" t="s">
        <v>6325</v>
      </c>
      <c r="AA74" s="244"/>
    </row>
    <row r="75">
      <c r="A75" s="214" t="s">
        <v>6348</v>
      </c>
      <c r="B75" s="215"/>
      <c r="C75" s="230" t="s">
        <v>6242</v>
      </c>
      <c r="D75" s="226" t="s">
        <v>6348</v>
      </c>
      <c r="E75" s="218">
        <v>44566.0</v>
      </c>
      <c r="F75" s="219" t="s">
        <v>6348</v>
      </c>
      <c r="G75" s="231"/>
      <c r="H75" s="221" t="s">
        <v>6348</v>
      </c>
      <c r="I75" s="262" t="e">
        <v>#N/A</v>
      </c>
      <c r="J75" s="223" t="e">
        <v>#N/A</v>
      </c>
      <c r="K75" s="225"/>
      <c r="L75" s="224"/>
      <c r="M75" s="224"/>
      <c r="N75" s="225"/>
      <c r="O75" s="216" t="s">
        <v>6242</v>
      </c>
      <c r="P75" s="226" t="e">
        <v>#N/A</v>
      </c>
      <c r="Q75" s="227" t="e">
        <v>#N/A</v>
      </c>
      <c r="R75" s="228" t="e">
        <v>#N/A</v>
      </c>
      <c r="S75" s="220" t="e">
        <v>#N/A</v>
      </c>
      <c r="T75" s="220" t="e">
        <v>#N/A</v>
      </c>
      <c r="U75" s="221">
        <v>0.0</v>
      </c>
      <c r="V75" s="229" t="e">
        <v>#N/A</v>
      </c>
      <c r="W75" s="24" t="e">
        <v>#N/A</v>
      </c>
      <c r="X75" s="222" t="s">
        <v>6348</v>
      </c>
      <c r="Y75" s="222" t="s">
        <v>6348</v>
      </c>
      <c r="Z75" s="224" t="s">
        <v>6325</v>
      </c>
      <c r="AA75" s="244"/>
    </row>
    <row r="76">
      <c r="A76" s="214" t="s">
        <v>6348</v>
      </c>
      <c r="B76" s="215"/>
      <c r="C76" s="230" t="s">
        <v>6242</v>
      </c>
      <c r="D76" s="226" t="s">
        <v>6348</v>
      </c>
      <c r="E76" s="218">
        <v>44566.0</v>
      </c>
      <c r="F76" s="219" t="s">
        <v>6348</v>
      </c>
      <c r="G76" s="231"/>
      <c r="H76" s="221" t="s">
        <v>6348</v>
      </c>
      <c r="I76" s="262" t="e">
        <v>#N/A</v>
      </c>
      <c r="J76" s="223" t="e">
        <v>#N/A</v>
      </c>
      <c r="K76" s="225"/>
      <c r="L76" s="224"/>
      <c r="M76" s="224"/>
      <c r="N76" s="225"/>
      <c r="O76" s="216" t="s">
        <v>6242</v>
      </c>
      <c r="P76" s="226" t="e">
        <v>#N/A</v>
      </c>
      <c r="Q76" s="227" t="e">
        <v>#N/A</v>
      </c>
      <c r="R76" s="228" t="e">
        <v>#N/A</v>
      </c>
      <c r="S76" s="220" t="e">
        <v>#N/A</v>
      </c>
      <c r="T76" s="220" t="e">
        <v>#N/A</v>
      </c>
      <c r="U76" s="221">
        <v>0.0</v>
      </c>
      <c r="V76" s="229" t="e">
        <v>#N/A</v>
      </c>
      <c r="W76" s="24" t="e">
        <v>#N/A</v>
      </c>
      <c r="X76" s="222" t="s">
        <v>6348</v>
      </c>
      <c r="Y76" s="222" t="s">
        <v>6348</v>
      </c>
      <c r="Z76" s="224" t="s">
        <v>6325</v>
      </c>
      <c r="AA76" s="244"/>
    </row>
    <row r="77">
      <c r="A77" s="214" t="s">
        <v>6348</v>
      </c>
      <c r="B77" s="215"/>
      <c r="C77" s="230" t="s">
        <v>6242</v>
      </c>
      <c r="D77" s="226" t="s">
        <v>6348</v>
      </c>
      <c r="E77" s="218">
        <v>44566.0</v>
      </c>
      <c r="F77" s="219" t="s">
        <v>6348</v>
      </c>
      <c r="G77" s="231"/>
      <c r="H77" s="221" t="s">
        <v>6348</v>
      </c>
      <c r="I77" s="262" t="e">
        <v>#N/A</v>
      </c>
      <c r="J77" s="223" t="e">
        <v>#N/A</v>
      </c>
      <c r="K77" s="225"/>
      <c r="L77" s="224"/>
      <c r="M77" s="224"/>
      <c r="N77" s="225"/>
      <c r="O77" s="216" t="s">
        <v>6242</v>
      </c>
      <c r="P77" s="226" t="e">
        <v>#N/A</v>
      </c>
      <c r="Q77" s="227" t="e">
        <v>#N/A</v>
      </c>
      <c r="R77" s="228" t="e">
        <v>#N/A</v>
      </c>
      <c r="S77" s="220" t="e">
        <v>#N/A</v>
      </c>
      <c r="T77" s="220" t="e">
        <v>#N/A</v>
      </c>
      <c r="U77" s="221">
        <v>0.0</v>
      </c>
      <c r="V77" s="229" t="e">
        <v>#N/A</v>
      </c>
      <c r="W77" s="24" t="e">
        <v>#N/A</v>
      </c>
      <c r="X77" s="222" t="s">
        <v>6348</v>
      </c>
      <c r="Y77" s="222" t="s">
        <v>6348</v>
      </c>
      <c r="Z77" s="224" t="s">
        <v>6325</v>
      </c>
      <c r="AA77" s="244"/>
    </row>
    <row r="78">
      <c r="A78" s="214" t="s">
        <v>6348</v>
      </c>
      <c r="B78" s="215"/>
      <c r="C78" s="230" t="s">
        <v>6242</v>
      </c>
      <c r="D78" s="226" t="s">
        <v>6348</v>
      </c>
      <c r="E78" s="218">
        <v>44566.0</v>
      </c>
      <c r="F78" s="219" t="s">
        <v>6348</v>
      </c>
      <c r="G78" s="231"/>
      <c r="H78" s="221" t="s">
        <v>6348</v>
      </c>
      <c r="I78" s="262" t="e">
        <v>#N/A</v>
      </c>
      <c r="J78" s="223" t="e">
        <v>#N/A</v>
      </c>
      <c r="K78" s="225"/>
      <c r="L78" s="224"/>
      <c r="M78" s="224"/>
      <c r="N78" s="225"/>
      <c r="O78" s="216" t="s">
        <v>6242</v>
      </c>
      <c r="P78" s="226" t="e">
        <v>#N/A</v>
      </c>
      <c r="Q78" s="227" t="e">
        <v>#N/A</v>
      </c>
      <c r="R78" s="228" t="e">
        <v>#N/A</v>
      </c>
      <c r="S78" s="220" t="e">
        <v>#N/A</v>
      </c>
      <c r="T78" s="220" t="e">
        <v>#N/A</v>
      </c>
      <c r="U78" s="221">
        <v>0.0</v>
      </c>
      <c r="V78" s="229" t="e">
        <v>#N/A</v>
      </c>
      <c r="W78" s="24" t="e">
        <v>#N/A</v>
      </c>
      <c r="X78" s="222" t="s">
        <v>6348</v>
      </c>
      <c r="Y78" s="222" t="s">
        <v>6348</v>
      </c>
      <c r="Z78" s="224" t="s">
        <v>6325</v>
      </c>
      <c r="AA78" s="244"/>
    </row>
    <row r="79">
      <c r="A79" s="214" t="s">
        <v>6348</v>
      </c>
      <c r="B79" s="215"/>
      <c r="C79" s="230" t="s">
        <v>6242</v>
      </c>
      <c r="D79" s="226" t="s">
        <v>6348</v>
      </c>
      <c r="E79" s="218">
        <v>44566.0</v>
      </c>
      <c r="F79" s="219" t="s">
        <v>6348</v>
      </c>
      <c r="G79" s="231"/>
      <c r="H79" s="221" t="s">
        <v>6348</v>
      </c>
      <c r="I79" s="262" t="e">
        <v>#N/A</v>
      </c>
      <c r="J79" s="223" t="e">
        <v>#N/A</v>
      </c>
      <c r="K79" s="225"/>
      <c r="L79" s="224"/>
      <c r="M79" s="224"/>
      <c r="N79" s="225"/>
      <c r="O79" s="216" t="s">
        <v>6242</v>
      </c>
      <c r="P79" s="226" t="e">
        <v>#N/A</v>
      </c>
      <c r="Q79" s="227" t="e">
        <v>#N/A</v>
      </c>
      <c r="R79" s="228" t="e">
        <v>#N/A</v>
      </c>
      <c r="S79" s="220" t="e">
        <v>#N/A</v>
      </c>
      <c r="T79" s="220" t="e">
        <v>#N/A</v>
      </c>
      <c r="U79" s="221">
        <v>0.0</v>
      </c>
      <c r="V79" s="229" t="e">
        <v>#N/A</v>
      </c>
      <c r="W79" s="24" t="e">
        <v>#N/A</v>
      </c>
      <c r="X79" s="222" t="s">
        <v>6348</v>
      </c>
      <c r="Y79" s="222" t="s">
        <v>6348</v>
      </c>
      <c r="Z79" s="224" t="s">
        <v>6325</v>
      </c>
      <c r="AA79" s="244"/>
    </row>
    <row r="80">
      <c r="A80" s="214" t="s">
        <v>6348</v>
      </c>
      <c r="B80" s="215"/>
      <c r="C80" s="230" t="s">
        <v>6242</v>
      </c>
      <c r="D80" s="226" t="s">
        <v>6348</v>
      </c>
      <c r="E80" s="218">
        <v>44566.0</v>
      </c>
      <c r="F80" s="219" t="s">
        <v>6348</v>
      </c>
      <c r="G80" s="231"/>
      <c r="H80" s="221" t="s">
        <v>6348</v>
      </c>
      <c r="I80" s="262" t="e">
        <v>#N/A</v>
      </c>
      <c r="J80" s="223" t="e">
        <v>#N/A</v>
      </c>
      <c r="K80" s="225"/>
      <c r="L80" s="224"/>
      <c r="M80" s="224"/>
      <c r="N80" s="225"/>
      <c r="O80" s="216" t="s">
        <v>6242</v>
      </c>
      <c r="P80" s="226" t="e">
        <v>#N/A</v>
      </c>
      <c r="Q80" s="227" t="e">
        <v>#N/A</v>
      </c>
      <c r="R80" s="228" t="e">
        <v>#N/A</v>
      </c>
      <c r="S80" s="220" t="e">
        <v>#N/A</v>
      </c>
      <c r="T80" s="220" t="e">
        <v>#N/A</v>
      </c>
      <c r="U80" s="221">
        <v>0.0</v>
      </c>
      <c r="V80" s="229" t="e">
        <v>#N/A</v>
      </c>
      <c r="W80" s="24" t="e">
        <v>#N/A</v>
      </c>
      <c r="X80" s="222" t="s">
        <v>6348</v>
      </c>
      <c r="Y80" s="222" t="s">
        <v>6348</v>
      </c>
      <c r="Z80" s="224" t="s">
        <v>6325</v>
      </c>
      <c r="AA80" s="244"/>
    </row>
    <row r="81">
      <c r="A81" s="214" t="s">
        <v>6348</v>
      </c>
      <c r="B81" s="215"/>
      <c r="C81" s="230" t="s">
        <v>6242</v>
      </c>
      <c r="D81" s="226" t="s">
        <v>6348</v>
      </c>
      <c r="E81" s="218">
        <v>44566.0</v>
      </c>
      <c r="F81" s="219" t="s">
        <v>6348</v>
      </c>
      <c r="G81" s="231"/>
      <c r="H81" s="221" t="s">
        <v>6348</v>
      </c>
      <c r="I81" s="262" t="e">
        <v>#N/A</v>
      </c>
      <c r="J81" s="223" t="e">
        <v>#N/A</v>
      </c>
      <c r="K81" s="225"/>
      <c r="L81" s="224"/>
      <c r="M81" s="224"/>
      <c r="N81" s="225"/>
      <c r="O81" s="216" t="s">
        <v>6242</v>
      </c>
      <c r="P81" s="226" t="e">
        <v>#N/A</v>
      </c>
      <c r="Q81" s="227" t="e">
        <v>#N/A</v>
      </c>
      <c r="R81" s="228" t="e">
        <v>#N/A</v>
      </c>
      <c r="S81" s="220" t="e">
        <v>#N/A</v>
      </c>
      <c r="T81" s="220" t="e">
        <v>#N/A</v>
      </c>
      <c r="U81" s="221">
        <v>0.0</v>
      </c>
      <c r="V81" s="229" t="e">
        <v>#N/A</v>
      </c>
      <c r="W81" s="24" t="e">
        <v>#N/A</v>
      </c>
      <c r="X81" s="222" t="s">
        <v>6348</v>
      </c>
      <c r="Y81" s="222" t="s">
        <v>6348</v>
      </c>
      <c r="Z81" s="224" t="s">
        <v>6325</v>
      </c>
      <c r="AA81" s="244"/>
    </row>
    <row r="82">
      <c r="A82" s="214" t="s">
        <v>6348</v>
      </c>
      <c r="B82" s="215"/>
      <c r="C82" s="230" t="s">
        <v>6242</v>
      </c>
      <c r="D82" s="226" t="s">
        <v>6348</v>
      </c>
      <c r="E82" s="218">
        <v>44566.0</v>
      </c>
      <c r="F82" s="219" t="s">
        <v>6348</v>
      </c>
      <c r="G82" s="231"/>
      <c r="H82" s="221" t="s">
        <v>6348</v>
      </c>
      <c r="I82" s="262" t="e">
        <v>#N/A</v>
      </c>
      <c r="J82" s="223" t="e">
        <v>#N/A</v>
      </c>
      <c r="K82" s="225"/>
      <c r="L82" s="224"/>
      <c r="M82" s="224"/>
      <c r="N82" s="225"/>
      <c r="O82" s="216" t="s">
        <v>6242</v>
      </c>
      <c r="P82" s="226" t="e">
        <v>#N/A</v>
      </c>
      <c r="Q82" s="227" t="e">
        <v>#N/A</v>
      </c>
      <c r="R82" s="228" t="e">
        <v>#N/A</v>
      </c>
      <c r="S82" s="220" t="e">
        <v>#N/A</v>
      </c>
      <c r="T82" s="220" t="e">
        <v>#N/A</v>
      </c>
      <c r="U82" s="221">
        <v>0.0</v>
      </c>
      <c r="V82" s="229" t="e">
        <v>#N/A</v>
      </c>
      <c r="W82" s="24" t="e">
        <v>#N/A</v>
      </c>
      <c r="X82" s="222" t="s">
        <v>6348</v>
      </c>
      <c r="Y82" s="222" t="s">
        <v>6348</v>
      </c>
      <c r="Z82" s="224" t="s">
        <v>6325</v>
      </c>
      <c r="AA82" s="244"/>
    </row>
    <row r="83">
      <c r="A83" s="214" t="s">
        <v>6348</v>
      </c>
      <c r="B83" s="215"/>
      <c r="C83" s="230" t="s">
        <v>6242</v>
      </c>
      <c r="D83" s="226" t="s">
        <v>6348</v>
      </c>
      <c r="E83" s="218">
        <v>44566.0</v>
      </c>
      <c r="F83" s="219" t="s">
        <v>6348</v>
      </c>
      <c r="G83" s="231"/>
      <c r="H83" s="221" t="s">
        <v>6348</v>
      </c>
      <c r="I83" s="262" t="e">
        <v>#N/A</v>
      </c>
      <c r="J83" s="223" t="e">
        <v>#N/A</v>
      </c>
      <c r="K83" s="225"/>
      <c r="L83" s="224"/>
      <c r="M83" s="224"/>
      <c r="N83" s="225"/>
      <c r="O83" s="216" t="s">
        <v>6242</v>
      </c>
      <c r="P83" s="226" t="e">
        <v>#N/A</v>
      </c>
      <c r="Q83" s="227" t="e">
        <v>#N/A</v>
      </c>
      <c r="R83" s="228" t="e">
        <v>#N/A</v>
      </c>
      <c r="S83" s="220" t="e">
        <v>#N/A</v>
      </c>
      <c r="T83" s="220" t="e">
        <v>#N/A</v>
      </c>
      <c r="U83" s="221">
        <v>0.0</v>
      </c>
      <c r="V83" s="229" t="e">
        <v>#N/A</v>
      </c>
      <c r="W83" s="24" t="e">
        <v>#N/A</v>
      </c>
      <c r="X83" s="222" t="s">
        <v>6348</v>
      </c>
      <c r="Y83" s="222" t="s">
        <v>6348</v>
      </c>
      <c r="Z83" s="224" t="s">
        <v>6325</v>
      </c>
      <c r="AA83" s="244"/>
    </row>
    <row r="84">
      <c r="A84" s="214" t="s">
        <v>6348</v>
      </c>
      <c r="B84" s="215"/>
      <c r="C84" s="230" t="s">
        <v>6242</v>
      </c>
      <c r="D84" s="226" t="s">
        <v>6348</v>
      </c>
      <c r="E84" s="218">
        <v>44566.0</v>
      </c>
      <c r="F84" s="219" t="s">
        <v>6348</v>
      </c>
      <c r="G84" s="231"/>
      <c r="H84" s="221" t="s">
        <v>6348</v>
      </c>
      <c r="I84" s="262" t="e">
        <v>#N/A</v>
      </c>
      <c r="J84" s="223" t="e">
        <v>#N/A</v>
      </c>
      <c r="K84" s="225"/>
      <c r="L84" s="224"/>
      <c r="M84" s="224"/>
      <c r="N84" s="225"/>
      <c r="O84" s="216" t="s">
        <v>6242</v>
      </c>
      <c r="P84" s="226" t="e">
        <v>#N/A</v>
      </c>
      <c r="Q84" s="227" t="e">
        <v>#N/A</v>
      </c>
      <c r="R84" s="228" t="e">
        <v>#N/A</v>
      </c>
      <c r="S84" s="220" t="e">
        <v>#N/A</v>
      </c>
      <c r="T84" s="220" t="e">
        <v>#N/A</v>
      </c>
      <c r="U84" s="221">
        <v>0.0</v>
      </c>
      <c r="V84" s="229" t="e">
        <v>#N/A</v>
      </c>
      <c r="W84" s="24" t="e">
        <v>#N/A</v>
      </c>
      <c r="X84" s="222" t="s">
        <v>6348</v>
      </c>
      <c r="Y84" s="222" t="s">
        <v>6348</v>
      </c>
      <c r="Z84" s="224" t="s">
        <v>6325</v>
      </c>
      <c r="AA84" s="244"/>
    </row>
    <row r="85">
      <c r="A85" s="214" t="s">
        <v>6348</v>
      </c>
      <c r="B85" s="215"/>
      <c r="C85" s="230" t="s">
        <v>6242</v>
      </c>
      <c r="D85" s="226" t="s">
        <v>6348</v>
      </c>
      <c r="E85" s="218">
        <v>44566.0</v>
      </c>
      <c r="F85" s="219" t="s">
        <v>6348</v>
      </c>
      <c r="G85" s="231"/>
      <c r="H85" s="221" t="s">
        <v>6348</v>
      </c>
      <c r="I85" s="262" t="e">
        <v>#N/A</v>
      </c>
      <c r="J85" s="223" t="e">
        <v>#N/A</v>
      </c>
      <c r="K85" s="225"/>
      <c r="L85" s="224"/>
      <c r="M85" s="224"/>
      <c r="N85" s="225"/>
      <c r="O85" s="216" t="s">
        <v>6242</v>
      </c>
      <c r="P85" s="226" t="e">
        <v>#N/A</v>
      </c>
      <c r="Q85" s="227" t="e">
        <v>#N/A</v>
      </c>
      <c r="R85" s="228" t="e">
        <v>#N/A</v>
      </c>
      <c r="S85" s="220" t="e">
        <v>#N/A</v>
      </c>
      <c r="T85" s="220" t="e">
        <v>#N/A</v>
      </c>
      <c r="U85" s="221">
        <v>0.0</v>
      </c>
      <c r="V85" s="229" t="e">
        <v>#N/A</v>
      </c>
      <c r="W85" s="24" t="e">
        <v>#N/A</v>
      </c>
      <c r="X85" s="222" t="s">
        <v>6348</v>
      </c>
      <c r="Y85" s="222" t="s">
        <v>6348</v>
      </c>
      <c r="Z85" s="224" t="s">
        <v>6325</v>
      </c>
      <c r="AA85" s="244"/>
    </row>
    <row r="86">
      <c r="A86" s="214" t="s">
        <v>6348</v>
      </c>
      <c r="B86" s="215"/>
      <c r="C86" s="230" t="s">
        <v>6242</v>
      </c>
      <c r="D86" s="226" t="s">
        <v>6348</v>
      </c>
      <c r="E86" s="218">
        <v>44566.0</v>
      </c>
      <c r="F86" s="219" t="s">
        <v>6348</v>
      </c>
      <c r="G86" s="231"/>
      <c r="H86" s="221" t="s">
        <v>6348</v>
      </c>
      <c r="I86" s="262" t="e">
        <v>#N/A</v>
      </c>
      <c r="J86" s="223" t="e">
        <v>#N/A</v>
      </c>
      <c r="K86" s="225"/>
      <c r="L86" s="224"/>
      <c r="M86" s="224"/>
      <c r="N86" s="225"/>
      <c r="O86" s="216" t="s">
        <v>6242</v>
      </c>
      <c r="P86" s="226" t="e">
        <v>#N/A</v>
      </c>
      <c r="Q86" s="227" t="e">
        <v>#N/A</v>
      </c>
      <c r="R86" s="228" t="e">
        <v>#N/A</v>
      </c>
      <c r="S86" s="220" t="e">
        <v>#N/A</v>
      </c>
      <c r="T86" s="220" t="e">
        <v>#N/A</v>
      </c>
      <c r="U86" s="221">
        <v>0.0</v>
      </c>
      <c r="V86" s="229" t="e">
        <v>#N/A</v>
      </c>
      <c r="W86" s="24" t="e">
        <v>#N/A</v>
      </c>
      <c r="X86" s="222" t="s">
        <v>6348</v>
      </c>
      <c r="Y86" s="222" t="s">
        <v>6348</v>
      </c>
      <c r="Z86" s="224" t="s">
        <v>6325</v>
      </c>
      <c r="AA86" s="244"/>
    </row>
    <row r="87">
      <c r="A87" s="214" t="s">
        <v>6348</v>
      </c>
      <c r="B87" s="215"/>
      <c r="C87" s="230" t="s">
        <v>6242</v>
      </c>
      <c r="D87" s="226" t="s">
        <v>6348</v>
      </c>
      <c r="E87" s="218">
        <v>44566.0</v>
      </c>
      <c r="F87" s="219" t="s">
        <v>6348</v>
      </c>
      <c r="G87" s="231"/>
      <c r="H87" s="221" t="s">
        <v>6348</v>
      </c>
      <c r="I87" s="262" t="e">
        <v>#N/A</v>
      </c>
      <c r="J87" s="223" t="e">
        <v>#N/A</v>
      </c>
      <c r="K87" s="225"/>
      <c r="L87" s="224"/>
      <c r="M87" s="224"/>
      <c r="N87" s="225"/>
      <c r="O87" s="216" t="s">
        <v>6242</v>
      </c>
      <c r="P87" s="226" t="e">
        <v>#N/A</v>
      </c>
      <c r="Q87" s="227" t="e">
        <v>#N/A</v>
      </c>
      <c r="R87" s="228" t="e">
        <v>#N/A</v>
      </c>
      <c r="S87" s="220" t="e">
        <v>#N/A</v>
      </c>
      <c r="T87" s="220" t="e">
        <v>#N/A</v>
      </c>
      <c r="U87" s="221">
        <v>0.0</v>
      </c>
      <c r="V87" s="229" t="e">
        <v>#N/A</v>
      </c>
      <c r="W87" s="24" t="e">
        <v>#N/A</v>
      </c>
      <c r="X87" s="222" t="s">
        <v>6348</v>
      </c>
      <c r="Y87" s="222" t="s">
        <v>6348</v>
      </c>
      <c r="Z87" s="224" t="s">
        <v>6325</v>
      </c>
      <c r="AA87" s="244"/>
    </row>
    <row r="88">
      <c r="A88" s="214" t="s">
        <v>6348</v>
      </c>
      <c r="B88" s="215"/>
      <c r="C88" s="230" t="s">
        <v>6242</v>
      </c>
      <c r="D88" s="226" t="s">
        <v>6348</v>
      </c>
      <c r="E88" s="218">
        <v>44566.0</v>
      </c>
      <c r="F88" s="219" t="s">
        <v>6348</v>
      </c>
      <c r="G88" s="231"/>
      <c r="H88" s="221" t="s">
        <v>6348</v>
      </c>
      <c r="I88" s="262" t="e">
        <v>#N/A</v>
      </c>
      <c r="J88" s="223" t="e">
        <v>#N/A</v>
      </c>
      <c r="K88" s="225"/>
      <c r="L88" s="224"/>
      <c r="M88" s="224"/>
      <c r="N88" s="225"/>
      <c r="O88" s="216" t="s">
        <v>6242</v>
      </c>
      <c r="P88" s="226" t="e">
        <v>#N/A</v>
      </c>
      <c r="Q88" s="227" t="e">
        <v>#N/A</v>
      </c>
      <c r="R88" s="228" t="e">
        <v>#N/A</v>
      </c>
      <c r="S88" s="220" t="e">
        <v>#N/A</v>
      </c>
      <c r="T88" s="220" t="e">
        <v>#N/A</v>
      </c>
      <c r="U88" s="221">
        <v>0.0</v>
      </c>
      <c r="V88" s="229" t="e">
        <v>#N/A</v>
      </c>
      <c r="W88" s="24" t="e">
        <v>#N/A</v>
      </c>
      <c r="X88" s="222" t="s">
        <v>6348</v>
      </c>
      <c r="Y88" s="222" t="s">
        <v>6348</v>
      </c>
      <c r="Z88" s="224" t="s">
        <v>6325</v>
      </c>
      <c r="AA88" s="244"/>
    </row>
    <row r="89">
      <c r="A89" s="214" t="s">
        <v>6348</v>
      </c>
      <c r="B89" s="215"/>
      <c r="C89" s="230" t="s">
        <v>6242</v>
      </c>
      <c r="D89" s="226" t="s">
        <v>6348</v>
      </c>
      <c r="E89" s="218">
        <v>44566.0</v>
      </c>
      <c r="F89" s="219" t="s">
        <v>6348</v>
      </c>
      <c r="G89" s="231"/>
      <c r="H89" s="221" t="s">
        <v>6348</v>
      </c>
      <c r="I89" s="262" t="e">
        <v>#N/A</v>
      </c>
      <c r="J89" s="223" t="e">
        <v>#N/A</v>
      </c>
      <c r="K89" s="225"/>
      <c r="L89" s="224"/>
      <c r="M89" s="224"/>
      <c r="N89" s="225"/>
      <c r="O89" s="216" t="s">
        <v>6242</v>
      </c>
      <c r="P89" s="226" t="e">
        <v>#N/A</v>
      </c>
      <c r="Q89" s="227" t="e">
        <v>#N/A</v>
      </c>
      <c r="R89" s="228" t="e">
        <v>#N/A</v>
      </c>
      <c r="S89" s="220" t="e">
        <v>#N/A</v>
      </c>
      <c r="T89" s="220" t="e">
        <v>#N/A</v>
      </c>
      <c r="U89" s="221">
        <v>0.0</v>
      </c>
      <c r="V89" s="229" t="e">
        <v>#N/A</v>
      </c>
      <c r="W89" s="24" t="e">
        <v>#N/A</v>
      </c>
      <c r="X89" s="222" t="s">
        <v>6348</v>
      </c>
      <c r="Y89" s="222" t="s">
        <v>6348</v>
      </c>
      <c r="Z89" s="224" t="s">
        <v>6325</v>
      </c>
      <c r="AA89" s="244"/>
    </row>
    <row r="90">
      <c r="A90" s="214" t="s">
        <v>6348</v>
      </c>
      <c r="B90" s="215"/>
      <c r="C90" s="230" t="s">
        <v>6242</v>
      </c>
      <c r="D90" s="226" t="s">
        <v>6348</v>
      </c>
      <c r="E90" s="218">
        <v>44566.0</v>
      </c>
      <c r="F90" s="219" t="s">
        <v>6348</v>
      </c>
      <c r="G90" s="231"/>
      <c r="H90" s="221" t="s">
        <v>6348</v>
      </c>
      <c r="I90" s="262" t="e">
        <v>#N/A</v>
      </c>
      <c r="J90" s="223" t="e">
        <v>#N/A</v>
      </c>
      <c r="K90" s="225"/>
      <c r="L90" s="224"/>
      <c r="M90" s="224"/>
      <c r="N90" s="225"/>
      <c r="O90" s="216" t="s">
        <v>6242</v>
      </c>
      <c r="P90" s="226" t="e">
        <v>#N/A</v>
      </c>
      <c r="Q90" s="227" t="e">
        <v>#N/A</v>
      </c>
      <c r="R90" s="228" t="e">
        <v>#N/A</v>
      </c>
      <c r="S90" s="220" t="e">
        <v>#N/A</v>
      </c>
      <c r="T90" s="220" t="e">
        <v>#N/A</v>
      </c>
      <c r="U90" s="221">
        <v>0.0</v>
      </c>
      <c r="V90" s="229" t="e">
        <v>#N/A</v>
      </c>
      <c r="W90" s="24" t="e">
        <v>#N/A</v>
      </c>
      <c r="X90" s="222" t="s">
        <v>6348</v>
      </c>
      <c r="Y90" s="222" t="s">
        <v>6348</v>
      </c>
      <c r="Z90" s="224" t="s">
        <v>6325</v>
      </c>
      <c r="AA90" s="244"/>
    </row>
    <row r="91">
      <c r="A91" s="214" t="s">
        <v>6348</v>
      </c>
      <c r="B91" s="215"/>
      <c r="C91" s="230" t="s">
        <v>6242</v>
      </c>
      <c r="D91" s="226" t="s">
        <v>6348</v>
      </c>
      <c r="E91" s="218">
        <v>44566.0</v>
      </c>
      <c r="F91" s="219" t="s">
        <v>6348</v>
      </c>
      <c r="G91" s="231"/>
      <c r="H91" s="221" t="s">
        <v>6348</v>
      </c>
      <c r="I91" s="262" t="e">
        <v>#N/A</v>
      </c>
      <c r="J91" s="223" t="e">
        <v>#N/A</v>
      </c>
      <c r="K91" s="225"/>
      <c r="L91" s="224"/>
      <c r="M91" s="224"/>
      <c r="N91" s="225"/>
      <c r="O91" s="216" t="s">
        <v>6242</v>
      </c>
      <c r="P91" s="226" t="e">
        <v>#N/A</v>
      </c>
      <c r="Q91" s="227" t="e">
        <v>#N/A</v>
      </c>
      <c r="R91" s="228" t="e">
        <v>#N/A</v>
      </c>
      <c r="S91" s="220" t="e">
        <v>#N/A</v>
      </c>
      <c r="T91" s="220" t="e">
        <v>#N/A</v>
      </c>
      <c r="U91" s="221">
        <v>0.0</v>
      </c>
      <c r="V91" s="229" t="e">
        <v>#N/A</v>
      </c>
      <c r="W91" s="24" t="e">
        <v>#N/A</v>
      </c>
      <c r="X91" s="222" t="s">
        <v>6348</v>
      </c>
      <c r="Y91" s="222" t="s">
        <v>6348</v>
      </c>
      <c r="Z91" s="224" t="s">
        <v>6325</v>
      </c>
      <c r="AA91" s="244"/>
    </row>
    <row r="92">
      <c r="A92" s="214" t="s">
        <v>6348</v>
      </c>
      <c r="B92" s="215"/>
      <c r="C92" s="230" t="s">
        <v>6242</v>
      </c>
      <c r="D92" s="226" t="s">
        <v>6348</v>
      </c>
      <c r="E92" s="218">
        <v>44566.0</v>
      </c>
      <c r="F92" s="219" t="s">
        <v>6348</v>
      </c>
      <c r="G92" s="231"/>
      <c r="H92" s="221" t="s">
        <v>6348</v>
      </c>
      <c r="I92" s="262" t="e">
        <v>#N/A</v>
      </c>
      <c r="J92" s="223" t="e">
        <v>#N/A</v>
      </c>
      <c r="K92" s="225"/>
      <c r="L92" s="224"/>
      <c r="M92" s="224"/>
      <c r="N92" s="225"/>
      <c r="O92" s="216" t="s">
        <v>6242</v>
      </c>
      <c r="P92" s="226" t="e">
        <v>#N/A</v>
      </c>
      <c r="Q92" s="227" t="e">
        <v>#N/A</v>
      </c>
      <c r="R92" s="228" t="e">
        <v>#N/A</v>
      </c>
      <c r="S92" s="220" t="e">
        <v>#N/A</v>
      </c>
      <c r="T92" s="220" t="e">
        <v>#N/A</v>
      </c>
      <c r="U92" s="221">
        <v>0.0</v>
      </c>
      <c r="V92" s="229" t="e">
        <v>#N/A</v>
      </c>
      <c r="W92" s="24" t="e">
        <v>#N/A</v>
      </c>
      <c r="X92" s="222" t="s">
        <v>6348</v>
      </c>
      <c r="Y92" s="222" t="s">
        <v>6348</v>
      </c>
      <c r="Z92" s="224" t="s">
        <v>6325</v>
      </c>
      <c r="AA92" s="244"/>
    </row>
    <row r="93">
      <c r="A93" s="214" t="s">
        <v>6348</v>
      </c>
      <c r="B93" s="215"/>
      <c r="C93" s="230" t="s">
        <v>6242</v>
      </c>
      <c r="D93" s="226" t="s">
        <v>6348</v>
      </c>
      <c r="E93" s="218">
        <v>44566.0</v>
      </c>
      <c r="F93" s="219" t="s">
        <v>6348</v>
      </c>
      <c r="G93" s="231"/>
      <c r="H93" s="221" t="s">
        <v>6348</v>
      </c>
      <c r="I93" s="262" t="e">
        <v>#N/A</v>
      </c>
      <c r="J93" s="223" t="e">
        <v>#N/A</v>
      </c>
      <c r="K93" s="225"/>
      <c r="L93" s="224"/>
      <c r="M93" s="224"/>
      <c r="N93" s="225"/>
      <c r="O93" s="216" t="s">
        <v>6242</v>
      </c>
      <c r="P93" s="226" t="e">
        <v>#N/A</v>
      </c>
      <c r="Q93" s="227" t="e">
        <v>#N/A</v>
      </c>
      <c r="R93" s="228" t="e">
        <v>#N/A</v>
      </c>
      <c r="S93" s="220" t="e">
        <v>#N/A</v>
      </c>
      <c r="T93" s="220" t="e">
        <v>#N/A</v>
      </c>
      <c r="U93" s="221">
        <v>0.0</v>
      </c>
      <c r="V93" s="229" t="e">
        <v>#N/A</v>
      </c>
      <c r="W93" s="24" t="e">
        <v>#N/A</v>
      </c>
      <c r="X93" s="222" t="s">
        <v>6348</v>
      </c>
      <c r="Y93" s="222" t="s">
        <v>6348</v>
      </c>
      <c r="Z93" s="224" t="s">
        <v>6325</v>
      </c>
      <c r="AA93" s="244"/>
    </row>
    <row r="94">
      <c r="A94" s="214" t="s">
        <v>6348</v>
      </c>
      <c r="B94" s="215"/>
      <c r="C94" s="230" t="s">
        <v>6242</v>
      </c>
      <c r="D94" s="226" t="s">
        <v>6348</v>
      </c>
      <c r="E94" s="218">
        <v>44566.0</v>
      </c>
      <c r="F94" s="219" t="s">
        <v>6348</v>
      </c>
      <c r="G94" s="231"/>
      <c r="H94" s="221" t="s">
        <v>6348</v>
      </c>
      <c r="I94" s="262" t="e">
        <v>#N/A</v>
      </c>
      <c r="J94" s="223" t="e">
        <v>#N/A</v>
      </c>
      <c r="K94" s="225"/>
      <c r="L94" s="224"/>
      <c r="M94" s="224"/>
      <c r="N94" s="225"/>
      <c r="O94" s="216" t="s">
        <v>6242</v>
      </c>
      <c r="P94" s="226" t="e">
        <v>#N/A</v>
      </c>
      <c r="Q94" s="227" t="e">
        <v>#N/A</v>
      </c>
      <c r="R94" s="228" t="e">
        <v>#N/A</v>
      </c>
      <c r="S94" s="220" t="e">
        <v>#N/A</v>
      </c>
      <c r="T94" s="220" t="e">
        <v>#N/A</v>
      </c>
      <c r="U94" s="221">
        <v>0.0</v>
      </c>
      <c r="V94" s="229" t="e">
        <v>#N/A</v>
      </c>
      <c r="W94" s="24" t="e">
        <v>#N/A</v>
      </c>
      <c r="X94" s="222" t="s">
        <v>6348</v>
      </c>
      <c r="Y94" s="222" t="s">
        <v>6348</v>
      </c>
      <c r="Z94" s="224" t="s">
        <v>6325</v>
      </c>
      <c r="AA94" s="244"/>
    </row>
    <row r="95">
      <c r="A95" s="214" t="s">
        <v>6348</v>
      </c>
      <c r="B95" s="215"/>
      <c r="C95" s="230" t="s">
        <v>6242</v>
      </c>
      <c r="D95" s="226" t="s">
        <v>6348</v>
      </c>
      <c r="E95" s="218">
        <v>44566.0</v>
      </c>
      <c r="F95" s="219" t="s">
        <v>6348</v>
      </c>
      <c r="G95" s="231"/>
      <c r="H95" s="221" t="s">
        <v>6348</v>
      </c>
      <c r="I95" s="262" t="e">
        <v>#N/A</v>
      </c>
      <c r="J95" s="223" t="e">
        <v>#N/A</v>
      </c>
      <c r="K95" s="225"/>
      <c r="L95" s="224"/>
      <c r="M95" s="224"/>
      <c r="N95" s="225"/>
      <c r="O95" s="216" t="s">
        <v>6242</v>
      </c>
      <c r="P95" s="226" t="e">
        <v>#N/A</v>
      </c>
      <c r="Q95" s="227" t="e">
        <v>#N/A</v>
      </c>
      <c r="R95" s="228" t="e">
        <v>#N/A</v>
      </c>
      <c r="S95" s="220" t="e">
        <v>#N/A</v>
      </c>
      <c r="T95" s="220" t="e">
        <v>#N/A</v>
      </c>
      <c r="U95" s="221">
        <v>0.0</v>
      </c>
      <c r="V95" s="229" t="e">
        <v>#N/A</v>
      </c>
      <c r="W95" s="24" t="e">
        <v>#N/A</v>
      </c>
      <c r="X95" s="222" t="s">
        <v>6348</v>
      </c>
      <c r="Y95" s="222" t="s">
        <v>6348</v>
      </c>
      <c r="Z95" s="224" t="s">
        <v>6325</v>
      </c>
      <c r="AA95" s="244"/>
    </row>
    <row r="96">
      <c r="A96" s="214" t="s">
        <v>6348</v>
      </c>
      <c r="B96" s="215"/>
      <c r="C96" s="230" t="s">
        <v>6242</v>
      </c>
      <c r="D96" s="226" t="s">
        <v>6348</v>
      </c>
      <c r="E96" s="218">
        <v>44566.0</v>
      </c>
      <c r="F96" s="219" t="s">
        <v>6348</v>
      </c>
      <c r="G96" s="231"/>
      <c r="H96" s="221" t="s">
        <v>6348</v>
      </c>
      <c r="I96" s="262" t="e">
        <v>#N/A</v>
      </c>
      <c r="J96" s="223" t="e">
        <v>#N/A</v>
      </c>
      <c r="K96" s="225"/>
      <c r="L96" s="224"/>
      <c r="M96" s="224"/>
      <c r="N96" s="225"/>
      <c r="O96" s="216" t="s">
        <v>6242</v>
      </c>
      <c r="P96" s="226" t="e">
        <v>#N/A</v>
      </c>
      <c r="Q96" s="227" t="e">
        <v>#N/A</v>
      </c>
      <c r="R96" s="228" t="e">
        <v>#N/A</v>
      </c>
      <c r="S96" s="220" t="e">
        <v>#N/A</v>
      </c>
      <c r="T96" s="220" t="e">
        <v>#N/A</v>
      </c>
      <c r="U96" s="221">
        <v>0.0</v>
      </c>
      <c r="V96" s="229" t="e">
        <v>#N/A</v>
      </c>
      <c r="W96" s="24" t="e">
        <v>#N/A</v>
      </c>
      <c r="X96" s="222" t="s">
        <v>6348</v>
      </c>
      <c r="Y96" s="222" t="s">
        <v>6348</v>
      </c>
      <c r="Z96" s="224" t="s">
        <v>6325</v>
      </c>
      <c r="AA96" s="244"/>
    </row>
    <row r="97">
      <c r="A97" s="214" t="s">
        <v>6348</v>
      </c>
      <c r="B97" s="215"/>
      <c r="C97" s="230" t="s">
        <v>6242</v>
      </c>
      <c r="D97" s="226" t="s">
        <v>6348</v>
      </c>
      <c r="E97" s="218">
        <v>44566.0</v>
      </c>
      <c r="F97" s="219" t="s">
        <v>6348</v>
      </c>
      <c r="G97" s="231"/>
      <c r="H97" s="221" t="s">
        <v>6348</v>
      </c>
      <c r="I97" s="262" t="e">
        <v>#N/A</v>
      </c>
      <c r="J97" s="223" t="e">
        <v>#N/A</v>
      </c>
      <c r="K97" s="225"/>
      <c r="L97" s="224"/>
      <c r="M97" s="224"/>
      <c r="N97" s="225"/>
      <c r="O97" s="216" t="s">
        <v>6242</v>
      </c>
      <c r="P97" s="226" t="e">
        <v>#N/A</v>
      </c>
      <c r="Q97" s="227" t="e">
        <v>#N/A</v>
      </c>
      <c r="R97" s="228" t="e">
        <v>#N/A</v>
      </c>
      <c r="S97" s="220" t="e">
        <v>#N/A</v>
      </c>
      <c r="T97" s="220" t="e">
        <v>#N/A</v>
      </c>
      <c r="U97" s="221">
        <v>0.0</v>
      </c>
      <c r="V97" s="229" t="e">
        <v>#N/A</v>
      </c>
      <c r="W97" s="24" t="e">
        <v>#N/A</v>
      </c>
      <c r="X97" s="222" t="s">
        <v>6348</v>
      </c>
      <c r="Y97" s="222" t="s">
        <v>6348</v>
      </c>
      <c r="Z97" s="224" t="s">
        <v>6325</v>
      </c>
      <c r="AA97" s="244"/>
    </row>
    <row r="98">
      <c r="A98" s="214" t="s">
        <v>6348</v>
      </c>
      <c r="B98" s="215"/>
      <c r="C98" s="230" t="s">
        <v>6242</v>
      </c>
      <c r="D98" s="226" t="s">
        <v>6348</v>
      </c>
      <c r="E98" s="218">
        <v>44566.0</v>
      </c>
      <c r="F98" s="219" t="s">
        <v>6348</v>
      </c>
      <c r="G98" s="231"/>
      <c r="H98" s="221" t="s">
        <v>6348</v>
      </c>
      <c r="I98" s="262" t="e">
        <v>#N/A</v>
      </c>
      <c r="J98" s="223" t="e">
        <v>#N/A</v>
      </c>
      <c r="K98" s="225"/>
      <c r="L98" s="224"/>
      <c r="M98" s="224"/>
      <c r="N98" s="225"/>
      <c r="O98" s="216" t="s">
        <v>6242</v>
      </c>
      <c r="P98" s="226" t="e">
        <v>#N/A</v>
      </c>
      <c r="Q98" s="227" t="e">
        <v>#N/A</v>
      </c>
      <c r="R98" s="228" t="e">
        <v>#N/A</v>
      </c>
      <c r="S98" s="220" t="e">
        <v>#N/A</v>
      </c>
      <c r="T98" s="220" t="e">
        <v>#N/A</v>
      </c>
      <c r="U98" s="221">
        <v>0.0</v>
      </c>
      <c r="V98" s="229" t="e">
        <v>#N/A</v>
      </c>
      <c r="W98" s="24" t="e">
        <v>#N/A</v>
      </c>
      <c r="X98" s="222" t="s">
        <v>6348</v>
      </c>
      <c r="Y98" s="222" t="s">
        <v>6348</v>
      </c>
      <c r="Z98" s="224" t="s">
        <v>6325</v>
      </c>
      <c r="AA98" s="244"/>
    </row>
    <row r="99">
      <c r="A99" s="214" t="s">
        <v>6348</v>
      </c>
      <c r="B99" s="215"/>
      <c r="C99" s="230" t="s">
        <v>6242</v>
      </c>
      <c r="D99" s="226" t="s">
        <v>6348</v>
      </c>
      <c r="E99" s="218">
        <v>44566.0</v>
      </c>
      <c r="F99" s="219" t="s">
        <v>6348</v>
      </c>
      <c r="G99" s="231"/>
      <c r="H99" s="221" t="s">
        <v>6348</v>
      </c>
      <c r="I99" s="262" t="e">
        <v>#N/A</v>
      </c>
      <c r="J99" s="223" t="e">
        <v>#N/A</v>
      </c>
      <c r="K99" s="225"/>
      <c r="L99" s="224"/>
      <c r="M99" s="224"/>
      <c r="N99" s="225"/>
      <c r="O99" s="216" t="s">
        <v>6242</v>
      </c>
      <c r="P99" s="226" t="e">
        <v>#N/A</v>
      </c>
      <c r="Q99" s="227" t="e">
        <v>#N/A</v>
      </c>
      <c r="R99" s="228" t="e">
        <v>#N/A</v>
      </c>
      <c r="S99" s="220" t="e">
        <v>#N/A</v>
      </c>
      <c r="T99" s="220" t="e">
        <v>#N/A</v>
      </c>
      <c r="U99" s="221">
        <v>0.0</v>
      </c>
      <c r="V99" s="229" t="e">
        <v>#N/A</v>
      </c>
      <c r="W99" s="24" t="e">
        <v>#N/A</v>
      </c>
      <c r="X99" s="222" t="s">
        <v>6348</v>
      </c>
      <c r="Y99" s="222" t="s">
        <v>6348</v>
      </c>
      <c r="Z99" s="224" t="s">
        <v>6325</v>
      </c>
      <c r="AA99" s="244"/>
    </row>
    <row r="100">
      <c r="A100" s="232"/>
      <c r="B100" s="232"/>
      <c r="C100" s="232"/>
      <c r="D100" s="232"/>
      <c r="E100" s="263"/>
      <c r="F100" s="234"/>
      <c r="G100" s="232"/>
      <c r="H100" s="235"/>
      <c r="I100" s="232"/>
      <c r="J100" s="232"/>
      <c r="K100" s="236" t="s">
        <v>6333</v>
      </c>
      <c r="L100" s="237">
        <v>28.0</v>
      </c>
      <c r="M100" s="236" t="s">
        <v>6334</v>
      </c>
      <c r="N100" s="237">
        <v>9.0</v>
      </c>
      <c r="O100" s="238"/>
      <c r="P100" s="238"/>
      <c r="Q100" s="238"/>
      <c r="R100" s="238"/>
      <c r="S100" s="238"/>
      <c r="T100" s="238"/>
      <c r="U100" s="238"/>
      <c r="V100" s="239"/>
      <c r="W100" s="238"/>
      <c r="X100" s="238"/>
      <c r="Y100" s="238"/>
      <c r="Z100" s="238"/>
      <c r="AA100" s="238"/>
    </row>
  </sheetData>
  <customSheetViews>
    <customSheetView guid="{20F5F3BA-172D-4727-943D-E296FD1F3EFA}" filter="1" showAutoFilter="1">
      <autoFilter ref="$A$1:$AA$100"/>
    </customSheetView>
  </customSheetViews>
  <conditionalFormatting sqref="A1:X100">
    <cfRule type="expression" dxfId="5" priority="1">
      <formula>$X1="ERROR"</formula>
    </cfRule>
  </conditionalFormatting>
  <conditionalFormatting sqref="A1:Z99">
    <cfRule type="expression" dxfId="5" priority="2">
      <formula>$Y1="NO MATCH"</formula>
    </cfRule>
  </conditionalFormatting>
  <conditionalFormatting sqref="C2:C99 O2:O99">
    <cfRule type="containsText" dxfId="5" priority="3" operator="containsText" text="X">
      <formula>NOT(ISERROR(SEARCH(("X"),(C2))))</formula>
    </cfRule>
  </conditionalFormatting>
  <conditionalFormatting sqref="A1:Z99">
    <cfRule type="expression" dxfId="4" priority="4">
      <formula>$Z1="Repeat"</formula>
    </cfRule>
  </conditionalFormatting>
  <conditionalFormatting sqref="V2:V99">
    <cfRule type="expression" dxfId="10" priority="5">
      <formula>$N2="QUEST"</formula>
    </cfRule>
  </conditionalFormatting>
  <conditionalFormatting sqref="C2:C99 O2:O99">
    <cfRule type="containsText" dxfId="10" priority="6" operator="containsText" text="✓">
      <formula>NOT(ISERROR(SEARCH(("✓"),(C2))))</formula>
    </cfRule>
  </conditionalFormatting>
  <conditionalFormatting sqref="A1:U99">
    <cfRule type="expression" dxfId="20" priority="7">
      <formula>$J1="MOLINA DUAL COMPLETE NEW MEXICO"</formula>
    </cfRule>
  </conditionalFormatting>
  <conditionalFormatting sqref="A1:U99">
    <cfRule type="expression" dxfId="20" priority="8">
      <formula>$J1="MOLINA DUAL COMPLETE TEXAS"</formula>
    </cfRule>
  </conditionalFormatting>
  <conditionalFormatting sqref="A1:U99">
    <cfRule type="expression" dxfId="20" priority="9">
      <formula>$J1="MOLINA MARKETPLACE TEXAS"</formula>
    </cfRule>
  </conditionalFormatting>
  <conditionalFormatting sqref="K1:K99">
    <cfRule type="containsText" dxfId="6" priority="10" operator="containsText" text="x">
      <formula>NOT(ISERROR(SEARCH(("x"),(K1))))</formula>
    </cfRule>
  </conditionalFormatting>
  <conditionalFormatting sqref="M1:M99">
    <cfRule type="containsText" dxfId="21" priority="11" operator="containsText" text="X">
      <formula>NOT(ISERROR(SEARCH(("X"),(M1))))</formula>
    </cfRule>
  </conditionalFormatting>
  <conditionalFormatting sqref="L1:L99">
    <cfRule type="containsText" dxfId="22" priority="12" operator="containsText" text="X">
      <formula>NOT(ISERROR(SEARCH(("X"),(L1))))</formula>
    </cfRule>
  </conditionalFormatting>
  <conditionalFormatting sqref="C1:C99 O1:O99">
    <cfRule type="containsBlanks" dxfId="23" priority="13">
      <formula>LEN(TRIM(C1))=0</formula>
    </cfRule>
  </conditionalFormatting>
  <conditionalFormatting sqref="J1:J99 N1:O1 Z1">
    <cfRule type="containsText" dxfId="24" priority="14" operator="containsText" text="Molina">
      <formula>NOT(ISERROR(SEARCH(("Molina"),(J1))))</formula>
    </cfRule>
  </conditionalFormatting>
  <conditionalFormatting sqref="K1:M99">
    <cfRule type="containsBlanks" dxfId="25" priority="15">
      <formula>LEN(TRIM(K1))=0</formula>
    </cfRule>
  </conditionalFormatting>
  <conditionalFormatting sqref="O1:O99 A2:N99 P2:Z99">
    <cfRule type="expression" dxfId="10" priority="16">
      <formula>$N1="SWAB"</formula>
    </cfRule>
  </conditionalFormatting>
  <conditionalFormatting sqref="J1:J99">
    <cfRule type="containsText" dxfId="5" priority="17" operator="containsText" text="Self Pay">
      <formula>NOT(ISERROR(SEARCH(("Self Pay"),(J1))))</formula>
    </cfRule>
  </conditionalFormatting>
  <conditionalFormatting sqref="J1:J99">
    <cfRule type="containsText" dxfId="5" priority="18" operator="containsText" text="Self-Pay">
      <formula>NOT(ISERROR(SEARCH(("Self-Pay"),(J1))))</formula>
    </cfRule>
  </conditionalFormatting>
  <conditionalFormatting sqref="J1:J99">
    <cfRule type="containsText" dxfId="5" priority="19" operator="containsText" text="Third Party">
      <formula>NOT(ISERROR(SEARCH(("Third Party"),(J1))))</formula>
    </cfRule>
  </conditionalFormatting>
  <conditionalFormatting sqref="A1:U99">
    <cfRule type="expression" dxfId="26" priority="20">
      <formula>$J1="SUPERIOR HEALTH PLAN"</formula>
    </cfRule>
  </conditionalFormatting>
  <conditionalFormatting sqref="A1:U99">
    <cfRule type="expression" dxfId="26" priority="21">
      <formula>$J1="AMBETTER - SUPERIOR"</formula>
    </cfRule>
  </conditionalFormatting>
  <conditionalFormatting sqref="A1:U99">
    <cfRule type="expression" dxfId="19" priority="22">
      <formula>$J1="Wellmed - Humana"</formula>
    </cfRule>
  </conditionalFormatting>
  <conditionalFormatting sqref="A1:U99">
    <cfRule type="expression" dxfId="19" priority="23">
      <formula>$J1="WELLMED - AARP MEDICARE COMPLETE"</formula>
    </cfRule>
  </conditionalFormatting>
  <conditionalFormatting sqref="A1:U99">
    <cfRule type="expression" dxfId="19" priority="24">
      <formula>$J1="WELLMED - AMERIVANTAGE"</formula>
    </cfRule>
  </conditionalFormatting>
  <conditionalFormatting sqref="A1:U99">
    <cfRule type="expression" dxfId="19" priority="25">
      <formula>$J1="WELLMED - CIGNA HEALTHSPRING"</formula>
    </cfRule>
  </conditionalFormatting>
  <conditionalFormatting sqref="A1:U99">
    <cfRule type="expression" dxfId="19" priority="26">
      <formula>$J1="WELLMED - UHC CHRONIC COMPLETE HMO C-SNP"</formula>
    </cfRule>
  </conditionalFormatting>
  <conditionalFormatting sqref="A1:U99">
    <cfRule type="expression" dxfId="19" priority="27">
      <formula>$J1="WELLMED - UHC DUAL COMPLETE HMO SNP"</formula>
    </cfRule>
  </conditionalFormatting>
  <conditionalFormatting sqref="A1:U99">
    <cfRule type="expression" dxfId="19" priority="28">
      <formula>$J1="WELLMED - UHC DUAL COMPLETE SNP"</formula>
    </cfRule>
  </conditionalFormatting>
  <conditionalFormatting sqref="A1:U99">
    <cfRule type="expression" dxfId="20" priority="29">
      <formula>$J1="MOLINA DUAL COMPLETE NEW MEXICO"</formula>
    </cfRule>
  </conditionalFormatting>
  <conditionalFormatting sqref="A1:U99">
    <cfRule type="expression" dxfId="20" priority="30">
      <formula>$J1="MOLINA DUAL COMPLETE TEXAS"</formula>
    </cfRule>
  </conditionalFormatting>
  <conditionalFormatting sqref="A1:U99">
    <cfRule type="expression" dxfId="20" priority="31">
      <formula>$J1="MOLINA MARKETPLACE TEXAS"</formula>
    </cfRule>
  </conditionalFormatting>
  <conditionalFormatting sqref="A1:U99">
    <cfRule type="expression" dxfId="20" priority="32">
      <formula>$J1="MOLINA MEDICAID TEXAS"</formula>
    </cfRule>
  </conditionalFormatting>
  <conditionalFormatting sqref="A1:U99">
    <cfRule type="expression" dxfId="27" priority="33">
      <formula>$J1="HUMANA OPEN ACCESS PLAN"</formula>
    </cfRule>
  </conditionalFormatting>
  <conditionalFormatting sqref="A1:U99">
    <cfRule type="expression" dxfId="28" priority="34">
      <formula>$J1="HUMANA CHOICE CARE"</formula>
    </cfRule>
  </conditionalFormatting>
  <conditionalFormatting sqref="V1:W99">
    <cfRule type="expression" dxfId="11" priority="35">
      <formula>$V1="UA"</formula>
    </cfRule>
  </conditionalFormatting>
  <conditionalFormatting sqref="V1:W99">
    <cfRule type="expression" dxfId="12" priority="36">
      <formula>$V1="OUTUA-PrRW"</formula>
    </cfRule>
  </conditionalFormatting>
  <conditionalFormatting sqref="V1:W99">
    <cfRule type="expression" dxfId="12" priority="37">
      <formula>$V1="OUT-UAQPre"</formula>
    </cfRule>
  </conditionalFormatting>
  <conditionalFormatting sqref="V1:W99">
    <cfRule type="expression" dxfId="13" priority="38">
      <formula>$V1="UA-Prelim"</formula>
    </cfRule>
  </conditionalFormatting>
  <conditionalFormatting sqref="V1:W99">
    <cfRule type="expression" dxfId="6" priority="39">
      <formula>$V1="UA-NWPT"</formula>
    </cfRule>
  </conditionalFormatting>
  <conditionalFormatting sqref="N1:N100 O1:O99">
    <cfRule type="expression" dxfId="5" priority="40">
      <formula>$O1="X"</formula>
    </cfRule>
  </conditionalFormatting>
  <conditionalFormatting sqref="V1:W99">
    <cfRule type="expression" dxfId="10" priority="41">
      <formula>$V1="OUT-UAQ"</formula>
    </cfRule>
  </conditionalFormatting>
  <conditionalFormatting sqref="V1:W99">
    <cfRule type="expression" dxfId="10" priority="42">
      <formula>$V1="OUTUA-FURW"</formula>
    </cfRule>
  </conditionalFormatting>
  <conditionalFormatting sqref="V1:W99">
    <cfRule type="expression" dxfId="14" priority="43">
      <formula>$V1="OUTSA-SaQu"</formula>
    </cfRule>
  </conditionalFormatting>
  <conditionalFormatting sqref="V1:W99">
    <cfRule type="expression" dxfId="14" priority="44">
      <formula>$V1="OUTSA-RW"</formula>
    </cfRule>
  </conditionalFormatting>
  <dataValidations>
    <dataValidation type="list" allowBlank="1" showErrorMessage="1" sqref="H2:H99">
      <formula1>"CH,DA,DC,DM,FA,LM"</formula1>
    </dataValidation>
    <dataValidation type="list" allowBlank="1" showErrorMessage="1" sqref="J2:J99">
      <formula1>Data!$A$2:$A100</formula1>
    </dataValidation>
    <dataValidation type="custom" allowBlank="1" showDropDown="1" showInputMessage="1" showErrorMessage="1" prompt="CAPITALS" sqref="A1:A99">
      <formula1>ISERROR(SEARCH((exact(upper(B:N),B:N)),(A1)))</formula1>
    </dataValidation>
    <dataValidation type="list" allowBlank="1" showErrorMessage="1" sqref="F2:F99">
      <formula1>Data!$B$1:$B$44</formula1>
    </dataValidation>
    <dataValidation type="custom" allowBlank="1" showDropDown="1" showInputMessage="1" showErrorMessage="1" prompt="CAPITALS" sqref="B1:B99">
      <formula1>ISERROR(SEARCH((exact(upper(B:O),B:O)),(B1)))</formula1>
    </dataValidation>
    <dataValidation type="list" allowBlank="1" showErrorMessage="1" sqref="G2:G99">
      <formula1>"F,M"</formula1>
    </dataValidation>
    <dataValidation type="list" allowBlank="1" showErrorMessage="1" sqref="K2:M99">
      <formula1>"X"</formula1>
    </dataValidation>
    <dataValidation type="list" allowBlank="1" showInputMessage="1" showErrorMessage="1" prompt="Click and enter a value from range 'Insurance Data'!C2:C608" sqref="E2:E99">
      <formula1>Data!$C:$C</formula1>
    </dataValidation>
    <dataValidation type="list" allowBlank="1" showErrorMessage="1" sqref="I2:I99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4.43" defaultRowHeight="15.75"/>
  <sheetData>
    <row r="1">
      <c r="A1" s="277" t="s">
        <v>6078</v>
      </c>
      <c r="B1" s="277" t="s">
        <v>6349</v>
      </c>
      <c r="C1" s="277" t="s">
        <v>6350</v>
      </c>
      <c r="D1" s="277" t="s">
        <v>6351</v>
      </c>
      <c r="E1" s="277" t="s">
        <v>6352</v>
      </c>
      <c r="F1" s="277" t="s">
        <v>6353</v>
      </c>
      <c r="G1" s="277" t="s">
        <v>6354</v>
      </c>
      <c r="H1" s="277" t="s">
        <v>6240</v>
      </c>
      <c r="I1" s="277" t="s">
        <v>9</v>
      </c>
      <c r="J1" s="278"/>
      <c r="K1" s="278"/>
      <c r="L1" s="278"/>
      <c r="M1" s="278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</row>
    <row r="2">
      <c r="A2" s="279">
        <v>44562.0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</row>
    <row r="3">
      <c r="A3" s="279">
        <v>44563.0</v>
      </c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78"/>
      <c r="Z3" s="278"/>
    </row>
    <row r="4">
      <c r="A4" s="279">
        <v>44564.0</v>
      </c>
      <c r="B4" s="278"/>
      <c r="C4" s="278"/>
      <c r="D4" s="278"/>
      <c r="E4" s="278"/>
      <c r="F4" s="278"/>
      <c r="G4" s="278"/>
      <c r="H4" s="278"/>
      <c r="I4" s="278"/>
      <c r="J4" s="278"/>
      <c r="K4" s="278"/>
      <c r="L4" s="278"/>
      <c r="M4" s="278"/>
      <c r="N4" s="278"/>
      <c r="O4" s="278"/>
      <c r="P4" s="278"/>
      <c r="Q4" s="278"/>
      <c r="R4" s="278"/>
      <c r="S4" s="278"/>
      <c r="T4" s="278"/>
      <c r="U4" s="278"/>
      <c r="V4" s="278"/>
      <c r="W4" s="278"/>
      <c r="X4" s="278"/>
      <c r="Y4" s="278"/>
      <c r="Z4" s="278"/>
    </row>
    <row r="5">
      <c r="A5" s="279">
        <v>44565.0</v>
      </c>
      <c r="B5" s="278"/>
      <c r="C5" s="278"/>
      <c r="D5" s="278"/>
      <c r="E5" s="278"/>
      <c r="F5" s="278"/>
      <c r="G5" s="278"/>
      <c r="H5" s="278"/>
      <c r="I5" s="278"/>
      <c r="J5" s="278"/>
      <c r="K5" s="278"/>
      <c r="L5" s="278"/>
      <c r="M5" s="278"/>
      <c r="N5" s="278"/>
      <c r="O5" s="278"/>
      <c r="P5" s="278"/>
      <c r="Q5" s="278"/>
      <c r="R5" s="278"/>
      <c r="S5" s="278"/>
      <c r="T5" s="278"/>
      <c r="U5" s="278"/>
      <c r="V5" s="278"/>
      <c r="W5" s="278"/>
      <c r="X5" s="278"/>
      <c r="Y5" s="278"/>
      <c r="Z5" s="278"/>
    </row>
    <row r="6">
      <c r="A6" s="279">
        <v>44566.0</v>
      </c>
      <c r="B6" s="278"/>
      <c r="C6" s="278"/>
      <c r="D6" s="278"/>
      <c r="E6" s="278"/>
      <c r="F6" s="278"/>
      <c r="G6" s="278"/>
      <c r="H6" s="278"/>
      <c r="I6" s="278"/>
      <c r="J6" s="278"/>
      <c r="K6" s="278"/>
      <c r="L6" s="278"/>
      <c r="M6" s="278"/>
      <c r="N6" s="278"/>
      <c r="O6" s="278"/>
      <c r="P6" s="278"/>
      <c r="Q6" s="278"/>
      <c r="R6" s="278"/>
      <c r="S6" s="278"/>
      <c r="T6" s="278"/>
      <c r="U6" s="278"/>
      <c r="V6" s="278"/>
      <c r="W6" s="278"/>
      <c r="X6" s="278"/>
      <c r="Y6" s="278"/>
      <c r="Z6" s="278"/>
    </row>
    <row r="7">
      <c r="A7" s="279">
        <v>44567.0</v>
      </c>
      <c r="B7" s="278"/>
      <c r="C7" s="278"/>
      <c r="D7" s="278"/>
      <c r="E7" s="278"/>
      <c r="F7" s="278"/>
      <c r="G7" s="278"/>
      <c r="H7" s="278"/>
      <c r="I7" s="278"/>
      <c r="J7" s="278"/>
      <c r="K7" s="278"/>
      <c r="L7" s="278"/>
      <c r="M7" s="278"/>
      <c r="N7" s="278"/>
      <c r="O7" s="278"/>
      <c r="P7" s="278"/>
      <c r="Q7" s="278"/>
      <c r="R7" s="278"/>
      <c r="S7" s="278"/>
      <c r="T7" s="278"/>
      <c r="U7" s="278"/>
      <c r="V7" s="278"/>
      <c r="W7" s="278"/>
      <c r="X7" s="278"/>
      <c r="Y7" s="278"/>
      <c r="Z7" s="278"/>
    </row>
    <row r="8">
      <c r="A8" s="279">
        <v>44568.0</v>
      </c>
      <c r="B8" s="277"/>
      <c r="C8" s="278"/>
      <c r="D8" s="278"/>
      <c r="E8" s="278"/>
      <c r="F8" s="278"/>
      <c r="G8" s="278"/>
      <c r="H8" s="278"/>
      <c r="I8" s="278"/>
      <c r="J8" s="278"/>
      <c r="K8" s="278"/>
      <c r="L8" s="278"/>
      <c r="M8" s="278"/>
      <c r="N8" s="278"/>
      <c r="O8" s="278"/>
      <c r="P8" s="278"/>
      <c r="Q8" s="278"/>
      <c r="R8" s="278"/>
      <c r="S8" s="278"/>
      <c r="T8" s="278"/>
      <c r="U8" s="278"/>
      <c r="V8" s="278"/>
      <c r="W8" s="278"/>
      <c r="X8" s="278"/>
      <c r="Y8" s="278"/>
      <c r="Z8" s="278"/>
    </row>
    <row r="9">
      <c r="A9" s="279">
        <v>44569.0</v>
      </c>
      <c r="B9" s="278"/>
      <c r="C9" s="278"/>
      <c r="D9" s="278"/>
      <c r="E9" s="278"/>
      <c r="F9" s="278"/>
      <c r="G9" s="278"/>
      <c r="H9" s="278"/>
      <c r="I9" s="278"/>
      <c r="J9" s="278"/>
      <c r="K9" s="278"/>
      <c r="L9" s="278"/>
      <c r="M9" s="278"/>
      <c r="N9" s="278"/>
      <c r="O9" s="278"/>
      <c r="P9" s="278"/>
      <c r="Q9" s="278"/>
      <c r="R9" s="278"/>
      <c r="S9" s="278"/>
      <c r="T9" s="278"/>
      <c r="U9" s="278"/>
      <c r="V9" s="278"/>
      <c r="W9" s="278"/>
      <c r="X9" s="278"/>
      <c r="Y9" s="278"/>
      <c r="Z9" s="278"/>
    </row>
    <row r="10">
      <c r="A10" s="279">
        <v>44570.0</v>
      </c>
      <c r="B10" s="278"/>
      <c r="C10" s="278"/>
      <c r="D10" s="278"/>
      <c r="E10" s="278"/>
      <c r="F10" s="278"/>
      <c r="G10" s="278"/>
      <c r="H10" s="278"/>
      <c r="I10" s="278"/>
      <c r="J10" s="278"/>
      <c r="K10" s="278"/>
      <c r="L10" s="278"/>
      <c r="M10" s="278"/>
      <c r="N10" s="278"/>
      <c r="O10" s="278"/>
      <c r="P10" s="278"/>
      <c r="Q10" s="278"/>
      <c r="R10" s="278"/>
      <c r="S10" s="278"/>
      <c r="T10" s="278"/>
      <c r="U10" s="278"/>
      <c r="V10" s="278"/>
      <c r="W10" s="278"/>
      <c r="X10" s="278"/>
      <c r="Y10" s="278"/>
      <c r="Z10" s="278"/>
    </row>
    <row r="11">
      <c r="A11" s="279">
        <v>44571.0</v>
      </c>
      <c r="B11" s="278"/>
      <c r="C11" s="278"/>
      <c r="D11" s="278"/>
      <c r="E11" s="278"/>
      <c r="F11" s="278"/>
      <c r="G11" s="278"/>
      <c r="H11" s="278"/>
      <c r="I11" s="278"/>
      <c r="J11" s="278"/>
      <c r="K11" s="278"/>
      <c r="L11" s="278"/>
      <c r="M11" s="278"/>
      <c r="N11" s="278"/>
      <c r="O11" s="278"/>
      <c r="P11" s="278"/>
      <c r="Q11" s="278"/>
      <c r="R11" s="278"/>
      <c r="S11" s="278"/>
      <c r="T11" s="278"/>
      <c r="U11" s="278"/>
      <c r="V11" s="278"/>
      <c r="W11" s="278"/>
      <c r="X11" s="278"/>
      <c r="Y11" s="278"/>
      <c r="Z11" s="278"/>
    </row>
    <row r="12">
      <c r="A12" s="279">
        <v>44572.0</v>
      </c>
      <c r="B12" s="278"/>
      <c r="C12" s="278"/>
      <c r="D12" s="278"/>
      <c r="E12" s="278"/>
      <c r="F12" s="278"/>
      <c r="G12" s="278"/>
      <c r="H12" s="278"/>
      <c r="I12" s="278"/>
      <c r="J12" s="278"/>
      <c r="K12" s="278"/>
      <c r="L12" s="278"/>
      <c r="M12" s="278"/>
      <c r="N12" s="278"/>
      <c r="O12" s="278"/>
      <c r="P12" s="278"/>
      <c r="Q12" s="278"/>
      <c r="R12" s="278"/>
      <c r="S12" s="278"/>
      <c r="T12" s="278"/>
      <c r="U12" s="278"/>
      <c r="V12" s="278"/>
      <c r="W12" s="278"/>
      <c r="X12" s="278"/>
      <c r="Y12" s="278"/>
      <c r="Z12" s="278"/>
    </row>
    <row r="13">
      <c r="A13" s="279">
        <v>44573.0</v>
      </c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78"/>
      <c r="M13" s="278"/>
      <c r="N13" s="278"/>
      <c r="O13" s="278"/>
      <c r="P13" s="278"/>
      <c r="Q13" s="278"/>
      <c r="R13" s="278"/>
      <c r="S13" s="278"/>
      <c r="T13" s="278"/>
      <c r="U13" s="278"/>
      <c r="V13" s="278"/>
      <c r="W13" s="278"/>
      <c r="X13" s="278"/>
      <c r="Y13" s="278"/>
      <c r="Z13" s="278"/>
    </row>
    <row r="14">
      <c r="A14" s="279">
        <v>44574.0</v>
      </c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</row>
    <row r="15">
      <c r="A15" s="279">
        <v>44575.0</v>
      </c>
      <c r="B15" s="278"/>
      <c r="C15" s="278"/>
      <c r="D15" s="278"/>
      <c r="E15" s="278"/>
      <c r="F15" s="278"/>
      <c r="G15" s="278"/>
      <c r="H15" s="278"/>
      <c r="I15" s="278"/>
      <c r="J15" s="278"/>
      <c r="K15" s="278"/>
      <c r="L15" s="278"/>
      <c r="M15" s="278"/>
      <c r="N15" s="278"/>
      <c r="O15" s="278"/>
      <c r="P15" s="278"/>
      <c r="Q15" s="278"/>
      <c r="R15" s="278"/>
      <c r="S15" s="278"/>
      <c r="T15" s="278"/>
      <c r="U15" s="278"/>
      <c r="V15" s="278"/>
      <c r="W15" s="278"/>
      <c r="X15" s="278"/>
      <c r="Y15" s="278"/>
      <c r="Z15" s="278"/>
    </row>
    <row r="16">
      <c r="A16" s="279">
        <v>44576.0</v>
      </c>
      <c r="B16" s="278"/>
      <c r="C16" s="278"/>
      <c r="D16" s="278"/>
      <c r="E16" s="278"/>
      <c r="F16" s="278"/>
      <c r="G16" s="278"/>
      <c r="H16" s="278"/>
      <c r="I16" s="278"/>
      <c r="J16" s="278"/>
      <c r="K16" s="278"/>
      <c r="L16" s="278"/>
      <c r="M16" s="278"/>
      <c r="N16" s="278"/>
      <c r="O16" s="278"/>
      <c r="P16" s="278"/>
      <c r="Q16" s="278"/>
      <c r="R16" s="278"/>
      <c r="S16" s="278"/>
      <c r="T16" s="278"/>
      <c r="U16" s="278"/>
      <c r="V16" s="278"/>
      <c r="W16" s="278"/>
      <c r="X16" s="278"/>
      <c r="Y16" s="278"/>
      <c r="Z16" s="278"/>
    </row>
    <row r="17">
      <c r="A17" s="279">
        <v>44577.0</v>
      </c>
      <c r="B17" s="278"/>
      <c r="C17" s="278"/>
      <c r="D17" s="278"/>
      <c r="E17" s="278"/>
      <c r="F17" s="278"/>
      <c r="G17" s="278"/>
      <c r="H17" s="278"/>
      <c r="I17" s="278"/>
      <c r="J17" s="278"/>
      <c r="K17" s="278"/>
      <c r="L17" s="278"/>
      <c r="M17" s="278"/>
      <c r="N17" s="278"/>
      <c r="O17" s="278"/>
      <c r="P17" s="278"/>
      <c r="Q17" s="278"/>
      <c r="R17" s="278"/>
      <c r="S17" s="278"/>
      <c r="T17" s="278"/>
      <c r="U17" s="278"/>
      <c r="V17" s="278"/>
      <c r="W17" s="278"/>
      <c r="X17" s="278"/>
      <c r="Y17" s="278"/>
      <c r="Z17" s="278"/>
    </row>
    <row r="18">
      <c r="A18" s="279">
        <v>44578.0</v>
      </c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</row>
    <row r="19">
      <c r="A19" s="279">
        <v>44579.0</v>
      </c>
      <c r="B19" s="278"/>
      <c r="C19" s="278"/>
      <c r="D19" s="278"/>
      <c r="E19" s="278"/>
      <c r="F19" s="278"/>
      <c r="G19" s="278"/>
      <c r="H19" s="278"/>
      <c r="I19" s="278"/>
      <c r="J19" s="278"/>
      <c r="K19" s="278"/>
      <c r="L19" s="278"/>
      <c r="M19" s="278"/>
      <c r="N19" s="278"/>
      <c r="O19" s="278"/>
      <c r="P19" s="278"/>
      <c r="Q19" s="278"/>
      <c r="R19" s="278"/>
      <c r="S19" s="278"/>
      <c r="T19" s="278"/>
      <c r="U19" s="278"/>
      <c r="V19" s="278"/>
      <c r="W19" s="278"/>
      <c r="X19" s="278"/>
      <c r="Y19" s="278"/>
      <c r="Z19" s="278"/>
    </row>
    <row r="20">
      <c r="A20" s="279">
        <v>44580.0</v>
      </c>
      <c r="B20" s="278"/>
      <c r="C20" s="278"/>
      <c r="D20" s="278"/>
      <c r="E20" s="278"/>
      <c r="F20" s="278"/>
      <c r="G20" s="278"/>
      <c r="H20" s="278"/>
      <c r="I20" s="278"/>
      <c r="J20" s="278"/>
      <c r="K20" s="278"/>
      <c r="L20" s="278"/>
      <c r="M20" s="278"/>
      <c r="N20" s="278"/>
      <c r="O20" s="278"/>
      <c r="P20" s="278"/>
      <c r="Q20" s="278"/>
      <c r="R20" s="278"/>
      <c r="S20" s="278"/>
      <c r="T20" s="278"/>
      <c r="U20" s="278"/>
      <c r="V20" s="278"/>
      <c r="W20" s="278"/>
      <c r="X20" s="278"/>
      <c r="Y20" s="278"/>
      <c r="Z20" s="278"/>
    </row>
    <row r="21">
      <c r="A21" s="279">
        <v>44581.0</v>
      </c>
      <c r="B21" s="278"/>
      <c r="C21" s="278"/>
      <c r="D21" s="278"/>
      <c r="E21" s="278"/>
      <c r="F21" s="278"/>
      <c r="G21" s="278"/>
      <c r="H21" s="278"/>
      <c r="I21" s="278"/>
      <c r="J21" s="278"/>
      <c r="K21" s="278"/>
      <c r="L21" s="278"/>
      <c r="M21" s="278"/>
      <c r="N21" s="278"/>
      <c r="O21" s="278"/>
      <c r="P21" s="278"/>
      <c r="Q21" s="278"/>
      <c r="R21" s="278"/>
      <c r="S21" s="278"/>
      <c r="T21" s="278"/>
      <c r="U21" s="278"/>
      <c r="V21" s="278"/>
      <c r="W21" s="278"/>
      <c r="X21" s="278"/>
      <c r="Y21" s="278"/>
      <c r="Z21" s="278"/>
    </row>
    <row r="22">
      <c r="A22" s="279">
        <v>44582.0</v>
      </c>
      <c r="B22" s="278"/>
      <c r="C22" s="278"/>
      <c r="D22" s="278"/>
      <c r="E22" s="278"/>
      <c r="F22" s="278"/>
      <c r="G22" s="278"/>
      <c r="H22" s="278"/>
      <c r="I22" s="278"/>
      <c r="J22" s="278"/>
      <c r="K22" s="278"/>
      <c r="L22" s="278"/>
      <c r="M22" s="278"/>
      <c r="N22" s="278"/>
      <c r="O22" s="278"/>
      <c r="P22" s="278"/>
      <c r="Q22" s="278"/>
      <c r="R22" s="278"/>
      <c r="S22" s="278"/>
      <c r="T22" s="278"/>
      <c r="U22" s="278"/>
      <c r="V22" s="278"/>
      <c r="W22" s="278"/>
      <c r="X22" s="278"/>
      <c r="Y22" s="278"/>
      <c r="Z22" s="278"/>
    </row>
    <row r="23">
      <c r="A23" s="279">
        <v>44583.0</v>
      </c>
      <c r="B23" s="278"/>
      <c r="C23" s="278"/>
      <c r="D23" s="278"/>
      <c r="E23" s="278"/>
      <c r="F23" s="278"/>
      <c r="G23" s="278"/>
      <c r="H23" s="278"/>
      <c r="I23" s="278"/>
      <c r="J23" s="278"/>
      <c r="K23" s="278"/>
      <c r="L23" s="278"/>
      <c r="M23" s="278"/>
      <c r="N23" s="278"/>
      <c r="O23" s="278"/>
      <c r="P23" s="278"/>
      <c r="Q23" s="278"/>
      <c r="R23" s="278"/>
      <c r="S23" s="278"/>
      <c r="T23" s="278"/>
      <c r="U23" s="278"/>
      <c r="V23" s="278"/>
      <c r="W23" s="278"/>
      <c r="X23" s="278"/>
      <c r="Y23" s="278"/>
      <c r="Z23" s="278"/>
    </row>
    <row r="24">
      <c r="A24" s="279">
        <v>44584.0</v>
      </c>
      <c r="B24" s="278"/>
      <c r="C24" s="278"/>
      <c r="D24" s="278"/>
      <c r="E24" s="278"/>
      <c r="F24" s="278"/>
      <c r="G24" s="278"/>
      <c r="H24" s="278"/>
      <c r="I24" s="278"/>
      <c r="J24" s="278"/>
      <c r="K24" s="278"/>
      <c r="L24" s="278"/>
      <c r="M24" s="278"/>
      <c r="N24" s="278"/>
      <c r="O24" s="278"/>
      <c r="P24" s="278"/>
      <c r="Q24" s="278"/>
      <c r="R24" s="278"/>
      <c r="S24" s="278"/>
      <c r="T24" s="278"/>
      <c r="U24" s="278"/>
      <c r="V24" s="278"/>
      <c r="W24" s="278"/>
      <c r="X24" s="278"/>
      <c r="Y24" s="278"/>
      <c r="Z24" s="278"/>
    </row>
    <row r="25">
      <c r="A25" s="279">
        <v>44585.0</v>
      </c>
      <c r="B25" s="278"/>
      <c r="C25" s="278"/>
      <c r="D25" s="278"/>
      <c r="E25" s="278"/>
      <c r="F25" s="278"/>
      <c r="G25" s="278"/>
      <c r="H25" s="278"/>
      <c r="I25" s="278"/>
      <c r="J25" s="278"/>
      <c r="K25" s="278"/>
      <c r="L25" s="278"/>
      <c r="M25" s="278"/>
      <c r="N25" s="278"/>
      <c r="O25" s="278"/>
      <c r="P25" s="278"/>
      <c r="Q25" s="278"/>
      <c r="R25" s="278"/>
      <c r="S25" s="278"/>
      <c r="T25" s="278"/>
      <c r="U25" s="278"/>
      <c r="V25" s="278"/>
      <c r="W25" s="278"/>
      <c r="X25" s="278"/>
      <c r="Y25" s="278"/>
      <c r="Z25" s="278"/>
    </row>
    <row r="26">
      <c r="A26" s="279">
        <v>44586.0</v>
      </c>
      <c r="B26" s="278"/>
      <c r="C26" s="278"/>
      <c r="D26" s="278"/>
      <c r="E26" s="278"/>
      <c r="F26" s="278"/>
      <c r="G26" s="278"/>
      <c r="H26" s="278"/>
      <c r="I26" s="278"/>
      <c r="J26" s="278"/>
      <c r="K26" s="278"/>
      <c r="L26" s="278"/>
      <c r="M26" s="278"/>
      <c r="N26" s="278"/>
      <c r="O26" s="278"/>
      <c r="P26" s="278"/>
      <c r="Q26" s="278"/>
      <c r="R26" s="278"/>
      <c r="S26" s="278"/>
      <c r="T26" s="278"/>
      <c r="U26" s="278"/>
      <c r="V26" s="278"/>
      <c r="W26" s="278"/>
      <c r="X26" s="278"/>
      <c r="Y26" s="278"/>
      <c r="Z26" s="278"/>
    </row>
    <row r="27">
      <c r="A27" s="279">
        <v>44587.0</v>
      </c>
      <c r="B27" s="278"/>
      <c r="C27" s="278"/>
      <c r="D27" s="278"/>
      <c r="E27" s="278"/>
      <c r="F27" s="278"/>
      <c r="G27" s="278"/>
      <c r="H27" s="278"/>
      <c r="I27" s="278"/>
      <c r="J27" s="278"/>
      <c r="K27" s="278"/>
      <c r="L27" s="278"/>
      <c r="M27" s="278"/>
      <c r="N27" s="278"/>
      <c r="O27" s="278"/>
      <c r="P27" s="278"/>
      <c r="Q27" s="278"/>
      <c r="R27" s="278"/>
      <c r="S27" s="278"/>
      <c r="T27" s="278"/>
      <c r="U27" s="278"/>
      <c r="V27" s="278"/>
      <c r="W27" s="278"/>
      <c r="X27" s="278"/>
      <c r="Y27" s="278"/>
      <c r="Z27" s="278"/>
    </row>
    <row r="28">
      <c r="A28" s="279">
        <v>44588.0</v>
      </c>
      <c r="B28" s="278"/>
      <c r="C28" s="278"/>
      <c r="D28" s="278"/>
      <c r="E28" s="278"/>
      <c r="F28" s="278"/>
      <c r="G28" s="278"/>
      <c r="H28" s="278"/>
      <c r="I28" s="278"/>
      <c r="J28" s="278"/>
      <c r="K28" s="278"/>
      <c r="L28" s="278"/>
      <c r="M28" s="278"/>
      <c r="N28" s="278"/>
      <c r="O28" s="278"/>
      <c r="P28" s="278"/>
      <c r="Q28" s="278"/>
      <c r="R28" s="278"/>
      <c r="S28" s="278"/>
      <c r="T28" s="278"/>
      <c r="U28" s="278"/>
      <c r="V28" s="278"/>
      <c r="W28" s="278"/>
      <c r="X28" s="278"/>
      <c r="Y28" s="278"/>
      <c r="Z28" s="278"/>
    </row>
    <row r="29">
      <c r="A29" s="279">
        <v>44589.0</v>
      </c>
      <c r="B29" s="278"/>
      <c r="C29" s="278"/>
      <c r="D29" s="278"/>
      <c r="E29" s="278"/>
      <c r="F29" s="278"/>
      <c r="G29" s="278"/>
      <c r="H29" s="278"/>
      <c r="I29" s="278"/>
      <c r="J29" s="278"/>
      <c r="K29" s="278"/>
      <c r="L29" s="278"/>
      <c r="M29" s="278"/>
      <c r="N29" s="278"/>
      <c r="O29" s="278"/>
      <c r="P29" s="278"/>
      <c r="Q29" s="278"/>
      <c r="R29" s="278"/>
      <c r="S29" s="278"/>
      <c r="T29" s="278"/>
      <c r="U29" s="278"/>
      <c r="V29" s="278"/>
      <c r="W29" s="278"/>
      <c r="X29" s="278"/>
      <c r="Y29" s="278"/>
      <c r="Z29" s="278"/>
    </row>
    <row r="30">
      <c r="A30" s="279">
        <v>44590.0</v>
      </c>
      <c r="B30" s="278"/>
      <c r="C30" s="278"/>
      <c r="D30" s="278"/>
      <c r="E30" s="278"/>
      <c r="F30" s="278"/>
      <c r="G30" s="278"/>
      <c r="H30" s="278"/>
      <c r="I30" s="278"/>
      <c r="J30" s="278"/>
      <c r="K30" s="278"/>
      <c r="L30" s="278"/>
      <c r="M30" s="278"/>
      <c r="N30" s="278"/>
      <c r="O30" s="278"/>
      <c r="P30" s="278"/>
      <c r="Q30" s="278"/>
      <c r="R30" s="278"/>
      <c r="S30" s="278"/>
      <c r="T30" s="278"/>
      <c r="U30" s="278"/>
      <c r="V30" s="278"/>
      <c r="W30" s="278"/>
      <c r="X30" s="278"/>
      <c r="Y30" s="278"/>
      <c r="Z30" s="278"/>
    </row>
    <row r="31">
      <c r="A31" s="279">
        <v>44591.0</v>
      </c>
      <c r="B31" s="278"/>
      <c r="C31" s="278"/>
      <c r="D31" s="278"/>
      <c r="E31" s="278"/>
      <c r="F31" s="278"/>
      <c r="G31" s="278"/>
      <c r="H31" s="278"/>
      <c r="I31" s="278"/>
      <c r="J31" s="278"/>
      <c r="K31" s="278"/>
      <c r="L31" s="278"/>
      <c r="M31" s="278"/>
      <c r="N31" s="278"/>
      <c r="O31" s="278"/>
      <c r="P31" s="278"/>
      <c r="Q31" s="278"/>
      <c r="R31" s="278"/>
      <c r="S31" s="278"/>
      <c r="T31" s="278"/>
      <c r="U31" s="278"/>
      <c r="V31" s="278"/>
      <c r="W31" s="278"/>
      <c r="X31" s="278"/>
      <c r="Y31" s="278"/>
      <c r="Z31" s="278"/>
    </row>
    <row r="32">
      <c r="A32" s="279">
        <v>44592.0</v>
      </c>
      <c r="B32" s="278"/>
      <c r="C32" s="278"/>
      <c r="D32" s="278"/>
      <c r="E32" s="278"/>
      <c r="F32" s="278"/>
      <c r="G32" s="278"/>
      <c r="H32" s="278"/>
      <c r="I32" s="278"/>
      <c r="J32" s="278"/>
      <c r="K32" s="278"/>
      <c r="L32" s="278"/>
      <c r="M32" s="278"/>
      <c r="N32" s="278"/>
      <c r="O32" s="278"/>
      <c r="P32" s="278"/>
      <c r="Q32" s="278"/>
      <c r="R32" s="278"/>
      <c r="S32" s="278"/>
      <c r="T32" s="278"/>
      <c r="U32" s="278"/>
      <c r="V32" s="278"/>
      <c r="W32" s="278"/>
      <c r="X32" s="278"/>
      <c r="Y32" s="278"/>
      <c r="Z32" s="278"/>
    </row>
    <row r="33">
      <c r="A33" s="279"/>
      <c r="B33" s="278"/>
      <c r="C33" s="278"/>
      <c r="D33" s="278"/>
      <c r="E33" s="278"/>
      <c r="F33" s="278"/>
      <c r="G33" s="278"/>
      <c r="H33" s="278"/>
      <c r="I33" s="278"/>
      <c r="J33" s="278"/>
      <c r="K33" s="278"/>
      <c r="L33" s="278"/>
      <c r="M33" s="278"/>
      <c r="N33" s="278"/>
      <c r="O33" s="278"/>
      <c r="P33" s="278"/>
      <c r="Q33" s="278"/>
      <c r="R33" s="278"/>
      <c r="S33" s="278"/>
      <c r="T33" s="278"/>
      <c r="U33" s="278"/>
      <c r="V33" s="278"/>
      <c r="W33" s="278"/>
      <c r="X33" s="278"/>
      <c r="Y33" s="278"/>
      <c r="Z33" s="278"/>
    </row>
    <row r="34">
      <c r="A34" s="279"/>
      <c r="B34" s="278"/>
      <c r="C34" s="278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8"/>
      <c r="T34" s="278"/>
      <c r="U34" s="278"/>
      <c r="V34" s="278"/>
      <c r="W34" s="278"/>
      <c r="X34" s="278"/>
      <c r="Y34" s="278"/>
      <c r="Z34" s="278"/>
    </row>
    <row r="35">
      <c r="A35" s="279"/>
      <c r="B35" s="278"/>
      <c r="C35" s="278"/>
      <c r="D35" s="278"/>
      <c r="E35" s="278"/>
      <c r="F35" s="278"/>
      <c r="G35" s="278"/>
      <c r="H35" s="278"/>
      <c r="I35" s="278"/>
      <c r="J35" s="278"/>
      <c r="K35" s="278"/>
      <c r="L35" s="278"/>
      <c r="M35" s="278"/>
      <c r="N35" s="278"/>
      <c r="O35" s="278"/>
      <c r="P35" s="278"/>
      <c r="Q35" s="278"/>
      <c r="R35" s="278"/>
      <c r="S35" s="278"/>
      <c r="T35" s="278"/>
      <c r="U35" s="278"/>
      <c r="V35" s="278"/>
      <c r="W35" s="278"/>
      <c r="X35" s="278"/>
      <c r="Y35" s="278"/>
      <c r="Z35" s="278"/>
    </row>
    <row r="36">
      <c r="A36" s="279"/>
      <c r="B36" s="278"/>
      <c r="C36" s="278"/>
      <c r="D36" s="278"/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278"/>
      <c r="P36" s="278"/>
      <c r="Q36" s="278"/>
      <c r="R36" s="278"/>
      <c r="S36" s="278"/>
      <c r="T36" s="278"/>
      <c r="U36" s="278"/>
      <c r="V36" s="278"/>
      <c r="W36" s="278"/>
      <c r="X36" s="278"/>
      <c r="Y36" s="278"/>
      <c r="Z36" s="278"/>
    </row>
    <row r="37">
      <c r="A37" s="279"/>
      <c r="B37" s="278"/>
      <c r="C37" s="278"/>
      <c r="D37" s="278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R37" s="278"/>
      <c r="S37" s="278"/>
      <c r="T37" s="278"/>
      <c r="U37" s="278"/>
      <c r="V37" s="278"/>
      <c r="W37" s="278"/>
      <c r="X37" s="278"/>
      <c r="Y37" s="278"/>
      <c r="Z37" s="278"/>
    </row>
    <row r="38">
      <c r="A38" s="279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  <c r="T38" s="278"/>
      <c r="U38" s="278"/>
      <c r="V38" s="278"/>
      <c r="W38" s="278"/>
      <c r="X38" s="278"/>
      <c r="Y38" s="278"/>
      <c r="Z38" s="278"/>
    </row>
    <row r="39">
      <c r="A39" s="279"/>
      <c r="B39" s="278"/>
      <c r="C39" s="278"/>
      <c r="D39" s="278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  <c r="S39" s="278"/>
      <c r="T39" s="278"/>
      <c r="U39" s="278"/>
      <c r="V39" s="278"/>
      <c r="W39" s="278"/>
      <c r="X39" s="278"/>
      <c r="Y39" s="278"/>
      <c r="Z39" s="278"/>
    </row>
    <row r="40">
      <c r="A40" s="279"/>
      <c r="B40" s="278"/>
      <c r="C40" s="278"/>
      <c r="D40" s="278"/>
      <c r="E40" s="278"/>
      <c r="F40" s="278"/>
      <c r="G40" s="278"/>
      <c r="H40" s="278"/>
      <c r="I40" s="278"/>
      <c r="J40" s="278"/>
      <c r="K40" s="278"/>
      <c r="L40" s="278"/>
      <c r="M40" s="278"/>
      <c r="N40" s="278"/>
      <c r="O40" s="278"/>
      <c r="P40" s="278"/>
      <c r="Q40" s="278"/>
      <c r="R40" s="278"/>
      <c r="S40" s="278"/>
      <c r="T40" s="278"/>
      <c r="U40" s="278"/>
      <c r="V40" s="278"/>
      <c r="W40" s="278"/>
      <c r="X40" s="278"/>
      <c r="Y40" s="278"/>
      <c r="Z40" s="278"/>
    </row>
    <row r="41">
      <c r="A41" s="279"/>
      <c r="B41" s="278"/>
      <c r="C41" s="278"/>
      <c r="D41" s="278"/>
      <c r="E41" s="278"/>
      <c r="F41" s="278"/>
      <c r="G41" s="278"/>
      <c r="H41" s="278"/>
      <c r="I41" s="278"/>
      <c r="J41" s="278"/>
      <c r="K41" s="278"/>
      <c r="L41" s="278"/>
      <c r="M41" s="278"/>
      <c r="N41" s="278"/>
      <c r="O41" s="278"/>
      <c r="P41" s="278"/>
      <c r="Q41" s="278"/>
      <c r="R41" s="278"/>
      <c r="S41" s="278"/>
      <c r="T41" s="278"/>
      <c r="U41" s="278"/>
      <c r="V41" s="278"/>
      <c r="W41" s="278"/>
      <c r="X41" s="278"/>
      <c r="Y41" s="278"/>
      <c r="Z41" s="278"/>
    </row>
    <row r="42">
      <c r="A42" s="279"/>
      <c r="B42" s="278"/>
      <c r="C42" s="278"/>
      <c r="D42" s="278"/>
      <c r="E42" s="278"/>
      <c r="F42" s="278"/>
      <c r="G42" s="278"/>
      <c r="H42" s="278"/>
      <c r="I42" s="278"/>
      <c r="J42" s="278"/>
      <c r="K42" s="278"/>
      <c r="L42" s="278"/>
      <c r="M42" s="278"/>
      <c r="N42" s="278"/>
      <c r="O42" s="278"/>
      <c r="P42" s="278"/>
      <c r="Q42" s="278"/>
      <c r="R42" s="278"/>
      <c r="S42" s="278"/>
      <c r="T42" s="278"/>
      <c r="U42" s="278"/>
      <c r="V42" s="278"/>
      <c r="W42" s="278"/>
      <c r="X42" s="278"/>
      <c r="Y42" s="278"/>
      <c r="Z42" s="278"/>
    </row>
    <row r="43">
      <c r="A43" s="279"/>
      <c r="B43" s="278"/>
      <c r="C43" s="278"/>
      <c r="D43" s="278"/>
      <c r="E43" s="278"/>
      <c r="F43" s="278"/>
      <c r="G43" s="278"/>
      <c r="H43" s="278"/>
      <c r="I43" s="278"/>
      <c r="J43" s="278"/>
      <c r="K43" s="278"/>
      <c r="L43" s="278"/>
      <c r="M43" s="278"/>
      <c r="N43" s="278"/>
      <c r="O43" s="278"/>
      <c r="P43" s="278"/>
      <c r="Q43" s="278"/>
      <c r="R43" s="278"/>
      <c r="S43" s="278"/>
      <c r="T43" s="278"/>
      <c r="U43" s="278"/>
      <c r="V43" s="278"/>
      <c r="W43" s="278"/>
      <c r="X43" s="278"/>
      <c r="Y43" s="278"/>
      <c r="Z43" s="278"/>
    </row>
    <row r="44">
      <c r="A44" s="279"/>
      <c r="B44" s="278"/>
      <c r="C44" s="278"/>
      <c r="D44" s="278"/>
      <c r="E44" s="278"/>
      <c r="F44" s="278"/>
      <c r="G44" s="278"/>
      <c r="H44" s="278"/>
      <c r="I44" s="278"/>
      <c r="J44" s="278"/>
      <c r="K44" s="278"/>
      <c r="L44" s="278"/>
      <c r="M44" s="278"/>
      <c r="N44" s="278"/>
      <c r="O44" s="278"/>
      <c r="P44" s="278"/>
      <c r="Q44" s="278"/>
      <c r="R44" s="278"/>
      <c r="S44" s="278"/>
      <c r="T44" s="278"/>
      <c r="U44" s="278"/>
      <c r="V44" s="278"/>
      <c r="W44" s="278"/>
      <c r="X44" s="278"/>
      <c r="Y44" s="278"/>
      <c r="Z44" s="278"/>
    </row>
    <row r="45">
      <c r="A45" s="279"/>
      <c r="B45" s="278"/>
      <c r="C45" s="278"/>
      <c r="D45" s="278"/>
      <c r="E45" s="278"/>
      <c r="F45" s="278"/>
      <c r="G45" s="278"/>
      <c r="H45" s="278"/>
      <c r="I45" s="278"/>
      <c r="J45" s="278"/>
      <c r="K45" s="278"/>
      <c r="L45" s="278"/>
      <c r="M45" s="278"/>
      <c r="N45" s="278"/>
      <c r="O45" s="278"/>
      <c r="P45" s="278"/>
      <c r="Q45" s="278"/>
      <c r="R45" s="278"/>
      <c r="S45" s="278"/>
      <c r="T45" s="278"/>
      <c r="U45" s="278"/>
      <c r="V45" s="278"/>
      <c r="W45" s="278"/>
      <c r="X45" s="278"/>
      <c r="Y45" s="278"/>
      <c r="Z45" s="278"/>
    </row>
    <row r="46">
      <c r="A46" s="278"/>
      <c r="B46" s="278"/>
      <c r="C46" s="278"/>
      <c r="D46" s="278"/>
      <c r="E46" s="278"/>
      <c r="F46" s="278"/>
      <c r="G46" s="278"/>
      <c r="H46" s="278"/>
      <c r="I46" s="278"/>
      <c r="J46" s="278"/>
      <c r="K46" s="278"/>
      <c r="L46" s="278"/>
      <c r="M46" s="278"/>
      <c r="N46" s="278"/>
      <c r="O46" s="278"/>
      <c r="P46" s="278"/>
      <c r="Q46" s="278"/>
      <c r="R46" s="278"/>
      <c r="S46" s="278"/>
      <c r="T46" s="278"/>
      <c r="U46" s="278"/>
      <c r="V46" s="278"/>
      <c r="W46" s="278"/>
      <c r="X46" s="278"/>
      <c r="Y46" s="278"/>
      <c r="Z46" s="278"/>
    </row>
    <row r="47">
      <c r="A47" s="278"/>
      <c r="B47" s="278"/>
      <c r="C47" s="278"/>
      <c r="D47" s="278"/>
      <c r="E47" s="278"/>
      <c r="F47" s="278"/>
      <c r="G47" s="278"/>
      <c r="H47" s="278"/>
      <c r="I47" s="278"/>
      <c r="J47" s="278"/>
      <c r="K47" s="278"/>
      <c r="L47" s="278"/>
      <c r="M47" s="278"/>
      <c r="N47" s="278"/>
      <c r="O47" s="278"/>
      <c r="P47" s="278"/>
      <c r="Q47" s="278"/>
      <c r="R47" s="278"/>
      <c r="S47" s="278"/>
      <c r="T47" s="278"/>
      <c r="U47" s="278"/>
      <c r="V47" s="278"/>
      <c r="W47" s="278"/>
      <c r="X47" s="278"/>
      <c r="Y47" s="278"/>
      <c r="Z47" s="278"/>
    </row>
    <row r="48">
      <c r="A48" s="278"/>
      <c r="B48" s="278"/>
      <c r="C48" s="278"/>
      <c r="D48" s="278"/>
      <c r="E48" s="278"/>
      <c r="F48" s="278"/>
      <c r="G48" s="278"/>
      <c r="H48" s="278"/>
      <c r="I48" s="278"/>
      <c r="J48" s="278"/>
      <c r="K48" s="278"/>
      <c r="L48" s="278"/>
      <c r="M48" s="278"/>
      <c r="N48" s="278"/>
      <c r="O48" s="278"/>
      <c r="P48" s="278"/>
      <c r="Q48" s="278"/>
      <c r="R48" s="278"/>
      <c r="S48" s="278"/>
      <c r="T48" s="278"/>
      <c r="U48" s="278"/>
      <c r="V48" s="278"/>
      <c r="W48" s="278"/>
      <c r="X48" s="278"/>
      <c r="Y48" s="278"/>
      <c r="Z48" s="278"/>
    </row>
    <row r="49">
      <c r="A49" s="278"/>
      <c r="B49" s="278"/>
      <c r="C49" s="278"/>
      <c r="D49" s="278"/>
      <c r="E49" s="278"/>
      <c r="F49" s="278"/>
      <c r="G49" s="278"/>
      <c r="H49" s="278"/>
      <c r="I49" s="278"/>
      <c r="J49" s="278"/>
      <c r="K49" s="278"/>
      <c r="L49" s="278"/>
      <c r="M49" s="278"/>
      <c r="N49" s="278"/>
      <c r="O49" s="278"/>
      <c r="P49" s="278"/>
      <c r="Q49" s="278"/>
      <c r="R49" s="278"/>
      <c r="S49" s="278"/>
      <c r="T49" s="278"/>
      <c r="U49" s="278"/>
      <c r="V49" s="278"/>
      <c r="W49" s="278"/>
      <c r="X49" s="278"/>
      <c r="Y49" s="278"/>
      <c r="Z49" s="278"/>
    </row>
    <row r="50">
      <c r="A50" s="278"/>
      <c r="B50" s="278"/>
      <c r="C50" s="278"/>
      <c r="D50" s="278"/>
      <c r="E50" s="278"/>
      <c r="F50" s="278"/>
      <c r="G50" s="278"/>
      <c r="H50" s="278"/>
      <c r="I50" s="278"/>
      <c r="J50" s="278"/>
      <c r="K50" s="278"/>
      <c r="L50" s="278"/>
      <c r="M50" s="278"/>
      <c r="N50" s="278"/>
      <c r="O50" s="278"/>
      <c r="P50" s="278"/>
      <c r="Q50" s="278"/>
      <c r="R50" s="278"/>
      <c r="S50" s="278"/>
      <c r="T50" s="278"/>
      <c r="U50" s="278"/>
      <c r="V50" s="278"/>
      <c r="W50" s="278"/>
      <c r="X50" s="278"/>
      <c r="Y50" s="278"/>
      <c r="Z50" s="278"/>
    </row>
    <row r="5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8"/>
      <c r="V51" s="278"/>
      <c r="W51" s="278"/>
      <c r="X51" s="278"/>
      <c r="Y51" s="278"/>
      <c r="Z51" s="278"/>
    </row>
    <row r="52">
      <c r="A52" s="278"/>
      <c r="B52" s="278"/>
      <c r="C52" s="278"/>
      <c r="D52" s="278"/>
      <c r="E52" s="278"/>
      <c r="F52" s="278"/>
      <c r="G52" s="278"/>
      <c r="H52" s="278"/>
      <c r="I52" s="278"/>
      <c r="J52" s="278"/>
      <c r="K52" s="278"/>
      <c r="L52" s="278"/>
      <c r="M52" s="278"/>
      <c r="N52" s="278"/>
      <c r="O52" s="278"/>
      <c r="P52" s="278"/>
      <c r="Q52" s="278"/>
      <c r="R52" s="278"/>
      <c r="S52" s="278"/>
      <c r="T52" s="278"/>
      <c r="U52" s="278"/>
      <c r="V52" s="278"/>
      <c r="W52" s="278"/>
      <c r="X52" s="278"/>
      <c r="Y52" s="278"/>
      <c r="Z52" s="278"/>
    </row>
    <row r="53">
      <c r="A53" s="278"/>
      <c r="B53" s="278"/>
      <c r="C53" s="278"/>
      <c r="D53" s="278"/>
      <c r="E53" s="278"/>
      <c r="F53" s="278"/>
      <c r="G53" s="278"/>
      <c r="H53" s="278"/>
      <c r="I53" s="278"/>
      <c r="J53" s="278"/>
      <c r="K53" s="278"/>
      <c r="L53" s="278"/>
      <c r="M53" s="278"/>
      <c r="N53" s="278"/>
      <c r="O53" s="278"/>
      <c r="P53" s="278"/>
      <c r="Q53" s="278"/>
      <c r="R53" s="278"/>
      <c r="S53" s="278"/>
      <c r="T53" s="278"/>
      <c r="U53" s="278"/>
      <c r="V53" s="278"/>
      <c r="W53" s="278"/>
      <c r="X53" s="278"/>
      <c r="Y53" s="278"/>
      <c r="Z53" s="278"/>
    </row>
    <row r="54">
      <c r="A54" s="278"/>
      <c r="B54" s="278"/>
      <c r="C54" s="278"/>
      <c r="D54" s="278"/>
      <c r="E54" s="278"/>
      <c r="F54" s="278"/>
      <c r="G54" s="278"/>
      <c r="H54" s="278"/>
      <c r="I54" s="278"/>
      <c r="J54" s="278"/>
      <c r="K54" s="278"/>
      <c r="L54" s="278"/>
      <c r="M54" s="278"/>
      <c r="N54" s="278"/>
      <c r="O54" s="278"/>
      <c r="P54" s="278"/>
      <c r="Q54" s="278"/>
      <c r="R54" s="278"/>
      <c r="S54" s="278"/>
      <c r="T54" s="278"/>
      <c r="U54" s="278"/>
      <c r="V54" s="278"/>
      <c r="W54" s="278"/>
      <c r="X54" s="278"/>
      <c r="Y54" s="278"/>
      <c r="Z54" s="278"/>
    </row>
    <row r="55">
      <c r="A55" s="278"/>
      <c r="B55" s="278"/>
      <c r="C55" s="278"/>
      <c r="D55" s="278"/>
      <c r="E55" s="278"/>
      <c r="F55" s="278"/>
      <c r="G55" s="278"/>
      <c r="H55" s="278"/>
      <c r="I55" s="278"/>
      <c r="J55" s="278"/>
      <c r="K55" s="278"/>
      <c r="L55" s="278"/>
      <c r="M55" s="278"/>
      <c r="N55" s="278"/>
      <c r="O55" s="278"/>
      <c r="P55" s="278"/>
      <c r="Q55" s="278"/>
      <c r="R55" s="278"/>
      <c r="S55" s="278"/>
      <c r="T55" s="278"/>
      <c r="U55" s="278"/>
      <c r="V55" s="278"/>
      <c r="W55" s="278"/>
      <c r="X55" s="278"/>
      <c r="Y55" s="278"/>
      <c r="Z55" s="278"/>
    </row>
    <row r="56">
      <c r="A56" s="278"/>
      <c r="B56" s="278"/>
      <c r="C56" s="278"/>
      <c r="D56" s="278"/>
      <c r="E56" s="278"/>
      <c r="F56" s="278"/>
      <c r="G56" s="278"/>
      <c r="H56" s="278"/>
      <c r="I56" s="278"/>
      <c r="J56" s="278"/>
      <c r="K56" s="278"/>
      <c r="L56" s="278"/>
      <c r="M56" s="278"/>
      <c r="N56" s="278"/>
      <c r="O56" s="278"/>
      <c r="P56" s="278"/>
      <c r="Q56" s="278"/>
      <c r="R56" s="278"/>
      <c r="S56" s="278"/>
      <c r="T56" s="278"/>
      <c r="U56" s="278"/>
      <c r="V56" s="278"/>
      <c r="W56" s="278"/>
      <c r="X56" s="278"/>
      <c r="Y56" s="278"/>
      <c r="Z56" s="278"/>
    </row>
    <row r="57">
      <c r="A57" s="278"/>
      <c r="B57" s="278"/>
      <c r="C57" s="278"/>
      <c r="D57" s="278"/>
      <c r="E57" s="278"/>
      <c r="F57" s="278"/>
      <c r="G57" s="278"/>
      <c r="H57" s="278"/>
      <c r="I57" s="278"/>
      <c r="J57" s="278"/>
      <c r="K57" s="278"/>
      <c r="L57" s="278"/>
      <c r="M57" s="278"/>
      <c r="N57" s="278"/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8"/>
    </row>
    <row r="58">
      <c r="A58" s="278"/>
      <c r="B58" s="278"/>
      <c r="C58" s="278"/>
      <c r="D58" s="278"/>
      <c r="E58" s="278"/>
      <c r="F58" s="278"/>
      <c r="G58" s="278"/>
      <c r="H58" s="278"/>
      <c r="I58" s="278"/>
      <c r="J58" s="278"/>
      <c r="K58" s="278"/>
      <c r="L58" s="278"/>
      <c r="M58" s="278"/>
      <c r="N58" s="278"/>
      <c r="O58" s="278"/>
      <c r="P58" s="278"/>
      <c r="Q58" s="278"/>
      <c r="R58" s="278"/>
      <c r="S58" s="278"/>
      <c r="T58" s="278"/>
      <c r="U58" s="278"/>
      <c r="V58" s="278"/>
      <c r="W58" s="278"/>
      <c r="X58" s="278"/>
      <c r="Y58" s="278"/>
      <c r="Z58" s="278"/>
    </row>
    <row r="59">
      <c r="A59" s="278"/>
      <c r="B59" s="278"/>
      <c r="C59" s="278"/>
      <c r="D59" s="278"/>
      <c r="E59" s="278"/>
      <c r="F59" s="278"/>
      <c r="G59" s="278"/>
      <c r="H59" s="278"/>
      <c r="I59" s="278"/>
      <c r="J59" s="278"/>
      <c r="K59" s="278"/>
      <c r="L59" s="278"/>
      <c r="M59" s="278"/>
      <c r="N59" s="278"/>
      <c r="O59" s="278"/>
      <c r="P59" s="278"/>
      <c r="Q59" s="278"/>
      <c r="R59" s="278"/>
      <c r="S59" s="278"/>
      <c r="T59" s="278"/>
      <c r="U59" s="278"/>
      <c r="V59" s="278"/>
      <c r="W59" s="278"/>
      <c r="X59" s="278"/>
      <c r="Y59" s="278"/>
      <c r="Z59" s="278"/>
    </row>
    <row r="60">
      <c r="A60" s="278"/>
      <c r="B60" s="278"/>
      <c r="C60" s="278"/>
      <c r="D60" s="278"/>
      <c r="E60" s="278"/>
      <c r="F60" s="278"/>
      <c r="G60" s="278"/>
      <c r="H60" s="278"/>
      <c r="I60" s="278"/>
      <c r="J60" s="278"/>
      <c r="K60" s="278"/>
      <c r="L60" s="278"/>
      <c r="M60" s="278"/>
      <c r="N60" s="278"/>
      <c r="O60" s="278"/>
      <c r="P60" s="278"/>
      <c r="Q60" s="278"/>
      <c r="R60" s="278"/>
      <c r="S60" s="278"/>
      <c r="T60" s="278"/>
      <c r="U60" s="278"/>
      <c r="V60" s="278"/>
      <c r="W60" s="278"/>
      <c r="X60" s="278"/>
      <c r="Y60" s="278"/>
      <c r="Z60" s="278"/>
    </row>
    <row r="61">
      <c r="A61" s="278"/>
      <c r="B61" s="278"/>
      <c r="C61" s="278"/>
      <c r="D61" s="278"/>
      <c r="E61" s="278"/>
      <c r="F61" s="278"/>
      <c r="G61" s="278"/>
      <c r="H61" s="278"/>
      <c r="I61" s="278"/>
      <c r="J61" s="278"/>
      <c r="K61" s="278"/>
      <c r="L61" s="278"/>
      <c r="M61" s="278"/>
      <c r="N61" s="278"/>
      <c r="O61" s="278"/>
      <c r="P61" s="278"/>
      <c r="Q61" s="278"/>
      <c r="R61" s="278"/>
      <c r="S61" s="278"/>
      <c r="T61" s="278"/>
      <c r="U61" s="278"/>
      <c r="V61" s="278"/>
      <c r="W61" s="278"/>
      <c r="X61" s="278"/>
      <c r="Y61" s="278"/>
      <c r="Z61" s="278"/>
    </row>
    <row r="62">
      <c r="A62" s="278"/>
      <c r="B62" s="278"/>
      <c r="C62" s="278"/>
      <c r="D62" s="278"/>
      <c r="E62" s="278"/>
      <c r="F62" s="278"/>
      <c r="G62" s="278"/>
      <c r="H62" s="278"/>
      <c r="I62" s="278"/>
      <c r="J62" s="278"/>
      <c r="K62" s="278"/>
      <c r="L62" s="278"/>
      <c r="M62" s="278"/>
      <c r="N62" s="278"/>
      <c r="O62" s="278"/>
      <c r="P62" s="278"/>
      <c r="Q62" s="278"/>
      <c r="R62" s="278"/>
      <c r="S62" s="278"/>
      <c r="T62" s="278"/>
      <c r="U62" s="278"/>
      <c r="V62" s="278"/>
      <c r="W62" s="278"/>
      <c r="X62" s="278"/>
      <c r="Y62" s="278"/>
      <c r="Z62" s="278"/>
    </row>
    <row r="63">
      <c r="A63" s="278"/>
      <c r="B63" s="278"/>
      <c r="C63" s="278"/>
      <c r="D63" s="278"/>
      <c r="E63" s="278"/>
      <c r="F63" s="278"/>
      <c r="G63" s="278"/>
      <c r="H63" s="278"/>
      <c r="I63" s="278"/>
      <c r="J63" s="278"/>
      <c r="K63" s="278"/>
      <c r="L63" s="278"/>
      <c r="M63" s="278"/>
      <c r="N63" s="278"/>
      <c r="O63" s="278"/>
      <c r="P63" s="278"/>
      <c r="Q63" s="278"/>
      <c r="R63" s="278"/>
      <c r="S63" s="278"/>
      <c r="T63" s="278"/>
      <c r="U63" s="278"/>
      <c r="V63" s="278"/>
      <c r="W63" s="278"/>
      <c r="X63" s="278"/>
      <c r="Y63" s="278"/>
      <c r="Z63" s="278"/>
    </row>
    <row r="64">
      <c r="A64" s="278"/>
      <c r="B64" s="278"/>
      <c r="C64" s="278"/>
      <c r="D64" s="278"/>
      <c r="E64" s="278"/>
      <c r="F64" s="278"/>
      <c r="G64" s="278"/>
      <c r="H64" s="278"/>
      <c r="I64" s="278"/>
      <c r="J64" s="278"/>
      <c r="K64" s="278"/>
      <c r="L64" s="278"/>
      <c r="M64" s="278"/>
      <c r="N64" s="278"/>
      <c r="O64" s="278"/>
      <c r="P64" s="278"/>
      <c r="Q64" s="278"/>
      <c r="R64" s="278"/>
      <c r="S64" s="278"/>
      <c r="T64" s="278"/>
      <c r="U64" s="278"/>
      <c r="V64" s="278"/>
      <c r="W64" s="278"/>
      <c r="X64" s="278"/>
      <c r="Y64" s="278"/>
      <c r="Z64" s="278"/>
    </row>
    <row r="65">
      <c r="A65" s="278"/>
      <c r="B65" s="278"/>
      <c r="C65" s="278"/>
      <c r="D65" s="278"/>
      <c r="E65" s="278"/>
      <c r="F65" s="278"/>
      <c r="G65" s="278"/>
      <c r="H65" s="278"/>
      <c r="I65" s="278"/>
      <c r="J65" s="278"/>
      <c r="K65" s="278"/>
      <c r="L65" s="278"/>
      <c r="M65" s="278"/>
      <c r="N65" s="278"/>
      <c r="O65" s="278"/>
      <c r="P65" s="278"/>
      <c r="Q65" s="278"/>
      <c r="R65" s="278"/>
      <c r="S65" s="278"/>
      <c r="T65" s="278"/>
      <c r="U65" s="278"/>
      <c r="V65" s="278"/>
      <c r="W65" s="278"/>
      <c r="X65" s="278"/>
      <c r="Y65" s="278"/>
      <c r="Z65" s="278"/>
    </row>
    <row r="66">
      <c r="A66" s="278"/>
      <c r="B66" s="278"/>
      <c r="C66" s="278"/>
      <c r="D66" s="278"/>
      <c r="E66" s="278"/>
      <c r="F66" s="278"/>
      <c r="G66" s="278"/>
      <c r="H66" s="278"/>
      <c r="I66" s="278"/>
      <c r="J66" s="278"/>
      <c r="K66" s="278"/>
      <c r="L66" s="278"/>
      <c r="M66" s="278"/>
      <c r="N66" s="278"/>
      <c r="O66" s="278"/>
      <c r="P66" s="278"/>
      <c r="Q66" s="278"/>
      <c r="R66" s="278"/>
      <c r="S66" s="278"/>
      <c r="T66" s="278"/>
      <c r="U66" s="278"/>
      <c r="V66" s="278"/>
      <c r="W66" s="278"/>
      <c r="X66" s="278"/>
      <c r="Y66" s="278"/>
      <c r="Z66" s="278"/>
    </row>
    <row r="67">
      <c r="A67" s="278"/>
      <c r="B67" s="278"/>
      <c r="C67" s="278"/>
      <c r="D67" s="278"/>
      <c r="E67" s="278"/>
      <c r="F67" s="278"/>
      <c r="G67" s="278"/>
      <c r="H67" s="278"/>
      <c r="I67" s="278"/>
      <c r="J67" s="278"/>
      <c r="K67" s="278"/>
      <c r="L67" s="278"/>
      <c r="M67" s="278"/>
      <c r="N67" s="278"/>
      <c r="O67" s="278"/>
      <c r="P67" s="278"/>
      <c r="Q67" s="278"/>
      <c r="R67" s="278"/>
      <c r="S67" s="278"/>
      <c r="T67" s="278"/>
      <c r="U67" s="278"/>
      <c r="V67" s="278"/>
      <c r="W67" s="278"/>
      <c r="X67" s="278"/>
      <c r="Y67" s="278"/>
      <c r="Z67" s="278"/>
    </row>
    <row r="68">
      <c r="A68" s="278"/>
      <c r="B68" s="278"/>
      <c r="C68" s="278"/>
      <c r="D68" s="278"/>
      <c r="E68" s="278"/>
      <c r="F68" s="278"/>
      <c r="G68" s="278"/>
      <c r="H68" s="278"/>
      <c r="I68" s="278"/>
      <c r="J68" s="278"/>
      <c r="K68" s="278"/>
      <c r="L68" s="278"/>
      <c r="M68" s="278"/>
      <c r="N68" s="278"/>
      <c r="O68" s="278"/>
      <c r="P68" s="278"/>
      <c r="Q68" s="278"/>
      <c r="R68" s="278"/>
      <c r="S68" s="278"/>
      <c r="T68" s="278"/>
      <c r="U68" s="278"/>
      <c r="V68" s="278"/>
      <c r="W68" s="278"/>
      <c r="X68" s="278"/>
      <c r="Y68" s="278"/>
      <c r="Z68" s="278"/>
    </row>
    <row r="69">
      <c r="A69" s="278"/>
      <c r="B69" s="278"/>
      <c r="C69" s="278"/>
      <c r="D69" s="278"/>
      <c r="E69" s="278"/>
      <c r="F69" s="278"/>
      <c r="G69" s="278"/>
      <c r="H69" s="278"/>
      <c r="I69" s="278"/>
      <c r="J69" s="278"/>
      <c r="K69" s="278"/>
      <c r="L69" s="278"/>
      <c r="M69" s="278"/>
      <c r="N69" s="278"/>
      <c r="O69" s="278"/>
      <c r="P69" s="278"/>
      <c r="Q69" s="278"/>
      <c r="R69" s="278"/>
      <c r="S69" s="278"/>
      <c r="T69" s="278"/>
      <c r="U69" s="278"/>
      <c r="V69" s="278"/>
      <c r="W69" s="278"/>
      <c r="X69" s="278"/>
      <c r="Y69" s="278"/>
      <c r="Z69" s="278"/>
    </row>
    <row r="70">
      <c r="A70" s="278"/>
      <c r="B70" s="278"/>
      <c r="C70" s="278"/>
      <c r="D70" s="278"/>
      <c r="E70" s="278"/>
      <c r="F70" s="278"/>
      <c r="G70" s="278"/>
      <c r="H70" s="278"/>
      <c r="I70" s="278"/>
      <c r="J70" s="278"/>
      <c r="K70" s="278"/>
      <c r="L70" s="278"/>
      <c r="M70" s="278"/>
      <c r="N70" s="278"/>
      <c r="O70" s="278"/>
      <c r="P70" s="278"/>
      <c r="Q70" s="278"/>
      <c r="R70" s="278"/>
      <c r="S70" s="278"/>
      <c r="T70" s="278"/>
      <c r="U70" s="278"/>
      <c r="V70" s="278"/>
      <c r="W70" s="278"/>
      <c r="X70" s="278"/>
      <c r="Y70" s="278"/>
      <c r="Z70" s="278"/>
    </row>
    <row r="71">
      <c r="A71" s="278"/>
      <c r="B71" s="278"/>
      <c r="C71" s="278"/>
      <c r="D71" s="278"/>
      <c r="E71" s="278"/>
      <c r="F71" s="278"/>
      <c r="G71" s="278"/>
      <c r="H71" s="278"/>
      <c r="I71" s="278"/>
      <c r="J71" s="278"/>
      <c r="K71" s="278"/>
      <c r="L71" s="278"/>
      <c r="M71" s="278"/>
      <c r="N71" s="278"/>
      <c r="O71" s="278"/>
      <c r="P71" s="278"/>
      <c r="Q71" s="278"/>
      <c r="R71" s="278"/>
      <c r="S71" s="278"/>
      <c r="T71" s="278"/>
      <c r="U71" s="278"/>
      <c r="V71" s="278"/>
      <c r="W71" s="278"/>
      <c r="X71" s="278"/>
      <c r="Y71" s="278"/>
      <c r="Z71" s="278"/>
    </row>
    <row r="72">
      <c r="A72" s="278"/>
      <c r="B72" s="278"/>
      <c r="C72" s="278"/>
      <c r="D72" s="278"/>
      <c r="E72" s="278"/>
      <c r="F72" s="278"/>
      <c r="G72" s="278"/>
      <c r="H72" s="278"/>
      <c r="I72" s="278"/>
      <c r="J72" s="278"/>
      <c r="K72" s="278"/>
      <c r="L72" s="278"/>
      <c r="M72" s="278"/>
      <c r="N72" s="278"/>
      <c r="O72" s="278"/>
      <c r="P72" s="278"/>
      <c r="Q72" s="278"/>
      <c r="R72" s="278"/>
      <c r="S72" s="278"/>
      <c r="T72" s="278"/>
      <c r="U72" s="278"/>
      <c r="V72" s="278"/>
      <c r="W72" s="278"/>
      <c r="X72" s="278"/>
      <c r="Y72" s="278"/>
      <c r="Z72" s="278"/>
    </row>
    <row r="73">
      <c r="A73" s="278"/>
      <c r="B73" s="278"/>
      <c r="C73" s="278"/>
      <c r="D73" s="278"/>
      <c r="E73" s="278"/>
      <c r="F73" s="278"/>
      <c r="G73" s="278"/>
      <c r="H73" s="278"/>
      <c r="I73" s="278"/>
      <c r="J73" s="278"/>
      <c r="K73" s="278"/>
      <c r="L73" s="278"/>
      <c r="M73" s="278"/>
      <c r="N73" s="278"/>
      <c r="O73" s="278"/>
      <c r="P73" s="278"/>
      <c r="Q73" s="278"/>
      <c r="R73" s="278"/>
      <c r="S73" s="278"/>
      <c r="T73" s="278"/>
      <c r="U73" s="278"/>
      <c r="V73" s="278"/>
      <c r="W73" s="278"/>
      <c r="X73" s="278"/>
      <c r="Y73" s="278"/>
      <c r="Z73" s="278"/>
    </row>
    <row r="74">
      <c r="A74" s="278"/>
      <c r="B74" s="278"/>
      <c r="C74" s="278"/>
      <c r="D74" s="278"/>
      <c r="E74" s="278"/>
      <c r="F74" s="278"/>
      <c r="G74" s="278"/>
      <c r="H74" s="278"/>
      <c r="I74" s="278"/>
      <c r="J74" s="278"/>
      <c r="K74" s="278"/>
      <c r="L74" s="278"/>
      <c r="M74" s="278"/>
      <c r="N74" s="278"/>
      <c r="O74" s="278"/>
      <c r="P74" s="278"/>
      <c r="Q74" s="278"/>
      <c r="R74" s="278"/>
      <c r="S74" s="278"/>
      <c r="T74" s="278"/>
      <c r="U74" s="278"/>
      <c r="V74" s="278"/>
      <c r="W74" s="278"/>
      <c r="X74" s="278"/>
      <c r="Y74" s="278"/>
      <c r="Z74" s="278"/>
    </row>
    <row r="75">
      <c r="A75" s="278"/>
      <c r="B75" s="278"/>
      <c r="C75" s="278"/>
      <c r="D75" s="278"/>
      <c r="E75" s="278"/>
      <c r="F75" s="278"/>
      <c r="G75" s="278"/>
      <c r="H75" s="278"/>
      <c r="I75" s="278"/>
      <c r="J75" s="278"/>
      <c r="K75" s="278"/>
      <c r="L75" s="278"/>
      <c r="M75" s="278"/>
      <c r="N75" s="278"/>
      <c r="O75" s="278"/>
      <c r="P75" s="278"/>
      <c r="Q75" s="278"/>
      <c r="R75" s="278"/>
      <c r="S75" s="278"/>
      <c r="T75" s="278"/>
      <c r="U75" s="278"/>
      <c r="V75" s="278"/>
      <c r="W75" s="278"/>
      <c r="X75" s="278"/>
      <c r="Y75" s="278"/>
      <c r="Z75" s="278"/>
    </row>
    <row r="76">
      <c r="A76" s="278"/>
      <c r="B76" s="278"/>
      <c r="C76" s="278"/>
      <c r="D76" s="278"/>
      <c r="E76" s="278"/>
      <c r="F76" s="278"/>
      <c r="G76" s="278"/>
      <c r="H76" s="278"/>
      <c r="I76" s="278"/>
      <c r="J76" s="278"/>
      <c r="K76" s="278"/>
      <c r="L76" s="278"/>
      <c r="M76" s="278"/>
      <c r="N76" s="278"/>
      <c r="O76" s="278"/>
      <c r="P76" s="278"/>
      <c r="Q76" s="278"/>
      <c r="R76" s="278"/>
      <c r="S76" s="278"/>
      <c r="T76" s="278"/>
      <c r="U76" s="278"/>
      <c r="V76" s="278"/>
      <c r="W76" s="278"/>
      <c r="X76" s="278"/>
      <c r="Y76" s="278"/>
      <c r="Z76" s="278"/>
    </row>
    <row r="77">
      <c r="A77" s="278"/>
      <c r="B77" s="278"/>
      <c r="C77" s="278"/>
      <c r="D77" s="278"/>
      <c r="E77" s="278"/>
      <c r="F77" s="278"/>
      <c r="G77" s="278"/>
      <c r="H77" s="278"/>
      <c r="I77" s="278"/>
      <c r="J77" s="278"/>
      <c r="K77" s="278"/>
      <c r="L77" s="278"/>
      <c r="M77" s="278"/>
      <c r="N77" s="278"/>
      <c r="O77" s="278"/>
      <c r="P77" s="278"/>
      <c r="Q77" s="278"/>
      <c r="R77" s="278"/>
      <c r="S77" s="278"/>
      <c r="T77" s="278"/>
      <c r="U77" s="278"/>
      <c r="V77" s="278"/>
      <c r="W77" s="278"/>
      <c r="X77" s="278"/>
      <c r="Y77" s="278"/>
      <c r="Z77" s="278"/>
    </row>
    <row r="78">
      <c r="A78" s="278"/>
      <c r="B78" s="278"/>
      <c r="C78" s="278"/>
      <c r="D78" s="278"/>
      <c r="E78" s="278"/>
      <c r="F78" s="278"/>
      <c r="G78" s="278"/>
      <c r="H78" s="278"/>
      <c r="I78" s="278"/>
      <c r="J78" s="278"/>
      <c r="K78" s="278"/>
      <c r="L78" s="278"/>
      <c r="M78" s="278"/>
      <c r="N78" s="278"/>
      <c r="O78" s="278"/>
      <c r="P78" s="278"/>
      <c r="Q78" s="278"/>
      <c r="R78" s="278"/>
      <c r="S78" s="278"/>
      <c r="T78" s="278"/>
      <c r="U78" s="278"/>
      <c r="V78" s="278"/>
      <c r="W78" s="278"/>
      <c r="X78" s="278"/>
      <c r="Y78" s="278"/>
      <c r="Z78" s="278"/>
    </row>
    <row r="79">
      <c r="A79" s="278"/>
      <c r="B79" s="278"/>
      <c r="C79" s="278"/>
      <c r="D79" s="278"/>
      <c r="E79" s="278"/>
      <c r="F79" s="278"/>
      <c r="G79" s="278"/>
      <c r="H79" s="278"/>
      <c r="I79" s="278"/>
      <c r="J79" s="278"/>
      <c r="K79" s="278"/>
      <c r="L79" s="278"/>
      <c r="M79" s="278"/>
      <c r="N79" s="278"/>
      <c r="O79" s="278"/>
      <c r="P79" s="278"/>
      <c r="Q79" s="278"/>
      <c r="R79" s="278"/>
      <c r="S79" s="278"/>
      <c r="T79" s="278"/>
      <c r="U79" s="278"/>
      <c r="V79" s="278"/>
      <c r="W79" s="278"/>
      <c r="X79" s="278"/>
      <c r="Y79" s="278"/>
      <c r="Z79" s="278"/>
    </row>
    <row r="80">
      <c r="A80" s="278"/>
      <c r="B80" s="278"/>
      <c r="C80" s="278"/>
      <c r="D80" s="278"/>
      <c r="E80" s="278"/>
      <c r="F80" s="278"/>
      <c r="G80" s="278"/>
      <c r="H80" s="278"/>
      <c r="I80" s="278"/>
      <c r="J80" s="278"/>
      <c r="K80" s="278"/>
      <c r="L80" s="278"/>
      <c r="M80" s="278"/>
      <c r="N80" s="278"/>
      <c r="O80" s="278"/>
      <c r="P80" s="278"/>
      <c r="Q80" s="278"/>
      <c r="R80" s="278"/>
      <c r="S80" s="278"/>
      <c r="T80" s="278"/>
      <c r="U80" s="278"/>
      <c r="V80" s="278"/>
      <c r="W80" s="278"/>
      <c r="X80" s="278"/>
      <c r="Y80" s="278"/>
      <c r="Z80" s="278"/>
    </row>
    <row r="81">
      <c r="A81" s="278"/>
      <c r="B81" s="278"/>
      <c r="C81" s="278"/>
      <c r="D81" s="278"/>
      <c r="E81" s="278"/>
      <c r="F81" s="278"/>
      <c r="G81" s="278"/>
      <c r="H81" s="278"/>
      <c r="I81" s="278"/>
      <c r="J81" s="278"/>
      <c r="K81" s="278"/>
      <c r="L81" s="278"/>
      <c r="M81" s="278"/>
      <c r="N81" s="278"/>
      <c r="O81" s="278"/>
      <c r="P81" s="278"/>
      <c r="Q81" s="278"/>
      <c r="R81" s="278"/>
      <c r="S81" s="278"/>
      <c r="T81" s="278"/>
      <c r="U81" s="278"/>
      <c r="V81" s="278"/>
      <c r="W81" s="278"/>
      <c r="X81" s="278"/>
      <c r="Y81" s="278"/>
      <c r="Z81" s="278"/>
    </row>
    <row r="82">
      <c r="A82" s="278"/>
      <c r="B82" s="278"/>
      <c r="C82" s="278"/>
      <c r="D82" s="278"/>
      <c r="E82" s="278"/>
      <c r="F82" s="278"/>
      <c r="G82" s="278"/>
      <c r="H82" s="278"/>
      <c r="I82" s="278"/>
      <c r="J82" s="278"/>
      <c r="K82" s="278"/>
      <c r="L82" s="278"/>
      <c r="M82" s="278"/>
      <c r="N82" s="278"/>
      <c r="O82" s="278"/>
      <c r="P82" s="278"/>
      <c r="Q82" s="278"/>
      <c r="R82" s="278"/>
      <c r="S82" s="278"/>
      <c r="T82" s="278"/>
      <c r="U82" s="278"/>
      <c r="V82" s="278"/>
      <c r="W82" s="278"/>
      <c r="X82" s="278"/>
      <c r="Y82" s="278"/>
      <c r="Z82" s="278"/>
    </row>
    <row r="83">
      <c r="A83" s="278"/>
      <c r="B83" s="278"/>
      <c r="C83" s="278"/>
      <c r="D83" s="278"/>
      <c r="E83" s="278"/>
      <c r="F83" s="278"/>
      <c r="G83" s="278"/>
      <c r="H83" s="278"/>
      <c r="I83" s="278"/>
      <c r="J83" s="278"/>
      <c r="K83" s="278"/>
      <c r="L83" s="278"/>
      <c r="M83" s="278"/>
      <c r="N83" s="278"/>
      <c r="O83" s="278"/>
      <c r="P83" s="278"/>
      <c r="Q83" s="278"/>
      <c r="R83" s="278"/>
      <c r="S83" s="278"/>
      <c r="T83" s="278"/>
      <c r="U83" s="278"/>
      <c r="V83" s="278"/>
      <c r="W83" s="278"/>
      <c r="X83" s="278"/>
      <c r="Y83" s="278"/>
      <c r="Z83" s="278"/>
    </row>
    <row r="84">
      <c r="A84" s="278"/>
      <c r="B84" s="278"/>
      <c r="C84" s="278"/>
      <c r="D84" s="278"/>
      <c r="E84" s="278"/>
      <c r="F84" s="278"/>
      <c r="G84" s="278"/>
      <c r="H84" s="278"/>
      <c r="I84" s="278"/>
      <c r="J84" s="278"/>
      <c r="K84" s="278"/>
      <c r="L84" s="278"/>
      <c r="M84" s="278"/>
      <c r="N84" s="278"/>
      <c r="O84" s="278"/>
      <c r="P84" s="278"/>
      <c r="Q84" s="278"/>
      <c r="R84" s="278"/>
      <c r="S84" s="278"/>
      <c r="T84" s="278"/>
      <c r="U84" s="278"/>
      <c r="V84" s="278"/>
      <c r="W84" s="278"/>
      <c r="X84" s="278"/>
      <c r="Y84" s="278"/>
      <c r="Z84" s="278"/>
    </row>
    <row r="85">
      <c r="A85" s="278"/>
      <c r="B85" s="278"/>
      <c r="C85" s="278"/>
      <c r="D85" s="278"/>
      <c r="E85" s="278"/>
      <c r="F85" s="278"/>
      <c r="G85" s="278"/>
      <c r="H85" s="278"/>
      <c r="I85" s="278"/>
      <c r="J85" s="278"/>
      <c r="K85" s="278"/>
      <c r="L85" s="278"/>
      <c r="M85" s="278"/>
      <c r="N85" s="278"/>
      <c r="O85" s="278"/>
      <c r="P85" s="278"/>
      <c r="Q85" s="278"/>
      <c r="R85" s="278"/>
      <c r="S85" s="278"/>
      <c r="T85" s="278"/>
      <c r="U85" s="278"/>
      <c r="V85" s="278"/>
      <c r="W85" s="278"/>
      <c r="X85" s="278"/>
      <c r="Y85" s="278"/>
      <c r="Z85" s="278"/>
    </row>
    <row r="86">
      <c r="A86" s="278"/>
      <c r="B86" s="278"/>
      <c r="C86" s="278"/>
      <c r="D86" s="278"/>
      <c r="E86" s="278"/>
      <c r="F86" s="278"/>
      <c r="G86" s="278"/>
      <c r="H86" s="278"/>
      <c r="I86" s="278"/>
      <c r="J86" s="278"/>
      <c r="K86" s="278"/>
      <c r="L86" s="278"/>
      <c r="M86" s="278"/>
      <c r="N86" s="278"/>
      <c r="O86" s="278"/>
      <c r="P86" s="278"/>
      <c r="Q86" s="278"/>
      <c r="R86" s="278"/>
      <c r="S86" s="278"/>
      <c r="T86" s="278"/>
      <c r="U86" s="278"/>
      <c r="V86" s="278"/>
      <c r="W86" s="278"/>
      <c r="X86" s="278"/>
      <c r="Y86" s="278"/>
      <c r="Z86" s="278"/>
    </row>
    <row r="87">
      <c r="A87" s="278"/>
      <c r="B87" s="278"/>
      <c r="C87" s="278"/>
      <c r="D87" s="278"/>
      <c r="E87" s="278"/>
      <c r="F87" s="278"/>
      <c r="G87" s="278"/>
      <c r="H87" s="278"/>
      <c r="I87" s="278"/>
      <c r="J87" s="278"/>
      <c r="K87" s="278"/>
      <c r="L87" s="278"/>
      <c r="M87" s="278"/>
      <c r="N87" s="278"/>
      <c r="O87" s="278"/>
      <c r="P87" s="278"/>
      <c r="Q87" s="278"/>
      <c r="R87" s="278"/>
      <c r="S87" s="278"/>
      <c r="T87" s="278"/>
      <c r="U87" s="278"/>
      <c r="V87" s="278"/>
      <c r="W87" s="278"/>
      <c r="X87" s="278"/>
      <c r="Y87" s="278"/>
      <c r="Z87" s="278"/>
    </row>
    <row r="88">
      <c r="A88" s="278"/>
      <c r="B88" s="278"/>
      <c r="C88" s="278"/>
      <c r="D88" s="278"/>
      <c r="E88" s="278"/>
      <c r="F88" s="278"/>
      <c r="G88" s="278"/>
      <c r="H88" s="278"/>
      <c r="I88" s="278"/>
      <c r="J88" s="278"/>
      <c r="K88" s="278"/>
      <c r="L88" s="278"/>
      <c r="M88" s="278"/>
      <c r="N88" s="278"/>
      <c r="O88" s="278"/>
      <c r="P88" s="278"/>
      <c r="Q88" s="278"/>
      <c r="R88" s="278"/>
      <c r="S88" s="278"/>
      <c r="T88" s="278"/>
      <c r="U88" s="278"/>
      <c r="V88" s="278"/>
      <c r="W88" s="278"/>
      <c r="X88" s="278"/>
      <c r="Y88" s="278"/>
      <c r="Z88" s="278"/>
    </row>
    <row r="89">
      <c r="A89" s="278"/>
      <c r="B89" s="278"/>
      <c r="C89" s="278"/>
      <c r="D89" s="278"/>
      <c r="E89" s="278"/>
      <c r="F89" s="278"/>
      <c r="G89" s="278"/>
      <c r="H89" s="278"/>
      <c r="I89" s="278"/>
      <c r="J89" s="278"/>
      <c r="K89" s="278"/>
      <c r="L89" s="278"/>
      <c r="M89" s="278"/>
      <c r="N89" s="278"/>
      <c r="O89" s="278"/>
      <c r="P89" s="278"/>
      <c r="Q89" s="278"/>
      <c r="R89" s="278"/>
      <c r="S89" s="278"/>
      <c r="T89" s="278"/>
      <c r="U89" s="278"/>
      <c r="V89" s="278"/>
      <c r="W89" s="278"/>
      <c r="X89" s="278"/>
      <c r="Y89" s="278"/>
      <c r="Z89" s="278"/>
    </row>
    <row r="90">
      <c r="A90" s="278"/>
      <c r="B90" s="278"/>
      <c r="C90" s="278"/>
      <c r="D90" s="278"/>
      <c r="E90" s="278"/>
      <c r="F90" s="278"/>
      <c r="G90" s="278"/>
      <c r="H90" s="278"/>
      <c r="I90" s="278"/>
      <c r="J90" s="278"/>
      <c r="K90" s="278"/>
      <c r="L90" s="278"/>
      <c r="M90" s="278"/>
      <c r="N90" s="278"/>
      <c r="O90" s="278"/>
      <c r="P90" s="278"/>
      <c r="Q90" s="278"/>
      <c r="R90" s="278"/>
      <c r="S90" s="278"/>
      <c r="T90" s="278"/>
      <c r="U90" s="278"/>
      <c r="V90" s="278"/>
      <c r="W90" s="278"/>
      <c r="X90" s="278"/>
      <c r="Y90" s="278"/>
      <c r="Z90" s="278"/>
    </row>
    <row r="91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U91" s="278"/>
      <c r="V91" s="278"/>
      <c r="W91" s="278"/>
      <c r="X91" s="278"/>
      <c r="Y91" s="278"/>
      <c r="Z91" s="278"/>
    </row>
    <row r="92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U92" s="278"/>
      <c r="V92" s="278"/>
      <c r="W92" s="278"/>
      <c r="X92" s="278"/>
      <c r="Y92" s="278"/>
      <c r="Z92" s="278"/>
    </row>
    <row r="93">
      <c r="A93" s="278"/>
      <c r="B93" s="278"/>
      <c r="C93" s="278"/>
      <c r="D93" s="278"/>
      <c r="E93" s="278"/>
      <c r="F93" s="278"/>
      <c r="G93" s="278"/>
      <c r="H93" s="278"/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U93" s="278"/>
      <c r="V93" s="278"/>
      <c r="W93" s="278"/>
      <c r="X93" s="278"/>
      <c r="Y93" s="278"/>
      <c r="Z93" s="278"/>
    </row>
    <row r="94">
      <c r="A94" s="278"/>
      <c r="B94" s="278"/>
      <c r="C94" s="278"/>
      <c r="D94" s="278"/>
      <c r="E94" s="278"/>
      <c r="F94" s="278"/>
      <c r="G94" s="278"/>
      <c r="H94" s="278"/>
      <c r="I94" s="278"/>
      <c r="J94" s="278"/>
      <c r="K94" s="278"/>
      <c r="L94" s="278"/>
      <c r="M94" s="278"/>
      <c r="N94" s="278"/>
      <c r="O94" s="278"/>
      <c r="P94" s="278"/>
      <c r="Q94" s="278"/>
      <c r="R94" s="278"/>
      <c r="S94" s="278"/>
      <c r="T94" s="278"/>
      <c r="U94" s="278"/>
      <c r="V94" s="278"/>
      <c r="W94" s="278"/>
      <c r="X94" s="278"/>
      <c r="Y94" s="278"/>
      <c r="Z94" s="278"/>
    </row>
    <row r="95">
      <c r="A95" s="278"/>
      <c r="B95" s="278"/>
      <c r="C95" s="278"/>
      <c r="D95" s="278"/>
      <c r="E95" s="278"/>
      <c r="F95" s="278"/>
      <c r="G95" s="278"/>
      <c r="H95" s="278"/>
      <c r="I95" s="278"/>
      <c r="J95" s="278"/>
      <c r="K95" s="278"/>
      <c r="L95" s="278"/>
      <c r="M95" s="278"/>
      <c r="N95" s="278"/>
      <c r="O95" s="278"/>
      <c r="P95" s="278"/>
      <c r="Q95" s="278"/>
      <c r="R95" s="278"/>
      <c r="S95" s="278"/>
      <c r="T95" s="278"/>
      <c r="U95" s="278"/>
      <c r="V95" s="278"/>
      <c r="W95" s="278"/>
      <c r="X95" s="278"/>
      <c r="Y95" s="278"/>
      <c r="Z95" s="278"/>
    </row>
    <row r="96">
      <c r="A96" s="278"/>
      <c r="B96" s="278"/>
      <c r="C96" s="278"/>
      <c r="D96" s="278"/>
      <c r="E96" s="278"/>
      <c r="F96" s="278"/>
      <c r="G96" s="278"/>
      <c r="H96" s="278"/>
      <c r="I96" s="278"/>
      <c r="J96" s="278"/>
      <c r="K96" s="278"/>
      <c r="L96" s="278"/>
      <c r="M96" s="278"/>
      <c r="N96" s="278"/>
      <c r="O96" s="278"/>
      <c r="P96" s="278"/>
      <c r="Q96" s="278"/>
      <c r="R96" s="278"/>
      <c r="S96" s="278"/>
      <c r="T96" s="278"/>
      <c r="U96" s="278"/>
      <c r="V96" s="278"/>
      <c r="W96" s="278"/>
      <c r="X96" s="278"/>
      <c r="Y96" s="278"/>
      <c r="Z96" s="278"/>
    </row>
    <row r="97">
      <c r="A97" s="278"/>
      <c r="B97" s="278"/>
      <c r="C97" s="278"/>
      <c r="D97" s="278"/>
      <c r="E97" s="278"/>
      <c r="F97" s="278"/>
      <c r="G97" s="278"/>
      <c r="H97" s="278"/>
      <c r="I97" s="278"/>
      <c r="J97" s="278"/>
      <c r="K97" s="278"/>
      <c r="L97" s="278"/>
      <c r="M97" s="278"/>
      <c r="N97" s="278"/>
      <c r="O97" s="278"/>
      <c r="P97" s="278"/>
      <c r="Q97" s="278"/>
      <c r="R97" s="278"/>
      <c r="S97" s="278"/>
      <c r="T97" s="278"/>
      <c r="U97" s="278"/>
      <c r="V97" s="278"/>
      <c r="W97" s="278"/>
      <c r="X97" s="278"/>
      <c r="Y97" s="278"/>
      <c r="Z97" s="278"/>
    </row>
    <row r="98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278"/>
      <c r="S98" s="278"/>
      <c r="T98" s="278"/>
      <c r="U98" s="278"/>
      <c r="V98" s="278"/>
      <c r="W98" s="278"/>
      <c r="X98" s="278"/>
      <c r="Y98" s="278"/>
      <c r="Z98" s="278"/>
    </row>
    <row r="99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278"/>
      <c r="S99" s="278"/>
      <c r="T99" s="278"/>
      <c r="U99" s="278"/>
      <c r="V99" s="278"/>
      <c r="W99" s="278"/>
      <c r="X99" s="278"/>
      <c r="Y99" s="278"/>
      <c r="Z99" s="278"/>
    </row>
    <row r="100">
      <c r="A100" s="278"/>
      <c r="B100" s="278"/>
      <c r="C100" s="278"/>
      <c r="D100" s="278"/>
      <c r="E100" s="278"/>
      <c r="F100" s="278"/>
      <c r="G100" s="278"/>
      <c r="H100" s="278"/>
      <c r="I100" s="278"/>
      <c r="J100" s="278"/>
      <c r="K100" s="278"/>
      <c r="L100" s="278"/>
      <c r="M100" s="278"/>
      <c r="N100" s="278"/>
      <c r="O100" s="278"/>
      <c r="P100" s="278"/>
      <c r="Q100" s="278"/>
      <c r="R100" s="278"/>
      <c r="S100" s="278"/>
      <c r="T100" s="278"/>
      <c r="U100" s="278"/>
      <c r="V100" s="278"/>
      <c r="W100" s="278"/>
      <c r="X100" s="278"/>
      <c r="Y100" s="278"/>
      <c r="Z100" s="278"/>
    </row>
    <row r="101">
      <c r="A101" s="278"/>
      <c r="B101" s="278"/>
      <c r="C101" s="278"/>
      <c r="D101" s="278"/>
      <c r="E101" s="278"/>
      <c r="F101" s="278"/>
      <c r="G101" s="278"/>
      <c r="H101" s="278"/>
      <c r="I101" s="278"/>
      <c r="J101" s="278"/>
      <c r="K101" s="278"/>
      <c r="L101" s="278"/>
      <c r="M101" s="278"/>
      <c r="N101" s="278"/>
      <c r="O101" s="278"/>
      <c r="P101" s="278"/>
      <c r="Q101" s="278"/>
      <c r="R101" s="278"/>
      <c r="S101" s="278"/>
      <c r="T101" s="278"/>
      <c r="U101" s="278"/>
      <c r="V101" s="278"/>
      <c r="W101" s="278"/>
      <c r="X101" s="278"/>
      <c r="Y101" s="278"/>
      <c r="Z101" s="278"/>
    </row>
    <row r="102">
      <c r="A102" s="278"/>
      <c r="B102" s="278"/>
      <c r="C102" s="278"/>
      <c r="D102" s="278"/>
      <c r="E102" s="278"/>
      <c r="F102" s="278"/>
      <c r="G102" s="278"/>
      <c r="H102" s="278"/>
      <c r="I102" s="278"/>
      <c r="J102" s="278"/>
      <c r="K102" s="278"/>
      <c r="L102" s="278"/>
      <c r="M102" s="278"/>
      <c r="N102" s="278"/>
      <c r="O102" s="278"/>
      <c r="P102" s="278"/>
      <c r="Q102" s="278"/>
      <c r="R102" s="278"/>
      <c r="S102" s="278"/>
      <c r="T102" s="278"/>
      <c r="U102" s="278"/>
      <c r="V102" s="278"/>
      <c r="W102" s="278"/>
      <c r="X102" s="278"/>
      <c r="Y102" s="278"/>
      <c r="Z102" s="278"/>
    </row>
    <row r="103">
      <c r="A103" s="278"/>
      <c r="B103" s="278"/>
      <c r="C103" s="278"/>
      <c r="D103" s="278"/>
      <c r="E103" s="278"/>
      <c r="F103" s="278"/>
      <c r="G103" s="278"/>
      <c r="H103" s="278"/>
      <c r="I103" s="278"/>
      <c r="J103" s="278"/>
      <c r="K103" s="278"/>
      <c r="L103" s="278"/>
      <c r="M103" s="278"/>
      <c r="N103" s="278"/>
      <c r="O103" s="278"/>
      <c r="P103" s="278"/>
      <c r="Q103" s="278"/>
      <c r="R103" s="278"/>
      <c r="S103" s="278"/>
      <c r="T103" s="278"/>
      <c r="U103" s="278"/>
      <c r="V103" s="278"/>
      <c r="W103" s="278"/>
      <c r="X103" s="278"/>
      <c r="Y103" s="278"/>
      <c r="Z103" s="278"/>
    </row>
    <row r="104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278"/>
      <c r="L104" s="278"/>
      <c r="M104" s="278"/>
      <c r="N104" s="278"/>
      <c r="O104" s="278"/>
      <c r="P104" s="278"/>
      <c r="Q104" s="278"/>
      <c r="R104" s="278"/>
      <c r="S104" s="278"/>
      <c r="T104" s="278"/>
      <c r="U104" s="278"/>
      <c r="V104" s="278"/>
      <c r="W104" s="278"/>
      <c r="X104" s="278"/>
      <c r="Y104" s="278"/>
      <c r="Z104" s="278"/>
    </row>
    <row r="105">
      <c r="A105" s="278"/>
      <c r="B105" s="278"/>
      <c r="C105" s="278"/>
      <c r="D105" s="278"/>
      <c r="E105" s="278"/>
      <c r="F105" s="278"/>
      <c r="G105" s="278"/>
      <c r="H105" s="278"/>
      <c r="I105" s="278"/>
      <c r="J105" s="278"/>
      <c r="K105" s="278"/>
      <c r="L105" s="278"/>
      <c r="M105" s="278"/>
      <c r="N105" s="278"/>
      <c r="O105" s="278"/>
      <c r="P105" s="278"/>
      <c r="Q105" s="278"/>
      <c r="R105" s="278"/>
      <c r="S105" s="278"/>
      <c r="T105" s="278"/>
      <c r="U105" s="278"/>
      <c r="V105" s="278"/>
      <c r="W105" s="278"/>
      <c r="X105" s="278"/>
      <c r="Y105" s="278"/>
      <c r="Z105" s="278"/>
    </row>
    <row r="106">
      <c r="A106" s="278"/>
      <c r="B106" s="278"/>
      <c r="C106" s="278"/>
      <c r="D106" s="278"/>
      <c r="E106" s="278"/>
      <c r="F106" s="278"/>
      <c r="G106" s="278"/>
      <c r="H106" s="278"/>
      <c r="I106" s="278"/>
      <c r="J106" s="278"/>
      <c r="K106" s="278"/>
      <c r="L106" s="278"/>
      <c r="M106" s="278"/>
      <c r="N106" s="278"/>
      <c r="O106" s="278"/>
      <c r="P106" s="278"/>
      <c r="Q106" s="278"/>
      <c r="R106" s="278"/>
      <c r="S106" s="278"/>
      <c r="T106" s="278"/>
      <c r="U106" s="278"/>
      <c r="V106" s="278"/>
      <c r="W106" s="278"/>
      <c r="X106" s="278"/>
      <c r="Y106" s="278"/>
      <c r="Z106" s="278"/>
    </row>
    <row r="107">
      <c r="A107" s="278"/>
      <c r="B107" s="278"/>
      <c r="C107" s="278"/>
      <c r="D107" s="278"/>
      <c r="E107" s="278"/>
      <c r="F107" s="278"/>
      <c r="G107" s="278"/>
      <c r="H107" s="278"/>
      <c r="I107" s="278"/>
      <c r="J107" s="278"/>
      <c r="K107" s="278"/>
      <c r="L107" s="278"/>
      <c r="M107" s="278"/>
      <c r="N107" s="278"/>
      <c r="O107" s="278"/>
      <c r="P107" s="278"/>
      <c r="Q107" s="278"/>
      <c r="R107" s="278"/>
      <c r="S107" s="278"/>
      <c r="T107" s="278"/>
      <c r="U107" s="278"/>
      <c r="V107" s="278"/>
      <c r="W107" s="278"/>
      <c r="X107" s="278"/>
      <c r="Y107" s="278"/>
      <c r="Z107" s="278"/>
    </row>
    <row r="108">
      <c r="A108" s="278"/>
      <c r="B108" s="278"/>
      <c r="C108" s="278"/>
      <c r="D108" s="278"/>
      <c r="E108" s="278"/>
      <c r="F108" s="278"/>
      <c r="G108" s="278"/>
      <c r="H108" s="278"/>
      <c r="I108" s="278"/>
      <c r="J108" s="278"/>
      <c r="K108" s="278"/>
      <c r="L108" s="278"/>
      <c r="M108" s="278"/>
      <c r="N108" s="278"/>
      <c r="O108" s="278"/>
      <c r="P108" s="278"/>
      <c r="Q108" s="278"/>
      <c r="R108" s="278"/>
      <c r="S108" s="278"/>
      <c r="T108" s="278"/>
      <c r="U108" s="278"/>
      <c r="V108" s="278"/>
      <c r="W108" s="278"/>
      <c r="X108" s="278"/>
      <c r="Y108" s="278"/>
      <c r="Z108" s="278"/>
    </row>
    <row r="109">
      <c r="A109" s="278"/>
      <c r="B109" s="278"/>
      <c r="C109" s="278"/>
      <c r="D109" s="278"/>
      <c r="E109" s="278"/>
      <c r="F109" s="278"/>
      <c r="G109" s="278"/>
      <c r="H109" s="278"/>
      <c r="I109" s="278"/>
      <c r="J109" s="278"/>
      <c r="K109" s="278"/>
      <c r="L109" s="278"/>
      <c r="M109" s="278"/>
      <c r="N109" s="278"/>
      <c r="O109" s="278"/>
      <c r="P109" s="278"/>
      <c r="Q109" s="278"/>
      <c r="R109" s="278"/>
      <c r="S109" s="278"/>
      <c r="T109" s="278"/>
      <c r="U109" s="278"/>
      <c r="V109" s="278"/>
      <c r="W109" s="278"/>
      <c r="X109" s="278"/>
      <c r="Y109" s="278"/>
      <c r="Z109" s="278"/>
    </row>
    <row r="110">
      <c r="A110" s="278"/>
      <c r="B110" s="278"/>
      <c r="C110" s="278"/>
      <c r="D110" s="278"/>
      <c r="E110" s="278"/>
      <c r="F110" s="278"/>
      <c r="G110" s="278"/>
      <c r="H110" s="278"/>
      <c r="I110" s="278"/>
      <c r="J110" s="278"/>
      <c r="K110" s="278"/>
      <c r="L110" s="278"/>
      <c r="M110" s="278"/>
      <c r="N110" s="278"/>
      <c r="O110" s="278"/>
      <c r="P110" s="278"/>
      <c r="Q110" s="278"/>
      <c r="R110" s="278"/>
      <c r="S110" s="278"/>
      <c r="T110" s="278"/>
      <c r="U110" s="278"/>
      <c r="V110" s="278"/>
      <c r="W110" s="278"/>
      <c r="X110" s="278"/>
      <c r="Y110" s="278"/>
      <c r="Z110" s="278"/>
    </row>
    <row r="111">
      <c r="A111" s="278"/>
      <c r="B111" s="278"/>
      <c r="C111" s="278"/>
      <c r="D111" s="278"/>
      <c r="E111" s="278"/>
      <c r="F111" s="278"/>
      <c r="G111" s="278"/>
      <c r="H111" s="278"/>
      <c r="I111" s="278"/>
      <c r="J111" s="278"/>
      <c r="K111" s="278"/>
      <c r="L111" s="278"/>
      <c r="M111" s="278"/>
      <c r="N111" s="278"/>
      <c r="O111" s="278"/>
      <c r="P111" s="278"/>
      <c r="Q111" s="278"/>
      <c r="R111" s="278"/>
      <c r="S111" s="278"/>
      <c r="T111" s="278"/>
      <c r="U111" s="278"/>
      <c r="V111" s="278"/>
      <c r="W111" s="278"/>
      <c r="X111" s="278"/>
      <c r="Y111" s="278"/>
      <c r="Z111" s="278"/>
    </row>
    <row r="112">
      <c r="A112" s="278"/>
      <c r="B112" s="278"/>
      <c r="C112" s="278"/>
      <c r="D112" s="278"/>
      <c r="E112" s="278"/>
      <c r="F112" s="278"/>
      <c r="G112" s="278"/>
      <c r="H112" s="278"/>
      <c r="I112" s="278"/>
      <c r="J112" s="278"/>
      <c r="K112" s="278"/>
      <c r="L112" s="278"/>
      <c r="M112" s="278"/>
      <c r="N112" s="278"/>
      <c r="O112" s="278"/>
      <c r="P112" s="278"/>
      <c r="Q112" s="278"/>
      <c r="R112" s="278"/>
      <c r="S112" s="278"/>
      <c r="T112" s="278"/>
      <c r="U112" s="278"/>
      <c r="V112" s="278"/>
      <c r="W112" s="278"/>
      <c r="X112" s="278"/>
      <c r="Y112" s="278"/>
      <c r="Z112" s="278"/>
    </row>
    <row r="113">
      <c r="A113" s="278"/>
      <c r="B113" s="278"/>
      <c r="C113" s="278"/>
      <c r="D113" s="278"/>
      <c r="E113" s="278"/>
      <c r="F113" s="278"/>
      <c r="G113" s="278"/>
      <c r="H113" s="278"/>
      <c r="I113" s="278"/>
      <c r="J113" s="278"/>
      <c r="K113" s="278"/>
      <c r="L113" s="278"/>
      <c r="M113" s="278"/>
      <c r="N113" s="278"/>
      <c r="O113" s="278"/>
      <c r="P113" s="278"/>
      <c r="Q113" s="278"/>
      <c r="R113" s="278"/>
      <c r="S113" s="278"/>
      <c r="T113" s="278"/>
      <c r="U113" s="278"/>
      <c r="V113" s="278"/>
      <c r="W113" s="278"/>
      <c r="X113" s="278"/>
      <c r="Y113" s="278"/>
      <c r="Z113" s="278"/>
    </row>
    <row r="114">
      <c r="A114" s="278"/>
      <c r="B114" s="278"/>
      <c r="C114" s="278"/>
      <c r="D114" s="278"/>
      <c r="E114" s="278"/>
      <c r="F114" s="278"/>
      <c r="G114" s="278"/>
      <c r="H114" s="278"/>
      <c r="I114" s="278"/>
      <c r="J114" s="278"/>
      <c r="K114" s="278"/>
      <c r="L114" s="278"/>
      <c r="M114" s="278"/>
      <c r="N114" s="278"/>
      <c r="O114" s="278"/>
      <c r="P114" s="278"/>
      <c r="Q114" s="278"/>
      <c r="R114" s="278"/>
      <c r="S114" s="278"/>
      <c r="T114" s="278"/>
      <c r="U114" s="278"/>
      <c r="V114" s="278"/>
      <c r="W114" s="278"/>
      <c r="X114" s="278"/>
      <c r="Y114" s="278"/>
      <c r="Z114" s="278"/>
    </row>
    <row r="115">
      <c r="A115" s="278"/>
      <c r="B115" s="278"/>
      <c r="C115" s="278"/>
      <c r="D115" s="278"/>
      <c r="E115" s="278"/>
      <c r="F115" s="278"/>
      <c r="G115" s="278"/>
      <c r="H115" s="278"/>
      <c r="I115" s="278"/>
      <c r="J115" s="278"/>
      <c r="K115" s="278"/>
      <c r="L115" s="278"/>
      <c r="M115" s="278"/>
      <c r="N115" s="278"/>
      <c r="O115" s="278"/>
      <c r="P115" s="278"/>
      <c r="Q115" s="278"/>
      <c r="R115" s="278"/>
      <c r="S115" s="278"/>
      <c r="T115" s="278"/>
      <c r="U115" s="278"/>
      <c r="V115" s="278"/>
      <c r="W115" s="278"/>
      <c r="X115" s="278"/>
      <c r="Y115" s="278"/>
      <c r="Z115" s="278"/>
    </row>
    <row r="116">
      <c r="A116" s="278"/>
      <c r="B116" s="278"/>
      <c r="C116" s="278"/>
      <c r="D116" s="278"/>
      <c r="E116" s="278"/>
      <c r="F116" s="278"/>
      <c r="G116" s="278"/>
      <c r="H116" s="278"/>
      <c r="I116" s="278"/>
      <c r="J116" s="278"/>
      <c r="K116" s="278"/>
      <c r="L116" s="278"/>
      <c r="M116" s="278"/>
      <c r="N116" s="278"/>
      <c r="O116" s="278"/>
      <c r="P116" s="278"/>
      <c r="Q116" s="278"/>
      <c r="R116" s="278"/>
      <c r="S116" s="278"/>
      <c r="T116" s="278"/>
      <c r="U116" s="278"/>
      <c r="V116" s="278"/>
      <c r="W116" s="278"/>
      <c r="X116" s="278"/>
      <c r="Y116" s="278"/>
      <c r="Z116" s="278"/>
    </row>
    <row r="117">
      <c r="A117" s="278"/>
      <c r="B117" s="278"/>
      <c r="C117" s="278"/>
      <c r="D117" s="278"/>
      <c r="E117" s="278"/>
      <c r="F117" s="278"/>
      <c r="G117" s="278"/>
      <c r="H117" s="278"/>
      <c r="I117" s="278"/>
      <c r="J117" s="278"/>
      <c r="K117" s="278"/>
      <c r="L117" s="278"/>
      <c r="M117" s="278"/>
      <c r="N117" s="278"/>
      <c r="O117" s="278"/>
      <c r="P117" s="278"/>
      <c r="Q117" s="278"/>
      <c r="R117" s="278"/>
      <c r="S117" s="278"/>
      <c r="T117" s="278"/>
      <c r="U117" s="278"/>
      <c r="V117" s="278"/>
      <c r="W117" s="278"/>
      <c r="X117" s="278"/>
      <c r="Y117" s="278"/>
      <c r="Z117" s="278"/>
    </row>
    <row r="118">
      <c r="A118" s="278"/>
      <c r="B118" s="278"/>
      <c r="C118" s="278"/>
      <c r="D118" s="278"/>
      <c r="E118" s="278"/>
      <c r="F118" s="278"/>
      <c r="G118" s="278"/>
      <c r="H118" s="278"/>
      <c r="I118" s="278"/>
      <c r="J118" s="278"/>
      <c r="K118" s="278"/>
      <c r="L118" s="278"/>
      <c r="M118" s="278"/>
      <c r="N118" s="278"/>
      <c r="O118" s="278"/>
      <c r="P118" s="278"/>
      <c r="Q118" s="278"/>
      <c r="R118" s="278"/>
      <c r="S118" s="278"/>
      <c r="T118" s="278"/>
      <c r="U118" s="278"/>
      <c r="V118" s="278"/>
      <c r="W118" s="278"/>
      <c r="X118" s="278"/>
      <c r="Y118" s="278"/>
      <c r="Z118" s="278"/>
    </row>
    <row r="119">
      <c r="A119" s="278"/>
      <c r="B119" s="278"/>
      <c r="C119" s="278"/>
      <c r="D119" s="278"/>
      <c r="E119" s="278"/>
      <c r="F119" s="278"/>
      <c r="G119" s="278"/>
      <c r="H119" s="278"/>
      <c r="I119" s="278"/>
      <c r="J119" s="278"/>
      <c r="K119" s="278"/>
      <c r="L119" s="278"/>
      <c r="M119" s="278"/>
      <c r="N119" s="278"/>
      <c r="O119" s="278"/>
      <c r="P119" s="278"/>
      <c r="Q119" s="278"/>
      <c r="R119" s="278"/>
      <c r="S119" s="278"/>
      <c r="T119" s="278"/>
      <c r="U119" s="278"/>
      <c r="V119" s="278"/>
      <c r="W119" s="278"/>
      <c r="X119" s="278"/>
      <c r="Y119" s="278"/>
      <c r="Z119" s="278"/>
    </row>
    <row r="120">
      <c r="A120" s="278"/>
      <c r="B120" s="278"/>
      <c r="C120" s="278"/>
      <c r="D120" s="278"/>
      <c r="E120" s="278"/>
      <c r="F120" s="278"/>
      <c r="G120" s="278"/>
      <c r="H120" s="278"/>
      <c r="I120" s="278"/>
      <c r="J120" s="278"/>
      <c r="K120" s="278"/>
      <c r="L120" s="278"/>
      <c r="M120" s="278"/>
      <c r="N120" s="278"/>
      <c r="O120" s="278"/>
      <c r="P120" s="278"/>
      <c r="Q120" s="278"/>
      <c r="R120" s="278"/>
      <c r="S120" s="278"/>
      <c r="T120" s="278"/>
      <c r="U120" s="278"/>
      <c r="V120" s="278"/>
      <c r="W120" s="278"/>
      <c r="X120" s="278"/>
      <c r="Y120" s="278"/>
      <c r="Z120" s="278"/>
    </row>
    <row r="121">
      <c r="A121" s="278"/>
      <c r="B121" s="278"/>
      <c r="C121" s="278"/>
      <c r="D121" s="278"/>
      <c r="E121" s="278"/>
      <c r="F121" s="278"/>
      <c r="G121" s="278"/>
      <c r="H121" s="278"/>
      <c r="I121" s="278"/>
      <c r="J121" s="278"/>
      <c r="K121" s="278"/>
      <c r="L121" s="278"/>
      <c r="M121" s="278"/>
      <c r="N121" s="278"/>
      <c r="O121" s="278"/>
      <c r="P121" s="278"/>
      <c r="Q121" s="278"/>
      <c r="R121" s="278"/>
      <c r="S121" s="278"/>
      <c r="T121" s="278"/>
      <c r="U121" s="278"/>
      <c r="V121" s="278"/>
      <c r="W121" s="278"/>
      <c r="X121" s="278"/>
      <c r="Y121" s="278"/>
      <c r="Z121" s="278"/>
    </row>
    <row r="122">
      <c r="A122" s="278"/>
      <c r="B122" s="278"/>
      <c r="C122" s="278"/>
      <c r="D122" s="278"/>
      <c r="E122" s="278"/>
      <c r="F122" s="278"/>
      <c r="G122" s="278"/>
      <c r="H122" s="278"/>
      <c r="I122" s="278"/>
      <c r="J122" s="278"/>
      <c r="K122" s="278"/>
      <c r="L122" s="278"/>
      <c r="M122" s="278"/>
      <c r="N122" s="278"/>
      <c r="O122" s="278"/>
      <c r="P122" s="278"/>
      <c r="Q122" s="278"/>
      <c r="R122" s="278"/>
      <c r="S122" s="278"/>
      <c r="T122" s="278"/>
      <c r="U122" s="278"/>
      <c r="V122" s="278"/>
      <c r="W122" s="278"/>
      <c r="X122" s="278"/>
      <c r="Y122" s="278"/>
      <c r="Z122" s="278"/>
    </row>
    <row r="123">
      <c r="A123" s="278"/>
      <c r="B123" s="278"/>
      <c r="C123" s="278"/>
      <c r="D123" s="278"/>
      <c r="E123" s="278"/>
      <c r="F123" s="278"/>
      <c r="G123" s="278"/>
      <c r="H123" s="278"/>
      <c r="I123" s="278"/>
      <c r="J123" s="278"/>
      <c r="K123" s="278"/>
      <c r="L123" s="278"/>
      <c r="M123" s="278"/>
      <c r="N123" s="278"/>
      <c r="O123" s="278"/>
      <c r="P123" s="278"/>
      <c r="Q123" s="278"/>
      <c r="R123" s="278"/>
      <c r="S123" s="278"/>
      <c r="T123" s="278"/>
      <c r="U123" s="278"/>
      <c r="V123" s="278"/>
      <c r="W123" s="278"/>
      <c r="X123" s="278"/>
      <c r="Y123" s="278"/>
      <c r="Z123" s="278"/>
    </row>
    <row r="124">
      <c r="A124" s="278"/>
      <c r="B124" s="278"/>
      <c r="C124" s="278"/>
      <c r="D124" s="278"/>
      <c r="E124" s="278"/>
      <c r="F124" s="278"/>
      <c r="G124" s="278"/>
      <c r="H124" s="278"/>
      <c r="I124" s="278"/>
      <c r="J124" s="278"/>
      <c r="K124" s="278"/>
      <c r="L124" s="278"/>
      <c r="M124" s="278"/>
      <c r="N124" s="278"/>
      <c r="O124" s="278"/>
      <c r="P124" s="278"/>
      <c r="Q124" s="278"/>
      <c r="R124" s="278"/>
      <c r="S124" s="278"/>
      <c r="T124" s="278"/>
      <c r="U124" s="278"/>
      <c r="V124" s="278"/>
      <c r="W124" s="278"/>
      <c r="X124" s="278"/>
      <c r="Y124" s="278"/>
      <c r="Z124" s="278"/>
    </row>
    <row r="125">
      <c r="A125" s="278"/>
      <c r="B125" s="278"/>
      <c r="C125" s="278"/>
      <c r="D125" s="278"/>
      <c r="E125" s="278"/>
      <c r="F125" s="278"/>
      <c r="G125" s="278"/>
      <c r="H125" s="278"/>
      <c r="I125" s="278"/>
      <c r="J125" s="278"/>
      <c r="K125" s="278"/>
      <c r="L125" s="278"/>
      <c r="M125" s="278"/>
      <c r="N125" s="278"/>
      <c r="O125" s="278"/>
      <c r="P125" s="278"/>
      <c r="Q125" s="278"/>
      <c r="R125" s="278"/>
      <c r="S125" s="278"/>
      <c r="T125" s="278"/>
      <c r="U125" s="278"/>
      <c r="V125" s="278"/>
      <c r="W125" s="278"/>
      <c r="X125" s="278"/>
      <c r="Y125" s="278"/>
      <c r="Z125" s="278"/>
    </row>
    <row r="126">
      <c r="A126" s="278"/>
      <c r="B126" s="278"/>
      <c r="C126" s="278"/>
      <c r="D126" s="278"/>
      <c r="E126" s="278"/>
      <c r="F126" s="278"/>
      <c r="G126" s="278"/>
      <c r="H126" s="278"/>
      <c r="I126" s="278"/>
      <c r="J126" s="278"/>
      <c r="K126" s="278"/>
      <c r="L126" s="278"/>
      <c r="M126" s="278"/>
      <c r="N126" s="278"/>
      <c r="O126" s="278"/>
      <c r="P126" s="278"/>
      <c r="Q126" s="278"/>
      <c r="R126" s="278"/>
      <c r="S126" s="278"/>
      <c r="T126" s="278"/>
      <c r="U126" s="278"/>
      <c r="V126" s="278"/>
      <c r="W126" s="278"/>
      <c r="X126" s="278"/>
      <c r="Y126" s="278"/>
      <c r="Z126" s="278"/>
    </row>
    <row r="127">
      <c r="A127" s="278"/>
      <c r="B127" s="278"/>
      <c r="C127" s="278"/>
      <c r="D127" s="278"/>
      <c r="E127" s="278"/>
      <c r="F127" s="278"/>
      <c r="G127" s="278"/>
      <c r="H127" s="278"/>
      <c r="I127" s="278"/>
      <c r="J127" s="278"/>
      <c r="K127" s="278"/>
      <c r="L127" s="278"/>
      <c r="M127" s="278"/>
      <c r="N127" s="278"/>
      <c r="O127" s="278"/>
      <c r="P127" s="278"/>
      <c r="Q127" s="278"/>
      <c r="R127" s="278"/>
      <c r="S127" s="278"/>
      <c r="T127" s="278"/>
      <c r="U127" s="278"/>
      <c r="V127" s="278"/>
      <c r="W127" s="278"/>
      <c r="X127" s="278"/>
      <c r="Y127" s="278"/>
      <c r="Z127" s="278"/>
    </row>
    <row r="128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R128" s="278"/>
      <c r="S128" s="278"/>
      <c r="T128" s="278"/>
      <c r="U128" s="278"/>
      <c r="V128" s="278"/>
      <c r="W128" s="278"/>
      <c r="X128" s="278"/>
      <c r="Y128" s="278"/>
      <c r="Z128" s="278"/>
    </row>
    <row r="129">
      <c r="A129" s="278"/>
      <c r="B129" s="278"/>
      <c r="C129" s="278"/>
      <c r="D129" s="278"/>
      <c r="E129" s="278"/>
      <c r="F129" s="278"/>
      <c r="G129" s="278"/>
      <c r="H129" s="278"/>
      <c r="I129" s="278"/>
      <c r="J129" s="278"/>
      <c r="K129" s="278"/>
      <c r="L129" s="278"/>
      <c r="M129" s="278"/>
      <c r="N129" s="278"/>
      <c r="O129" s="278"/>
      <c r="P129" s="278"/>
      <c r="Q129" s="278"/>
      <c r="R129" s="278"/>
      <c r="S129" s="278"/>
      <c r="T129" s="278"/>
      <c r="U129" s="278"/>
      <c r="V129" s="278"/>
      <c r="W129" s="278"/>
      <c r="X129" s="278"/>
      <c r="Y129" s="278"/>
      <c r="Z129" s="278"/>
    </row>
    <row r="130">
      <c r="A130" s="278"/>
      <c r="B130" s="278"/>
      <c r="C130" s="278"/>
      <c r="D130" s="278"/>
      <c r="E130" s="278"/>
      <c r="F130" s="278"/>
      <c r="G130" s="278"/>
      <c r="H130" s="278"/>
      <c r="I130" s="278"/>
      <c r="J130" s="278"/>
      <c r="K130" s="278"/>
      <c r="L130" s="278"/>
      <c r="M130" s="278"/>
      <c r="N130" s="278"/>
      <c r="O130" s="278"/>
      <c r="P130" s="278"/>
      <c r="Q130" s="278"/>
      <c r="R130" s="278"/>
      <c r="S130" s="278"/>
      <c r="T130" s="278"/>
      <c r="U130" s="278"/>
      <c r="V130" s="278"/>
      <c r="W130" s="278"/>
      <c r="X130" s="278"/>
      <c r="Y130" s="278"/>
      <c r="Z130" s="278"/>
    </row>
    <row r="131">
      <c r="A131" s="278"/>
      <c r="B131" s="278"/>
      <c r="C131" s="278"/>
      <c r="D131" s="278"/>
      <c r="E131" s="278"/>
      <c r="F131" s="278"/>
      <c r="G131" s="278"/>
      <c r="H131" s="278"/>
      <c r="I131" s="278"/>
      <c r="J131" s="278"/>
      <c r="K131" s="278"/>
      <c r="L131" s="278"/>
      <c r="M131" s="278"/>
      <c r="N131" s="278"/>
      <c r="O131" s="278"/>
      <c r="P131" s="278"/>
      <c r="Q131" s="278"/>
      <c r="R131" s="278"/>
      <c r="S131" s="278"/>
      <c r="T131" s="278"/>
      <c r="U131" s="278"/>
      <c r="V131" s="278"/>
      <c r="W131" s="278"/>
      <c r="X131" s="278"/>
      <c r="Y131" s="278"/>
      <c r="Z131" s="278"/>
    </row>
    <row r="132">
      <c r="A132" s="278"/>
      <c r="B132" s="278"/>
      <c r="C132" s="278"/>
      <c r="D132" s="278"/>
      <c r="E132" s="278"/>
      <c r="F132" s="278"/>
      <c r="G132" s="278"/>
      <c r="H132" s="278"/>
      <c r="I132" s="278"/>
      <c r="J132" s="278"/>
      <c r="K132" s="278"/>
      <c r="L132" s="278"/>
      <c r="M132" s="278"/>
      <c r="N132" s="278"/>
      <c r="O132" s="278"/>
      <c r="P132" s="278"/>
      <c r="Q132" s="278"/>
      <c r="R132" s="278"/>
      <c r="S132" s="278"/>
      <c r="T132" s="278"/>
      <c r="U132" s="278"/>
      <c r="V132" s="278"/>
      <c r="W132" s="278"/>
      <c r="X132" s="278"/>
      <c r="Y132" s="278"/>
      <c r="Z132" s="278"/>
    </row>
    <row r="133">
      <c r="A133" s="278"/>
      <c r="B133" s="278"/>
      <c r="C133" s="278"/>
      <c r="D133" s="278"/>
      <c r="E133" s="278"/>
      <c r="F133" s="278"/>
      <c r="G133" s="278"/>
      <c r="H133" s="278"/>
      <c r="I133" s="278"/>
      <c r="J133" s="278"/>
      <c r="K133" s="278"/>
      <c r="L133" s="278"/>
      <c r="M133" s="278"/>
      <c r="N133" s="278"/>
      <c r="O133" s="278"/>
      <c r="P133" s="278"/>
      <c r="Q133" s="278"/>
      <c r="R133" s="278"/>
      <c r="S133" s="278"/>
      <c r="T133" s="278"/>
      <c r="U133" s="278"/>
      <c r="V133" s="278"/>
      <c r="W133" s="278"/>
      <c r="X133" s="278"/>
      <c r="Y133" s="278"/>
      <c r="Z133" s="278"/>
    </row>
    <row r="134">
      <c r="A134" s="278"/>
      <c r="B134" s="278"/>
      <c r="C134" s="278"/>
      <c r="D134" s="278"/>
      <c r="E134" s="278"/>
      <c r="F134" s="278"/>
      <c r="G134" s="278"/>
      <c r="H134" s="278"/>
      <c r="I134" s="278"/>
      <c r="J134" s="278"/>
      <c r="K134" s="278"/>
      <c r="L134" s="278"/>
      <c r="M134" s="278"/>
      <c r="N134" s="278"/>
      <c r="O134" s="278"/>
      <c r="P134" s="278"/>
      <c r="Q134" s="278"/>
      <c r="R134" s="278"/>
      <c r="S134" s="278"/>
      <c r="T134" s="278"/>
      <c r="U134" s="278"/>
      <c r="V134" s="278"/>
      <c r="W134" s="278"/>
      <c r="X134" s="278"/>
      <c r="Y134" s="278"/>
      <c r="Z134" s="278"/>
    </row>
    <row r="135">
      <c r="A135" s="278"/>
      <c r="B135" s="278"/>
      <c r="C135" s="278"/>
      <c r="D135" s="278"/>
      <c r="E135" s="278"/>
      <c r="F135" s="278"/>
      <c r="G135" s="278"/>
      <c r="H135" s="278"/>
      <c r="I135" s="278"/>
      <c r="J135" s="278"/>
      <c r="K135" s="278"/>
      <c r="L135" s="278"/>
      <c r="M135" s="278"/>
      <c r="N135" s="278"/>
      <c r="O135" s="278"/>
      <c r="P135" s="278"/>
      <c r="Q135" s="278"/>
      <c r="R135" s="278"/>
      <c r="S135" s="278"/>
      <c r="T135" s="278"/>
      <c r="U135" s="278"/>
      <c r="V135" s="278"/>
      <c r="W135" s="278"/>
      <c r="X135" s="278"/>
      <c r="Y135" s="278"/>
      <c r="Z135" s="278"/>
    </row>
    <row r="136">
      <c r="A136" s="278"/>
      <c r="B136" s="278"/>
      <c r="C136" s="278"/>
      <c r="D136" s="278"/>
      <c r="E136" s="278"/>
      <c r="F136" s="278"/>
      <c r="G136" s="278"/>
      <c r="H136" s="278"/>
      <c r="I136" s="278"/>
      <c r="J136" s="278"/>
      <c r="K136" s="278"/>
      <c r="L136" s="278"/>
      <c r="M136" s="278"/>
      <c r="N136" s="278"/>
      <c r="O136" s="278"/>
      <c r="P136" s="278"/>
      <c r="Q136" s="278"/>
      <c r="R136" s="278"/>
      <c r="S136" s="278"/>
      <c r="T136" s="278"/>
      <c r="U136" s="278"/>
      <c r="V136" s="278"/>
      <c r="W136" s="278"/>
      <c r="X136" s="278"/>
      <c r="Y136" s="278"/>
      <c r="Z136" s="278"/>
    </row>
    <row r="137">
      <c r="A137" s="278"/>
      <c r="B137" s="278"/>
      <c r="C137" s="278"/>
      <c r="D137" s="278"/>
      <c r="E137" s="278"/>
      <c r="F137" s="278"/>
      <c r="G137" s="278"/>
      <c r="H137" s="278"/>
      <c r="I137" s="278"/>
      <c r="J137" s="278"/>
      <c r="K137" s="278"/>
      <c r="L137" s="278"/>
      <c r="M137" s="278"/>
      <c r="N137" s="278"/>
      <c r="O137" s="278"/>
      <c r="P137" s="278"/>
      <c r="Q137" s="278"/>
      <c r="R137" s="278"/>
      <c r="S137" s="278"/>
      <c r="T137" s="278"/>
      <c r="U137" s="278"/>
      <c r="V137" s="278"/>
      <c r="W137" s="278"/>
      <c r="X137" s="278"/>
      <c r="Y137" s="278"/>
      <c r="Z137" s="278"/>
    </row>
    <row r="138">
      <c r="A138" s="278"/>
      <c r="B138" s="278"/>
      <c r="C138" s="278"/>
      <c r="D138" s="278"/>
      <c r="E138" s="278"/>
      <c r="F138" s="278"/>
      <c r="G138" s="278"/>
      <c r="H138" s="278"/>
      <c r="I138" s="278"/>
      <c r="J138" s="278"/>
      <c r="K138" s="278"/>
      <c r="L138" s="278"/>
      <c r="M138" s="278"/>
      <c r="N138" s="278"/>
      <c r="O138" s="278"/>
      <c r="P138" s="278"/>
      <c r="Q138" s="278"/>
      <c r="R138" s="278"/>
      <c r="S138" s="278"/>
      <c r="T138" s="278"/>
      <c r="U138" s="278"/>
      <c r="V138" s="278"/>
      <c r="W138" s="278"/>
      <c r="X138" s="278"/>
      <c r="Y138" s="278"/>
      <c r="Z138" s="278"/>
    </row>
    <row r="139">
      <c r="A139" s="278"/>
      <c r="B139" s="278"/>
      <c r="C139" s="278"/>
      <c r="D139" s="278"/>
      <c r="E139" s="278"/>
      <c r="F139" s="278"/>
      <c r="G139" s="278"/>
      <c r="H139" s="278"/>
      <c r="I139" s="278"/>
      <c r="J139" s="278"/>
      <c r="K139" s="278"/>
      <c r="L139" s="278"/>
      <c r="M139" s="278"/>
      <c r="N139" s="278"/>
      <c r="O139" s="278"/>
      <c r="P139" s="278"/>
      <c r="Q139" s="278"/>
      <c r="R139" s="278"/>
      <c r="S139" s="278"/>
      <c r="T139" s="278"/>
      <c r="U139" s="278"/>
      <c r="V139" s="278"/>
      <c r="W139" s="278"/>
      <c r="X139" s="278"/>
      <c r="Y139" s="278"/>
      <c r="Z139" s="278"/>
    </row>
    <row r="140">
      <c r="A140" s="278"/>
      <c r="B140" s="278"/>
      <c r="C140" s="278"/>
      <c r="D140" s="278"/>
      <c r="E140" s="278"/>
      <c r="F140" s="278"/>
      <c r="G140" s="278"/>
      <c r="H140" s="278"/>
      <c r="I140" s="278"/>
      <c r="J140" s="278"/>
      <c r="K140" s="278"/>
      <c r="L140" s="278"/>
      <c r="M140" s="278"/>
      <c r="N140" s="278"/>
      <c r="O140" s="278"/>
      <c r="P140" s="278"/>
      <c r="Q140" s="278"/>
      <c r="R140" s="278"/>
      <c r="S140" s="278"/>
      <c r="T140" s="278"/>
      <c r="U140" s="278"/>
      <c r="V140" s="278"/>
      <c r="W140" s="278"/>
      <c r="X140" s="278"/>
      <c r="Y140" s="278"/>
      <c r="Z140" s="278"/>
    </row>
    <row r="141">
      <c r="A141" s="278"/>
      <c r="B141" s="278"/>
      <c r="C141" s="278"/>
      <c r="D141" s="278"/>
      <c r="E141" s="278"/>
      <c r="F141" s="278"/>
      <c r="G141" s="278"/>
      <c r="H141" s="278"/>
      <c r="I141" s="278"/>
      <c r="J141" s="278"/>
      <c r="K141" s="278"/>
      <c r="L141" s="278"/>
      <c r="M141" s="278"/>
      <c r="N141" s="278"/>
      <c r="O141" s="278"/>
      <c r="P141" s="278"/>
      <c r="Q141" s="278"/>
      <c r="R141" s="278"/>
      <c r="S141" s="278"/>
      <c r="T141" s="278"/>
      <c r="U141" s="278"/>
      <c r="V141" s="278"/>
      <c r="W141" s="278"/>
      <c r="X141" s="278"/>
      <c r="Y141" s="278"/>
      <c r="Z141" s="278"/>
    </row>
    <row r="142">
      <c r="A142" s="278"/>
      <c r="B142" s="278"/>
      <c r="C142" s="278"/>
      <c r="D142" s="278"/>
      <c r="E142" s="278"/>
      <c r="F142" s="278"/>
      <c r="G142" s="278"/>
      <c r="H142" s="278"/>
      <c r="I142" s="278"/>
      <c r="J142" s="278"/>
      <c r="K142" s="278"/>
      <c r="L142" s="278"/>
      <c r="M142" s="278"/>
      <c r="N142" s="278"/>
      <c r="O142" s="278"/>
      <c r="P142" s="278"/>
      <c r="Q142" s="278"/>
      <c r="R142" s="278"/>
      <c r="S142" s="278"/>
      <c r="T142" s="278"/>
      <c r="U142" s="278"/>
      <c r="V142" s="278"/>
      <c r="W142" s="278"/>
      <c r="X142" s="278"/>
      <c r="Y142" s="278"/>
      <c r="Z142" s="278"/>
    </row>
    <row r="143">
      <c r="A143" s="278"/>
      <c r="B143" s="278"/>
      <c r="C143" s="278"/>
      <c r="D143" s="278"/>
      <c r="E143" s="278"/>
      <c r="F143" s="278"/>
      <c r="G143" s="278"/>
      <c r="H143" s="278"/>
      <c r="I143" s="278"/>
      <c r="J143" s="278"/>
      <c r="K143" s="278"/>
      <c r="L143" s="278"/>
      <c r="M143" s="278"/>
      <c r="N143" s="278"/>
      <c r="O143" s="278"/>
      <c r="P143" s="278"/>
      <c r="Q143" s="278"/>
      <c r="R143" s="278"/>
      <c r="S143" s="278"/>
      <c r="T143" s="278"/>
      <c r="U143" s="278"/>
      <c r="V143" s="278"/>
      <c r="W143" s="278"/>
      <c r="X143" s="278"/>
      <c r="Y143" s="278"/>
      <c r="Z143" s="278"/>
    </row>
    <row r="144">
      <c r="A144" s="278"/>
      <c r="B144" s="278"/>
      <c r="C144" s="278"/>
      <c r="D144" s="278"/>
      <c r="E144" s="278"/>
      <c r="F144" s="278"/>
      <c r="G144" s="278"/>
      <c r="H144" s="278"/>
      <c r="I144" s="278"/>
      <c r="J144" s="278"/>
      <c r="K144" s="278"/>
      <c r="L144" s="278"/>
      <c r="M144" s="278"/>
      <c r="N144" s="278"/>
      <c r="O144" s="278"/>
      <c r="P144" s="278"/>
      <c r="Q144" s="278"/>
      <c r="R144" s="278"/>
      <c r="S144" s="278"/>
      <c r="T144" s="278"/>
      <c r="U144" s="278"/>
      <c r="V144" s="278"/>
      <c r="W144" s="278"/>
      <c r="X144" s="278"/>
      <c r="Y144" s="278"/>
      <c r="Z144" s="278"/>
    </row>
    <row r="145">
      <c r="A145" s="278"/>
      <c r="B145" s="278"/>
      <c r="C145" s="278"/>
      <c r="D145" s="278"/>
      <c r="E145" s="278"/>
      <c r="F145" s="278"/>
      <c r="G145" s="278"/>
      <c r="H145" s="278"/>
      <c r="I145" s="278"/>
      <c r="J145" s="278"/>
      <c r="K145" s="278"/>
      <c r="L145" s="278"/>
      <c r="M145" s="278"/>
      <c r="N145" s="278"/>
      <c r="O145" s="278"/>
      <c r="P145" s="278"/>
      <c r="Q145" s="278"/>
      <c r="R145" s="278"/>
      <c r="S145" s="278"/>
      <c r="T145" s="278"/>
      <c r="U145" s="278"/>
      <c r="V145" s="278"/>
      <c r="W145" s="278"/>
      <c r="X145" s="278"/>
      <c r="Y145" s="278"/>
      <c r="Z145" s="278"/>
    </row>
    <row r="146">
      <c r="A146" s="278"/>
      <c r="B146" s="278"/>
      <c r="C146" s="278"/>
      <c r="D146" s="278"/>
      <c r="E146" s="278"/>
      <c r="F146" s="278"/>
      <c r="G146" s="278"/>
      <c r="H146" s="278"/>
      <c r="I146" s="278"/>
      <c r="J146" s="278"/>
      <c r="K146" s="278"/>
      <c r="L146" s="278"/>
      <c r="M146" s="278"/>
      <c r="N146" s="278"/>
      <c r="O146" s="278"/>
      <c r="P146" s="278"/>
      <c r="Q146" s="278"/>
      <c r="R146" s="278"/>
      <c r="S146" s="278"/>
      <c r="T146" s="278"/>
      <c r="U146" s="278"/>
      <c r="V146" s="278"/>
      <c r="W146" s="278"/>
      <c r="X146" s="278"/>
      <c r="Y146" s="278"/>
      <c r="Z146" s="278"/>
    </row>
    <row r="147">
      <c r="A147" s="278"/>
      <c r="B147" s="278"/>
      <c r="C147" s="278"/>
      <c r="D147" s="278"/>
      <c r="E147" s="278"/>
      <c r="F147" s="278"/>
      <c r="G147" s="278"/>
      <c r="H147" s="278"/>
      <c r="I147" s="278"/>
      <c r="J147" s="278"/>
      <c r="K147" s="278"/>
      <c r="L147" s="278"/>
      <c r="M147" s="278"/>
      <c r="N147" s="278"/>
      <c r="O147" s="278"/>
      <c r="P147" s="278"/>
      <c r="Q147" s="278"/>
      <c r="R147" s="278"/>
      <c r="S147" s="278"/>
      <c r="T147" s="278"/>
      <c r="U147" s="278"/>
      <c r="V147" s="278"/>
      <c r="W147" s="278"/>
      <c r="X147" s="278"/>
      <c r="Y147" s="278"/>
      <c r="Z147" s="278"/>
    </row>
    <row r="148">
      <c r="A148" s="278"/>
      <c r="B148" s="278"/>
      <c r="C148" s="278"/>
      <c r="D148" s="278"/>
      <c r="E148" s="278"/>
      <c r="F148" s="278"/>
      <c r="G148" s="278"/>
      <c r="H148" s="278"/>
      <c r="I148" s="278"/>
      <c r="J148" s="278"/>
      <c r="K148" s="278"/>
      <c r="L148" s="278"/>
      <c r="M148" s="278"/>
      <c r="N148" s="278"/>
      <c r="O148" s="278"/>
      <c r="P148" s="278"/>
      <c r="Q148" s="278"/>
      <c r="R148" s="278"/>
      <c r="S148" s="278"/>
      <c r="T148" s="278"/>
      <c r="U148" s="278"/>
      <c r="V148" s="278"/>
      <c r="W148" s="278"/>
      <c r="X148" s="278"/>
      <c r="Y148" s="278"/>
      <c r="Z148" s="278"/>
    </row>
    <row r="149">
      <c r="A149" s="278"/>
      <c r="B149" s="278"/>
      <c r="C149" s="278"/>
      <c r="D149" s="278"/>
      <c r="E149" s="278"/>
      <c r="F149" s="278"/>
      <c r="G149" s="278"/>
      <c r="H149" s="278"/>
      <c r="I149" s="278"/>
      <c r="J149" s="278"/>
      <c r="K149" s="278"/>
      <c r="L149" s="278"/>
      <c r="M149" s="278"/>
      <c r="N149" s="278"/>
      <c r="O149" s="278"/>
      <c r="P149" s="278"/>
      <c r="Q149" s="278"/>
      <c r="R149" s="278"/>
      <c r="S149" s="278"/>
      <c r="T149" s="278"/>
      <c r="U149" s="278"/>
      <c r="V149" s="278"/>
      <c r="W149" s="278"/>
      <c r="X149" s="278"/>
      <c r="Y149" s="278"/>
      <c r="Z149" s="278"/>
    </row>
    <row r="150">
      <c r="A150" s="278"/>
      <c r="B150" s="278"/>
      <c r="C150" s="278"/>
      <c r="D150" s="278"/>
      <c r="E150" s="278"/>
      <c r="F150" s="278"/>
      <c r="G150" s="278"/>
      <c r="H150" s="278"/>
      <c r="I150" s="278"/>
      <c r="J150" s="278"/>
      <c r="K150" s="278"/>
      <c r="L150" s="278"/>
      <c r="M150" s="278"/>
      <c r="N150" s="278"/>
      <c r="O150" s="278"/>
      <c r="P150" s="278"/>
      <c r="Q150" s="278"/>
      <c r="R150" s="278"/>
      <c r="S150" s="278"/>
      <c r="T150" s="278"/>
      <c r="U150" s="278"/>
      <c r="V150" s="278"/>
      <c r="W150" s="278"/>
      <c r="X150" s="278"/>
      <c r="Y150" s="278"/>
      <c r="Z150" s="278"/>
    </row>
    <row r="151">
      <c r="A151" s="278"/>
      <c r="B151" s="278"/>
      <c r="C151" s="278"/>
      <c r="D151" s="278"/>
      <c r="E151" s="278"/>
      <c r="F151" s="278"/>
      <c r="G151" s="278"/>
      <c r="H151" s="278"/>
      <c r="I151" s="278"/>
      <c r="J151" s="278"/>
      <c r="K151" s="278"/>
      <c r="L151" s="278"/>
      <c r="M151" s="278"/>
      <c r="N151" s="278"/>
      <c r="O151" s="278"/>
      <c r="P151" s="278"/>
      <c r="Q151" s="278"/>
      <c r="R151" s="278"/>
      <c r="S151" s="278"/>
      <c r="T151" s="278"/>
      <c r="U151" s="278"/>
      <c r="V151" s="278"/>
      <c r="W151" s="278"/>
      <c r="X151" s="278"/>
      <c r="Y151" s="278"/>
      <c r="Z151" s="278"/>
    </row>
    <row r="152">
      <c r="A152" s="278"/>
      <c r="B152" s="278"/>
      <c r="C152" s="278"/>
      <c r="D152" s="278"/>
      <c r="E152" s="278"/>
      <c r="F152" s="278"/>
      <c r="G152" s="278"/>
      <c r="H152" s="278"/>
      <c r="I152" s="278"/>
      <c r="J152" s="278"/>
      <c r="K152" s="278"/>
      <c r="L152" s="278"/>
      <c r="M152" s="278"/>
      <c r="N152" s="278"/>
      <c r="O152" s="278"/>
      <c r="P152" s="278"/>
      <c r="Q152" s="278"/>
      <c r="R152" s="278"/>
      <c r="S152" s="278"/>
      <c r="T152" s="278"/>
      <c r="U152" s="278"/>
      <c r="V152" s="278"/>
      <c r="W152" s="278"/>
      <c r="X152" s="278"/>
      <c r="Y152" s="278"/>
      <c r="Z152" s="278"/>
    </row>
    <row r="153">
      <c r="A153" s="278"/>
      <c r="B153" s="278"/>
      <c r="C153" s="278"/>
      <c r="D153" s="278"/>
      <c r="E153" s="278"/>
      <c r="F153" s="278"/>
      <c r="G153" s="278"/>
      <c r="H153" s="278"/>
      <c r="I153" s="278"/>
      <c r="J153" s="278"/>
      <c r="K153" s="278"/>
      <c r="L153" s="278"/>
      <c r="M153" s="278"/>
      <c r="N153" s="278"/>
      <c r="O153" s="278"/>
      <c r="P153" s="278"/>
      <c r="Q153" s="278"/>
      <c r="R153" s="278"/>
      <c r="S153" s="278"/>
      <c r="T153" s="278"/>
      <c r="U153" s="278"/>
      <c r="V153" s="278"/>
      <c r="W153" s="278"/>
      <c r="X153" s="278"/>
      <c r="Y153" s="278"/>
      <c r="Z153" s="278"/>
    </row>
    <row r="154">
      <c r="A154" s="278"/>
      <c r="B154" s="278"/>
      <c r="C154" s="278"/>
      <c r="D154" s="278"/>
      <c r="E154" s="278"/>
      <c r="F154" s="278"/>
      <c r="G154" s="278"/>
      <c r="H154" s="278"/>
      <c r="I154" s="278"/>
      <c r="J154" s="278"/>
      <c r="K154" s="278"/>
      <c r="L154" s="278"/>
      <c r="M154" s="278"/>
      <c r="N154" s="278"/>
      <c r="O154" s="278"/>
      <c r="P154" s="278"/>
      <c r="Q154" s="278"/>
      <c r="R154" s="278"/>
      <c r="S154" s="278"/>
      <c r="T154" s="278"/>
      <c r="U154" s="278"/>
      <c r="V154" s="278"/>
      <c r="W154" s="278"/>
      <c r="X154" s="278"/>
      <c r="Y154" s="278"/>
      <c r="Z154" s="278"/>
    </row>
    <row r="155">
      <c r="A155" s="278"/>
      <c r="B155" s="278"/>
      <c r="C155" s="278"/>
      <c r="D155" s="278"/>
      <c r="E155" s="278"/>
      <c r="F155" s="278"/>
      <c r="G155" s="278"/>
      <c r="H155" s="278"/>
      <c r="I155" s="278"/>
      <c r="J155" s="278"/>
      <c r="K155" s="278"/>
      <c r="L155" s="278"/>
      <c r="M155" s="278"/>
      <c r="N155" s="278"/>
      <c r="O155" s="278"/>
      <c r="P155" s="278"/>
      <c r="Q155" s="278"/>
      <c r="R155" s="278"/>
      <c r="S155" s="278"/>
      <c r="T155" s="278"/>
      <c r="U155" s="278"/>
      <c r="V155" s="278"/>
      <c r="W155" s="278"/>
      <c r="X155" s="278"/>
      <c r="Y155" s="278"/>
      <c r="Z155" s="278"/>
    </row>
    <row r="156">
      <c r="A156" s="278"/>
      <c r="B156" s="278"/>
      <c r="C156" s="278"/>
      <c r="D156" s="278"/>
      <c r="E156" s="278"/>
      <c r="F156" s="278"/>
      <c r="G156" s="278"/>
      <c r="H156" s="278"/>
      <c r="I156" s="278"/>
      <c r="J156" s="278"/>
      <c r="K156" s="278"/>
      <c r="L156" s="278"/>
      <c r="M156" s="278"/>
      <c r="N156" s="278"/>
      <c r="O156" s="278"/>
      <c r="P156" s="278"/>
      <c r="Q156" s="278"/>
      <c r="R156" s="278"/>
      <c r="S156" s="278"/>
      <c r="T156" s="278"/>
      <c r="U156" s="278"/>
      <c r="V156" s="278"/>
      <c r="W156" s="278"/>
      <c r="X156" s="278"/>
      <c r="Y156" s="278"/>
      <c r="Z156" s="278"/>
    </row>
    <row r="157">
      <c r="A157" s="278"/>
      <c r="B157" s="278"/>
      <c r="C157" s="278"/>
      <c r="D157" s="278"/>
      <c r="E157" s="278"/>
      <c r="F157" s="278"/>
      <c r="G157" s="278"/>
      <c r="H157" s="278"/>
      <c r="I157" s="278"/>
      <c r="J157" s="278"/>
      <c r="K157" s="278"/>
      <c r="L157" s="278"/>
      <c r="M157" s="278"/>
      <c r="N157" s="278"/>
      <c r="O157" s="278"/>
      <c r="P157" s="278"/>
      <c r="Q157" s="278"/>
      <c r="R157" s="278"/>
      <c r="S157" s="278"/>
      <c r="T157" s="278"/>
      <c r="U157" s="278"/>
      <c r="V157" s="278"/>
      <c r="W157" s="278"/>
      <c r="X157" s="278"/>
      <c r="Y157" s="278"/>
      <c r="Z157" s="278"/>
    </row>
    <row r="158">
      <c r="A158" s="278"/>
      <c r="B158" s="278"/>
      <c r="C158" s="278"/>
      <c r="D158" s="278"/>
      <c r="E158" s="278"/>
      <c r="F158" s="278"/>
      <c r="G158" s="278"/>
      <c r="H158" s="278"/>
      <c r="I158" s="278"/>
      <c r="J158" s="278"/>
      <c r="K158" s="278"/>
      <c r="L158" s="278"/>
      <c r="M158" s="278"/>
      <c r="N158" s="278"/>
      <c r="O158" s="278"/>
      <c r="P158" s="278"/>
      <c r="Q158" s="278"/>
      <c r="R158" s="278"/>
      <c r="S158" s="278"/>
      <c r="T158" s="278"/>
      <c r="U158" s="278"/>
      <c r="V158" s="278"/>
      <c r="W158" s="278"/>
      <c r="X158" s="278"/>
      <c r="Y158" s="278"/>
      <c r="Z158" s="278"/>
    </row>
    <row r="159">
      <c r="A159" s="278"/>
      <c r="B159" s="278"/>
      <c r="C159" s="278"/>
      <c r="D159" s="278"/>
      <c r="E159" s="278"/>
      <c r="F159" s="278"/>
      <c r="G159" s="278"/>
      <c r="H159" s="278"/>
      <c r="I159" s="278"/>
      <c r="J159" s="278"/>
      <c r="K159" s="278"/>
      <c r="L159" s="278"/>
      <c r="M159" s="278"/>
      <c r="N159" s="278"/>
      <c r="O159" s="278"/>
      <c r="P159" s="278"/>
      <c r="Q159" s="278"/>
      <c r="R159" s="278"/>
      <c r="S159" s="278"/>
      <c r="T159" s="278"/>
      <c r="U159" s="278"/>
      <c r="V159" s="278"/>
      <c r="W159" s="278"/>
      <c r="X159" s="278"/>
      <c r="Y159" s="278"/>
      <c r="Z159" s="278"/>
    </row>
    <row r="160">
      <c r="A160" s="278"/>
      <c r="B160" s="278"/>
      <c r="C160" s="278"/>
      <c r="D160" s="278"/>
      <c r="E160" s="278"/>
      <c r="F160" s="278"/>
      <c r="G160" s="278"/>
      <c r="H160" s="278"/>
      <c r="I160" s="278"/>
      <c r="J160" s="278"/>
      <c r="K160" s="278"/>
      <c r="L160" s="278"/>
      <c r="M160" s="278"/>
      <c r="N160" s="278"/>
      <c r="O160" s="278"/>
      <c r="P160" s="278"/>
      <c r="Q160" s="278"/>
      <c r="R160" s="278"/>
      <c r="S160" s="278"/>
      <c r="T160" s="278"/>
      <c r="U160" s="278"/>
      <c r="V160" s="278"/>
      <c r="W160" s="278"/>
      <c r="X160" s="278"/>
      <c r="Y160" s="278"/>
      <c r="Z160" s="278"/>
    </row>
    <row r="161">
      <c r="A161" s="278"/>
      <c r="B161" s="278"/>
      <c r="C161" s="278"/>
      <c r="D161" s="278"/>
      <c r="E161" s="278"/>
      <c r="F161" s="278"/>
      <c r="G161" s="278"/>
      <c r="H161" s="278"/>
      <c r="I161" s="278"/>
      <c r="J161" s="278"/>
      <c r="K161" s="278"/>
      <c r="L161" s="278"/>
      <c r="M161" s="278"/>
      <c r="N161" s="278"/>
      <c r="O161" s="278"/>
      <c r="P161" s="278"/>
      <c r="Q161" s="278"/>
      <c r="R161" s="278"/>
      <c r="S161" s="278"/>
      <c r="T161" s="278"/>
      <c r="U161" s="278"/>
      <c r="V161" s="278"/>
      <c r="W161" s="278"/>
      <c r="X161" s="278"/>
      <c r="Y161" s="278"/>
      <c r="Z161" s="278"/>
    </row>
    <row r="162">
      <c r="A162" s="278"/>
      <c r="B162" s="278"/>
      <c r="C162" s="278"/>
      <c r="D162" s="278"/>
      <c r="E162" s="278"/>
      <c r="F162" s="278"/>
      <c r="G162" s="278"/>
      <c r="H162" s="278"/>
      <c r="I162" s="278"/>
      <c r="J162" s="278"/>
      <c r="K162" s="278"/>
      <c r="L162" s="278"/>
      <c r="M162" s="278"/>
      <c r="N162" s="278"/>
      <c r="O162" s="278"/>
      <c r="P162" s="278"/>
      <c r="Q162" s="278"/>
      <c r="R162" s="278"/>
      <c r="S162" s="278"/>
      <c r="T162" s="278"/>
      <c r="U162" s="278"/>
      <c r="V162" s="278"/>
      <c r="W162" s="278"/>
      <c r="X162" s="278"/>
      <c r="Y162" s="278"/>
      <c r="Z162" s="278"/>
    </row>
    <row r="163">
      <c r="A163" s="278"/>
      <c r="B163" s="278"/>
      <c r="C163" s="278"/>
      <c r="D163" s="278"/>
      <c r="E163" s="278"/>
      <c r="F163" s="278"/>
      <c r="G163" s="278"/>
      <c r="H163" s="278"/>
      <c r="I163" s="278"/>
      <c r="J163" s="278"/>
      <c r="K163" s="278"/>
      <c r="L163" s="278"/>
      <c r="M163" s="278"/>
      <c r="N163" s="278"/>
      <c r="O163" s="278"/>
      <c r="P163" s="278"/>
      <c r="Q163" s="278"/>
      <c r="R163" s="278"/>
      <c r="S163" s="278"/>
      <c r="T163" s="278"/>
      <c r="U163" s="278"/>
      <c r="V163" s="278"/>
      <c r="W163" s="278"/>
      <c r="X163" s="278"/>
      <c r="Y163" s="278"/>
      <c r="Z163" s="278"/>
    </row>
    <row r="164">
      <c r="A164" s="278"/>
      <c r="B164" s="278"/>
      <c r="C164" s="278"/>
      <c r="D164" s="278"/>
      <c r="E164" s="278"/>
      <c r="F164" s="278"/>
      <c r="G164" s="278"/>
      <c r="H164" s="278"/>
      <c r="I164" s="278"/>
      <c r="J164" s="278"/>
      <c r="K164" s="278"/>
      <c r="L164" s="278"/>
      <c r="M164" s="278"/>
      <c r="N164" s="278"/>
      <c r="O164" s="278"/>
      <c r="P164" s="278"/>
      <c r="Q164" s="278"/>
      <c r="R164" s="278"/>
      <c r="S164" s="278"/>
      <c r="T164" s="278"/>
      <c r="U164" s="278"/>
      <c r="V164" s="278"/>
      <c r="W164" s="278"/>
      <c r="X164" s="278"/>
      <c r="Y164" s="278"/>
      <c r="Z164" s="278"/>
    </row>
    <row r="165">
      <c r="A165" s="278"/>
      <c r="B165" s="278"/>
      <c r="C165" s="278"/>
      <c r="D165" s="278"/>
      <c r="E165" s="278"/>
      <c r="F165" s="278"/>
      <c r="G165" s="278"/>
      <c r="H165" s="278"/>
      <c r="I165" s="278"/>
      <c r="J165" s="278"/>
      <c r="K165" s="278"/>
      <c r="L165" s="278"/>
      <c r="M165" s="278"/>
      <c r="N165" s="278"/>
      <c r="O165" s="278"/>
      <c r="P165" s="278"/>
      <c r="Q165" s="278"/>
      <c r="R165" s="278"/>
      <c r="S165" s="278"/>
      <c r="T165" s="278"/>
      <c r="U165" s="278"/>
      <c r="V165" s="278"/>
      <c r="W165" s="278"/>
      <c r="X165" s="278"/>
      <c r="Y165" s="278"/>
      <c r="Z165" s="278"/>
    </row>
    <row r="166">
      <c r="A166" s="278"/>
      <c r="B166" s="278"/>
      <c r="C166" s="278"/>
      <c r="D166" s="278"/>
      <c r="E166" s="278"/>
      <c r="F166" s="278"/>
      <c r="G166" s="278"/>
      <c r="H166" s="278"/>
      <c r="I166" s="278"/>
      <c r="J166" s="278"/>
      <c r="K166" s="278"/>
      <c r="L166" s="278"/>
      <c r="M166" s="278"/>
      <c r="N166" s="278"/>
      <c r="O166" s="278"/>
      <c r="P166" s="278"/>
      <c r="Q166" s="278"/>
      <c r="R166" s="278"/>
      <c r="S166" s="278"/>
      <c r="T166" s="278"/>
      <c r="U166" s="278"/>
      <c r="V166" s="278"/>
      <c r="W166" s="278"/>
      <c r="X166" s="278"/>
      <c r="Y166" s="278"/>
      <c r="Z166" s="278"/>
    </row>
    <row r="167">
      <c r="A167" s="278"/>
      <c r="B167" s="278"/>
      <c r="C167" s="278"/>
      <c r="D167" s="278"/>
      <c r="E167" s="278"/>
      <c r="F167" s="278"/>
      <c r="G167" s="278"/>
      <c r="H167" s="278"/>
      <c r="I167" s="278"/>
      <c r="J167" s="278"/>
      <c r="K167" s="278"/>
      <c r="L167" s="278"/>
      <c r="M167" s="278"/>
      <c r="N167" s="278"/>
      <c r="O167" s="278"/>
      <c r="P167" s="278"/>
      <c r="Q167" s="278"/>
      <c r="R167" s="278"/>
      <c r="S167" s="278"/>
      <c r="T167" s="278"/>
      <c r="U167" s="278"/>
      <c r="V167" s="278"/>
      <c r="W167" s="278"/>
      <c r="X167" s="278"/>
      <c r="Y167" s="278"/>
      <c r="Z167" s="278"/>
    </row>
    <row r="168">
      <c r="A168" s="278"/>
      <c r="B168" s="278"/>
      <c r="C168" s="278"/>
      <c r="D168" s="278"/>
      <c r="E168" s="278"/>
      <c r="F168" s="278"/>
      <c r="G168" s="278"/>
      <c r="H168" s="278"/>
      <c r="I168" s="278"/>
      <c r="J168" s="278"/>
      <c r="K168" s="278"/>
      <c r="L168" s="278"/>
      <c r="M168" s="278"/>
      <c r="N168" s="278"/>
      <c r="O168" s="278"/>
      <c r="P168" s="278"/>
      <c r="Q168" s="278"/>
      <c r="R168" s="278"/>
      <c r="S168" s="278"/>
      <c r="T168" s="278"/>
      <c r="U168" s="278"/>
      <c r="V168" s="278"/>
      <c r="W168" s="278"/>
      <c r="X168" s="278"/>
      <c r="Y168" s="278"/>
      <c r="Z168" s="278"/>
    </row>
    <row r="169">
      <c r="A169" s="278"/>
      <c r="B169" s="278"/>
      <c r="C169" s="278"/>
      <c r="D169" s="278"/>
      <c r="E169" s="278"/>
      <c r="F169" s="278"/>
      <c r="G169" s="278"/>
      <c r="H169" s="278"/>
      <c r="I169" s="278"/>
      <c r="J169" s="278"/>
      <c r="K169" s="278"/>
      <c r="L169" s="278"/>
      <c r="M169" s="278"/>
      <c r="N169" s="278"/>
      <c r="O169" s="278"/>
      <c r="P169" s="278"/>
      <c r="Q169" s="278"/>
      <c r="R169" s="278"/>
      <c r="S169" s="278"/>
      <c r="T169" s="278"/>
      <c r="U169" s="278"/>
      <c r="V169" s="278"/>
      <c r="W169" s="278"/>
      <c r="X169" s="278"/>
      <c r="Y169" s="278"/>
      <c r="Z169" s="278"/>
    </row>
    <row r="170">
      <c r="A170" s="278"/>
      <c r="B170" s="278"/>
      <c r="C170" s="278"/>
      <c r="D170" s="278"/>
      <c r="E170" s="278"/>
      <c r="F170" s="278"/>
      <c r="G170" s="278"/>
      <c r="H170" s="278"/>
      <c r="I170" s="278"/>
      <c r="J170" s="278"/>
      <c r="K170" s="278"/>
      <c r="L170" s="278"/>
      <c r="M170" s="278"/>
      <c r="N170" s="278"/>
      <c r="O170" s="278"/>
      <c r="P170" s="278"/>
      <c r="Q170" s="278"/>
      <c r="R170" s="278"/>
      <c r="S170" s="278"/>
      <c r="T170" s="278"/>
      <c r="U170" s="278"/>
      <c r="V170" s="278"/>
      <c r="W170" s="278"/>
      <c r="X170" s="278"/>
      <c r="Y170" s="278"/>
      <c r="Z170" s="278"/>
    </row>
    <row r="171">
      <c r="A171" s="278"/>
      <c r="B171" s="278"/>
      <c r="C171" s="278"/>
      <c r="D171" s="278"/>
      <c r="E171" s="278"/>
      <c r="F171" s="278"/>
      <c r="G171" s="278"/>
      <c r="H171" s="278"/>
      <c r="I171" s="278"/>
      <c r="J171" s="278"/>
      <c r="K171" s="278"/>
      <c r="L171" s="278"/>
      <c r="M171" s="278"/>
      <c r="N171" s="278"/>
      <c r="O171" s="278"/>
      <c r="P171" s="278"/>
      <c r="Q171" s="278"/>
      <c r="R171" s="278"/>
      <c r="S171" s="278"/>
      <c r="T171" s="278"/>
      <c r="U171" s="278"/>
      <c r="V171" s="278"/>
      <c r="W171" s="278"/>
      <c r="X171" s="278"/>
      <c r="Y171" s="278"/>
      <c r="Z171" s="278"/>
    </row>
    <row r="172">
      <c r="A172" s="278"/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8"/>
      <c r="T172" s="278"/>
      <c r="U172" s="278"/>
      <c r="V172" s="278"/>
      <c r="W172" s="278"/>
      <c r="X172" s="278"/>
      <c r="Y172" s="278"/>
      <c r="Z172" s="278"/>
    </row>
    <row r="173">
      <c r="A173" s="278"/>
      <c r="B173" s="278"/>
      <c r="C173" s="278"/>
      <c r="D173" s="278"/>
      <c r="E173" s="278"/>
      <c r="F173" s="278"/>
      <c r="G173" s="278"/>
      <c r="H173" s="278"/>
      <c r="I173" s="278"/>
      <c r="J173" s="278"/>
      <c r="K173" s="278"/>
      <c r="L173" s="278"/>
      <c r="M173" s="278"/>
      <c r="N173" s="278"/>
      <c r="O173" s="278"/>
      <c r="P173" s="278"/>
      <c r="Q173" s="278"/>
      <c r="R173" s="278"/>
      <c r="S173" s="278"/>
      <c r="T173" s="278"/>
      <c r="U173" s="278"/>
      <c r="V173" s="278"/>
      <c r="W173" s="278"/>
      <c r="X173" s="278"/>
      <c r="Y173" s="278"/>
      <c r="Z173" s="278"/>
    </row>
    <row r="174">
      <c r="A174" s="278"/>
      <c r="B174" s="278"/>
      <c r="C174" s="278"/>
      <c r="D174" s="278"/>
      <c r="E174" s="278"/>
      <c r="F174" s="278"/>
      <c r="G174" s="278"/>
      <c r="H174" s="278"/>
      <c r="I174" s="278"/>
      <c r="J174" s="278"/>
      <c r="K174" s="278"/>
      <c r="L174" s="278"/>
      <c r="M174" s="278"/>
      <c r="N174" s="278"/>
      <c r="O174" s="278"/>
      <c r="P174" s="278"/>
      <c r="Q174" s="278"/>
      <c r="R174" s="278"/>
      <c r="S174" s="278"/>
      <c r="T174" s="278"/>
      <c r="U174" s="278"/>
      <c r="V174" s="278"/>
      <c r="W174" s="278"/>
      <c r="X174" s="278"/>
      <c r="Y174" s="278"/>
      <c r="Z174" s="278"/>
    </row>
    <row r="175">
      <c r="A175" s="278"/>
      <c r="B175" s="278"/>
      <c r="C175" s="278"/>
      <c r="D175" s="278"/>
      <c r="E175" s="278"/>
      <c r="F175" s="278"/>
      <c r="G175" s="278"/>
      <c r="H175" s="278"/>
      <c r="I175" s="278"/>
      <c r="J175" s="278"/>
      <c r="K175" s="278"/>
      <c r="L175" s="278"/>
      <c r="M175" s="278"/>
      <c r="N175" s="278"/>
      <c r="O175" s="278"/>
      <c r="P175" s="278"/>
      <c r="Q175" s="278"/>
      <c r="R175" s="278"/>
      <c r="S175" s="278"/>
      <c r="T175" s="278"/>
      <c r="U175" s="278"/>
      <c r="V175" s="278"/>
      <c r="W175" s="278"/>
      <c r="X175" s="278"/>
      <c r="Y175" s="278"/>
      <c r="Z175" s="278"/>
    </row>
    <row r="176">
      <c r="A176" s="278"/>
      <c r="B176" s="278"/>
      <c r="C176" s="278"/>
      <c r="D176" s="278"/>
      <c r="E176" s="278"/>
      <c r="F176" s="278"/>
      <c r="G176" s="278"/>
      <c r="H176" s="278"/>
      <c r="I176" s="278"/>
      <c r="J176" s="278"/>
      <c r="K176" s="278"/>
      <c r="L176" s="278"/>
      <c r="M176" s="278"/>
      <c r="N176" s="278"/>
      <c r="O176" s="278"/>
      <c r="P176" s="278"/>
      <c r="Q176" s="278"/>
      <c r="R176" s="278"/>
      <c r="S176" s="278"/>
      <c r="T176" s="278"/>
      <c r="U176" s="278"/>
      <c r="V176" s="278"/>
      <c r="W176" s="278"/>
      <c r="X176" s="278"/>
      <c r="Y176" s="278"/>
      <c r="Z176" s="278"/>
    </row>
    <row r="177">
      <c r="A177" s="278"/>
      <c r="B177" s="278"/>
      <c r="C177" s="278"/>
      <c r="D177" s="278"/>
      <c r="E177" s="278"/>
      <c r="F177" s="278"/>
      <c r="G177" s="278"/>
      <c r="H177" s="278"/>
      <c r="I177" s="278"/>
      <c r="J177" s="278"/>
      <c r="K177" s="278"/>
      <c r="L177" s="278"/>
      <c r="M177" s="278"/>
      <c r="N177" s="278"/>
      <c r="O177" s="278"/>
      <c r="P177" s="278"/>
      <c r="Q177" s="278"/>
      <c r="R177" s="278"/>
      <c r="S177" s="278"/>
      <c r="T177" s="278"/>
      <c r="U177" s="278"/>
      <c r="V177" s="278"/>
      <c r="W177" s="278"/>
      <c r="X177" s="278"/>
      <c r="Y177" s="278"/>
      <c r="Z177" s="278"/>
    </row>
    <row r="178">
      <c r="A178" s="278"/>
      <c r="B178" s="278"/>
      <c r="C178" s="278"/>
      <c r="D178" s="278"/>
      <c r="E178" s="278"/>
      <c r="F178" s="278"/>
      <c r="G178" s="278"/>
      <c r="H178" s="278"/>
      <c r="I178" s="278"/>
      <c r="J178" s="278"/>
      <c r="K178" s="278"/>
      <c r="L178" s="278"/>
      <c r="M178" s="278"/>
      <c r="N178" s="278"/>
      <c r="O178" s="278"/>
      <c r="P178" s="278"/>
      <c r="Q178" s="278"/>
      <c r="R178" s="278"/>
      <c r="S178" s="278"/>
      <c r="T178" s="278"/>
      <c r="U178" s="278"/>
      <c r="V178" s="278"/>
      <c r="W178" s="278"/>
      <c r="X178" s="278"/>
      <c r="Y178" s="278"/>
      <c r="Z178" s="278"/>
    </row>
    <row r="179">
      <c r="A179" s="278"/>
      <c r="B179" s="278"/>
      <c r="C179" s="278"/>
      <c r="D179" s="278"/>
      <c r="E179" s="278"/>
      <c r="F179" s="278"/>
      <c r="G179" s="278"/>
      <c r="H179" s="278"/>
      <c r="I179" s="278"/>
      <c r="J179" s="278"/>
      <c r="K179" s="278"/>
      <c r="L179" s="278"/>
      <c r="M179" s="278"/>
      <c r="N179" s="278"/>
      <c r="O179" s="278"/>
      <c r="P179" s="278"/>
      <c r="Q179" s="278"/>
      <c r="R179" s="278"/>
      <c r="S179" s="278"/>
      <c r="T179" s="278"/>
      <c r="U179" s="278"/>
      <c r="V179" s="278"/>
      <c r="W179" s="278"/>
      <c r="X179" s="278"/>
      <c r="Y179" s="278"/>
      <c r="Z179" s="278"/>
    </row>
    <row r="180">
      <c r="A180" s="278"/>
      <c r="B180" s="278"/>
      <c r="C180" s="278"/>
      <c r="D180" s="278"/>
      <c r="E180" s="278"/>
      <c r="F180" s="278"/>
      <c r="G180" s="278"/>
      <c r="H180" s="278"/>
      <c r="I180" s="278"/>
      <c r="J180" s="278"/>
      <c r="K180" s="278"/>
      <c r="L180" s="278"/>
      <c r="M180" s="278"/>
      <c r="N180" s="278"/>
      <c r="O180" s="278"/>
      <c r="P180" s="278"/>
      <c r="Q180" s="278"/>
      <c r="R180" s="278"/>
      <c r="S180" s="278"/>
      <c r="T180" s="278"/>
      <c r="U180" s="278"/>
      <c r="V180" s="278"/>
      <c r="W180" s="278"/>
      <c r="X180" s="278"/>
      <c r="Y180" s="278"/>
      <c r="Z180" s="278"/>
    </row>
    <row r="181">
      <c r="A181" s="278"/>
      <c r="B181" s="278"/>
      <c r="C181" s="278"/>
      <c r="D181" s="278"/>
      <c r="E181" s="278"/>
      <c r="F181" s="278"/>
      <c r="G181" s="278"/>
      <c r="H181" s="278"/>
      <c r="I181" s="278"/>
      <c r="J181" s="278"/>
      <c r="K181" s="278"/>
      <c r="L181" s="278"/>
      <c r="M181" s="278"/>
      <c r="N181" s="278"/>
      <c r="O181" s="278"/>
      <c r="P181" s="278"/>
      <c r="Q181" s="278"/>
      <c r="R181" s="278"/>
      <c r="S181" s="278"/>
      <c r="T181" s="278"/>
      <c r="U181" s="278"/>
      <c r="V181" s="278"/>
      <c r="W181" s="278"/>
      <c r="X181" s="278"/>
      <c r="Y181" s="278"/>
      <c r="Z181" s="278"/>
    </row>
    <row r="182">
      <c r="A182" s="278"/>
      <c r="B182" s="278"/>
      <c r="C182" s="278"/>
      <c r="D182" s="278"/>
      <c r="E182" s="278"/>
      <c r="F182" s="278"/>
      <c r="G182" s="278"/>
      <c r="H182" s="278"/>
      <c r="I182" s="278"/>
      <c r="J182" s="278"/>
      <c r="K182" s="278"/>
      <c r="L182" s="278"/>
      <c r="M182" s="278"/>
      <c r="N182" s="278"/>
      <c r="O182" s="278"/>
      <c r="P182" s="278"/>
      <c r="Q182" s="278"/>
      <c r="R182" s="278"/>
      <c r="S182" s="278"/>
      <c r="T182" s="278"/>
      <c r="U182" s="278"/>
      <c r="V182" s="278"/>
      <c r="W182" s="278"/>
      <c r="X182" s="278"/>
      <c r="Y182" s="278"/>
      <c r="Z182" s="278"/>
    </row>
    <row r="183">
      <c r="A183" s="278"/>
      <c r="B183" s="278"/>
      <c r="C183" s="278"/>
      <c r="D183" s="278"/>
      <c r="E183" s="278"/>
      <c r="F183" s="278"/>
      <c r="G183" s="278"/>
      <c r="H183" s="278"/>
      <c r="I183" s="278"/>
      <c r="J183" s="278"/>
      <c r="K183" s="278"/>
      <c r="L183" s="278"/>
      <c r="M183" s="278"/>
      <c r="N183" s="278"/>
      <c r="O183" s="278"/>
      <c r="P183" s="278"/>
      <c r="Q183" s="278"/>
      <c r="R183" s="278"/>
      <c r="S183" s="278"/>
      <c r="T183" s="278"/>
      <c r="U183" s="278"/>
      <c r="V183" s="278"/>
      <c r="W183" s="278"/>
      <c r="X183" s="278"/>
      <c r="Y183" s="278"/>
      <c r="Z183" s="278"/>
    </row>
    <row r="184">
      <c r="A184" s="278"/>
      <c r="B184" s="278"/>
      <c r="C184" s="278"/>
      <c r="D184" s="278"/>
      <c r="E184" s="278"/>
      <c r="F184" s="278"/>
      <c r="G184" s="278"/>
      <c r="H184" s="278"/>
      <c r="I184" s="278"/>
      <c r="J184" s="278"/>
      <c r="K184" s="278"/>
      <c r="L184" s="278"/>
      <c r="M184" s="278"/>
      <c r="N184" s="278"/>
      <c r="O184" s="278"/>
      <c r="P184" s="278"/>
      <c r="Q184" s="278"/>
      <c r="R184" s="278"/>
      <c r="S184" s="278"/>
      <c r="T184" s="278"/>
      <c r="U184" s="278"/>
      <c r="V184" s="278"/>
      <c r="W184" s="278"/>
      <c r="X184" s="278"/>
      <c r="Y184" s="278"/>
      <c r="Z184" s="278"/>
    </row>
    <row r="185">
      <c r="A185" s="278"/>
      <c r="B185" s="278"/>
      <c r="C185" s="278"/>
      <c r="D185" s="278"/>
      <c r="E185" s="278"/>
      <c r="F185" s="278"/>
      <c r="G185" s="278"/>
      <c r="H185" s="278"/>
      <c r="I185" s="278"/>
      <c r="J185" s="278"/>
      <c r="K185" s="278"/>
      <c r="L185" s="278"/>
      <c r="M185" s="278"/>
      <c r="N185" s="278"/>
      <c r="O185" s="278"/>
      <c r="P185" s="278"/>
      <c r="Q185" s="278"/>
      <c r="R185" s="278"/>
      <c r="S185" s="278"/>
      <c r="T185" s="278"/>
      <c r="U185" s="278"/>
      <c r="V185" s="278"/>
      <c r="W185" s="278"/>
      <c r="X185" s="278"/>
      <c r="Y185" s="278"/>
      <c r="Z185" s="278"/>
    </row>
    <row r="186">
      <c r="A186" s="278"/>
      <c r="B186" s="278"/>
      <c r="C186" s="278"/>
      <c r="D186" s="278"/>
      <c r="E186" s="278"/>
      <c r="F186" s="278"/>
      <c r="G186" s="278"/>
      <c r="H186" s="278"/>
      <c r="I186" s="278"/>
      <c r="J186" s="278"/>
      <c r="K186" s="278"/>
      <c r="L186" s="278"/>
      <c r="M186" s="278"/>
      <c r="N186" s="278"/>
      <c r="O186" s="278"/>
      <c r="P186" s="278"/>
      <c r="Q186" s="278"/>
      <c r="R186" s="278"/>
      <c r="S186" s="278"/>
      <c r="T186" s="278"/>
      <c r="U186" s="278"/>
      <c r="V186" s="278"/>
      <c r="W186" s="278"/>
      <c r="X186" s="278"/>
      <c r="Y186" s="278"/>
      <c r="Z186" s="278"/>
    </row>
    <row r="187">
      <c r="A187" s="278"/>
      <c r="B187" s="278"/>
      <c r="C187" s="278"/>
      <c r="D187" s="278"/>
      <c r="E187" s="278"/>
      <c r="F187" s="278"/>
      <c r="G187" s="278"/>
      <c r="H187" s="278"/>
      <c r="I187" s="278"/>
      <c r="J187" s="278"/>
      <c r="K187" s="278"/>
      <c r="L187" s="278"/>
      <c r="M187" s="278"/>
      <c r="N187" s="278"/>
      <c r="O187" s="278"/>
      <c r="P187" s="278"/>
      <c r="Q187" s="278"/>
      <c r="R187" s="278"/>
      <c r="S187" s="278"/>
      <c r="T187" s="278"/>
      <c r="U187" s="278"/>
      <c r="V187" s="278"/>
      <c r="W187" s="278"/>
      <c r="X187" s="278"/>
      <c r="Y187" s="278"/>
      <c r="Z187" s="278"/>
    </row>
    <row r="188">
      <c r="A188" s="278"/>
      <c r="B188" s="278"/>
      <c r="C188" s="278"/>
      <c r="D188" s="278"/>
      <c r="E188" s="278"/>
      <c r="F188" s="278"/>
      <c r="G188" s="278"/>
      <c r="H188" s="278"/>
      <c r="I188" s="278"/>
      <c r="J188" s="278"/>
      <c r="K188" s="278"/>
      <c r="L188" s="278"/>
      <c r="M188" s="278"/>
      <c r="N188" s="278"/>
      <c r="O188" s="278"/>
      <c r="P188" s="278"/>
      <c r="Q188" s="278"/>
      <c r="R188" s="278"/>
      <c r="S188" s="278"/>
      <c r="T188" s="278"/>
      <c r="U188" s="278"/>
      <c r="V188" s="278"/>
      <c r="W188" s="278"/>
      <c r="X188" s="278"/>
      <c r="Y188" s="278"/>
      <c r="Z188" s="278"/>
    </row>
    <row r="189">
      <c r="A189" s="278"/>
      <c r="B189" s="278"/>
      <c r="C189" s="278"/>
      <c r="D189" s="278"/>
      <c r="E189" s="278"/>
      <c r="F189" s="278"/>
      <c r="G189" s="278"/>
      <c r="H189" s="278"/>
      <c r="I189" s="278"/>
      <c r="J189" s="278"/>
      <c r="K189" s="278"/>
      <c r="L189" s="278"/>
      <c r="M189" s="278"/>
      <c r="N189" s="278"/>
      <c r="O189" s="278"/>
      <c r="P189" s="278"/>
      <c r="Q189" s="278"/>
      <c r="R189" s="278"/>
      <c r="S189" s="278"/>
      <c r="T189" s="278"/>
      <c r="U189" s="278"/>
      <c r="V189" s="278"/>
      <c r="W189" s="278"/>
      <c r="X189" s="278"/>
      <c r="Y189" s="278"/>
      <c r="Z189" s="278"/>
    </row>
    <row r="190">
      <c r="A190" s="278"/>
      <c r="B190" s="278"/>
      <c r="C190" s="278"/>
      <c r="D190" s="278"/>
      <c r="E190" s="278"/>
      <c r="F190" s="278"/>
      <c r="G190" s="278"/>
      <c r="H190" s="278"/>
      <c r="I190" s="278"/>
      <c r="J190" s="278"/>
      <c r="K190" s="278"/>
      <c r="L190" s="278"/>
      <c r="M190" s="278"/>
      <c r="N190" s="278"/>
      <c r="O190" s="278"/>
      <c r="P190" s="278"/>
      <c r="Q190" s="278"/>
      <c r="R190" s="278"/>
      <c r="S190" s="278"/>
      <c r="T190" s="278"/>
      <c r="U190" s="278"/>
      <c r="V190" s="278"/>
      <c r="W190" s="278"/>
      <c r="X190" s="278"/>
      <c r="Y190" s="278"/>
      <c r="Z190" s="278"/>
    </row>
    <row r="191">
      <c r="A191" s="278"/>
      <c r="B191" s="278"/>
      <c r="C191" s="278"/>
      <c r="D191" s="278"/>
      <c r="E191" s="278"/>
      <c r="F191" s="278"/>
      <c r="G191" s="278"/>
      <c r="H191" s="278"/>
      <c r="I191" s="278"/>
      <c r="J191" s="278"/>
      <c r="K191" s="278"/>
      <c r="L191" s="278"/>
      <c r="M191" s="278"/>
      <c r="N191" s="278"/>
      <c r="O191" s="278"/>
      <c r="P191" s="278"/>
      <c r="Q191" s="278"/>
      <c r="R191" s="278"/>
      <c r="S191" s="278"/>
      <c r="T191" s="278"/>
      <c r="U191" s="278"/>
      <c r="V191" s="278"/>
      <c r="W191" s="278"/>
      <c r="X191" s="278"/>
      <c r="Y191" s="278"/>
      <c r="Z191" s="278"/>
    </row>
    <row r="192">
      <c r="A192" s="278"/>
      <c r="B192" s="278"/>
      <c r="C192" s="278"/>
      <c r="D192" s="278"/>
      <c r="E192" s="278"/>
      <c r="F192" s="278"/>
      <c r="G192" s="278"/>
      <c r="H192" s="278"/>
      <c r="I192" s="278"/>
      <c r="J192" s="278"/>
      <c r="K192" s="278"/>
      <c r="L192" s="278"/>
      <c r="M192" s="278"/>
      <c r="N192" s="278"/>
      <c r="O192" s="278"/>
      <c r="P192" s="278"/>
      <c r="Q192" s="278"/>
      <c r="R192" s="278"/>
      <c r="S192" s="278"/>
      <c r="T192" s="278"/>
      <c r="U192" s="278"/>
      <c r="V192" s="278"/>
      <c r="W192" s="278"/>
      <c r="X192" s="278"/>
      <c r="Y192" s="278"/>
      <c r="Z192" s="278"/>
    </row>
    <row r="193">
      <c r="A193" s="278"/>
      <c r="B193" s="278"/>
      <c r="C193" s="278"/>
      <c r="D193" s="278"/>
      <c r="E193" s="278"/>
      <c r="F193" s="278"/>
      <c r="G193" s="278"/>
      <c r="H193" s="278"/>
      <c r="I193" s="278"/>
      <c r="J193" s="278"/>
      <c r="K193" s="278"/>
      <c r="L193" s="278"/>
      <c r="M193" s="278"/>
      <c r="N193" s="278"/>
      <c r="O193" s="278"/>
      <c r="P193" s="278"/>
      <c r="Q193" s="278"/>
      <c r="R193" s="278"/>
      <c r="S193" s="278"/>
      <c r="T193" s="278"/>
      <c r="U193" s="278"/>
      <c r="V193" s="278"/>
      <c r="W193" s="278"/>
      <c r="X193" s="278"/>
      <c r="Y193" s="278"/>
      <c r="Z193" s="278"/>
    </row>
    <row r="194">
      <c r="A194" s="278"/>
      <c r="B194" s="278"/>
      <c r="C194" s="278"/>
      <c r="D194" s="278"/>
      <c r="E194" s="278"/>
      <c r="F194" s="278"/>
      <c r="G194" s="278"/>
      <c r="H194" s="278"/>
      <c r="I194" s="278"/>
      <c r="J194" s="278"/>
      <c r="K194" s="278"/>
      <c r="L194" s="278"/>
      <c r="M194" s="278"/>
      <c r="N194" s="278"/>
      <c r="O194" s="278"/>
      <c r="P194" s="278"/>
      <c r="Q194" s="278"/>
      <c r="R194" s="278"/>
      <c r="S194" s="278"/>
      <c r="T194" s="278"/>
      <c r="U194" s="278"/>
      <c r="V194" s="278"/>
      <c r="W194" s="278"/>
      <c r="X194" s="278"/>
      <c r="Y194" s="278"/>
      <c r="Z194" s="278"/>
    </row>
    <row r="195">
      <c r="A195" s="278"/>
      <c r="B195" s="278"/>
      <c r="C195" s="278"/>
      <c r="D195" s="278"/>
      <c r="E195" s="278"/>
      <c r="F195" s="278"/>
      <c r="G195" s="278"/>
      <c r="H195" s="278"/>
      <c r="I195" s="278"/>
      <c r="J195" s="278"/>
      <c r="K195" s="278"/>
      <c r="L195" s="278"/>
      <c r="M195" s="278"/>
      <c r="N195" s="278"/>
      <c r="O195" s="278"/>
      <c r="P195" s="278"/>
      <c r="Q195" s="278"/>
      <c r="R195" s="278"/>
      <c r="S195" s="278"/>
      <c r="T195" s="278"/>
      <c r="U195" s="278"/>
      <c r="V195" s="278"/>
      <c r="W195" s="278"/>
      <c r="X195" s="278"/>
      <c r="Y195" s="278"/>
      <c r="Z195" s="278"/>
    </row>
    <row r="196">
      <c r="A196" s="278"/>
      <c r="B196" s="278"/>
      <c r="C196" s="278"/>
      <c r="D196" s="278"/>
      <c r="E196" s="278"/>
      <c r="F196" s="278"/>
      <c r="G196" s="278"/>
      <c r="H196" s="278"/>
      <c r="I196" s="278"/>
      <c r="J196" s="278"/>
      <c r="K196" s="278"/>
      <c r="L196" s="278"/>
      <c r="M196" s="278"/>
      <c r="N196" s="278"/>
      <c r="O196" s="278"/>
      <c r="P196" s="278"/>
      <c r="Q196" s="278"/>
      <c r="R196" s="278"/>
      <c r="S196" s="278"/>
      <c r="T196" s="278"/>
      <c r="U196" s="278"/>
      <c r="V196" s="278"/>
      <c r="W196" s="278"/>
      <c r="X196" s="278"/>
      <c r="Y196" s="278"/>
      <c r="Z196" s="278"/>
    </row>
    <row r="197">
      <c r="A197" s="278"/>
      <c r="B197" s="278"/>
      <c r="C197" s="278"/>
      <c r="D197" s="278"/>
      <c r="E197" s="278"/>
      <c r="F197" s="278"/>
      <c r="G197" s="278"/>
      <c r="H197" s="278"/>
      <c r="I197" s="278"/>
      <c r="J197" s="278"/>
      <c r="K197" s="278"/>
      <c r="L197" s="278"/>
      <c r="M197" s="278"/>
      <c r="N197" s="278"/>
      <c r="O197" s="278"/>
      <c r="P197" s="278"/>
      <c r="Q197" s="278"/>
      <c r="R197" s="278"/>
      <c r="S197" s="278"/>
      <c r="T197" s="278"/>
      <c r="U197" s="278"/>
      <c r="V197" s="278"/>
      <c r="W197" s="278"/>
      <c r="X197" s="278"/>
      <c r="Y197" s="278"/>
      <c r="Z197" s="278"/>
    </row>
    <row r="198">
      <c r="A198" s="278"/>
      <c r="B198" s="278"/>
      <c r="C198" s="278"/>
      <c r="D198" s="278"/>
      <c r="E198" s="278"/>
      <c r="F198" s="278"/>
      <c r="G198" s="278"/>
      <c r="H198" s="278"/>
      <c r="I198" s="278"/>
      <c r="J198" s="278"/>
      <c r="K198" s="278"/>
      <c r="L198" s="278"/>
      <c r="M198" s="278"/>
      <c r="N198" s="278"/>
      <c r="O198" s="278"/>
      <c r="P198" s="278"/>
      <c r="Q198" s="278"/>
      <c r="R198" s="278"/>
      <c r="S198" s="278"/>
      <c r="T198" s="278"/>
      <c r="U198" s="278"/>
      <c r="V198" s="278"/>
      <c r="W198" s="278"/>
      <c r="X198" s="278"/>
      <c r="Y198" s="278"/>
      <c r="Z198" s="278"/>
    </row>
    <row r="199">
      <c r="A199" s="278"/>
      <c r="B199" s="278"/>
      <c r="C199" s="278"/>
      <c r="D199" s="278"/>
      <c r="E199" s="278"/>
      <c r="F199" s="278"/>
      <c r="G199" s="278"/>
      <c r="H199" s="278"/>
      <c r="I199" s="278"/>
      <c r="J199" s="278"/>
      <c r="K199" s="278"/>
      <c r="L199" s="278"/>
      <c r="M199" s="278"/>
      <c r="N199" s="278"/>
      <c r="O199" s="278"/>
      <c r="P199" s="278"/>
      <c r="Q199" s="278"/>
      <c r="R199" s="278"/>
      <c r="S199" s="278"/>
      <c r="T199" s="278"/>
      <c r="U199" s="278"/>
      <c r="V199" s="278"/>
      <c r="W199" s="278"/>
      <c r="X199" s="278"/>
      <c r="Y199" s="278"/>
      <c r="Z199" s="278"/>
    </row>
    <row r="200">
      <c r="A200" s="278"/>
      <c r="B200" s="278"/>
      <c r="C200" s="278"/>
      <c r="D200" s="278"/>
      <c r="E200" s="278"/>
      <c r="F200" s="278"/>
      <c r="G200" s="278"/>
      <c r="H200" s="278"/>
      <c r="I200" s="278"/>
      <c r="J200" s="278"/>
      <c r="K200" s="278"/>
      <c r="L200" s="278"/>
      <c r="M200" s="278"/>
      <c r="N200" s="278"/>
      <c r="O200" s="278"/>
      <c r="P200" s="278"/>
      <c r="Q200" s="278"/>
      <c r="R200" s="278"/>
      <c r="S200" s="278"/>
      <c r="T200" s="278"/>
      <c r="U200" s="278"/>
      <c r="V200" s="278"/>
      <c r="W200" s="278"/>
      <c r="X200" s="278"/>
      <c r="Y200" s="278"/>
      <c r="Z200" s="278"/>
    </row>
    <row r="201">
      <c r="A201" s="278"/>
      <c r="B201" s="278"/>
      <c r="C201" s="278"/>
      <c r="D201" s="278"/>
      <c r="E201" s="278"/>
      <c r="F201" s="278"/>
      <c r="G201" s="278"/>
      <c r="H201" s="278"/>
      <c r="I201" s="278"/>
      <c r="J201" s="278"/>
      <c r="K201" s="278"/>
      <c r="L201" s="278"/>
      <c r="M201" s="278"/>
      <c r="N201" s="278"/>
      <c r="O201" s="278"/>
      <c r="P201" s="278"/>
      <c r="Q201" s="278"/>
      <c r="R201" s="278"/>
      <c r="S201" s="278"/>
      <c r="T201" s="278"/>
      <c r="U201" s="278"/>
      <c r="V201" s="278"/>
      <c r="W201" s="278"/>
      <c r="X201" s="278"/>
      <c r="Y201" s="278"/>
      <c r="Z201" s="278"/>
    </row>
    <row r="202">
      <c r="A202" s="278"/>
      <c r="B202" s="278"/>
      <c r="C202" s="278"/>
      <c r="D202" s="278"/>
      <c r="E202" s="278"/>
      <c r="F202" s="278"/>
      <c r="G202" s="278"/>
      <c r="H202" s="278"/>
      <c r="I202" s="278"/>
      <c r="J202" s="278"/>
      <c r="K202" s="278"/>
      <c r="L202" s="278"/>
      <c r="M202" s="278"/>
      <c r="N202" s="278"/>
      <c r="O202" s="278"/>
      <c r="P202" s="278"/>
      <c r="Q202" s="278"/>
      <c r="R202" s="278"/>
      <c r="S202" s="278"/>
      <c r="T202" s="278"/>
      <c r="U202" s="278"/>
      <c r="V202" s="278"/>
      <c r="W202" s="278"/>
      <c r="X202" s="278"/>
      <c r="Y202" s="278"/>
      <c r="Z202" s="278"/>
    </row>
    <row r="203">
      <c r="A203" s="278"/>
      <c r="B203" s="278"/>
      <c r="C203" s="278"/>
      <c r="D203" s="278"/>
      <c r="E203" s="278"/>
      <c r="F203" s="278"/>
      <c r="G203" s="278"/>
      <c r="H203" s="278"/>
      <c r="I203" s="278"/>
      <c r="J203" s="278"/>
      <c r="K203" s="278"/>
      <c r="L203" s="278"/>
      <c r="M203" s="278"/>
      <c r="N203" s="278"/>
      <c r="O203" s="278"/>
      <c r="P203" s="278"/>
      <c r="Q203" s="278"/>
      <c r="R203" s="278"/>
      <c r="S203" s="278"/>
      <c r="T203" s="278"/>
      <c r="U203" s="278"/>
      <c r="V203" s="278"/>
      <c r="W203" s="278"/>
      <c r="X203" s="278"/>
      <c r="Y203" s="278"/>
      <c r="Z203" s="278"/>
    </row>
    <row r="204">
      <c r="A204" s="278"/>
      <c r="B204" s="278"/>
      <c r="C204" s="278"/>
      <c r="D204" s="278"/>
      <c r="E204" s="278"/>
      <c r="F204" s="278"/>
      <c r="G204" s="278"/>
      <c r="H204" s="278"/>
      <c r="I204" s="278"/>
      <c r="J204" s="278"/>
      <c r="K204" s="278"/>
      <c r="L204" s="278"/>
      <c r="M204" s="278"/>
      <c r="N204" s="278"/>
      <c r="O204" s="278"/>
      <c r="P204" s="278"/>
      <c r="Q204" s="278"/>
      <c r="R204" s="278"/>
      <c r="S204" s="278"/>
      <c r="T204" s="278"/>
      <c r="U204" s="278"/>
      <c r="V204" s="278"/>
      <c r="W204" s="278"/>
      <c r="X204" s="278"/>
      <c r="Y204" s="278"/>
      <c r="Z204" s="278"/>
    </row>
    <row r="205">
      <c r="A205" s="278"/>
      <c r="B205" s="278"/>
      <c r="C205" s="278"/>
      <c r="D205" s="278"/>
      <c r="E205" s="278"/>
      <c r="F205" s="278"/>
      <c r="G205" s="278"/>
      <c r="H205" s="278"/>
      <c r="I205" s="278"/>
      <c r="J205" s="278"/>
      <c r="K205" s="278"/>
      <c r="L205" s="278"/>
      <c r="M205" s="278"/>
      <c r="N205" s="278"/>
      <c r="O205" s="278"/>
      <c r="P205" s="278"/>
      <c r="Q205" s="278"/>
      <c r="R205" s="278"/>
      <c r="S205" s="278"/>
      <c r="T205" s="278"/>
      <c r="U205" s="278"/>
      <c r="V205" s="278"/>
      <c r="W205" s="278"/>
      <c r="X205" s="278"/>
      <c r="Y205" s="278"/>
      <c r="Z205" s="278"/>
    </row>
    <row r="206">
      <c r="A206" s="278"/>
      <c r="B206" s="278"/>
      <c r="C206" s="278"/>
      <c r="D206" s="278"/>
      <c r="E206" s="278"/>
      <c r="F206" s="278"/>
      <c r="G206" s="278"/>
      <c r="H206" s="278"/>
      <c r="I206" s="278"/>
      <c r="J206" s="278"/>
      <c r="K206" s="278"/>
      <c r="L206" s="278"/>
      <c r="M206" s="278"/>
      <c r="N206" s="278"/>
      <c r="O206" s="278"/>
      <c r="P206" s="278"/>
      <c r="Q206" s="278"/>
      <c r="R206" s="278"/>
      <c r="S206" s="278"/>
      <c r="T206" s="278"/>
      <c r="U206" s="278"/>
      <c r="V206" s="278"/>
      <c r="W206" s="278"/>
      <c r="X206" s="278"/>
      <c r="Y206" s="278"/>
      <c r="Z206" s="278"/>
    </row>
    <row r="207">
      <c r="A207" s="278"/>
      <c r="B207" s="278"/>
      <c r="C207" s="278"/>
      <c r="D207" s="278"/>
      <c r="E207" s="278"/>
      <c r="F207" s="278"/>
      <c r="G207" s="278"/>
      <c r="H207" s="278"/>
      <c r="I207" s="278"/>
      <c r="J207" s="278"/>
      <c r="K207" s="278"/>
      <c r="L207" s="278"/>
      <c r="M207" s="278"/>
      <c r="N207" s="278"/>
      <c r="O207" s="278"/>
      <c r="P207" s="278"/>
      <c r="Q207" s="278"/>
      <c r="R207" s="278"/>
      <c r="S207" s="278"/>
      <c r="T207" s="278"/>
      <c r="U207" s="278"/>
      <c r="V207" s="278"/>
      <c r="W207" s="278"/>
      <c r="X207" s="278"/>
      <c r="Y207" s="278"/>
      <c r="Z207" s="278"/>
    </row>
    <row r="208">
      <c r="A208" s="278"/>
      <c r="B208" s="278"/>
      <c r="C208" s="278"/>
      <c r="D208" s="278"/>
      <c r="E208" s="278"/>
      <c r="F208" s="278"/>
      <c r="G208" s="278"/>
      <c r="H208" s="278"/>
      <c r="I208" s="278"/>
      <c r="J208" s="278"/>
      <c r="K208" s="278"/>
      <c r="L208" s="278"/>
      <c r="M208" s="278"/>
      <c r="N208" s="278"/>
      <c r="O208" s="278"/>
      <c r="P208" s="278"/>
      <c r="Q208" s="278"/>
      <c r="R208" s="278"/>
      <c r="S208" s="278"/>
      <c r="T208" s="278"/>
      <c r="U208" s="278"/>
      <c r="V208" s="278"/>
      <c r="W208" s="278"/>
      <c r="X208" s="278"/>
      <c r="Y208" s="278"/>
      <c r="Z208" s="278"/>
    </row>
    <row r="209">
      <c r="A209" s="278"/>
      <c r="B209" s="278"/>
      <c r="C209" s="278"/>
      <c r="D209" s="278"/>
      <c r="E209" s="278"/>
      <c r="F209" s="278"/>
      <c r="G209" s="278"/>
      <c r="H209" s="278"/>
      <c r="I209" s="278"/>
      <c r="J209" s="278"/>
      <c r="K209" s="278"/>
      <c r="L209" s="278"/>
      <c r="M209" s="278"/>
      <c r="N209" s="278"/>
      <c r="O209" s="278"/>
      <c r="P209" s="278"/>
      <c r="Q209" s="278"/>
      <c r="R209" s="278"/>
      <c r="S209" s="278"/>
      <c r="T209" s="278"/>
      <c r="U209" s="278"/>
      <c r="V209" s="278"/>
      <c r="W209" s="278"/>
      <c r="X209" s="278"/>
      <c r="Y209" s="278"/>
      <c r="Z209" s="278"/>
    </row>
    <row r="210">
      <c r="A210" s="278"/>
      <c r="B210" s="278"/>
      <c r="C210" s="278"/>
      <c r="D210" s="278"/>
      <c r="E210" s="278"/>
      <c r="F210" s="278"/>
      <c r="G210" s="278"/>
      <c r="H210" s="278"/>
      <c r="I210" s="278"/>
      <c r="J210" s="278"/>
      <c r="K210" s="278"/>
      <c r="L210" s="278"/>
      <c r="M210" s="278"/>
      <c r="N210" s="278"/>
      <c r="O210" s="278"/>
      <c r="P210" s="278"/>
      <c r="Q210" s="278"/>
      <c r="R210" s="278"/>
      <c r="S210" s="278"/>
      <c r="T210" s="278"/>
      <c r="U210" s="278"/>
      <c r="V210" s="278"/>
      <c r="W210" s="278"/>
      <c r="X210" s="278"/>
      <c r="Y210" s="278"/>
      <c r="Z210" s="278"/>
    </row>
    <row r="211">
      <c r="A211" s="278"/>
      <c r="B211" s="278"/>
      <c r="C211" s="278"/>
      <c r="D211" s="278"/>
      <c r="E211" s="278"/>
      <c r="F211" s="278"/>
      <c r="G211" s="278"/>
      <c r="H211" s="278"/>
      <c r="I211" s="278"/>
      <c r="J211" s="278"/>
      <c r="K211" s="278"/>
      <c r="L211" s="278"/>
      <c r="M211" s="278"/>
      <c r="N211" s="278"/>
      <c r="O211" s="278"/>
      <c r="P211" s="278"/>
      <c r="Q211" s="278"/>
      <c r="R211" s="278"/>
      <c r="S211" s="278"/>
      <c r="T211" s="278"/>
      <c r="U211" s="278"/>
      <c r="V211" s="278"/>
      <c r="W211" s="278"/>
      <c r="X211" s="278"/>
      <c r="Y211" s="278"/>
      <c r="Z211" s="278"/>
    </row>
    <row r="212">
      <c r="A212" s="278"/>
      <c r="B212" s="278"/>
      <c r="C212" s="278"/>
      <c r="D212" s="278"/>
      <c r="E212" s="278"/>
      <c r="F212" s="278"/>
      <c r="G212" s="278"/>
      <c r="H212" s="278"/>
      <c r="I212" s="278"/>
      <c r="J212" s="278"/>
      <c r="K212" s="278"/>
      <c r="L212" s="278"/>
      <c r="M212" s="278"/>
      <c r="N212" s="278"/>
      <c r="O212" s="278"/>
      <c r="P212" s="278"/>
      <c r="Q212" s="278"/>
      <c r="R212" s="278"/>
      <c r="S212" s="278"/>
      <c r="T212" s="278"/>
      <c r="U212" s="278"/>
      <c r="V212" s="278"/>
      <c r="W212" s="278"/>
      <c r="X212" s="278"/>
      <c r="Y212" s="278"/>
      <c r="Z212" s="278"/>
    </row>
    <row r="213">
      <c r="A213" s="278"/>
      <c r="B213" s="278"/>
      <c r="C213" s="278"/>
      <c r="D213" s="278"/>
      <c r="E213" s="278"/>
      <c r="F213" s="278"/>
      <c r="G213" s="278"/>
      <c r="H213" s="278"/>
      <c r="I213" s="278"/>
      <c r="J213" s="278"/>
      <c r="K213" s="278"/>
      <c r="L213" s="278"/>
      <c r="M213" s="278"/>
      <c r="N213" s="278"/>
      <c r="O213" s="278"/>
      <c r="P213" s="278"/>
      <c r="Q213" s="278"/>
      <c r="R213" s="278"/>
      <c r="S213" s="278"/>
      <c r="T213" s="278"/>
      <c r="U213" s="278"/>
      <c r="V213" s="278"/>
      <c r="W213" s="278"/>
      <c r="X213" s="278"/>
      <c r="Y213" s="278"/>
      <c r="Z213" s="278"/>
    </row>
    <row r="214">
      <c r="A214" s="278"/>
      <c r="B214" s="278"/>
      <c r="C214" s="278"/>
      <c r="D214" s="278"/>
      <c r="E214" s="278"/>
      <c r="F214" s="278"/>
      <c r="G214" s="278"/>
      <c r="H214" s="278"/>
      <c r="I214" s="278"/>
      <c r="J214" s="278"/>
      <c r="K214" s="278"/>
      <c r="L214" s="278"/>
      <c r="M214" s="278"/>
      <c r="N214" s="278"/>
      <c r="O214" s="278"/>
      <c r="P214" s="278"/>
      <c r="Q214" s="278"/>
      <c r="R214" s="278"/>
      <c r="S214" s="278"/>
      <c r="T214" s="278"/>
      <c r="U214" s="278"/>
      <c r="V214" s="278"/>
      <c r="W214" s="278"/>
      <c r="X214" s="278"/>
      <c r="Y214" s="278"/>
      <c r="Z214" s="278"/>
    </row>
    <row r="215">
      <c r="A215" s="278"/>
      <c r="B215" s="278"/>
      <c r="C215" s="278"/>
      <c r="D215" s="278"/>
      <c r="E215" s="278"/>
      <c r="F215" s="278"/>
      <c r="G215" s="278"/>
      <c r="H215" s="278"/>
      <c r="I215" s="278"/>
      <c r="J215" s="278"/>
      <c r="K215" s="278"/>
      <c r="L215" s="278"/>
      <c r="M215" s="278"/>
      <c r="N215" s="278"/>
      <c r="O215" s="278"/>
      <c r="P215" s="278"/>
      <c r="Q215" s="278"/>
      <c r="R215" s="278"/>
      <c r="S215" s="278"/>
      <c r="T215" s="278"/>
      <c r="U215" s="278"/>
      <c r="V215" s="278"/>
      <c r="W215" s="278"/>
      <c r="X215" s="278"/>
      <c r="Y215" s="278"/>
      <c r="Z215" s="278"/>
    </row>
    <row r="216">
      <c r="A216" s="278"/>
      <c r="B216" s="278"/>
      <c r="C216" s="278"/>
      <c r="D216" s="278"/>
      <c r="E216" s="278"/>
      <c r="F216" s="278"/>
      <c r="G216" s="278"/>
      <c r="H216" s="278"/>
      <c r="I216" s="278"/>
      <c r="J216" s="278"/>
      <c r="K216" s="278"/>
      <c r="L216" s="278"/>
      <c r="M216" s="278"/>
      <c r="N216" s="278"/>
      <c r="O216" s="278"/>
      <c r="P216" s="278"/>
      <c r="Q216" s="278"/>
      <c r="R216" s="278"/>
      <c r="S216" s="278"/>
      <c r="T216" s="278"/>
      <c r="U216" s="278"/>
      <c r="V216" s="278"/>
      <c r="W216" s="278"/>
      <c r="X216" s="278"/>
      <c r="Y216" s="278"/>
      <c r="Z216" s="278"/>
    </row>
    <row r="217">
      <c r="A217" s="278"/>
      <c r="B217" s="278"/>
      <c r="C217" s="278"/>
      <c r="D217" s="278"/>
      <c r="E217" s="278"/>
      <c r="F217" s="278"/>
      <c r="G217" s="278"/>
      <c r="H217" s="278"/>
      <c r="I217" s="278"/>
      <c r="J217" s="278"/>
      <c r="K217" s="278"/>
      <c r="L217" s="278"/>
      <c r="M217" s="278"/>
      <c r="N217" s="278"/>
      <c r="O217" s="278"/>
      <c r="P217" s="278"/>
      <c r="Q217" s="278"/>
      <c r="R217" s="278"/>
      <c r="S217" s="278"/>
      <c r="T217" s="278"/>
      <c r="U217" s="278"/>
      <c r="V217" s="278"/>
      <c r="W217" s="278"/>
      <c r="X217" s="278"/>
      <c r="Y217" s="278"/>
      <c r="Z217" s="278"/>
    </row>
    <row r="218">
      <c r="A218" s="278"/>
      <c r="B218" s="278"/>
      <c r="C218" s="278"/>
      <c r="D218" s="278"/>
      <c r="E218" s="278"/>
      <c r="F218" s="278"/>
      <c r="G218" s="278"/>
      <c r="H218" s="278"/>
      <c r="I218" s="278"/>
      <c r="J218" s="278"/>
      <c r="K218" s="278"/>
      <c r="L218" s="278"/>
      <c r="M218" s="278"/>
      <c r="N218" s="278"/>
      <c r="O218" s="278"/>
      <c r="P218" s="278"/>
      <c r="Q218" s="278"/>
      <c r="R218" s="278"/>
      <c r="S218" s="278"/>
      <c r="T218" s="278"/>
      <c r="U218" s="278"/>
      <c r="V218" s="278"/>
      <c r="W218" s="278"/>
      <c r="X218" s="278"/>
      <c r="Y218" s="278"/>
      <c r="Z218" s="278"/>
    </row>
    <row r="219">
      <c r="A219" s="278"/>
      <c r="B219" s="278"/>
      <c r="C219" s="278"/>
      <c r="D219" s="278"/>
      <c r="E219" s="278"/>
      <c r="F219" s="278"/>
      <c r="G219" s="278"/>
      <c r="H219" s="278"/>
      <c r="I219" s="278"/>
      <c r="J219" s="278"/>
      <c r="K219" s="278"/>
      <c r="L219" s="278"/>
      <c r="M219" s="278"/>
      <c r="N219" s="278"/>
      <c r="O219" s="278"/>
      <c r="P219" s="278"/>
      <c r="Q219" s="278"/>
      <c r="R219" s="278"/>
      <c r="S219" s="278"/>
      <c r="T219" s="278"/>
      <c r="U219" s="278"/>
      <c r="V219" s="278"/>
      <c r="W219" s="278"/>
      <c r="X219" s="278"/>
      <c r="Y219" s="278"/>
      <c r="Z219" s="278"/>
    </row>
    <row r="220">
      <c r="A220" s="278"/>
      <c r="B220" s="278"/>
      <c r="C220" s="278"/>
      <c r="D220" s="278"/>
      <c r="E220" s="278"/>
      <c r="F220" s="278"/>
      <c r="G220" s="278"/>
      <c r="H220" s="278"/>
      <c r="I220" s="278"/>
      <c r="J220" s="278"/>
      <c r="K220" s="278"/>
      <c r="L220" s="278"/>
      <c r="M220" s="278"/>
      <c r="N220" s="278"/>
      <c r="O220" s="278"/>
      <c r="P220" s="278"/>
      <c r="Q220" s="278"/>
      <c r="R220" s="278"/>
      <c r="S220" s="278"/>
      <c r="T220" s="278"/>
      <c r="U220" s="278"/>
      <c r="V220" s="278"/>
      <c r="W220" s="278"/>
      <c r="X220" s="278"/>
      <c r="Y220" s="278"/>
      <c r="Z220" s="278"/>
    </row>
    <row r="221">
      <c r="A221" s="278"/>
      <c r="B221" s="278"/>
      <c r="C221" s="278"/>
      <c r="D221" s="278"/>
      <c r="E221" s="278"/>
      <c r="F221" s="278"/>
      <c r="G221" s="278"/>
      <c r="H221" s="278"/>
      <c r="I221" s="278"/>
      <c r="J221" s="278"/>
      <c r="K221" s="278"/>
      <c r="L221" s="278"/>
      <c r="M221" s="278"/>
      <c r="N221" s="278"/>
      <c r="O221" s="278"/>
      <c r="P221" s="278"/>
      <c r="Q221" s="278"/>
      <c r="R221" s="278"/>
      <c r="S221" s="278"/>
      <c r="T221" s="278"/>
      <c r="U221" s="278"/>
      <c r="V221" s="278"/>
      <c r="W221" s="278"/>
      <c r="X221" s="278"/>
      <c r="Y221" s="278"/>
      <c r="Z221" s="278"/>
    </row>
    <row r="222">
      <c r="A222" s="278"/>
      <c r="B222" s="278"/>
      <c r="C222" s="278"/>
      <c r="D222" s="278"/>
      <c r="E222" s="278"/>
      <c r="F222" s="278"/>
      <c r="G222" s="278"/>
      <c r="H222" s="278"/>
      <c r="I222" s="278"/>
      <c r="J222" s="278"/>
      <c r="K222" s="278"/>
      <c r="L222" s="278"/>
      <c r="M222" s="278"/>
      <c r="N222" s="278"/>
      <c r="O222" s="278"/>
      <c r="P222" s="278"/>
      <c r="Q222" s="278"/>
      <c r="R222" s="278"/>
      <c r="S222" s="278"/>
      <c r="T222" s="278"/>
      <c r="U222" s="278"/>
      <c r="V222" s="278"/>
      <c r="W222" s="278"/>
      <c r="X222" s="278"/>
      <c r="Y222" s="278"/>
      <c r="Z222" s="278"/>
    </row>
    <row r="223">
      <c r="A223" s="278"/>
      <c r="B223" s="278"/>
      <c r="C223" s="278"/>
      <c r="D223" s="278"/>
      <c r="E223" s="278"/>
      <c r="F223" s="278"/>
      <c r="G223" s="278"/>
      <c r="H223" s="278"/>
      <c r="I223" s="278"/>
      <c r="J223" s="278"/>
      <c r="K223" s="278"/>
      <c r="L223" s="278"/>
      <c r="M223" s="278"/>
      <c r="N223" s="278"/>
      <c r="O223" s="278"/>
      <c r="P223" s="278"/>
      <c r="Q223" s="278"/>
      <c r="R223" s="278"/>
      <c r="S223" s="278"/>
      <c r="T223" s="278"/>
      <c r="U223" s="278"/>
      <c r="V223" s="278"/>
      <c r="W223" s="278"/>
      <c r="X223" s="278"/>
      <c r="Y223" s="278"/>
      <c r="Z223" s="278"/>
    </row>
    <row r="224">
      <c r="A224" s="278"/>
      <c r="B224" s="278"/>
      <c r="C224" s="278"/>
      <c r="D224" s="278"/>
      <c r="E224" s="278"/>
      <c r="F224" s="278"/>
      <c r="G224" s="278"/>
      <c r="H224" s="278"/>
      <c r="I224" s="278"/>
      <c r="J224" s="278"/>
      <c r="K224" s="278"/>
      <c r="L224" s="278"/>
      <c r="M224" s="278"/>
      <c r="N224" s="278"/>
      <c r="O224" s="278"/>
      <c r="P224" s="278"/>
      <c r="Q224" s="278"/>
      <c r="R224" s="278"/>
      <c r="S224" s="278"/>
      <c r="T224" s="278"/>
      <c r="U224" s="278"/>
      <c r="V224" s="278"/>
      <c r="W224" s="278"/>
      <c r="X224" s="278"/>
      <c r="Y224" s="278"/>
      <c r="Z224" s="278"/>
    </row>
    <row r="225">
      <c r="A225" s="278"/>
      <c r="B225" s="278"/>
      <c r="C225" s="278"/>
      <c r="D225" s="278"/>
      <c r="E225" s="278"/>
      <c r="F225" s="278"/>
      <c r="G225" s="278"/>
      <c r="H225" s="278"/>
      <c r="I225" s="278"/>
      <c r="J225" s="278"/>
      <c r="K225" s="278"/>
      <c r="L225" s="278"/>
      <c r="M225" s="278"/>
      <c r="N225" s="278"/>
      <c r="O225" s="278"/>
      <c r="P225" s="278"/>
      <c r="Q225" s="278"/>
      <c r="R225" s="278"/>
      <c r="S225" s="278"/>
      <c r="T225" s="278"/>
      <c r="U225" s="278"/>
      <c r="V225" s="278"/>
      <c r="W225" s="278"/>
      <c r="X225" s="278"/>
      <c r="Y225" s="278"/>
      <c r="Z225" s="278"/>
    </row>
    <row r="226">
      <c r="A226" s="278"/>
      <c r="B226" s="278"/>
      <c r="C226" s="278"/>
      <c r="D226" s="278"/>
      <c r="E226" s="278"/>
      <c r="F226" s="278"/>
      <c r="G226" s="278"/>
      <c r="H226" s="278"/>
      <c r="I226" s="278"/>
      <c r="J226" s="278"/>
      <c r="K226" s="278"/>
      <c r="L226" s="278"/>
      <c r="M226" s="278"/>
      <c r="N226" s="278"/>
      <c r="O226" s="278"/>
      <c r="P226" s="278"/>
      <c r="Q226" s="278"/>
      <c r="R226" s="278"/>
      <c r="S226" s="278"/>
      <c r="T226" s="278"/>
      <c r="U226" s="278"/>
      <c r="V226" s="278"/>
      <c r="W226" s="278"/>
      <c r="X226" s="278"/>
      <c r="Y226" s="278"/>
      <c r="Z226" s="278"/>
    </row>
    <row r="227">
      <c r="A227" s="278"/>
      <c r="B227" s="278"/>
      <c r="C227" s="278"/>
      <c r="D227" s="278"/>
      <c r="E227" s="278"/>
      <c r="F227" s="278"/>
      <c r="G227" s="278"/>
      <c r="H227" s="278"/>
      <c r="I227" s="278"/>
      <c r="J227" s="278"/>
      <c r="K227" s="278"/>
      <c r="L227" s="278"/>
      <c r="M227" s="278"/>
      <c r="N227" s="278"/>
      <c r="O227" s="278"/>
      <c r="P227" s="278"/>
      <c r="Q227" s="278"/>
      <c r="R227" s="278"/>
      <c r="S227" s="278"/>
      <c r="T227" s="278"/>
      <c r="U227" s="278"/>
      <c r="V227" s="278"/>
      <c r="W227" s="278"/>
      <c r="X227" s="278"/>
      <c r="Y227" s="278"/>
      <c r="Z227" s="278"/>
    </row>
    <row r="228">
      <c r="A228" s="278"/>
      <c r="B228" s="278"/>
      <c r="C228" s="278"/>
      <c r="D228" s="278"/>
      <c r="E228" s="278"/>
      <c r="F228" s="278"/>
      <c r="G228" s="278"/>
      <c r="H228" s="278"/>
      <c r="I228" s="278"/>
      <c r="J228" s="278"/>
      <c r="K228" s="278"/>
      <c r="L228" s="278"/>
      <c r="M228" s="278"/>
      <c r="N228" s="278"/>
      <c r="O228" s="278"/>
      <c r="P228" s="278"/>
      <c r="Q228" s="278"/>
      <c r="R228" s="278"/>
      <c r="S228" s="278"/>
      <c r="T228" s="278"/>
      <c r="U228" s="278"/>
      <c r="V228" s="278"/>
      <c r="W228" s="278"/>
      <c r="X228" s="278"/>
      <c r="Y228" s="278"/>
      <c r="Z228" s="278"/>
    </row>
    <row r="229">
      <c r="A229" s="278"/>
      <c r="B229" s="278"/>
      <c r="C229" s="278"/>
      <c r="D229" s="278"/>
      <c r="E229" s="278"/>
      <c r="F229" s="278"/>
      <c r="G229" s="278"/>
      <c r="H229" s="278"/>
      <c r="I229" s="278"/>
      <c r="J229" s="278"/>
      <c r="K229" s="278"/>
      <c r="L229" s="278"/>
      <c r="M229" s="278"/>
      <c r="N229" s="278"/>
      <c r="O229" s="278"/>
      <c r="P229" s="278"/>
      <c r="Q229" s="278"/>
      <c r="R229" s="278"/>
      <c r="S229" s="278"/>
      <c r="T229" s="278"/>
      <c r="U229" s="278"/>
      <c r="V229" s="278"/>
      <c r="W229" s="278"/>
      <c r="X229" s="278"/>
      <c r="Y229" s="278"/>
      <c r="Z229" s="278"/>
    </row>
    <row r="230">
      <c r="A230" s="278"/>
      <c r="B230" s="278"/>
      <c r="C230" s="278"/>
      <c r="D230" s="278"/>
      <c r="E230" s="278"/>
      <c r="F230" s="278"/>
      <c r="G230" s="278"/>
      <c r="H230" s="278"/>
      <c r="I230" s="278"/>
      <c r="J230" s="278"/>
      <c r="K230" s="278"/>
      <c r="L230" s="278"/>
      <c r="M230" s="278"/>
      <c r="N230" s="278"/>
      <c r="O230" s="278"/>
      <c r="P230" s="278"/>
      <c r="Q230" s="278"/>
      <c r="R230" s="278"/>
      <c r="S230" s="278"/>
      <c r="T230" s="278"/>
      <c r="U230" s="278"/>
      <c r="V230" s="278"/>
      <c r="W230" s="278"/>
      <c r="X230" s="278"/>
      <c r="Y230" s="278"/>
      <c r="Z230" s="278"/>
    </row>
    <row r="231">
      <c r="A231" s="278"/>
      <c r="B231" s="278"/>
      <c r="C231" s="278"/>
      <c r="D231" s="278"/>
      <c r="E231" s="278"/>
      <c r="F231" s="278"/>
      <c r="G231" s="278"/>
      <c r="H231" s="278"/>
      <c r="I231" s="278"/>
      <c r="J231" s="278"/>
      <c r="K231" s="278"/>
      <c r="L231" s="278"/>
      <c r="M231" s="278"/>
      <c r="N231" s="278"/>
      <c r="O231" s="278"/>
      <c r="P231" s="278"/>
      <c r="Q231" s="278"/>
      <c r="R231" s="278"/>
      <c r="S231" s="278"/>
      <c r="T231" s="278"/>
      <c r="U231" s="278"/>
      <c r="V231" s="278"/>
      <c r="W231" s="278"/>
      <c r="X231" s="278"/>
      <c r="Y231" s="278"/>
      <c r="Z231" s="278"/>
    </row>
    <row r="232">
      <c r="A232" s="278"/>
      <c r="B232" s="278"/>
      <c r="C232" s="278"/>
      <c r="D232" s="278"/>
      <c r="E232" s="278"/>
      <c r="F232" s="278"/>
      <c r="G232" s="278"/>
      <c r="H232" s="278"/>
      <c r="I232" s="278"/>
      <c r="J232" s="278"/>
      <c r="K232" s="278"/>
      <c r="L232" s="278"/>
      <c r="M232" s="278"/>
      <c r="N232" s="278"/>
      <c r="O232" s="278"/>
      <c r="P232" s="278"/>
      <c r="Q232" s="278"/>
      <c r="R232" s="278"/>
      <c r="S232" s="278"/>
      <c r="T232" s="278"/>
      <c r="U232" s="278"/>
      <c r="V232" s="278"/>
      <c r="W232" s="278"/>
      <c r="X232" s="278"/>
      <c r="Y232" s="278"/>
      <c r="Z232" s="278"/>
    </row>
    <row r="233">
      <c r="A233" s="278"/>
      <c r="B233" s="278"/>
      <c r="C233" s="278"/>
      <c r="D233" s="278"/>
      <c r="E233" s="278"/>
      <c r="F233" s="278"/>
      <c r="G233" s="278"/>
      <c r="H233" s="278"/>
      <c r="I233" s="278"/>
      <c r="J233" s="278"/>
      <c r="K233" s="278"/>
      <c r="L233" s="278"/>
      <c r="M233" s="278"/>
      <c r="N233" s="278"/>
      <c r="O233" s="278"/>
      <c r="P233" s="278"/>
      <c r="Q233" s="278"/>
      <c r="R233" s="278"/>
      <c r="S233" s="278"/>
      <c r="T233" s="278"/>
      <c r="U233" s="278"/>
      <c r="V233" s="278"/>
      <c r="W233" s="278"/>
      <c r="X233" s="278"/>
      <c r="Y233" s="278"/>
      <c r="Z233" s="278"/>
    </row>
    <row r="234">
      <c r="A234" s="278"/>
      <c r="B234" s="278"/>
      <c r="C234" s="278"/>
      <c r="D234" s="278"/>
      <c r="E234" s="278"/>
      <c r="F234" s="278"/>
      <c r="G234" s="278"/>
      <c r="H234" s="278"/>
      <c r="I234" s="278"/>
      <c r="J234" s="278"/>
      <c r="K234" s="278"/>
      <c r="L234" s="278"/>
      <c r="M234" s="278"/>
      <c r="N234" s="278"/>
      <c r="O234" s="278"/>
      <c r="P234" s="278"/>
      <c r="Q234" s="278"/>
      <c r="R234" s="278"/>
      <c r="S234" s="278"/>
      <c r="T234" s="278"/>
      <c r="U234" s="278"/>
      <c r="V234" s="278"/>
      <c r="W234" s="278"/>
      <c r="X234" s="278"/>
      <c r="Y234" s="278"/>
      <c r="Z234" s="278"/>
    </row>
    <row r="235">
      <c r="A235" s="278"/>
      <c r="B235" s="278"/>
      <c r="C235" s="278"/>
      <c r="D235" s="278"/>
      <c r="E235" s="278"/>
      <c r="F235" s="278"/>
      <c r="G235" s="278"/>
      <c r="H235" s="278"/>
      <c r="I235" s="278"/>
      <c r="J235" s="278"/>
      <c r="K235" s="278"/>
      <c r="L235" s="278"/>
      <c r="M235" s="278"/>
      <c r="N235" s="278"/>
      <c r="O235" s="278"/>
      <c r="P235" s="278"/>
      <c r="Q235" s="278"/>
      <c r="R235" s="278"/>
      <c r="S235" s="278"/>
      <c r="T235" s="278"/>
      <c r="U235" s="278"/>
      <c r="V235" s="278"/>
      <c r="W235" s="278"/>
      <c r="X235" s="278"/>
      <c r="Y235" s="278"/>
      <c r="Z235" s="278"/>
    </row>
    <row r="236">
      <c r="A236" s="278"/>
      <c r="B236" s="278"/>
      <c r="C236" s="278"/>
      <c r="D236" s="278"/>
      <c r="E236" s="278"/>
      <c r="F236" s="278"/>
      <c r="G236" s="278"/>
      <c r="H236" s="278"/>
      <c r="I236" s="278"/>
      <c r="J236" s="278"/>
      <c r="K236" s="278"/>
      <c r="L236" s="278"/>
      <c r="M236" s="278"/>
      <c r="N236" s="278"/>
      <c r="O236" s="278"/>
      <c r="P236" s="278"/>
      <c r="Q236" s="278"/>
      <c r="R236" s="278"/>
      <c r="S236" s="278"/>
      <c r="T236" s="278"/>
      <c r="U236" s="278"/>
      <c r="V236" s="278"/>
      <c r="W236" s="278"/>
      <c r="X236" s="278"/>
      <c r="Y236" s="278"/>
      <c r="Z236" s="278"/>
    </row>
    <row r="237">
      <c r="A237" s="278"/>
      <c r="B237" s="278"/>
      <c r="C237" s="278"/>
      <c r="D237" s="278"/>
      <c r="E237" s="278"/>
      <c r="F237" s="278"/>
      <c r="G237" s="278"/>
      <c r="H237" s="278"/>
      <c r="I237" s="278"/>
      <c r="J237" s="278"/>
      <c r="K237" s="278"/>
      <c r="L237" s="278"/>
      <c r="M237" s="278"/>
      <c r="N237" s="278"/>
      <c r="O237" s="278"/>
      <c r="P237" s="278"/>
      <c r="Q237" s="278"/>
      <c r="R237" s="278"/>
      <c r="S237" s="278"/>
      <c r="T237" s="278"/>
      <c r="U237" s="278"/>
      <c r="V237" s="278"/>
      <c r="W237" s="278"/>
      <c r="X237" s="278"/>
      <c r="Y237" s="278"/>
      <c r="Z237" s="278"/>
    </row>
    <row r="238">
      <c r="A238" s="278"/>
      <c r="B238" s="278"/>
      <c r="C238" s="278"/>
      <c r="D238" s="278"/>
      <c r="E238" s="278"/>
      <c r="F238" s="278"/>
      <c r="G238" s="278"/>
      <c r="H238" s="278"/>
      <c r="I238" s="278"/>
      <c r="J238" s="278"/>
      <c r="K238" s="278"/>
      <c r="L238" s="278"/>
      <c r="M238" s="278"/>
      <c r="N238" s="278"/>
      <c r="O238" s="278"/>
      <c r="P238" s="278"/>
      <c r="Q238" s="278"/>
      <c r="R238" s="278"/>
      <c r="S238" s="278"/>
      <c r="T238" s="278"/>
      <c r="U238" s="278"/>
      <c r="V238" s="278"/>
      <c r="W238" s="278"/>
      <c r="X238" s="278"/>
      <c r="Y238" s="278"/>
      <c r="Z238" s="278"/>
    </row>
    <row r="239">
      <c r="A239" s="278"/>
      <c r="B239" s="278"/>
      <c r="C239" s="278"/>
      <c r="D239" s="278"/>
      <c r="E239" s="278"/>
      <c r="F239" s="278"/>
      <c r="G239" s="278"/>
      <c r="H239" s="278"/>
      <c r="I239" s="278"/>
      <c r="J239" s="278"/>
      <c r="K239" s="278"/>
      <c r="L239" s="278"/>
      <c r="M239" s="278"/>
      <c r="N239" s="278"/>
      <c r="O239" s="278"/>
      <c r="P239" s="278"/>
      <c r="Q239" s="278"/>
      <c r="R239" s="278"/>
      <c r="S239" s="278"/>
      <c r="T239" s="278"/>
      <c r="U239" s="278"/>
      <c r="V239" s="278"/>
      <c r="W239" s="278"/>
      <c r="X239" s="278"/>
      <c r="Y239" s="278"/>
      <c r="Z239" s="278"/>
    </row>
    <row r="240">
      <c r="A240" s="278"/>
      <c r="B240" s="278"/>
      <c r="C240" s="278"/>
      <c r="D240" s="278"/>
      <c r="E240" s="278"/>
      <c r="F240" s="278"/>
      <c r="G240" s="278"/>
      <c r="H240" s="278"/>
      <c r="I240" s="278"/>
      <c r="J240" s="278"/>
      <c r="K240" s="278"/>
      <c r="L240" s="278"/>
      <c r="M240" s="278"/>
      <c r="N240" s="278"/>
      <c r="O240" s="278"/>
      <c r="P240" s="278"/>
      <c r="Q240" s="278"/>
      <c r="R240" s="278"/>
      <c r="S240" s="278"/>
      <c r="T240" s="278"/>
      <c r="U240" s="278"/>
      <c r="V240" s="278"/>
      <c r="W240" s="278"/>
      <c r="X240" s="278"/>
      <c r="Y240" s="278"/>
      <c r="Z240" s="278"/>
    </row>
    <row r="241">
      <c r="A241" s="278"/>
      <c r="B241" s="278"/>
      <c r="C241" s="278"/>
      <c r="D241" s="278"/>
      <c r="E241" s="278"/>
      <c r="F241" s="278"/>
      <c r="G241" s="278"/>
      <c r="H241" s="278"/>
      <c r="I241" s="278"/>
      <c r="J241" s="278"/>
      <c r="K241" s="278"/>
      <c r="L241" s="278"/>
      <c r="M241" s="278"/>
      <c r="N241" s="278"/>
      <c r="O241" s="278"/>
      <c r="P241" s="278"/>
      <c r="Q241" s="278"/>
      <c r="R241" s="278"/>
      <c r="S241" s="278"/>
      <c r="T241" s="278"/>
      <c r="U241" s="278"/>
      <c r="V241" s="278"/>
      <c r="W241" s="278"/>
      <c r="X241" s="278"/>
      <c r="Y241" s="278"/>
      <c r="Z241" s="278"/>
    </row>
    <row r="242">
      <c r="A242" s="278"/>
      <c r="B242" s="278"/>
      <c r="C242" s="278"/>
      <c r="D242" s="278"/>
      <c r="E242" s="278"/>
      <c r="F242" s="278"/>
      <c r="G242" s="278"/>
      <c r="H242" s="278"/>
      <c r="I242" s="278"/>
      <c r="J242" s="278"/>
      <c r="K242" s="278"/>
      <c r="L242" s="278"/>
      <c r="M242" s="278"/>
      <c r="N242" s="278"/>
      <c r="O242" s="278"/>
      <c r="P242" s="278"/>
      <c r="Q242" s="278"/>
      <c r="R242" s="278"/>
      <c r="S242" s="278"/>
      <c r="T242" s="278"/>
      <c r="U242" s="278"/>
      <c r="V242" s="278"/>
      <c r="W242" s="278"/>
      <c r="X242" s="278"/>
      <c r="Y242" s="278"/>
      <c r="Z242" s="278"/>
    </row>
    <row r="243">
      <c r="A243" s="278"/>
      <c r="B243" s="278"/>
      <c r="C243" s="278"/>
      <c r="D243" s="278"/>
      <c r="E243" s="278"/>
      <c r="F243" s="278"/>
      <c r="G243" s="278"/>
      <c r="H243" s="278"/>
      <c r="I243" s="278"/>
      <c r="J243" s="278"/>
      <c r="K243" s="278"/>
      <c r="L243" s="278"/>
      <c r="M243" s="278"/>
      <c r="N243" s="278"/>
      <c r="O243" s="278"/>
      <c r="P243" s="278"/>
      <c r="Q243" s="278"/>
      <c r="R243" s="278"/>
      <c r="S243" s="278"/>
      <c r="T243" s="278"/>
      <c r="U243" s="278"/>
      <c r="V243" s="278"/>
      <c r="W243" s="278"/>
      <c r="X243" s="278"/>
      <c r="Y243" s="278"/>
      <c r="Z243" s="278"/>
    </row>
    <row r="244">
      <c r="A244" s="278"/>
      <c r="B244" s="278"/>
      <c r="C244" s="278"/>
      <c r="D244" s="278"/>
      <c r="E244" s="278"/>
      <c r="F244" s="278"/>
      <c r="G244" s="278"/>
      <c r="H244" s="278"/>
      <c r="I244" s="278"/>
      <c r="J244" s="278"/>
      <c r="K244" s="278"/>
      <c r="L244" s="278"/>
      <c r="M244" s="278"/>
      <c r="N244" s="278"/>
      <c r="O244" s="278"/>
      <c r="P244" s="278"/>
      <c r="Q244" s="278"/>
      <c r="R244" s="278"/>
      <c r="S244" s="278"/>
      <c r="T244" s="278"/>
      <c r="U244" s="278"/>
      <c r="V244" s="278"/>
      <c r="W244" s="278"/>
      <c r="X244" s="278"/>
      <c r="Y244" s="278"/>
      <c r="Z244" s="278"/>
    </row>
    <row r="245">
      <c r="A245" s="278"/>
      <c r="B245" s="278"/>
      <c r="C245" s="278"/>
      <c r="D245" s="278"/>
      <c r="E245" s="278"/>
      <c r="F245" s="278"/>
      <c r="G245" s="278"/>
      <c r="H245" s="278"/>
      <c r="I245" s="278"/>
      <c r="J245" s="278"/>
      <c r="K245" s="278"/>
      <c r="L245" s="278"/>
      <c r="M245" s="278"/>
      <c r="N245" s="278"/>
      <c r="O245" s="278"/>
      <c r="P245" s="278"/>
      <c r="Q245" s="278"/>
      <c r="R245" s="278"/>
      <c r="S245" s="278"/>
      <c r="T245" s="278"/>
      <c r="U245" s="278"/>
      <c r="V245" s="278"/>
      <c r="W245" s="278"/>
      <c r="X245" s="278"/>
      <c r="Y245" s="278"/>
      <c r="Z245" s="278"/>
    </row>
    <row r="246">
      <c r="A246" s="278"/>
      <c r="B246" s="278"/>
      <c r="C246" s="278"/>
      <c r="D246" s="278"/>
      <c r="E246" s="278"/>
      <c r="F246" s="278"/>
      <c r="G246" s="278"/>
      <c r="H246" s="278"/>
      <c r="I246" s="278"/>
      <c r="J246" s="278"/>
      <c r="K246" s="278"/>
      <c r="L246" s="278"/>
      <c r="M246" s="278"/>
      <c r="N246" s="278"/>
      <c r="O246" s="278"/>
      <c r="P246" s="278"/>
      <c r="Q246" s="278"/>
      <c r="R246" s="278"/>
      <c r="S246" s="278"/>
      <c r="T246" s="278"/>
      <c r="U246" s="278"/>
      <c r="V246" s="278"/>
      <c r="W246" s="278"/>
      <c r="X246" s="278"/>
      <c r="Y246" s="278"/>
      <c r="Z246" s="278"/>
    </row>
    <row r="247">
      <c r="A247" s="278"/>
      <c r="B247" s="278"/>
      <c r="C247" s="278"/>
      <c r="D247" s="278"/>
      <c r="E247" s="278"/>
      <c r="F247" s="278"/>
      <c r="G247" s="278"/>
      <c r="H247" s="278"/>
      <c r="I247" s="278"/>
      <c r="J247" s="278"/>
      <c r="K247" s="278"/>
      <c r="L247" s="278"/>
      <c r="M247" s="278"/>
      <c r="N247" s="278"/>
      <c r="O247" s="278"/>
      <c r="P247" s="278"/>
      <c r="Q247" s="278"/>
      <c r="R247" s="278"/>
      <c r="S247" s="278"/>
      <c r="T247" s="278"/>
      <c r="U247" s="278"/>
      <c r="V247" s="278"/>
      <c r="W247" s="278"/>
      <c r="X247" s="278"/>
      <c r="Y247" s="278"/>
      <c r="Z247" s="278"/>
    </row>
    <row r="248">
      <c r="A248" s="278"/>
      <c r="B248" s="278"/>
      <c r="C248" s="278"/>
      <c r="D248" s="278"/>
      <c r="E248" s="278"/>
      <c r="F248" s="278"/>
      <c r="G248" s="278"/>
      <c r="H248" s="278"/>
      <c r="I248" s="278"/>
      <c r="J248" s="278"/>
      <c r="K248" s="278"/>
      <c r="L248" s="278"/>
      <c r="M248" s="278"/>
      <c r="N248" s="278"/>
      <c r="O248" s="278"/>
      <c r="P248" s="278"/>
      <c r="Q248" s="278"/>
      <c r="R248" s="278"/>
      <c r="S248" s="278"/>
      <c r="T248" s="278"/>
      <c r="U248" s="278"/>
      <c r="V248" s="278"/>
      <c r="W248" s="278"/>
      <c r="X248" s="278"/>
      <c r="Y248" s="278"/>
      <c r="Z248" s="278"/>
    </row>
    <row r="249">
      <c r="A249" s="278"/>
      <c r="B249" s="278"/>
      <c r="C249" s="278"/>
      <c r="D249" s="278"/>
      <c r="E249" s="278"/>
      <c r="F249" s="278"/>
      <c r="G249" s="278"/>
      <c r="H249" s="278"/>
      <c r="I249" s="278"/>
      <c r="J249" s="278"/>
      <c r="K249" s="278"/>
      <c r="L249" s="278"/>
      <c r="M249" s="278"/>
      <c r="N249" s="278"/>
      <c r="O249" s="278"/>
      <c r="P249" s="278"/>
      <c r="Q249" s="278"/>
      <c r="R249" s="278"/>
      <c r="S249" s="278"/>
      <c r="T249" s="278"/>
      <c r="U249" s="278"/>
      <c r="V249" s="278"/>
      <c r="W249" s="278"/>
      <c r="X249" s="278"/>
      <c r="Y249" s="278"/>
      <c r="Z249" s="278"/>
    </row>
    <row r="250">
      <c r="A250" s="278"/>
      <c r="B250" s="278"/>
      <c r="C250" s="278"/>
      <c r="D250" s="278"/>
      <c r="E250" s="278"/>
      <c r="F250" s="278"/>
      <c r="G250" s="278"/>
      <c r="H250" s="278"/>
      <c r="I250" s="278"/>
      <c r="J250" s="278"/>
      <c r="K250" s="278"/>
      <c r="L250" s="278"/>
      <c r="M250" s="278"/>
      <c r="N250" s="278"/>
      <c r="O250" s="278"/>
      <c r="P250" s="278"/>
      <c r="Q250" s="278"/>
      <c r="R250" s="278"/>
      <c r="S250" s="278"/>
      <c r="T250" s="278"/>
      <c r="U250" s="278"/>
      <c r="V250" s="278"/>
      <c r="W250" s="278"/>
      <c r="X250" s="278"/>
      <c r="Y250" s="278"/>
      <c r="Z250" s="278"/>
    </row>
    <row r="251">
      <c r="A251" s="278"/>
      <c r="B251" s="278"/>
      <c r="C251" s="278"/>
      <c r="D251" s="278"/>
      <c r="E251" s="278"/>
      <c r="F251" s="278"/>
      <c r="G251" s="278"/>
      <c r="H251" s="278"/>
      <c r="I251" s="278"/>
      <c r="J251" s="278"/>
      <c r="K251" s="278"/>
      <c r="L251" s="278"/>
      <c r="M251" s="278"/>
      <c r="N251" s="278"/>
      <c r="O251" s="278"/>
      <c r="P251" s="278"/>
      <c r="Q251" s="278"/>
      <c r="R251" s="278"/>
      <c r="S251" s="278"/>
      <c r="T251" s="278"/>
      <c r="U251" s="278"/>
      <c r="V251" s="278"/>
      <c r="W251" s="278"/>
      <c r="X251" s="278"/>
      <c r="Y251" s="278"/>
      <c r="Z251" s="278"/>
    </row>
    <row r="252">
      <c r="A252" s="278"/>
      <c r="B252" s="278"/>
      <c r="C252" s="278"/>
      <c r="D252" s="278"/>
      <c r="E252" s="278"/>
      <c r="F252" s="278"/>
      <c r="G252" s="278"/>
      <c r="H252" s="278"/>
      <c r="I252" s="278"/>
      <c r="J252" s="278"/>
      <c r="K252" s="278"/>
      <c r="L252" s="278"/>
      <c r="M252" s="278"/>
      <c r="N252" s="278"/>
      <c r="O252" s="278"/>
      <c r="P252" s="278"/>
      <c r="Q252" s="278"/>
      <c r="R252" s="278"/>
      <c r="S252" s="278"/>
      <c r="T252" s="278"/>
      <c r="U252" s="278"/>
      <c r="V252" s="278"/>
      <c r="W252" s="278"/>
      <c r="X252" s="278"/>
      <c r="Y252" s="278"/>
      <c r="Z252" s="278"/>
    </row>
    <row r="253">
      <c r="A253" s="278"/>
      <c r="B253" s="278"/>
      <c r="C253" s="278"/>
      <c r="D253" s="278"/>
      <c r="E253" s="278"/>
      <c r="F253" s="278"/>
      <c r="G253" s="278"/>
      <c r="H253" s="278"/>
      <c r="I253" s="278"/>
      <c r="J253" s="278"/>
      <c r="K253" s="278"/>
      <c r="L253" s="278"/>
      <c r="M253" s="278"/>
      <c r="N253" s="278"/>
      <c r="O253" s="278"/>
      <c r="P253" s="278"/>
      <c r="Q253" s="278"/>
      <c r="R253" s="278"/>
      <c r="S253" s="278"/>
      <c r="T253" s="278"/>
      <c r="U253" s="278"/>
      <c r="V253" s="278"/>
      <c r="W253" s="278"/>
      <c r="X253" s="278"/>
      <c r="Y253" s="278"/>
      <c r="Z253" s="278"/>
    </row>
    <row r="254">
      <c r="A254" s="278"/>
      <c r="B254" s="278"/>
      <c r="C254" s="278"/>
      <c r="D254" s="278"/>
      <c r="E254" s="278"/>
      <c r="F254" s="278"/>
      <c r="G254" s="278"/>
      <c r="H254" s="278"/>
      <c r="I254" s="278"/>
      <c r="J254" s="278"/>
      <c r="K254" s="278"/>
      <c r="L254" s="278"/>
      <c r="M254" s="278"/>
      <c r="N254" s="278"/>
      <c r="O254" s="278"/>
      <c r="P254" s="278"/>
      <c r="Q254" s="278"/>
      <c r="R254" s="278"/>
      <c r="S254" s="278"/>
      <c r="T254" s="278"/>
      <c r="U254" s="278"/>
      <c r="V254" s="278"/>
      <c r="W254" s="278"/>
      <c r="X254" s="278"/>
      <c r="Y254" s="278"/>
      <c r="Z254" s="278"/>
    </row>
    <row r="255">
      <c r="A255" s="278"/>
      <c r="B255" s="278"/>
      <c r="C255" s="278"/>
      <c r="D255" s="278"/>
      <c r="E255" s="278"/>
      <c r="F255" s="278"/>
      <c r="G255" s="278"/>
      <c r="H255" s="278"/>
      <c r="I255" s="278"/>
      <c r="J255" s="278"/>
      <c r="K255" s="278"/>
      <c r="L255" s="278"/>
      <c r="M255" s="278"/>
      <c r="N255" s="278"/>
      <c r="O255" s="278"/>
      <c r="P255" s="278"/>
      <c r="Q255" s="278"/>
      <c r="R255" s="278"/>
      <c r="S255" s="278"/>
      <c r="T255" s="278"/>
      <c r="U255" s="278"/>
      <c r="V255" s="278"/>
      <c r="W255" s="278"/>
      <c r="X255" s="278"/>
      <c r="Y255" s="278"/>
      <c r="Z255" s="278"/>
    </row>
    <row r="256">
      <c r="A256" s="278"/>
      <c r="B256" s="278"/>
      <c r="C256" s="278"/>
      <c r="D256" s="278"/>
      <c r="E256" s="278"/>
      <c r="F256" s="278"/>
      <c r="G256" s="278"/>
      <c r="H256" s="278"/>
      <c r="I256" s="278"/>
      <c r="J256" s="278"/>
      <c r="K256" s="278"/>
      <c r="L256" s="278"/>
      <c r="M256" s="278"/>
      <c r="N256" s="278"/>
      <c r="O256" s="278"/>
      <c r="P256" s="278"/>
      <c r="Q256" s="278"/>
      <c r="R256" s="278"/>
      <c r="S256" s="278"/>
      <c r="T256" s="278"/>
      <c r="U256" s="278"/>
      <c r="V256" s="278"/>
      <c r="W256" s="278"/>
      <c r="X256" s="278"/>
      <c r="Y256" s="278"/>
      <c r="Z256" s="278"/>
    </row>
    <row r="257">
      <c r="A257" s="278"/>
      <c r="B257" s="278"/>
      <c r="C257" s="278"/>
      <c r="D257" s="278"/>
      <c r="E257" s="278"/>
      <c r="F257" s="278"/>
      <c r="G257" s="278"/>
      <c r="H257" s="278"/>
      <c r="I257" s="278"/>
      <c r="J257" s="278"/>
      <c r="K257" s="278"/>
      <c r="L257" s="278"/>
      <c r="M257" s="278"/>
      <c r="N257" s="278"/>
      <c r="O257" s="278"/>
      <c r="P257" s="278"/>
      <c r="Q257" s="278"/>
      <c r="R257" s="278"/>
      <c r="S257" s="278"/>
      <c r="T257" s="278"/>
      <c r="U257" s="278"/>
      <c r="V257" s="278"/>
      <c r="W257" s="278"/>
      <c r="X257" s="278"/>
      <c r="Y257" s="278"/>
      <c r="Z257" s="278"/>
    </row>
    <row r="258">
      <c r="A258" s="278"/>
      <c r="B258" s="278"/>
      <c r="C258" s="278"/>
      <c r="D258" s="278"/>
      <c r="E258" s="278"/>
      <c r="F258" s="278"/>
      <c r="G258" s="278"/>
      <c r="H258" s="278"/>
      <c r="I258" s="278"/>
      <c r="J258" s="278"/>
      <c r="K258" s="278"/>
      <c r="L258" s="278"/>
      <c r="M258" s="278"/>
      <c r="N258" s="278"/>
      <c r="O258" s="278"/>
      <c r="P258" s="278"/>
      <c r="Q258" s="278"/>
      <c r="R258" s="278"/>
      <c r="S258" s="278"/>
      <c r="T258" s="278"/>
      <c r="U258" s="278"/>
      <c r="V258" s="278"/>
      <c r="W258" s="278"/>
      <c r="X258" s="278"/>
      <c r="Y258" s="278"/>
      <c r="Z258" s="278"/>
    </row>
    <row r="259">
      <c r="A259" s="278"/>
      <c r="B259" s="278"/>
      <c r="C259" s="278"/>
      <c r="D259" s="278"/>
      <c r="E259" s="278"/>
      <c r="F259" s="278"/>
      <c r="G259" s="278"/>
      <c r="H259" s="278"/>
      <c r="I259" s="278"/>
      <c r="J259" s="278"/>
      <c r="K259" s="278"/>
      <c r="L259" s="278"/>
      <c r="M259" s="278"/>
      <c r="N259" s="278"/>
      <c r="O259" s="278"/>
      <c r="P259" s="278"/>
      <c r="Q259" s="278"/>
      <c r="R259" s="278"/>
      <c r="S259" s="278"/>
      <c r="T259" s="278"/>
      <c r="U259" s="278"/>
      <c r="V259" s="278"/>
      <c r="W259" s="278"/>
      <c r="X259" s="278"/>
      <c r="Y259" s="278"/>
      <c r="Z259" s="278"/>
    </row>
    <row r="260">
      <c r="A260" s="278"/>
      <c r="B260" s="278"/>
      <c r="C260" s="278"/>
      <c r="D260" s="278"/>
      <c r="E260" s="278"/>
      <c r="F260" s="278"/>
      <c r="G260" s="278"/>
      <c r="H260" s="278"/>
      <c r="I260" s="278"/>
      <c r="J260" s="278"/>
      <c r="K260" s="278"/>
      <c r="L260" s="278"/>
      <c r="M260" s="278"/>
      <c r="N260" s="278"/>
      <c r="O260" s="278"/>
      <c r="P260" s="278"/>
      <c r="Q260" s="278"/>
      <c r="R260" s="278"/>
      <c r="S260" s="278"/>
      <c r="T260" s="278"/>
      <c r="U260" s="278"/>
      <c r="V260" s="278"/>
      <c r="W260" s="278"/>
      <c r="X260" s="278"/>
      <c r="Y260" s="278"/>
      <c r="Z260" s="278"/>
    </row>
    <row r="261">
      <c r="A261" s="278"/>
      <c r="B261" s="278"/>
      <c r="C261" s="278"/>
      <c r="D261" s="278"/>
      <c r="E261" s="278"/>
      <c r="F261" s="278"/>
      <c r="G261" s="278"/>
      <c r="H261" s="278"/>
      <c r="I261" s="278"/>
      <c r="J261" s="278"/>
      <c r="K261" s="278"/>
      <c r="L261" s="278"/>
      <c r="M261" s="278"/>
      <c r="N261" s="278"/>
      <c r="O261" s="278"/>
      <c r="P261" s="278"/>
      <c r="Q261" s="278"/>
      <c r="R261" s="278"/>
      <c r="S261" s="278"/>
      <c r="T261" s="278"/>
      <c r="U261" s="278"/>
      <c r="V261" s="278"/>
      <c r="W261" s="278"/>
      <c r="X261" s="278"/>
      <c r="Y261" s="278"/>
      <c r="Z261" s="278"/>
    </row>
    <row r="262">
      <c r="A262" s="278"/>
      <c r="B262" s="278"/>
      <c r="C262" s="278"/>
      <c r="D262" s="278"/>
      <c r="E262" s="278"/>
      <c r="F262" s="278"/>
      <c r="G262" s="278"/>
      <c r="H262" s="278"/>
      <c r="I262" s="278"/>
      <c r="J262" s="278"/>
      <c r="K262" s="278"/>
      <c r="L262" s="278"/>
      <c r="M262" s="278"/>
      <c r="N262" s="278"/>
      <c r="O262" s="278"/>
      <c r="P262" s="278"/>
      <c r="Q262" s="278"/>
      <c r="R262" s="278"/>
      <c r="S262" s="278"/>
      <c r="T262" s="278"/>
      <c r="U262" s="278"/>
      <c r="V262" s="278"/>
      <c r="W262" s="278"/>
      <c r="X262" s="278"/>
      <c r="Y262" s="278"/>
      <c r="Z262" s="278"/>
    </row>
    <row r="263">
      <c r="A263" s="278"/>
      <c r="B263" s="278"/>
      <c r="C263" s="278"/>
      <c r="D263" s="278"/>
      <c r="E263" s="278"/>
      <c r="F263" s="278"/>
      <c r="G263" s="278"/>
      <c r="H263" s="278"/>
      <c r="I263" s="278"/>
      <c r="J263" s="278"/>
      <c r="K263" s="278"/>
      <c r="L263" s="278"/>
      <c r="M263" s="278"/>
      <c r="N263" s="278"/>
      <c r="O263" s="278"/>
      <c r="P263" s="278"/>
      <c r="Q263" s="278"/>
      <c r="R263" s="278"/>
      <c r="S263" s="278"/>
      <c r="T263" s="278"/>
      <c r="U263" s="278"/>
      <c r="V263" s="278"/>
      <c r="W263" s="278"/>
      <c r="X263" s="278"/>
      <c r="Y263" s="278"/>
      <c r="Z263" s="278"/>
    </row>
    <row r="264">
      <c r="A264" s="278"/>
      <c r="B264" s="278"/>
      <c r="C264" s="278"/>
      <c r="D264" s="278"/>
      <c r="E264" s="278"/>
      <c r="F264" s="278"/>
      <c r="G264" s="278"/>
      <c r="H264" s="278"/>
      <c r="I264" s="278"/>
      <c r="J264" s="278"/>
      <c r="K264" s="278"/>
      <c r="L264" s="278"/>
      <c r="M264" s="278"/>
      <c r="N264" s="278"/>
      <c r="O264" s="278"/>
      <c r="P264" s="278"/>
      <c r="Q264" s="278"/>
      <c r="R264" s="278"/>
      <c r="S264" s="278"/>
      <c r="T264" s="278"/>
      <c r="U264" s="278"/>
      <c r="V264" s="278"/>
      <c r="W264" s="278"/>
      <c r="X264" s="278"/>
      <c r="Y264" s="278"/>
      <c r="Z264" s="278"/>
    </row>
    <row r="265">
      <c r="A265" s="278"/>
      <c r="B265" s="278"/>
      <c r="C265" s="278"/>
      <c r="D265" s="278"/>
      <c r="E265" s="278"/>
      <c r="F265" s="278"/>
      <c r="G265" s="278"/>
      <c r="H265" s="278"/>
      <c r="I265" s="278"/>
      <c r="J265" s="278"/>
      <c r="K265" s="278"/>
      <c r="L265" s="278"/>
      <c r="M265" s="278"/>
      <c r="N265" s="278"/>
      <c r="O265" s="278"/>
      <c r="P265" s="278"/>
      <c r="Q265" s="278"/>
      <c r="R265" s="278"/>
      <c r="S265" s="278"/>
      <c r="T265" s="278"/>
      <c r="U265" s="278"/>
      <c r="V265" s="278"/>
      <c r="W265" s="278"/>
      <c r="X265" s="278"/>
      <c r="Y265" s="278"/>
      <c r="Z265" s="278"/>
    </row>
    <row r="266">
      <c r="A266" s="278"/>
      <c r="B266" s="278"/>
      <c r="C266" s="278"/>
      <c r="D266" s="278"/>
      <c r="E266" s="278"/>
      <c r="F266" s="278"/>
      <c r="G266" s="278"/>
      <c r="H266" s="278"/>
      <c r="I266" s="278"/>
      <c r="J266" s="278"/>
      <c r="K266" s="278"/>
      <c r="L266" s="278"/>
      <c r="M266" s="278"/>
      <c r="N266" s="278"/>
      <c r="O266" s="278"/>
      <c r="P266" s="278"/>
      <c r="Q266" s="278"/>
      <c r="R266" s="278"/>
      <c r="S266" s="278"/>
      <c r="T266" s="278"/>
      <c r="U266" s="278"/>
      <c r="V266" s="278"/>
      <c r="W266" s="278"/>
      <c r="X266" s="278"/>
      <c r="Y266" s="278"/>
      <c r="Z266" s="278"/>
    </row>
    <row r="267">
      <c r="A267" s="278"/>
      <c r="B267" s="278"/>
      <c r="C267" s="278"/>
      <c r="D267" s="278"/>
      <c r="E267" s="278"/>
      <c r="F267" s="278"/>
      <c r="G267" s="278"/>
      <c r="H267" s="278"/>
      <c r="I267" s="278"/>
      <c r="J267" s="278"/>
      <c r="K267" s="278"/>
      <c r="L267" s="278"/>
      <c r="M267" s="278"/>
      <c r="N267" s="278"/>
      <c r="O267" s="278"/>
      <c r="P267" s="278"/>
      <c r="Q267" s="278"/>
      <c r="R267" s="278"/>
      <c r="S267" s="278"/>
      <c r="T267" s="278"/>
      <c r="U267" s="278"/>
      <c r="V267" s="278"/>
      <c r="W267" s="278"/>
      <c r="X267" s="278"/>
      <c r="Y267" s="278"/>
      <c r="Z267" s="278"/>
    </row>
    <row r="268">
      <c r="A268" s="278"/>
      <c r="B268" s="278"/>
      <c r="C268" s="278"/>
      <c r="D268" s="278"/>
      <c r="E268" s="278"/>
      <c r="F268" s="278"/>
      <c r="G268" s="278"/>
      <c r="H268" s="278"/>
      <c r="I268" s="278"/>
      <c r="J268" s="278"/>
      <c r="K268" s="278"/>
      <c r="L268" s="278"/>
      <c r="M268" s="278"/>
      <c r="N268" s="278"/>
      <c r="O268" s="278"/>
      <c r="P268" s="278"/>
      <c r="Q268" s="278"/>
      <c r="R268" s="278"/>
      <c r="S268" s="278"/>
      <c r="T268" s="278"/>
      <c r="U268" s="278"/>
      <c r="V268" s="278"/>
      <c r="W268" s="278"/>
      <c r="X268" s="278"/>
      <c r="Y268" s="278"/>
      <c r="Z268" s="278"/>
    </row>
    <row r="269">
      <c r="A269" s="278"/>
      <c r="B269" s="278"/>
      <c r="C269" s="278"/>
      <c r="D269" s="278"/>
      <c r="E269" s="278"/>
      <c r="F269" s="278"/>
      <c r="G269" s="278"/>
      <c r="H269" s="278"/>
      <c r="I269" s="278"/>
      <c r="J269" s="278"/>
      <c r="K269" s="278"/>
      <c r="L269" s="278"/>
      <c r="M269" s="278"/>
      <c r="N269" s="278"/>
      <c r="O269" s="278"/>
      <c r="P269" s="278"/>
      <c r="Q269" s="278"/>
      <c r="R269" s="278"/>
      <c r="S269" s="278"/>
      <c r="T269" s="278"/>
      <c r="U269" s="278"/>
      <c r="V269" s="278"/>
      <c r="W269" s="278"/>
      <c r="X269" s="278"/>
      <c r="Y269" s="278"/>
      <c r="Z269" s="278"/>
    </row>
    <row r="270">
      <c r="A270" s="278"/>
      <c r="B270" s="278"/>
      <c r="C270" s="278"/>
      <c r="D270" s="278"/>
      <c r="E270" s="278"/>
      <c r="F270" s="278"/>
      <c r="G270" s="278"/>
      <c r="H270" s="278"/>
      <c r="I270" s="278"/>
      <c r="J270" s="278"/>
      <c r="K270" s="278"/>
      <c r="L270" s="278"/>
      <c r="M270" s="278"/>
      <c r="N270" s="278"/>
      <c r="O270" s="278"/>
      <c r="P270" s="278"/>
      <c r="Q270" s="278"/>
      <c r="R270" s="278"/>
      <c r="S270" s="278"/>
      <c r="T270" s="278"/>
      <c r="U270" s="278"/>
      <c r="V270" s="278"/>
      <c r="W270" s="278"/>
      <c r="X270" s="278"/>
      <c r="Y270" s="278"/>
      <c r="Z270" s="278"/>
    </row>
    <row r="271">
      <c r="A271" s="278"/>
      <c r="B271" s="278"/>
      <c r="C271" s="278"/>
      <c r="D271" s="278"/>
      <c r="E271" s="278"/>
      <c r="F271" s="278"/>
      <c r="G271" s="278"/>
      <c r="H271" s="278"/>
      <c r="I271" s="278"/>
      <c r="J271" s="278"/>
      <c r="K271" s="278"/>
      <c r="L271" s="278"/>
      <c r="M271" s="278"/>
      <c r="N271" s="278"/>
      <c r="O271" s="278"/>
      <c r="P271" s="278"/>
      <c r="Q271" s="278"/>
      <c r="R271" s="278"/>
      <c r="S271" s="278"/>
      <c r="T271" s="278"/>
      <c r="U271" s="278"/>
      <c r="V271" s="278"/>
      <c r="W271" s="278"/>
      <c r="X271" s="278"/>
      <c r="Y271" s="278"/>
      <c r="Z271" s="278"/>
    </row>
    <row r="272">
      <c r="A272" s="278"/>
      <c r="B272" s="278"/>
      <c r="C272" s="278"/>
      <c r="D272" s="278"/>
      <c r="E272" s="278"/>
      <c r="F272" s="278"/>
      <c r="G272" s="278"/>
      <c r="H272" s="278"/>
      <c r="I272" s="278"/>
      <c r="J272" s="278"/>
      <c r="K272" s="278"/>
      <c r="L272" s="278"/>
      <c r="M272" s="278"/>
      <c r="N272" s="278"/>
      <c r="O272" s="278"/>
      <c r="P272" s="278"/>
      <c r="Q272" s="278"/>
      <c r="R272" s="278"/>
      <c r="S272" s="278"/>
      <c r="T272" s="278"/>
      <c r="U272" s="278"/>
      <c r="V272" s="278"/>
      <c r="W272" s="278"/>
      <c r="X272" s="278"/>
      <c r="Y272" s="278"/>
      <c r="Z272" s="278"/>
    </row>
    <row r="273">
      <c r="A273" s="278"/>
      <c r="B273" s="278"/>
      <c r="C273" s="278"/>
      <c r="D273" s="278"/>
      <c r="E273" s="278"/>
      <c r="F273" s="278"/>
      <c r="G273" s="278"/>
      <c r="H273" s="278"/>
      <c r="I273" s="278"/>
      <c r="J273" s="278"/>
      <c r="K273" s="278"/>
      <c r="L273" s="278"/>
      <c r="M273" s="278"/>
      <c r="N273" s="278"/>
      <c r="O273" s="278"/>
      <c r="P273" s="278"/>
      <c r="Q273" s="278"/>
      <c r="R273" s="278"/>
      <c r="S273" s="278"/>
      <c r="T273" s="278"/>
      <c r="U273" s="278"/>
      <c r="V273" s="278"/>
      <c r="W273" s="278"/>
      <c r="X273" s="278"/>
      <c r="Y273" s="278"/>
      <c r="Z273" s="278"/>
    </row>
    <row r="274">
      <c r="A274" s="278"/>
      <c r="B274" s="278"/>
      <c r="C274" s="278"/>
      <c r="D274" s="278"/>
      <c r="E274" s="278"/>
      <c r="F274" s="278"/>
      <c r="G274" s="278"/>
      <c r="H274" s="278"/>
      <c r="I274" s="278"/>
      <c r="J274" s="278"/>
      <c r="K274" s="278"/>
      <c r="L274" s="278"/>
      <c r="M274" s="278"/>
      <c r="N274" s="278"/>
      <c r="O274" s="278"/>
      <c r="P274" s="278"/>
      <c r="Q274" s="278"/>
      <c r="R274" s="278"/>
      <c r="S274" s="278"/>
      <c r="T274" s="278"/>
      <c r="U274" s="278"/>
      <c r="V274" s="278"/>
      <c r="W274" s="278"/>
      <c r="X274" s="278"/>
      <c r="Y274" s="278"/>
      <c r="Z274" s="278"/>
    </row>
    <row r="275">
      <c r="A275" s="278"/>
      <c r="B275" s="278"/>
      <c r="C275" s="278"/>
      <c r="D275" s="278"/>
      <c r="E275" s="278"/>
      <c r="F275" s="278"/>
      <c r="G275" s="278"/>
      <c r="H275" s="278"/>
      <c r="I275" s="278"/>
      <c r="J275" s="278"/>
      <c r="K275" s="278"/>
      <c r="L275" s="278"/>
      <c r="M275" s="278"/>
      <c r="N275" s="278"/>
      <c r="O275" s="278"/>
      <c r="P275" s="278"/>
      <c r="Q275" s="278"/>
      <c r="R275" s="278"/>
      <c r="S275" s="278"/>
      <c r="T275" s="278"/>
      <c r="U275" s="278"/>
      <c r="V275" s="278"/>
      <c r="W275" s="278"/>
      <c r="X275" s="278"/>
      <c r="Y275" s="278"/>
      <c r="Z275" s="278"/>
    </row>
    <row r="276">
      <c r="A276" s="278"/>
      <c r="B276" s="278"/>
      <c r="C276" s="278"/>
      <c r="D276" s="278"/>
      <c r="E276" s="278"/>
      <c r="F276" s="278"/>
      <c r="G276" s="278"/>
      <c r="H276" s="278"/>
      <c r="I276" s="278"/>
      <c r="J276" s="278"/>
      <c r="K276" s="278"/>
      <c r="L276" s="278"/>
      <c r="M276" s="278"/>
      <c r="N276" s="278"/>
      <c r="O276" s="278"/>
      <c r="P276" s="278"/>
      <c r="Q276" s="278"/>
      <c r="R276" s="278"/>
      <c r="S276" s="278"/>
      <c r="T276" s="278"/>
      <c r="U276" s="278"/>
      <c r="V276" s="278"/>
      <c r="W276" s="278"/>
      <c r="X276" s="278"/>
      <c r="Y276" s="278"/>
      <c r="Z276" s="278"/>
    </row>
    <row r="277">
      <c r="A277" s="278"/>
      <c r="B277" s="278"/>
      <c r="C277" s="278"/>
      <c r="D277" s="278"/>
      <c r="E277" s="278"/>
      <c r="F277" s="278"/>
      <c r="G277" s="278"/>
      <c r="H277" s="278"/>
      <c r="I277" s="278"/>
      <c r="J277" s="278"/>
      <c r="K277" s="278"/>
      <c r="L277" s="278"/>
      <c r="M277" s="278"/>
      <c r="N277" s="278"/>
      <c r="O277" s="278"/>
      <c r="P277" s="278"/>
      <c r="Q277" s="278"/>
      <c r="R277" s="278"/>
      <c r="S277" s="278"/>
      <c r="T277" s="278"/>
      <c r="U277" s="278"/>
      <c r="V277" s="278"/>
      <c r="W277" s="278"/>
      <c r="X277" s="278"/>
      <c r="Y277" s="278"/>
      <c r="Z277" s="278"/>
    </row>
    <row r="278">
      <c r="A278" s="278"/>
      <c r="B278" s="278"/>
      <c r="C278" s="278"/>
      <c r="D278" s="278"/>
      <c r="E278" s="278"/>
      <c r="F278" s="278"/>
      <c r="G278" s="278"/>
      <c r="H278" s="278"/>
      <c r="I278" s="278"/>
      <c r="J278" s="278"/>
      <c r="K278" s="278"/>
      <c r="L278" s="278"/>
      <c r="M278" s="278"/>
      <c r="N278" s="278"/>
      <c r="O278" s="278"/>
      <c r="P278" s="278"/>
      <c r="Q278" s="278"/>
      <c r="R278" s="278"/>
      <c r="S278" s="278"/>
      <c r="T278" s="278"/>
      <c r="U278" s="278"/>
      <c r="V278" s="278"/>
      <c r="W278" s="278"/>
      <c r="X278" s="278"/>
      <c r="Y278" s="278"/>
      <c r="Z278" s="278"/>
    </row>
    <row r="279">
      <c r="A279" s="278"/>
      <c r="B279" s="278"/>
      <c r="C279" s="278"/>
      <c r="D279" s="278"/>
      <c r="E279" s="278"/>
      <c r="F279" s="278"/>
      <c r="G279" s="278"/>
      <c r="H279" s="278"/>
      <c r="I279" s="278"/>
      <c r="J279" s="278"/>
      <c r="K279" s="278"/>
      <c r="L279" s="278"/>
      <c r="M279" s="278"/>
      <c r="N279" s="278"/>
      <c r="O279" s="278"/>
      <c r="P279" s="278"/>
      <c r="Q279" s="278"/>
      <c r="R279" s="278"/>
      <c r="S279" s="278"/>
      <c r="T279" s="278"/>
      <c r="U279" s="278"/>
      <c r="V279" s="278"/>
      <c r="W279" s="278"/>
      <c r="X279" s="278"/>
      <c r="Y279" s="278"/>
      <c r="Z279" s="278"/>
    </row>
    <row r="280">
      <c r="A280" s="278"/>
      <c r="B280" s="278"/>
      <c r="C280" s="278"/>
      <c r="D280" s="278"/>
      <c r="E280" s="278"/>
      <c r="F280" s="278"/>
      <c r="G280" s="278"/>
      <c r="H280" s="278"/>
      <c r="I280" s="278"/>
      <c r="J280" s="278"/>
      <c r="K280" s="278"/>
      <c r="L280" s="278"/>
      <c r="M280" s="278"/>
      <c r="N280" s="278"/>
      <c r="O280" s="278"/>
      <c r="P280" s="278"/>
      <c r="Q280" s="278"/>
      <c r="R280" s="278"/>
      <c r="S280" s="278"/>
      <c r="T280" s="278"/>
      <c r="U280" s="278"/>
      <c r="V280" s="278"/>
      <c r="W280" s="278"/>
      <c r="X280" s="278"/>
      <c r="Y280" s="278"/>
      <c r="Z280" s="278"/>
    </row>
    <row r="281">
      <c r="A281" s="278"/>
      <c r="B281" s="278"/>
      <c r="C281" s="278"/>
      <c r="D281" s="278"/>
      <c r="E281" s="278"/>
      <c r="F281" s="278"/>
      <c r="G281" s="278"/>
      <c r="H281" s="278"/>
      <c r="I281" s="278"/>
      <c r="J281" s="278"/>
      <c r="K281" s="278"/>
      <c r="L281" s="278"/>
      <c r="M281" s="278"/>
      <c r="N281" s="278"/>
      <c r="O281" s="278"/>
      <c r="P281" s="278"/>
      <c r="Q281" s="278"/>
      <c r="R281" s="278"/>
      <c r="S281" s="278"/>
      <c r="T281" s="278"/>
      <c r="U281" s="278"/>
      <c r="V281" s="278"/>
      <c r="W281" s="278"/>
      <c r="X281" s="278"/>
      <c r="Y281" s="278"/>
      <c r="Z281" s="278"/>
    </row>
    <row r="282">
      <c r="A282" s="278"/>
      <c r="B282" s="278"/>
      <c r="C282" s="278"/>
      <c r="D282" s="278"/>
      <c r="E282" s="278"/>
      <c r="F282" s="278"/>
      <c r="G282" s="278"/>
      <c r="H282" s="278"/>
      <c r="I282" s="278"/>
      <c r="J282" s="278"/>
      <c r="K282" s="278"/>
      <c r="L282" s="278"/>
      <c r="M282" s="278"/>
      <c r="N282" s="278"/>
      <c r="O282" s="278"/>
      <c r="P282" s="278"/>
      <c r="Q282" s="278"/>
      <c r="R282" s="278"/>
      <c r="S282" s="278"/>
      <c r="T282" s="278"/>
      <c r="U282" s="278"/>
      <c r="V282" s="278"/>
      <c r="W282" s="278"/>
      <c r="X282" s="278"/>
      <c r="Y282" s="278"/>
      <c r="Z282" s="278"/>
    </row>
    <row r="283">
      <c r="A283" s="278"/>
      <c r="B283" s="278"/>
      <c r="C283" s="278"/>
      <c r="D283" s="278"/>
      <c r="E283" s="278"/>
      <c r="F283" s="278"/>
      <c r="G283" s="278"/>
      <c r="H283" s="278"/>
      <c r="I283" s="278"/>
      <c r="J283" s="278"/>
      <c r="K283" s="278"/>
      <c r="L283" s="278"/>
      <c r="M283" s="278"/>
      <c r="N283" s="278"/>
      <c r="O283" s="278"/>
      <c r="P283" s="278"/>
      <c r="Q283" s="278"/>
      <c r="R283" s="278"/>
      <c r="S283" s="278"/>
      <c r="T283" s="278"/>
      <c r="U283" s="278"/>
      <c r="V283" s="278"/>
      <c r="W283" s="278"/>
      <c r="X283" s="278"/>
      <c r="Y283" s="278"/>
      <c r="Z283" s="278"/>
    </row>
    <row r="284">
      <c r="A284" s="278"/>
      <c r="B284" s="278"/>
      <c r="C284" s="278"/>
      <c r="D284" s="278"/>
      <c r="E284" s="278"/>
      <c r="F284" s="278"/>
      <c r="G284" s="278"/>
      <c r="H284" s="278"/>
      <c r="I284" s="278"/>
      <c r="J284" s="278"/>
      <c r="K284" s="278"/>
      <c r="L284" s="278"/>
      <c r="M284" s="278"/>
      <c r="N284" s="278"/>
      <c r="O284" s="278"/>
      <c r="P284" s="278"/>
      <c r="Q284" s="278"/>
      <c r="R284" s="278"/>
      <c r="S284" s="278"/>
      <c r="T284" s="278"/>
      <c r="U284" s="278"/>
      <c r="V284" s="278"/>
      <c r="W284" s="278"/>
      <c r="X284" s="278"/>
      <c r="Y284" s="278"/>
      <c r="Z284" s="278"/>
    </row>
    <row r="285">
      <c r="A285" s="278"/>
      <c r="B285" s="278"/>
      <c r="C285" s="278"/>
      <c r="D285" s="278"/>
      <c r="E285" s="278"/>
      <c r="F285" s="278"/>
      <c r="G285" s="278"/>
      <c r="H285" s="278"/>
      <c r="I285" s="278"/>
      <c r="J285" s="278"/>
      <c r="K285" s="278"/>
      <c r="L285" s="278"/>
      <c r="M285" s="278"/>
      <c r="N285" s="278"/>
      <c r="O285" s="278"/>
      <c r="P285" s="278"/>
      <c r="Q285" s="278"/>
      <c r="R285" s="278"/>
      <c r="S285" s="278"/>
      <c r="T285" s="278"/>
      <c r="U285" s="278"/>
      <c r="V285" s="278"/>
      <c r="W285" s="278"/>
      <c r="X285" s="278"/>
      <c r="Y285" s="278"/>
      <c r="Z285" s="278"/>
    </row>
    <row r="286">
      <c r="A286" s="278"/>
      <c r="B286" s="278"/>
      <c r="C286" s="278"/>
      <c r="D286" s="278"/>
      <c r="E286" s="278"/>
      <c r="F286" s="278"/>
      <c r="G286" s="278"/>
      <c r="H286" s="278"/>
      <c r="I286" s="278"/>
      <c r="J286" s="278"/>
      <c r="K286" s="278"/>
      <c r="L286" s="278"/>
      <c r="M286" s="278"/>
      <c r="N286" s="278"/>
      <c r="O286" s="278"/>
      <c r="P286" s="278"/>
      <c r="Q286" s="278"/>
      <c r="R286" s="278"/>
      <c r="S286" s="278"/>
      <c r="T286" s="278"/>
      <c r="U286" s="278"/>
      <c r="V286" s="278"/>
      <c r="W286" s="278"/>
      <c r="X286" s="278"/>
      <c r="Y286" s="278"/>
      <c r="Z286" s="278"/>
    </row>
    <row r="287">
      <c r="A287" s="278"/>
      <c r="B287" s="278"/>
      <c r="C287" s="278"/>
      <c r="D287" s="278"/>
      <c r="E287" s="278"/>
      <c r="F287" s="278"/>
      <c r="G287" s="278"/>
      <c r="H287" s="278"/>
      <c r="I287" s="278"/>
      <c r="J287" s="278"/>
      <c r="K287" s="278"/>
      <c r="L287" s="278"/>
      <c r="M287" s="278"/>
      <c r="N287" s="278"/>
      <c r="O287" s="278"/>
      <c r="P287" s="278"/>
      <c r="Q287" s="278"/>
      <c r="R287" s="278"/>
      <c r="S287" s="278"/>
      <c r="T287" s="278"/>
      <c r="U287" s="278"/>
      <c r="V287" s="278"/>
      <c r="W287" s="278"/>
      <c r="X287" s="278"/>
      <c r="Y287" s="278"/>
      <c r="Z287" s="278"/>
    </row>
    <row r="288">
      <c r="A288" s="278"/>
      <c r="B288" s="278"/>
      <c r="C288" s="278"/>
      <c r="D288" s="278"/>
      <c r="E288" s="278"/>
      <c r="F288" s="278"/>
      <c r="G288" s="278"/>
      <c r="H288" s="278"/>
      <c r="I288" s="278"/>
      <c r="J288" s="278"/>
      <c r="K288" s="278"/>
      <c r="L288" s="278"/>
      <c r="M288" s="278"/>
      <c r="N288" s="278"/>
      <c r="O288" s="278"/>
      <c r="P288" s="278"/>
      <c r="Q288" s="278"/>
      <c r="R288" s="278"/>
      <c r="S288" s="278"/>
      <c r="T288" s="278"/>
      <c r="U288" s="278"/>
      <c r="V288" s="278"/>
      <c r="W288" s="278"/>
      <c r="X288" s="278"/>
      <c r="Y288" s="278"/>
      <c r="Z288" s="278"/>
    </row>
    <row r="289">
      <c r="A289" s="278"/>
      <c r="B289" s="278"/>
      <c r="C289" s="278"/>
      <c r="D289" s="278"/>
      <c r="E289" s="278"/>
      <c r="F289" s="278"/>
      <c r="G289" s="278"/>
      <c r="H289" s="278"/>
      <c r="I289" s="278"/>
      <c r="J289" s="278"/>
      <c r="K289" s="278"/>
      <c r="L289" s="278"/>
      <c r="M289" s="278"/>
      <c r="N289" s="278"/>
      <c r="O289" s="278"/>
      <c r="P289" s="278"/>
      <c r="Q289" s="278"/>
      <c r="R289" s="278"/>
      <c r="S289" s="278"/>
      <c r="T289" s="278"/>
      <c r="U289" s="278"/>
      <c r="V289" s="278"/>
      <c r="W289" s="278"/>
      <c r="X289" s="278"/>
      <c r="Y289" s="278"/>
      <c r="Z289" s="278"/>
    </row>
    <row r="290">
      <c r="A290" s="278"/>
      <c r="B290" s="278"/>
      <c r="C290" s="278"/>
      <c r="D290" s="278"/>
      <c r="E290" s="278"/>
      <c r="F290" s="278"/>
      <c r="G290" s="278"/>
      <c r="H290" s="278"/>
      <c r="I290" s="278"/>
      <c r="J290" s="278"/>
      <c r="K290" s="278"/>
      <c r="L290" s="278"/>
      <c r="M290" s="278"/>
      <c r="N290" s="278"/>
      <c r="O290" s="278"/>
      <c r="P290" s="278"/>
      <c r="Q290" s="278"/>
      <c r="R290" s="278"/>
      <c r="S290" s="278"/>
      <c r="T290" s="278"/>
      <c r="U290" s="278"/>
      <c r="V290" s="278"/>
      <c r="W290" s="278"/>
      <c r="X290" s="278"/>
      <c r="Y290" s="278"/>
      <c r="Z290" s="278"/>
    </row>
    <row r="291">
      <c r="A291" s="278"/>
      <c r="B291" s="278"/>
      <c r="C291" s="278"/>
      <c r="D291" s="278"/>
      <c r="E291" s="278"/>
      <c r="F291" s="278"/>
      <c r="G291" s="278"/>
      <c r="H291" s="278"/>
      <c r="I291" s="278"/>
      <c r="J291" s="278"/>
      <c r="K291" s="278"/>
      <c r="L291" s="278"/>
      <c r="M291" s="278"/>
      <c r="N291" s="278"/>
      <c r="O291" s="278"/>
      <c r="P291" s="278"/>
      <c r="Q291" s="278"/>
      <c r="R291" s="278"/>
      <c r="S291" s="278"/>
      <c r="T291" s="278"/>
      <c r="U291" s="278"/>
      <c r="V291" s="278"/>
      <c r="W291" s="278"/>
      <c r="X291" s="278"/>
      <c r="Y291" s="278"/>
      <c r="Z291" s="278"/>
    </row>
    <row r="292">
      <c r="A292" s="278"/>
      <c r="B292" s="278"/>
      <c r="C292" s="278"/>
      <c r="D292" s="278"/>
      <c r="E292" s="278"/>
      <c r="F292" s="278"/>
      <c r="G292" s="278"/>
      <c r="H292" s="278"/>
      <c r="I292" s="278"/>
      <c r="J292" s="278"/>
      <c r="K292" s="278"/>
      <c r="L292" s="278"/>
      <c r="M292" s="278"/>
      <c r="N292" s="278"/>
      <c r="O292" s="278"/>
      <c r="P292" s="278"/>
      <c r="Q292" s="278"/>
      <c r="R292" s="278"/>
      <c r="S292" s="278"/>
      <c r="T292" s="278"/>
      <c r="U292" s="278"/>
      <c r="V292" s="278"/>
      <c r="W292" s="278"/>
      <c r="X292" s="278"/>
      <c r="Y292" s="278"/>
      <c r="Z292" s="278"/>
    </row>
    <row r="293">
      <c r="A293" s="278"/>
      <c r="B293" s="278"/>
      <c r="C293" s="278"/>
      <c r="D293" s="278"/>
      <c r="E293" s="278"/>
      <c r="F293" s="278"/>
      <c r="G293" s="278"/>
      <c r="H293" s="278"/>
      <c r="I293" s="278"/>
      <c r="J293" s="278"/>
      <c r="K293" s="278"/>
      <c r="L293" s="278"/>
      <c r="M293" s="278"/>
      <c r="N293" s="278"/>
      <c r="O293" s="278"/>
      <c r="P293" s="278"/>
      <c r="Q293" s="278"/>
      <c r="R293" s="278"/>
      <c r="S293" s="278"/>
      <c r="T293" s="278"/>
      <c r="U293" s="278"/>
      <c r="V293" s="278"/>
      <c r="W293" s="278"/>
      <c r="X293" s="278"/>
      <c r="Y293" s="278"/>
      <c r="Z293" s="278"/>
    </row>
    <row r="294">
      <c r="A294" s="278"/>
      <c r="B294" s="278"/>
      <c r="C294" s="278"/>
      <c r="D294" s="278"/>
      <c r="E294" s="278"/>
      <c r="F294" s="278"/>
      <c r="G294" s="278"/>
      <c r="H294" s="278"/>
      <c r="I294" s="278"/>
      <c r="J294" s="278"/>
      <c r="K294" s="278"/>
      <c r="L294" s="278"/>
      <c r="M294" s="278"/>
      <c r="N294" s="278"/>
      <c r="O294" s="278"/>
      <c r="P294" s="278"/>
      <c r="Q294" s="278"/>
      <c r="R294" s="278"/>
      <c r="S294" s="278"/>
      <c r="T294" s="278"/>
      <c r="U294" s="278"/>
      <c r="V294" s="278"/>
      <c r="W294" s="278"/>
      <c r="X294" s="278"/>
      <c r="Y294" s="278"/>
      <c r="Z294" s="278"/>
    </row>
    <row r="295">
      <c r="A295" s="278"/>
      <c r="B295" s="278"/>
      <c r="C295" s="278"/>
      <c r="D295" s="278"/>
      <c r="E295" s="278"/>
      <c r="F295" s="278"/>
      <c r="G295" s="278"/>
      <c r="H295" s="278"/>
      <c r="I295" s="278"/>
      <c r="J295" s="278"/>
      <c r="K295" s="278"/>
      <c r="L295" s="278"/>
      <c r="M295" s="278"/>
      <c r="N295" s="278"/>
      <c r="O295" s="278"/>
      <c r="P295" s="278"/>
      <c r="Q295" s="278"/>
      <c r="R295" s="278"/>
      <c r="S295" s="278"/>
      <c r="T295" s="278"/>
      <c r="U295" s="278"/>
      <c r="V295" s="278"/>
      <c r="W295" s="278"/>
      <c r="X295" s="278"/>
      <c r="Y295" s="278"/>
      <c r="Z295" s="278"/>
    </row>
    <row r="296">
      <c r="A296" s="278"/>
      <c r="B296" s="278"/>
      <c r="C296" s="278"/>
      <c r="D296" s="278"/>
      <c r="E296" s="278"/>
      <c r="F296" s="278"/>
      <c r="G296" s="278"/>
      <c r="H296" s="278"/>
      <c r="I296" s="278"/>
      <c r="J296" s="278"/>
      <c r="K296" s="278"/>
      <c r="L296" s="278"/>
      <c r="M296" s="278"/>
      <c r="N296" s="278"/>
      <c r="O296" s="278"/>
      <c r="P296" s="278"/>
      <c r="Q296" s="278"/>
      <c r="R296" s="278"/>
      <c r="S296" s="278"/>
      <c r="T296" s="278"/>
      <c r="U296" s="278"/>
      <c r="V296" s="278"/>
      <c r="W296" s="278"/>
      <c r="X296" s="278"/>
      <c r="Y296" s="278"/>
      <c r="Z296" s="278"/>
    </row>
    <row r="297">
      <c r="A297" s="278"/>
      <c r="B297" s="278"/>
      <c r="C297" s="278"/>
      <c r="D297" s="278"/>
      <c r="E297" s="278"/>
      <c r="F297" s="278"/>
      <c r="G297" s="278"/>
      <c r="H297" s="278"/>
      <c r="I297" s="278"/>
      <c r="J297" s="278"/>
      <c r="K297" s="278"/>
      <c r="L297" s="278"/>
      <c r="M297" s="278"/>
      <c r="N297" s="278"/>
      <c r="O297" s="278"/>
      <c r="P297" s="278"/>
      <c r="Q297" s="278"/>
      <c r="R297" s="278"/>
      <c r="S297" s="278"/>
      <c r="T297" s="278"/>
      <c r="U297" s="278"/>
      <c r="V297" s="278"/>
      <c r="W297" s="278"/>
      <c r="X297" s="278"/>
      <c r="Y297" s="278"/>
      <c r="Z297" s="278"/>
    </row>
    <row r="298">
      <c r="A298" s="278"/>
      <c r="B298" s="278"/>
      <c r="C298" s="278"/>
      <c r="D298" s="278"/>
      <c r="E298" s="278"/>
      <c r="F298" s="278"/>
      <c r="G298" s="278"/>
      <c r="H298" s="278"/>
      <c r="I298" s="278"/>
      <c r="J298" s="278"/>
      <c r="K298" s="278"/>
      <c r="L298" s="278"/>
      <c r="M298" s="278"/>
      <c r="N298" s="278"/>
      <c r="O298" s="278"/>
      <c r="P298" s="278"/>
      <c r="Q298" s="278"/>
      <c r="R298" s="278"/>
      <c r="S298" s="278"/>
      <c r="T298" s="278"/>
      <c r="U298" s="278"/>
      <c r="V298" s="278"/>
      <c r="W298" s="278"/>
      <c r="X298" s="278"/>
      <c r="Y298" s="278"/>
      <c r="Z298" s="278"/>
    </row>
    <row r="299">
      <c r="A299" s="278"/>
      <c r="B299" s="278"/>
      <c r="C299" s="278"/>
      <c r="D299" s="278"/>
      <c r="E299" s="278"/>
      <c r="F299" s="278"/>
      <c r="G299" s="278"/>
      <c r="H299" s="278"/>
      <c r="I299" s="278"/>
      <c r="J299" s="278"/>
      <c r="K299" s="278"/>
      <c r="L299" s="278"/>
      <c r="M299" s="278"/>
      <c r="N299" s="278"/>
      <c r="O299" s="278"/>
      <c r="P299" s="278"/>
      <c r="Q299" s="278"/>
      <c r="R299" s="278"/>
      <c r="S299" s="278"/>
      <c r="T299" s="278"/>
      <c r="U299" s="278"/>
      <c r="V299" s="278"/>
      <c r="W299" s="278"/>
      <c r="X299" s="278"/>
      <c r="Y299" s="278"/>
      <c r="Z299" s="278"/>
    </row>
    <row r="300">
      <c r="A300" s="278"/>
      <c r="B300" s="278"/>
      <c r="C300" s="278"/>
      <c r="D300" s="278"/>
      <c r="E300" s="278"/>
      <c r="F300" s="278"/>
      <c r="G300" s="278"/>
      <c r="H300" s="278"/>
      <c r="I300" s="278"/>
      <c r="J300" s="278"/>
      <c r="K300" s="278"/>
      <c r="L300" s="278"/>
      <c r="M300" s="278"/>
      <c r="N300" s="278"/>
      <c r="O300" s="278"/>
      <c r="P300" s="278"/>
      <c r="Q300" s="278"/>
      <c r="R300" s="278"/>
      <c r="S300" s="278"/>
      <c r="T300" s="278"/>
      <c r="U300" s="278"/>
      <c r="V300" s="278"/>
      <c r="W300" s="278"/>
      <c r="X300" s="278"/>
      <c r="Y300" s="278"/>
      <c r="Z300" s="278"/>
    </row>
    <row r="301">
      <c r="A301" s="278"/>
      <c r="B301" s="278"/>
      <c r="C301" s="278"/>
      <c r="D301" s="278"/>
      <c r="E301" s="278"/>
      <c r="F301" s="278"/>
      <c r="G301" s="278"/>
      <c r="H301" s="278"/>
      <c r="I301" s="278"/>
      <c r="J301" s="278"/>
      <c r="K301" s="278"/>
      <c r="L301" s="278"/>
      <c r="M301" s="278"/>
      <c r="N301" s="278"/>
      <c r="O301" s="278"/>
      <c r="P301" s="278"/>
      <c r="Q301" s="278"/>
      <c r="R301" s="278"/>
      <c r="S301" s="278"/>
      <c r="T301" s="278"/>
      <c r="U301" s="278"/>
      <c r="V301" s="278"/>
      <c r="W301" s="278"/>
      <c r="X301" s="278"/>
      <c r="Y301" s="278"/>
      <c r="Z301" s="278"/>
    </row>
    <row r="302">
      <c r="A302" s="278"/>
      <c r="B302" s="278"/>
      <c r="C302" s="278"/>
      <c r="D302" s="278"/>
      <c r="E302" s="278"/>
      <c r="F302" s="278"/>
      <c r="G302" s="278"/>
      <c r="H302" s="278"/>
      <c r="I302" s="278"/>
      <c r="J302" s="278"/>
      <c r="K302" s="278"/>
      <c r="L302" s="278"/>
      <c r="M302" s="278"/>
      <c r="N302" s="278"/>
      <c r="O302" s="278"/>
      <c r="P302" s="278"/>
      <c r="Q302" s="278"/>
      <c r="R302" s="278"/>
      <c r="S302" s="278"/>
      <c r="T302" s="278"/>
      <c r="U302" s="278"/>
      <c r="V302" s="278"/>
      <c r="W302" s="278"/>
      <c r="X302" s="278"/>
      <c r="Y302" s="278"/>
      <c r="Z302" s="278"/>
    </row>
    <row r="303">
      <c r="A303" s="278"/>
      <c r="B303" s="278"/>
      <c r="C303" s="278"/>
      <c r="D303" s="278"/>
      <c r="E303" s="278"/>
      <c r="F303" s="278"/>
      <c r="G303" s="278"/>
      <c r="H303" s="278"/>
      <c r="I303" s="278"/>
      <c r="J303" s="278"/>
      <c r="K303" s="278"/>
      <c r="L303" s="278"/>
      <c r="M303" s="278"/>
      <c r="N303" s="278"/>
      <c r="O303" s="278"/>
      <c r="P303" s="278"/>
      <c r="Q303" s="278"/>
      <c r="R303" s="278"/>
      <c r="S303" s="278"/>
      <c r="T303" s="278"/>
      <c r="U303" s="278"/>
      <c r="V303" s="278"/>
      <c r="W303" s="278"/>
      <c r="X303" s="278"/>
      <c r="Y303" s="278"/>
      <c r="Z303" s="278"/>
    </row>
    <row r="304">
      <c r="A304" s="278"/>
      <c r="B304" s="278"/>
      <c r="C304" s="278"/>
      <c r="D304" s="278"/>
      <c r="E304" s="278"/>
      <c r="F304" s="278"/>
      <c r="G304" s="278"/>
      <c r="H304" s="278"/>
      <c r="I304" s="278"/>
      <c r="J304" s="278"/>
      <c r="K304" s="278"/>
      <c r="L304" s="278"/>
      <c r="M304" s="278"/>
      <c r="N304" s="278"/>
      <c r="O304" s="278"/>
      <c r="P304" s="278"/>
      <c r="Q304" s="278"/>
      <c r="R304" s="278"/>
      <c r="S304" s="278"/>
      <c r="T304" s="278"/>
      <c r="U304" s="278"/>
      <c r="V304" s="278"/>
      <c r="W304" s="278"/>
      <c r="X304" s="278"/>
      <c r="Y304" s="278"/>
      <c r="Z304" s="278"/>
    </row>
    <row r="305">
      <c r="A305" s="278"/>
      <c r="B305" s="278"/>
      <c r="C305" s="278"/>
      <c r="D305" s="278"/>
      <c r="E305" s="278"/>
      <c r="F305" s="278"/>
      <c r="G305" s="278"/>
      <c r="H305" s="278"/>
      <c r="I305" s="278"/>
      <c r="J305" s="278"/>
      <c r="K305" s="278"/>
      <c r="L305" s="278"/>
      <c r="M305" s="278"/>
      <c r="N305" s="278"/>
      <c r="O305" s="278"/>
      <c r="P305" s="278"/>
      <c r="Q305" s="278"/>
      <c r="R305" s="278"/>
      <c r="S305" s="278"/>
      <c r="T305" s="278"/>
      <c r="U305" s="278"/>
      <c r="V305" s="278"/>
      <c r="W305" s="278"/>
      <c r="X305" s="278"/>
      <c r="Y305" s="278"/>
      <c r="Z305" s="278"/>
    </row>
    <row r="306">
      <c r="A306" s="278"/>
      <c r="B306" s="278"/>
      <c r="C306" s="278"/>
      <c r="D306" s="278"/>
      <c r="E306" s="278"/>
      <c r="F306" s="278"/>
      <c r="G306" s="278"/>
      <c r="H306" s="278"/>
      <c r="I306" s="278"/>
      <c r="J306" s="278"/>
      <c r="K306" s="278"/>
      <c r="L306" s="278"/>
      <c r="M306" s="278"/>
      <c r="N306" s="278"/>
      <c r="O306" s="278"/>
      <c r="P306" s="278"/>
      <c r="Q306" s="278"/>
      <c r="R306" s="278"/>
      <c r="S306" s="278"/>
      <c r="T306" s="278"/>
      <c r="U306" s="278"/>
      <c r="V306" s="278"/>
      <c r="W306" s="278"/>
      <c r="X306" s="278"/>
      <c r="Y306" s="278"/>
      <c r="Z306" s="278"/>
    </row>
    <row r="307">
      <c r="A307" s="278"/>
      <c r="B307" s="278"/>
      <c r="C307" s="278"/>
      <c r="D307" s="278"/>
      <c r="E307" s="278"/>
      <c r="F307" s="278"/>
      <c r="G307" s="278"/>
      <c r="H307" s="278"/>
      <c r="I307" s="278"/>
      <c r="J307" s="278"/>
      <c r="K307" s="278"/>
      <c r="L307" s="278"/>
      <c r="M307" s="278"/>
      <c r="N307" s="278"/>
      <c r="O307" s="278"/>
      <c r="P307" s="278"/>
      <c r="Q307" s="278"/>
      <c r="R307" s="278"/>
      <c r="S307" s="278"/>
      <c r="T307" s="278"/>
      <c r="U307" s="278"/>
      <c r="V307" s="278"/>
      <c r="W307" s="278"/>
      <c r="X307" s="278"/>
      <c r="Y307" s="278"/>
      <c r="Z307" s="278"/>
    </row>
    <row r="308">
      <c r="A308" s="278"/>
      <c r="B308" s="278"/>
      <c r="C308" s="278"/>
      <c r="D308" s="278"/>
      <c r="E308" s="278"/>
      <c r="F308" s="278"/>
      <c r="G308" s="278"/>
      <c r="H308" s="278"/>
      <c r="I308" s="278"/>
      <c r="J308" s="278"/>
      <c r="K308" s="278"/>
      <c r="L308" s="278"/>
      <c r="M308" s="278"/>
      <c r="N308" s="278"/>
      <c r="O308" s="278"/>
      <c r="P308" s="278"/>
      <c r="Q308" s="278"/>
      <c r="R308" s="278"/>
      <c r="S308" s="278"/>
      <c r="T308" s="278"/>
      <c r="U308" s="278"/>
      <c r="V308" s="278"/>
      <c r="W308" s="278"/>
      <c r="X308" s="278"/>
      <c r="Y308" s="278"/>
      <c r="Z308" s="278"/>
    </row>
    <row r="309">
      <c r="A309" s="278"/>
      <c r="B309" s="278"/>
      <c r="C309" s="278"/>
      <c r="D309" s="278"/>
      <c r="E309" s="278"/>
      <c r="F309" s="278"/>
      <c r="G309" s="278"/>
      <c r="H309" s="278"/>
      <c r="I309" s="278"/>
      <c r="J309" s="278"/>
      <c r="K309" s="278"/>
      <c r="L309" s="278"/>
      <c r="M309" s="278"/>
      <c r="N309" s="278"/>
      <c r="O309" s="278"/>
      <c r="P309" s="278"/>
      <c r="Q309" s="278"/>
      <c r="R309" s="278"/>
      <c r="S309" s="278"/>
      <c r="T309" s="278"/>
      <c r="U309" s="278"/>
      <c r="V309" s="278"/>
      <c r="W309" s="278"/>
      <c r="X309" s="278"/>
      <c r="Y309" s="278"/>
      <c r="Z309" s="278"/>
    </row>
    <row r="310">
      <c r="A310" s="278"/>
      <c r="B310" s="278"/>
      <c r="C310" s="278"/>
      <c r="D310" s="278"/>
      <c r="E310" s="278"/>
      <c r="F310" s="278"/>
      <c r="G310" s="278"/>
      <c r="H310" s="278"/>
      <c r="I310" s="278"/>
      <c r="J310" s="278"/>
      <c r="K310" s="278"/>
      <c r="L310" s="278"/>
      <c r="M310" s="278"/>
      <c r="N310" s="278"/>
      <c r="O310" s="278"/>
      <c r="P310" s="278"/>
      <c r="Q310" s="278"/>
      <c r="R310" s="278"/>
      <c r="S310" s="278"/>
      <c r="T310" s="278"/>
      <c r="U310" s="278"/>
      <c r="V310" s="278"/>
      <c r="W310" s="278"/>
      <c r="X310" s="278"/>
      <c r="Y310" s="278"/>
      <c r="Z310" s="278"/>
    </row>
    <row r="311">
      <c r="A311" s="278"/>
      <c r="B311" s="278"/>
      <c r="C311" s="278"/>
      <c r="D311" s="278"/>
      <c r="E311" s="278"/>
      <c r="F311" s="278"/>
      <c r="G311" s="278"/>
      <c r="H311" s="278"/>
      <c r="I311" s="278"/>
      <c r="J311" s="278"/>
      <c r="K311" s="278"/>
      <c r="L311" s="278"/>
      <c r="M311" s="278"/>
      <c r="N311" s="278"/>
      <c r="O311" s="278"/>
      <c r="P311" s="278"/>
      <c r="Q311" s="278"/>
      <c r="R311" s="278"/>
      <c r="S311" s="278"/>
      <c r="T311" s="278"/>
      <c r="U311" s="278"/>
      <c r="V311" s="278"/>
      <c r="W311" s="278"/>
      <c r="X311" s="278"/>
      <c r="Y311" s="278"/>
      <c r="Z311" s="278"/>
    </row>
    <row r="312">
      <c r="A312" s="278"/>
      <c r="B312" s="278"/>
      <c r="C312" s="278"/>
      <c r="D312" s="278"/>
      <c r="E312" s="278"/>
      <c r="F312" s="278"/>
      <c r="G312" s="278"/>
      <c r="H312" s="278"/>
      <c r="I312" s="278"/>
      <c r="J312" s="278"/>
      <c r="K312" s="278"/>
      <c r="L312" s="278"/>
      <c r="M312" s="278"/>
      <c r="N312" s="278"/>
      <c r="O312" s="278"/>
      <c r="P312" s="278"/>
      <c r="Q312" s="278"/>
      <c r="R312" s="278"/>
      <c r="S312" s="278"/>
      <c r="T312" s="278"/>
      <c r="U312" s="278"/>
      <c r="V312" s="278"/>
      <c r="W312" s="278"/>
      <c r="X312" s="278"/>
      <c r="Y312" s="278"/>
      <c r="Z312" s="278"/>
    </row>
    <row r="313">
      <c r="A313" s="278"/>
      <c r="B313" s="278"/>
      <c r="C313" s="278"/>
      <c r="D313" s="278"/>
      <c r="E313" s="278"/>
      <c r="F313" s="278"/>
      <c r="G313" s="278"/>
      <c r="H313" s="278"/>
      <c r="I313" s="278"/>
      <c r="J313" s="278"/>
      <c r="K313" s="278"/>
      <c r="L313" s="278"/>
      <c r="M313" s="278"/>
      <c r="N313" s="278"/>
      <c r="O313" s="278"/>
      <c r="P313" s="278"/>
      <c r="Q313" s="278"/>
      <c r="R313" s="278"/>
      <c r="S313" s="278"/>
      <c r="T313" s="278"/>
      <c r="U313" s="278"/>
      <c r="V313" s="278"/>
      <c r="W313" s="278"/>
      <c r="X313" s="278"/>
      <c r="Y313" s="278"/>
      <c r="Z313" s="278"/>
    </row>
    <row r="314">
      <c r="A314" s="278"/>
      <c r="B314" s="278"/>
      <c r="C314" s="278"/>
      <c r="D314" s="278"/>
      <c r="E314" s="278"/>
      <c r="F314" s="278"/>
      <c r="G314" s="278"/>
      <c r="H314" s="278"/>
      <c r="I314" s="278"/>
      <c r="J314" s="278"/>
      <c r="K314" s="278"/>
      <c r="L314" s="278"/>
      <c r="M314" s="278"/>
      <c r="N314" s="278"/>
      <c r="O314" s="278"/>
      <c r="P314" s="278"/>
      <c r="Q314" s="278"/>
      <c r="R314" s="278"/>
      <c r="S314" s="278"/>
      <c r="T314" s="278"/>
      <c r="U314" s="278"/>
      <c r="V314" s="278"/>
      <c r="W314" s="278"/>
      <c r="X314" s="278"/>
      <c r="Y314" s="278"/>
      <c r="Z314" s="278"/>
    </row>
    <row r="315">
      <c r="A315" s="278"/>
      <c r="B315" s="278"/>
      <c r="C315" s="278"/>
      <c r="D315" s="278"/>
      <c r="E315" s="278"/>
      <c r="F315" s="278"/>
      <c r="G315" s="278"/>
      <c r="H315" s="278"/>
      <c r="I315" s="278"/>
      <c r="J315" s="278"/>
      <c r="K315" s="278"/>
      <c r="L315" s="278"/>
      <c r="M315" s="278"/>
      <c r="N315" s="278"/>
      <c r="O315" s="278"/>
      <c r="P315" s="278"/>
      <c r="Q315" s="278"/>
      <c r="R315" s="278"/>
      <c r="S315" s="278"/>
      <c r="T315" s="278"/>
      <c r="U315" s="278"/>
      <c r="V315" s="278"/>
      <c r="W315" s="278"/>
      <c r="X315" s="278"/>
      <c r="Y315" s="278"/>
      <c r="Z315" s="278"/>
    </row>
    <row r="316">
      <c r="A316" s="278"/>
      <c r="B316" s="278"/>
      <c r="C316" s="278"/>
      <c r="D316" s="278"/>
      <c r="E316" s="278"/>
      <c r="F316" s="278"/>
      <c r="G316" s="278"/>
      <c r="H316" s="278"/>
      <c r="I316" s="278"/>
      <c r="J316" s="278"/>
      <c r="K316" s="278"/>
      <c r="L316" s="278"/>
      <c r="M316" s="278"/>
      <c r="N316" s="278"/>
      <c r="O316" s="278"/>
      <c r="P316" s="278"/>
      <c r="Q316" s="278"/>
      <c r="R316" s="278"/>
      <c r="S316" s="278"/>
      <c r="T316" s="278"/>
      <c r="U316" s="278"/>
      <c r="V316" s="278"/>
      <c r="W316" s="278"/>
      <c r="X316" s="278"/>
      <c r="Y316" s="278"/>
      <c r="Z316" s="278"/>
    </row>
    <row r="317">
      <c r="A317" s="278"/>
      <c r="B317" s="278"/>
      <c r="C317" s="278"/>
      <c r="D317" s="278"/>
      <c r="E317" s="278"/>
      <c r="F317" s="278"/>
      <c r="G317" s="278"/>
      <c r="H317" s="278"/>
      <c r="I317" s="278"/>
      <c r="J317" s="278"/>
      <c r="K317" s="278"/>
      <c r="L317" s="278"/>
      <c r="M317" s="278"/>
      <c r="N317" s="278"/>
      <c r="O317" s="278"/>
      <c r="P317" s="278"/>
      <c r="Q317" s="278"/>
      <c r="R317" s="278"/>
      <c r="S317" s="278"/>
      <c r="T317" s="278"/>
      <c r="U317" s="278"/>
      <c r="V317" s="278"/>
      <c r="W317" s="278"/>
      <c r="X317" s="278"/>
      <c r="Y317" s="278"/>
      <c r="Z317" s="278"/>
    </row>
    <row r="318">
      <c r="A318" s="278"/>
      <c r="B318" s="278"/>
      <c r="C318" s="278"/>
      <c r="D318" s="278"/>
      <c r="E318" s="278"/>
      <c r="F318" s="278"/>
      <c r="G318" s="278"/>
      <c r="H318" s="278"/>
      <c r="I318" s="278"/>
      <c r="J318" s="278"/>
      <c r="K318" s="278"/>
      <c r="L318" s="278"/>
      <c r="M318" s="278"/>
      <c r="N318" s="278"/>
      <c r="O318" s="278"/>
      <c r="P318" s="278"/>
      <c r="Q318" s="278"/>
      <c r="R318" s="278"/>
      <c r="S318" s="278"/>
      <c r="T318" s="278"/>
      <c r="U318" s="278"/>
      <c r="V318" s="278"/>
      <c r="W318" s="278"/>
      <c r="X318" s="278"/>
      <c r="Y318" s="278"/>
      <c r="Z318" s="278"/>
    </row>
    <row r="319">
      <c r="A319" s="278"/>
      <c r="B319" s="278"/>
      <c r="C319" s="278"/>
      <c r="D319" s="278"/>
      <c r="E319" s="278"/>
      <c r="F319" s="278"/>
      <c r="G319" s="278"/>
      <c r="H319" s="278"/>
      <c r="I319" s="278"/>
      <c r="J319" s="278"/>
      <c r="K319" s="278"/>
      <c r="L319" s="278"/>
      <c r="M319" s="278"/>
      <c r="N319" s="278"/>
      <c r="O319" s="278"/>
      <c r="P319" s="278"/>
      <c r="Q319" s="278"/>
      <c r="R319" s="278"/>
      <c r="S319" s="278"/>
      <c r="T319" s="278"/>
      <c r="U319" s="278"/>
      <c r="V319" s="278"/>
      <c r="W319" s="278"/>
      <c r="X319" s="278"/>
      <c r="Y319" s="278"/>
      <c r="Z319" s="278"/>
    </row>
    <row r="320">
      <c r="A320" s="278"/>
      <c r="B320" s="278"/>
      <c r="C320" s="278"/>
      <c r="D320" s="278"/>
      <c r="E320" s="278"/>
      <c r="F320" s="278"/>
      <c r="G320" s="278"/>
      <c r="H320" s="278"/>
      <c r="I320" s="278"/>
      <c r="J320" s="278"/>
      <c r="K320" s="278"/>
      <c r="L320" s="278"/>
      <c r="M320" s="278"/>
      <c r="N320" s="278"/>
      <c r="O320" s="278"/>
      <c r="P320" s="278"/>
      <c r="Q320" s="278"/>
      <c r="R320" s="278"/>
      <c r="S320" s="278"/>
      <c r="T320" s="278"/>
      <c r="U320" s="278"/>
      <c r="V320" s="278"/>
      <c r="W320" s="278"/>
      <c r="X320" s="278"/>
      <c r="Y320" s="278"/>
      <c r="Z320" s="278"/>
    </row>
    <row r="321">
      <c r="A321" s="278"/>
      <c r="B321" s="278"/>
      <c r="C321" s="278"/>
      <c r="D321" s="278"/>
      <c r="E321" s="278"/>
      <c r="F321" s="278"/>
      <c r="G321" s="278"/>
      <c r="H321" s="278"/>
      <c r="I321" s="278"/>
      <c r="J321" s="278"/>
      <c r="K321" s="278"/>
      <c r="L321" s="278"/>
      <c r="M321" s="278"/>
      <c r="N321" s="278"/>
      <c r="O321" s="278"/>
      <c r="P321" s="278"/>
      <c r="Q321" s="278"/>
      <c r="R321" s="278"/>
      <c r="S321" s="278"/>
      <c r="T321" s="278"/>
      <c r="U321" s="278"/>
      <c r="V321" s="278"/>
      <c r="W321" s="278"/>
      <c r="X321" s="278"/>
      <c r="Y321" s="278"/>
      <c r="Z321" s="278"/>
    </row>
    <row r="322">
      <c r="A322" s="278"/>
      <c r="B322" s="278"/>
      <c r="C322" s="278"/>
      <c r="D322" s="278"/>
      <c r="E322" s="278"/>
      <c r="F322" s="278"/>
      <c r="G322" s="278"/>
      <c r="H322" s="278"/>
      <c r="I322" s="278"/>
      <c r="J322" s="278"/>
      <c r="K322" s="278"/>
      <c r="L322" s="278"/>
      <c r="M322" s="278"/>
      <c r="N322" s="278"/>
      <c r="O322" s="278"/>
      <c r="P322" s="278"/>
      <c r="Q322" s="278"/>
      <c r="R322" s="278"/>
      <c r="S322" s="278"/>
      <c r="T322" s="278"/>
      <c r="U322" s="278"/>
      <c r="V322" s="278"/>
      <c r="W322" s="278"/>
      <c r="X322" s="278"/>
      <c r="Y322" s="278"/>
      <c r="Z322" s="278"/>
    </row>
    <row r="323">
      <c r="A323" s="278"/>
      <c r="B323" s="278"/>
      <c r="C323" s="278"/>
      <c r="D323" s="278"/>
      <c r="E323" s="278"/>
      <c r="F323" s="278"/>
      <c r="G323" s="278"/>
      <c r="H323" s="278"/>
      <c r="I323" s="278"/>
      <c r="J323" s="278"/>
      <c r="K323" s="278"/>
      <c r="L323" s="278"/>
      <c r="M323" s="278"/>
      <c r="N323" s="278"/>
      <c r="O323" s="278"/>
      <c r="P323" s="278"/>
      <c r="Q323" s="278"/>
      <c r="R323" s="278"/>
      <c r="S323" s="278"/>
      <c r="T323" s="278"/>
      <c r="U323" s="278"/>
      <c r="V323" s="278"/>
      <c r="W323" s="278"/>
      <c r="X323" s="278"/>
      <c r="Y323" s="278"/>
      <c r="Z323" s="278"/>
    </row>
    <row r="324">
      <c r="A324" s="278"/>
      <c r="B324" s="278"/>
      <c r="C324" s="278"/>
      <c r="D324" s="278"/>
      <c r="E324" s="278"/>
      <c r="F324" s="278"/>
      <c r="G324" s="278"/>
      <c r="H324" s="278"/>
      <c r="I324" s="278"/>
      <c r="J324" s="278"/>
      <c r="K324" s="278"/>
      <c r="L324" s="278"/>
      <c r="M324" s="278"/>
      <c r="N324" s="278"/>
      <c r="O324" s="278"/>
      <c r="P324" s="278"/>
      <c r="Q324" s="278"/>
      <c r="R324" s="278"/>
      <c r="S324" s="278"/>
      <c r="T324" s="278"/>
      <c r="U324" s="278"/>
      <c r="V324" s="278"/>
      <c r="W324" s="278"/>
      <c r="X324" s="278"/>
      <c r="Y324" s="278"/>
      <c r="Z324" s="278"/>
    </row>
    <row r="325">
      <c r="A325" s="278"/>
      <c r="B325" s="278"/>
      <c r="C325" s="278"/>
      <c r="D325" s="278"/>
      <c r="E325" s="278"/>
      <c r="F325" s="278"/>
      <c r="G325" s="278"/>
      <c r="H325" s="278"/>
      <c r="I325" s="278"/>
      <c r="J325" s="278"/>
      <c r="K325" s="278"/>
      <c r="L325" s="278"/>
      <c r="M325" s="278"/>
      <c r="N325" s="278"/>
      <c r="O325" s="278"/>
      <c r="P325" s="278"/>
      <c r="Q325" s="278"/>
      <c r="R325" s="278"/>
      <c r="S325" s="278"/>
      <c r="T325" s="278"/>
      <c r="U325" s="278"/>
      <c r="V325" s="278"/>
      <c r="W325" s="278"/>
      <c r="X325" s="278"/>
      <c r="Y325" s="278"/>
      <c r="Z325" s="278"/>
    </row>
    <row r="326">
      <c r="A326" s="278"/>
      <c r="B326" s="278"/>
      <c r="C326" s="278"/>
      <c r="D326" s="278"/>
      <c r="E326" s="278"/>
      <c r="F326" s="278"/>
      <c r="G326" s="278"/>
      <c r="H326" s="278"/>
      <c r="I326" s="278"/>
      <c r="J326" s="278"/>
      <c r="K326" s="278"/>
      <c r="L326" s="278"/>
      <c r="M326" s="278"/>
      <c r="N326" s="278"/>
      <c r="O326" s="278"/>
      <c r="P326" s="278"/>
      <c r="Q326" s="278"/>
      <c r="R326" s="278"/>
      <c r="S326" s="278"/>
      <c r="T326" s="278"/>
      <c r="U326" s="278"/>
      <c r="V326" s="278"/>
      <c r="W326" s="278"/>
      <c r="X326" s="278"/>
      <c r="Y326" s="278"/>
      <c r="Z326" s="278"/>
    </row>
    <row r="327">
      <c r="A327" s="278"/>
      <c r="B327" s="278"/>
      <c r="C327" s="278"/>
      <c r="D327" s="278"/>
      <c r="E327" s="278"/>
      <c r="F327" s="278"/>
      <c r="G327" s="278"/>
      <c r="H327" s="278"/>
      <c r="I327" s="278"/>
      <c r="J327" s="278"/>
      <c r="K327" s="278"/>
      <c r="L327" s="278"/>
      <c r="M327" s="278"/>
      <c r="N327" s="278"/>
      <c r="O327" s="278"/>
      <c r="P327" s="278"/>
      <c r="Q327" s="278"/>
      <c r="R327" s="278"/>
      <c r="S327" s="278"/>
      <c r="T327" s="278"/>
      <c r="U327" s="278"/>
      <c r="V327" s="278"/>
      <c r="W327" s="278"/>
      <c r="X327" s="278"/>
      <c r="Y327" s="278"/>
      <c r="Z327" s="278"/>
    </row>
    <row r="328">
      <c r="A328" s="278"/>
      <c r="B328" s="278"/>
      <c r="C328" s="278"/>
      <c r="D328" s="278"/>
      <c r="E328" s="278"/>
      <c r="F328" s="278"/>
      <c r="G328" s="278"/>
      <c r="H328" s="278"/>
      <c r="I328" s="278"/>
      <c r="J328" s="278"/>
      <c r="K328" s="278"/>
      <c r="L328" s="278"/>
      <c r="M328" s="278"/>
      <c r="N328" s="278"/>
      <c r="O328" s="278"/>
      <c r="P328" s="278"/>
      <c r="Q328" s="278"/>
      <c r="R328" s="278"/>
      <c r="S328" s="278"/>
      <c r="T328" s="278"/>
      <c r="U328" s="278"/>
      <c r="V328" s="278"/>
      <c r="W328" s="278"/>
      <c r="X328" s="278"/>
      <c r="Y328" s="278"/>
      <c r="Z328" s="278"/>
    </row>
    <row r="329">
      <c r="A329" s="278"/>
      <c r="B329" s="278"/>
      <c r="C329" s="278"/>
      <c r="D329" s="278"/>
      <c r="E329" s="278"/>
      <c r="F329" s="278"/>
      <c r="G329" s="278"/>
      <c r="H329" s="278"/>
      <c r="I329" s="278"/>
      <c r="J329" s="278"/>
      <c r="K329" s="278"/>
      <c r="L329" s="278"/>
      <c r="M329" s="278"/>
      <c r="N329" s="278"/>
      <c r="O329" s="278"/>
      <c r="P329" s="278"/>
      <c r="Q329" s="278"/>
      <c r="R329" s="278"/>
      <c r="S329" s="278"/>
      <c r="T329" s="278"/>
      <c r="U329" s="278"/>
      <c r="V329" s="278"/>
      <c r="W329" s="278"/>
      <c r="X329" s="278"/>
      <c r="Y329" s="278"/>
      <c r="Z329" s="278"/>
    </row>
    <row r="330">
      <c r="A330" s="278"/>
      <c r="B330" s="278"/>
      <c r="C330" s="278"/>
      <c r="D330" s="278"/>
      <c r="E330" s="278"/>
      <c r="F330" s="278"/>
      <c r="G330" s="278"/>
      <c r="H330" s="278"/>
      <c r="I330" s="278"/>
      <c r="J330" s="278"/>
      <c r="K330" s="278"/>
      <c r="L330" s="278"/>
      <c r="M330" s="278"/>
      <c r="N330" s="278"/>
      <c r="O330" s="278"/>
      <c r="P330" s="278"/>
      <c r="Q330" s="278"/>
      <c r="R330" s="278"/>
      <c r="S330" s="278"/>
      <c r="T330" s="278"/>
      <c r="U330" s="278"/>
      <c r="V330" s="278"/>
      <c r="W330" s="278"/>
      <c r="X330" s="278"/>
      <c r="Y330" s="278"/>
      <c r="Z330" s="278"/>
    </row>
    <row r="331">
      <c r="A331" s="278"/>
      <c r="B331" s="278"/>
      <c r="C331" s="278"/>
      <c r="D331" s="278"/>
      <c r="E331" s="278"/>
      <c r="F331" s="278"/>
      <c r="G331" s="278"/>
      <c r="H331" s="278"/>
      <c r="I331" s="278"/>
      <c r="J331" s="278"/>
      <c r="K331" s="278"/>
      <c r="L331" s="278"/>
      <c r="M331" s="278"/>
      <c r="N331" s="278"/>
      <c r="O331" s="278"/>
      <c r="P331" s="278"/>
      <c r="Q331" s="278"/>
      <c r="R331" s="278"/>
      <c r="S331" s="278"/>
      <c r="T331" s="278"/>
      <c r="U331" s="278"/>
      <c r="V331" s="278"/>
      <c r="W331" s="278"/>
      <c r="X331" s="278"/>
      <c r="Y331" s="278"/>
      <c r="Z331" s="278"/>
    </row>
    <row r="332">
      <c r="A332" s="278"/>
      <c r="B332" s="278"/>
      <c r="C332" s="278"/>
      <c r="D332" s="278"/>
      <c r="E332" s="278"/>
      <c r="F332" s="278"/>
      <c r="G332" s="278"/>
      <c r="H332" s="278"/>
      <c r="I332" s="278"/>
      <c r="J332" s="278"/>
      <c r="K332" s="278"/>
      <c r="L332" s="278"/>
      <c r="M332" s="278"/>
      <c r="N332" s="278"/>
      <c r="O332" s="278"/>
      <c r="P332" s="278"/>
      <c r="Q332" s="278"/>
      <c r="R332" s="278"/>
      <c r="S332" s="278"/>
      <c r="T332" s="278"/>
      <c r="U332" s="278"/>
      <c r="V332" s="278"/>
      <c r="W332" s="278"/>
      <c r="X332" s="278"/>
      <c r="Y332" s="278"/>
      <c r="Z332" s="278"/>
    </row>
    <row r="333">
      <c r="A333" s="278"/>
      <c r="B333" s="278"/>
      <c r="C333" s="278"/>
      <c r="D333" s="278"/>
      <c r="E333" s="278"/>
      <c r="F333" s="278"/>
      <c r="G333" s="278"/>
      <c r="H333" s="278"/>
      <c r="I333" s="278"/>
      <c r="J333" s="278"/>
      <c r="K333" s="278"/>
      <c r="L333" s="278"/>
      <c r="M333" s="278"/>
      <c r="N333" s="278"/>
      <c r="O333" s="278"/>
      <c r="P333" s="278"/>
      <c r="Q333" s="278"/>
      <c r="R333" s="278"/>
      <c r="S333" s="278"/>
      <c r="T333" s="278"/>
      <c r="U333" s="278"/>
      <c r="V333" s="278"/>
      <c r="W333" s="278"/>
      <c r="X333" s="278"/>
      <c r="Y333" s="278"/>
      <c r="Z333" s="278"/>
    </row>
    <row r="334">
      <c r="A334" s="278"/>
      <c r="B334" s="278"/>
      <c r="C334" s="278"/>
      <c r="D334" s="278"/>
      <c r="E334" s="278"/>
      <c r="F334" s="278"/>
      <c r="G334" s="278"/>
      <c r="H334" s="278"/>
      <c r="I334" s="278"/>
      <c r="J334" s="278"/>
      <c r="K334" s="278"/>
      <c r="L334" s="278"/>
      <c r="M334" s="278"/>
      <c r="N334" s="278"/>
      <c r="O334" s="278"/>
      <c r="P334" s="278"/>
      <c r="Q334" s="278"/>
      <c r="R334" s="278"/>
      <c r="S334" s="278"/>
      <c r="T334" s="278"/>
      <c r="U334" s="278"/>
      <c r="V334" s="278"/>
      <c r="W334" s="278"/>
      <c r="X334" s="278"/>
      <c r="Y334" s="278"/>
      <c r="Z334" s="278"/>
    </row>
    <row r="335">
      <c r="A335" s="278"/>
      <c r="B335" s="278"/>
      <c r="C335" s="278"/>
      <c r="D335" s="278"/>
      <c r="E335" s="278"/>
      <c r="F335" s="278"/>
      <c r="G335" s="278"/>
      <c r="H335" s="278"/>
      <c r="I335" s="278"/>
      <c r="J335" s="278"/>
      <c r="K335" s="278"/>
      <c r="L335" s="278"/>
      <c r="M335" s="278"/>
      <c r="N335" s="278"/>
      <c r="O335" s="278"/>
      <c r="P335" s="278"/>
      <c r="Q335" s="278"/>
      <c r="R335" s="278"/>
      <c r="S335" s="278"/>
      <c r="T335" s="278"/>
      <c r="U335" s="278"/>
      <c r="V335" s="278"/>
      <c r="W335" s="278"/>
      <c r="X335" s="278"/>
      <c r="Y335" s="278"/>
      <c r="Z335" s="278"/>
    </row>
    <row r="336">
      <c r="A336" s="278"/>
      <c r="B336" s="278"/>
      <c r="C336" s="278"/>
      <c r="D336" s="278"/>
      <c r="E336" s="278"/>
      <c r="F336" s="278"/>
      <c r="G336" s="278"/>
      <c r="H336" s="278"/>
      <c r="I336" s="278"/>
      <c r="J336" s="278"/>
      <c r="K336" s="278"/>
      <c r="L336" s="278"/>
      <c r="M336" s="278"/>
      <c r="N336" s="278"/>
      <c r="O336" s="278"/>
      <c r="P336" s="278"/>
      <c r="Q336" s="278"/>
      <c r="R336" s="278"/>
      <c r="S336" s="278"/>
      <c r="T336" s="278"/>
      <c r="U336" s="278"/>
      <c r="V336" s="278"/>
      <c r="W336" s="278"/>
      <c r="X336" s="278"/>
      <c r="Y336" s="278"/>
      <c r="Z336" s="278"/>
    </row>
    <row r="337">
      <c r="A337" s="278"/>
      <c r="B337" s="278"/>
      <c r="C337" s="278"/>
      <c r="D337" s="278"/>
      <c r="E337" s="278"/>
      <c r="F337" s="278"/>
      <c r="G337" s="278"/>
      <c r="H337" s="278"/>
      <c r="I337" s="278"/>
      <c r="J337" s="278"/>
      <c r="K337" s="278"/>
      <c r="L337" s="278"/>
      <c r="M337" s="278"/>
      <c r="N337" s="278"/>
      <c r="O337" s="278"/>
      <c r="P337" s="278"/>
      <c r="Q337" s="278"/>
      <c r="R337" s="278"/>
      <c r="S337" s="278"/>
      <c r="T337" s="278"/>
      <c r="U337" s="278"/>
      <c r="V337" s="278"/>
      <c r="W337" s="278"/>
      <c r="X337" s="278"/>
      <c r="Y337" s="278"/>
      <c r="Z337" s="278"/>
    </row>
    <row r="338">
      <c r="A338" s="278"/>
      <c r="B338" s="278"/>
      <c r="C338" s="278"/>
      <c r="D338" s="278"/>
      <c r="E338" s="278"/>
      <c r="F338" s="278"/>
      <c r="G338" s="278"/>
      <c r="H338" s="278"/>
      <c r="I338" s="278"/>
      <c r="J338" s="278"/>
      <c r="K338" s="278"/>
      <c r="L338" s="278"/>
      <c r="M338" s="278"/>
      <c r="N338" s="278"/>
      <c r="O338" s="278"/>
      <c r="P338" s="278"/>
      <c r="Q338" s="278"/>
      <c r="R338" s="278"/>
      <c r="S338" s="278"/>
      <c r="T338" s="278"/>
      <c r="U338" s="278"/>
      <c r="V338" s="278"/>
      <c r="W338" s="278"/>
      <c r="X338" s="278"/>
      <c r="Y338" s="278"/>
      <c r="Z338" s="278"/>
    </row>
    <row r="339">
      <c r="A339" s="278"/>
      <c r="B339" s="278"/>
      <c r="C339" s="278"/>
      <c r="D339" s="278"/>
      <c r="E339" s="278"/>
      <c r="F339" s="278"/>
      <c r="G339" s="278"/>
      <c r="H339" s="278"/>
      <c r="I339" s="278"/>
      <c r="J339" s="278"/>
      <c r="K339" s="278"/>
      <c r="L339" s="278"/>
      <c r="M339" s="278"/>
      <c r="N339" s="278"/>
      <c r="O339" s="278"/>
      <c r="P339" s="278"/>
      <c r="Q339" s="278"/>
      <c r="R339" s="278"/>
      <c r="S339" s="278"/>
      <c r="T339" s="278"/>
      <c r="U339" s="278"/>
      <c r="V339" s="278"/>
      <c r="W339" s="278"/>
      <c r="X339" s="278"/>
      <c r="Y339" s="278"/>
      <c r="Z339" s="278"/>
    </row>
    <row r="340">
      <c r="A340" s="278"/>
      <c r="B340" s="278"/>
      <c r="C340" s="278"/>
      <c r="D340" s="278"/>
      <c r="E340" s="278"/>
      <c r="F340" s="278"/>
      <c r="G340" s="278"/>
      <c r="H340" s="278"/>
      <c r="I340" s="278"/>
      <c r="J340" s="278"/>
      <c r="K340" s="278"/>
      <c r="L340" s="278"/>
      <c r="M340" s="278"/>
      <c r="N340" s="278"/>
      <c r="O340" s="278"/>
      <c r="P340" s="278"/>
      <c r="Q340" s="278"/>
      <c r="R340" s="278"/>
      <c r="S340" s="278"/>
      <c r="T340" s="278"/>
      <c r="U340" s="278"/>
      <c r="V340" s="278"/>
      <c r="W340" s="278"/>
      <c r="X340" s="278"/>
      <c r="Y340" s="278"/>
      <c r="Z340" s="278"/>
    </row>
    <row r="341">
      <c r="A341" s="278"/>
      <c r="B341" s="278"/>
      <c r="C341" s="278"/>
      <c r="D341" s="278"/>
      <c r="E341" s="278"/>
      <c r="F341" s="278"/>
      <c r="G341" s="278"/>
      <c r="H341" s="278"/>
      <c r="I341" s="278"/>
      <c r="J341" s="278"/>
      <c r="K341" s="278"/>
      <c r="L341" s="278"/>
      <c r="M341" s="278"/>
      <c r="N341" s="278"/>
      <c r="O341" s="278"/>
      <c r="P341" s="278"/>
      <c r="Q341" s="278"/>
      <c r="R341" s="278"/>
      <c r="S341" s="278"/>
      <c r="T341" s="278"/>
      <c r="U341" s="278"/>
      <c r="V341" s="278"/>
      <c r="W341" s="278"/>
      <c r="X341" s="278"/>
      <c r="Y341" s="278"/>
      <c r="Z341" s="278"/>
    </row>
    <row r="342">
      <c r="A342" s="278"/>
      <c r="B342" s="278"/>
      <c r="C342" s="278"/>
      <c r="D342" s="278"/>
      <c r="E342" s="278"/>
      <c r="F342" s="278"/>
      <c r="G342" s="278"/>
      <c r="H342" s="278"/>
      <c r="I342" s="278"/>
      <c r="J342" s="278"/>
      <c r="K342" s="278"/>
      <c r="L342" s="278"/>
      <c r="M342" s="278"/>
      <c r="N342" s="278"/>
      <c r="O342" s="278"/>
      <c r="P342" s="278"/>
      <c r="Q342" s="278"/>
      <c r="R342" s="278"/>
      <c r="S342" s="278"/>
      <c r="T342" s="278"/>
      <c r="U342" s="278"/>
      <c r="V342" s="278"/>
      <c r="W342" s="278"/>
      <c r="X342" s="278"/>
      <c r="Y342" s="278"/>
      <c r="Z342" s="278"/>
    </row>
    <row r="343">
      <c r="A343" s="278"/>
      <c r="B343" s="278"/>
      <c r="C343" s="278"/>
      <c r="D343" s="278"/>
      <c r="E343" s="278"/>
      <c r="F343" s="278"/>
      <c r="G343" s="278"/>
      <c r="H343" s="278"/>
      <c r="I343" s="278"/>
      <c r="J343" s="278"/>
      <c r="K343" s="278"/>
      <c r="L343" s="278"/>
      <c r="M343" s="278"/>
      <c r="N343" s="278"/>
      <c r="O343" s="278"/>
      <c r="P343" s="278"/>
      <c r="Q343" s="278"/>
      <c r="R343" s="278"/>
      <c r="S343" s="278"/>
      <c r="T343" s="278"/>
      <c r="U343" s="278"/>
      <c r="V343" s="278"/>
      <c r="W343" s="278"/>
      <c r="X343" s="278"/>
      <c r="Y343" s="278"/>
      <c r="Z343" s="278"/>
    </row>
    <row r="344">
      <c r="A344" s="278"/>
      <c r="B344" s="278"/>
      <c r="C344" s="278"/>
      <c r="D344" s="278"/>
      <c r="E344" s="278"/>
      <c r="F344" s="278"/>
      <c r="G344" s="278"/>
      <c r="H344" s="278"/>
      <c r="I344" s="278"/>
      <c r="J344" s="278"/>
      <c r="K344" s="278"/>
      <c r="L344" s="278"/>
      <c r="M344" s="278"/>
      <c r="N344" s="278"/>
      <c r="O344" s="278"/>
      <c r="P344" s="278"/>
      <c r="Q344" s="278"/>
      <c r="R344" s="278"/>
      <c r="S344" s="278"/>
      <c r="T344" s="278"/>
      <c r="U344" s="278"/>
      <c r="V344" s="278"/>
      <c r="W344" s="278"/>
      <c r="X344" s="278"/>
      <c r="Y344" s="278"/>
      <c r="Z344" s="278"/>
    </row>
    <row r="345">
      <c r="A345" s="278"/>
      <c r="B345" s="278"/>
      <c r="C345" s="278"/>
      <c r="D345" s="278"/>
      <c r="E345" s="278"/>
      <c r="F345" s="278"/>
      <c r="G345" s="278"/>
      <c r="H345" s="278"/>
      <c r="I345" s="278"/>
      <c r="J345" s="278"/>
      <c r="K345" s="278"/>
      <c r="L345" s="278"/>
      <c r="M345" s="278"/>
      <c r="N345" s="278"/>
      <c r="O345" s="278"/>
      <c r="P345" s="278"/>
      <c r="Q345" s="278"/>
      <c r="R345" s="278"/>
      <c r="S345" s="278"/>
      <c r="T345" s="278"/>
      <c r="U345" s="278"/>
      <c r="V345" s="278"/>
      <c r="W345" s="278"/>
      <c r="X345" s="278"/>
      <c r="Y345" s="278"/>
      <c r="Z345" s="278"/>
    </row>
    <row r="346">
      <c r="A346" s="278"/>
      <c r="B346" s="278"/>
      <c r="C346" s="278"/>
      <c r="D346" s="278"/>
      <c r="E346" s="278"/>
      <c r="F346" s="278"/>
      <c r="G346" s="278"/>
      <c r="H346" s="278"/>
      <c r="I346" s="278"/>
      <c r="J346" s="278"/>
      <c r="K346" s="278"/>
      <c r="L346" s="278"/>
      <c r="M346" s="278"/>
      <c r="N346" s="278"/>
      <c r="O346" s="278"/>
      <c r="P346" s="278"/>
      <c r="Q346" s="278"/>
      <c r="R346" s="278"/>
      <c r="S346" s="278"/>
      <c r="T346" s="278"/>
      <c r="U346" s="278"/>
      <c r="V346" s="278"/>
      <c r="W346" s="278"/>
      <c r="X346" s="278"/>
      <c r="Y346" s="278"/>
      <c r="Z346" s="278"/>
    </row>
    <row r="347">
      <c r="A347" s="278"/>
      <c r="B347" s="278"/>
      <c r="C347" s="278"/>
      <c r="D347" s="278"/>
      <c r="E347" s="278"/>
      <c r="F347" s="278"/>
      <c r="G347" s="278"/>
      <c r="H347" s="278"/>
      <c r="I347" s="278"/>
      <c r="J347" s="278"/>
      <c r="K347" s="278"/>
      <c r="L347" s="278"/>
      <c r="M347" s="278"/>
      <c r="N347" s="278"/>
      <c r="O347" s="278"/>
      <c r="P347" s="278"/>
      <c r="Q347" s="278"/>
      <c r="R347" s="278"/>
      <c r="S347" s="278"/>
      <c r="T347" s="278"/>
      <c r="U347" s="278"/>
      <c r="V347" s="278"/>
      <c r="W347" s="278"/>
      <c r="X347" s="278"/>
      <c r="Y347" s="278"/>
      <c r="Z347" s="278"/>
    </row>
    <row r="348">
      <c r="A348" s="278"/>
      <c r="B348" s="278"/>
      <c r="C348" s="278"/>
      <c r="D348" s="278"/>
      <c r="E348" s="278"/>
      <c r="F348" s="278"/>
      <c r="G348" s="278"/>
      <c r="H348" s="278"/>
      <c r="I348" s="278"/>
      <c r="J348" s="278"/>
      <c r="K348" s="278"/>
      <c r="L348" s="278"/>
      <c r="M348" s="278"/>
      <c r="N348" s="278"/>
      <c r="O348" s="278"/>
      <c r="P348" s="278"/>
      <c r="Q348" s="278"/>
      <c r="R348" s="278"/>
      <c r="S348" s="278"/>
      <c r="T348" s="278"/>
      <c r="U348" s="278"/>
      <c r="V348" s="278"/>
      <c r="W348" s="278"/>
      <c r="X348" s="278"/>
      <c r="Y348" s="278"/>
      <c r="Z348" s="278"/>
    </row>
    <row r="349">
      <c r="A349" s="278"/>
      <c r="B349" s="278"/>
      <c r="C349" s="278"/>
      <c r="D349" s="278"/>
      <c r="E349" s="278"/>
      <c r="F349" s="278"/>
      <c r="G349" s="278"/>
      <c r="H349" s="278"/>
      <c r="I349" s="278"/>
      <c r="J349" s="278"/>
      <c r="K349" s="278"/>
      <c r="L349" s="278"/>
      <c r="M349" s="278"/>
      <c r="N349" s="278"/>
      <c r="O349" s="278"/>
      <c r="P349" s="278"/>
      <c r="Q349" s="278"/>
      <c r="R349" s="278"/>
      <c r="S349" s="278"/>
      <c r="T349" s="278"/>
      <c r="U349" s="278"/>
      <c r="V349" s="278"/>
      <c r="W349" s="278"/>
      <c r="X349" s="278"/>
      <c r="Y349" s="278"/>
      <c r="Z349" s="278"/>
    </row>
    <row r="350">
      <c r="A350" s="278"/>
      <c r="B350" s="278"/>
      <c r="C350" s="278"/>
      <c r="D350" s="278"/>
      <c r="E350" s="278"/>
      <c r="F350" s="278"/>
      <c r="G350" s="278"/>
      <c r="H350" s="278"/>
      <c r="I350" s="278"/>
      <c r="J350" s="278"/>
      <c r="K350" s="278"/>
      <c r="L350" s="278"/>
      <c r="M350" s="278"/>
      <c r="N350" s="278"/>
      <c r="O350" s="278"/>
      <c r="P350" s="278"/>
      <c r="Q350" s="278"/>
      <c r="R350" s="278"/>
      <c r="S350" s="278"/>
      <c r="T350" s="278"/>
      <c r="U350" s="278"/>
      <c r="V350" s="278"/>
      <c r="W350" s="278"/>
      <c r="X350" s="278"/>
      <c r="Y350" s="278"/>
      <c r="Z350" s="278"/>
    </row>
    <row r="351">
      <c r="A351" s="278"/>
      <c r="B351" s="278"/>
      <c r="C351" s="278"/>
      <c r="D351" s="278"/>
      <c r="E351" s="278"/>
      <c r="F351" s="278"/>
      <c r="G351" s="278"/>
      <c r="H351" s="278"/>
      <c r="I351" s="278"/>
      <c r="J351" s="278"/>
      <c r="K351" s="278"/>
      <c r="L351" s="278"/>
      <c r="M351" s="278"/>
      <c r="N351" s="278"/>
      <c r="O351" s="278"/>
      <c r="P351" s="278"/>
      <c r="Q351" s="278"/>
      <c r="R351" s="278"/>
      <c r="S351" s="278"/>
      <c r="T351" s="278"/>
      <c r="U351" s="278"/>
      <c r="V351" s="278"/>
      <c r="W351" s="278"/>
      <c r="X351" s="278"/>
      <c r="Y351" s="278"/>
      <c r="Z351" s="278"/>
    </row>
    <row r="352">
      <c r="A352" s="278"/>
      <c r="B352" s="278"/>
      <c r="C352" s="278"/>
      <c r="D352" s="278"/>
      <c r="E352" s="278"/>
      <c r="F352" s="278"/>
      <c r="G352" s="278"/>
      <c r="H352" s="278"/>
      <c r="I352" s="278"/>
      <c r="J352" s="278"/>
      <c r="K352" s="278"/>
      <c r="L352" s="278"/>
      <c r="M352" s="278"/>
      <c r="N352" s="278"/>
      <c r="O352" s="278"/>
      <c r="P352" s="278"/>
      <c r="Q352" s="278"/>
      <c r="R352" s="278"/>
      <c r="S352" s="278"/>
      <c r="T352" s="278"/>
      <c r="U352" s="278"/>
      <c r="V352" s="278"/>
      <c r="W352" s="278"/>
      <c r="X352" s="278"/>
      <c r="Y352" s="278"/>
      <c r="Z352" s="278"/>
    </row>
    <row r="353">
      <c r="A353" s="278"/>
      <c r="B353" s="278"/>
      <c r="C353" s="278"/>
      <c r="D353" s="278"/>
      <c r="E353" s="278"/>
      <c r="F353" s="278"/>
      <c r="G353" s="278"/>
      <c r="H353" s="278"/>
      <c r="I353" s="278"/>
      <c r="J353" s="278"/>
      <c r="K353" s="278"/>
      <c r="L353" s="278"/>
      <c r="M353" s="278"/>
      <c r="N353" s="278"/>
      <c r="O353" s="278"/>
      <c r="P353" s="278"/>
      <c r="Q353" s="278"/>
      <c r="R353" s="278"/>
      <c r="S353" s="278"/>
      <c r="T353" s="278"/>
      <c r="U353" s="278"/>
      <c r="V353" s="278"/>
      <c r="W353" s="278"/>
      <c r="X353" s="278"/>
      <c r="Y353" s="278"/>
      <c r="Z353" s="278"/>
    </row>
    <row r="354">
      <c r="A354" s="278"/>
      <c r="B354" s="278"/>
      <c r="C354" s="278"/>
      <c r="D354" s="278"/>
      <c r="E354" s="278"/>
      <c r="F354" s="278"/>
      <c r="G354" s="278"/>
      <c r="H354" s="278"/>
      <c r="I354" s="278"/>
      <c r="J354" s="278"/>
      <c r="K354" s="278"/>
      <c r="L354" s="278"/>
      <c r="M354" s="278"/>
      <c r="N354" s="278"/>
      <c r="O354" s="278"/>
      <c r="P354" s="278"/>
      <c r="Q354" s="278"/>
      <c r="R354" s="278"/>
      <c r="S354" s="278"/>
      <c r="T354" s="278"/>
      <c r="U354" s="278"/>
      <c r="V354" s="278"/>
      <c r="W354" s="278"/>
      <c r="X354" s="278"/>
      <c r="Y354" s="278"/>
      <c r="Z354" s="278"/>
    </row>
    <row r="355">
      <c r="A355" s="278"/>
      <c r="B355" s="278"/>
      <c r="C355" s="278"/>
      <c r="D355" s="278"/>
      <c r="E355" s="278"/>
      <c r="F355" s="278"/>
      <c r="G355" s="278"/>
      <c r="H355" s="278"/>
      <c r="I355" s="278"/>
      <c r="J355" s="278"/>
      <c r="K355" s="278"/>
      <c r="L355" s="278"/>
      <c r="M355" s="278"/>
      <c r="N355" s="278"/>
      <c r="O355" s="278"/>
      <c r="P355" s="278"/>
      <c r="Q355" s="278"/>
      <c r="R355" s="278"/>
      <c r="S355" s="278"/>
      <c r="T355" s="278"/>
      <c r="U355" s="278"/>
      <c r="V355" s="278"/>
      <c r="W355" s="278"/>
      <c r="X355" s="278"/>
      <c r="Y355" s="278"/>
      <c r="Z355" s="278"/>
    </row>
    <row r="356">
      <c r="A356" s="278"/>
      <c r="B356" s="278"/>
      <c r="C356" s="278"/>
      <c r="D356" s="278"/>
      <c r="E356" s="278"/>
      <c r="F356" s="278"/>
      <c r="G356" s="278"/>
      <c r="H356" s="278"/>
      <c r="I356" s="278"/>
      <c r="J356" s="278"/>
      <c r="K356" s="278"/>
      <c r="L356" s="278"/>
      <c r="M356" s="278"/>
      <c r="N356" s="278"/>
      <c r="O356" s="278"/>
      <c r="P356" s="278"/>
      <c r="Q356" s="278"/>
      <c r="R356" s="278"/>
      <c r="S356" s="278"/>
      <c r="T356" s="278"/>
      <c r="U356" s="278"/>
      <c r="V356" s="278"/>
      <c r="W356" s="278"/>
      <c r="X356" s="278"/>
      <c r="Y356" s="278"/>
      <c r="Z356" s="278"/>
    </row>
    <row r="357">
      <c r="A357" s="278"/>
      <c r="B357" s="278"/>
      <c r="C357" s="278"/>
      <c r="D357" s="278"/>
      <c r="E357" s="278"/>
      <c r="F357" s="278"/>
      <c r="G357" s="278"/>
      <c r="H357" s="278"/>
      <c r="I357" s="278"/>
      <c r="J357" s="278"/>
      <c r="K357" s="278"/>
      <c r="L357" s="278"/>
      <c r="M357" s="278"/>
      <c r="N357" s="278"/>
      <c r="O357" s="278"/>
      <c r="P357" s="278"/>
      <c r="Q357" s="278"/>
      <c r="R357" s="278"/>
      <c r="S357" s="278"/>
      <c r="T357" s="278"/>
      <c r="U357" s="278"/>
      <c r="V357" s="278"/>
      <c r="W357" s="278"/>
      <c r="X357" s="278"/>
      <c r="Y357" s="278"/>
      <c r="Z357" s="278"/>
    </row>
    <row r="358">
      <c r="A358" s="278"/>
      <c r="B358" s="278"/>
      <c r="C358" s="278"/>
      <c r="D358" s="278"/>
      <c r="E358" s="278"/>
      <c r="F358" s="278"/>
      <c r="G358" s="278"/>
      <c r="H358" s="278"/>
      <c r="I358" s="278"/>
      <c r="J358" s="278"/>
      <c r="K358" s="278"/>
      <c r="L358" s="278"/>
      <c r="M358" s="278"/>
      <c r="N358" s="278"/>
      <c r="O358" s="278"/>
      <c r="P358" s="278"/>
      <c r="Q358" s="278"/>
      <c r="R358" s="278"/>
      <c r="S358" s="278"/>
      <c r="T358" s="278"/>
      <c r="U358" s="278"/>
      <c r="V358" s="278"/>
      <c r="W358" s="278"/>
      <c r="X358" s="278"/>
      <c r="Y358" s="278"/>
      <c r="Z358" s="278"/>
    </row>
    <row r="359">
      <c r="A359" s="278"/>
      <c r="B359" s="278"/>
      <c r="C359" s="278"/>
      <c r="D359" s="278"/>
      <c r="E359" s="278"/>
      <c r="F359" s="278"/>
      <c r="G359" s="278"/>
      <c r="H359" s="278"/>
      <c r="I359" s="278"/>
      <c r="J359" s="278"/>
      <c r="K359" s="278"/>
      <c r="L359" s="278"/>
      <c r="M359" s="278"/>
      <c r="N359" s="278"/>
      <c r="O359" s="278"/>
      <c r="P359" s="278"/>
      <c r="Q359" s="278"/>
      <c r="R359" s="278"/>
      <c r="S359" s="278"/>
      <c r="T359" s="278"/>
      <c r="U359" s="278"/>
      <c r="V359" s="278"/>
      <c r="W359" s="278"/>
      <c r="X359" s="278"/>
      <c r="Y359" s="278"/>
      <c r="Z359" s="278"/>
    </row>
    <row r="360">
      <c r="A360" s="278"/>
      <c r="B360" s="278"/>
      <c r="C360" s="278"/>
      <c r="D360" s="278"/>
      <c r="E360" s="278"/>
      <c r="F360" s="278"/>
      <c r="G360" s="278"/>
      <c r="H360" s="278"/>
      <c r="I360" s="278"/>
      <c r="J360" s="278"/>
      <c r="K360" s="278"/>
      <c r="L360" s="278"/>
      <c r="M360" s="278"/>
      <c r="N360" s="278"/>
      <c r="O360" s="278"/>
      <c r="P360" s="278"/>
      <c r="Q360" s="278"/>
      <c r="R360" s="278"/>
      <c r="S360" s="278"/>
      <c r="T360" s="278"/>
      <c r="U360" s="278"/>
      <c r="V360" s="278"/>
      <c r="W360" s="278"/>
      <c r="X360" s="278"/>
      <c r="Y360" s="278"/>
      <c r="Z360" s="278"/>
    </row>
    <row r="361">
      <c r="A361" s="278"/>
      <c r="B361" s="278"/>
      <c r="C361" s="278"/>
      <c r="D361" s="278"/>
      <c r="E361" s="278"/>
      <c r="F361" s="278"/>
      <c r="G361" s="278"/>
      <c r="H361" s="278"/>
      <c r="I361" s="278"/>
      <c r="J361" s="278"/>
      <c r="K361" s="278"/>
      <c r="L361" s="278"/>
      <c r="M361" s="278"/>
      <c r="N361" s="278"/>
      <c r="O361" s="278"/>
      <c r="P361" s="278"/>
      <c r="Q361" s="278"/>
      <c r="R361" s="278"/>
      <c r="S361" s="278"/>
      <c r="T361" s="278"/>
      <c r="U361" s="278"/>
      <c r="V361" s="278"/>
      <c r="W361" s="278"/>
      <c r="X361" s="278"/>
      <c r="Y361" s="278"/>
      <c r="Z361" s="278"/>
    </row>
    <row r="362">
      <c r="A362" s="278"/>
      <c r="B362" s="278"/>
      <c r="C362" s="278"/>
      <c r="D362" s="278"/>
      <c r="E362" s="278"/>
      <c r="F362" s="278"/>
      <c r="G362" s="278"/>
      <c r="H362" s="278"/>
      <c r="I362" s="278"/>
      <c r="J362" s="278"/>
      <c r="K362" s="278"/>
      <c r="L362" s="278"/>
      <c r="M362" s="278"/>
      <c r="N362" s="278"/>
      <c r="O362" s="278"/>
      <c r="P362" s="278"/>
      <c r="Q362" s="278"/>
      <c r="R362" s="278"/>
      <c r="S362" s="278"/>
      <c r="T362" s="278"/>
      <c r="U362" s="278"/>
      <c r="V362" s="278"/>
      <c r="W362" s="278"/>
      <c r="X362" s="278"/>
      <c r="Y362" s="278"/>
      <c r="Z362" s="278"/>
    </row>
    <row r="363">
      <c r="A363" s="278"/>
      <c r="B363" s="278"/>
      <c r="C363" s="278"/>
      <c r="D363" s="278"/>
      <c r="E363" s="278"/>
      <c r="F363" s="278"/>
      <c r="G363" s="278"/>
      <c r="H363" s="278"/>
      <c r="I363" s="278"/>
      <c r="J363" s="278"/>
      <c r="K363" s="278"/>
      <c r="L363" s="278"/>
      <c r="M363" s="278"/>
      <c r="N363" s="278"/>
      <c r="O363" s="278"/>
      <c r="P363" s="278"/>
      <c r="Q363" s="278"/>
      <c r="R363" s="278"/>
      <c r="S363" s="278"/>
      <c r="T363" s="278"/>
      <c r="U363" s="278"/>
      <c r="V363" s="278"/>
      <c r="W363" s="278"/>
      <c r="X363" s="278"/>
      <c r="Y363" s="278"/>
      <c r="Z363" s="278"/>
    </row>
    <row r="364">
      <c r="A364" s="278"/>
      <c r="B364" s="278"/>
      <c r="C364" s="278"/>
      <c r="D364" s="278"/>
      <c r="E364" s="278"/>
      <c r="F364" s="278"/>
      <c r="G364" s="278"/>
      <c r="H364" s="278"/>
      <c r="I364" s="278"/>
      <c r="J364" s="278"/>
      <c r="K364" s="278"/>
      <c r="L364" s="278"/>
      <c r="M364" s="278"/>
      <c r="N364" s="278"/>
      <c r="O364" s="278"/>
      <c r="P364" s="278"/>
      <c r="Q364" s="278"/>
      <c r="R364" s="278"/>
      <c r="S364" s="278"/>
      <c r="T364" s="278"/>
      <c r="U364" s="278"/>
      <c r="V364" s="278"/>
      <c r="W364" s="278"/>
      <c r="X364" s="278"/>
      <c r="Y364" s="278"/>
      <c r="Z364" s="278"/>
    </row>
    <row r="365">
      <c r="A365" s="278"/>
      <c r="B365" s="278"/>
      <c r="C365" s="278"/>
      <c r="D365" s="278"/>
      <c r="E365" s="278"/>
      <c r="F365" s="278"/>
      <c r="G365" s="278"/>
      <c r="H365" s="278"/>
      <c r="I365" s="278"/>
      <c r="J365" s="278"/>
      <c r="K365" s="278"/>
      <c r="L365" s="278"/>
      <c r="M365" s="278"/>
      <c r="N365" s="278"/>
      <c r="O365" s="278"/>
      <c r="P365" s="278"/>
      <c r="Q365" s="278"/>
      <c r="R365" s="278"/>
      <c r="S365" s="278"/>
      <c r="T365" s="278"/>
      <c r="U365" s="278"/>
      <c r="V365" s="278"/>
      <c r="W365" s="278"/>
      <c r="X365" s="278"/>
      <c r="Y365" s="278"/>
      <c r="Z365" s="278"/>
    </row>
    <row r="366">
      <c r="A366" s="278"/>
      <c r="B366" s="278"/>
      <c r="C366" s="278"/>
      <c r="D366" s="278"/>
      <c r="E366" s="278"/>
      <c r="F366" s="278"/>
      <c r="G366" s="278"/>
      <c r="H366" s="278"/>
      <c r="I366" s="278"/>
      <c r="J366" s="278"/>
      <c r="K366" s="278"/>
      <c r="L366" s="278"/>
      <c r="M366" s="278"/>
      <c r="N366" s="278"/>
      <c r="O366" s="278"/>
      <c r="P366" s="278"/>
      <c r="Q366" s="278"/>
      <c r="R366" s="278"/>
      <c r="S366" s="278"/>
      <c r="T366" s="278"/>
      <c r="U366" s="278"/>
      <c r="V366" s="278"/>
      <c r="W366" s="278"/>
      <c r="X366" s="278"/>
      <c r="Y366" s="278"/>
      <c r="Z366" s="278"/>
    </row>
    <row r="367">
      <c r="A367" s="278"/>
      <c r="B367" s="278"/>
      <c r="C367" s="278"/>
      <c r="D367" s="278"/>
      <c r="E367" s="278"/>
      <c r="F367" s="278"/>
      <c r="G367" s="278"/>
      <c r="H367" s="278"/>
      <c r="I367" s="278"/>
      <c r="J367" s="278"/>
      <c r="K367" s="278"/>
      <c r="L367" s="278"/>
      <c r="M367" s="278"/>
      <c r="N367" s="278"/>
      <c r="O367" s="278"/>
      <c r="P367" s="278"/>
      <c r="Q367" s="278"/>
      <c r="R367" s="278"/>
      <c r="S367" s="278"/>
      <c r="T367" s="278"/>
      <c r="U367" s="278"/>
      <c r="V367" s="278"/>
      <c r="W367" s="278"/>
      <c r="X367" s="278"/>
      <c r="Y367" s="278"/>
      <c r="Z367" s="278"/>
    </row>
    <row r="368">
      <c r="A368" s="278"/>
      <c r="B368" s="278"/>
      <c r="C368" s="278"/>
      <c r="D368" s="278"/>
      <c r="E368" s="278"/>
      <c r="F368" s="278"/>
      <c r="G368" s="278"/>
      <c r="H368" s="278"/>
      <c r="I368" s="278"/>
      <c r="J368" s="278"/>
      <c r="K368" s="278"/>
      <c r="L368" s="278"/>
      <c r="M368" s="278"/>
      <c r="N368" s="278"/>
      <c r="O368" s="278"/>
      <c r="P368" s="278"/>
      <c r="Q368" s="278"/>
      <c r="R368" s="278"/>
      <c r="S368" s="278"/>
      <c r="T368" s="278"/>
      <c r="U368" s="278"/>
      <c r="V368" s="278"/>
      <c r="W368" s="278"/>
      <c r="X368" s="278"/>
      <c r="Y368" s="278"/>
      <c r="Z368" s="278"/>
    </row>
    <row r="369">
      <c r="A369" s="278"/>
      <c r="B369" s="278"/>
      <c r="C369" s="278"/>
      <c r="D369" s="278"/>
      <c r="E369" s="278"/>
      <c r="F369" s="278"/>
      <c r="G369" s="278"/>
      <c r="H369" s="278"/>
      <c r="I369" s="278"/>
      <c r="J369" s="278"/>
      <c r="K369" s="278"/>
      <c r="L369" s="278"/>
      <c r="M369" s="278"/>
      <c r="N369" s="278"/>
      <c r="O369" s="278"/>
      <c r="P369" s="278"/>
      <c r="Q369" s="278"/>
      <c r="R369" s="278"/>
      <c r="S369" s="278"/>
      <c r="T369" s="278"/>
      <c r="U369" s="278"/>
      <c r="V369" s="278"/>
      <c r="W369" s="278"/>
      <c r="X369" s="278"/>
      <c r="Y369" s="278"/>
      <c r="Z369" s="278"/>
    </row>
    <row r="370">
      <c r="A370" s="278"/>
      <c r="B370" s="278"/>
      <c r="C370" s="278"/>
      <c r="D370" s="278"/>
      <c r="E370" s="278"/>
      <c r="F370" s="278"/>
      <c r="G370" s="278"/>
      <c r="H370" s="278"/>
      <c r="I370" s="278"/>
      <c r="J370" s="278"/>
      <c r="K370" s="278"/>
      <c r="L370" s="278"/>
      <c r="M370" s="278"/>
      <c r="N370" s="278"/>
      <c r="O370" s="278"/>
      <c r="P370" s="278"/>
      <c r="Q370" s="278"/>
      <c r="R370" s="278"/>
      <c r="S370" s="278"/>
      <c r="T370" s="278"/>
      <c r="U370" s="278"/>
      <c r="V370" s="278"/>
      <c r="W370" s="278"/>
      <c r="X370" s="278"/>
      <c r="Y370" s="278"/>
      <c r="Z370" s="278"/>
    </row>
    <row r="371">
      <c r="A371" s="278"/>
      <c r="B371" s="278"/>
      <c r="C371" s="278"/>
      <c r="D371" s="278"/>
      <c r="E371" s="278"/>
      <c r="F371" s="278"/>
      <c r="G371" s="278"/>
      <c r="H371" s="278"/>
      <c r="I371" s="278"/>
      <c r="J371" s="278"/>
      <c r="K371" s="278"/>
      <c r="L371" s="278"/>
      <c r="M371" s="278"/>
      <c r="N371" s="278"/>
      <c r="O371" s="278"/>
      <c r="P371" s="278"/>
      <c r="Q371" s="278"/>
      <c r="R371" s="278"/>
      <c r="S371" s="278"/>
      <c r="T371" s="278"/>
      <c r="U371" s="278"/>
      <c r="V371" s="278"/>
      <c r="W371" s="278"/>
      <c r="X371" s="278"/>
      <c r="Y371" s="278"/>
      <c r="Z371" s="278"/>
    </row>
    <row r="372">
      <c r="A372" s="278"/>
      <c r="B372" s="278"/>
      <c r="C372" s="278"/>
      <c r="D372" s="278"/>
      <c r="E372" s="278"/>
      <c r="F372" s="278"/>
      <c r="G372" s="278"/>
      <c r="H372" s="278"/>
      <c r="I372" s="278"/>
      <c r="J372" s="278"/>
      <c r="K372" s="278"/>
      <c r="L372" s="278"/>
      <c r="M372" s="278"/>
      <c r="N372" s="278"/>
      <c r="O372" s="278"/>
      <c r="P372" s="278"/>
      <c r="Q372" s="278"/>
      <c r="R372" s="278"/>
      <c r="S372" s="278"/>
      <c r="T372" s="278"/>
      <c r="U372" s="278"/>
      <c r="V372" s="278"/>
      <c r="W372" s="278"/>
      <c r="X372" s="278"/>
      <c r="Y372" s="278"/>
      <c r="Z372" s="278"/>
    </row>
    <row r="373">
      <c r="A373" s="278"/>
      <c r="B373" s="278"/>
      <c r="C373" s="278"/>
      <c r="D373" s="278"/>
      <c r="E373" s="278"/>
      <c r="F373" s="278"/>
      <c r="G373" s="278"/>
      <c r="H373" s="278"/>
      <c r="I373" s="278"/>
      <c r="J373" s="278"/>
      <c r="K373" s="278"/>
      <c r="L373" s="278"/>
      <c r="M373" s="278"/>
      <c r="N373" s="278"/>
      <c r="O373" s="278"/>
      <c r="P373" s="278"/>
      <c r="Q373" s="278"/>
      <c r="R373" s="278"/>
      <c r="S373" s="278"/>
      <c r="T373" s="278"/>
      <c r="U373" s="278"/>
      <c r="V373" s="278"/>
      <c r="W373" s="278"/>
      <c r="X373" s="278"/>
      <c r="Y373" s="278"/>
      <c r="Z373" s="278"/>
    </row>
    <row r="374">
      <c r="A374" s="278"/>
      <c r="B374" s="278"/>
      <c r="C374" s="278"/>
      <c r="D374" s="278"/>
      <c r="E374" s="278"/>
      <c r="F374" s="278"/>
      <c r="G374" s="278"/>
      <c r="H374" s="278"/>
      <c r="I374" s="278"/>
      <c r="J374" s="278"/>
      <c r="K374" s="278"/>
      <c r="L374" s="278"/>
      <c r="M374" s="278"/>
      <c r="N374" s="278"/>
      <c r="O374" s="278"/>
      <c r="P374" s="278"/>
      <c r="Q374" s="278"/>
      <c r="R374" s="278"/>
      <c r="S374" s="278"/>
      <c r="T374" s="278"/>
      <c r="U374" s="278"/>
      <c r="V374" s="278"/>
      <c r="W374" s="278"/>
      <c r="X374" s="278"/>
      <c r="Y374" s="278"/>
      <c r="Z374" s="278"/>
    </row>
    <row r="375">
      <c r="A375" s="278"/>
      <c r="B375" s="278"/>
      <c r="C375" s="278"/>
      <c r="D375" s="278"/>
      <c r="E375" s="278"/>
      <c r="F375" s="278"/>
      <c r="G375" s="278"/>
      <c r="H375" s="278"/>
      <c r="I375" s="278"/>
      <c r="J375" s="278"/>
      <c r="K375" s="278"/>
      <c r="L375" s="278"/>
      <c r="M375" s="278"/>
      <c r="N375" s="278"/>
      <c r="O375" s="278"/>
      <c r="P375" s="278"/>
      <c r="Q375" s="278"/>
      <c r="R375" s="278"/>
      <c r="S375" s="278"/>
      <c r="T375" s="278"/>
      <c r="U375" s="278"/>
      <c r="V375" s="278"/>
      <c r="W375" s="278"/>
      <c r="X375" s="278"/>
      <c r="Y375" s="278"/>
      <c r="Z375" s="278"/>
    </row>
    <row r="376">
      <c r="A376" s="278"/>
      <c r="B376" s="278"/>
      <c r="C376" s="278"/>
      <c r="D376" s="278"/>
      <c r="E376" s="278"/>
      <c r="F376" s="278"/>
      <c r="G376" s="278"/>
      <c r="H376" s="278"/>
      <c r="I376" s="278"/>
      <c r="J376" s="278"/>
      <c r="K376" s="278"/>
      <c r="L376" s="278"/>
      <c r="M376" s="278"/>
      <c r="N376" s="278"/>
      <c r="O376" s="278"/>
      <c r="P376" s="278"/>
      <c r="Q376" s="278"/>
      <c r="R376" s="278"/>
      <c r="S376" s="278"/>
      <c r="T376" s="278"/>
      <c r="U376" s="278"/>
      <c r="V376" s="278"/>
      <c r="W376" s="278"/>
      <c r="X376" s="278"/>
      <c r="Y376" s="278"/>
      <c r="Z376" s="278"/>
    </row>
    <row r="377">
      <c r="A377" s="278"/>
      <c r="B377" s="278"/>
      <c r="C377" s="278"/>
      <c r="D377" s="278"/>
      <c r="E377" s="278"/>
      <c r="F377" s="278"/>
      <c r="G377" s="278"/>
      <c r="H377" s="278"/>
      <c r="I377" s="278"/>
      <c r="J377" s="278"/>
      <c r="K377" s="278"/>
      <c r="L377" s="278"/>
      <c r="M377" s="278"/>
      <c r="N377" s="278"/>
      <c r="O377" s="278"/>
      <c r="P377" s="278"/>
      <c r="Q377" s="278"/>
      <c r="R377" s="278"/>
      <c r="S377" s="278"/>
      <c r="T377" s="278"/>
      <c r="U377" s="278"/>
      <c r="V377" s="278"/>
      <c r="W377" s="278"/>
      <c r="X377" s="278"/>
      <c r="Y377" s="278"/>
      <c r="Z377" s="278"/>
    </row>
    <row r="378">
      <c r="A378" s="278"/>
      <c r="B378" s="278"/>
      <c r="C378" s="278"/>
      <c r="D378" s="278"/>
      <c r="E378" s="278"/>
      <c r="F378" s="278"/>
      <c r="G378" s="278"/>
      <c r="H378" s="278"/>
      <c r="I378" s="278"/>
      <c r="J378" s="278"/>
      <c r="K378" s="278"/>
      <c r="L378" s="278"/>
      <c r="M378" s="278"/>
      <c r="N378" s="278"/>
      <c r="O378" s="278"/>
      <c r="P378" s="278"/>
      <c r="Q378" s="278"/>
      <c r="R378" s="278"/>
      <c r="S378" s="278"/>
      <c r="T378" s="278"/>
      <c r="U378" s="278"/>
      <c r="V378" s="278"/>
      <c r="W378" s="278"/>
      <c r="X378" s="278"/>
      <c r="Y378" s="278"/>
      <c r="Z378" s="278"/>
    </row>
    <row r="379">
      <c r="A379" s="278"/>
      <c r="B379" s="278"/>
      <c r="C379" s="278"/>
      <c r="D379" s="278"/>
      <c r="E379" s="278"/>
      <c r="F379" s="278"/>
      <c r="G379" s="278"/>
      <c r="H379" s="278"/>
      <c r="I379" s="278"/>
      <c r="J379" s="278"/>
      <c r="K379" s="278"/>
      <c r="L379" s="278"/>
      <c r="M379" s="278"/>
      <c r="N379" s="278"/>
      <c r="O379" s="278"/>
      <c r="P379" s="278"/>
      <c r="Q379" s="278"/>
      <c r="R379" s="278"/>
      <c r="S379" s="278"/>
      <c r="T379" s="278"/>
      <c r="U379" s="278"/>
      <c r="V379" s="278"/>
      <c r="W379" s="278"/>
      <c r="X379" s="278"/>
      <c r="Y379" s="278"/>
      <c r="Z379" s="278"/>
    </row>
    <row r="380">
      <c r="A380" s="278"/>
      <c r="B380" s="278"/>
      <c r="C380" s="278"/>
      <c r="D380" s="278"/>
      <c r="E380" s="278"/>
      <c r="F380" s="278"/>
      <c r="G380" s="278"/>
      <c r="H380" s="278"/>
      <c r="I380" s="278"/>
      <c r="J380" s="278"/>
      <c r="K380" s="278"/>
      <c r="L380" s="278"/>
      <c r="M380" s="278"/>
      <c r="N380" s="278"/>
      <c r="O380" s="278"/>
      <c r="P380" s="278"/>
      <c r="Q380" s="278"/>
      <c r="R380" s="278"/>
      <c r="S380" s="278"/>
      <c r="T380" s="278"/>
      <c r="U380" s="278"/>
      <c r="V380" s="278"/>
      <c r="W380" s="278"/>
      <c r="X380" s="278"/>
      <c r="Y380" s="278"/>
      <c r="Z380" s="278"/>
    </row>
    <row r="381">
      <c r="A381" s="278"/>
      <c r="B381" s="278"/>
      <c r="C381" s="278"/>
      <c r="D381" s="278"/>
      <c r="E381" s="278"/>
      <c r="F381" s="278"/>
      <c r="G381" s="278"/>
      <c r="H381" s="278"/>
      <c r="I381" s="278"/>
      <c r="J381" s="278"/>
      <c r="K381" s="278"/>
      <c r="L381" s="278"/>
      <c r="M381" s="278"/>
      <c r="N381" s="278"/>
      <c r="O381" s="278"/>
      <c r="P381" s="278"/>
      <c r="Q381" s="278"/>
      <c r="R381" s="278"/>
      <c r="S381" s="278"/>
      <c r="T381" s="278"/>
      <c r="U381" s="278"/>
      <c r="V381" s="278"/>
      <c r="W381" s="278"/>
      <c r="X381" s="278"/>
      <c r="Y381" s="278"/>
      <c r="Z381" s="278"/>
    </row>
    <row r="382">
      <c r="A382" s="278"/>
      <c r="B382" s="278"/>
      <c r="C382" s="278"/>
      <c r="D382" s="278"/>
      <c r="E382" s="278"/>
      <c r="F382" s="278"/>
      <c r="G382" s="278"/>
      <c r="H382" s="278"/>
      <c r="I382" s="278"/>
      <c r="J382" s="278"/>
      <c r="K382" s="278"/>
      <c r="L382" s="278"/>
      <c r="M382" s="278"/>
      <c r="N382" s="278"/>
      <c r="O382" s="278"/>
      <c r="P382" s="278"/>
      <c r="Q382" s="278"/>
      <c r="R382" s="278"/>
      <c r="S382" s="278"/>
      <c r="T382" s="278"/>
      <c r="U382" s="278"/>
      <c r="V382" s="278"/>
      <c r="W382" s="278"/>
      <c r="X382" s="278"/>
      <c r="Y382" s="278"/>
      <c r="Z382" s="278"/>
    </row>
    <row r="383">
      <c r="A383" s="278"/>
      <c r="B383" s="278"/>
      <c r="C383" s="278"/>
      <c r="D383" s="278"/>
      <c r="E383" s="278"/>
      <c r="F383" s="278"/>
      <c r="G383" s="278"/>
      <c r="H383" s="278"/>
      <c r="I383" s="278"/>
      <c r="J383" s="278"/>
      <c r="K383" s="278"/>
      <c r="L383" s="278"/>
      <c r="M383" s="278"/>
      <c r="N383" s="278"/>
      <c r="O383" s="278"/>
      <c r="P383" s="278"/>
      <c r="Q383" s="278"/>
      <c r="R383" s="278"/>
      <c r="S383" s="278"/>
      <c r="T383" s="278"/>
      <c r="U383" s="278"/>
      <c r="V383" s="278"/>
      <c r="W383" s="278"/>
      <c r="X383" s="278"/>
      <c r="Y383" s="278"/>
      <c r="Z383" s="278"/>
    </row>
    <row r="384">
      <c r="A384" s="278"/>
      <c r="B384" s="278"/>
      <c r="C384" s="278"/>
      <c r="D384" s="278"/>
      <c r="E384" s="278"/>
      <c r="F384" s="278"/>
      <c r="G384" s="278"/>
      <c r="H384" s="278"/>
      <c r="I384" s="278"/>
      <c r="J384" s="278"/>
      <c r="K384" s="278"/>
      <c r="L384" s="278"/>
      <c r="M384" s="278"/>
      <c r="N384" s="278"/>
      <c r="O384" s="278"/>
      <c r="P384" s="278"/>
      <c r="Q384" s="278"/>
      <c r="R384" s="278"/>
      <c r="S384" s="278"/>
      <c r="T384" s="278"/>
      <c r="U384" s="278"/>
      <c r="V384" s="278"/>
      <c r="W384" s="278"/>
      <c r="X384" s="278"/>
      <c r="Y384" s="278"/>
      <c r="Z384" s="278"/>
    </row>
    <row r="385">
      <c r="A385" s="278"/>
      <c r="B385" s="278"/>
      <c r="C385" s="278"/>
      <c r="D385" s="278"/>
      <c r="E385" s="278"/>
      <c r="F385" s="278"/>
      <c r="G385" s="278"/>
      <c r="H385" s="278"/>
      <c r="I385" s="278"/>
      <c r="J385" s="278"/>
      <c r="K385" s="278"/>
      <c r="L385" s="278"/>
      <c r="M385" s="278"/>
      <c r="N385" s="278"/>
      <c r="O385" s="278"/>
      <c r="P385" s="278"/>
      <c r="Q385" s="278"/>
      <c r="R385" s="278"/>
      <c r="S385" s="278"/>
      <c r="T385" s="278"/>
      <c r="U385" s="278"/>
      <c r="V385" s="278"/>
      <c r="W385" s="278"/>
      <c r="X385" s="278"/>
      <c r="Y385" s="278"/>
      <c r="Z385" s="278"/>
    </row>
    <row r="386">
      <c r="A386" s="278"/>
      <c r="B386" s="278"/>
      <c r="C386" s="278"/>
      <c r="D386" s="278"/>
      <c r="E386" s="278"/>
      <c r="F386" s="278"/>
      <c r="G386" s="278"/>
      <c r="H386" s="278"/>
      <c r="I386" s="278"/>
      <c r="J386" s="278"/>
      <c r="K386" s="278"/>
      <c r="L386" s="278"/>
      <c r="M386" s="278"/>
      <c r="N386" s="278"/>
      <c r="O386" s="278"/>
      <c r="P386" s="278"/>
      <c r="Q386" s="278"/>
      <c r="R386" s="278"/>
      <c r="S386" s="278"/>
      <c r="T386" s="278"/>
      <c r="U386" s="278"/>
      <c r="V386" s="278"/>
      <c r="W386" s="278"/>
      <c r="X386" s="278"/>
      <c r="Y386" s="278"/>
      <c r="Z386" s="278"/>
    </row>
    <row r="387">
      <c r="A387" s="278"/>
      <c r="B387" s="278"/>
      <c r="C387" s="278"/>
      <c r="D387" s="278"/>
      <c r="E387" s="278"/>
      <c r="F387" s="278"/>
      <c r="G387" s="278"/>
      <c r="H387" s="278"/>
      <c r="I387" s="278"/>
      <c r="J387" s="278"/>
      <c r="K387" s="278"/>
      <c r="L387" s="278"/>
      <c r="M387" s="278"/>
      <c r="N387" s="278"/>
      <c r="O387" s="278"/>
      <c r="P387" s="278"/>
      <c r="Q387" s="278"/>
      <c r="R387" s="278"/>
      <c r="S387" s="278"/>
      <c r="T387" s="278"/>
      <c r="U387" s="278"/>
      <c r="V387" s="278"/>
      <c r="W387" s="278"/>
      <c r="X387" s="278"/>
      <c r="Y387" s="278"/>
      <c r="Z387" s="278"/>
    </row>
    <row r="388">
      <c r="A388" s="278"/>
      <c r="B388" s="278"/>
      <c r="C388" s="278"/>
      <c r="D388" s="278"/>
      <c r="E388" s="278"/>
      <c r="F388" s="278"/>
      <c r="G388" s="278"/>
      <c r="H388" s="278"/>
      <c r="I388" s="278"/>
      <c r="J388" s="278"/>
      <c r="K388" s="278"/>
      <c r="L388" s="278"/>
      <c r="M388" s="278"/>
      <c r="N388" s="278"/>
      <c r="O388" s="278"/>
      <c r="P388" s="278"/>
      <c r="Q388" s="278"/>
      <c r="R388" s="278"/>
      <c r="S388" s="278"/>
      <c r="T388" s="278"/>
      <c r="U388" s="278"/>
      <c r="V388" s="278"/>
      <c r="W388" s="278"/>
      <c r="X388" s="278"/>
      <c r="Y388" s="278"/>
      <c r="Z388" s="278"/>
    </row>
    <row r="389">
      <c r="A389" s="278"/>
      <c r="B389" s="278"/>
      <c r="C389" s="278"/>
      <c r="D389" s="278"/>
      <c r="E389" s="278"/>
      <c r="F389" s="278"/>
      <c r="G389" s="278"/>
      <c r="H389" s="278"/>
      <c r="I389" s="278"/>
      <c r="J389" s="278"/>
      <c r="K389" s="278"/>
      <c r="L389" s="278"/>
      <c r="M389" s="278"/>
      <c r="N389" s="278"/>
      <c r="O389" s="278"/>
      <c r="P389" s="278"/>
      <c r="Q389" s="278"/>
      <c r="R389" s="278"/>
      <c r="S389" s="278"/>
      <c r="T389" s="278"/>
      <c r="U389" s="278"/>
      <c r="V389" s="278"/>
      <c r="W389" s="278"/>
      <c r="X389" s="278"/>
      <c r="Y389" s="278"/>
      <c r="Z389" s="278"/>
    </row>
    <row r="390">
      <c r="A390" s="278"/>
      <c r="B390" s="278"/>
      <c r="C390" s="278"/>
      <c r="D390" s="278"/>
      <c r="E390" s="278"/>
      <c r="F390" s="278"/>
      <c r="G390" s="278"/>
      <c r="H390" s="278"/>
      <c r="I390" s="278"/>
      <c r="J390" s="278"/>
      <c r="K390" s="278"/>
      <c r="L390" s="278"/>
      <c r="M390" s="278"/>
      <c r="N390" s="278"/>
      <c r="O390" s="278"/>
      <c r="P390" s="278"/>
      <c r="Q390" s="278"/>
      <c r="R390" s="278"/>
      <c r="S390" s="278"/>
      <c r="T390" s="278"/>
      <c r="U390" s="278"/>
      <c r="V390" s="278"/>
      <c r="W390" s="278"/>
      <c r="X390" s="278"/>
      <c r="Y390" s="278"/>
      <c r="Z390" s="278"/>
    </row>
    <row r="391">
      <c r="A391" s="278"/>
      <c r="B391" s="278"/>
      <c r="C391" s="278"/>
      <c r="D391" s="278"/>
      <c r="E391" s="278"/>
      <c r="F391" s="278"/>
      <c r="G391" s="278"/>
      <c r="H391" s="278"/>
      <c r="I391" s="278"/>
      <c r="J391" s="278"/>
      <c r="K391" s="278"/>
      <c r="L391" s="278"/>
      <c r="M391" s="278"/>
      <c r="N391" s="278"/>
      <c r="O391" s="278"/>
      <c r="P391" s="278"/>
      <c r="Q391" s="278"/>
      <c r="R391" s="278"/>
      <c r="S391" s="278"/>
      <c r="T391" s="278"/>
      <c r="U391" s="278"/>
      <c r="V391" s="278"/>
      <c r="W391" s="278"/>
      <c r="X391" s="278"/>
      <c r="Y391" s="278"/>
      <c r="Z391" s="278"/>
    </row>
    <row r="392">
      <c r="A392" s="278"/>
      <c r="B392" s="278"/>
      <c r="C392" s="278"/>
      <c r="D392" s="278"/>
      <c r="E392" s="278"/>
      <c r="F392" s="278"/>
      <c r="G392" s="278"/>
      <c r="H392" s="278"/>
      <c r="I392" s="278"/>
      <c r="J392" s="278"/>
      <c r="K392" s="278"/>
      <c r="L392" s="278"/>
      <c r="M392" s="278"/>
      <c r="N392" s="278"/>
      <c r="O392" s="278"/>
      <c r="P392" s="278"/>
      <c r="Q392" s="278"/>
      <c r="R392" s="278"/>
      <c r="S392" s="278"/>
      <c r="T392" s="278"/>
      <c r="U392" s="278"/>
      <c r="V392" s="278"/>
      <c r="W392" s="278"/>
      <c r="X392" s="278"/>
      <c r="Y392" s="278"/>
      <c r="Z392" s="278"/>
    </row>
    <row r="393">
      <c r="A393" s="278"/>
      <c r="B393" s="278"/>
      <c r="C393" s="278"/>
      <c r="D393" s="278"/>
      <c r="E393" s="278"/>
      <c r="F393" s="278"/>
      <c r="G393" s="278"/>
      <c r="H393" s="278"/>
      <c r="I393" s="278"/>
      <c r="J393" s="278"/>
      <c r="K393" s="278"/>
      <c r="L393" s="278"/>
      <c r="M393" s="278"/>
      <c r="N393" s="278"/>
      <c r="O393" s="278"/>
      <c r="P393" s="278"/>
      <c r="Q393" s="278"/>
      <c r="R393" s="278"/>
      <c r="S393" s="278"/>
      <c r="T393" s="278"/>
      <c r="U393" s="278"/>
      <c r="V393" s="278"/>
      <c r="W393" s="278"/>
      <c r="X393" s="278"/>
      <c r="Y393" s="278"/>
      <c r="Z393" s="278"/>
    </row>
    <row r="394">
      <c r="A394" s="278"/>
      <c r="B394" s="278"/>
      <c r="C394" s="278"/>
      <c r="D394" s="278"/>
      <c r="E394" s="278"/>
      <c r="F394" s="278"/>
      <c r="G394" s="278"/>
      <c r="H394" s="278"/>
      <c r="I394" s="278"/>
      <c r="J394" s="278"/>
      <c r="K394" s="278"/>
      <c r="L394" s="278"/>
      <c r="M394" s="278"/>
      <c r="N394" s="278"/>
      <c r="O394" s="278"/>
      <c r="P394" s="278"/>
      <c r="Q394" s="278"/>
      <c r="R394" s="278"/>
      <c r="S394" s="278"/>
      <c r="T394" s="278"/>
      <c r="U394" s="278"/>
      <c r="V394" s="278"/>
      <c r="W394" s="278"/>
      <c r="X394" s="278"/>
      <c r="Y394" s="278"/>
      <c r="Z394" s="278"/>
    </row>
    <row r="395">
      <c r="A395" s="278"/>
      <c r="B395" s="278"/>
      <c r="C395" s="278"/>
      <c r="D395" s="278"/>
      <c r="E395" s="278"/>
      <c r="F395" s="278"/>
      <c r="G395" s="278"/>
      <c r="H395" s="278"/>
      <c r="I395" s="278"/>
      <c r="J395" s="278"/>
      <c r="K395" s="278"/>
      <c r="L395" s="278"/>
      <c r="M395" s="278"/>
      <c r="N395" s="278"/>
      <c r="O395" s="278"/>
      <c r="P395" s="278"/>
      <c r="Q395" s="278"/>
      <c r="R395" s="278"/>
      <c r="S395" s="278"/>
      <c r="T395" s="278"/>
      <c r="U395" s="278"/>
      <c r="V395" s="278"/>
      <c r="W395" s="278"/>
      <c r="X395" s="278"/>
      <c r="Y395" s="278"/>
      <c r="Z395" s="278"/>
    </row>
    <row r="396">
      <c r="A396" s="278"/>
      <c r="B396" s="278"/>
      <c r="C396" s="278"/>
      <c r="D396" s="278"/>
      <c r="E396" s="278"/>
      <c r="F396" s="278"/>
      <c r="G396" s="278"/>
      <c r="H396" s="278"/>
      <c r="I396" s="278"/>
      <c r="J396" s="278"/>
      <c r="K396" s="278"/>
      <c r="L396" s="278"/>
      <c r="M396" s="278"/>
      <c r="N396" s="278"/>
      <c r="O396" s="278"/>
      <c r="P396" s="278"/>
      <c r="Q396" s="278"/>
      <c r="R396" s="278"/>
      <c r="S396" s="278"/>
      <c r="T396" s="278"/>
      <c r="U396" s="278"/>
      <c r="V396" s="278"/>
      <c r="W396" s="278"/>
      <c r="X396" s="278"/>
      <c r="Y396" s="278"/>
      <c r="Z396" s="278"/>
    </row>
    <row r="397">
      <c r="A397" s="278"/>
      <c r="B397" s="278"/>
      <c r="C397" s="278"/>
      <c r="D397" s="278"/>
      <c r="E397" s="278"/>
      <c r="F397" s="278"/>
      <c r="G397" s="278"/>
      <c r="H397" s="278"/>
      <c r="I397" s="278"/>
      <c r="J397" s="278"/>
      <c r="K397" s="278"/>
      <c r="L397" s="278"/>
      <c r="M397" s="278"/>
      <c r="N397" s="278"/>
      <c r="O397" s="278"/>
      <c r="P397" s="278"/>
      <c r="Q397" s="278"/>
      <c r="R397" s="278"/>
      <c r="S397" s="278"/>
      <c r="T397" s="278"/>
      <c r="U397" s="278"/>
      <c r="V397" s="278"/>
      <c r="W397" s="278"/>
      <c r="X397" s="278"/>
      <c r="Y397" s="278"/>
      <c r="Z397" s="278"/>
    </row>
    <row r="398">
      <c r="A398" s="278"/>
      <c r="B398" s="278"/>
      <c r="C398" s="278"/>
      <c r="D398" s="278"/>
      <c r="E398" s="278"/>
      <c r="F398" s="278"/>
      <c r="G398" s="278"/>
      <c r="H398" s="278"/>
      <c r="I398" s="278"/>
      <c r="J398" s="278"/>
      <c r="K398" s="278"/>
      <c r="L398" s="278"/>
      <c r="M398" s="278"/>
      <c r="N398" s="278"/>
      <c r="O398" s="278"/>
      <c r="P398" s="278"/>
      <c r="Q398" s="278"/>
      <c r="R398" s="278"/>
      <c r="S398" s="278"/>
      <c r="T398" s="278"/>
      <c r="U398" s="278"/>
      <c r="V398" s="278"/>
      <c r="W398" s="278"/>
      <c r="X398" s="278"/>
      <c r="Y398" s="278"/>
      <c r="Z398" s="278"/>
    </row>
    <row r="399">
      <c r="A399" s="278"/>
      <c r="B399" s="278"/>
      <c r="C399" s="278"/>
      <c r="D399" s="278"/>
      <c r="E399" s="278"/>
      <c r="F399" s="278"/>
      <c r="G399" s="278"/>
      <c r="H399" s="278"/>
      <c r="I399" s="278"/>
      <c r="J399" s="278"/>
      <c r="K399" s="278"/>
      <c r="L399" s="278"/>
      <c r="M399" s="278"/>
      <c r="N399" s="278"/>
      <c r="O399" s="278"/>
      <c r="P399" s="278"/>
      <c r="Q399" s="278"/>
      <c r="R399" s="278"/>
      <c r="S399" s="278"/>
      <c r="T399" s="278"/>
      <c r="U399" s="278"/>
      <c r="V399" s="278"/>
      <c r="W399" s="278"/>
      <c r="X399" s="278"/>
      <c r="Y399" s="278"/>
      <c r="Z399" s="278"/>
    </row>
    <row r="400">
      <c r="A400" s="278"/>
      <c r="B400" s="278"/>
      <c r="C400" s="278"/>
      <c r="D400" s="278"/>
      <c r="E400" s="278"/>
      <c r="F400" s="278"/>
      <c r="G400" s="278"/>
      <c r="H400" s="278"/>
      <c r="I400" s="278"/>
      <c r="J400" s="278"/>
      <c r="K400" s="278"/>
      <c r="L400" s="278"/>
      <c r="M400" s="278"/>
      <c r="N400" s="278"/>
      <c r="O400" s="278"/>
      <c r="P400" s="278"/>
      <c r="Q400" s="278"/>
      <c r="R400" s="278"/>
      <c r="S400" s="278"/>
      <c r="T400" s="278"/>
      <c r="U400" s="278"/>
      <c r="V400" s="278"/>
      <c r="W400" s="278"/>
      <c r="X400" s="278"/>
      <c r="Y400" s="278"/>
      <c r="Z400" s="278"/>
    </row>
    <row r="401">
      <c r="A401" s="278"/>
      <c r="B401" s="278"/>
      <c r="C401" s="278"/>
      <c r="D401" s="278"/>
      <c r="E401" s="278"/>
      <c r="F401" s="278"/>
      <c r="G401" s="278"/>
      <c r="H401" s="278"/>
      <c r="I401" s="278"/>
      <c r="J401" s="278"/>
      <c r="K401" s="278"/>
      <c r="L401" s="278"/>
      <c r="M401" s="278"/>
      <c r="N401" s="278"/>
      <c r="O401" s="278"/>
      <c r="P401" s="278"/>
      <c r="Q401" s="278"/>
      <c r="R401" s="278"/>
      <c r="S401" s="278"/>
      <c r="T401" s="278"/>
      <c r="U401" s="278"/>
      <c r="V401" s="278"/>
      <c r="W401" s="278"/>
      <c r="X401" s="278"/>
      <c r="Y401" s="278"/>
      <c r="Z401" s="278"/>
    </row>
    <row r="402">
      <c r="A402" s="278"/>
      <c r="B402" s="278"/>
      <c r="C402" s="278"/>
      <c r="D402" s="278"/>
      <c r="E402" s="278"/>
      <c r="F402" s="278"/>
      <c r="G402" s="278"/>
      <c r="H402" s="278"/>
      <c r="I402" s="278"/>
      <c r="J402" s="278"/>
      <c r="K402" s="278"/>
      <c r="L402" s="278"/>
      <c r="M402" s="278"/>
      <c r="N402" s="278"/>
      <c r="O402" s="278"/>
      <c r="P402" s="278"/>
      <c r="Q402" s="278"/>
      <c r="R402" s="278"/>
      <c r="S402" s="278"/>
      <c r="T402" s="278"/>
      <c r="U402" s="278"/>
      <c r="V402" s="278"/>
      <c r="W402" s="278"/>
      <c r="X402" s="278"/>
      <c r="Y402" s="278"/>
      <c r="Z402" s="278"/>
    </row>
    <row r="403">
      <c r="A403" s="278"/>
      <c r="B403" s="278"/>
      <c r="C403" s="278"/>
      <c r="D403" s="278"/>
      <c r="E403" s="278"/>
      <c r="F403" s="278"/>
      <c r="G403" s="278"/>
      <c r="H403" s="278"/>
      <c r="I403" s="278"/>
      <c r="J403" s="278"/>
      <c r="K403" s="278"/>
      <c r="L403" s="278"/>
      <c r="M403" s="278"/>
      <c r="N403" s="278"/>
      <c r="O403" s="278"/>
      <c r="P403" s="278"/>
      <c r="Q403" s="278"/>
      <c r="R403" s="278"/>
      <c r="S403" s="278"/>
      <c r="T403" s="278"/>
      <c r="U403" s="278"/>
      <c r="V403" s="278"/>
      <c r="W403" s="278"/>
      <c r="X403" s="278"/>
      <c r="Y403" s="278"/>
      <c r="Z403" s="278"/>
    </row>
    <row r="404">
      <c r="A404" s="278"/>
      <c r="B404" s="278"/>
      <c r="C404" s="278"/>
      <c r="D404" s="278"/>
      <c r="E404" s="278"/>
      <c r="F404" s="278"/>
      <c r="G404" s="278"/>
      <c r="H404" s="278"/>
      <c r="I404" s="278"/>
      <c r="J404" s="278"/>
      <c r="K404" s="278"/>
      <c r="L404" s="278"/>
      <c r="M404" s="278"/>
      <c r="N404" s="278"/>
      <c r="O404" s="278"/>
      <c r="P404" s="278"/>
      <c r="Q404" s="278"/>
      <c r="R404" s="278"/>
      <c r="S404" s="278"/>
      <c r="T404" s="278"/>
      <c r="U404" s="278"/>
      <c r="V404" s="278"/>
      <c r="W404" s="278"/>
      <c r="X404" s="278"/>
      <c r="Y404" s="278"/>
      <c r="Z404" s="278"/>
    </row>
    <row r="405">
      <c r="A405" s="278"/>
      <c r="B405" s="278"/>
      <c r="C405" s="278"/>
      <c r="D405" s="278"/>
      <c r="E405" s="278"/>
      <c r="F405" s="278"/>
      <c r="G405" s="278"/>
      <c r="H405" s="278"/>
      <c r="I405" s="278"/>
      <c r="J405" s="278"/>
      <c r="K405" s="278"/>
      <c r="L405" s="278"/>
      <c r="M405" s="278"/>
      <c r="N405" s="278"/>
      <c r="O405" s="278"/>
      <c r="P405" s="278"/>
      <c r="Q405" s="278"/>
      <c r="R405" s="278"/>
      <c r="S405" s="278"/>
      <c r="T405" s="278"/>
      <c r="U405" s="278"/>
      <c r="V405" s="278"/>
      <c r="W405" s="278"/>
      <c r="X405" s="278"/>
      <c r="Y405" s="278"/>
      <c r="Z405" s="278"/>
    </row>
    <row r="406">
      <c r="A406" s="278"/>
      <c r="B406" s="278"/>
      <c r="C406" s="278"/>
      <c r="D406" s="278"/>
      <c r="E406" s="278"/>
      <c r="F406" s="278"/>
      <c r="G406" s="278"/>
      <c r="H406" s="278"/>
      <c r="I406" s="278"/>
      <c r="J406" s="278"/>
      <c r="K406" s="278"/>
      <c r="L406" s="278"/>
      <c r="M406" s="278"/>
      <c r="N406" s="278"/>
      <c r="O406" s="278"/>
      <c r="P406" s="278"/>
      <c r="Q406" s="278"/>
      <c r="R406" s="278"/>
      <c r="S406" s="278"/>
      <c r="T406" s="278"/>
      <c r="U406" s="278"/>
      <c r="V406" s="278"/>
      <c r="W406" s="278"/>
      <c r="X406" s="278"/>
      <c r="Y406" s="278"/>
      <c r="Z406" s="278"/>
    </row>
    <row r="407">
      <c r="A407" s="278"/>
      <c r="B407" s="278"/>
      <c r="C407" s="278"/>
      <c r="D407" s="278"/>
      <c r="E407" s="278"/>
      <c r="F407" s="278"/>
      <c r="G407" s="278"/>
      <c r="H407" s="278"/>
      <c r="I407" s="278"/>
      <c r="J407" s="278"/>
      <c r="K407" s="278"/>
      <c r="L407" s="278"/>
      <c r="M407" s="278"/>
      <c r="N407" s="278"/>
      <c r="O407" s="278"/>
      <c r="P407" s="278"/>
      <c r="Q407" s="278"/>
      <c r="R407" s="278"/>
      <c r="S407" s="278"/>
      <c r="T407" s="278"/>
      <c r="U407" s="278"/>
      <c r="V407" s="278"/>
      <c r="W407" s="278"/>
      <c r="X407" s="278"/>
      <c r="Y407" s="278"/>
      <c r="Z407" s="278"/>
    </row>
    <row r="408">
      <c r="A408" s="278"/>
      <c r="B408" s="278"/>
      <c r="C408" s="278"/>
      <c r="D408" s="278"/>
      <c r="E408" s="278"/>
      <c r="F408" s="278"/>
      <c r="G408" s="278"/>
      <c r="H408" s="278"/>
      <c r="I408" s="278"/>
      <c r="J408" s="278"/>
      <c r="K408" s="278"/>
      <c r="L408" s="278"/>
      <c r="M408" s="278"/>
      <c r="N408" s="278"/>
      <c r="O408" s="278"/>
      <c r="P408" s="278"/>
      <c r="Q408" s="278"/>
      <c r="R408" s="278"/>
      <c r="S408" s="278"/>
      <c r="T408" s="278"/>
      <c r="U408" s="278"/>
      <c r="V408" s="278"/>
      <c r="W408" s="278"/>
      <c r="X408" s="278"/>
      <c r="Y408" s="278"/>
      <c r="Z408" s="278"/>
    </row>
    <row r="409">
      <c r="A409" s="278"/>
      <c r="B409" s="278"/>
      <c r="C409" s="278"/>
      <c r="D409" s="278"/>
      <c r="E409" s="278"/>
      <c r="F409" s="278"/>
      <c r="G409" s="278"/>
      <c r="H409" s="278"/>
      <c r="I409" s="278"/>
      <c r="J409" s="278"/>
      <c r="K409" s="278"/>
      <c r="L409" s="278"/>
      <c r="M409" s="278"/>
      <c r="N409" s="278"/>
      <c r="O409" s="278"/>
      <c r="P409" s="278"/>
      <c r="Q409" s="278"/>
      <c r="R409" s="278"/>
      <c r="S409" s="278"/>
      <c r="T409" s="278"/>
      <c r="U409" s="278"/>
      <c r="V409" s="278"/>
      <c r="W409" s="278"/>
      <c r="X409" s="278"/>
      <c r="Y409" s="278"/>
      <c r="Z409" s="278"/>
    </row>
    <row r="410">
      <c r="A410" s="278"/>
      <c r="B410" s="278"/>
      <c r="C410" s="278"/>
      <c r="D410" s="278"/>
      <c r="E410" s="278"/>
      <c r="F410" s="278"/>
      <c r="G410" s="278"/>
      <c r="H410" s="278"/>
      <c r="I410" s="278"/>
      <c r="J410" s="278"/>
      <c r="K410" s="278"/>
      <c r="L410" s="278"/>
      <c r="M410" s="278"/>
      <c r="N410" s="278"/>
      <c r="O410" s="278"/>
      <c r="P410" s="278"/>
      <c r="Q410" s="278"/>
      <c r="R410" s="278"/>
      <c r="S410" s="278"/>
      <c r="T410" s="278"/>
      <c r="U410" s="278"/>
      <c r="V410" s="278"/>
      <c r="W410" s="278"/>
      <c r="X410" s="278"/>
      <c r="Y410" s="278"/>
      <c r="Z410" s="278"/>
    </row>
    <row r="411">
      <c r="A411" s="278"/>
      <c r="B411" s="278"/>
      <c r="C411" s="278"/>
      <c r="D411" s="278"/>
      <c r="E411" s="278"/>
      <c r="F411" s="278"/>
      <c r="G411" s="278"/>
      <c r="H411" s="278"/>
      <c r="I411" s="278"/>
      <c r="J411" s="278"/>
      <c r="K411" s="278"/>
      <c r="L411" s="278"/>
      <c r="M411" s="278"/>
      <c r="N411" s="278"/>
      <c r="O411" s="278"/>
      <c r="P411" s="278"/>
      <c r="Q411" s="278"/>
      <c r="R411" s="278"/>
      <c r="S411" s="278"/>
      <c r="T411" s="278"/>
      <c r="U411" s="278"/>
      <c r="V411" s="278"/>
      <c r="W411" s="278"/>
      <c r="X411" s="278"/>
      <c r="Y411" s="278"/>
      <c r="Z411" s="278"/>
    </row>
    <row r="412">
      <c r="A412" s="278"/>
      <c r="B412" s="278"/>
      <c r="C412" s="278"/>
      <c r="D412" s="278"/>
      <c r="E412" s="278"/>
      <c r="F412" s="278"/>
      <c r="G412" s="278"/>
      <c r="H412" s="278"/>
      <c r="I412" s="278"/>
      <c r="J412" s="278"/>
      <c r="K412" s="278"/>
      <c r="L412" s="278"/>
      <c r="M412" s="278"/>
      <c r="N412" s="278"/>
      <c r="O412" s="278"/>
      <c r="P412" s="278"/>
      <c r="Q412" s="278"/>
      <c r="R412" s="278"/>
      <c r="S412" s="278"/>
      <c r="T412" s="278"/>
      <c r="U412" s="278"/>
      <c r="V412" s="278"/>
      <c r="W412" s="278"/>
      <c r="X412" s="278"/>
      <c r="Y412" s="278"/>
      <c r="Z412" s="278"/>
    </row>
    <row r="413">
      <c r="A413" s="278"/>
      <c r="B413" s="278"/>
      <c r="C413" s="278"/>
      <c r="D413" s="278"/>
      <c r="E413" s="278"/>
      <c r="F413" s="278"/>
      <c r="G413" s="278"/>
      <c r="H413" s="278"/>
      <c r="I413" s="278"/>
      <c r="J413" s="278"/>
      <c r="K413" s="278"/>
      <c r="L413" s="278"/>
      <c r="M413" s="278"/>
      <c r="N413" s="278"/>
      <c r="O413" s="278"/>
      <c r="P413" s="278"/>
      <c r="Q413" s="278"/>
      <c r="R413" s="278"/>
      <c r="S413" s="278"/>
      <c r="T413" s="278"/>
      <c r="U413" s="278"/>
      <c r="V413" s="278"/>
      <c r="W413" s="278"/>
      <c r="X413" s="278"/>
      <c r="Y413" s="278"/>
      <c r="Z413" s="278"/>
    </row>
    <row r="414">
      <c r="A414" s="278"/>
      <c r="B414" s="278"/>
      <c r="C414" s="278"/>
      <c r="D414" s="278"/>
      <c r="E414" s="278"/>
      <c r="F414" s="278"/>
      <c r="G414" s="278"/>
      <c r="H414" s="278"/>
      <c r="I414" s="278"/>
      <c r="J414" s="278"/>
      <c r="K414" s="278"/>
      <c r="L414" s="278"/>
      <c r="M414" s="278"/>
      <c r="N414" s="278"/>
      <c r="O414" s="278"/>
      <c r="P414" s="278"/>
      <c r="Q414" s="278"/>
      <c r="R414" s="278"/>
      <c r="S414" s="278"/>
      <c r="T414" s="278"/>
      <c r="U414" s="278"/>
      <c r="V414" s="278"/>
      <c r="W414" s="278"/>
      <c r="X414" s="278"/>
      <c r="Y414" s="278"/>
      <c r="Z414" s="278"/>
    </row>
    <row r="415">
      <c r="A415" s="278"/>
      <c r="B415" s="278"/>
      <c r="C415" s="278"/>
      <c r="D415" s="278"/>
      <c r="E415" s="278"/>
      <c r="F415" s="278"/>
      <c r="G415" s="278"/>
      <c r="H415" s="278"/>
      <c r="I415" s="278"/>
      <c r="J415" s="278"/>
      <c r="K415" s="278"/>
      <c r="L415" s="278"/>
      <c r="M415" s="278"/>
      <c r="N415" s="278"/>
      <c r="O415" s="278"/>
      <c r="P415" s="278"/>
      <c r="Q415" s="278"/>
      <c r="R415" s="278"/>
      <c r="S415" s="278"/>
      <c r="T415" s="278"/>
      <c r="U415" s="278"/>
      <c r="V415" s="278"/>
      <c r="W415" s="278"/>
      <c r="X415" s="278"/>
      <c r="Y415" s="278"/>
      <c r="Z415" s="278"/>
    </row>
    <row r="416">
      <c r="A416" s="278"/>
      <c r="B416" s="278"/>
      <c r="C416" s="278"/>
      <c r="D416" s="278"/>
      <c r="E416" s="278"/>
      <c r="F416" s="278"/>
      <c r="G416" s="278"/>
      <c r="H416" s="278"/>
      <c r="I416" s="278"/>
      <c r="J416" s="278"/>
      <c r="K416" s="278"/>
      <c r="L416" s="278"/>
      <c r="M416" s="278"/>
      <c r="N416" s="278"/>
      <c r="O416" s="278"/>
      <c r="P416" s="278"/>
      <c r="Q416" s="278"/>
      <c r="R416" s="278"/>
      <c r="S416" s="278"/>
      <c r="T416" s="278"/>
      <c r="U416" s="278"/>
      <c r="V416" s="278"/>
      <c r="W416" s="278"/>
      <c r="X416" s="278"/>
      <c r="Y416" s="278"/>
      <c r="Z416" s="278"/>
    </row>
    <row r="417">
      <c r="A417" s="278"/>
      <c r="B417" s="278"/>
      <c r="C417" s="278"/>
      <c r="D417" s="278"/>
      <c r="E417" s="278"/>
      <c r="F417" s="278"/>
      <c r="G417" s="278"/>
      <c r="H417" s="278"/>
      <c r="I417" s="278"/>
      <c r="J417" s="278"/>
      <c r="K417" s="278"/>
      <c r="L417" s="278"/>
      <c r="M417" s="278"/>
      <c r="N417" s="278"/>
      <c r="O417" s="278"/>
      <c r="P417" s="278"/>
      <c r="Q417" s="278"/>
      <c r="R417" s="278"/>
      <c r="S417" s="278"/>
      <c r="T417" s="278"/>
      <c r="U417" s="278"/>
      <c r="V417" s="278"/>
      <c r="W417" s="278"/>
      <c r="X417" s="278"/>
      <c r="Y417" s="278"/>
      <c r="Z417" s="278"/>
    </row>
    <row r="418">
      <c r="A418" s="278"/>
      <c r="B418" s="278"/>
      <c r="C418" s="278"/>
      <c r="D418" s="278"/>
      <c r="E418" s="278"/>
      <c r="F418" s="278"/>
      <c r="G418" s="278"/>
      <c r="H418" s="278"/>
      <c r="I418" s="278"/>
      <c r="J418" s="278"/>
      <c r="K418" s="278"/>
      <c r="L418" s="278"/>
      <c r="M418" s="278"/>
      <c r="N418" s="278"/>
      <c r="O418" s="278"/>
      <c r="P418" s="278"/>
      <c r="Q418" s="278"/>
      <c r="R418" s="278"/>
      <c r="S418" s="278"/>
      <c r="T418" s="278"/>
      <c r="U418" s="278"/>
      <c r="V418" s="278"/>
      <c r="W418" s="278"/>
      <c r="X418" s="278"/>
      <c r="Y418" s="278"/>
      <c r="Z418" s="278"/>
    </row>
    <row r="419">
      <c r="A419" s="278"/>
      <c r="B419" s="278"/>
      <c r="C419" s="278"/>
      <c r="D419" s="278"/>
      <c r="E419" s="278"/>
      <c r="F419" s="278"/>
      <c r="G419" s="278"/>
      <c r="H419" s="278"/>
      <c r="I419" s="278"/>
      <c r="J419" s="278"/>
      <c r="K419" s="278"/>
      <c r="L419" s="278"/>
      <c r="M419" s="278"/>
      <c r="N419" s="278"/>
      <c r="O419" s="278"/>
      <c r="P419" s="278"/>
      <c r="Q419" s="278"/>
      <c r="R419" s="278"/>
      <c r="S419" s="278"/>
      <c r="T419" s="278"/>
      <c r="U419" s="278"/>
      <c r="V419" s="278"/>
      <c r="W419" s="278"/>
      <c r="X419" s="278"/>
      <c r="Y419" s="278"/>
      <c r="Z419" s="278"/>
    </row>
    <row r="420">
      <c r="A420" s="278"/>
      <c r="B420" s="278"/>
      <c r="C420" s="278"/>
      <c r="D420" s="278"/>
      <c r="E420" s="278"/>
      <c r="F420" s="278"/>
      <c r="G420" s="278"/>
      <c r="H420" s="278"/>
      <c r="I420" s="278"/>
      <c r="J420" s="278"/>
      <c r="K420" s="278"/>
      <c r="L420" s="278"/>
      <c r="M420" s="278"/>
      <c r="N420" s="278"/>
      <c r="O420" s="278"/>
      <c r="P420" s="278"/>
      <c r="Q420" s="278"/>
      <c r="R420" s="278"/>
      <c r="S420" s="278"/>
      <c r="T420" s="278"/>
      <c r="U420" s="278"/>
      <c r="V420" s="278"/>
      <c r="W420" s="278"/>
      <c r="X420" s="278"/>
      <c r="Y420" s="278"/>
      <c r="Z420" s="278"/>
    </row>
    <row r="421">
      <c r="A421" s="278"/>
      <c r="B421" s="278"/>
      <c r="C421" s="278"/>
      <c r="D421" s="278"/>
      <c r="E421" s="278"/>
      <c r="F421" s="278"/>
      <c r="G421" s="278"/>
      <c r="H421" s="278"/>
      <c r="I421" s="278"/>
      <c r="J421" s="278"/>
      <c r="K421" s="278"/>
      <c r="L421" s="278"/>
      <c r="M421" s="278"/>
      <c r="N421" s="278"/>
      <c r="O421" s="278"/>
      <c r="P421" s="278"/>
      <c r="Q421" s="278"/>
      <c r="R421" s="278"/>
      <c r="S421" s="278"/>
      <c r="T421" s="278"/>
      <c r="U421" s="278"/>
      <c r="V421" s="278"/>
      <c r="W421" s="278"/>
      <c r="X421" s="278"/>
      <c r="Y421" s="278"/>
      <c r="Z421" s="278"/>
    </row>
    <row r="422">
      <c r="A422" s="278"/>
      <c r="B422" s="278"/>
      <c r="C422" s="278"/>
      <c r="D422" s="278"/>
      <c r="E422" s="278"/>
      <c r="F422" s="278"/>
      <c r="G422" s="278"/>
      <c r="H422" s="278"/>
      <c r="I422" s="278"/>
      <c r="J422" s="278"/>
      <c r="K422" s="278"/>
      <c r="L422" s="278"/>
      <c r="M422" s="278"/>
      <c r="N422" s="278"/>
      <c r="O422" s="278"/>
      <c r="P422" s="278"/>
      <c r="Q422" s="278"/>
      <c r="R422" s="278"/>
      <c r="S422" s="278"/>
      <c r="T422" s="278"/>
      <c r="U422" s="278"/>
      <c r="V422" s="278"/>
      <c r="W422" s="278"/>
      <c r="X422" s="278"/>
      <c r="Y422" s="278"/>
      <c r="Z422" s="278"/>
    </row>
    <row r="423">
      <c r="A423" s="278"/>
      <c r="B423" s="278"/>
      <c r="C423" s="278"/>
      <c r="D423" s="278"/>
      <c r="E423" s="278"/>
      <c r="F423" s="278"/>
      <c r="G423" s="278"/>
      <c r="H423" s="278"/>
      <c r="I423" s="278"/>
      <c r="J423" s="278"/>
      <c r="K423" s="278"/>
      <c r="L423" s="278"/>
      <c r="M423" s="278"/>
      <c r="N423" s="278"/>
      <c r="O423" s="278"/>
      <c r="P423" s="278"/>
      <c r="Q423" s="278"/>
      <c r="R423" s="278"/>
      <c r="S423" s="278"/>
      <c r="T423" s="278"/>
      <c r="U423" s="278"/>
      <c r="V423" s="278"/>
      <c r="W423" s="278"/>
      <c r="X423" s="278"/>
      <c r="Y423" s="278"/>
      <c r="Z423" s="278"/>
    </row>
    <row r="424">
      <c r="A424" s="278"/>
      <c r="B424" s="278"/>
      <c r="C424" s="278"/>
      <c r="D424" s="278"/>
      <c r="E424" s="278"/>
      <c r="F424" s="278"/>
      <c r="G424" s="278"/>
      <c r="H424" s="278"/>
      <c r="I424" s="278"/>
      <c r="J424" s="278"/>
      <c r="K424" s="278"/>
      <c r="L424" s="278"/>
      <c r="M424" s="278"/>
      <c r="N424" s="278"/>
      <c r="O424" s="278"/>
      <c r="P424" s="278"/>
      <c r="Q424" s="278"/>
      <c r="R424" s="278"/>
      <c r="S424" s="278"/>
      <c r="T424" s="278"/>
      <c r="U424" s="278"/>
      <c r="V424" s="278"/>
      <c r="W424" s="278"/>
      <c r="X424" s="278"/>
      <c r="Y424" s="278"/>
      <c r="Z424" s="278"/>
    </row>
    <row r="425">
      <c r="A425" s="278"/>
      <c r="B425" s="278"/>
      <c r="C425" s="278"/>
      <c r="D425" s="278"/>
      <c r="E425" s="278"/>
      <c r="F425" s="278"/>
      <c r="G425" s="278"/>
      <c r="H425" s="278"/>
      <c r="I425" s="278"/>
      <c r="J425" s="278"/>
      <c r="K425" s="278"/>
      <c r="L425" s="278"/>
      <c r="M425" s="278"/>
      <c r="N425" s="278"/>
      <c r="O425" s="278"/>
      <c r="P425" s="278"/>
      <c r="Q425" s="278"/>
      <c r="R425" s="278"/>
      <c r="S425" s="278"/>
      <c r="T425" s="278"/>
      <c r="U425" s="278"/>
      <c r="V425" s="278"/>
      <c r="W425" s="278"/>
      <c r="X425" s="278"/>
      <c r="Y425" s="278"/>
      <c r="Z425" s="278"/>
    </row>
    <row r="426">
      <c r="A426" s="278"/>
      <c r="B426" s="278"/>
      <c r="C426" s="278"/>
      <c r="D426" s="278"/>
      <c r="E426" s="278"/>
      <c r="F426" s="278"/>
      <c r="G426" s="278"/>
      <c r="H426" s="278"/>
      <c r="I426" s="278"/>
      <c r="J426" s="278"/>
      <c r="K426" s="278"/>
      <c r="L426" s="278"/>
      <c r="M426" s="278"/>
      <c r="N426" s="278"/>
      <c r="O426" s="278"/>
      <c r="P426" s="278"/>
      <c r="Q426" s="278"/>
      <c r="R426" s="278"/>
      <c r="S426" s="278"/>
      <c r="T426" s="278"/>
      <c r="U426" s="278"/>
      <c r="V426" s="278"/>
      <c r="W426" s="278"/>
      <c r="X426" s="278"/>
      <c r="Y426" s="278"/>
      <c r="Z426" s="278"/>
    </row>
    <row r="427">
      <c r="A427" s="278"/>
      <c r="B427" s="278"/>
      <c r="C427" s="278"/>
      <c r="D427" s="278"/>
      <c r="E427" s="278"/>
      <c r="F427" s="278"/>
      <c r="G427" s="278"/>
      <c r="H427" s="278"/>
      <c r="I427" s="278"/>
      <c r="J427" s="278"/>
      <c r="K427" s="278"/>
      <c r="L427" s="278"/>
      <c r="M427" s="278"/>
      <c r="N427" s="278"/>
      <c r="O427" s="278"/>
      <c r="P427" s="278"/>
      <c r="Q427" s="278"/>
      <c r="R427" s="278"/>
      <c r="S427" s="278"/>
      <c r="T427" s="278"/>
      <c r="U427" s="278"/>
      <c r="V427" s="278"/>
      <c r="W427" s="278"/>
      <c r="X427" s="278"/>
      <c r="Y427" s="278"/>
      <c r="Z427" s="278"/>
    </row>
    <row r="428">
      <c r="A428" s="278"/>
      <c r="B428" s="278"/>
      <c r="C428" s="278"/>
      <c r="D428" s="278"/>
      <c r="E428" s="278"/>
      <c r="F428" s="278"/>
      <c r="G428" s="278"/>
      <c r="H428" s="278"/>
      <c r="I428" s="278"/>
      <c r="J428" s="278"/>
      <c r="K428" s="278"/>
      <c r="L428" s="278"/>
      <c r="M428" s="278"/>
      <c r="N428" s="278"/>
      <c r="O428" s="278"/>
      <c r="P428" s="278"/>
      <c r="Q428" s="278"/>
      <c r="R428" s="278"/>
      <c r="S428" s="278"/>
      <c r="T428" s="278"/>
      <c r="U428" s="278"/>
      <c r="V428" s="278"/>
      <c r="W428" s="278"/>
      <c r="X428" s="278"/>
      <c r="Y428" s="278"/>
      <c r="Z428" s="278"/>
    </row>
    <row r="429">
      <c r="A429" s="278"/>
      <c r="B429" s="278"/>
      <c r="C429" s="278"/>
      <c r="D429" s="278"/>
      <c r="E429" s="278"/>
      <c r="F429" s="278"/>
      <c r="G429" s="278"/>
      <c r="H429" s="278"/>
      <c r="I429" s="278"/>
      <c r="J429" s="278"/>
      <c r="K429" s="278"/>
      <c r="L429" s="278"/>
      <c r="M429" s="278"/>
      <c r="N429" s="278"/>
      <c r="O429" s="278"/>
      <c r="P429" s="278"/>
      <c r="Q429" s="278"/>
      <c r="R429" s="278"/>
      <c r="S429" s="278"/>
      <c r="T429" s="278"/>
      <c r="U429" s="278"/>
      <c r="V429" s="278"/>
      <c r="W429" s="278"/>
      <c r="X429" s="278"/>
      <c r="Y429" s="278"/>
      <c r="Z429" s="278"/>
    </row>
    <row r="430">
      <c r="A430" s="278"/>
      <c r="B430" s="278"/>
      <c r="C430" s="278"/>
      <c r="D430" s="278"/>
      <c r="E430" s="278"/>
      <c r="F430" s="278"/>
      <c r="G430" s="278"/>
      <c r="H430" s="278"/>
      <c r="I430" s="278"/>
      <c r="J430" s="278"/>
      <c r="K430" s="278"/>
      <c r="L430" s="278"/>
      <c r="M430" s="278"/>
      <c r="N430" s="278"/>
      <c r="O430" s="278"/>
      <c r="P430" s="278"/>
      <c r="Q430" s="278"/>
      <c r="R430" s="278"/>
      <c r="S430" s="278"/>
      <c r="T430" s="278"/>
      <c r="U430" s="278"/>
      <c r="V430" s="278"/>
      <c r="W430" s="278"/>
      <c r="X430" s="278"/>
      <c r="Y430" s="278"/>
      <c r="Z430" s="278"/>
    </row>
    <row r="431">
      <c r="A431" s="278"/>
      <c r="B431" s="278"/>
      <c r="C431" s="278"/>
      <c r="D431" s="278"/>
      <c r="E431" s="278"/>
      <c r="F431" s="278"/>
      <c r="G431" s="278"/>
      <c r="H431" s="278"/>
      <c r="I431" s="278"/>
      <c r="J431" s="278"/>
      <c r="K431" s="278"/>
      <c r="L431" s="278"/>
      <c r="M431" s="278"/>
      <c r="N431" s="278"/>
      <c r="O431" s="278"/>
      <c r="P431" s="278"/>
      <c r="Q431" s="278"/>
      <c r="R431" s="278"/>
      <c r="S431" s="278"/>
      <c r="T431" s="278"/>
      <c r="U431" s="278"/>
      <c r="V431" s="278"/>
      <c r="W431" s="278"/>
      <c r="X431" s="278"/>
      <c r="Y431" s="278"/>
      <c r="Z431" s="278"/>
    </row>
    <row r="432">
      <c r="A432" s="278"/>
      <c r="B432" s="278"/>
      <c r="C432" s="278"/>
      <c r="D432" s="278"/>
      <c r="E432" s="278"/>
      <c r="F432" s="278"/>
      <c r="G432" s="278"/>
      <c r="H432" s="278"/>
      <c r="I432" s="278"/>
      <c r="J432" s="278"/>
      <c r="K432" s="278"/>
      <c r="L432" s="278"/>
      <c r="M432" s="278"/>
      <c r="N432" s="278"/>
      <c r="O432" s="278"/>
      <c r="P432" s="278"/>
      <c r="Q432" s="278"/>
      <c r="R432" s="278"/>
      <c r="S432" s="278"/>
      <c r="T432" s="278"/>
      <c r="U432" s="278"/>
      <c r="V432" s="278"/>
      <c r="W432" s="278"/>
      <c r="X432" s="278"/>
      <c r="Y432" s="278"/>
      <c r="Z432" s="278"/>
    </row>
    <row r="433">
      <c r="A433" s="278"/>
      <c r="B433" s="278"/>
      <c r="C433" s="278"/>
      <c r="D433" s="278"/>
      <c r="E433" s="278"/>
      <c r="F433" s="278"/>
      <c r="G433" s="278"/>
      <c r="H433" s="278"/>
      <c r="I433" s="278"/>
      <c r="J433" s="278"/>
      <c r="K433" s="278"/>
      <c r="L433" s="278"/>
      <c r="M433" s="278"/>
      <c r="N433" s="278"/>
      <c r="O433" s="278"/>
      <c r="P433" s="278"/>
      <c r="Q433" s="278"/>
      <c r="R433" s="278"/>
      <c r="S433" s="278"/>
      <c r="T433" s="278"/>
      <c r="U433" s="278"/>
      <c r="V433" s="278"/>
      <c r="W433" s="278"/>
      <c r="X433" s="278"/>
      <c r="Y433" s="278"/>
      <c r="Z433" s="278"/>
    </row>
    <row r="434">
      <c r="A434" s="278"/>
      <c r="B434" s="278"/>
      <c r="C434" s="278"/>
      <c r="D434" s="278"/>
      <c r="E434" s="278"/>
      <c r="F434" s="278"/>
      <c r="G434" s="278"/>
      <c r="H434" s="278"/>
      <c r="I434" s="278"/>
      <c r="J434" s="278"/>
      <c r="K434" s="278"/>
      <c r="L434" s="278"/>
      <c r="M434" s="278"/>
      <c r="N434" s="278"/>
      <c r="O434" s="278"/>
      <c r="P434" s="278"/>
      <c r="Q434" s="278"/>
      <c r="R434" s="278"/>
      <c r="S434" s="278"/>
      <c r="T434" s="278"/>
      <c r="U434" s="278"/>
      <c r="V434" s="278"/>
      <c r="W434" s="278"/>
      <c r="X434" s="278"/>
      <c r="Y434" s="278"/>
      <c r="Z434" s="278"/>
    </row>
    <row r="435">
      <c r="A435" s="278"/>
      <c r="B435" s="278"/>
      <c r="C435" s="278"/>
      <c r="D435" s="278"/>
      <c r="E435" s="278"/>
      <c r="F435" s="278"/>
      <c r="G435" s="278"/>
      <c r="H435" s="278"/>
      <c r="I435" s="278"/>
      <c r="J435" s="278"/>
      <c r="K435" s="278"/>
      <c r="L435" s="278"/>
      <c r="M435" s="278"/>
      <c r="N435" s="278"/>
      <c r="O435" s="278"/>
      <c r="P435" s="278"/>
      <c r="Q435" s="278"/>
      <c r="R435" s="278"/>
      <c r="S435" s="278"/>
      <c r="T435" s="278"/>
      <c r="U435" s="278"/>
      <c r="V435" s="278"/>
      <c r="W435" s="278"/>
      <c r="X435" s="278"/>
      <c r="Y435" s="278"/>
      <c r="Z435" s="278"/>
    </row>
    <row r="436">
      <c r="A436" s="278"/>
      <c r="B436" s="278"/>
      <c r="C436" s="278"/>
      <c r="D436" s="278"/>
      <c r="E436" s="278"/>
      <c r="F436" s="278"/>
      <c r="G436" s="278"/>
      <c r="H436" s="278"/>
      <c r="I436" s="278"/>
      <c r="J436" s="278"/>
      <c r="K436" s="278"/>
      <c r="L436" s="278"/>
      <c r="M436" s="278"/>
      <c r="N436" s="278"/>
      <c r="O436" s="278"/>
      <c r="P436" s="278"/>
      <c r="Q436" s="278"/>
      <c r="R436" s="278"/>
      <c r="S436" s="278"/>
      <c r="T436" s="278"/>
      <c r="U436" s="278"/>
      <c r="V436" s="278"/>
      <c r="W436" s="278"/>
      <c r="X436" s="278"/>
      <c r="Y436" s="278"/>
      <c r="Z436" s="278"/>
    </row>
    <row r="437">
      <c r="A437" s="278"/>
      <c r="B437" s="278"/>
      <c r="C437" s="278"/>
      <c r="D437" s="278"/>
      <c r="E437" s="278"/>
      <c r="F437" s="278"/>
      <c r="G437" s="278"/>
      <c r="H437" s="278"/>
      <c r="I437" s="278"/>
      <c r="J437" s="278"/>
      <c r="K437" s="278"/>
      <c r="L437" s="278"/>
      <c r="M437" s="278"/>
      <c r="N437" s="278"/>
      <c r="O437" s="278"/>
      <c r="P437" s="278"/>
      <c r="Q437" s="278"/>
      <c r="R437" s="278"/>
      <c r="S437" s="278"/>
      <c r="T437" s="278"/>
      <c r="U437" s="278"/>
      <c r="V437" s="278"/>
      <c r="W437" s="278"/>
      <c r="X437" s="278"/>
      <c r="Y437" s="278"/>
      <c r="Z437" s="278"/>
    </row>
    <row r="438">
      <c r="A438" s="278"/>
      <c r="B438" s="278"/>
      <c r="C438" s="278"/>
      <c r="D438" s="278"/>
      <c r="E438" s="278"/>
      <c r="F438" s="278"/>
      <c r="G438" s="278"/>
      <c r="H438" s="278"/>
      <c r="I438" s="278"/>
      <c r="J438" s="278"/>
      <c r="K438" s="278"/>
      <c r="L438" s="278"/>
      <c r="M438" s="278"/>
      <c r="N438" s="278"/>
      <c r="O438" s="278"/>
      <c r="P438" s="278"/>
      <c r="Q438" s="278"/>
      <c r="R438" s="278"/>
      <c r="S438" s="278"/>
      <c r="T438" s="278"/>
      <c r="U438" s="278"/>
      <c r="V438" s="278"/>
      <c r="W438" s="278"/>
      <c r="X438" s="278"/>
      <c r="Y438" s="278"/>
      <c r="Z438" s="278"/>
    </row>
    <row r="439">
      <c r="A439" s="278"/>
      <c r="B439" s="278"/>
      <c r="C439" s="278"/>
      <c r="D439" s="278"/>
      <c r="E439" s="278"/>
      <c r="F439" s="278"/>
      <c r="G439" s="278"/>
      <c r="H439" s="278"/>
      <c r="I439" s="278"/>
      <c r="J439" s="278"/>
      <c r="K439" s="278"/>
      <c r="L439" s="278"/>
      <c r="M439" s="278"/>
      <c r="N439" s="278"/>
      <c r="O439" s="278"/>
      <c r="P439" s="278"/>
      <c r="Q439" s="278"/>
      <c r="R439" s="278"/>
      <c r="S439" s="278"/>
      <c r="T439" s="278"/>
      <c r="U439" s="278"/>
      <c r="V439" s="278"/>
      <c r="W439" s="278"/>
      <c r="X439" s="278"/>
      <c r="Y439" s="278"/>
      <c r="Z439" s="278"/>
    </row>
    <row r="440">
      <c r="A440" s="278"/>
      <c r="B440" s="278"/>
      <c r="C440" s="278"/>
      <c r="D440" s="278"/>
      <c r="E440" s="278"/>
      <c r="F440" s="278"/>
      <c r="G440" s="278"/>
      <c r="H440" s="278"/>
      <c r="I440" s="278"/>
      <c r="J440" s="278"/>
      <c r="K440" s="278"/>
      <c r="L440" s="278"/>
      <c r="M440" s="278"/>
      <c r="N440" s="278"/>
      <c r="O440" s="278"/>
      <c r="P440" s="278"/>
      <c r="Q440" s="278"/>
      <c r="R440" s="278"/>
      <c r="S440" s="278"/>
      <c r="T440" s="278"/>
      <c r="U440" s="278"/>
      <c r="V440" s="278"/>
      <c r="W440" s="278"/>
      <c r="X440" s="278"/>
      <c r="Y440" s="278"/>
      <c r="Z440" s="278"/>
    </row>
    <row r="441">
      <c r="A441" s="278"/>
      <c r="B441" s="278"/>
      <c r="C441" s="278"/>
      <c r="D441" s="278"/>
      <c r="E441" s="278"/>
      <c r="F441" s="278"/>
      <c r="G441" s="278"/>
      <c r="H441" s="278"/>
      <c r="I441" s="278"/>
      <c r="J441" s="278"/>
      <c r="K441" s="278"/>
      <c r="L441" s="278"/>
      <c r="M441" s="278"/>
      <c r="N441" s="278"/>
      <c r="O441" s="278"/>
      <c r="P441" s="278"/>
      <c r="Q441" s="278"/>
      <c r="R441" s="278"/>
      <c r="S441" s="278"/>
      <c r="T441" s="278"/>
      <c r="U441" s="278"/>
      <c r="V441" s="278"/>
      <c r="W441" s="278"/>
      <c r="X441" s="278"/>
      <c r="Y441" s="278"/>
      <c r="Z441" s="278"/>
    </row>
    <row r="442">
      <c r="A442" s="278"/>
      <c r="B442" s="278"/>
      <c r="C442" s="278"/>
      <c r="D442" s="278"/>
      <c r="E442" s="278"/>
      <c r="F442" s="278"/>
      <c r="G442" s="278"/>
      <c r="H442" s="278"/>
      <c r="I442" s="278"/>
      <c r="J442" s="278"/>
      <c r="K442" s="278"/>
      <c r="L442" s="278"/>
      <c r="M442" s="278"/>
      <c r="N442" s="278"/>
      <c r="O442" s="278"/>
      <c r="P442" s="278"/>
      <c r="Q442" s="278"/>
      <c r="R442" s="278"/>
      <c r="S442" s="278"/>
      <c r="T442" s="278"/>
      <c r="U442" s="278"/>
      <c r="V442" s="278"/>
      <c r="W442" s="278"/>
      <c r="X442" s="278"/>
      <c r="Y442" s="278"/>
      <c r="Z442" s="278"/>
    </row>
    <row r="443">
      <c r="A443" s="278"/>
      <c r="B443" s="278"/>
      <c r="C443" s="278"/>
      <c r="D443" s="278"/>
      <c r="E443" s="278"/>
      <c r="F443" s="278"/>
      <c r="G443" s="278"/>
      <c r="H443" s="278"/>
      <c r="I443" s="278"/>
      <c r="J443" s="278"/>
      <c r="K443" s="278"/>
      <c r="L443" s="278"/>
      <c r="M443" s="278"/>
      <c r="N443" s="278"/>
      <c r="O443" s="278"/>
      <c r="P443" s="278"/>
      <c r="Q443" s="278"/>
      <c r="R443" s="278"/>
      <c r="S443" s="278"/>
      <c r="T443" s="278"/>
      <c r="U443" s="278"/>
      <c r="V443" s="278"/>
      <c r="W443" s="278"/>
      <c r="X443" s="278"/>
      <c r="Y443" s="278"/>
      <c r="Z443" s="278"/>
    </row>
    <row r="444">
      <c r="A444" s="278"/>
      <c r="B444" s="278"/>
      <c r="C444" s="278"/>
      <c r="D444" s="278"/>
      <c r="E444" s="278"/>
      <c r="F444" s="278"/>
      <c r="G444" s="278"/>
      <c r="H444" s="278"/>
      <c r="I444" s="278"/>
      <c r="J444" s="278"/>
      <c r="K444" s="278"/>
      <c r="L444" s="278"/>
      <c r="M444" s="278"/>
      <c r="N444" s="278"/>
      <c r="O444" s="278"/>
      <c r="P444" s="278"/>
      <c r="Q444" s="278"/>
      <c r="R444" s="278"/>
      <c r="S444" s="278"/>
      <c r="T444" s="278"/>
      <c r="U444" s="278"/>
      <c r="V444" s="278"/>
      <c r="W444" s="278"/>
      <c r="X444" s="278"/>
      <c r="Y444" s="278"/>
      <c r="Z444" s="278"/>
    </row>
    <row r="445">
      <c r="A445" s="278"/>
      <c r="B445" s="278"/>
      <c r="C445" s="278"/>
      <c r="D445" s="278"/>
      <c r="E445" s="278"/>
      <c r="F445" s="278"/>
      <c r="G445" s="278"/>
      <c r="H445" s="278"/>
      <c r="I445" s="278"/>
      <c r="J445" s="278"/>
      <c r="K445" s="278"/>
      <c r="L445" s="278"/>
      <c r="M445" s="278"/>
      <c r="N445" s="278"/>
      <c r="O445" s="278"/>
      <c r="P445" s="278"/>
      <c r="Q445" s="278"/>
      <c r="R445" s="278"/>
      <c r="S445" s="278"/>
      <c r="T445" s="278"/>
      <c r="U445" s="278"/>
      <c r="V445" s="278"/>
      <c r="W445" s="278"/>
      <c r="X445" s="278"/>
      <c r="Y445" s="278"/>
      <c r="Z445" s="278"/>
    </row>
    <row r="446">
      <c r="A446" s="278"/>
      <c r="B446" s="278"/>
      <c r="C446" s="278"/>
      <c r="D446" s="278"/>
      <c r="E446" s="278"/>
      <c r="F446" s="278"/>
      <c r="G446" s="278"/>
      <c r="H446" s="278"/>
      <c r="I446" s="278"/>
      <c r="J446" s="278"/>
      <c r="K446" s="278"/>
      <c r="L446" s="278"/>
      <c r="M446" s="278"/>
      <c r="N446" s="278"/>
      <c r="O446" s="278"/>
      <c r="P446" s="278"/>
      <c r="Q446" s="278"/>
      <c r="R446" s="278"/>
      <c r="S446" s="278"/>
      <c r="T446" s="278"/>
      <c r="U446" s="278"/>
      <c r="V446" s="278"/>
      <c r="W446" s="278"/>
      <c r="X446" s="278"/>
      <c r="Y446" s="278"/>
      <c r="Z446" s="278"/>
    </row>
    <row r="447">
      <c r="A447" s="278"/>
      <c r="B447" s="278"/>
      <c r="C447" s="278"/>
      <c r="D447" s="278"/>
      <c r="E447" s="278"/>
      <c r="F447" s="278"/>
      <c r="G447" s="278"/>
      <c r="H447" s="278"/>
      <c r="I447" s="278"/>
      <c r="J447" s="278"/>
      <c r="K447" s="278"/>
      <c r="L447" s="278"/>
      <c r="M447" s="278"/>
      <c r="N447" s="278"/>
      <c r="O447" s="278"/>
      <c r="P447" s="278"/>
      <c r="Q447" s="278"/>
      <c r="R447" s="278"/>
      <c r="S447" s="278"/>
      <c r="T447" s="278"/>
      <c r="U447" s="278"/>
      <c r="V447" s="278"/>
      <c r="W447" s="278"/>
      <c r="X447" s="278"/>
      <c r="Y447" s="278"/>
      <c r="Z447" s="278"/>
    </row>
    <row r="448">
      <c r="A448" s="278"/>
      <c r="B448" s="278"/>
      <c r="C448" s="278"/>
      <c r="D448" s="278"/>
      <c r="E448" s="278"/>
      <c r="F448" s="278"/>
      <c r="G448" s="278"/>
      <c r="H448" s="278"/>
      <c r="I448" s="278"/>
      <c r="J448" s="278"/>
      <c r="K448" s="278"/>
      <c r="L448" s="278"/>
      <c r="M448" s="278"/>
      <c r="N448" s="278"/>
      <c r="O448" s="278"/>
      <c r="P448" s="278"/>
      <c r="Q448" s="278"/>
      <c r="R448" s="278"/>
      <c r="S448" s="278"/>
      <c r="T448" s="278"/>
      <c r="U448" s="278"/>
      <c r="V448" s="278"/>
      <c r="W448" s="278"/>
      <c r="X448" s="278"/>
      <c r="Y448" s="278"/>
      <c r="Z448" s="278"/>
    </row>
    <row r="449">
      <c r="A449" s="278"/>
      <c r="B449" s="278"/>
      <c r="C449" s="278"/>
      <c r="D449" s="278"/>
      <c r="E449" s="278"/>
      <c r="F449" s="278"/>
      <c r="G449" s="278"/>
      <c r="H449" s="278"/>
      <c r="I449" s="278"/>
      <c r="J449" s="278"/>
      <c r="K449" s="278"/>
      <c r="L449" s="278"/>
      <c r="M449" s="278"/>
      <c r="N449" s="278"/>
      <c r="O449" s="278"/>
      <c r="P449" s="278"/>
      <c r="Q449" s="278"/>
      <c r="R449" s="278"/>
      <c r="S449" s="278"/>
      <c r="T449" s="278"/>
      <c r="U449" s="278"/>
      <c r="V449" s="278"/>
      <c r="W449" s="278"/>
      <c r="X449" s="278"/>
      <c r="Y449" s="278"/>
      <c r="Z449" s="278"/>
    </row>
    <row r="450">
      <c r="A450" s="278"/>
      <c r="B450" s="278"/>
      <c r="C450" s="278"/>
      <c r="D450" s="278"/>
      <c r="E450" s="278"/>
      <c r="F450" s="278"/>
      <c r="G450" s="278"/>
      <c r="H450" s="278"/>
      <c r="I450" s="278"/>
      <c r="J450" s="278"/>
      <c r="K450" s="278"/>
      <c r="L450" s="278"/>
      <c r="M450" s="278"/>
      <c r="N450" s="278"/>
      <c r="O450" s="278"/>
      <c r="P450" s="278"/>
      <c r="Q450" s="278"/>
      <c r="R450" s="278"/>
      <c r="S450" s="278"/>
      <c r="T450" s="278"/>
      <c r="U450" s="278"/>
      <c r="V450" s="278"/>
      <c r="W450" s="278"/>
      <c r="X450" s="278"/>
      <c r="Y450" s="278"/>
      <c r="Z450" s="278"/>
    </row>
    <row r="451">
      <c r="A451" s="278"/>
      <c r="B451" s="278"/>
      <c r="C451" s="278"/>
      <c r="D451" s="278"/>
      <c r="E451" s="278"/>
      <c r="F451" s="278"/>
      <c r="G451" s="278"/>
      <c r="H451" s="278"/>
      <c r="I451" s="278"/>
      <c r="J451" s="278"/>
      <c r="K451" s="278"/>
      <c r="L451" s="278"/>
      <c r="M451" s="278"/>
      <c r="N451" s="278"/>
      <c r="O451" s="278"/>
      <c r="P451" s="278"/>
      <c r="Q451" s="278"/>
      <c r="R451" s="278"/>
      <c r="S451" s="278"/>
      <c r="T451" s="278"/>
      <c r="U451" s="278"/>
      <c r="V451" s="278"/>
      <c r="W451" s="278"/>
      <c r="X451" s="278"/>
      <c r="Y451" s="278"/>
      <c r="Z451" s="278"/>
    </row>
    <row r="452">
      <c r="A452" s="278"/>
      <c r="B452" s="278"/>
      <c r="C452" s="278"/>
      <c r="D452" s="278"/>
      <c r="E452" s="278"/>
      <c r="F452" s="278"/>
      <c r="G452" s="278"/>
      <c r="H452" s="278"/>
      <c r="I452" s="278"/>
      <c r="J452" s="278"/>
      <c r="K452" s="278"/>
      <c r="L452" s="278"/>
      <c r="M452" s="278"/>
      <c r="N452" s="278"/>
      <c r="O452" s="278"/>
      <c r="P452" s="278"/>
      <c r="Q452" s="278"/>
      <c r="R452" s="278"/>
      <c r="S452" s="278"/>
      <c r="T452" s="278"/>
      <c r="U452" s="278"/>
      <c r="V452" s="278"/>
      <c r="W452" s="278"/>
      <c r="X452" s="278"/>
      <c r="Y452" s="278"/>
      <c r="Z452" s="278"/>
    </row>
    <row r="453">
      <c r="A453" s="278"/>
      <c r="B453" s="278"/>
      <c r="C453" s="278"/>
      <c r="D453" s="278"/>
      <c r="E453" s="278"/>
      <c r="F453" s="278"/>
      <c r="G453" s="278"/>
      <c r="H453" s="278"/>
      <c r="I453" s="278"/>
      <c r="J453" s="278"/>
      <c r="K453" s="278"/>
      <c r="L453" s="278"/>
      <c r="M453" s="278"/>
      <c r="N453" s="278"/>
      <c r="O453" s="278"/>
      <c r="P453" s="278"/>
      <c r="Q453" s="278"/>
      <c r="R453" s="278"/>
      <c r="S453" s="278"/>
      <c r="T453" s="278"/>
      <c r="U453" s="278"/>
      <c r="V453" s="278"/>
      <c r="W453" s="278"/>
      <c r="X453" s="278"/>
      <c r="Y453" s="278"/>
      <c r="Z453" s="278"/>
    </row>
    <row r="454">
      <c r="A454" s="278"/>
      <c r="B454" s="278"/>
      <c r="C454" s="278"/>
      <c r="D454" s="278"/>
      <c r="E454" s="278"/>
      <c r="F454" s="278"/>
      <c r="G454" s="278"/>
      <c r="H454" s="278"/>
      <c r="I454" s="278"/>
      <c r="J454" s="278"/>
      <c r="K454" s="278"/>
      <c r="L454" s="278"/>
      <c r="M454" s="278"/>
      <c r="N454" s="278"/>
      <c r="O454" s="278"/>
      <c r="P454" s="278"/>
      <c r="Q454" s="278"/>
      <c r="R454" s="278"/>
      <c r="S454" s="278"/>
      <c r="T454" s="278"/>
      <c r="U454" s="278"/>
      <c r="V454" s="278"/>
      <c r="W454" s="278"/>
      <c r="X454" s="278"/>
      <c r="Y454" s="278"/>
      <c r="Z454" s="278"/>
    </row>
    <row r="455">
      <c r="A455" s="278"/>
      <c r="B455" s="278"/>
      <c r="C455" s="278"/>
      <c r="D455" s="278"/>
      <c r="E455" s="278"/>
      <c r="F455" s="278"/>
      <c r="G455" s="278"/>
      <c r="H455" s="278"/>
      <c r="I455" s="278"/>
      <c r="J455" s="278"/>
      <c r="K455" s="278"/>
      <c r="L455" s="278"/>
      <c r="M455" s="278"/>
      <c r="N455" s="278"/>
      <c r="O455" s="278"/>
      <c r="P455" s="278"/>
      <c r="Q455" s="278"/>
      <c r="R455" s="278"/>
      <c r="S455" s="278"/>
      <c r="T455" s="278"/>
      <c r="U455" s="278"/>
      <c r="V455" s="278"/>
      <c r="W455" s="278"/>
      <c r="X455" s="278"/>
      <c r="Y455" s="278"/>
      <c r="Z455" s="278"/>
    </row>
    <row r="456">
      <c r="A456" s="278"/>
      <c r="B456" s="278"/>
      <c r="C456" s="278"/>
      <c r="D456" s="278"/>
      <c r="E456" s="278"/>
      <c r="F456" s="278"/>
      <c r="G456" s="278"/>
      <c r="H456" s="278"/>
      <c r="I456" s="278"/>
      <c r="J456" s="278"/>
      <c r="K456" s="278"/>
      <c r="L456" s="278"/>
      <c r="M456" s="278"/>
      <c r="N456" s="278"/>
      <c r="O456" s="278"/>
      <c r="P456" s="278"/>
      <c r="Q456" s="278"/>
      <c r="R456" s="278"/>
      <c r="S456" s="278"/>
      <c r="T456" s="278"/>
      <c r="U456" s="278"/>
      <c r="V456" s="278"/>
      <c r="W456" s="278"/>
      <c r="X456" s="278"/>
      <c r="Y456" s="278"/>
      <c r="Z456" s="278"/>
    </row>
    <row r="457">
      <c r="A457" s="278"/>
      <c r="B457" s="278"/>
      <c r="C457" s="278"/>
      <c r="D457" s="278"/>
      <c r="E457" s="278"/>
      <c r="F457" s="278"/>
      <c r="G457" s="278"/>
      <c r="H457" s="278"/>
      <c r="I457" s="278"/>
      <c r="J457" s="278"/>
      <c r="K457" s="278"/>
      <c r="L457" s="278"/>
      <c r="M457" s="278"/>
      <c r="N457" s="278"/>
      <c r="O457" s="278"/>
      <c r="P457" s="278"/>
      <c r="Q457" s="278"/>
      <c r="R457" s="278"/>
      <c r="S457" s="278"/>
      <c r="T457" s="278"/>
      <c r="U457" s="278"/>
      <c r="V457" s="278"/>
      <c r="W457" s="278"/>
      <c r="X457" s="278"/>
      <c r="Y457" s="278"/>
      <c r="Z457" s="278"/>
    </row>
    <row r="458">
      <c r="A458" s="278"/>
      <c r="B458" s="278"/>
      <c r="C458" s="278"/>
      <c r="D458" s="278"/>
      <c r="E458" s="278"/>
      <c r="F458" s="278"/>
      <c r="G458" s="278"/>
      <c r="H458" s="278"/>
      <c r="I458" s="278"/>
      <c r="J458" s="278"/>
      <c r="K458" s="278"/>
      <c r="L458" s="278"/>
      <c r="M458" s="278"/>
      <c r="N458" s="278"/>
      <c r="O458" s="278"/>
      <c r="P458" s="278"/>
      <c r="Q458" s="278"/>
      <c r="R458" s="278"/>
      <c r="S458" s="278"/>
      <c r="T458" s="278"/>
      <c r="U458" s="278"/>
      <c r="V458" s="278"/>
      <c r="W458" s="278"/>
      <c r="X458" s="278"/>
      <c r="Y458" s="278"/>
      <c r="Z458" s="278"/>
    </row>
    <row r="459">
      <c r="A459" s="278"/>
      <c r="B459" s="278"/>
      <c r="C459" s="278"/>
      <c r="D459" s="278"/>
      <c r="E459" s="278"/>
      <c r="F459" s="278"/>
      <c r="G459" s="278"/>
      <c r="H459" s="278"/>
      <c r="I459" s="278"/>
      <c r="J459" s="278"/>
      <c r="K459" s="278"/>
      <c r="L459" s="278"/>
      <c r="M459" s="278"/>
      <c r="N459" s="278"/>
      <c r="O459" s="278"/>
      <c r="P459" s="278"/>
      <c r="Q459" s="278"/>
      <c r="R459" s="278"/>
      <c r="S459" s="278"/>
      <c r="T459" s="278"/>
      <c r="U459" s="278"/>
      <c r="V459" s="278"/>
      <c r="W459" s="278"/>
      <c r="X459" s="278"/>
      <c r="Y459" s="278"/>
      <c r="Z459" s="278"/>
    </row>
    <row r="460">
      <c r="A460" s="278"/>
      <c r="B460" s="278"/>
      <c r="C460" s="278"/>
      <c r="D460" s="278"/>
      <c r="E460" s="278"/>
      <c r="F460" s="278"/>
      <c r="G460" s="278"/>
      <c r="H460" s="278"/>
      <c r="I460" s="278"/>
      <c r="J460" s="278"/>
      <c r="K460" s="278"/>
      <c r="L460" s="278"/>
      <c r="M460" s="278"/>
      <c r="N460" s="278"/>
      <c r="O460" s="278"/>
      <c r="P460" s="278"/>
      <c r="Q460" s="278"/>
      <c r="R460" s="278"/>
      <c r="S460" s="278"/>
      <c r="T460" s="278"/>
      <c r="U460" s="278"/>
      <c r="V460" s="278"/>
      <c r="W460" s="278"/>
      <c r="X460" s="278"/>
      <c r="Y460" s="278"/>
      <c r="Z460" s="278"/>
    </row>
    <row r="461">
      <c r="A461" s="278"/>
      <c r="B461" s="278"/>
      <c r="C461" s="278"/>
      <c r="D461" s="278"/>
      <c r="E461" s="278"/>
      <c r="F461" s="278"/>
      <c r="G461" s="278"/>
      <c r="H461" s="278"/>
      <c r="I461" s="278"/>
      <c r="J461" s="278"/>
      <c r="K461" s="278"/>
      <c r="L461" s="278"/>
      <c r="M461" s="278"/>
      <c r="N461" s="278"/>
      <c r="O461" s="278"/>
      <c r="P461" s="278"/>
      <c r="Q461" s="278"/>
      <c r="R461" s="278"/>
      <c r="S461" s="278"/>
      <c r="T461" s="278"/>
      <c r="U461" s="278"/>
      <c r="V461" s="278"/>
      <c r="W461" s="278"/>
      <c r="X461" s="278"/>
      <c r="Y461" s="278"/>
      <c r="Z461" s="278"/>
    </row>
    <row r="462">
      <c r="A462" s="278"/>
      <c r="B462" s="278"/>
      <c r="C462" s="278"/>
      <c r="D462" s="278"/>
      <c r="E462" s="278"/>
      <c r="F462" s="278"/>
      <c r="G462" s="278"/>
      <c r="H462" s="278"/>
      <c r="I462" s="278"/>
      <c r="J462" s="278"/>
      <c r="K462" s="278"/>
      <c r="L462" s="278"/>
      <c r="M462" s="278"/>
      <c r="N462" s="278"/>
      <c r="O462" s="278"/>
      <c r="P462" s="278"/>
      <c r="Q462" s="278"/>
      <c r="R462" s="278"/>
      <c r="S462" s="278"/>
      <c r="T462" s="278"/>
      <c r="U462" s="278"/>
      <c r="V462" s="278"/>
      <c r="W462" s="278"/>
      <c r="X462" s="278"/>
      <c r="Y462" s="278"/>
      <c r="Z462" s="278"/>
    </row>
    <row r="463">
      <c r="A463" s="278"/>
      <c r="B463" s="278"/>
      <c r="C463" s="278"/>
      <c r="D463" s="278"/>
      <c r="E463" s="278"/>
      <c r="F463" s="278"/>
      <c r="G463" s="278"/>
      <c r="H463" s="278"/>
      <c r="I463" s="278"/>
      <c r="J463" s="278"/>
      <c r="K463" s="278"/>
      <c r="L463" s="278"/>
      <c r="M463" s="278"/>
      <c r="N463" s="278"/>
      <c r="O463" s="278"/>
      <c r="P463" s="278"/>
      <c r="Q463" s="278"/>
      <c r="R463" s="278"/>
      <c r="S463" s="278"/>
      <c r="T463" s="278"/>
      <c r="U463" s="278"/>
      <c r="V463" s="278"/>
      <c r="W463" s="278"/>
      <c r="X463" s="278"/>
      <c r="Y463" s="278"/>
      <c r="Z463" s="278"/>
    </row>
    <row r="464">
      <c r="A464" s="278"/>
      <c r="B464" s="278"/>
      <c r="C464" s="278"/>
      <c r="D464" s="278"/>
      <c r="E464" s="278"/>
      <c r="F464" s="278"/>
      <c r="G464" s="278"/>
      <c r="H464" s="278"/>
      <c r="I464" s="278"/>
      <c r="J464" s="278"/>
      <c r="K464" s="278"/>
      <c r="L464" s="278"/>
      <c r="M464" s="278"/>
      <c r="N464" s="278"/>
      <c r="O464" s="278"/>
      <c r="P464" s="278"/>
      <c r="Q464" s="278"/>
      <c r="R464" s="278"/>
      <c r="S464" s="278"/>
      <c r="T464" s="278"/>
      <c r="U464" s="278"/>
      <c r="V464" s="278"/>
      <c r="W464" s="278"/>
      <c r="X464" s="278"/>
      <c r="Y464" s="278"/>
      <c r="Z464" s="278"/>
    </row>
    <row r="465">
      <c r="A465" s="278"/>
      <c r="B465" s="278"/>
      <c r="C465" s="278"/>
      <c r="D465" s="278"/>
      <c r="E465" s="278"/>
      <c r="F465" s="278"/>
      <c r="G465" s="278"/>
      <c r="H465" s="278"/>
      <c r="I465" s="278"/>
      <c r="J465" s="278"/>
      <c r="K465" s="278"/>
      <c r="L465" s="278"/>
      <c r="M465" s="278"/>
      <c r="N465" s="278"/>
      <c r="O465" s="278"/>
      <c r="P465" s="278"/>
      <c r="Q465" s="278"/>
      <c r="R465" s="278"/>
      <c r="S465" s="278"/>
      <c r="T465" s="278"/>
      <c r="U465" s="278"/>
      <c r="V465" s="278"/>
      <c r="W465" s="278"/>
      <c r="X465" s="278"/>
      <c r="Y465" s="278"/>
      <c r="Z465" s="278"/>
    </row>
    <row r="466">
      <c r="A466" s="278"/>
      <c r="B466" s="278"/>
      <c r="C466" s="278"/>
      <c r="D466" s="278"/>
      <c r="E466" s="278"/>
      <c r="F466" s="278"/>
      <c r="G466" s="278"/>
      <c r="H466" s="278"/>
      <c r="I466" s="278"/>
      <c r="J466" s="278"/>
      <c r="K466" s="278"/>
      <c r="L466" s="278"/>
      <c r="M466" s="278"/>
      <c r="N466" s="278"/>
      <c r="O466" s="278"/>
      <c r="P466" s="278"/>
      <c r="Q466" s="278"/>
      <c r="R466" s="278"/>
      <c r="S466" s="278"/>
      <c r="T466" s="278"/>
      <c r="U466" s="278"/>
      <c r="V466" s="278"/>
      <c r="W466" s="278"/>
      <c r="X466" s="278"/>
      <c r="Y466" s="278"/>
      <c r="Z466" s="278"/>
    </row>
    <row r="467">
      <c r="A467" s="278"/>
      <c r="B467" s="278"/>
      <c r="C467" s="278"/>
      <c r="D467" s="278"/>
      <c r="E467" s="278"/>
      <c r="F467" s="278"/>
      <c r="G467" s="278"/>
      <c r="H467" s="278"/>
      <c r="I467" s="278"/>
      <c r="J467" s="278"/>
      <c r="K467" s="278"/>
      <c r="L467" s="278"/>
      <c r="M467" s="278"/>
      <c r="N467" s="278"/>
      <c r="O467" s="278"/>
      <c r="P467" s="278"/>
      <c r="Q467" s="278"/>
      <c r="R467" s="278"/>
      <c r="S467" s="278"/>
      <c r="T467" s="278"/>
      <c r="U467" s="278"/>
      <c r="V467" s="278"/>
      <c r="W467" s="278"/>
      <c r="X467" s="278"/>
      <c r="Y467" s="278"/>
      <c r="Z467" s="278"/>
    </row>
    <row r="468">
      <c r="A468" s="278"/>
      <c r="B468" s="278"/>
      <c r="C468" s="278"/>
      <c r="D468" s="278"/>
      <c r="E468" s="278"/>
      <c r="F468" s="278"/>
      <c r="G468" s="278"/>
      <c r="H468" s="278"/>
      <c r="I468" s="278"/>
      <c r="J468" s="278"/>
      <c r="K468" s="278"/>
      <c r="L468" s="278"/>
      <c r="M468" s="278"/>
      <c r="N468" s="278"/>
      <c r="O468" s="278"/>
      <c r="P468" s="278"/>
      <c r="Q468" s="278"/>
      <c r="R468" s="278"/>
      <c r="S468" s="278"/>
      <c r="T468" s="278"/>
      <c r="U468" s="278"/>
      <c r="V468" s="278"/>
      <c r="W468" s="278"/>
      <c r="X468" s="278"/>
      <c r="Y468" s="278"/>
      <c r="Z468" s="278"/>
    </row>
    <row r="469">
      <c r="A469" s="278"/>
      <c r="B469" s="278"/>
      <c r="C469" s="278"/>
      <c r="D469" s="278"/>
      <c r="E469" s="278"/>
      <c r="F469" s="278"/>
      <c r="G469" s="278"/>
      <c r="H469" s="278"/>
      <c r="I469" s="278"/>
      <c r="J469" s="278"/>
      <c r="K469" s="278"/>
      <c r="L469" s="278"/>
      <c r="M469" s="278"/>
      <c r="N469" s="278"/>
      <c r="O469" s="278"/>
      <c r="P469" s="278"/>
      <c r="Q469" s="278"/>
      <c r="R469" s="278"/>
      <c r="S469" s="278"/>
      <c r="T469" s="278"/>
      <c r="U469" s="278"/>
      <c r="V469" s="278"/>
      <c r="W469" s="278"/>
      <c r="X469" s="278"/>
      <c r="Y469" s="278"/>
      <c r="Z469" s="278"/>
    </row>
    <row r="470">
      <c r="A470" s="278"/>
      <c r="B470" s="278"/>
      <c r="C470" s="278"/>
      <c r="D470" s="278"/>
      <c r="E470" s="278"/>
      <c r="F470" s="278"/>
      <c r="G470" s="278"/>
      <c r="H470" s="278"/>
      <c r="I470" s="278"/>
      <c r="J470" s="278"/>
      <c r="K470" s="278"/>
      <c r="L470" s="278"/>
      <c r="M470" s="278"/>
      <c r="N470" s="278"/>
      <c r="O470" s="278"/>
      <c r="P470" s="278"/>
      <c r="Q470" s="278"/>
      <c r="R470" s="278"/>
      <c r="S470" s="278"/>
      <c r="T470" s="278"/>
      <c r="U470" s="278"/>
      <c r="V470" s="278"/>
      <c r="W470" s="278"/>
      <c r="X470" s="278"/>
      <c r="Y470" s="278"/>
      <c r="Z470" s="278"/>
    </row>
    <row r="471">
      <c r="A471" s="278"/>
      <c r="B471" s="278"/>
      <c r="C471" s="278"/>
      <c r="D471" s="278"/>
      <c r="E471" s="278"/>
      <c r="F471" s="278"/>
      <c r="G471" s="278"/>
      <c r="H471" s="278"/>
      <c r="I471" s="278"/>
      <c r="J471" s="278"/>
      <c r="K471" s="278"/>
      <c r="L471" s="278"/>
      <c r="M471" s="278"/>
      <c r="N471" s="278"/>
      <c r="O471" s="278"/>
      <c r="P471" s="278"/>
      <c r="Q471" s="278"/>
      <c r="R471" s="278"/>
      <c r="S471" s="278"/>
      <c r="T471" s="278"/>
      <c r="U471" s="278"/>
      <c r="V471" s="278"/>
      <c r="W471" s="278"/>
      <c r="X471" s="278"/>
      <c r="Y471" s="278"/>
      <c r="Z471" s="278"/>
    </row>
    <row r="472">
      <c r="A472" s="278"/>
      <c r="B472" s="278"/>
      <c r="C472" s="278"/>
      <c r="D472" s="278"/>
      <c r="E472" s="278"/>
      <c r="F472" s="278"/>
      <c r="G472" s="278"/>
      <c r="H472" s="278"/>
      <c r="I472" s="278"/>
      <c r="J472" s="278"/>
      <c r="K472" s="278"/>
      <c r="L472" s="278"/>
      <c r="M472" s="278"/>
      <c r="N472" s="278"/>
      <c r="O472" s="278"/>
      <c r="P472" s="278"/>
      <c r="Q472" s="278"/>
      <c r="R472" s="278"/>
      <c r="S472" s="278"/>
      <c r="T472" s="278"/>
      <c r="U472" s="278"/>
      <c r="V472" s="278"/>
      <c r="W472" s="278"/>
      <c r="X472" s="278"/>
      <c r="Y472" s="278"/>
      <c r="Z472" s="278"/>
    </row>
    <row r="473">
      <c r="A473" s="278"/>
      <c r="B473" s="278"/>
      <c r="C473" s="278"/>
      <c r="D473" s="278"/>
      <c r="E473" s="278"/>
      <c r="F473" s="278"/>
      <c r="G473" s="278"/>
      <c r="H473" s="278"/>
      <c r="I473" s="278"/>
      <c r="J473" s="278"/>
      <c r="K473" s="278"/>
      <c r="L473" s="278"/>
      <c r="M473" s="278"/>
      <c r="N473" s="278"/>
      <c r="O473" s="278"/>
      <c r="P473" s="278"/>
      <c r="Q473" s="278"/>
      <c r="R473" s="278"/>
      <c r="S473" s="278"/>
      <c r="T473" s="278"/>
      <c r="U473" s="278"/>
      <c r="V473" s="278"/>
      <c r="W473" s="278"/>
      <c r="X473" s="278"/>
      <c r="Y473" s="278"/>
      <c r="Z473" s="278"/>
    </row>
    <row r="474">
      <c r="A474" s="278"/>
      <c r="B474" s="278"/>
      <c r="C474" s="278"/>
      <c r="D474" s="278"/>
      <c r="E474" s="278"/>
      <c r="F474" s="278"/>
      <c r="G474" s="278"/>
      <c r="H474" s="278"/>
      <c r="I474" s="278"/>
      <c r="J474" s="278"/>
      <c r="K474" s="278"/>
      <c r="L474" s="278"/>
      <c r="M474" s="278"/>
      <c r="N474" s="278"/>
      <c r="O474" s="278"/>
      <c r="P474" s="278"/>
      <c r="Q474" s="278"/>
      <c r="R474" s="278"/>
      <c r="S474" s="278"/>
      <c r="T474" s="278"/>
      <c r="U474" s="278"/>
      <c r="V474" s="278"/>
      <c r="W474" s="278"/>
      <c r="X474" s="278"/>
      <c r="Y474" s="278"/>
      <c r="Z474" s="278"/>
    </row>
    <row r="475">
      <c r="A475" s="278"/>
      <c r="B475" s="278"/>
      <c r="C475" s="278"/>
      <c r="D475" s="278"/>
      <c r="E475" s="278"/>
      <c r="F475" s="278"/>
      <c r="G475" s="278"/>
      <c r="H475" s="278"/>
      <c r="I475" s="278"/>
      <c r="J475" s="278"/>
      <c r="K475" s="278"/>
      <c r="L475" s="278"/>
      <c r="M475" s="278"/>
      <c r="N475" s="278"/>
      <c r="O475" s="278"/>
      <c r="P475" s="278"/>
      <c r="Q475" s="278"/>
      <c r="R475" s="278"/>
      <c r="S475" s="278"/>
      <c r="T475" s="278"/>
      <c r="U475" s="278"/>
      <c r="V475" s="278"/>
      <c r="W475" s="278"/>
      <c r="X475" s="278"/>
      <c r="Y475" s="278"/>
      <c r="Z475" s="278"/>
    </row>
    <row r="476">
      <c r="A476" s="278"/>
      <c r="B476" s="278"/>
      <c r="C476" s="278"/>
      <c r="D476" s="278"/>
      <c r="E476" s="278"/>
      <c r="F476" s="278"/>
      <c r="G476" s="278"/>
      <c r="H476" s="278"/>
      <c r="I476" s="278"/>
      <c r="J476" s="278"/>
      <c r="K476" s="278"/>
      <c r="L476" s="278"/>
      <c r="M476" s="278"/>
      <c r="N476" s="278"/>
      <c r="O476" s="278"/>
      <c r="P476" s="278"/>
      <c r="Q476" s="278"/>
      <c r="R476" s="278"/>
      <c r="S476" s="278"/>
      <c r="T476" s="278"/>
      <c r="U476" s="278"/>
      <c r="V476" s="278"/>
      <c r="W476" s="278"/>
      <c r="X476" s="278"/>
      <c r="Y476" s="278"/>
      <c r="Z476" s="278"/>
    </row>
    <row r="477">
      <c r="A477" s="278"/>
      <c r="B477" s="278"/>
      <c r="C477" s="278"/>
      <c r="D477" s="278"/>
      <c r="E477" s="278"/>
      <c r="F477" s="278"/>
      <c r="G477" s="278"/>
      <c r="H477" s="278"/>
      <c r="I477" s="278"/>
      <c r="J477" s="278"/>
      <c r="K477" s="278"/>
      <c r="L477" s="278"/>
      <c r="M477" s="278"/>
      <c r="N477" s="278"/>
      <c r="O477" s="278"/>
      <c r="P477" s="278"/>
      <c r="Q477" s="278"/>
      <c r="R477" s="278"/>
      <c r="S477" s="278"/>
      <c r="T477" s="278"/>
      <c r="U477" s="278"/>
      <c r="V477" s="278"/>
      <c r="W477" s="278"/>
      <c r="X477" s="278"/>
      <c r="Y477" s="278"/>
      <c r="Z477" s="278"/>
    </row>
    <row r="478">
      <c r="A478" s="278"/>
      <c r="B478" s="278"/>
      <c r="C478" s="278"/>
      <c r="D478" s="278"/>
      <c r="E478" s="278"/>
      <c r="F478" s="278"/>
      <c r="G478" s="278"/>
      <c r="H478" s="278"/>
      <c r="I478" s="278"/>
      <c r="J478" s="278"/>
      <c r="K478" s="278"/>
      <c r="L478" s="278"/>
      <c r="M478" s="278"/>
      <c r="N478" s="278"/>
      <c r="O478" s="278"/>
      <c r="P478" s="278"/>
      <c r="Q478" s="278"/>
      <c r="R478" s="278"/>
      <c r="S478" s="278"/>
      <c r="T478" s="278"/>
      <c r="U478" s="278"/>
      <c r="V478" s="278"/>
      <c r="W478" s="278"/>
      <c r="X478" s="278"/>
      <c r="Y478" s="278"/>
      <c r="Z478" s="278"/>
    </row>
    <row r="479">
      <c r="A479" s="278"/>
      <c r="B479" s="278"/>
      <c r="C479" s="278"/>
      <c r="D479" s="278"/>
      <c r="E479" s="278"/>
      <c r="F479" s="278"/>
      <c r="G479" s="278"/>
      <c r="H479" s="278"/>
      <c r="I479" s="278"/>
      <c r="J479" s="278"/>
      <c r="K479" s="278"/>
      <c r="L479" s="278"/>
      <c r="M479" s="278"/>
      <c r="N479" s="278"/>
      <c r="O479" s="278"/>
      <c r="P479" s="278"/>
      <c r="Q479" s="278"/>
      <c r="R479" s="278"/>
      <c r="S479" s="278"/>
      <c r="T479" s="278"/>
      <c r="U479" s="278"/>
      <c r="V479" s="278"/>
      <c r="W479" s="278"/>
      <c r="X479" s="278"/>
      <c r="Y479" s="278"/>
      <c r="Z479" s="278"/>
    </row>
    <row r="480">
      <c r="A480" s="278"/>
      <c r="B480" s="278"/>
      <c r="C480" s="278"/>
      <c r="D480" s="278"/>
      <c r="E480" s="278"/>
      <c r="F480" s="278"/>
      <c r="G480" s="278"/>
      <c r="H480" s="278"/>
      <c r="I480" s="278"/>
      <c r="J480" s="278"/>
      <c r="K480" s="278"/>
      <c r="L480" s="278"/>
      <c r="M480" s="278"/>
      <c r="N480" s="278"/>
      <c r="O480" s="278"/>
      <c r="P480" s="278"/>
      <c r="Q480" s="278"/>
      <c r="R480" s="278"/>
      <c r="S480" s="278"/>
      <c r="T480" s="278"/>
      <c r="U480" s="278"/>
      <c r="V480" s="278"/>
      <c r="W480" s="278"/>
      <c r="X480" s="278"/>
      <c r="Y480" s="278"/>
      <c r="Z480" s="278"/>
    </row>
    <row r="481">
      <c r="A481" s="278"/>
      <c r="B481" s="278"/>
      <c r="C481" s="278"/>
      <c r="D481" s="278"/>
      <c r="E481" s="278"/>
      <c r="F481" s="278"/>
      <c r="G481" s="278"/>
      <c r="H481" s="278"/>
      <c r="I481" s="278"/>
      <c r="J481" s="278"/>
      <c r="K481" s="278"/>
      <c r="L481" s="278"/>
      <c r="M481" s="278"/>
      <c r="N481" s="278"/>
      <c r="O481" s="278"/>
      <c r="P481" s="278"/>
      <c r="Q481" s="278"/>
      <c r="R481" s="278"/>
      <c r="S481" s="278"/>
      <c r="T481" s="278"/>
      <c r="U481" s="278"/>
      <c r="V481" s="278"/>
      <c r="W481" s="278"/>
      <c r="X481" s="278"/>
      <c r="Y481" s="278"/>
      <c r="Z481" s="278"/>
    </row>
    <row r="482">
      <c r="A482" s="278"/>
      <c r="B482" s="278"/>
      <c r="C482" s="278"/>
      <c r="D482" s="278"/>
      <c r="E482" s="278"/>
      <c r="F482" s="278"/>
      <c r="G482" s="278"/>
      <c r="H482" s="278"/>
      <c r="I482" s="278"/>
      <c r="J482" s="278"/>
      <c r="K482" s="278"/>
      <c r="L482" s="278"/>
      <c r="M482" s="278"/>
      <c r="N482" s="278"/>
      <c r="O482" s="278"/>
      <c r="P482" s="278"/>
      <c r="Q482" s="278"/>
      <c r="R482" s="278"/>
      <c r="S482" s="278"/>
      <c r="T482" s="278"/>
      <c r="U482" s="278"/>
      <c r="V482" s="278"/>
      <c r="W482" s="278"/>
      <c r="X482" s="278"/>
      <c r="Y482" s="278"/>
      <c r="Z482" s="278"/>
    </row>
    <row r="483">
      <c r="A483" s="278"/>
      <c r="B483" s="278"/>
      <c r="C483" s="278"/>
      <c r="D483" s="278"/>
      <c r="E483" s="278"/>
      <c r="F483" s="278"/>
      <c r="G483" s="278"/>
      <c r="H483" s="278"/>
      <c r="I483" s="278"/>
      <c r="J483" s="278"/>
      <c r="K483" s="278"/>
      <c r="L483" s="278"/>
      <c r="M483" s="278"/>
      <c r="N483" s="278"/>
      <c r="O483" s="278"/>
      <c r="P483" s="278"/>
      <c r="Q483" s="278"/>
      <c r="R483" s="278"/>
      <c r="S483" s="278"/>
      <c r="T483" s="278"/>
      <c r="U483" s="278"/>
      <c r="V483" s="278"/>
      <c r="W483" s="278"/>
      <c r="X483" s="278"/>
      <c r="Y483" s="278"/>
      <c r="Z483" s="278"/>
    </row>
    <row r="484">
      <c r="A484" s="278"/>
      <c r="B484" s="278"/>
      <c r="C484" s="278"/>
      <c r="D484" s="278"/>
      <c r="E484" s="278"/>
      <c r="F484" s="278"/>
      <c r="G484" s="278"/>
      <c r="H484" s="278"/>
      <c r="I484" s="278"/>
      <c r="J484" s="278"/>
      <c r="K484" s="278"/>
      <c r="L484" s="278"/>
      <c r="M484" s="278"/>
      <c r="N484" s="278"/>
      <c r="O484" s="278"/>
      <c r="P484" s="278"/>
      <c r="Q484" s="278"/>
      <c r="R484" s="278"/>
      <c r="S484" s="278"/>
      <c r="T484" s="278"/>
      <c r="U484" s="278"/>
      <c r="V484" s="278"/>
      <c r="W484" s="278"/>
      <c r="X484" s="278"/>
      <c r="Y484" s="278"/>
      <c r="Z484" s="278"/>
    </row>
    <row r="485">
      <c r="A485" s="278"/>
      <c r="B485" s="278"/>
      <c r="C485" s="278"/>
      <c r="D485" s="278"/>
      <c r="E485" s="278"/>
      <c r="F485" s="278"/>
      <c r="G485" s="278"/>
      <c r="H485" s="278"/>
      <c r="I485" s="278"/>
      <c r="J485" s="278"/>
      <c r="K485" s="278"/>
      <c r="L485" s="278"/>
      <c r="M485" s="278"/>
      <c r="N485" s="278"/>
      <c r="O485" s="278"/>
      <c r="P485" s="278"/>
      <c r="Q485" s="278"/>
      <c r="R485" s="278"/>
      <c r="S485" s="278"/>
      <c r="T485" s="278"/>
      <c r="U485" s="278"/>
      <c r="V485" s="278"/>
      <c r="W485" s="278"/>
      <c r="X485" s="278"/>
      <c r="Y485" s="278"/>
      <c r="Z485" s="278"/>
    </row>
    <row r="486">
      <c r="A486" s="278"/>
      <c r="B486" s="278"/>
      <c r="C486" s="278"/>
      <c r="D486" s="278"/>
      <c r="E486" s="278"/>
      <c r="F486" s="278"/>
      <c r="G486" s="278"/>
      <c r="H486" s="278"/>
      <c r="I486" s="278"/>
      <c r="J486" s="278"/>
      <c r="K486" s="278"/>
      <c r="L486" s="278"/>
      <c r="M486" s="278"/>
      <c r="N486" s="278"/>
      <c r="O486" s="278"/>
      <c r="P486" s="278"/>
      <c r="Q486" s="278"/>
      <c r="R486" s="278"/>
      <c r="S486" s="278"/>
      <c r="T486" s="278"/>
      <c r="U486" s="278"/>
      <c r="V486" s="278"/>
      <c r="W486" s="278"/>
      <c r="X486" s="278"/>
      <c r="Y486" s="278"/>
      <c r="Z486" s="278"/>
    </row>
    <row r="487">
      <c r="A487" s="278"/>
      <c r="B487" s="278"/>
      <c r="C487" s="278"/>
      <c r="D487" s="278"/>
      <c r="E487" s="278"/>
      <c r="F487" s="278"/>
      <c r="G487" s="278"/>
      <c r="H487" s="278"/>
      <c r="I487" s="278"/>
      <c r="J487" s="278"/>
      <c r="K487" s="278"/>
      <c r="L487" s="278"/>
      <c r="M487" s="278"/>
      <c r="N487" s="278"/>
      <c r="O487" s="278"/>
      <c r="P487" s="278"/>
      <c r="Q487" s="278"/>
      <c r="R487" s="278"/>
      <c r="S487" s="278"/>
      <c r="T487" s="278"/>
      <c r="U487" s="278"/>
      <c r="V487" s="278"/>
      <c r="W487" s="278"/>
      <c r="X487" s="278"/>
      <c r="Y487" s="278"/>
      <c r="Z487" s="278"/>
    </row>
    <row r="488">
      <c r="A488" s="278"/>
      <c r="B488" s="278"/>
      <c r="C488" s="278"/>
      <c r="D488" s="278"/>
      <c r="E488" s="278"/>
      <c r="F488" s="278"/>
      <c r="G488" s="278"/>
      <c r="H488" s="278"/>
      <c r="I488" s="278"/>
      <c r="J488" s="278"/>
      <c r="K488" s="278"/>
      <c r="L488" s="278"/>
      <c r="M488" s="278"/>
      <c r="N488" s="278"/>
      <c r="O488" s="278"/>
      <c r="P488" s="278"/>
      <c r="Q488" s="278"/>
      <c r="R488" s="278"/>
      <c r="S488" s="278"/>
      <c r="T488" s="278"/>
      <c r="U488" s="278"/>
      <c r="V488" s="278"/>
      <c r="W488" s="278"/>
      <c r="X488" s="278"/>
      <c r="Y488" s="278"/>
      <c r="Z488" s="278"/>
    </row>
    <row r="489">
      <c r="A489" s="278"/>
      <c r="B489" s="278"/>
      <c r="C489" s="278"/>
      <c r="D489" s="278"/>
      <c r="E489" s="278"/>
      <c r="F489" s="278"/>
      <c r="G489" s="278"/>
      <c r="H489" s="278"/>
      <c r="I489" s="278"/>
      <c r="J489" s="278"/>
      <c r="K489" s="278"/>
      <c r="L489" s="278"/>
      <c r="M489" s="278"/>
      <c r="N489" s="278"/>
      <c r="O489" s="278"/>
      <c r="P489" s="278"/>
      <c r="Q489" s="278"/>
      <c r="R489" s="278"/>
      <c r="S489" s="278"/>
      <c r="T489" s="278"/>
      <c r="U489" s="278"/>
      <c r="V489" s="278"/>
      <c r="W489" s="278"/>
      <c r="X489" s="278"/>
      <c r="Y489" s="278"/>
      <c r="Z489" s="278"/>
    </row>
    <row r="490">
      <c r="A490" s="278"/>
      <c r="B490" s="278"/>
      <c r="C490" s="278"/>
      <c r="D490" s="278"/>
      <c r="E490" s="278"/>
      <c r="F490" s="278"/>
      <c r="G490" s="278"/>
      <c r="H490" s="278"/>
      <c r="I490" s="278"/>
      <c r="J490" s="278"/>
      <c r="K490" s="278"/>
      <c r="L490" s="278"/>
      <c r="M490" s="278"/>
      <c r="N490" s="278"/>
      <c r="O490" s="278"/>
      <c r="P490" s="278"/>
      <c r="Q490" s="278"/>
      <c r="R490" s="278"/>
      <c r="S490" s="278"/>
      <c r="T490" s="278"/>
      <c r="U490" s="278"/>
      <c r="V490" s="278"/>
      <c r="W490" s="278"/>
      <c r="X490" s="278"/>
      <c r="Y490" s="278"/>
      <c r="Z490" s="278"/>
    </row>
    <row r="491">
      <c r="A491" s="278"/>
      <c r="B491" s="278"/>
      <c r="C491" s="278"/>
      <c r="D491" s="278"/>
      <c r="E491" s="278"/>
      <c r="F491" s="278"/>
      <c r="G491" s="278"/>
      <c r="H491" s="278"/>
      <c r="I491" s="278"/>
      <c r="J491" s="278"/>
      <c r="K491" s="278"/>
      <c r="L491" s="278"/>
      <c r="M491" s="278"/>
      <c r="N491" s="278"/>
      <c r="O491" s="278"/>
      <c r="P491" s="278"/>
      <c r="Q491" s="278"/>
      <c r="R491" s="278"/>
      <c r="S491" s="278"/>
      <c r="T491" s="278"/>
      <c r="U491" s="278"/>
      <c r="V491" s="278"/>
      <c r="W491" s="278"/>
      <c r="X491" s="278"/>
      <c r="Y491" s="278"/>
      <c r="Z491" s="278"/>
    </row>
    <row r="492">
      <c r="A492" s="278"/>
      <c r="B492" s="278"/>
      <c r="C492" s="278"/>
      <c r="D492" s="278"/>
      <c r="E492" s="278"/>
      <c r="F492" s="278"/>
      <c r="G492" s="278"/>
      <c r="H492" s="278"/>
      <c r="I492" s="278"/>
      <c r="J492" s="278"/>
      <c r="K492" s="278"/>
      <c r="L492" s="278"/>
      <c r="M492" s="278"/>
      <c r="N492" s="278"/>
      <c r="O492" s="278"/>
      <c r="P492" s="278"/>
      <c r="Q492" s="278"/>
      <c r="R492" s="278"/>
      <c r="S492" s="278"/>
      <c r="T492" s="278"/>
      <c r="U492" s="278"/>
      <c r="V492" s="278"/>
      <c r="W492" s="278"/>
      <c r="X492" s="278"/>
      <c r="Y492" s="278"/>
      <c r="Z492" s="278"/>
    </row>
    <row r="493">
      <c r="A493" s="278"/>
      <c r="B493" s="278"/>
      <c r="C493" s="278"/>
      <c r="D493" s="278"/>
      <c r="E493" s="278"/>
      <c r="F493" s="278"/>
      <c r="G493" s="278"/>
      <c r="H493" s="278"/>
      <c r="I493" s="278"/>
      <c r="J493" s="278"/>
      <c r="K493" s="278"/>
      <c r="L493" s="278"/>
      <c r="M493" s="278"/>
      <c r="N493" s="278"/>
      <c r="O493" s="278"/>
      <c r="P493" s="278"/>
      <c r="Q493" s="278"/>
      <c r="R493" s="278"/>
      <c r="S493" s="278"/>
      <c r="T493" s="278"/>
      <c r="U493" s="278"/>
      <c r="V493" s="278"/>
      <c r="W493" s="278"/>
      <c r="X493" s="278"/>
      <c r="Y493" s="278"/>
      <c r="Z493" s="278"/>
    </row>
    <row r="494">
      <c r="A494" s="278"/>
      <c r="B494" s="278"/>
      <c r="C494" s="278"/>
      <c r="D494" s="278"/>
      <c r="E494" s="278"/>
      <c r="F494" s="278"/>
      <c r="G494" s="278"/>
      <c r="H494" s="278"/>
      <c r="I494" s="278"/>
      <c r="J494" s="278"/>
      <c r="K494" s="278"/>
      <c r="L494" s="278"/>
      <c r="M494" s="278"/>
      <c r="N494" s="278"/>
      <c r="O494" s="278"/>
      <c r="P494" s="278"/>
      <c r="Q494" s="278"/>
      <c r="R494" s="278"/>
      <c r="S494" s="278"/>
      <c r="T494" s="278"/>
      <c r="U494" s="278"/>
      <c r="V494" s="278"/>
      <c r="W494" s="278"/>
      <c r="X494" s="278"/>
      <c r="Y494" s="278"/>
      <c r="Z494" s="278"/>
    </row>
    <row r="495">
      <c r="A495" s="278"/>
      <c r="B495" s="278"/>
      <c r="C495" s="278"/>
      <c r="D495" s="278"/>
      <c r="E495" s="278"/>
      <c r="F495" s="278"/>
      <c r="G495" s="278"/>
      <c r="H495" s="278"/>
      <c r="I495" s="278"/>
      <c r="J495" s="278"/>
      <c r="K495" s="278"/>
      <c r="L495" s="278"/>
      <c r="M495" s="278"/>
      <c r="N495" s="278"/>
      <c r="O495" s="278"/>
      <c r="P495" s="278"/>
      <c r="Q495" s="278"/>
      <c r="R495" s="278"/>
      <c r="S495" s="278"/>
      <c r="T495" s="278"/>
      <c r="U495" s="278"/>
      <c r="V495" s="278"/>
      <c r="W495" s="278"/>
      <c r="X495" s="278"/>
      <c r="Y495" s="278"/>
      <c r="Z495" s="278"/>
    </row>
    <row r="496">
      <c r="A496" s="278"/>
      <c r="B496" s="278"/>
      <c r="C496" s="278"/>
      <c r="D496" s="278"/>
      <c r="E496" s="278"/>
      <c r="F496" s="278"/>
      <c r="G496" s="278"/>
      <c r="H496" s="278"/>
      <c r="I496" s="278"/>
      <c r="J496" s="278"/>
      <c r="K496" s="278"/>
      <c r="L496" s="278"/>
      <c r="M496" s="278"/>
      <c r="N496" s="278"/>
      <c r="O496" s="278"/>
      <c r="P496" s="278"/>
      <c r="Q496" s="278"/>
      <c r="R496" s="278"/>
      <c r="S496" s="278"/>
      <c r="T496" s="278"/>
      <c r="U496" s="278"/>
      <c r="V496" s="278"/>
      <c r="W496" s="278"/>
      <c r="X496" s="278"/>
      <c r="Y496" s="278"/>
      <c r="Z496" s="278"/>
    </row>
    <row r="497">
      <c r="A497" s="278"/>
      <c r="B497" s="278"/>
      <c r="C497" s="278"/>
      <c r="D497" s="278"/>
      <c r="E497" s="278"/>
      <c r="F497" s="278"/>
      <c r="G497" s="278"/>
      <c r="H497" s="278"/>
      <c r="I497" s="278"/>
      <c r="J497" s="278"/>
      <c r="K497" s="278"/>
      <c r="L497" s="278"/>
      <c r="M497" s="278"/>
      <c r="N497" s="278"/>
      <c r="O497" s="278"/>
      <c r="P497" s="278"/>
      <c r="Q497" s="278"/>
      <c r="R497" s="278"/>
      <c r="S497" s="278"/>
      <c r="T497" s="278"/>
      <c r="U497" s="278"/>
      <c r="V497" s="278"/>
      <c r="W497" s="278"/>
      <c r="X497" s="278"/>
      <c r="Y497" s="278"/>
      <c r="Z497" s="278"/>
    </row>
    <row r="498">
      <c r="A498" s="278"/>
      <c r="B498" s="278"/>
      <c r="C498" s="278"/>
      <c r="D498" s="278"/>
      <c r="E498" s="278"/>
      <c r="F498" s="278"/>
      <c r="G498" s="278"/>
      <c r="H498" s="278"/>
      <c r="I498" s="278"/>
      <c r="J498" s="278"/>
      <c r="K498" s="278"/>
      <c r="L498" s="278"/>
      <c r="M498" s="278"/>
      <c r="N498" s="278"/>
      <c r="O498" s="278"/>
      <c r="P498" s="278"/>
      <c r="Q498" s="278"/>
      <c r="R498" s="278"/>
      <c r="S498" s="278"/>
      <c r="T498" s="278"/>
      <c r="U498" s="278"/>
      <c r="V498" s="278"/>
      <c r="W498" s="278"/>
      <c r="X498" s="278"/>
      <c r="Y498" s="278"/>
      <c r="Z498" s="278"/>
    </row>
    <row r="499">
      <c r="A499" s="278"/>
      <c r="B499" s="278"/>
      <c r="C499" s="278"/>
      <c r="D499" s="278"/>
      <c r="E499" s="278"/>
      <c r="F499" s="278"/>
      <c r="G499" s="278"/>
      <c r="H499" s="278"/>
      <c r="I499" s="278"/>
      <c r="J499" s="278"/>
      <c r="K499" s="278"/>
      <c r="L499" s="278"/>
      <c r="M499" s="278"/>
      <c r="N499" s="278"/>
      <c r="O499" s="278"/>
      <c r="P499" s="278"/>
      <c r="Q499" s="278"/>
      <c r="R499" s="278"/>
      <c r="S499" s="278"/>
      <c r="T499" s="278"/>
      <c r="U499" s="278"/>
      <c r="V499" s="278"/>
      <c r="W499" s="278"/>
      <c r="X499" s="278"/>
      <c r="Y499" s="278"/>
      <c r="Z499" s="278"/>
    </row>
    <row r="500">
      <c r="A500" s="278"/>
      <c r="B500" s="278"/>
      <c r="C500" s="278"/>
      <c r="D500" s="278"/>
      <c r="E500" s="278"/>
      <c r="F500" s="278"/>
      <c r="G500" s="278"/>
      <c r="H500" s="278"/>
      <c r="I500" s="278"/>
      <c r="J500" s="278"/>
      <c r="K500" s="278"/>
      <c r="L500" s="278"/>
      <c r="M500" s="278"/>
      <c r="N500" s="278"/>
      <c r="O500" s="278"/>
      <c r="P500" s="278"/>
      <c r="Q500" s="278"/>
      <c r="R500" s="278"/>
      <c r="S500" s="278"/>
      <c r="T500" s="278"/>
      <c r="U500" s="278"/>
      <c r="V500" s="278"/>
      <c r="W500" s="278"/>
      <c r="X500" s="278"/>
      <c r="Y500" s="278"/>
      <c r="Z500" s="278"/>
    </row>
    <row r="501">
      <c r="A501" s="278"/>
      <c r="B501" s="278"/>
      <c r="C501" s="278"/>
      <c r="D501" s="278"/>
      <c r="E501" s="278"/>
      <c r="F501" s="278"/>
      <c r="G501" s="278"/>
      <c r="H501" s="278"/>
      <c r="I501" s="278"/>
      <c r="J501" s="278"/>
      <c r="K501" s="278"/>
      <c r="L501" s="278"/>
      <c r="M501" s="278"/>
      <c r="N501" s="278"/>
      <c r="O501" s="278"/>
      <c r="P501" s="278"/>
      <c r="Q501" s="278"/>
      <c r="R501" s="278"/>
      <c r="S501" s="278"/>
      <c r="T501" s="278"/>
      <c r="U501" s="278"/>
      <c r="V501" s="278"/>
      <c r="W501" s="278"/>
      <c r="X501" s="278"/>
      <c r="Y501" s="278"/>
      <c r="Z501" s="278"/>
    </row>
    <row r="502">
      <c r="A502" s="278"/>
      <c r="B502" s="278"/>
      <c r="C502" s="278"/>
      <c r="D502" s="278"/>
      <c r="E502" s="278"/>
      <c r="F502" s="278"/>
      <c r="G502" s="278"/>
      <c r="H502" s="278"/>
      <c r="I502" s="278"/>
      <c r="J502" s="278"/>
      <c r="K502" s="278"/>
      <c r="L502" s="278"/>
      <c r="M502" s="278"/>
      <c r="N502" s="278"/>
      <c r="O502" s="278"/>
      <c r="P502" s="278"/>
      <c r="Q502" s="278"/>
      <c r="R502" s="278"/>
      <c r="S502" s="278"/>
      <c r="T502" s="278"/>
      <c r="U502" s="278"/>
      <c r="V502" s="278"/>
      <c r="W502" s="278"/>
      <c r="X502" s="278"/>
      <c r="Y502" s="278"/>
      <c r="Z502" s="278"/>
    </row>
    <row r="503">
      <c r="A503" s="278"/>
      <c r="B503" s="278"/>
      <c r="C503" s="278"/>
      <c r="D503" s="278"/>
      <c r="E503" s="278"/>
      <c r="F503" s="278"/>
      <c r="G503" s="278"/>
      <c r="H503" s="278"/>
      <c r="I503" s="278"/>
      <c r="J503" s="278"/>
      <c r="K503" s="278"/>
      <c r="L503" s="278"/>
      <c r="M503" s="278"/>
      <c r="N503" s="278"/>
      <c r="O503" s="278"/>
      <c r="P503" s="278"/>
      <c r="Q503" s="278"/>
      <c r="R503" s="278"/>
      <c r="S503" s="278"/>
      <c r="T503" s="278"/>
      <c r="U503" s="278"/>
      <c r="V503" s="278"/>
      <c r="W503" s="278"/>
      <c r="X503" s="278"/>
      <c r="Y503" s="278"/>
      <c r="Z503" s="278"/>
    </row>
    <row r="504">
      <c r="A504" s="278"/>
      <c r="B504" s="278"/>
      <c r="C504" s="278"/>
      <c r="D504" s="278"/>
      <c r="E504" s="278"/>
      <c r="F504" s="278"/>
      <c r="G504" s="278"/>
      <c r="H504" s="278"/>
      <c r="I504" s="278"/>
      <c r="J504" s="278"/>
      <c r="K504" s="278"/>
      <c r="L504" s="278"/>
      <c r="M504" s="278"/>
      <c r="N504" s="278"/>
      <c r="O504" s="278"/>
      <c r="P504" s="278"/>
      <c r="Q504" s="278"/>
      <c r="R504" s="278"/>
      <c r="S504" s="278"/>
      <c r="T504" s="278"/>
      <c r="U504" s="278"/>
      <c r="V504" s="278"/>
      <c r="W504" s="278"/>
      <c r="X504" s="278"/>
      <c r="Y504" s="278"/>
      <c r="Z504" s="278"/>
    </row>
    <row r="505">
      <c r="A505" s="278"/>
      <c r="B505" s="278"/>
      <c r="C505" s="278"/>
      <c r="D505" s="278"/>
      <c r="E505" s="278"/>
      <c r="F505" s="278"/>
      <c r="G505" s="278"/>
      <c r="H505" s="278"/>
      <c r="I505" s="278"/>
      <c r="J505" s="278"/>
      <c r="K505" s="278"/>
      <c r="L505" s="278"/>
      <c r="M505" s="278"/>
      <c r="N505" s="278"/>
      <c r="O505" s="278"/>
      <c r="P505" s="278"/>
      <c r="Q505" s="278"/>
      <c r="R505" s="278"/>
      <c r="S505" s="278"/>
      <c r="T505" s="278"/>
      <c r="U505" s="278"/>
      <c r="V505" s="278"/>
      <c r="W505" s="278"/>
      <c r="X505" s="278"/>
      <c r="Y505" s="278"/>
      <c r="Z505" s="278"/>
    </row>
    <row r="506">
      <c r="A506" s="278"/>
      <c r="B506" s="278"/>
      <c r="C506" s="278"/>
      <c r="D506" s="278"/>
      <c r="E506" s="278"/>
      <c r="F506" s="278"/>
      <c r="G506" s="278"/>
      <c r="H506" s="278"/>
      <c r="I506" s="278"/>
      <c r="J506" s="278"/>
      <c r="K506" s="278"/>
      <c r="L506" s="278"/>
      <c r="M506" s="278"/>
      <c r="N506" s="278"/>
      <c r="O506" s="278"/>
      <c r="P506" s="278"/>
      <c r="Q506" s="278"/>
      <c r="R506" s="278"/>
      <c r="S506" s="278"/>
      <c r="T506" s="278"/>
      <c r="U506" s="278"/>
      <c r="V506" s="278"/>
      <c r="W506" s="278"/>
      <c r="X506" s="278"/>
      <c r="Y506" s="278"/>
      <c r="Z506" s="278"/>
    </row>
    <row r="507">
      <c r="A507" s="278"/>
      <c r="B507" s="278"/>
      <c r="C507" s="278"/>
      <c r="D507" s="278"/>
      <c r="E507" s="278"/>
      <c r="F507" s="278"/>
      <c r="G507" s="278"/>
      <c r="H507" s="278"/>
      <c r="I507" s="278"/>
      <c r="J507" s="278"/>
      <c r="K507" s="278"/>
      <c r="L507" s="278"/>
      <c r="M507" s="278"/>
      <c r="N507" s="278"/>
      <c r="O507" s="278"/>
      <c r="P507" s="278"/>
      <c r="Q507" s="278"/>
      <c r="R507" s="278"/>
      <c r="S507" s="278"/>
      <c r="T507" s="278"/>
      <c r="U507" s="278"/>
      <c r="V507" s="278"/>
      <c r="W507" s="278"/>
      <c r="X507" s="278"/>
      <c r="Y507" s="278"/>
      <c r="Z507" s="278"/>
    </row>
    <row r="508">
      <c r="A508" s="278"/>
      <c r="B508" s="278"/>
      <c r="C508" s="278"/>
      <c r="D508" s="278"/>
      <c r="E508" s="278"/>
      <c r="F508" s="278"/>
      <c r="G508" s="278"/>
      <c r="H508" s="278"/>
      <c r="I508" s="278"/>
      <c r="J508" s="278"/>
      <c r="K508" s="278"/>
      <c r="L508" s="278"/>
      <c r="M508" s="278"/>
      <c r="N508" s="278"/>
      <c r="O508" s="278"/>
      <c r="P508" s="278"/>
      <c r="Q508" s="278"/>
      <c r="R508" s="278"/>
      <c r="S508" s="278"/>
      <c r="T508" s="278"/>
      <c r="U508" s="278"/>
      <c r="V508" s="278"/>
      <c r="W508" s="278"/>
      <c r="X508" s="278"/>
      <c r="Y508" s="278"/>
      <c r="Z508" s="278"/>
    </row>
    <row r="509">
      <c r="A509" s="278"/>
      <c r="B509" s="278"/>
      <c r="C509" s="278"/>
      <c r="D509" s="278"/>
      <c r="E509" s="278"/>
      <c r="F509" s="278"/>
      <c r="G509" s="278"/>
      <c r="H509" s="278"/>
      <c r="I509" s="278"/>
      <c r="J509" s="278"/>
      <c r="K509" s="278"/>
      <c r="L509" s="278"/>
      <c r="M509" s="278"/>
      <c r="N509" s="278"/>
      <c r="O509" s="278"/>
      <c r="P509" s="278"/>
      <c r="Q509" s="278"/>
      <c r="R509" s="278"/>
      <c r="S509" s="278"/>
      <c r="T509" s="278"/>
      <c r="U509" s="278"/>
      <c r="V509" s="278"/>
      <c r="W509" s="278"/>
      <c r="X509" s="278"/>
      <c r="Y509" s="278"/>
      <c r="Z509" s="278"/>
    </row>
    <row r="510">
      <c r="A510" s="278"/>
      <c r="B510" s="278"/>
      <c r="C510" s="278"/>
      <c r="D510" s="278"/>
      <c r="E510" s="278"/>
      <c r="F510" s="278"/>
      <c r="G510" s="278"/>
      <c r="H510" s="278"/>
      <c r="I510" s="278"/>
      <c r="J510" s="278"/>
      <c r="K510" s="278"/>
      <c r="L510" s="278"/>
      <c r="M510" s="278"/>
      <c r="N510" s="278"/>
      <c r="O510" s="278"/>
      <c r="P510" s="278"/>
      <c r="Q510" s="278"/>
      <c r="R510" s="278"/>
      <c r="S510" s="278"/>
      <c r="T510" s="278"/>
      <c r="U510" s="278"/>
      <c r="V510" s="278"/>
      <c r="W510" s="278"/>
      <c r="X510" s="278"/>
      <c r="Y510" s="278"/>
      <c r="Z510" s="278"/>
    </row>
    <row r="511">
      <c r="A511" s="278"/>
      <c r="B511" s="278"/>
      <c r="C511" s="278"/>
      <c r="D511" s="278"/>
      <c r="E511" s="278"/>
      <c r="F511" s="278"/>
      <c r="G511" s="278"/>
      <c r="H511" s="278"/>
      <c r="I511" s="278"/>
      <c r="J511" s="278"/>
      <c r="K511" s="278"/>
      <c r="L511" s="278"/>
      <c r="M511" s="278"/>
      <c r="N511" s="278"/>
      <c r="O511" s="278"/>
      <c r="P511" s="278"/>
      <c r="Q511" s="278"/>
      <c r="R511" s="278"/>
      <c r="S511" s="278"/>
      <c r="T511" s="278"/>
      <c r="U511" s="278"/>
      <c r="V511" s="278"/>
      <c r="W511" s="278"/>
      <c r="X511" s="278"/>
      <c r="Y511" s="278"/>
      <c r="Z511" s="278"/>
    </row>
    <row r="512">
      <c r="A512" s="278"/>
      <c r="B512" s="278"/>
      <c r="C512" s="278"/>
      <c r="D512" s="278"/>
      <c r="E512" s="278"/>
      <c r="F512" s="278"/>
      <c r="G512" s="278"/>
      <c r="H512" s="278"/>
      <c r="I512" s="278"/>
      <c r="J512" s="278"/>
      <c r="K512" s="278"/>
      <c r="L512" s="278"/>
      <c r="M512" s="278"/>
      <c r="N512" s="278"/>
      <c r="O512" s="278"/>
      <c r="P512" s="278"/>
      <c r="Q512" s="278"/>
      <c r="R512" s="278"/>
      <c r="S512" s="278"/>
      <c r="T512" s="278"/>
      <c r="U512" s="278"/>
      <c r="V512" s="278"/>
      <c r="W512" s="278"/>
      <c r="X512" s="278"/>
      <c r="Y512" s="278"/>
      <c r="Z512" s="278"/>
    </row>
    <row r="513">
      <c r="A513" s="278"/>
      <c r="B513" s="278"/>
      <c r="C513" s="278"/>
      <c r="D513" s="278"/>
      <c r="E513" s="278"/>
      <c r="F513" s="278"/>
      <c r="G513" s="278"/>
      <c r="H513" s="278"/>
      <c r="I513" s="278"/>
      <c r="J513" s="278"/>
      <c r="K513" s="278"/>
      <c r="L513" s="278"/>
      <c r="M513" s="278"/>
      <c r="N513" s="278"/>
      <c r="O513" s="278"/>
      <c r="P513" s="278"/>
      <c r="Q513" s="278"/>
      <c r="R513" s="278"/>
      <c r="S513" s="278"/>
      <c r="T513" s="278"/>
      <c r="U513" s="278"/>
      <c r="V513" s="278"/>
      <c r="W513" s="278"/>
      <c r="X513" s="278"/>
      <c r="Y513" s="278"/>
      <c r="Z513" s="278"/>
    </row>
    <row r="514">
      <c r="A514" s="278"/>
      <c r="B514" s="278"/>
      <c r="C514" s="278"/>
      <c r="D514" s="278"/>
      <c r="E514" s="278"/>
      <c r="F514" s="278"/>
      <c r="G514" s="278"/>
      <c r="H514" s="278"/>
      <c r="I514" s="278"/>
      <c r="J514" s="278"/>
      <c r="K514" s="278"/>
      <c r="L514" s="278"/>
      <c r="M514" s="278"/>
      <c r="N514" s="278"/>
      <c r="O514" s="278"/>
      <c r="P514" s="278"/>
      <c r="Q514" s="278"/>
      <c r="R514" s="278"/>
      <c r="S514" s="278"/>
      <c r="T514" s="278"/>
      <c r="U514" s="278"/>
      <c r="V514" s="278"/>
      <c r="W514" s="278"/>
      <c r="X514" s="278"/>
      <c r="Y514" s="278"/>
      <c r="Z514" s="278"/>
    </row>
    <row r="515">
      <c r="A515" s="278"/>
      <c r="B515" s="278"/>
      <c r="C515" s="278"/>
      <c r="D515" s="278"/>
      <c r="E515" s="278"/>
      <c r="F515" s="278"/>
      <c r="G515" s="278"/>
      <c r="H515" s="278"/>
      <c r="I515" s="278"/>
      <c r="J515" s="278"/>
      <c r="K515" s="278"/>
      <c r="L515" s="278"/>
      <c r="M515" s="278"/>
      <c r="N515" s="278"/>
      <c r="O515" s="278"/>
      <c r="P515" s="278"/>
      <c r="Q515" s="278"/>
      <c r="R515" s="278"/>
      <c r="S515" s="278"/>
      <c r="T515" s="278"/>
      <c r="U515" s="278"/>
      <c r="V515" s="278"/>
      <c r="W515" s="278"/>
      <c r="X515" s="278"/>
      <c r="Y515" s="278"/>
      <c r="Z515" s="278"/>
    </row>
    <row r="516">
      <c r="A516" s="278"/>
      <c r="B516" s="278"/>
      <c r="C516" s="278"/>
      <c r="D516" s="278"/>
      <c r="E516" s="278"/>
      <c r="F516" s="278"/>
      <c r="G516" s="278"/>
      <c r="H516" s="278"/>
      <c r="I516" s="278"/>
      <c r="J516" s="278"/>
      <c r="K516" s="278"/>
      <c r="L516" s="278"/>
      <c r="M516" s="278"/>
      <c r="N516" s="278"/>
      <c r="O516" s="278"/>
      <c r="P516" s="278"/>
      <c r="Q516" s="278"/>
      <c r="R516" s="278"/>
      <c r="S516" s="278"/>
      <c r="T516" s="278"/>
      <c r="U516" s="278"/>
      <c r="V516" s="278"/>
      <c r="W516" s="278"/>
      <c r="X516" s="278"/>
      <c r="Y516" s="278"/>
      <c r="Z516" s="278"/>
    </row>
    <row r="517">
      <c r="A517" s="278"/>
      <c r="B517" s="278"/>
      <c r="C517" s="278"/>
      <c r="D517" s="278"/>
      <c r="E517" s="278"/>
      <c r="F517" s="278"/>
      <c r="G517" s="278"/>
      <c r="H517" s="278"/>
      <c r="I517" s="278"/>
      <c r="J517" s="278"/>
      <c r="K517" s="278"/>
      <c r="L517" s="278"/>
      <c r="M517" s="278"/>
      <c r="N517" s="278"/>
      <c r="O517" s="278"/>
      <c r="P517" s="278"/>
      <c r="Q517" s="278"/>
      <c r="R517" s="278"/>
      <c r="S517" s="278"/>
      <c r="T517" s="278"/>
      <c r="U517" s="278"/>
      <c r="V517" s="278"/>
      <c r="W517" s="278"/>
      <c r="X517" s="278"/>
      <c r="Y517" s="278"/>
      <c r="Z517" s="278"/>
    </row>
    <row r="518">
      <c r="A518" s="278"/>
      <c r="B518" s="278"/>
      <c r="C518" s="278"/>
      <c r="D518" s="278"/>
      <c r="E518" s="278"/>
      <c r="F518" s="278"/>
      <c r="G518" s="278"/>
      <c r="H518" s="278"/>
      <c r="I518" s="278"/>
      <c r="J518" s="278"/>
      <c r="K518" s="278"/>
      <c r="L518" s="278"/>
      <c r="M518" s="278"/>
      <c r="N518" s="278"/>
      <c r="O518" s="278"/>
      <c r="P518" s="278"/>
      <c r="Q518" s="278"/>
      <c r="R518" s="278"/>
      <c r="S518" s="278"/>
      <c r="T518" s="278"/>
      <c r="U518" s="278"/>
      <c r="V518" s="278"/>
      <c r="W518" s="278"/>
      <c r="X518" s="278"/>
      <c r="Y518" s="278"/>
      <c r="Z518" s="278"/>
    </row>
    <row r="519">
      <c r="A519" s="278"/>
      <c r="B519" s="278"/>
      <c r="C519" s="278"/>
      <c r="D519" s="278"/>
      <c r="E519" s="278"/>
      <c r="F519" s="278"/>
      <c r="G519" s="278"/>
      <c r="H519" s="278"/>
      <c r="I519" s="278"/>
      <c r="J519" s="278"/>
      <c r="K519" s="278"/>
      <c r="L519" s="278"/>
      <c r="M519" s="278"/>
      <c r="N519" s="278"/>
      <c r="O519" s="278"/>
      <c r="P519" s="278"/>
      <c r="Q519" s="278"/>
      <c r="R519" s="278"/>
      <c r="S519" s="278"/>
      <c r="T519" s="278"/>
      <c r="U519" s="278"/>
      <c r="V519" s="278"/>
      <c r="W519" s="278"/>
      <c r="X519" s="278"/>
      <c r="Y519" s="278"/>
      <c r="Z519" s="278"/>
    </row>
    <row r="520">
      <c r="A520" s="278"/>
      <c r="B520" s="278"/>
      <c r="C520" s="278"/>
      <c r="D520" s="278"/>
      <c r="E520" s="278"/>
      <c r="F520" s="278"/>
      <c r="G520" s="278"/>
      <c r="H520" s="278"/>
      <c r="I520" s="278"/>
      <c r="J520" s="278"/>
      <c r="K520" s="278"/>
      <c r="L520" s="278"/>
      <c r="M520" s="278"/>
      <c r="N520" s="278"/>
      <c r="O520" s="278"/>
      <c r="P520" s="278"/>
      <c r="Q520" s="278"/>
      <c r="R520" s="278"/>
      <c r="S520" s="278"/>
      <c r="T520" s="278"/>
      <c r="U520" s="278"/>
      <c r="V520" s="278"/>
      <c r="W520" s="278"/>
      <c r="X520" s="278"/>
      <c r="Y520" s="278"/>
      <c r="Z520" s="278"/>
    </row>
    <row r="521">
      <c r="A521" s="278"/>
      <c r="B521" s="278"/>
      <c r="C521" s="278"/>
      <c r="D521" s="278"/>
      <c r="E521" s="278"/>
      <c r="F521" s="278"/>
      <c r="G521" s="278"/>
      <c r="H521" s="278"/>
      <c r="I521" s="278"/>
      <c r="J521" s="278"/>
      <c r="K521" s="278"/>
      <c r="L521" s="278"/>
      <c r="M521" s="278"/>
      <c r="N521" s="278"/>
      <c r="O521" s="278"/>
      <c r="P521" s="278"/>
      <c r="Q521" s="278"/>
      <c r="R521" s="278"/>
      <c r="S521" s="278"/>
      <c r="T521" s="278"/>
      <c r="U521" s="278"/>
      <c r="V521" s="278"/>
      <c r="W521" s="278"/>
      <c r="X521" s="278"/>
      <c r="Y521" s="278"/>
      <c r="Z521" s="278"/>
    </row>
    <row r="522">
      <c r="A522" s="278"/>
      <c r="B522" s="278"/>
      <c r="C522" s="278"/>
      <c r="D522" s="278"/>
      <c r="E522" s="278"/>
      <c r="F522" s="278"/>
      <c r="G522" s="278"/>
      <c r="H522" s="278"/>
      <c r="I522" s="278"/>
      <c r="J522" s="278"/>
      <c r="K522" s="278"/>
      <c r="L522" s="278"/>
      <c r="M522" s="278"/>
      <c r="N522" s="278"/>
      <c r="O522" s="278"/>
      <c r="P522" s="278"/>
      <c r="Q522" s="278"/>
      <c r="R522" s="278"/>
      <c r="S522" s="278"/>
      <c r="T522" s="278"/>
      <c r="U522" s="278"/>
      <c r="V522" s="278"/>
      <c r="W522" s="278"/>
      <c r="X522" s="278"/>
      <c r="Y522" s="278"/>
      <c r="Z522" s="278"/>
    </row>
    <row r="523">
      <c r="A523" s="278"/>
      <c r="B523" s="278"/>
      <c r="C523" s="278"/>
      <c r="D523" s="278"/>
      <c r="E523" s="278"/>
      <c r="F523" s="278"/>
      <c r="G523" s="278"/>
      <c r="H523" s="278"/>
      <c r="I523" s="278"/>
      <c r="J523" s="278"/>
      <c r="K523" s="278"/>
      <c r="L523" s="278"/>
      <c r="M523" s="278"/>
      <c r="N523" s="278"/>
      <c r="O523" s="278"/>
      <c r="P523" s="278"/>
      <c r="Q523" s="278"/>
      <c r="R523" s="278"/>
      <c r="S523" s="278"/>
      <c r="T523" s="278"/>
      <c r="U523" s="278"/>
      <c r="V523" s="278"/>
      <c r="W523" s="278"/>
      <c r="X523" s="278"/>
      <c r="Y523" s="278"/>
      <c r="Z523" s="278"/>
    </row>
    <row r="524">
      <c r="A524" s="278"/>
      <c r="B524" s="278"/>
      <c r="C524" s="278"/>
      <c r="D524" s="278"/>
      <c r="E524" s="278"/>
      <c r="F524" s="278"/>
      <c r="G524" s="278"/>
      <c r="H524" s="278"/>
      <c r="I524" s="278"/>
      <c r="J524" s="278"/>
      <c r="K524" s="278"/>
      <c r="L524" s="278"/>
      <c r="M524" s="278"/>
      <c r="N524" s="278"/>
      <c r="O524" s="278"/>
      <c r="P524" s="278"/>
      <c r="Q524" s="278"/>
      <c r="R524" s="278"/>
      <c r="S524" s="278"/>
      <c r="T524" s="278"/>
      <c r="U524" s="278"/>
      <c r="V524" s="278"/>
      <c r="W524" s="278"/>
      <c r="X524" s="278"/>
      <c r="Y524" s="278"/>
      <c r="Z524" s="278"/>
    </row>
    <row r="525">
      <c r="A525" s="278"/>
      <c r="B525" s="278"/>
      <c r="C525" s="278"/>
      <c r="D525" s="278"/>
      <c r="E525" s="278"/>
      <c r="F525" s="278"/>
      <c r="G525" s="278"/>
      <c r="H525" s="278"/>
      <c r="I525" s="278"/>
      <c r="J525" s="278"/>
      <c r="K525" s="278"/>
      <c r="L525" s="278"/>
      <c r="M525" s="278"/>
      <c r="N525" s="278"/>
      <c r="O525" s="278"/>
      <c r="P525" s="278"/>
      <c r="Q525" s="278"/>
      <c r="R525" s="278"/>
      <c r="S525" s="278"/>
      <c r="T525" s="278"/>
      <c r="U525" s="278"/>
      <c r="V525" s="278"/>
      <c r="W525" s="278"/>
      <c r="X525" s="278"/>
      <c r="Y525" s="278"/>
      <c r="Z525" s="278"/>
    </row>
    <row r="526">
      <c r="A526" s="278"/>
      <c r="B526" s="278"/>
      <c r="C526" s="278"/>
      <c r="D526" s="278"/>
      <c r="E526" s="278"/>
      <c r="F526" s="278"/>
      <c r="G526" s="278"/>
      <c r="H526" s="278"/>
      <c r="I526" s="278"/>
      <c r="J526" s="278"/>
      <c r="K526" s="278"/>
      <c r="L526" s="278"/>
      <c r="M526" s="278"/>
      <c r="N526" s="278"/>
      <c r="O526" s="278"/>
      <c r="P526" s="278"/>
      <c r="Q526" s="278"/>
      <c r="R526" s="278"/>
      <c r="S526" s="278"/>
      <c r="T526" s="278"/>
      <c r="U526" s="278"/>
      <c r="V526" s="278"/>
      <c r="W526" s="278"/>
      <c r="X526" s="278"/>
      <c r="Y526" s="278"/>
      <c r="Z526" s="278"/>
    </row>
    <row r="527">
      <c r="A527" s="278"/>
      <c r="B527" s="278"/>
      <c r="C527" s="278"/>
      <c r="D527" s="278"/>
      <c r="E527" s="278"/>
      <c r="F527" s="278"/>
      <c r="G527" s="278"/>
      <c r="H527" s="278"/>
      <c r="I527" s="278"/>
      <c r="J527" s="278"/>
      <c r="K527" s="278"/>
      <c r="L527" s="278"/>
      <c r="M527" s="278"/>
      <c r="N527" s="278"/>
      <c r="O527" s="278"/>
      <c r="P527" s="278"/>
      <c r="Q527" s="278"/>
      <c r="R527" s="278"/>
      <c r="S527" s="278"/>
      <c r="T527" s="278"/>
      <c r="U527" s="278"/>
      <c r="V527" s="278"/>
      <c r="W527" s="278"/>
      <c r="X527" s="278"/>
      <c r="Y527" s="278"/>
      <c r="Z527" s="278"/>
    </row>
    <row r="528">
      <c r="A528" s="278"/>
      <c r="B528" s="278"/>
      <c r="C528" s="278"/>
      <c r="D528" s="278"/>
      <c r="E528" s="278"/>
      <c r="F528" s="278"/>
      <c r="G528" s="278"/>
      <c r="H528" s="278"/>
      <c r="I528" s="278"/>
      <c r="J528" s="278"/>
      <c r="K528" s="278"/>
      <c r="L528" s="278"/>
      <c r="M528" s="278"/>
      <c r="N528" s="278"/>
      <c r="O528" s="278"/>
      <c r="P528" s="278"/>
      <c r="Q528" s="278"/>
      <c r="R528" s="278"/>
      <c r="S528" s="278"/>
      <c r="T528" s="278"/>
      <c r="U528" s="278"/>
      <c r="V528" s="278"/>
      <c r="W528" s="278"/>
      <c r="X528" s="278"/>
      <c r="Y528" s="278"/>
      <c r="Z528" s="278"/>
    </row>
    <row r="529">
      <c r="A529" s="278"/>
      <c r="B529" s="278"/>
      <c r="C529" s="278"/>
      <c r="D529" s="278"/>
      <c r="E529" s="278"/>
      <c r="F529" s="278"/>
      <c r="G529" s="278"/>
      <c r="H529" s="278"/>
      <c r="I529" s="278"/>
      <c r="J529" s="278"/>
      <c r="K529" s="278"/>
      <c r="L529" s="278"/>
      <c r="M529" s="278"/>
      <c r="N529" s="278"/>
      <c r="O529" s="278"/>
      <c r="P529" s="278"/>
      <c r="Q529" s="278"/>
      <c r="R529" s="278"/>
      <c r="S529" s="278"/>
      <c r="T529" s="278"/>
      <c r="U529" s="278"/>
      <c r="V529" s="278"/>
      <c r="W529" s="278"/>
      <c r="X529" s="278"/>
      <c r="Y529" s="278"/>
      <c r="Z529" s="278"/>
    </row>
    <row r="530">
      <c r="A530" s="278"/>
      <c r="B530" s="278"/>
      <c r="C530" s="278"/>
      <c r="D530" s="278"/>
      <c r="E530" s="278"/>
      <c r="F530" s="278"/>
      <c r="G530" s="278"/>
      <c r="H530" s="278"/>
      <c r="I530" s="278"/>
      <c r="J530" s="278"/>
      <c r="K530" s="278"/>
      <c r="L530" s="278"/>
      <c r="M530" s="278"/>
      <c r="N530" s="278"/>
      <c r="O530" s="278"/>
      <c r="P530" s="278"/>
      <c r="Q530" s="278"/>
      <c r="R530" s="278"/>
      <c r="S530" s="278"/>
      <c r="T530" s="278"/>
      <c r="U530" s="278"/>
      <c r="V530" s="278"/>
      <c r="W530" s="278"/>
      <c r="X530" s="278"/>
      <c r="Y530" s="278"/>
      <c r="Z530" s="278"/>
    </row>
    <row r="531">
      <c r="A531" s="278"/>
      <c r="B531" s="278"/>
      <c r="C531" s="278"/>
      <c r="D531" s="278"/>
      <c r="E531" s="278"/>
      <c r="F531" s="278"/>
      <c r="G531" s="278"/>
      <c r="H531" s="278"/>
      <c r="I531" s="278"/>
      <c r="J531" s="278"/>
      <c r="K531" s="278"/>
      <c r="L531" s="278"/>
      <c r="M531" s="278"/>
      <c r="N531" s="278"/>
      <c r="O531" s="278"/>
      <c r="P531" s="278"/>
      <c r="Q531" s="278"/>
      <c r="R531" s="278"/>
      <c r="S531" s="278"/>
      <c r="T531" s="278"/>
      <c r="U531" s="278"/>
      <c r="V531" s="278"/>
      <c r="W531" s="278"/>
      <c r="X531" s="278"/>
      <c r="Y531" s="278"/>
      <c r="Z531" s="278"/>
    </row>
    <row r="532">
      <c r="A532" s="278"/>
      <c r="B532" s="278"/>
      <c r="C532" s="278"/>
      <c r="D532" s="278"/>
      <c r="E532" s="278"/>
      <c r="F532" s="278"/>
      <c r="G532" s="278"/>
      <c r="H532" s="278"/>
      <c r="I532" s="278"/>
      <c r="J532" s="278"/>
      <c r="K532" s="278"/>
      <c r="L532" s="278"/>
      <c r="M532" s="278"/>
      <c r="N532" s="278"/>
      <c r="O532" s="278"/>
      <c r="P532" s="278"/>
      <c r="Q532" s="278"/>
      <c r="R532" s="278"/>
      <c r="S532" s="278"/>
      <c r="T532" s="278"/>
      <c r="U532" s="278"/>
      <c r="V532" s="278"/>
      <c r="W532" s="278"/>
      <c r="X532" s="278"/>
      <c r="Y532" s="278"/>
      <c r="Z532" s="278"/>
    </row>
    <row r="533">
      <c r="A533" s="278"/>
      <c r="B533" s="278"/>
      <c r="C533" s="278"/>
      <c r="D533" s="278"/>
      <c r="E533" s="278"/>
      <c r="F533" s="278"/>
      <c r="G533" s="278"/>
      <c r="H533" s="278"/>
      <c r="I533" s="278"/>
      <c r="J533" s="278"/>
      <c r="K533" s="278"/>
      <c r="L533" s="278"/>
      <c r="M533" s="278"/>
      <c r="N533" s="278"/>
      <c r="O533" s="278"/>
      <c r="P533" s="278"/>
      <c r="Q533" s="278"/>
      <c r="R533" s="278"/>
      <c r="S533" s="278"/>
      <c r="T533" s="278"/>
      <c r="U533" s="278"/>
      <c r="V533" s="278"/>
      <c r="W533" s="278"/>
      <c r="X533" s="278"/>
      <c r="Y533" s="278"/>
      <c r="Z533" s="278"/>
    </row>
    <row r="534">
      <c r="A534" s="278"/>
      <c r="B534" s="278"/>
      <c r="C534" s="278"/>
      <c r="D534" s="278"/>
      <c r="E534" s="278"/>
      <c r="F534" s="278"/>
      <c r="G534" s="278"/>
      <c r="H534" s="278"/>
      <c r="I534" s="278"/>
      <c r="J534" s="278"/>
      <c r="K534" s="278"/>
      <c r="L534" s="278"/>
      <c r="M534" s="278"/>
      <c r="N534" s="278"/>
      <c r="O534" s="278"/>
      <c r="P534" s="278"/>
      <c r="Q534" s="278"/>
      <c r="R534" s="278"/>
      <c r="S534" s="278"/>
      <c r="T534" s="278"/>
      <c r="U534" s="278"/>
      <c r="V534" s="278"/>
      <c r="W534" s="278"/>
      <c r="X534" s="278"/>
      <c r="Y534" s="278"/>
      <c r="Z534" s="278"/>
    </row>
    <row r="535">
      <c r="A535" s="278"/>
      <c r="B535" s="278"/>
      <c r="C535" s="278"/>
      <c r="D535" s="278"/>
      <c r="E535" s="278"/>
      <c r="F535" s="278"/>
      <c r="G535" s="278"/>
      <c r="H535" s="278"/>
      <c r="I535" s="278"/>
      <c r="J535" s="278"/>
      <c r="K535" s="278"/>
      <c r="L535" s="278"/>
      <c r="M535" s="278"/>
      <c r="N535" s="278"/>
      <c r="O535" s="278"/>
      <c r="P535" s="278"/>
      <c r="Q535" s="278"/>
      <c r="R535" s="278"/>
      <c r="S535" s="278"/>
      <c r="T535" s="278"/>
      <c r="U535" s="278"/>
      <c r="V535" s="278"/>
      <c r="W535" s="278"/>
      <c r="X535" s="278"/>
      <c r="Y535" s="278"/>
      <c r="Z535" s="278"/>
    </row>
    <row r="536">
      <c r="A536" s="278"/>
      <c r="B536" s="278"/>
      <c r="C536" s="278"/>
      <c r="D536" s="278"/>
      <c r="E536" s="278"/>
      <c r="F536" s="278"/>
      <c r="G536" s="278"/>
      <c r="H536" s="278"/>
      <c r="I536" s="278"/>
      <c r="J536" s="278"/>
      <c r="K536" s="278"/>
      <c r="L536" s="278"/>
      <c r="M536" s="278"/>
      <c r="N536" s="278"/>
      <c r="O536" s="278"/>
      <c r="P536" s="278"/>
      <c r="Q536" s="278"/>
      <c r="R536" s="278"/>
      <c r="S536" s="278"/>
      <c r="T536" s="278"/>
      <c r="U536" s="278"/>
      <c r="V536" s="278"/>
      <c r="W536" s="278"/>
      <c r="X536" s="278"/>
      <c r="Y536" s="278"/>
      <c r="Z536" s="278"/>
    </row>
    <row r="537">
      <c r="A537" s="278"/>
      <c r="B537" s="278"/>
      <c r="C537" s="278"/>
      <c r="D537" s="278"/>
      <c r="E537" s="278"/>
      <c r="F537" s="278"/>
      <c r="G537" s="278"/>
      <c r="H537" s="278"/>
      <c r="I537" s="278"/>
      <c r="J537" s="278"/>
      <c r="K537" s="278"/>
      <c r="L537" s="278"/>
      <c r="M537" s="278"/>
      <c r="N537" s="278"/>
      <c r="O537" s="278"/>
      <c r="P537" s="278"/>
      <c r="Q537" s="278"/>
      <c r="R537" s="278"/>
      <c r="S537" s="278"/>
      <c r="T537" s="278"/>
      <c r="U537" s="278"/>
      <c r="V537" s="278"/>
      <c r="W537" s="278"/>
      <c r="X537" s="278"/>
      <c r="Y537" s="278"/>
      <c r="Z537" s="278"/>
    </row>
    <row r="538">
      <c r="A538" s="278"/>
      <c r="B538" s="278"/>
      <c r="C538" s="278"/>
      <c r="D538" s="278"/>
      <c r="E538" s="278"/>
      <c r="F538" s="278"/>
      <c r="G538" s="278"/>
      <c r="H538" s="278"/>
      <c r="I538" s="278"/>
      <c r="J538" s="278"/>
      <c r="K538" s="278"/>
      <c r="L538" s="278"/>
      <c r="M538" s="278"/>
      <c r="N538" s="278"/>
      <c r="O538" s="278"/>
      <c r="P538" s="278"/>
      <c r="Q538" s="278"/>
      <c r="R538" s="278"/>
      <c r="S538" s="278"/>
      <c r="T538" s="278"/>
      <c r="U538" s="278"/>
      <c r="V538" s="278"/>
      <c r="W538" s="278"/>
      <c r="X538" s="278"/>
      <c r="Y538" s="278"/>
      <c r="Z538" s="278"/>
    </row>
    <row r="539">
      <c r="A539" s="278"/>
      <c r="B539" s="278"/>
      <c r="C539" s="278"/>
      <c r="D539" s="278"/>
      <c r="E539" s="278"/>
      <c r="F539" s="278"/>
      <c r="G539" s="278"/>
      <c r="H539" s="278"/>
      <c r="I539" s="278"/>
      <c r="J539" s="278"/>
      <c r="K539" s="278"/>
      <c r="L539" s="278"/>
      <c r="M539" s="278"/>
      <c r="N539" s="278"/>
      <c r="O539" s="278"/>
      <c r="P539" s="278"/>
      <c r="Q539" s="278"/>
      <c r="R539" s="278"/>
      <c r="S539" s="278"/>
      <c r="T539" s="278"/>
      <c r="U539" s="278"/>
      <c r="V539" s="278"/>
      <c r="W539" s="278"/>
      <c r="X539" s="278"/>
      <c r="Y539" s="278"/>
      <c r="Z539" s="278"/>
    </row>
    <row r="540">
      <c r="A540" s="278"/>
      <c r="B540" s="278"/>
      <c r="C540" s="278"/>
      <c r="D540" s="278"/>
      <c r="E540" s="278"/>
      <c r="F540" s="278"/>
      <c r="G540" s="278"/>
      <c r="H540" s="278"/>
      <c r="I540" s="278"/>
      <c r="J540" s="278"/>
      <c r="K540" s="278"/>
      <c r="L540" s="278"/>
      <c r="M540" s="278"/>
      <c r="N540" s="278"/>
      <c r="O540" s="278"/>
      <c r="P540" s="278"/>
      <c r="Q540" s="278"/>
      <c r="R540" s="278"/>
      <c r="S540" s="278"/>
      <c r="T540" s="278"/>
      <c r="U540" s="278"/>
      <c r="V540" s="278"/>
      <c r="W540" s="278"/>
      <c r="X540" s="278"/>
      <c r="Y540" s="278"/>
      <c r="Z540" s="278"/>
    </row>
    <row r="541">
      <c r="A541" s="278"/>
      <c r="B541" s="278"/>
      <c r="C541" s="278"/>
      <c r="D541" s="278"/>
      <c r="E541" s="278"/>
      <c r="F541" s="278"/>
      <c r="G541" s="278"/>
      <c r="H541" s="278"/>
      <c r="I541" s="278"/>
      <c r="J541" s="278"/>
      <c r="K541" s="278"/>
      <c r="L541" s="278"/>
      <c r="M541" s="278"/>
      <c r="N541" s="278"/>
      <c r="O541" s="278"/>
      <c r="P541" s="278"/>
      <c r="Q541" s="278"/>
      <c r="R541" s="278"/>
      <c r="S541" s="278"/>
      <c r="T541" s="278"/>
      <c r="U541" s="278"/>
      <c r="V541" s="278"/>
      <c r="W541" s="278"/>
      <c r="X541" s="278"/>
      <c r="Y541" s="278"/>
      <c r="Z541" s="278"/>
    </row>
    <row r="542">
      <c r="A542" s="278"/>
      <c r="B542" s="278"/>
      <c r="C542" s="278"/>
      <c r="D542" s="278"/>
      <c r="E542" s="278"/>
      <c r="F542" s="278"/>
      <c r="G542" s="278"/>
      <c r="H542" s="278"/>
      <c r="I542" s="278"/>
      <c r="J542" s="278"/>
      <c r="K542" s="278"/>
      <c r="L542" s="278"/>
      <c r="M542" s="278"/>
      <c r="N542" s="278"/>
      <c r="O542" s="278"/>
      <c r="P542" s="278"/>
      <c r="Q542" s="278"/>
      <c r="R542" s="278"/>
      <c r="S542" s="278"/>
      <c r="T542" s="278"/>
      <c r="U542" s="278"/>
      <c r="V542" s="278"/>
      <c r="W542" s="278"/>
      <c r="X542" s="278"/>
      <c r="Y542" s="278"/>
      <c r="Z542" s="278"/>
    </row>
    <row r="543">
      <c r="A543" s="278"/>
      <c r="B543" s="278"/>
      <c r="C543" s="278"/>
      <c r="D543" s="278"/>
      <c r="E543" s="278"/>
      <c r="F543" s="278"/>
      <c r="G543" s="278"/>
      <c r="H543" s="278"/>
      <c r="I543" s="278"/>
      <c r="J543" s="278"/>
      <c r="K543" s="278"/>
      <c r="L543" s="278"/>
      <c r="M543" s="278"/>
      <c r="N543" s="278"/>
      <c r="O543" s="278"/>
      <c r="P543" s="278"/>
      <c r="Q543" s="278"/>
      <c r="R543" s="278"/>
      <c r="S543" s="278"/>
      <c r="T543" s="278"/>
      <c r="U543" s="278"/>
      <c r="V543" s="278"/>
      <c r="W543" s="278"/>
      <c r="X543" s="278"/>
      <c r="Y543" s="278"/>
      <c r="Z543" s="278"/>
    </row>
    <row r="544">
      <c r="A544" s="278"/>
      <c r="B544" s="278"/>
      <c r="C544" s="278"/>
      <c r="D544" s="278"/>
      <c r="E544" s="278"/>
      <c r="F544" s="278"/>
      <c r="G544" s="278"/>
      <c r="H544" s="278"/>
      <c r="I544" s="278"/>
      <c r="J544" s="278"/>
      <c r="K544" s="278"/>
      <c r="L544" s="278"/>
      <c r="M544" s="278"/>
      <c r="N544" s="278"/>
      <c r="O544" s="278"/>
      <c r="P544" s="278"/>
      <c r="Q544" s="278"/>
      <c r="R544" s="278"/>
      <c r="S544" s="278"/>
      <c r="T544" s="278"/>
      <c r="U544" s="278"/>
      <c r="V544" s="278"/>
      <c r="W544" s="278"/>
      <c r="X544" s="278"/>
      <c r="Y544" s="278"/>
      <c r="Z544" s="278"/>
    </row>
    <row r="545">
      <c r="A545" s="278"/>
      <c r="B545" s="278"/>
      <c r="C545" s="278"/>
      <c r="D545" s="278"/>
      <c r="E545" s="278"/>
      <c r="F545" s="278"/>
      <c r="G545" s="278"/>
      <c r="H545" s="278"/>
      <c r="I545" s="278"/>
      <c r="J545" s="278"/>
      <c r="K545" s="278"/>
      <c r="L545" s="278"/>
      <c r="M545" s="278"/>
      <c r="N545" s="278"/>
      <c r="O545" s="278"/>
      <c r="P545" s="278"/>
      <c r="Q545" s="278"/>
      <c r="R545" s="278"/>
      <c r="S545" s="278"/>
      <c r="T545" s="278"/>
      <c r="U545" s="278"/>
      <c r="V545" s="278"/>
      <c r="W545" s="278"/>
      <c r="X545" s="278"/>
      <c r="Y545" s="278"/>
      <c r="Z545" s="278"/>
    </row>
    <row r="546">
      <c r="A546" s="278"/>
      <c r="B546" s="278"/>
      <c r="C546" s="278"/>
      <c r="D546" s="278"/>
      <c r="E546" s="278"/>
      <c r="F546" s="278"/>
      <c r="G546" s="278"/>
      <c r="H546" s="278"/>
      <c r="I546" s="278"/>
      <c r="J546" s="278"/>
      <c r="K546" s="278"/>
      <c r="L546" s="278"/>
      <c r="M546" s="278"/>
      <c r="N546" s="278"/>
      <c r="O546" s="278"/>
      <c r="P546" s="278"/>
      <c r="Q546" s="278"/>
      <c r="R546" s="278"/>
      <c r="S546" s="278"/>
      <c r="T546" s="278"/>
      <c r="U546" s="278"/>
      <c r="V546" s="278"/>
      <c r="W546" s="278"/>
      <c r="X546" s="278"/>
      <c r="Y546" s="278"/>
      <c r="Z546" s="278"/>
    </row>
    <row r="547">
      <c r="A547" s="278"/>
      <c r="B547" s="278"/>
      <c r="C547" s="278"/>
      <c r="D547" s="278"/>
      <c r="E547" s="278"/>
      <c r="F547" s="278"/>
      <c r="G547" s="278"/>
      <c r="H547" s="278"/>
      <c r="I547" s="278"/>
      <c r="J547" s="278"/>
      <c r="K547" s="278"/>
      <c r="L547" s="278"/>
      <c r="M547" s="278"/>
      <c r="N547" s="278"/>
      <c r="O547" s="278"/>
      <c r="P547" s="278"/>
      <c r="Q547" s="278"/>
      <c r="R547" s="278"/>
      <c r="S547" s="278"/>
      <c r="T547" s="278"/>
      <c r="U547" s="278"/>
      <c r="V547" s="278"/>
      <c r="W547" s="278"/>
      <c r="X547" s="278"/>
      <c r="Y547" s="278"/>
      <c r="Z547" s="278"/>
    </row>
    <row r="548">
      <c r="A548" s="278"/>
      <c r="B548" s="278"/>
      <c r="C548" s="278"/>
      <c r="D548" s="278"/>
      <c r="E548" s="278"/>
      <c r="F548" s="278"/>
      <c r="G548" s="278"/>
      <c r="H548" s="278"/>
      <c r="I548" s="278"/>
      <c r="J548" s="278"/>
      <c r="K548" s="278"/>
      <c r="L548" s="278"/>
      <c r="M548" s="278"/>
      <c r="N548" s="278"/>
      <c r="O548" s="278"/>
      <c r="P548" s="278"/>
      <c r="Q548" s="278"/>
      <c r="R548" s="278"/>
      <c r="S548" s="278"/>
      <c r="T548" s="278"/>
      <c r="U548" s="278"/>
      <c r="V548" s="278"/>
      <c r="W548" s="278"/>
      <c r="X548" s="278"/>
      <c r="Y548" s="278"/>
      <c r="Z548" s="278"/>
    </row>
    <row r="549">
      <c r="A549" s="278"/>
      <c r="B549" s="278"/>
      <c r="C549" s="278"/>
      <c r="D549" s="278"/>
      <c r="E549" s="278"/>
      <c r="F549" s="278"/>
      <c r="G549" s="278"/>
      <c r="H549" s="278"/>
      <c r="I549" s="278"/>
      <c r="J549" s="278"/>
      <c r="K549" s="278"/>
      <c r="L549" s="278"/>
      <c r="M549" s="278"/>
      <c r="N549" s="278"/>
      <c r="O549" s="278"/>
      <c r="P549" s="278"/>
      <c r="Q549" s="278"/>
      <c r="R549" s="278"/>
      <c r="S549" s="278"/>
      <c r="T549" s="278"/>
      <c r="U549" s="278"/>
      <c r="V549" s="278"/>
      <c r="W549" s="278"/>
      <c r="X549" s="278"/>
      <c r="Y549" s="278"/>
      <c r="Z549" s="278"/>
    </row>
    <row r="550">
      <c r="A550" s="278"/>
      <c r="B550" s="278"/>
      <c r="C550" s="278"/>
      <c r="D550" s="278"/>
      <c r="E550" s="278"/>
      <c r="F550" s="278"/>
      <c r="G550" s="278"/>
      <c r="H550" s="278"/>
      <c r="I550" s="278"/>
      <c r="J550" s="278"/>
      <c r="K550" s="278"/>
      <c r="L550" s="278"/>
      <c r="M550" s="278"/>
      <c r="N550" s="278"/>
      <c r="O550" s="278"/>
      <c r="P550" s="278"/>
      <c r="Q550" s="278"/>
      <c r="R550" s="278"/>
      <c r="S550" s="278"/>
      <c r="T550" s="278"/>
      <c r="U550" s="278"/>
      <c r="V550" s="278"/>
      <c r="W550" s="278"/>
      <c r="X550" s="278"/>
      <c r="Y550" s="278"/>
      <c r="Z550" s="278"/>
    </row>
    <row r="551">
      <c r="A551" s="278"/>
      <c r="B551" s="278"/>
      <c r="C551" s="278"/>
      <c r="D551" s="278"/>
      <c r="E551" s="278"/>
      <c r="F551" s="278"/>
      <c r="G551" s="278"/>
      <c r="H551" s="278"/>
      <c r="I551" s="278"/>
      <c r="J551" s="278"/>
      <c r="K551" s="278"/>
      <c r="L551" s="278"/>
      <c r="M551" s="278"/>
      <c r="N551" s="278"/>
      <c r="O551" s="278"/>
      <c r="P551" s="278"/>
      <c r="Q551" s="278"/>
      <c r="R551" s="278"/>
      <c r="S551" s="278"/>
      <c r="T551" s="278"/>
      <c r="U551" s="278"/>
      <c r="V551" s="278"/>
      <c r="W551" s="278"/>
      <c r="X551" s="278"/>
      <c r="Y551" s="278"/>
      <c r="Z551" s="278"/>
    </row>
    <row r="552">
      <c r="A552" s="278"/>
      <c r="B552" s="278"/>
      <c r="C552" s="278"/>
      <c r="D552" s="278"/>
      <c r="E552" s="278"/>
      <c r="F552" s="278"/>
      <c r="G552" s="278"/>
      <c r="H552" s="278"/>
      <c r="I552" s="278"/>
      <c r="J552" s="278"/>
      <c r="K552" s="278"/>
      <c r="L552" s="278"/>
      <c r="M552" s="278"/>
      <c r="N552" s="278"/>
      <c r="O552" s="278"/>
      <c r="P552" s="278"/>
      <c r="Q552" s="278"/>
      <c r="R552" s="278"/>
      <c r="S552" s="278"/>
      <c r="T552" s="278"/>
      <c r="U552" s="278"/>
      <c r="V552" s="278"/>
      <c r="W552" s="278"/>
      <c r="X552" s="278"/>
      <c r="Y552" s="278"/>
      <c r="Z552" s="278"/>
    </row>
    <row r="553">
      <c r="A553" s="278"/>
      <c r="B553" s="278"/>
      <c r="C553" s="278"/>
      <c r="D553" s="278"/>
      <c r="E553" s="278"/>
      <c r="F553" s="278"/>
      <c r="G553" s="278"/>
      <c r="H553" s="278"/>
      <c r="I553" s="278"/>
      <c r="J553" s="278"/>
      <c r="K553" s="278"/>
      <c r="L553" s="278"/>
      <c r="M553" s="278"/>
      <c r="N553" s="278"/>
      <c r="O553" s="278"/>
      <c r="P553" s="278"/>
      <c r="Q553" s="278"/>
      <c r="R553" s="278"/>
      <c r="S553" s="278"/>
      <c r="T553" s="278"/>
      <c r="U553" s="278"/>
      <c r="V553" s="278"/>
      <c r="W553" s="278"/>
      <c r="X553" s="278"/>
      <c r="Y553" s="278"/>
      <c r="Z553" s="278"/>
    </row>
    <row r="554">
      <c r="A554" s="278"/>
      <c r="B554" s="278"/>
      <c r="C554" s="278"/>
      <c r="D554" s="278"/>
      <c r="E554" s="278"/>
      <c r="F554" s="278"/>
      <c r="G554" s="278"/>
      <c r="H554" s="278"/>
      <c r="I554" s="278"/>
      <c r="J554" s="278"/>
      <c r="K554" s="278"/>
      <c r="L554" s="278"/>
      <c r="M554" s="278"/>
      <c r="N554" s="278"/>
      <c r="O554" s="278"/>
      <c r="P554" s="278"/>
      <c r="Q554" s="278"/>
      <c r="R554" s="278"/>
      <c r="S554" s="278"/>
      <c r="T554" s="278"/>
      <c r="U554" s="278"/>
      <c r="V554" s="278"/>
      <c r="W554" s="278"/>
      <c r="X554" s="278"/>
      <c r="Y554" s="278"/>
      <c r="Z554" s="278"/>
    </row>
    <row r="555">
      <c r="A555" s="278"/>
      <c r="B555" s="278"/>
      <c r="C555" s="278"/>
      <c r="D555" s="278"/>
      <c r="E555" s="278"/>
      <c r="F555" s="278"/>
      <c r="G555" s="278"/>
      <c r="H555" s="278"/>
      <c r="I555" s="278"/>
      <c r="J555" s="278"/>
      <c r="K555" s="278"/>
      <c r="L555" s="278"/>
      <c r="M555" s="278"/>
      <c r="N555" s="278"/>
      <c r="O555" s="278"/>
      <c r="P555" s="278"/>
      <c r="Q555" s="278"/>
      <c r="R555" s="278"/>
      <c r="S555" s="278"/>
      <c r="T555" s="278"/>
      <c r="U555" s="278"/>
      <c r="V555" s="278"/>
      <c r="W555" s="278"/>
      <c r="X555" s="278"/>
      <c r="Y555" s="278"/>
      <c r="Z555" s="278"/>
    </row>
    <row r="556">
      <c r="A556" s="278"/>
      <c r="B556" s="278"/>
      <c r="C556" s="278"/>
      <c r="D556" s="278"/>
      <c r="E556" s="278"/>
      <c r="F556" s="278"/>
      <c r="G556" s="278"/>
      <c r="H556" s="278"/>
      <c r="I556" s="278"/>
      <c r="J556" s="278"/>
      <c r="K556" s="278"/>
      <c r="L556" s="278"/>
      <c r="M556" s="278"/>
      <c r="N556" s="278"/>
      <c r="O556" s="278"/>
      <c r="P556" s="278"/>
      <c r="Q556" s="278"/>
      <c r="R556" s="278"/>
      <c r="S556" s="278"/>
      <c r="T556" s="278"/>
      <c r="U556" s="278"/>
      <c r="V556" s="278"/>
      <c r="W556" s="278"/>
      <c r="X556" s="278"/>
      <c r="Y556" s="278"/>
      <c r="Z556" s="278"/>
    </row>
    <row r="557">
      <c r="A557" s="278"/>
      <c r="B557" s="278"/>
      <c r="C557" s="278"/>
      <c r="D557" s="278"/>
      <c r="E557" s="278"/>
      <c r="F557" s="278"/>
      <c r="G557" s="278"/>
      <c r="H557" s="278"/>
      <c r="I557" s="278"/>
      <c r="J557" s="278"/>
      <c r="K557" s="278"/>
      <c r="L557" s="278"/>
      <c r="M557" s="278"/>
      <c r="N557" s="278"/>
      <c r="O557" s="278"/>
      <c r="P557" s="278"/>
      <c r="Q557" s="278"/>
      <c r="R557" s="278"/>
      <c r="S557" s="278"/>
      <c r="T557" s="278"/>
      <c r="U557" s="278"/>
      <c r="V557" s="278"/>
      <c r="W557" s="278"/>
      <c r="X557" s="278"/>
      <c r="Y557" s="278"/>
      <c r="Z557" s="278"/>
    </row>
    <row r="558">
      <c r="A558" s="278"/>
      <c r="B558" s="278"/>
      <c r="C558" s="278"/>
      <c r="D558" s="278"/>
      <c r="E558" s="278"/>
      <c r="F558" s="278"/>
      <c r="G558" s="278"/>
      <c r="H558" s="278"/>
      <c r="I558" s="278"/>
      <c r="J558" s="278"/>
      <c r="K558" s="278"/>
      <c r="L558" s="278"/>
      <c r="M558" s="278"/>
      <c r="N558" s="278"/>
      <c r="O558" s="278"/>
      <c r="P558" s="278"/>
      <c r="Q558" s="278"/>
      <c r="R558" s="278"/>
      <c r="S558" s="278"/>
      <c r="T558" s="278"/>
      <c r="U558" s="278"/>
      <c r="V558" s="278"/>
      <c r="W558" s="278"/>
      <c r="X558" s="278"/>
      <c r="Y558" s="278"/>
      <c r="Z558" s="278"/>
    </row>
    <row r="559">
      <c r="A559" s="278"/>
      <c r="B559" s="278"/>
      <c r="C559" s="278"/>
      <c r="D559" s="278"/>
      <c r="E559" s="278"/>
      <c r="F559" s="278"/>
      <c r="G559" s="278"/>
      <c r="H559" s="278"/>
      <c r="I559" s="278"/>
      <c r="J559" s="278"/>
      <c r="K559" s="278"/>
      <c r="L559" s="278"/>
      <c r="M559" s="278"/>
      <c r="N559" s="278"/>
      <c r="O559" s="278"/>
      <c r="P559" s="278"/>
      <c r="Q559" s="278"/>
      <c r="R559" s="278"/>
      <c r="S559" s="278"/>
      <c r="T559" s="278"/>
      <c r="U559" s="278"/>
      <c r="V559" s="278"/>
      <c r="W559" s="278"/>
      <c r="X559" s="278"/>
      <c r="Y559" s="278"/>
      <c r="Z559" s="278"/>
    </row>
    <row r="560">
      <c r="A560" s="278"/>
      <c r="B560" s="278"/>
      <c r="C560" s="278"/>
      <c r="D560" s="278"/>
      <c r="E560" s="278"/>
      <c r="F560" s="278"/>
      <c r="G560" s="278"/>
      <c r="H560" s="278"/>
      <c r="I560" s="278"/>
      <c r="J560" s="278"/>
      <c r="K560" s="278"/>
      <c r="L560" s="278"/>
      <c r="M560" s="278"/>
      <c r="N560" s="278"/>
      <c r="O560" s="278"/>
      <c r="P560" s="278"/>
      <c r="Q560" s="278"/>
      <c r="R560" s="278"/>
      <c r="S560" s="278"/>
      <c r="T560" s="278"/>
      <c r="U560" s="278"/>
      <c r="V560" s="278"/>
      <c r="W560" s="278"/>
      <c r="X560" s="278"/>
      <c r="Y560" s="278"/>
      <c r="Z560" s="278"/>
    </row>
    <row r="561">
      <c r="A561" s="278"/>
      <c r="B561" s="278"/>
      <c r="C561" s="278"/>
      <c r="D561" s="278"/>
      <c r="E561" s="278"/>
      <c r="F561" s="278"/>
      <c r="G561" s="278"/>
      <c r="H561" s="278"/>
      <c r="I561" s="278"/>
      <c r="J561" s="278"/>
      <c r="K561" s="278"/>
      <c r="L561" s="278"/>
      <c r="M561" s="278"/>
      <c r="N561" s="278"/>
      <c r="O561" s="278"/>
      <c r="P561" s="278"/>
      <c r="Q561" s="278"/>
      <c r="R561" s="278"/>
      <c r="S561" s="278"/>
      <c r="T561" s="278"/>
      <c r="U561" s="278"/>
      <c r="V561" s="278"/>
      <c r="W561" s="278"/>
      <c r="X561" s="278"/>
      <c r="Y561" s="278"/>
      <c r="Z561" s="278"/>
    </row>
    <row r="562">
      <c r="A562" s="278"/>
      <c r="B562" s="278"/>
      <c r="C562" s="278"/>
      <c r="D562" s="278"/>
      <c r="E562" s="278"/>
      <c r="F562" s="278"/>
      <c r="G562" s="278"/>
      <c r="H562" s="278"/>
      <c r="I562" s="278"/>
      <c r="J562" s="278"/>
      <c r="K562" s="278"/>
      <c r="L562" s="278"/>
      <c r="M562" s="278"/>
      <c r="N562" s="278"/>
      <c r="O562" s="278"/>
      <c r="P562" s="278"/>
      <c r="Q562" s="278"/>
      <c r="R562" s="278"/>
      <c r="S562" s="278"/>
      <c r="T562" s="278"/>
      <c r="U562" s="278"/>
      <c r="V562" s="278"/>
      <c r="W562" s="278"/>
      <c r="X562" s="278"/>
      <c r="Y562" s="278"/>
      <c r="Z562" s="278"/>
    </row>
    <row r="563">
      <c r="A563" s="278"/>
      <c r="B563" s="278"/>
      <c r="C563" s="278"/>
      <c r="D563" s="278"/>
      <c r="E563" s="278"/>
      <c r="F563" s="278"/>
      <c r="G563" s="278"/>
      <c r="H563" s="278"/>
      <c r="I563" s="278"/>
      <c r="J563" s="278"/>
      <c r="K563" s="278"/>
      <c r="L563" s="278"/>
      <c r="M563" s="278"/>
      <c r="N563" s="278"/>
      <c r="O563" s="278"/>
      <c r="P563" s="278"/>
      <c r="Q563" s="278"/>
      <c r="R563" s="278"/>
      <c r="S563" s="278"/>
      <c r="T563" s="278"/>
      <c r="U563" s="278"/>
      <c r="V563" s="278"/>
      <c r="W563" s="278"/>
      <c r="X563" s="278"/>
      <c r="Y563" s="278"/>
      <c r="Z563" s="278"/>
    </row>
    <row r="564">
      <c r="A564" s="278"/>
      <c r="B564" s="278"/>
      <c r="C564" s="278"/>
      <c r="D564" s="278"/>
      <c r="E564" s="278"/>
      <c r="F564" s="278"/>
      <c r="G564" s="278"/>
      <c r="H564" s="278"/>
      <c r="I564" s="278"/>
      <c r="J564" s="278"/>
      <c r="K564" s="278"/>
      <c r="L564" s="278"/>
      <c r="M564" s="278"/>
      <c r="N564" s="278"/>
      <c r="O564" s="278"/>
      <c r="P564" s="278"/>
      <c r="Q564" s="278"/>
      <c r="R564" s="278"/>
      <c r="S564" s="278"/>
      <c r="T564" s="278"/>
      <c r="U564" s="278"/>
      <c r="V564" s="278"/>
      <c r="W564" s="278"/>
      <c r="X564" s="278"/>
      <c r="Y564" s="278"/>
      <c r="Z564" s="278"/>
    </row>
    <row r="565">
      <c r="A565" s="278"/>
      <c r="B565" s="278"/>
      <c r="C565" s="278"/>
      <c r="D565" s="278"/>
      <c r="E565" s="278"/>
      <c r="F565" s="278"/>
      <c r="G565" s="278"/>
      <c r="H565" s="278"/>
      <c r="I565" s="278"/>
      <c r="J565" s="278"/>
      <c r="K565" s="278"/>
      <c r="L565" s="278"/>
      <c r="M565" s="278"/>
      <c r="N565" s="278"/>
      <c r="O565" s="278"/>
      <c r="P565" s="278"/>
      <c r="Q565" s="278"/>
      <c r="R565" s="278"/>
      <c r="S565" s="278"/>
      <c r="T565" s="278"/>
      <c r="U565" s="278"/>
      <c r="V565" s="278"/>
      <c r="W565" s="278"/>
      <c r="X565" s="278"/>
      <c r="Y565" s="278"/>
      <c r="Z565" s="278"/>
    </row>
    <row r="566">
      <c r="A566" s="278"/>
      <c r="B566" s="278"/>
      <c r="C566" s="278"/>
      <c r="D566" s="278"/>
      <c r="E566" s="278"/>
      <c r="F566" s="278"/>
      <c r="G566" s="278"/>
      <c r="H566" s="278"/>
      <c r="I566" s="278"/>
      <c r="J566" s="278"/>
      <c r="K566" s="278"/>
      <c r="L566" s="278"/>
      <c r="M566" s="278"/>
      <c r="N566" s="278"/>
      <c r="O566" s="278"/>
      <c r="P566" s="278"/>
      <c r="Q566" s="278"/>
      <c r="R566" s="278"/>
      <c r="S566" s="278"/>
      <c r="T566" s="278"/>
      <c r="U566" s="278"/>
      <c r="V566" s="278"/>
      <c r="W566" s="278"/>
      <c r="X566" s="278"/>
      <c r="Y566" s="278"/>
      <c r="Z566" s="278"/>
    </row>
    <row r="567">
      <c r="A567" s="278"/>
      <c r="B567" s="278"/>
      <c r="C567" s="278"/>
      <c r="D567" s="278"/>
      <c r="E567" s="278"/>
      <c r="F567" s="278"/>
      <c r="G567" s="278"/>
      <c r="H567" s="278"/>
      <c r="I567" s="278"/>
      <c r="J567" s="278"/>
      <c r="K567" s="278"/>
      <c r="L567" s="278"/>
      <c r="M567" s="278"/>
      <c r="N567" s="278"/>
      <c r="O567" s="278"/>
      <c r="P567" s="278"/>
      <c r="Q567" s="278"/>
      <c r="R567" s="278"/>
      <c r="S567" s="278"/>
      <c r="T567" s="278"/>
      <c r="U567" s="278"/>
      <c r="V567" s="278"/>
      <c r="W567" s="278"/>
      <c r="X567" s="278"/>
      <c r="Y567" s="278"/>
      <c r="Z567" s="278"/>
    </row>
    <row r="568">
      <c r="A568" s="278"/>
      <c r="B568" s="278"/>
      <c r="C568" s="278"/>
      <c r="D568" s="278"/>
      <c r="E568" s="278"/>
      <c r="F568" s="278"/>
      <c r="G568" s="278"/>
      <c r="H568" s="278"/>
      <c r="I568" s="278"/>
      <c r="J568" s="278"/>
      <c r="K568" s="278"/>
      <c r="L568" s="278"/>
      <c r="M568" s="278"/>
      <c r="N568" s="278"/>
      <c r="O568" s="278"/>
      <c r="P568" s="278"/>
      <c r="Q568" s="278"/>
      <c r="R568" s="278"/>
      <c r="S568" s="278"/>
      <c r="T568" s="278"/>
      <c r="U568" s="278"/>
      <c r="V568" s="278"/>
      <c r="W568" s="278"/>
      <c r="X568" s="278"/>
      <c r="Y568" s="278"/>
      <c r="Z568" s="278"/>
    </row>
    <row r="569">
      <c r="A569" s="278"/>
      <c r="B569" s="278"/>
      <c r="C569" s="278"/>
      <c r="D569" s="278"/>
      <c r="E569" s="278"/>
      <c r="F569" s="278"/>
      <c r="G569" s="278"/>
      <c r="H569" s="278"/>
      <c r="I569" s="278"/>
      <c r="J569" s="278"/>
      <c r="K569" s="278"/>
      <c r="L569" s="278"/>
      <c r="M569" s="278"/>
      <c r="N569" s="278"/>
      <c r="O569" s="278"/>
      <c r="P569" s="278"/>
      <c r="Q569" s="278"/>
      <c r="R569" s="278"/>
      <c r="S569" s="278"/>
      <c r="T569" s="278"/>
      <c r="U569" s="278"/>
      <c r="V569" s="278"/>
      <c r="W569" s="278"/>
      <c r="X569" s="278"/>
      <c r="Y569" s="278"/>
      <c r="Z569" s="278"/>
    </row>
    <row r="570">
      <c r="A570" s="278"/>
      <c r="B570" s="278"/>
      <c r="C570" s="278"/>
      <c r="D570" s="278"/>
      <c r="E570" s="278"/>
      <c r="F570" s="278"/>
      <c r="G570" s="278"/>
      <c r="H570" s="278"/>
      <c r="I570" s="278"/>
      <c r="J570" s="278"/>
      <c r="K570" s="278"/>
      <c r="L570" s="278"/>
      <c r="M570" s="278"/>
      <c r="N570" s="278"/>
      <c r="O570" s="278"/>
      <c r="P570" s="278"/>
      <c r="Q570" s="278"/>
      <c r="R570" s="278"/>
      <c r="S570" s="278"/>
      <c r="T570" s="278"/>
      <c r="U570" s="278"/>
      <c r="V570" s="278"/>
      <c r="W570" s="278"/>
      <c r="X570" s="278"/>
      <c r="Y570" s="278"/>
      <c r="Z570" s="278"/>
    </row>
    <row r="571">
      <c r="A571" s="278"/>
      <c r="B571" s="278"/>
      <c r="C571" s="278"/>
      <c r="D571" s="278"/>
      <c r="E571" s="278"/>
      <c r="F571" s="278"/>
      <c r="G571" s="278"/>
      <c r="H571" s="278"/>
      <c r="I571" s="278"/>
      <c r="J571" s="278"/>
      <c r="K571" s="278"/>
      <c r="L571" s="278"/>
      <c r="M571" s="278"/>
      <c r="N571" s="278"/>
      <c r="O571" s="278"/>
      <c r="P571" s="278"/>
      <c r="Q571" s="278"/>
      <c r="R571" s="278"/>
      <c r="S571" s="278"/>
      <c r="T571" s="278"/>
      <c r="U571" s="278"/>
      <c r="V571" s="278"/>
      <c r="W571" s="278"/>
      <c r="X571" s="278"/>
      <c r="Y571" s="278"/>
      <c r="Z571" s="278"/>
    </row>
    <row r="572">
      <c r="A572" s="278"/>
      <c r="B572" s="278"/>
      <c r="C572" s="278"/>
      <c r="D572" s="278"/>
      <c r="E572" s="278"/>
      <c r="F572" s="278"/>
      <c r="G572" s="278"/>
      <c r="H572" s="278"/>
      <c r="I572" s="278"/>
      <c r="J572" s="278"/>
      <c r="K572" s="278"/>
      <c r="L572" s="278"/>
      <c r="M572" s="278"/>
      <c r="N572" s="278"/>
      <c r="O572" s="278"/>
      <c r="P572" s="278"/>
      <c r="Q572" s="278"/>
      <c r="R572" s="278"/>
      <c r="S572" s="278"/>
      <c r="T572" s="278"/>
      <c r="U572" s="278"/>
      <c r="V572" s="278"/>
      <c r="W572" s="278"/>
      <c r="X572" s="278"/>
      <c r="Y572" s="278"/>
      <c r="Z572" s="278"/>
    </row>
    <row r="573">
      <c r="A573" s="278"/>
      <c r="B573" s="278"/>
      <c r="C573" s="278"/>
      <c r="D573" s="278"/>
      <c r="E573" s="278"/>
      <c r="F573" s="278"/>
      <c r="G573" s="278"/>
      <c r="H573" s="278"/>
      <c r="I573" s="278"/>
      <c r="J573" s="278"/>
      <c r="K573" s="278"/>
      <c r="L573" s="278"/>
      <c r="M573" s="278"/>
      <c r="N573" s="278"/>
      <c r="O573" s="278"/>
      <c r="P573" s="278"/>
      <c r="Q573" s="278"/>
      <c r="R573" s="278"/>
      <c r="S573" s="278"/>
      <c r="T573" s="278"/>
      <c r="U573" s="278"/>
      <c r="V573" s="278"/>
      <c r="W573" s="278"/>
      <c r="X573" s="278"/>
      <c r="Y573" s="278"/>
      <c r="Z573" s="278"/>
    </row>
    <row r="574">
      <c r="A574" s="278"/>
      <c r="B574" s="278"/>
      <c r="C574" s="278"/>
      <c r="D574" s="278"/>
      <c r="E574" s="278"/>
      <c r="F574" s="278"/>
      <c r="G574" s="278"/>
      <c r="H574" s="278"/>
      <c r="I574" s="278"/>
      <c r="J574" s="278"/>
      <c r="K574" s="278"/>
      <c r="L574" s="278"/>
      <c r="M574" s="278"/>
      <c r="N574" s="278"/>
      <c r="O574" s="278"/>
      <c r="P574" s="278"/>
      <c r="Q574" s="278"/>
      <c r="R574" s="278"/>
      <c r="S574" s="278"/>
      <c r="T574" s="278"/>
      <c r="U574" s="278"/>
      <c r="V574" s="278"/>
      <c r="W574" s="278"/>
      <c r="X574" s="278"/>
      <c r="Y574" s="278"/>
      <c r="Z574" s="278"/>
    </row>
    <row r="575">
      <c r="A575" s="278"/>
      <c r="B575" s="278"/>
      <c r="C575" s="278"/>
      <c r="D575" s="278"/>
      <c r="E575" s="278"/>
      <c r="F575" s="278"/>
      <c r="G575" s="278"/>
      <c r="H575" s="278"/>
      <c r="I575" s="278"/>
      <c r="J575" s="278"/>
      <c r="K575" s="278"/>
      <c r="L575" s="278"/>
      <c r="M575" s="278"/>
      <c r="N575" s="278"/>
      <c r="O575" s="278"/>
      <c r="P575" s="278"/>
      <c r="Q575" s="278"/>
      <c r="R575" s="278"/>
      <c r="S575" s="278"/>
      <c r="T575" s="278"/>
      <c r="U575" s="278"/>
      <c r="V575" s="278"/>
      <c r="W575" s="278"/>
      <c r="X575" s="278"/>
      <c r="Y575" s="278"/>
      <c r="Z575" s="278"/>
    </row>
    <row r="576">
      <c r="A576" s="278"/>
      <c r="B576" s="278"/>
      <c r="C576" s="278"/>
      <c r="D576" s="278"/>
      <c r="E576" s="278"/>
      <c r="F576" s="278"/>
      <c r="G576" s="278"/>
      <c r="H576" s="278"/>
      <c r="I576" s="278"/>
      <c r="J576" s="278"/>
      <c r="K576" s="278"/>
      <c r="L576" s="278"/>
      <c r="M576" s="278"/>
      <c r="N576" s="278"/>
      <c r="O576" s="278"/>
      <c r="P576" s="278"/>
      <c r="Q576" s="278"/>
      <c r="R576" s="278"/>
      <c r="S576" s="278"/>
      <c r="T576" s="278"/>
      <c r="U576" s="278"/>
      <c r="V576" s="278"/>
      <c r="W576" s="278"/>
      <c r="X576" s="278"/>
      <c r="Y576" s="278"/>
      <c r="Z576" s="278"/>
    </row>
    <row r="577">
      <c r="A577" s="278"/>
      <c r="B577" s="278"/>
      <c r="C577" s="278"/>
      <c r="D577" s="278"/>
      <c r="E577" s="278"/>
      <c r="F577" s="278"/>
      <c r="G577" s="278"/>
      <c r="H577" s="278"/>
      <c r="I577" s="278"/>
      <c r="J577" s="278"/>
      <c r="K577" s="278"/>
      <c r="L577" s="278"/>
      <c r="M577" s="278"/>
      <c r="N577" s="278"/>
      <c r="O577" s="278"/>
      <c r="P577" s="278"/>
      <c r="Q577" s="278"/>
      <c r="R577" s="278"/>
      <c r="S577" s="278"/>
      <c r="T577" s="278"/>
      <c r="U577" s="278"/>
      <c r="V577" s="278"/>
      <c r="W577" s="278"/>
      <c r="X577" s="278"/>
      <c r="Y577" s="278"/>
      <c r="Z577" s="278"/>
    </row>
    <row r="578">
      <c r="A578" s="278"/>
      <c r="B578" s="278"/>
      <c r="C578" s="278"/>
      <c r="D578" s="278"/>
      <c r="E578" s="278"/>
      <c r="F578" s="278"/>
      <c r="G578" s="278"/>
      <c r="H578" s="278"/>
      <c r="I578" s="278"/>
      <c r="J578" s="278"/>
      <c r="K578" s="278"/>
      <c r="L578" s="278"/>
      <c r="M578" s="278"/>
      <c r="N578" s="278"/>
      <c r="O578" s="278"/>
      <c r="P578" s="278"/>
      <c r="Q578" s="278"/>
      <c r="R578" s="278"/>
      <c r="S578" s="278"/>
      <c r="T578" s="278"/>
      <c r="U578" s="278"/>
      <c r="V578" s="278"/>
      <c r="W578" s="278"/>
      <c r="X578" s="278"/>
      <c r="Y578" s="278"/>
      <c r="Z578" s="278"/>
    </row>
    <row r="579">
      <c r="A579" s="278"/>
      <c r="B579" s="278"/>
      <c r="C579" s="278"/>
      <c r="D579" s="278"/>
      <c r="E579" s="278"/>
      <c r="F579" s="278"/>
      <c r="G579" s="278"/>
      <c r="H579" s="278"/>
      <c r="I579" s="278"/>
      <c r="J579" s="278"/>
      <c r="K579" s="278"/>
      <c r="L579" s="278"/>
      <c r="M579" s="278"/>
      <c r="N579" s="278"/>
      <c r="O579" s="278"/>
      <c r="P579" s="278"/>
      <c r="Q579" s="278"/>
      <c r="R579" s="278"/>
      <c r="S579" s="278"/>
      <c r="T579" s="278"/>
      <c r="U579" s="278"/>
      <c r="V579" s="278"/>
      <c r="W579" s="278"/>
      <c r="X579" s="278"/>
      <c r="Y579" s="278"/>
      <c r="Z579" s="278"/>
    </row>
    <row r="580">
      <c r="A580" s="278"/>
      <c r="B580" s="278"/>
      <c r="C580" s="278"/>
      <c r="D580" s="278"/>
      <c r="E580" s="278"/>
      <c r="F580" s="278"/>
      <c r="G580" s="278"/>
      <c r="H580" s="278"/>
      <c r="I580" s="278"/>
      <c r="J580" s="278"/>
      <c r="K580" s="278"/>
      <c r="L580" s="278"/>
      <c r="M580" s="278"/>
      <c r="N580" s="278"/>
      <c r="O580" s="278"/>
      <c r="P580" s="278"/>
      <c r="Q580" s="278"/>
      <c r="R580" s="278"/>
      <c r="S580" s="278"/>
      <c r="T580" s="278"/>
      <c r="U580" s="278"/>
      <c r="V580" s="278"/>
      <c r="W580" s="278"/>
      <c r="X580" s="278"/>
      <c r="Y580" s="278"/>
      <c r="Z580" s="278"/>
    </row>
    <row r="581">
      <c r="A581" s="278"/>
      <c r="B581" s="278"/>
      <c r="C581" s="278"/>
      <c r="D581" s="278"/>
      <c r="E581" s="278"/>
      <c r="F581" s="278"/>
      <c r="G581" s="278"/>
      <c r="H581" s="278"/>
      <c r="I581" s="278"/>
      <c r="J581" s="278"/>
      <c r="K581" s="278"/>
      <c r="L581" s="278"/>
      <c r="M581" s="278"/>
      <c r="N581" s="278"/>
      <c r="O581" s="278"/>
      <c r="P581" s="278"/>
      <c r="Q581" s="278"/>
      <c r="R581" s="278"/>
      <c r="S581" s="278"/>
      <c r="T581" s="278"/>
      <c r="U581" s="278"/>
      <c r="V581" s="278"/>
      <c r="W581" s="278"/>
      <c r="X581" s="278"/>
      <c r="Y581" s="278"/>
      <c r="Z581" s="278"/>
    </row>
    <row r="582">
      <c r="A582" s="278"/>
      <c r="B582" s="278"/>
      <c r="C582" s="278"/>
      <c r="D582" s="278"/>
      <c r="E582" s="278"/>
      <c r="F582" s="278"/>
      <c r="G582" s="278"/>
      <c r="H582" s="278"/>
      <c r="I582" s="278"/>
      <c r="J582" s="278"/>
      <c r="K582" s="278"/>
      <c r="L582" s="278"/>
      <c r="M582" s="278"/>
      <c r="N582" s="278"/>
      <c r="O582" s="278"/>
      <c r="P582" s="278"/>
      <c r="Q582" s="278"/>
      <c r="R582" s="278"/>
      <c r="S582" s="278"/>
      <c r="T582" s="278"/>
      <c r="U582" s="278"/>
      <c r="V582" s="278"/>
      <c r="W582" s="278"/>
      <c r="X582" s="278"/>
      <c r="Y582" s="278"/>
      <c r="Z582" s="278"/>
    </row>
    <row r="583">
      <c r="A583" s="278"/>
      <c r="B583" s="278"/>
      <c r="C583" s="278"/>
      <c r="D583" s="278"/>
      <c r="E583" s="278"/>
      <c r="F583" s="278"/>
      <c r="G583" s="278"/>
      <c r="H583" s="278"/>
      <c r="I583" s="278"/>
      <c r="J583" s="278"/>
      <c r="K583" s="278"/>
      <c r="L583" s="278"/>
      <c r="M583" s="278"/>
      <c r="N583" s="278"/>
      <c r="O583" s="278"/>
      <c r="P583" s="278"/>
      <c r="Q583" s="278"/>
      <c r="R583" s="278"/>
      <c r="S583" s="278"/>
      <c r="T583" s="278"/>
      <c r="U583" s="278"/>
      <c r="V583" s="278"/>
      <c r="W583" s="278"/>
      <c r="X583" s="278"/>
      <c r="Y583" s="278"/>
      <c r="Z583" s="278"/>
    </row>
    <row r="584">
      <c r="A584" s="278"/>
      <c r="B584" s="278"/>
      <c r="C584" s="278"/>
      <c r="D584" s="278"/>
      <c r="E584" s="278"/>
      <c r="F584" s="278"/>
      <c r="G584" s="278"/>
      <c r="H584" s="278"/>
      <c r="I584" s="278"/>
      <c r="J584" s="278"/>
      <c r="K584" s="278"/>
      <c r="L584" s="278"/>
      <c r="M584" s="278"/>
      <c r="N584" s="278"/>
      <c r="O584" s="278"/>
      <c r="P584" s="278"/>
      <c r="Q584" s="278"/>
      <c r="R584" s="278"/>
      <c r="S584" s="278"/>
      <c r="T584" s="278"/>
      <c r="U584" s="278"/>
      <c r="V584" s="278"/>
      <c r="W584" s="278"/>
      <c r="X584" s="278"/>
      <c r="Y584" s="278"/>
      <c r="Z584" s="278"/>
    </row>
    <row r="585">
      <c r="A585" s="278"/>
      <c r="B585" s="278"/>
      <c r="C585" s="278"/>
      <c r="D585" s="278"/>
      <c r="E585" s="278"/>
      <c r="F585" s="278"/>
      <c r="G585" s="278"/>
      <c r="H585" s="278"/>
      <c r="I585" s="278"/>
      <c r="J585" s="278"/>
      <c r="K585" s="278"/>
      <c r="L585" s="278"/>
      <c r="M585" s="278"/>
      <c r="N585" s="278"/>
      <c r="O585" s="278"/>
      <c r="P585" s="278"/>
      <c r="Q585" s="278"/>
      <c r="R585" s="278"/>
      <c r="S585" s="278"/>
      <c r="T585" s="278"/>
      <c r="U585" s="278"/>
      <c r="V585" s="278"/>
      <c r="W585" s="278"/>
      <c r="X585" s="278"/>
      <c r="Y585" s="278"/>
      <c r="Z585" s="278"/>
    </row>
    <row r="586">
      <c r="A586" s="278"/>
      <c r="B586" s="278"/>
      <c r="C586" s="278"/>
      <c r="D586" s="278"/>
      <c r="E586" s="278"/>
      <c r="F586" s="278"/>
      <c r="G586" s="278"/>
      <c r="H586" s="278"/>
      <c r="I586" s="278"/>
      <c r="J586" s="278"/>
      <c r="K586" s="278"/>
      <c r="L586" s="278"/>
      <c r="M586" s="278"/>
      <c r="N586" s="278"/>
      <c r="O586" s="278"/>
      <c r="P586" s="278"/>
      <c r="Q586" s="278"/>
      <c r="R586" s="278"/>
      <c r="S586" s="278"/>
      <c r="T586" s="278"/>
      <c r="U586" s="278"/>
      <c r="V586" s="278"/>
      <c r="W586" s="278"/>
      <c r="X586" s="278"/>
      <c r="Y586" s="278"/>
      <c r="Z586" s="278"/>
    </row>
    <row r="587">
      <c r="A587" s="278"/>
      <c r="B587" s="278"/>
      <c r="C587" s="278"/>
      <c r="D587" s="278"/>
      <c r="E587" s="278"/>
      <c r="F587" s="278"/>
      <c r="G587" s="278"/>
      <c r="H587" s="278"/>
      <c r="I587" s="278"/>
      <c r="J587" s="278"/>
      <c r="K587" s="278"/>
      <c r="L587" s="278"/>
      <c r="M587" s="278"/>
      <c r="N587" s="278"/>
      <c r="O587" s="278"/>
      <c r="P587" s="278"/>
      <c r="Q587" s="278"/>
      <c r="R587" s="278"/>
      <c r="S587" s="278"/>
      <c r="T587" s="278"/>
      <c r="U587" s="278"/>
      <c r="V587" s="278"/>
      <c r="W587" s="278"/>
      <c r="X587" s="278"/>
      <c r="Y587" s="278"/>
      <c r="Z587" s="278"/>
    </row>
    <row r="588">
      <c r="A588" s="278"/>
      <c r="B588" s="278"/>
      <c r="C588" s="278"/>
      <c r="D588" s="278"/>
      <c r="E588" s="278"/>
      <c r="F588" s="278"/>
      <c r="G588" s="278"/>
      <c r="H588" s="278"/>
      <c r="I588" s="278"/>
      <c r="J588" s="278"/>
      <c r="K588" s="278"/>
      <c r="L588" s="278"/>
      <c r="M588" s="278"/>
      <c r="N588" s="278"/>
      <c r="O588" s="278"/>
      <c r="P588" s="278"/>
      <c r="Q588" s="278"/>
      <c r="R588" s="278"/>
      <c r="S588" s="278"/>
      <c r="T588" s="278"/>
      <c r="U588" s="278"/>
      <c r="V588" s="278"/>
      <c r="W588" s="278"/>
      <c r="X588" s="278"/>
      <c r="Y588" s="278"/>
      <c r="Z588" s="278"/>
    </row>
    <row r="589">
      <c r="A589" s="278"/>
      <c r="B589" s="278"/>
      <c r="C589" s="278"/>
      <c r="D589" s="278"/>
      <c r="E589" s="278"/>
      <c r="F589" s="278"/>
      <c r="G589" s="278"/>
      <c r="H589" s="278"/>
      <c r="I589" s="278"/>
      <c r="J589" s="278"/>
      <c r="K589" s="278"/>
      <c r="L589" s="278"/>
      <c r="M589" s="278"/>
      <c r="N589" s="278"/>
      <c r="O589" s="278"/>
      <c r="P589" s="278"/>
      <c r="Q589" s="278"/>
      <c r="R589" s="278"/>
      <c r="S589" s="278"/>
      <c r="T589" s="278"/>
      <c r="U589" s="278"/>
      <c r="V589" s="278"/>
      <c r="W589" s="278"/>
      <c r="X589" s="278"/>
      <c r="Y589" s="278"/>
      <c r="Z589" s="278"/>
    </row>
    <row r="590">
      <c r="A590" s="278"/>
      <c r="B590" s="278"/>
      <c r="C590" s="278"/>
      <c r="D590" s="278"/>
      <c r="E590" s="278"/>
      <c r="F590" s="278"/>
      <c r="G590" s="278"/>
      <c r="H590" s="278"/>
      <c r="I590" s="278"/>
      <c r="J590" s="278"/>
      <c r="K590" s="278"/>
      <c r="L590" s="278"/>
      <c r="M590" s="278"/>
      <c r="N590" s="278"/>
      <c r="O590" s="278"/>
      <c r="P590" s="278"/>
      <c r="Q590" s="278"/>
      <c r="R590" s="278"/>
      <c r="S590" s="278"/>
      <c r="T590" s="278"/>
      <c r="U590" s="278"/>
      <c r="V590" s="278"/>
      <c r="W590" s="278"/>
      <c r="X590" s="278"/>
      <c r="Y590" s="278"/>
      <c r="Z590" s="278"/>
    </row>
    <row r="591">
      <c r="A591" s="278"/>
      <c r="B591" s="278"/>
      <c r="C591" s="278"/>
      <c r="D591" s="278"/>
      <c r="E591" s="278"/>
      <c r="F591" s="278"/>
      <c r="G591" s="278"/>
      <c r="H591" s="278"/>
      <c r="I591" s="278"/>
      <c r="J591" s="278"/>
      <c r="K591" s="278"/>
      <c r="L591" s="278"/>
      <c r="M591" s="278"/>
      <c r="N591" s="278"/>
      <c r="O591" s="278"/>
      <c r="P591" s="278"/>
      <c r="Q591" s="278"/>
      <c r="R591" s="278"/>
      <c r="S591" s="278"/>
      <c r="T591" s="278"/>
      <c r="U591" s="278"/>
      <c r="V591" s="278"/>
      <c r="W591" s="278"/>
      <c r="X591" s="278"/>
      <c r="Y591" s="278"/>
      <c r="Z591" s="278"/>
    </row>
    <row r="592">
      <c r="A592" s="278"/>
      <c r="B592" s="278"/>
      <c r="C592" s="278"/>
      <c r="D592" s="278"/>
      <c r="E592" s="278"/>
      <c r="F592" s="278"/>
      <c r="G592" s="278"/>
      <c r="H592" s="278"/>
      <c r="I592" s="278"/>
      <c r="J592" s="278"/>
      <c r="K592" s="278"/>
      <c r="L592" s="278"/>
      <c r="M592" s="278"/>
      <c r="N592" s="278"/>
      <c r="O592" s="278"/>
      <c r="P592" s="278"/>
      <c r="Q592" s="278"/>
      <c r="R592" s="278"/>
      <c r="S592" s="278"/>
      <c r="T592" s="278"/>
      <c r="U592" s="278"/>
      <c r="V592" s="278"/>
      <c r="W592" s="278"/>
      <c r="X592" s="278"/>
      <c r="Y592" s="278"/>
      <c r="Z592" s="278"/>
    </row>
    <row r="593">
      <c r="A593" s="278"/>
      <c r="B593" s="278"/>
      <c r="C593" s="278"/>
      <c r="D593" s="278"/>
      <c r="E593" s="278"/>
      <c r="F593" s="278"/>
      <c r="G593" s="278"/>
      <c r="H593" s="278"/>
      <c r="I593" s="278"/>
      <c r="J593" s="278"/>
      <c r="K593" s="278"/>
      <c r="L593" s="278"/>
      <c r="M593" s="278"/>
      <c r="N593" s="278"/>
      <c r="O593" s="278"/>
      <c r="P593" s="278"/>
      <c r="Q593" s="278"/>
      <c r="R593" s="278"/>
      <c r="S593" s="278"/>
      <c r="T593" s="278"/>
      <c r="U593" s="278"/>
      <c r="V593" s="278"/>
      <c r="W593" s="278"/>
      <c r="X593" s="278"/>
      <c r="Y593" s="278"/>
      <c r="Z593" s="278"/>
    </row>
    <row r="594">
      <c r="A594" s="278"/>
      <c r="B594" s="278"/>
      <c r="C594" s="278"/>
      <c r="D594" s="278"/>
      <c r="E594" s="278"/>
      <c r="F594" s="278"/>
      <c r="G594" s="278"/>
      <c r="H594" s="278"/>
      <c r="I594" s="278"/>
      <c r="J594" s="278"/>
      <c r="K594" s="278"/>
      <c r="L594" s="278"/>
      <c r="M594" s="278"/>
      <c r="N594" s="278"/>
      <c r="O594" s="278"/>
      <c r="P594" s="278"/>
      <c r="Q594" s="278"/>
      <c r="R594" s="278"/>
      <c r="S594" s="278"/>
      <c r="T594" s="278"/>
      <c r="U594" s="278"/>
      <c r="V594" s="278"/>
      <c r="W594" s="278"/>
      <c r="X594" s="278"/>
      <c r="Y594" s="278"/>
      <c r="Z594" s="278"/>
    </row>
    <row r="595">
      <c r="A595" s="278"/>
      <c r="B595" s="278"/>
      <c r="C595" s="278"/>
      <c r="D595" s="278"/>
      <c r="E595" s="278"/>
      <c r="F595" s="278"/>
      <c r="G595" s="278"/>
      <c r="H595" s="278"/>
      <c r="I595" s="278"/>
      <c r="J595" s="278"/>
      <c r="K595" s="278"/>
      <c r="L595" s="278"/>
      <c r="M595" s="278"/>
      <c r="N595" s="278"/>
      <c r="O595" s="278"/>
      <c r="P595" s="278"/>
      <c r="Q595" s="278"/>
      <c r="R595" s="278"/>
      <c r="S595" s="278"/>
      <c r="T595" s="278"/>
      <c r="U595" s="278"/>
      <c r="V595" s="278"/>
      <c r="W595" s="278"/>
      <c r="X595" s="278"/>
      <c r="Y595" s="278"/>
      <c r="Z595" s="278"/>
    </row>
    <row r="596">
      <c r="A596" s="278"/>
      <c r="B596" s="278"/>
      <c r="C596" s="278"/>
      <c r="D596" s="278"/>
      <c r="E596" s="278"/>
      <c r="F596" s="278"/>
      <c r="G596" s="278"/>
      <c r="H596" s="278"/>
      <c r="I596" s="278"/>
      <c r="J596" s="278"/>
      <c r="K596" s="278"/>
      <c r="L596" s="278"/>
      <c r="M596" s="278"/>
      <c r="N596" s="278"/>
      <c r="O596" s="278"/>
      <c r="P596" s="278"/>
      <c r="Q596" s="278"/>
      <c r="R596" s="278"/>
      <c r="S596" s="278"/>
      <c r="T596" s="278"/>
      <c r="U596" s="278"/>
      <c r="V596" s="278"/>
      <c r="W596" s="278"/>
      <c r="X596" s="278"/>
      <c r="Y596" s="278"/>
      <c r="Z596" s="278"/>
    </row>
    <row r="597">
      <c r="A597" s="278"/>
      <c r="B597" s="278"/>
      <c r="C597" s="278"/>
      <c r="D597" s="278"/>
      <c r="E597" s="278"/>
      <c r="F597" s="278"/>
      <c r="G597" s="278"/>
      <c r="H597" s="278"/>
      <c r="I597" s="278"/>
      <c r="J597" s="278"/>
      <c r="K597" s="278"/>
      <c r="L597" s="278"/>
      <c r="M597" s="278"/>
      <c r="N597" s="278"/>
      <c r="O597" s="278"/>
      <c r="P597" s="278"/>
      <c r="Q597" s="278"/>
      <c r="R597" s="278"/>
      <c r="S597" s="278"/>
      <c r="T597" s="278"/>
      <c r="U597" s="278"/>
      <c r="V597" s="278"/>
      <c r="W597" s="278"/>
      <c r="X597" s="278"/>
      <c r="Y597" s="278"/>
      <c r="Z597" s="278"/>
    </row>
    <row r="598">
      <c r="A598" s="278"/>
      <c r="B598" s="278"/>
      <c r="C598" s="278"/>
      <c r="D598" s="278"/>
      <c r="E598" s="278"/>
      <c r="F598" s="278"/>
      <c r="G598" s="278"/>
      <c r="H598" s="278"/>
      <c r="I598" s="278"/>
      <c r="J598" s="278"/>
      <c r="K598" s="278"/>
      <c r="L598" s="278"/>
      <c r="M598" s="278"/>
      <c r="N598" s="278"/>
      <c r="O598" s="278"/>
      <c r="P598" s="278"/>
      <c r="Q598" s="278"/>
      <c r="R598" s="278"/>
      <c r="S598" s="278"/>
      <c r="T598" s="278"/>
      <c r="U598" s="278"/>
      <c r="V598" s="278"/>
      <c r="W598" s="278"/>
      <c r="X598" s="278"/>
      <c r="Y598" s="278"/>
      <c r="Z598" s="278"/>
    </row>
    <row r="599">
      <c r="A599" s="278"/>
      <c r="B599" s="278"/>
      <c r="C599" s="278"/>
      <c r="D599" s="278"/>
      <c r="E599" s="278"/>
      <c r="F599" s="278"/>
      <c r="G599" s="278"/>
      <c r="H599" s="278"/>
      <c r="I599" s="278"/>
      <c r="J599" s="278"/>
      <c r="K599" s="278"/>
      <c r="L599" s="278"/>
      <c r="M599" s="278"/>
      <c r="N599" s="278"/>
      <c r="O599" s="278"/>
      <c r="P599" s="278"/>
      <c r="Q599" s="278"/>
      <c r="R599" s="278"/>
      <c r="S599" s="278"/>
      <c r="T599" s="278"/>
      <c r="U599" s="278"/>
      <c r="V599" s="278"/>
      <c r="W599" s="278"/>
      <c r="X599" s="278"/>
      <c r="Y599" s="278"/>
      <c r="Z599" s="278"/>
    </row>
    <row r="600">
      <c r="A600" s="278"/>
      <c r="B600" s="278"/>
      <c r="C600" s="278"/>
      <c r="D600" s="278"/>
      <c r="E600" s="278"/>
      <c r="F600" s="278"/>
      <c r="G600" s="278"/>
      <c r="H600" s="278"/>
      <c r="I600" s="278"/>
      <c r="J600" s="278"/>
      <c r="K600" s="278"/>
      <c r="L600" s="278"/>
      <c r="M600" s="278"/>
      <c r="N600" s="278"/>
      <c r="O600" s="278"/>
      <c r="P600" s="278"/>
      <c r="Q600" s="278"/>
      <c r="R600" s="278"/>
      <c r="S600" s="278"/>
      <c r="T600" s="278"/>
      <c r="U600" s="278"/>
      <c r="V600" s="278"/>
      <c r="W600" s="278"/>
      <c r="X600" s="278"/>
      <c r="Y600" s="278"/>
      <c r="Z600" s="278"/>
    </row>
    <row r="601">
      <c r="A601" s="278"/>
      <c r="B601" s="278"/>
      <c r="C601" s="278"/>
      <c r="D601" s="278"/>
      <c r="E601" s="278"/>
      <c r="F601" s="278"/>
      <c r="G601" s="278"/>
      <c r="H601" s="278"/>
      <c r="I601" s="278"/>
      <c r="J601" s="278"/>
      <c r="K601" s="278"/>
      <c r="L601" s="278"/>
      <c r="M601" s="278"/>
      <c r="N601" s="278"/>
      <c r="O601" s="278"/>
      <c r="P601" s="278"/>
      <c r="Q601" s="278"/>
      <c r="R601" s="278"/>
      <c r="S601" s="278"/>
      <c r="T601" s="278"/>
      <c r="U601" s="278"/>
      <c r="V601" s="278"/>
      <c r="W601" s="278"/>
      <c r="X601" s="278"/>
      <c r="Y601" s="278"/>
      <c r="Z601" s="278"/>
    </row>
    <row r="602">
      <c r="A602" s="278"/>
      <c r="B602" s="278"/>
      <c r="C602" s="278"/>
      <c r="D602" s="278"/>
      <c r="E602" s="278"/>
      <c r="F602" s="278"/>
      <c r="G602" s="278"/>
      <c r="H602" s="278"/>
      <c r="I602" s="278"/>
      <c r="J602" s="278"/>
      <c r="K602" s="278"/>
      <c r="L602" s="278"/>
      <c r="M602" s="278"/>
      <c r="N602" s="278"/>
      <c r="O602" s="278"/>
      <c r="P602" s="278"/>
      <c r="Q602" s="278"/>
      <c r="R602" s="278"/>
      <c r="S602" s="278"/>
      <c r="T602" s="278"/>
      <c r="U602" s="278"/>
      <c r="V602" s="278"/>
      <c r="W602" s="278"/>
      <c r="X602" s="278"/>
      <c r="Y602" s="278"/>
      <c r="Z602" s="278"/>
    </row>
    <row r="603">
      <c r="A603" s="278"/>
      <c r="B603" s="278"/>
      <c r="C603" s="278"/>
      <c r="D603" s="278"/>
      <c r="E603" s="278"/>
      <c r="F603" s="278"/>
      <c r="G603" s="278"/>
      <c r="H603" s="278"/>
      <c r="I603" s="278"/>
      <c r="J603" s="278"/>
      <c r="K603" s="278"/>
      <c r="L603" s="278"/>
      <c r="M603" s="278"/>
      <c r="N603" s="278"/>
      <c r="O603" s="278"/>
      <c r="P603" s="278"/>
      <c r="Q603" s="278"/>
      <c r="R603" s="278"/>
      <c r="S603" s="278"/>
      <c r="T603" s="278"/>
      <c r="U603" s="278"/>
      <c r="V603" s="278"/>
      <c r="W603" s="278"/>
      <c r="X603" s="278"/>
      <c r="Y603" s="278"/>
      <c r="Z603" s="278"/>
    </row>
    <row r="604">
      <c r="A604" s="278"/>
      <c r="B604" s="278"/>
      <c r="C604" s="278"/>
      <c r="D604" s="278"/>
      <c r="E604" s="278"/>
      <c r="F604" s="278"/>
      <c r="G604" s="278"/>
      <c r="H604" s="278"/>
      <c r="I604" s="278"/>
      <c r="J604" s="278"/>
      <c r="K604" s="278"/>
      <c r="L604" s="278"/>
      <c r="M604" s="278"/>
      <c r="N604" s="278"/>
      <c r="O604" s="278"/>
      <c r="P604" s="278"/>
      <c r="Q604" s="278"/>
      <c r="R604" s="278"/>
      <c r="S604" s="278"/>
      <c r="T604" s="278"/>
      <c r="U604" s="278"/>
      <c r="V604" s="278"/>
      <c r="W604" s="278"/>
      <c r="X604" s="278"/>
      <c r="Y604" s="278"/>
      <c r="Z604" s="278"/>
    </row>
    <row r="605">
      <c r="A605" s="278"/>
      <c r="B605" s="278"/>
      <c r="C605" s="278"/>
      <c r="D605" s="278"/>
      <c r="E605" s="278"/>
      <c r="F605" s="278"/>
      <c r="G605" s="278"/>
      <c r="H605" s="278"/>
      <c r="I605" s="278"/>
      <c r="J605" s="278"/>
      <c r="K605" s="278"/>
      <c r="L605" s="278"/>
      <c r="M605" s="278"/>
      <c r="N605" s="278"/>
      <c r="O605" s="278"/>
      <c r="P605" s="278"/>
      <c r="Q605" s="278"/>
      <c r="R605" s="278"/>
      <c r="S605" s="278"/>
      <c r="T605" s="278"/>
      <c r="U605" s="278"/>
      <c r="V605" s="278"/>
      <c r="W605" s="278"/>
      <c r="X605" s="278"/>
      <c r="Y605" s="278"/>
      <c r="Z605" s="278"/>
    </row>
    <row r="606">
      <c r="A606" s="278"/>
      <c r="B606" s="278"/>
      <c r="C606" s="278"/>
      <c r="D606" s="278"/>
      <c r="E606" s="278"/>
      <c r="F606" s="278"/>
      <c r="G606" s="278"/>
      <c r="H606" s="278"/>
      <c r="I606" s="278"/>
      <c r="J606" s="278"/>
      <c r="K606" s="278"/>
      <c r="L606" s="278"/>
      <c r="M606" s="278"/>
      <c r="N606" s="278"/>
      <c r="O606" s="278"/>
      <c r="P606" s="278"/>
      <c r="Q606" s="278"/>
      <c r="R606" s="278"/>
      <c r="S606" s="278"/>
      <c r="T606" s="278"/>
      <c r="U606" s="278"/>
      <c r="V606" s="278"/>
      <c r="W606" s="278"/>
      <c r="X606" s="278"/>
      <c r="Y606" s="278"/>
      <c r="Z606" s="278"/>
    </row>
    <row r="607">
      <c r="A607" s="278"/>
      <c r="B607" s="278"/>
      <c r="C607" s="278"/>
      <c r="D607" s="278"/>
      <c r="E607" s="278"/>
      <c r="F607" s="278"/>
      <c r="G607" s="278"/>
      <c r="H607" s="278"/>
      <c r="I607" s="278"/>
      <c r="J607" s="278"/>
      <c r="K607" s="278"/>
      <c r="L607" s="278"/>
      <c r="M607" s="278"/>
      <c r="N607" s="278"/>
      <c r="O607" s="278"/>
      <c r="P607" s="278"/>
      <c r="Q607" s="278"/>
      <c r="R607" s="278"/>
      <c r="S607" s="278"/>
      <c r="T607" s="278"/>
      <c r="U607" s="278"/>
      <c r="V607" s="278"/>
      <c r="W607" s="278"/>
      <c r="X607" s="278"/>
      <c r="Y607" s="278"/>
      <c r="Z607" s="278"/>
    </row>
    <row r="608">
      <c r="A608" s="278"/>
      <c r="B608" s="278"/>
      <c r="C608" s="278"/>
      <c r="D608" s="278"/>
      <c r="E608" s="278"/>
      <c r="F608" s="278"/>
      <c r="G608" s="278"/>
      <c r="H608" s="278"/>
      <c r="I608" s="278"/>
      <c r="J608" s="278"/>
      <c r="K608" s="278"/>
      <c r="L608" s="278"/>
      <c r="M608" s="278"/>
      <c r="N608" s="278"/>
      <c r="O608" s="278"/>
      <c r="P608" s="278"/>
      <c r="Q608" s="278"/>
      <c r="R608" s="278"/>
      <c r="S608" s="278"/>
      <c r="T608" s="278"/>
      <c r="U608" s="278"/>
      <c r="V608" s="278"/>
      <c r="W608" s="278"/>
      <c r="X608" s="278"/>
      <c r="Y608" s="278"/>
      <c r="Z608" s="278"/>
    </row>
    <row r="609">
      <c r="A609" s="278"/>
      <c r="B609" s="278"/>
      <c r="C609" s="278"/>
      <c r="D609" s="278"/>
      <c r="E609" s="278"/>
      <c r="F609" s="278"/>
      <c r="G609" s="278"/>
      <c r="H609" s="278"/>
      <c r="I609" s="278"/>
      <c r="J609" s="278"/>
      <c r="K609" s="278"/>
      <c r="L609" s="278"/>
      <c r="M609" s="278"/>
      <c r="N609" s="278"/>
      <c r="O609" s="278"/>
      <c r="P609" s="278"/>
      <c r="Q609" s="278"/>
      <c r="R609" s="278"/>
      <c r="S609" s="278"/>
      <c r="T609" s="278"/>
      <c r="U609" s="278"/>
      <c r="V609" s="278"/>
      <c r="W609" s="278"/>
      <c r="X609" s="278"/>
      <c r="Y609" s="278"/>
      <c r="Z609" s="278"/>
    </row>
    <row r="610">
      <c r="A610" s="278"/>
      <c r="B610" s="278"/>
      <c r="C610" s="278"/>
      <c r="D610" s="278"/>
      <c r="E610" s="278"/>
      <c r="F610" s="278"/>
      <c r="G610" s="278"/>
      <c r="H610" s="278"/>
      <c r="I610" s="278"/>
      <c r="J610" s="278"/>
      <c r="K610" s="278"/>
      <c r="L610" s="278"/>
      <c r="M610" s="278"/>
      <c r="N610" s="278"/>
      <c r="O610" s="278"/>
      <c r="P610" s="278"/>
      <c r="Q610" s="278"/>
      <c r="R610" s="278"/>
      <c r="S610" s="278"/>
      <c r="T610" s="278"/>
      <c r="U610" s="278"/>
      <c r="V610" s="278"/>
      <c r="W610" s="278"/>
      <c r="X610" s="278"/>
      <c r="Y610" s="278"/>
      <c r="Z610" s="278"/>
    </row>
    <row r="611">
      <c r="A611" s="278"/>
      <c r="B611" s="278"/>
      <c r="C611" s="278"/>
      <c r="D611" s="278"/>
      <c r="E611" s="278"/>
      <c r="F611" s="278"/>
      <c r="G611" s="278"/>
      <c r="H611" s="278"/>
      <c r="I611" s="278"/>
      <c r="J611" s="278"/>
      <c r="K611" s="278"/>
      <c r="L611" s="278"/>
      <c r="M611" s="278"/>
      <c r="N611" s="278"/>
      <c r="O611" s="278"/>
      <c r="P611" s="278"/>
      <c r="Q611" s="278"/>
      <c r="R611" s="278"/>
      <c r="S611" s="278"/>
      <c r="T611" s="278"/>
      <c r="U611" s="278"/>
      <c r="V611" s="278"/>
      <c r="W611" s="278"/>
      <c r="X611" s="278"/>
      <c r="Y611" s="278"/>
      <c r="Z611" s="278"/>
    </row>
    <row r="612">
      <c r="A612" s="278"/>
      <c r="B612" s="278"/>
      <c r="C612" s="278"/>
      <c r="D612" s="278"/>
      <c r="E612" s="278"/>
      <c r="F612" s="278"/>
      <c r="G612" s="278"/>
      <c r="H612" s="278"/>
      <c r="I612" s="278"/>
      <c r="J612" s="278"/>
      <c r="K612" s="278"/>
      <c r="L612" s="278"/>
      <c r="M612" s="278"/>
      <c r="N612" s="278"/>
      <c r="O612" s="278"/>
      <c r="P612" s="278"/>
      <c r="Q612" s="278"/>
      <c r="R612" s="278"/>
      <c r="S612" s="278"/>
      <c r="T612" s="278"/>
      <c r="U612" s="278"/>
      <c r="V612" s="278"/>
      <c r="W612" s="278"/>
      <c r="X612" s="278"/>
      <c r="Y612" s="278"/>
      <c r="Z612" s="278"/>
    </row>
    <row r="613">
      <c r="A613" s="278"/>
      <c r="B613" s="278"/>
      <c r="C613" s="278"/>
      <c r="D613" s="278"/>
      <c r="E613" s="278"/>
      <c r="F613" s="278"/>
      <c r="G613" s="278"/>
      <c r="H613" s="278"/>
      <c r="I613" s="278"/>
      <c r="J613" s="278"/>
      <c r="K613" s="278"/>
      <c r="L613" s="278"/>
      <c r="M613" s="278"/>
      <c r="N613" s="278"/>
      <c r="O613" s="278"/>
      <c r="P613" s="278"/>
      <c r="Q613" s="278"/>
      <c r="R613" s="278"/>
      <c r="S613" s="278"/>
      <c r="T613" s="278"/>
      <c r="U613" s="278"/>
      <c r="V613" s="278"/>
      <c r="W613" s="278"/>
      <c r="X613" s="278"/>
      <c r="Y613" s="278"/>
      <c r="Z613" s="278"/>
    </row>
    <row r="614">
      <c r="A614" s="278"/>
      <c r="B614" s="278"/>
      <c r="C614" s="278"/>
      <c r="D614" s="278"/>
      <c r="E614" s="278"/>
      <c r="F614" s="278"/>
      <c r="G614" s="278"/>
      <c r="H614" s="278"/>
      <c r="I614" s="278"/>
      <c r="J614" s="278"/>
      <c r="K614" s="278"/>
      <c r="L614" s="278"/>
      <c r="M614" s="278"/>
      <c r="N614" s="278"/>
      <c r="O614" s="278"/>
      <c r="P614" s="278"/>
      <c r="Q614" s="278"/>
      <c r="R614" s="278"/>
      <c r="S614" s="278"/>
      <c r="T614" s="278"/>
      <c r="U614" s="278"/>
      <c r="V614" s="278"/>
      <c r="W614" s="278"/>
      <c r="X614" s="278"/>
      <c r="Y614" s="278"/>
      <c r="Z614" s="278"/>
    </row>
    <row r="615">
      <c r="A615" s="278"/>
      <c r="B615" s="278"/>
      <c r="C615" s="278"/>
      <c r="D615" s="278"/>
      <c r="E615" s="278"/>
      <c r="F615" s="278"/>
      <c r="G615" s="278"/>
      <c r="H615" s="278"/>
      <c r="I615" s="278"/>
      <c r="J615" s="278"/>
      <c r="K615" s="278"/>
      <c r="L615" s="278"/>
      <c r="M615" s="278"/>
      <c r="N615" s="278"/>
      <c r="O615" s="278"/>
      <c r="P615" s="278"/>
      <c r="Q615" s="278"/>
      <c r="R615" s="278"/>
      <c r="S615" s="278"/>
      <c r="T615" s="278"/>
      <c r="U615" s="278"/>
      <c r="V615" s="278"/>
      <c r="W615" s="278"/>
      <c r="X615" s="278"/>
      <c r="Y615" s="278"/>
      <c r="Z615" s="278"/>
    </row>
    <row r="616">
      <c r="A616" s="278"/>
      <c r="B616" s="278"/>
      <c r="C616" s="278"/>
      <c r="D616" s="278"/>
      <c r="E616" s="278"/>
      <c r="F616" s="278"/>
      <c r="G616" s="278"/>
      <c r="H616" s="278"/>
      <c r="I616" s="278"/>
      <c r="J616" s="278"/>
      <c r="K616" s="278"/>
      <c r="L616" s="278"/>
      <c r="M616" s="278"/>
      <c r="N616" s="278"/>
      <c r="O616" s="278"/>
      <c r="P616" s="278"/>
      <c r="Q616" s="278"/>
      <c r="R616" s="278"/>
      <c r="S616" s="278"/>
      <c r="T616" s="278"/>
      <c r="U616" s="278"/>
      <c r="V616" s="278"/>
      <c r="W616" s="278"/>
      <c r="X616" s="278"/>
      <c r="Y616" s="278"/>
      <c r="Z616" s="278"/>
    </row>
    <row r="617">
      <c r="A617" s="278"/>
      <c r="B617" s="278"/>
      <c r="C617" s="278"/>
      <c r="D617" s="278"/>
      <c r="E617" s="278"/>
      <c r="F617" s="278"/>
      <c r="G617" s="278"/>
      <c r="H617" s="278"/>
      <c r="I617" s="278"/>
      <c r="J617" s="278"/>
      <c r="K617" s="278"/>
      <c r="L617" s="278"/>
      <c r="M617" s="278"/>
      <c r="N617" s="278"/>
      <c r="O617" s="278"/>
      <c r="P617" s="278"/>
      <c r="Q617" s="278"/>
      <c r="R617" s="278"/>
      <c r="S617" s="278"/>
      <c r="T617" s="278"/>
      <c r="U617" s="278"/>
      <c r="V617" s="278"/>
      <c r="W617" s="278"/>
      <c r="X617" s="278"/>
      <c r="Y617" s="278"/>
      <c r="Z617" s="278"/>
    </row>
    <row r="618">
      <c r="A618" s="278"/>
      <c r="B618" s="278"/>
      <c r="C618" s="278"/>
      <c r="D618" s="278"/>
      <c r="E618" s="278"/>
      <c r="F618" s="278"/>
      <c r="G618" s="278"/>
      <c r="H618" s="278"/>
      <c r="I618" s="278"/>
      <c r="J618" s="278"/>
      <c r="K618" s="278"/>
      <c r="L618" s="278"/>
      <c r="M618" s="278"/>
      <c r="N618" s="278"/>
      <c r="O618" s="278"/>
      <c r="P618" s="278"/>
      <c r="Q618" s="278"/>
      <c r="R618" s="278"/>
      <c r="S618" s="278"/>
      <c r="T618" s="278"/>
      <c r="U618" s="278"/>
      <c r="V618" s="278"/>
      <c r="W618" s="278"/>
      <c r="X618" s="278"/>
      <c r="Y618" s="278"/>
      <c r="Z618" s="278"/>
    </row>
    <row r="619">
      <c r="A619" s="278"/>
      <c r="B619" s="278"/>
      <c r="C619" s="278"/>
      <c r="D619" s="278"/>
      <c r="E619" s="278"/>
      <c r="F619" s="278"/>
      <c r="G619" s="278"/>
      <c r="H619" s="278"/>
      <c r="I619" s="278"/>
      <c r="J619" s="278"/>
      <c r="K619" s="278"/>
      <c r="L619" s="278"/>
      <c r="M619" s="278"/>
      <c r="N619" s="278"/>
      <c r="O619" s="278"/>
      <c r="P619" s="278"/>
      <c r="Q619" s="278"/>
      <c r="R619" s="278"/>
      <c r="S619" s="278"/>
      <c r="T619" s="278"/>
      <c r="U619" s="278"/>
      <c r="V619" s="278"/>
      <c r="W619" s="278"/>
      <c r="X619" s="278"/>
      <c r="Y619" s="278"/>
      <c r="Z619" s="278"/>
    </row>
    <row r="620">
      <c r="A620" s="278"/>
      <c r="B620" s="278"/>
      <c r="C620" s="278"/>
      <c r="D620" s="278"/>
      <c r="E620" s="278"/>
      <c r="F620" s="278"/>
      <c r="G620" s="278"/>
      <c r="H620" s="278"/>
      <c r="I620" s="278"/>
      <c r="J620" s="278"/>
      <c r="K620" s="278"/>
      <c r="L620" s="278"/>
      <c r="M620" s="278"/>
      <c r="N620" s="278"/>
      <c r="O620" s="278"/>
      <c r="P620" s="278"/>
      <c r="Q620" s="278"/>
      <c r="R620" s="278"/>
      <c r="S620" s="278"/>
      <c r="T620" s="278"/>
      <c r="U620" s="278"/>
      <c r="V620" s="278"/>
      <c r="W620" s="278"/>
      <c r="X620" s="278"/>
      <c r="Y620" s="278"/>
      <c r="Z620" s="278"/>
    </row>
    <row r="621">
      <c r="A621" s="278"/>
      <c r="B621" s="278"/>
      <c r="C621" s="278"/>
      <c r="D621" s="278"/>
      <c r="E621" s="278"/>
      <c r="F621" s="278"/>
      <c r="G621" s="278"/>
      <c r="H621" s="278"/>
      <c r="I621" s="278"/>
      <c r="J621" s="278"/>
      <c r="K621" s="278"/>
      <c r="L621" s="278"/>
      <c r="M621" s="278"/>
      <c r="N621" s="278"/>
      <c r="O621" s="278"/>
      <c r="P621" s="278"/>
      <c r="Q621" s="278"/>
      <c r="R621" s="278"/>
      <c r="S621" s="278"/>
      <c r="T621" s="278"/>
      <c r="U621" s="278"/>
      <c r="V621" s="278"/>
      <c r="W621" s="278"/>
      <c r="X621" s="278"/>
      <c r="Y621" s="278"/>
      <c r="Z621" s="278"/>
    </row>
    <row r="622">
      <c r="A622" s="278"/>
      <c r="B622" s="278"/>
      <c r="C622" s="278"/>
      <c r="D622" s="278"/>
      <c r="E622" s="278"/>
      <c r="F622" s="278"/>
      <c r="G622" s="278"/>
      <c r="H622" s="278"/>
      <c r="I622" s="278"/>
      <c r="J622" s="278"/>
      <c r="K622" s="278"/>
      <c r="L622" s="278"/>
      <c r="M622" s="278"/>
      <c r="N622" s="278"/>
      <c r="O622" s="278"/>
      <c r="P622" s="278"/>
      <c r="Q622" s="278"/>
      <c r="R622" s="278"/>
      <c r="S622" s="278"/>
      <c r="T622" s="278"/>
      <c r="U622" s="278"/>
      <c r="V622" s="278"/>
      <c r="W622" s="278"/>
      <c r="X622" s="278"/>
      <c r="Y622" s="278"/>
      <c r="Z622" s="278"/>
    </row>
    <row r="623">
      <c r="A623" s="278"/>
      <c r="B623" s="278"/>
      <c r="C623" s="278"/>
      <c r="D623" s="278"/>
      <c r="E623" s="278"/>
      <c r="F623" s="278"/>
      <c r="G623" s="278"/>
      <c r="H623" s="278"/>
      <c r="I623" s="278"/>
      <c r="J623" s="278"/>
      <c r="K623" s="278"/>
      <c r="L623" s="278"/>
      <c r="M623" s="278"/>
      <c r="N623" s="278"/>
      <c r="O623" s="278"/>
      <c r="P623" s="278"/>
      <c r="Q623" s="278"/>
      <c r="R623" s="278"/>
      <c r="S623" s="278"/>
      <c r="T623" s="278"/>
      <c r="U623" s="278"/>
      <c r="V623" s="278"/>
      <c r="W623" s="278"/>
      <c r="X623" s="278"/>
      <c r="Y623" s="278"/>
      <c r="Z623" s="278"/>
    </row>
    <row r="624">
      <c r="A624" s="278"/>
      <c r="B624" s="278"/>
      <c r="C624" s="278"/>
      <c r="D624" s="278"/>
      <c r="E624" s="278"/>
      <c r="F624" s="278"/>
      <c r="G624" s="278"/>
      <c r="H624" s="278"/>
      <c r="I624" s="278"/>
      <c r="J624" s="278"/>
      <c r="K624" s="278"/>
      <c r="L624" s="278"/>
      <c r="M624" s="278"/>
      <c r="N624" s="278"/>
      <c r="O624" s="278"/>
      <c r="P624" s="278"/>
      <c r="Q624" s="278"/>
      <c r="R624" s="278"/>
      <c r="S624" s="278"/>
      <c r="T624" s="278"/>
      <c r="U624" s="278"/>
      <c r="V624" s="278"/>
      <c r="W624" s="278"/>
      <c r="X624" s="278"/>
      <c r="Y624" s="278"/>
      <c r="Z624" s="278"/>
    </row>
    <row r="625">
      <c r="A625" s="278"/>
      <c r="B625" s="278"/>
      <c r="C625" s="278"/>
      <c r="D625" s="278"/>
      <c r="E625" s="278"/>
      <c r="F625" s="278"/>
      <c r="G625" s="278"/>
      <c r="H625" s="278"/>
      <c r="I625" s="278"/>
      <c r="J625" s="278"/>
      <c r="K625" s="278"/>
      <c r="L625" s="278"/>
      <c r="M625" s="278"/>
      <c r="N625" s="278"/>
      <c r="O625" s="278"/>
      <c r="P625" s="278"/>
      <c r="Q625" s="278"/>
      <c r="R625" s="278"/>
      <c r="S625" s="278"/>
      <c r="T625" s="278"/>
      <c r="U625" s="278"/>
      <c r="V625" s="278"/>
      <c r="W625" s="278"/>
      <c r="X625" s="278"/>
      <c r="Y625" s="278"/>
      <c r="Z625" s="278"/>
    </row>
    <row r="626">
      <c r="A626" s="278"/>
      <c r="B626" s="278"/>
      <c r="C626" s="278"/>
      <c r="D626" s="278"/>
      <c r="E626" s="278"/>
      <c r="F626" s="278"/>
      <c r="G626" s="278"/>
      <c r="H626" s="278"/>
      <c r="I626" s="278"/>
      <c r="J626" s="278"/>
      <c r="K626" s="278"/>
      <c r="L626" s="278"/>
      <c r="M626" s="278"/>
      <c r="N626" s="278"/>
      <c r="O626" s="278"/>
      <c r="P626" s="278"/>
      <c r="Q626" s="278"/>
      <c r="R626" s="278"/>
      <c r="S626" s="278"/>
      <c r="T626" s="278"/>
      <c r="U626" s="278"/>
      <c r="V626" s="278"/>
      <c r="W626" s="278"/>
      <c r="X626" s="278"/>
      <c r="Y626" s="278"/>
      <c r="Z626" s="278"/>
    </row>
    <row r="627">
      <c r="A627" s="278"/>
      <c r="B627" s="278"/>
      <c r="C627" s="278"/>
      <c r="D627" s="278"/>
      <c r="E627" s="278"/>
      <c r="F627" s="278"/>
      <c r="G627" s="278"/>
      <c r="H627" s="278"/>
      <c r="I627" s="278"/>
      <c r="J627" s="278"/>
      <c r="K627" s="278"/>
      <c r="L627" s="278"/>
      <c r="M627" s="278"/>
      <c r="N627" s="278"/>
      <c r="O627" s="278"/>
      <c r="P627" s="278"/>
      <c r="Q627" s="278"/>
      <c r="R627" s="278"/>
      <c r="S627" s="278"/>
      <c r="T627" s="278"/>
      <c r="U627" s="278"/>
      <c r="V627" s="278"/>
      <c r="W627" s="278"/>
      <c r="X627" s="278"/>
      <c r="Y627" s="278"/>
      <c r="Z627" s="278"/>
    </row>
    <row r="628">
      <c r="A628" s="278"/>
      <c r="B628" s="278"/>
      <c r="C628" s="278"/>
      <c r="D628" s="278"/>
      <c r="E628" s="278"/>
      <c r="F628" s="278"/>
      <c r="G628" s="278"/>
      <c r="H628" s="278"/>
      <c r="I628" s="278"/>
      <c r="J628" s="278"/>
      <c r="K628" s="278"/>
      <c r="L628" s="278"/>
      <c r="M628" s="278"/>
      <c r="N628" s="278"/>
      <c r="O628" s="278"/>
      <c r="P628" s="278"/>
      <c r="Q628" s="278"/>
      <c r="R628" s="278"/>
      <c r="S628" s="278"/>
      <c r="T628" s="278"/>
      <c r="U628" s="278"/>
      <c r="V628" s="278"/>
      <c r="W628" s="278"/>
      <c r="X628" s="278"/>
      <c r="Y628" s="278"/>
      <c r="Z628" s="278"/>
    </row>
    <row r="629">
      <c r="A629" s="278"/>
      <c r="B629" s="278"/>
      <c r="C629" s="278"/>
      <c r="D629" s="278"/>
      <c r="E629" s="278"/>
      <c r="F629" s="278"/>
      <c r="G629" s="278"/>
      <c r="H629" s="278"/>
      <c r="I629" s="278"/>
      <c r="J629" s="278"/>
      <c r="K629" s="278"/>
      <c r="L629" s="278"/>
      <c r="M629" s="278"/>
      <c r="N629" s="278"/>
      <c r="O629" s="278"/>
      <c r="P629" s="278"/>
      <c r="Q629" s="278"/>
      <c r="R629" s="278"/>
      <c r="S629" s="278"/>
      <c r="T629" s="278"/>
      <c r="U629" s="278"/>
      <c r="V629" s="278"/>
      <c r="W629" s="278"/>
      <c r="X629" s="278"/>
      <c r="Y629" s="278"/>
      <c r="Z629" s="278"/>
    </row>
    <row r="630">
      <c r="A630" s="278"/>
      <c r="B630" s="278"/>
      <c r="C630" s="278"/>
      <c r="D630" s="278"/>
      <c r="E630" s="278"/>
      <c r="F630" s="278"/>
      <c r="G630" s="278"/>
      <c r="H630" s="278"/>
      <c r="I630" s="278"/>
      <c r="J630" s="278"/>
      <c r="K630" s="278"/>
      <c r="L630" s="278"/>
      <c r="M630" s="278"/>
      <c r="N630" s="278"/>
      <c r="O630" s="278"/>
      <c r="P630" s="278"/>
      <c r="Q630" s="278"/>
      <c r="R630" s="278"/>
      <c r="S630" s="278"/>
      <c r="T630" s="278"/>
      <c r="U630" s="278"/>
      <c r="V630" s="278"/>
      <c r="W630" s="278"/>
      <c r="X630" s="278"/>
      <c r="Y630" s="278"/>
      <c r="Z630" s="278"/>
    </row>
    <row r="631">
      <c r="A631" s="278"/>
      <c r="B631" s="278"/>
      <c r="C631" s="278"/>
      <c r="D631" s="278"/>
      <c r="E631" s="278"/>
      <c r="F631" s="278"/>
      <c r="G631" s="278"/>
      <c r="H631" s="278"/>
      <c r="I631" s="278"/>
      <c r="J631" s="278"/>
      <c r="K631" s="278"/>
      <c r="L631" s="278"/>
      <c r="M631" s="278"/>
      <c r="N631" s="278"/>
      <c r="O631" s="278"/>
      <c r="P631" s="278"/>
      <c r="Q631" s="278"/>
      <c r="R631" s="278"/>
      <c r="S631" s="278"/>
      <c r="T631" s="278"/>
      <c r="U631" s="278"/>
      <c r="V631" s="278"/>
      <c r="W631" s="278"/>
      <c r="X631" s="278"/>
      <c r="Y631" s="278"/>
      <c r="Z631" s="278"/>
    </row>
    <row r="632">
      <c r="A632" s="278"/>
      <c r="B632" s="278"/>
      <c r="C632" s="278"/>
      <c r="D632" s="278"/>
      <c r="E632" s="278"/>
      <c r="F632" s="278"/>
      <c r="G632" s="278"/>
      <c r="H632" s="278"/>
      <c r="I632" s="278"/>
      <c r="J632" s="278"/>
      <c r="K632" s="278"/>
      <c r="L632" s="278"/>
      <c r="M632" s="278"/>
      <c r="N632" s="278"/>
      <c r="O632" s="278"/>
      <c r="P632" s="278"/>
      <c r="Q632" s="278"/>
      <c r="R632" s="278"/>
      <c r="S632" s="278"/>
      <c r="T632" s="278"/>
      <c r="U632" s="278"/>
      <c r="V632" s="278"/>
      <c r="W632" s="278"/>
      <c r="X632" s="278"/>
      <c r="Y632" s="278"/>
      <c r="Z632" s="278"/>
    </row>
    <row r="633">
      <c r="A633" s="278"/>
      <c r="B633" s="278"/>
      <c r="C633" s="278"/>
      <c r="D633" s="278"/>
      <c r="E633" s="278"/>
      <c r="F633" s="278"/>
      <c r="G633" s="278"/>
      <c r="H633" s="278"/>
      <c r="I633" s="278"/>
      <c r="J633" s="278"/>
      <c r="K633" s="278"/>
      <c r="L633" s="278"/>
      <c r="M633" s="278"/>
      <c r="N633" s="278"/>
      <c r="O633" s="278"/>
      <c r="P633" s="278"/>
      <c r="Q633" s="278"/>
      <c r="R633" s="278"/>
      <c r="S633" s="278"/>
      <c r="T633" s="278"/>
      <c r="U633" s="278"/>
      <c r="V633" s="278"/>
      <c r="W633" s="278"/>
      <c r="X633" s="278"/>
      <c r="Y633" s="278"/>
      <c r="Z633" s="278"/>
    </row>
    <row r="634">
      <c r="A634" s="278"/>
      <c r="B634" s="278"/>
      <c r="C634" s="278"/>
      <c r="D634" s="278"/>
      <c r="E634" s="278"/>
      <c r="F634" s="278"/>
      <c r="G634" s="278"/>
      <c r="H634" s="278"/>
      <c r="I634" s="278"/>
      <c r="J634" s="278"/>
      <c r="K634" s="278"/>
      <c r="L634" s="278"/>
      <c r="M634" s="278"/>
      <c r="N634" s="278"/>
      <c r="O634" s="278"/>
      <c r="P634" s="278"/>
      <c r="Q634" s="278"/>
      <c r="R634" s="278"/>
      <c r="S634" s="278"/>
      <c r="T634" s="278"/>
      <c r="U634" s="278"/>
      <c r="V634" s="278"/>
      <c r="W634" s="278"/>
      <c r="X634" s="278"/>
      <c r="Y634" s="278"/>
      <c r="Z634" s="278"/>
    </row>
    <row r="635">
      <c r="A635" s="278"/>
      <c r="B635" s="278"/>
      <c r="C635" s="278"/>
      <c r="D635" s="278"/>
      <c r="E635" s="278"/>
      <c r="F635" s="278"/>
      <c r="G635" s="278"/>
      <c r="H635" s="278"/>
      <c r="I635" s="278"/>
      <c r="J635" s="278"/>
      <c r="K635" s="278"/>
      <c r="L635" s="278"/>
      <c r="M635" s="278"/>
      <c r="N635" s="278"/>
      <c r="O635" s="278"/>
      <c r="P635" s="278"/>
      <c r="Q635" s="278"/>
      <c r="R635" s="278"/>
      <c r="S635" s="278"/>
      <c r="T635" s="278"/>
      <c r="U635" s="278"/>
      <c r="V635" s="278"/>
      <c r="W635" s="278"/>
      <c r="X635" s="278"/>
      <c r="Y635" s="278"/>
      <c r="Z635" s="278"/>
    </row>
    <row r="636">
      <c r="A636" s="278"/>
      <c r="B636" s="278"/>
      <c r="C636" s="278"/>
      <c r="D636" s="278"/>
      <c r="E636" s="278"/>
      <c r="F636" s="278"/>
      <c r="G636" s="278"/>
      <c r="H636" s="278"/>
      <c r="I636" s="278"/>
      <c r="J636" s="278"/>
      <c r="K636" s="278"/>
      <c r="L636" s="278"/>
      <c r="M636" s="278"/>
      <c r="N636" s="278"/>
      <c r="O636" s="278"/>
      <c r="P636" s="278"/>
      <c r="Q636" s="278"/>
      <c r="R636" s="278"/>
      <c r="S636" s="278"/>
      <c r="T636" s="278"/>
      <c r="U636" s="278"/>
      <c r="V636" s="278"/>
      <c r="W636" s="278"/>
      <c r="X636" s="278"/>
      <c r="Y636" s="278"/>
      <c r="Z636" s="278"/>
    </row>
    <row r="637">
      <c r="A637" s="278"/>
      <c r="B637" s="278"/>
      <c r="C637" s="278"/>
      <c r="D637" s="278"/>
      <c r="E637" s="278"/>
      <c r="F637" s="278"/>
      <c r="G637" s="278"/>
      <c r="H637" s="278"/>
      <c r="I637" s="278"/>
      <c r="J637" s="278"/>
      <c r="K637" s="278"/>
      <c r="L637" s="278"/>
      <c r="M637" s="278"/>
      <c r="N637" s="278"/>
      <c r="O637" s="278"/>
      <c r="P637" s="278"/>
      <c r="Q637" s="278"/>
      <c r="R637" s="278"/>
      <c r="S637" s="278"/>
      <c r="T637" s="278"/>
      <c r="U637" s="278"/>
      <c r="V637" s="278"/>
      <c r="W637" s="278"/>
      <c r="X637" s="278"/>
      <c r="Y637" s="278"/>
      <c r="Z637" s="278"/>
    </row>
    <row r="638">
      <c r="A638" s="278"/>
      <c r="B638" s="278"/>
      <c r="C638" s="278"/>
      <c r="D638" s="278"/>
      <c r="E638" s="278"/>
      <c r="F638" s="278"/>
      <c r="G638" s="278"/>
      <c r="H638" s="278"/>
      <c r="I638" s="278"/>
      <c r="J638" s="278"/>
      <c r="K638" s="278"/>
      <c r="L638" s="278"/>
      <c r="M638" s="278"/>
      <c r="N638" s="278"/>
      <c r="O638" s="278"/>
      <c r="P638" s="278"/>
      <c r="Q638" s="278"/>
      <c r="R638" s="278"/>
      <c r="S638" s="278"/>
      <c r="T638" s="278"/>
      <c r="U638" s="278"/>
      <c r="V638" s="278"/>
      <c r="W638" s="278"/>
      <c r="X638" s="278"/>
      <c r="Y638" s="278"/>
      <c r="Z638" s="278"/>
    </row>
    <row r="639">
      <c r="A639" s="278"/>
      <c r="B639" s="278"/>
      <c r="C639" s="278"/>
      <c r="D639" s="278"/>
      <c r="E639" s="278"/>
      <c r="F639" s="278"/>
      <c r="G639" s="278"/>
      <c r="H639" s="278"/>
      <c r="I639" s="278"/>
      <c r="J639" s="278"/>
      <c r="K639" s="278"/>
      <c r="L639" s="278"/>
      <c r="M639" s="278"/>
      <c r="N639" s="278"/>
      <c r="O639" s="278"/>
      <c r="P639" s="278"/>
      <c r="Q639" s="278"/>
      <c r="R639" s="278"/>
      <c r="S639" s="278"/>
      <c r="T639" s="278"/>
      <c r="U639" s="278"/>
      <c r="V639" s="278"/>
      <c r="W639" s="278"/>
      <c r="X639" s="278"/>
      <c r="Y639" s="278"/>
      <c r="Z639" s="278"/>
    </row>
    <row r="640">
      <c r="A640" s="278"/>
      <c r="B640" s="278"/>
      <c r="C640" s="278"/>
      <c r="D640" s="278"/>
      <c r="E640" s="278"/>
      <c r="F640" s="278"/>
      <c r="G640" s="278"/>
      <c r="H640" s="278"/>
      <c r="I640" s="278"/>
      <c r="J640" s="278"/>
      <c r="K640" s="278"/>
      <c r="L640" s="278"/>
      <c r="M640" s="278"/>
      <c r="N640" s="278"/>
      <c r="O640" s="278"/>
      <c r="P640" s="278"/>
      <c r="Q640" s="278"/>
      <c r="R640" s="278"/>
      <c r="S640" s="278"/>
      <c r="T640" s="278"/>
      <c r="U640" s="278"/>
      <c r="V640" s="278"/>
      <c r="W640" s="278"/>
      <c r="X640" s="278"/>
      <c r="Y640" s="278"/>
      <c r="Z640" s="278"/>
    </row>
    <row r="641">
      <c r="A641" s="278"/>
      <c r="B641" s="278"/>
      <c r="C641" s="278"/>
      <c r="D641" s="278"/>
      <c r="E641" s="278"/>
      <c r="F641" s="278"/>
      <c r="G641" s="278"/>
      <c r="H641" s="278"/>
      <c r="I641" s="278"/>
      <c r="J641" s="278"/>
      <c r="K641" s="278"/>
      <c r="L641" s="278"/>
      <c r="M641" s="278"/>
      <c r="N641" s="278"/>
      <c r="O641" s="278"/>
      <c r="P641" s="278"/>
      <c r="Q641" s="278"/>
      <c r="R641" s="278"/>
      <c r="S641" s="278"/>
      <c r="T641" s="278"/>
      <c r="U641" s="278"/>
      <c r="V641" s="278"/>
      <c r="W641" s="278"/>
      <c r="X641" s="278"/>
      <c r="Y641" s="278"/>
      <c r="Z641" s="278"/>
    </row>
    <row r="642">
      <c r="A642" s="278"/>
      <c r="B642" s="278"/>
      <c r="C642" s="278"/>
      <c r="D642" s="278"/>
      <c r="E642" s="278"/>
      <c r="F642" s="278"/>
      <c r="G642" s="278"/>
      <c r="H642" s="278"/>
      <c r="I642" s="278"/>
      <c r="J642" s="278"/>
      <c r="K642" s="278"/>
      <c r="L642" s="278"/>
      <c r="M642" s="278"/>
      <c r="N642" s="278"/>
      <c r="O642" s="278"/>
      <c r="P642" s="278"/>
      <c r="Q642" s="278"/>
      <c r="R642" s="278"/>
      <c r="S642" s="278"/>
      <c r="T642" s="278"/>
      <c r="U642" s="278"/>
      <c r="V642" s="278"/>
      <c r="W642" s="278"/>
      <c r="X642" s="278"/>
      <c r="Y642" s="278"/>
      <c r="Z642" s="278"/>
    </row>
    <row r="643">
      <c r="A643" s="278"/>
      <c r="B643" s="278"/>
      <c r="C643" s="278"/>
      <c r="D643" s="278"/>
      <c r="E643" s="278"/>
      <c r="F643" s="278"/>
      <c r="G643" s="278"/>
      <c r="H643" s="278"/>
      <c r="I643" s="278"/>
      <c r="J643" s="278"/>
      <c r="K643" s="278"/>
      <c r="L643" s="278"/>
      <c r="M643" s="278"/>
      <c r="N643" s="278"/>
      <c r="O643" s="278"/>
      <c r="P643" s="278"/>
      <c r="Q643" s="278"/>
      <c r="R643" s="278"/>
      <c r="S643" s="278"/>
      <c r="T643" s="278"/>
      <c r="U643" s="278"/>
      <c r="V643" s="278"/>
      <c r="W643" s="278"/>
      <c r="X643" s="278"/>
      <c r="Y643" s="278"/>
      <c r="Z643" s="278"/>
    </row>
    <row r="644">
      <c r="A644" s="278"/>
      <c r="B644" s="278"/>
      <c r="C644" s="278"/>
      <c r="D644" s="278"/>
      <c r="E644" s="278"/>
      <c r="F644" s="278"/>
      <c r="G644" s="278"/>
      <c r="H644" s="278"/>
      <c r="I644" s="278"/>
      <c r="J644" s="278"/>
      <c r="K644" s="278"/>
      <c r="L644" s="278"/>
      <c r="M644" s="278"/>
      <c r="N644" s="278"/>
      <c r="O644" s="278"/>
      <c r="P644" s="278"/>
      <c r="Q644" s="278"/>
      <c r="R644" s="278"/>
      <c r="S644" s="278"/>
      <c r="T644" s="278"/>
      <c r="U644" s="278"/>
      <c r="V644" s="278"/>
      <c r="W644" s="278"/>
      <c r="X644" s="278"/>
      <c r="Y644" s="278"/>
      <c r="Z644" s="278"/>
    </row>
    <row r="645">
      <c r="A645" s="278"/>
      <c r="B645" s="278"/>
      <c r="C645" s="278"/>
      <c r="D645" s="278"/>
      <c r="E645" s="278"/>
      <c r="F645" s="278"/>
      <c r="G645" s="278"/>
      <c r="H645" s="278"/>
      <c r="I645" s="278"/>
      <c r="J645" s="278"/>
      <c r="K645" s="278"/>
      <c r="L645" s="278"/>
      <c r="M645" s="278"/>
      <c r="N645" s="278"/>
      <c r="O645" s="278"/>
      <c r="P645" s="278"/>
      <c r="Q645" s="278"/>
      <c r="R645" s="278"/>
      <c r="S645" s="278"/>
      <c r="T645" s="278"/>
      <c r="U645" s="278"/>
      <c r="V645" s="278"/>
      <c r="W645" s="278"/>
      <c r="X645" s="278"/>
      <c r="Y645" s="278"/>
      <c r="Z645" s="278"/>
    </row>
    <row r="646">
      <c r="A646" s="278"/>
      <c r="B646" s="278"/>
      <c r="C646" s="278"/>
      <c r="D646" s="278"/>
      <c r="E646" s="278"/>
      <c r="F646" s="278"/>
      <c r="G646" s="278"/>
      <c r="H646" s="278"/>
      <c r="I646" s="278"/>
      <c r="J646" s="278"/>
      <c r="K646" s="278"/>
      <c r="L646" s="278"/>
      <c r="M646" s="278"/>
      <c r="N646" s="278"/>
      <c r="O646" s="278"/>
      <c r="P646" s="278"/>
      <c r="Q646" s="278"/>
      <c r="R646" s="278"/>
      <c r="S646" s="278"/>
      <c r="T646" s="278"/>
      <c r="U646" s="278"/>
      <c r="V646" s="278"/>
      <c r="W646" s="278"/>
      <c r="X646" s="278"/>
      <c r="Y646" s="278"/>
      <c r="Z646" s="278"/>
    </row>
    <row r="647">
      <c r="A647" s="278"/>
      <c r="B647" s="278"/>
      <c r="C647" s="278"/>
      <c r="D647" s="278"/>
      <c r="E647" s="278"/>
      <c r="F647" s="278"/>
      <c r="G647" s="278"/>
      <c r="H647" s="278"/>
      <c r="I647" s="278"/>
      <c r="J647" s="278"/>
      <c r="K647" s="278"/>
      <c r="L647" s="278"/>
      <c r="M647" s="278"/>
      <c r="N647" s="278"/>
      <c r="O647" s="278"/>
      <c r="P647" s="278"/>
      <c r="Q647" s="278"/>
      <c r="R647" s="278"/>
      <c r="S647" s="278"/>
      <c r="T647" s="278"/>
      <c r="U647" s="278"/>
      <c r="V647" s="278"/>
      <c r="W647" s="278"/>
      <c r="X647" s="278"/>
      <c r="Y647" s="278"/>
      <c r="Z647" s="278"/>
    </row>
    <row r="648">
      <c r="A648" s="278"/>
      <c r="B648" s="278"/>
      <c r="C648" s="278"/>
      <c r="D648" s="278"/>
      <c r="E648" s="278"/>
      <c r="F648" s="278"/>
      <c r="G648" s="278"/>
      <c r="H648" s="278"/>
      <c r="I648" s="278"/>
      <c r="J648" s="278"/>
      <c r="K648" s="278"/>
      <c r="L648" s="278"/>
      <c r="M648" s="278"/>
      <c r="N648" s="278"/>
      <c r="O648" s="278"/>
      <c r="P648" s="278"/>
      <c r="Q648" s="278"/>
      <c r="R648" s="278"/>
      <c r="S648" s="278"/>
      <c r="T648" s="278"/>
      <c r="U648" s="278"/>
      <c r="V648" s="278"/>
      <c r="W648" s="278"/>
      <c r="X648" s="278"/>
      <c r="Y648" s="278"/>
      <c r="Z648" s="278"/>
    </row>
    <row r="649">
      <c r="A649" s="278"/>
      <c r="B649" s="278"/>
      <c r="C649" s="278"/>
      <c r="D649" s="278"/>
      <c r="E649" s="278"/>
      <c r="F649" s="278"/>
      <c r="G649" s="278"/>
      <c r="H649" s="278"/>
      <c r="I649" s="278"/>
      <c r="J649" s="278"/>
      <c r="K649" s="278"/>
      <c r="L649" s="278"/>
      <c r="M649" s="278"/>
      <c r="N649" s="278"/>
      <c r="O649" s="278"/>
      <c r="P649" s="278"/>
      <c r="Q649" s="278"/>
      <c r="R649" s="278"/>
      <c r="S649" s="278"/>
      <c r="T649" s="278"/>
      <c r="U649" s="278"/>
      <c r="V649" s="278"/>
      <c r="W649" s="278"/>
      <c r="X649" s="278"/>
      <c r="Y649" s="278"/>
      <c r="Z649" s="278"/>
    </row>
    <row r="650">
      <c r="A650" s="278"/>
      <c r="B650" s="278"/>
      <c r="C650" s="278"/>
      <c r="D650" s="278"/>
      <c r="E650" s="278"/>
      <c r="F650" s="278"/>
      <c r="G650" s="278"/>
      <c r="H650" s="278"/>
      <c r="I650" s="278"/>
      <c r="J650" s="278"/>
      <c r="K650" s="278"/>
      <c r="L650" s="278"/>
      <c r="M650" s="278"/>
      <c r="N650" s="278"/>
      <c r="O650" s="278"/>
      <c r="P650" s="278"/>
      <c r="Q650" s="278"/>
      <c r="R650" s="278"/>
      <c r="S650" s="278"/>
      <c r="T650" s="278"/>
      <c r="U650" s="278"/>
      <c r="V650" s="278"/>
      <c r="W650" s="278"/>
      <c r="X650" s="278"/>
      <c r="Y650" s="278"/>
      <c r="Z650" s="278"/>
    </row>
    <row r="651">
      <c r="A651" s="278"/>
      <c r="B651" s="278"/>
      <c r="C651" s="278"/>
      <c r="D651" s="278"/>
      <c r="E651" s="278"/>
      <c r="F651" s="278"/>
      <c r="G651" s="278"/>
      <c r="H651" s="278"/>
      <c r="I651" s="278"/>
      <c r="J651" s="278"/>
      <c r="K651" s="278"/>
      <c r="L651" s="278"/>
      <c r="M651" s="278"/>
      <c r="N651" s="278"/>
      <c r="O651" s="278"/>
      <c r="P651" s="278"/>
      <c r="Q651" s="278"/>
      <c r="R651" s="278"/>
      <c r="S651" s="278"/>
      <c r="T651" s="278"/>
      <c r="U651" s="278"/>
      <c r="V651" s="278"/>
      <c r="W651" s="278"/>
      <c r="X651" s="278"/>
      <c r="Y651" s="278"/>
      <c r="Z651" s="278"/>
    </row>
    <row r="652">
      <c r="A652" s="278"/>
      <c r="B652" s="278"/>
      <c r="C652" s="278"/>
      <c r="D652" s="278"/>
      <c r="E652" s="278"/>
      <c r="F652" s="278"/>
      <c r="G652" s="278"/>
      <c r="H652" s="278"/>
      <c r="I652" s="278"/>
      <c r="J652" s="278"/>
      <c r="K652" s="278"/>
      <c r="L652" s="278"/>
      <c r="M652" s="278"/>
      <c r="N652" s="278"/>
      <c r="O652" s="278"/>
      <c r="P652" s="278"/>
      <c r="Q652" s="278"/>
      <c r="R652" s="278"/>
      <c r="S652" s="278"/>
      <c r="T652" s="278"/>
      <c r="U652" s="278"/>
      <c r="V652" s="278"/>
      <c r="W652" s="278"/>
      <c r="X652" s="278"/>
      <c r="Y652" s="278"/>
      <c r="Z652" s="278"/>
    </row>
    <row r="653">
      <c r="A653" s="278"/>
      <c r="B653" s="278"/>
      <c r="C653" s="278"/>
      <c r="D653" s="278"/>
      <c r="E653" s="278"/>
      <c r="F653" s="278"/>
      <c r="G653" s="278"/>
      <c r="H653" s="278"/>
      <c r="I653" s="278"/>
      <c r="J653" s="278"/>
      <c r="K653" s="278"/>
      <c r="L653" s="278"/>
      <c r="M653" s="278"/>
      <c r="N653" s="278"/>
      <c r="O653" s="278"/>
      <c r="P653" s="278"/>
      <c r="Q653" s="278"/>
      <c r="R653" s="278"/>
      <c r="S653" s="278"/>
      <c r="T653" s="278"/>
      <c r="U653" s="278"/>
      <c r="V653" s="278"/>
      <c r="W653" s="278"/>
      <c r="X653" s="278"/>
      <c r="Y653" s="278"/>
      <c r="Z653" s="278"/>
    </row>
    <row r="654">
      <c r="A654" s="278"/>
      <c r="B654" s="278"/>
      <c r="C654" s="278"/>
      <c r="D654" s="278"/>
      <c r="E654" s="278"/>
      <c r="F654" s="278"/>
      <c r="G654" s="278"/>
      <c r="H654" s="278"/>
      <c r="I654" s="278"/>
      <c r="J654" s="278"/>
      <c r="K654" s="278"/>
      <c r="L654" s="278"/>
      <c r="M654" s="278"/>
      <c r="N654" s="278"/>
      <c r="O654" s="278"/>
      <c r="P654" s="278"/>
      <c r="Q654" s="278"/>
      <c r="R654" s="278"/>
      <c r="S654" s="278"/>
      <c r="T654" s="278"/>
      <c r="U654" s="278"/>
      <c r="V654" s="278"/>
      <c r="W654" s="278"/>
      <c r="X654" s="278"/>
      <c r="Y654" s="278"/>
      <c r="Z654" s="278"/>
    </row>
    <row r="655">
      <c r="A655" s="278"/>
      <c r="B655" s="278"/>
      <c r="C655" s="278"/>
      <c r="D655" s="278"/>
      <c r="E655" s="278"/>
      <c r="F655" s="278"/>
      <c r="G655" s="278"/>
      <c r="H655" s="278"/>
      <c r="I655" s="278"/>
      <c r="J655" s="278"/>
      <c r="K655" s="278"/>
      <c r="L655" s="278"/>
      <c r="M655" s="278"/>
      <c r="N655" s="278"/>
      <c r="O655" s="278"/>
      <c r="P655" s="278"/>
      <c r="Q655" s="278"/>
      <c r="R655" s="278"/>
      <c r="S655" s="278"/>
      <c r="T655" s="278"/>
      <c r="U655" s="278"/>
      <c r="V655" s="278"/>
      <c r="W655" s="278"/>
      <c r="X655" s="278"/>
      <c r="Y655" s="278"/>
      <c r="Z655" s="278"/>
    </row>
    <row r="656">
      <c r="A656" s="278"/>
      <c r="B656" s="278"/>
      <c r="C656" s="278"/>
      <c r="D656" s="278"/>
      <c r="E656" s="278"/>
      <c r="F656" s="278"/>
      <c r="G656" s="278"/>
      <c r="H656" s="278"/>
      <c r="I656" s="278"/>
      <c r="J656" s="278"/>
      <c r="K656" s="278"/>
      <c r="L656" s="278"/>
      <c r="M656" s="278"/>
      <c r="N656" s="278"/>
      <c r="O656" s="278"/>
      <c r="P656" s="278"/>
      <c r="Q656" s="278"/>
      <c r="R656" s="278"/>
      <c r="S656" s="278"/>
      <c r="T656" s="278"/>
      <c r="U656" s="278"/>
      <c r="V656" s="278"/>
      <c r="W656" s="278"/>
      <c r="X656" s="278"/>
      <c r="Y656" s="278"/>
      <c r="Z656" s="278"/>
    </row>
    <row r="657">
      <c r="A657" s="278"/>
      <c r="B657" s="278"/>
      <c r="C657" s="278"/>
      <c r="D657" s="278"/>
      <c r="E657" s="278"/>
      <c r="F657" s="278"/>
      <c r="G657" s="278"/>
      <c r="H657" s="278"/>
      <c r="I657" s="278"/>
      <c r="J657" s="278"/>
      <c r="K657" s="278"/>
      <c r="L657" s="278"/>
      <c r="M657" s="278"/>
      <c r="N657" s="278"/>
      <c r="O657" s="278"/>
      <c r="P657" s="278"/>
      <c r="Q657" s="278"/>
      <c r="R657" s="278"/>
      <c r="S657" s="278"/>
      <c r="T657" s="278"/>
      <c r="U657" s="278"/>
      <c r="V657" s="278"/>
      <c r="W657" s="278"/>
      <c r="X657" s="278"/>
      <c r="Y657" s="278"/>
      <c r="Z657" s="278"/>
    </row>
    <row r="658">
      <c r="A658" s="278"/>
      <c r="B658" s="278"/>
      <c r="C658" s="278"/>
      <c r="D658" s="278"/>
      <c r="E658" s="278"/>
      <c r="F658" s="278"/>
      <c r="G658" s="278"/>
      <c r="H658" s="278"/>
      <c r="I658" s="278"/>
      <c r="J658" s="278"/>
      <c r="K658" s="278"/>
      <c r="L658" s="278"/>
      <c r="M658" s="278"/>
      <c r="N658" s="278"/>
      <c r="O658" s="278"/>
      <c r="P658" s="278"/>
      <c r="Q658" s="278"/>
      <c r="R658" s="278"/>
      <c r="S658" s="278"/>
      <c r="T658" s="278"/>
      <c r="U658" s="278"/>
      <c r="V658" s="278"/>
      <c r="W658" s="278"/>
      <c r="X658" s="278"/>
      <c r="Y658" s="278"/>
      <c r="Z658" s="278"/>
    </row>
    <row r="659">
      <c r="A659" s="278"/>
      <c r="B659" s="278"/>
      <c r="C659" s="278"/>
      <c r="D659" s="278"/>
      <c r="E659" s="278"/>
      <c r="F659" s="278"/>
      <c r="G659" s="278"/>
      <c r="H659" s="278"/>
      <c r="I659" s="278"/>
      <c r="J659" s="278"/>
      <c r="K659" s="278"/>
      <c r="L659" s="278"/>
      <c r="M659" s="278"/>
      <c r="N659" s="278"/>
      <c r="O659" s="278"/>
      <c r="P659" s="278"/>
      <c r="Q659" s="278"/>
      <c r="R659" s="278"/>
      <c r="S659" s="278"/>
      <c r="T659" s="278"/>
      <c r="U659" s="278"/>
      <c r="V659" s="278"/>
      <c r="W659" s="278"/>
      <c r="X659" s="278"/>
      <c r="Y659" s="278"/>
      <c r="Z659" s="278"/>
    </row>
    <row r="660">
      <c r="A660" s="278"/>
      <c r="B660" s="278"/>
      <c r="C660" s="278"/>
      <c r="D660" s="278"/>
      <c r="E660" s="278"/>
      <c r="F660" s="278"/>
      <c r="G660" s="278"/>
      <c r="H660" s="278"/>
      <c r="I660" s="278"/>
      <c r="J660" s="278"/>
      <c r="K660" s="278"/>
      <c r="L660" s="278"/>
      <c r="M660" s="278"/>
      <c r="N660" s="278"/>
      <c r="O660" s="278"/>
      <c r="P660" s="278"/>
      <c r="Q660" s="278"/>
      <c r="R660" s="278"/>
      <c r="S660" s="278"/>
      <c r="T660" s="278"/>
      <c r="U660" s="278"/>
      <c r="V660" s="278"/>
      <c r="W660" s="278"/>
      <c r="X660" s="278"/>
      <c r="Y660" s="278"/>
      <c r="Z660" s="278"/>
    </row>
    <row r="661">
      <c r="A661" s="278"/>
      <c r="B661" s="278"/>
      <c r="C661" s="278"/>
      <c r="D661" s="278"/>
      <c r="E661" s="278"/>
      <c r="F661" s="278"/>
      <c r="G661" s="278"/>
      <c r="H661" s="278"/>
      <c r="I661" s="278"/>
      <c r="J661" s="278"/>
      <c r="K661" s="278"/>
      <c r="L661" s="278"/>
      <c r="M661" s="278"/>
      <c r="N661" s="278"/>
      <c r="O661" s="278"/>
      <c r="P661" s="278"/>
      <c r="Q661" s="278"/>
      <c r="R661" s="278"/>
      <c r="S661" s="278"/>
      <c r="T661" s="278"/>
      <c r="U661" s="278"/>
      <c r="V661" s="278"/>
      <c r="W661" s="278"/>
      <c r="X661" s="278"/>
      <c r="Y661" s="278"/>
      <c r="Z661" s="278"/>
    </row>
    <row r="662">
      <c r="A662" s="278"/>
      <c r="B662" s="278"/>
      <c r="C662" s="278"/>
      <c r="D662" s="278"/>
      <c r="E662" s="278"/>
      <c r="F662" s="278"/>
      <c r="G662" s="278"/>
      <c r="H662" s="278"/>
      <c r="I662" s="278"/>
      <c r="J662" s="278"/>
      <c r="K662" s="278"/>
      <c r="L662" s="278"/>
      <c r="M662" s="278"/>
      <c r="N662" s="278"/>
      <c r="O662" s="278"/>
      <c r="P662" s="278"/>
      <c r="Q662" s="278"/>
      <c r="R662" s="278"/>
      <c r="S662" s="278"/>
      <c r="T662" s="278"/>
      <c r="U662" s="278"/>
      <c r="V662" s="278"/>
      <c r="W662" s="278"/>
      <c r="X662" s="278"/>
      <c r="Y662" s="278"/>
      <c r="Z662" s="278"/>
    </row>
    <row r="663">
      <c r="A663" s="278"/>
      <c r="B663" s="278"/>
      <c r="C663" s="278"/>
      <c r="D663" s="278"/>
      <c r="E663" s="278"/>
      <c r="F663" s="278"/>
      <c r="G663" s="278"/>
      <c r="H663" s="278"/>
      <c r="I663" s="278"/>
      <c r="J663" s="278"/>
      <c r="K663" s="278"/>
      <c r="L663" s="278"/>
      <c r="M663" s="278"/>
      <c r="N663" s="278"/>
      <c r="O663" s="278"/>
      <c r="P663" s="278"/>
      <c r="Q663" s="278"/>
      <c r="R663" s="278"/>
      <c r="S663" s="278"/>
      <c r="T663" s="278"/>
      <c r="U663" s="278"/>
      <c r="V663" s="278"/>
      <c r="W663" s="278"/>
      <c r="X663" s="278"/>
      <c r="Y663" s="278"/>
      <c r="Z663" s="278"/>
    </row>
    <row r="664">
      <c r="A664" s="278"/>
      <c r="B664" s="278"/>
      <c r="C664" s="278"/>
      <c r="D664" s="278"/>
      <c r="E664" s="278"/>
      <c r="F664" s="278"/>
      <c r="G664" s="278"/>
      <c r="H664" s="278"/>
      <c r="I664" s="278"/>
      <c r="J664" s="278"/>
      <c r="K664" s="278"/>
      <c r="L664" s="278"/>
      <c r="M664" s="278"/>
      <c r="N664" s="278"/>
      <c r="O664" s="278"/>
      <c r="P664" s="278"/>
      <c r="Q664" s="278"/>
      <c r="R664" s="278"/>
      <c r="S664" s="278"/>
      <c r="T664" s="278"/>
      <c r="U664" s="278"/>
      <c r="V664" s="278"/>
      <c r="W664" s="278"/>
      <c r="X664" s="278"/>
      <c r="Y664" s="278"/>
      <c r="Z664" s="278"/>
    </row>
    <row r="665">
      <c r="A665" s="278"/>
      <c r="B665" s="278"/>
      <c r="C665" s="278"/>
      <c r="D665" s="278"/>
      <c r="E665" s="278"/>
      <c r="F665" s="278"/>
      <c r="G665" s="278"/>
      <c r="H665" s="278"/>
      <c r="I665" s="278"/>
      <c r="J665" s="278"/>
      <c r="K665" s="278"/>
      <c r="L665" s="278"/>
      <c r="M665" s="278"/>
      <c r="N665" s="278"/>
      <c r="O665" s="278"/>
      <c r="P665" s="278"/>
      <c r="Q665" s="278"/>
      <c r="R665" s="278"/>
      <c r="S665" s="278"/>
      <c r="T665" s="278"/>
      <c r="U665" s="278"/>
      <c r="V665" s="278"/>
      <c r="W665" s="278"/>
      <c r="X665" s="278"/>
      <c r="Y665" s="278"/>
      <c r="Z665" s="278"/>
    </row>
    <row r="666">
      <c r="A666" s="278"/>
      <c r="B666" s="278"/>
      <c r="C666" s="278"/>
      <c r="D666" s="278"/>
      <c r="E666" s="278"/>
      <c r="F666" s="278"/>
      <c r="G666" s="278"/>
      <c r="H666" s="278"/>
      <c r="I666" s="278"/>
      <c r="J666" s="278"/>
      <c r="K666" s="278"/>
      <c r="L666" s="278"/>
      <c r="M666" s="278"/>
      <c r="N666" s="278"/>
      <c r="O666" s="278"/>
      <c r="P666" s="278"/>
      <c r="Q666" s="278"/>
      <c r="R666" s="278"/>
      <c r="S666" s="278"/>
      <c r="T666" s="278"/>
      <c r="U666" s="278"/>
      <c r="V666" s="278"/>
      <c r="W666" s="278"/>
      <c r="X666" s="278"/>
      <c r="Y666" s="278"/>
      <c r="Z666" s="278"/>
    </row>
    <row r="667">
      <c r="A667" s="278"/>
      <c r="B667" s="278"/>
      <c r="C667" s="278"/>
      <c r="D667" s="278"/>
      <c r="E667" s="278"/>
      <c r="F667" s="278"/>
      <c r="G667" s="278"/>
      <c r="H667" s="278"/>
      <c r="I667" s="278"/>
      <c r="J667" s="278"/>
      <c r="K667" s="278"/>
      <c r="L667" s="278"/>
      <c r="M667" s="278"/>
      <c r="N667" s="278"/>
      <c r="O667" s="278"/>
      <c r="P667" s="278"/>
      <c r="Q667" s="278"/>
      <c r="R667" s="278"/>
      <c r="S667" s="278"/>
      <c r="T667" s="278"/>
      <c r="U667" s="278"/>
      <c r="V667" s="278"/>
      <c r="W667" s="278"/>
      <c r="X667" s="278"/>
      <c r="Y667" s="278"/>
      <c r="Z667" s="278"/>
    </row>
    <row r="668">
      <c r="A668" s="278"/>
      <c r="B668" s="278"/>
      <c r="C668" s="278"/>
      <c r="D668" s="278"/>
      <c r="E668" s="278"/>
      <c r="F668" s="278"/>
      <c r="G668" s="278"/>
      <c r="H668" s="278"/>
      <c r="I668" s="278"/>
      <c r="J668" s="278"/>
      <c r="K668" s="278"/>
      <c r="L668" s="278"/>
      <c r="M668" s="278"/>
      <c r="N668" s="278"/>
      <c r="O668" s="278"/>
      <c r="P668" s="278"/>
      <c r="Q668" s="278"/>
      <c r="R668" s="278"/>
      <c r="S668" s="278"/>
      <c r="T668" s="278"/>
      <c r="U668" s="278"/>
      <c r="V668" s="278"/>
      <c r="W668" s="278"/>
      <c r="X668" s="278"/>
      <c r="Y668" s="278"/>
      <c r="Z668" s="278"/>
    </row>
    <row r="669">
      <c r="A669" s="278"/>
      <c r="B669" s="278"/>
      <c r="C669" s="278"/>
      <c r="D669" s="278"/>
      <c r="E669" s="278"/>
      <c r="F669" s="278"/>
      <c r="G669" s="278"/>
      <c r="H669" s="278"/>
      <c r="I669" s="278"/>
      <c r="J669" s="278"/>
      <c r="K669" s="278"/>
      <c r="L669" s="278"/>
      <c r="M669" s="278"/>
      <c r="N669" s="278"/>
      <c r="O669" s="278"/>
      <c r="P669" s="278"/>
      <c r="Q669" s="278"/>
      <c r="R669" s="278"/>
      <c r="S669" s="278"/>
      <c r="T669" s="278"/>
      <c r="U669" s="278"/>
      <c r="V669" s="278"/>
      <c r="W669" s="278"/>
      <c r="X669" s="278"/>
      <c r="Y669" s="278"/>
      <c r="Z669" s="278"/>
    </row>
    <row r="670">
      <c r="A670" s="278"/>
      <c r="B670" s="278"/>
      <c r="C670" s="278"/>
      <c r="D670" s="278"/>
      <c r="E670" s="278"/>
      <c r="F670" s="278"/>
      <c r="G670" s="278"/>
      <c r="H670" s="278"/>
      <c r="I670" s="278"/>
      <c r="J670" s="278"/>
      <c r="K670" s="278"/>
      <c r="L670" s="278"/>
      <c r="M670" s="278"/>
      <c r="N670" s="278"/>
      <c r="O670" s="278"/>
      <c r="P670" s="278"/>
      <c r="Q670" s="278"/>
      <c r="R670" s="278"/>
      <c r="S670" s="278"/>
      <c r="T670" s="278"/>
      <c r="U670" s="278"/>
      <c r="V670" s="278"/>
      <c r="W670" s="278"/>
      <c r="X670" s="278"/>
      <c r="Y670" s="278"/>
      <c r="Z670" s="278"/>
    </row>
    <row r="671">
      <c r="A671" s="278"/>
      <c r="B671" s="278"/>
      <c r="C671" s="278"/>
      <c r="D671" s="278"/>
      <c r="E671" s="278"/>
      <c r="F671" s="278"/>
      <c r="G671" s="278"/>
      <c r="H671" s="278"/>
      <c r="I671" s="278"/>
      <c r="J671" s="278"/>
      <c r="K671" s="278"/>
      <c r="L671" s="278"/>
      <c r="M671" s="278"/>
      <c r="N671" s="278"/>
      <c r="O671" s="278"/>
      <c r="P671" s="278"/>
      <c r="Q671" s="278"/>
      <c r="R671" s="278"/>
      <c r="S671" s="278"/>
      <c r="T671" s="278"/>
      <c r="U671" s="278"/>
      <c r="V671" s="278"/>
      <c r="W671" s="278"/>
      <c r="X671" s="278"/>
      <c r="Y671" s="278"/>
      <c r="Z671" s="278"/>
    </row>
    <row r="672">
      <c r="A672" s="278"/>
      <c r="B672" s="278"/>
      <c r="C672" s="278"/>
      <c r="D672" s="278"/>
      <c r="E672" s="278"/>
      <c r="F672" s="278"/>
      <c r="G672" s="278"/>
      <c r="H672" s="278"/>
      <c r="I672" s="278"/>
      <c r="J672" s="278"/>
      <c r="K672" s="278"/>
      <c r="L672" s="278"/>
      <c r="M672" s="278"/>
      <c r="N672" s="278"/>
      <c r="O672" s="278"/>
      <c r="P672" s="278"/>
      <c r="Q672" s="278"/>
      <c r="R672" s="278"/>
      <c r="S672" s="278"/>
      <c r="T672" s="278"/>
      <c r="U672" s="278"/>
      <c r="V672" s="278"/>
      <c r="W672" s="278"/>
      <c r="X672" s="278"/>
      <c r="Y672" s="278"/>
      <c r="Z672" s="278"/>
    </row>
    <row r="673">
      <c r="A673" s="278"/>
      <c r="B673" s="278"/>
      <c r="C673" s="278"/>
      <c r="D673" s="278"/>
      <c r="E673" s="278"/>
      <c r="F673" s="278"/>
      <c r="G673" s="278"/>
      <c r="H673" s="278"/>
      <c r="I673" s="278"/>
      <c r="J673" s="278"/>
      <c r="K673" s="278"/>
      <c r="L673" s="278"/>
      <c r="M673" s="278"/>
      <c r="N673" s="278"/>
      <c r="O673" s="278"/>
      <c r="P673" s="278"/>
      <c r="Q673" s="278"/>
      <c r="R673" s="278"/>
      <c r="S673" s="278"/>
      <c r="T673" s="278"/>
      <c r="U673" s="278"/>
      <c r="V673" s="278"/>
      <c r="W673" s="278"/>
      <c r="X673" s="278"/>
      <c r="Y673" s="278"/>
      <c r="Z673" s="278"/>
    </row>
    <row r="674">
      <c r="A674" s="278"/>
      <c r="B674" s="278"/>
      <c r="C674" s="278"/>
      <c r="D674" s="278"/>
      <c r="E674" s="278"/>
      <c r="F674" s="278"/>
      <c r="G674" s="278"/>
      <c r="H674" s="278"/>
      <c r="I674" s="278"/>
      <c r="J674" s="278"/>
      <c r="K674" s="278"/>
      <c r="L674" s="278"/>
      <c r="M674" s="278"/>
      <c r="N674" s="278"/>
      <c r="O674" s="278"/>
      <c r="P674" s="278"/>
      <c r="Q674" s="278"/>
      <c r="R674" s="278"/>
      <c r="S674" s="278"/>
      <c r="T674" s="278"/>
      <c r="U674" s="278"/>
      <c r="V674" s="278"/>
      <c r="W674" s="278"/>
      <c r="X674" s="278"/>
      <c r="Y674" s="278"/>
      <c r="Z674" s="278"/>
    </row>
    <row r="675">
      <c r="A675" s="278"/>
      <c r="B675" s="278"/>
      <c r="C675" s="278"/>
      <c r="D675" s="278"/>
      <c r="E675" s="278"/>
      <c r="F675" s="278"/>
      <c r="G675" s="278"/>
      <c r="H675" s="278"/>
      <c r="I675" s="278"/>
      <c r="J675" s="278"/>
      <c r="K675" s="278"/>
      <c r="L675" s="278"/>
      <c r="M675" s="278"/>
      <c r="N675" s="278"/>
      <c r="O675" s="278"/>
      <c r="P675" s="278"/>
      <c r="Q675" s="278"/>
      <c r="R675" s="278"/>
      <c r="S675" s="278"/>
      <c r="T675" s="278"/>
      <c r="U675" s="278"/>
      <c r="V675" s="278"/>
      <c r="W675" s="278"/>
      <c r="X675" s="278"/>
      <c r="Y675" s="278"/>
      <c r="Z675" s="278"/>
    </row>
    <row r="676">
      <c r="A676" s="278"/>
      <c r="B676" s="278"/>
      <c r="C676" s="278"/>
      <c r="D676" s="278"/>
      <c r="E676" s="278"/>
      <c r="F676" s="278"/>
      <c r="G676" s="278"/>
      <c r="H676" s="278"/>
      <c r="I676" s="278"/>
      <c r="J676" s="278"/>
      <c r="K676" s="278"/>
      <c r="L676" s="278"/>
      <c r="M676" s="278"/>
      <c r="N676" s="278"/>
      <c r="O676" s="278"/>
      <c r="P676" s="278"/>
      <c r="Q676" s="278"/>
      <c r="R676" s="278"/>
      <c r="S676" s="278"/>
      <c r="T676" s="278"/>
      <c r="U676" s="278"/>
      <c r="V676" s="278"/>
      <c r="W676" s="278"/>
      <c r="X676" s="278"/>
      <c r="Y676" s="278"/>
      <c r="Z676" s="278"/>
    </row>
    <row r="677">
      <c r="A677" s="278"/>
      <c r="B677" s="278"/>
      <c r="C677" s="278"/>
      <c r="D677" s="278"/>
      <c r="E677" s="278"/>
      <c r="F677" s="278"/>
      <c r="G677" s="278"/>
      <c r="H677" s="278"/>
      <c r="I677" s="278"/>
      <c r="J677" s="278"/>
      <c r="K677" s="278"/>
      <c r="L677" s="278"/>
      <c r="M677" s="278"/>
      <c r="N677" s="278"/>
      <c r="O677" s="278"/>
      <c r="P677" s="278"/>
      <c r="Q677" s="278"/>
      <c r="R677" s="278"/>
      <c r="S677" s="278"/>
      <c r="T677" s="278"/>
      <c r="U677" s="278"/>
      <c r="V677" s="278"/>
      <c r="W677" s="278"/>
      <c r="X677" s="278"/>
      <c r="Y677" s="278"/>
      <c r="Z677" s="278"/>
    </row>
    <row r="678">
      <c r="A678" s="278"/>
      <c r="B678" s="278"/>
      <c r="C678" s="278"/>
      <c r="D678" s="278"/>
      <c r="E678" s="278"/>
      <c r="F678" s="278"/>
      <c r="G678" s="278"/>
      <c r="H678" s="278"/>
      <c r="I678" s="278"/>
      <c r="J678" s="278"/>
      <c r="K678" s="278"/>
      <c r="L678" s="278"/>
      <c r="M678" s="278"/>
      <c r="N678" s="278"/>
      <c r="O678" s="278"/>
      <c r="P678" s="278"/>
      <c r="Q678" s="278"/>
      <c r="R678" s="278"/>
      <c r="S678" s="278"/>
      <c r="T678" s="278"/>
      <c r="U678" s="278"/>
      <c r="V678" s="278"/>
      <c r="W678" s="278"/>
      <c r="X678" s="278"/>
      <c r="Y678" s="278"/>
      <c r="Z678" s="278"/>
    </row>
    <row r="679">
      <c r="A679" s="278"/>
      <c r="B679" s="278"/>
      <c r="C679" s="278"/>
      <c r="D679" s="278"/>
      <c r="E679" s="278"/>
      <c r="F679" s="278"/>
      <c r="G679" s="278"/>
      <c r="H679" s="278"/>
      <c r="I679" s="278"/>
      <c r="J679" s="278"/>
      <c r="K679" s="278"/>
      <c r="L679" s="278"/>
      <c r="M679" s="278"/>
      <c r="N679" s="278"/>
      <c r="O679" s="278"/>
      <c r="P679" s="278"/>
      <c r="Q679" s="278"/>
      <c r="R679" s="278"/>
      <c r="S679" s="278"/>
      <c r="T679" s="278"/>
      <c r="U679" s="278"/>
      <c r="V679" s="278"/>
      <c r="W679" s="278"/>
      <c r="X679" s="278"/>
      <c r="Y679" s="278"/>
      <c r="Z679" s="278"/>
    </row>
    <row r="680">
      <c r="A680" s="278"/>
      <c r="B680" s="278"/>
      <c r="C680" s="278"/>
      <c r="D680" s="278"/>
      <c r="E680" s="278"/>
      <c r="F680" s="278"/>
      <c r="G680" s="278"/>
      <c r="H680" s="278"/>
      <c r="I680" s="278"/>
      <c r="J680" s="278"/>
      <c r="K680" s="278"/>
      <c r="L680" s="278"/>
      <c r="M680" s="278"/>
      <c r="N680" s="278"/>
      <c r="O680" s="278"/>
      <c r="P680" s="278"/>
      <c r="Q680" s="278"/>
      <c r="R680" s="278"/>
      <c r="S680" s="278"/>
      <c r="T680" s="278"/>
      <c r="U680" s="278"/>
      <c r="V680" s="278"/>
      <c r="W680" s="278"/>
      <c r="X680" s="278"/>
      <c r="Y680" s="278"/>
      <c r="Z680" s="278"/>
    </row>
    <row r="681">
      <c r="A681" s="278"/>
      <c r="B681" s="278"/>
      <c r="C681" s="278"/>
      <c r="D681" s="278"/>
      <c r="E681" s="278"/>
      <c r="F681" s="278"/>
      <c r="G681" s="278"/>
      <c r="H681" s="278"/>
      <c r="I681" s="278"/>
      <c r="J681" s="278"/>
      <c r="K681" s="278"/>
      <c r="L681" s="278"/>
      <c r="M681" s="278"/>
      <c r="N681" s="278"/>
      <c r="O681" s="278"/>
      <c r="P681" s="278"/>
      <c r="Q681" s="278"/>
      <c r="R681" s="278"/>
      <c r="S681" s="278"/>
      <c r="T681" s="278"/>
      <c r="U681" s="278"/>
      <c r="V681" s="278"/>
      <c r="W681" s="278"/>
      <c r="X681" s="278"/>
      <c r="Y681" s="278"/>
      <c r="Z681" s="278"/>
    </row>
    <row r="682">
      <c r="A682" s="278"/>
      <c r="B682" s="278"/>
      <c r="C682" s="278"/>
      <c r="D682" s="278"/>
      <c r="E682" s="278"/>
      <c r="F682" s="278"/>
      <c r="G682" s="278"/>
      <c r="H682" s="278"/>
      <c r="I682" s="278"/>
      <c r="J682" s="278"/>
      <c r="K682" s="278"/>
      <c r="L682" s="278"/>
      <c r="M682" s="278"/>
      <c r="N682" s="278"/>
      <c r="O682" s="278"/>
      <c r="P682" s="278"/>
      <c r="Q682" s="278"/>
      <c r="R682" s="278"/>
      <c r="S682" s="278"/>
      <c r="T682" s="278"/>
      <c r="U682" s="278"/>
      <c r="V682" s="278"/>
      <c r="W682" s="278"/>
      <c r="X682" s="278"/>
      <c r="Y682" s="278"/>
      <c r="Z682" s="278"/>
    </row>
    <row r="683">
      <c r="A683" s="278"/>
      <c r="B683" s="278"/>
      <c r="C683" s="278"/>
      <c r="D683" s="278"/>
      <c r="E683" s="278"/>
      <c r="F683" s="278"/>
      <c r="G683" s="278"/>
      <c r="H683" s="278"/>
      <c r="I683" s="278"/>
      <c r="J683" s="278"/>
      <c r="K683" s="278"/>
      <c r="L683" s="278"/>
      <c r="M683" s="278"/>
      <c r="N683" s="278"/>
      <c r="O683" s="278"/>
      <c r="P683" s="278"/>
      <c r="Q683" s="278"/>
      <c r="R683" s="278"/>
      <c r="S683" s="278"/>
      <c r="T683" s="278"/>
      <c r="U683" s="278"/>
      <c r="V683" s="278"/>
      <c r="W683" s="278"/>
      <c r="X683" s="278"/>
      <c r="Y683" s="278"/>
      <c r="Z683" s="278"/>
    </row>
    <row r="684">
      <c r="A684" s="278"/>
      <c r="B684" s="278"/>
      <c r="C684" s="278"/>
      <c r="D684" s="278"/>
      <c r="E684" s="278"/>
      <c r="F684" s="278"/>
      <c r="G684" s="278"/>
      <c r="H684" s="278"/>
      <c r="I684" s="278"/>
      <c r="J684" s="278"/>
      <c r="K684" s="278"/>
      <c r="L684" s="278"/>
      <c r="M684" s="278"/>
      <c r="N684" s="278"/>
      <c r="O684" s="278"/>
      <c r="P684" s="278"/>
      <c r="Q684" s="278"/>
      <c r="R684" s="278"/>
      <c r="S684" s="278"/>
      <c r="T684" s="278"/>
      <c r="U684" s="278"/>
      <c r="V684" s="278"/>
      <c r="W684" s="278"/>
      <c r="X684" s="278"/>
      <c r="Y684" s="278"/>
      <c r="Z684" s="278"/>
    </row>
    <row r="685">
      <c r="A685" s="278"/>
      <c r="B685" s="278"/>
      <c r="C685" s="278"/>
      <c r="D685" s="278"/>
      <c r="E685" s="278"/>
      <c r="F685" s="278"/>
      <c r="G685" s="278"/>
      <c r="H685" s="278"/>
      <c r="I685" s="278"/>
      <c r="J685" s="278"/>
      <c r="K685" s="278"/>
      <c r="L685" s="278"/>
      <c r="M685" s="278"/>
      <c r="N685" s="278"/>
      <c r="O685" s="278"/>
      <c r="P685" s="278"/>
      <c r="Q685" s="278"/>
      <c r="R685" s="278"/>
      <c r="S685" s="278"/>
      <c r="T685" s="278"/>
      <c r="U685" s="278"/>
      <c r="V685" s="278"/>
      <c r="W685" s="278"/>
      <c r="X685" s="278"/>
      <c r="Y685" s="278"/>
      <c r="Z685" s="278"/>
    </row>
    <row r="686">
      <c r="A686" s="278"/>
      <c r="B686" s="278"/>
      <c r="C686" s="278"/>
      <c r="D686" s="278"/>
      <c r="E686" s="278"/>
      <c r="F686" s="278"/>
      <c r="G686" s="278"/>
      <c r="H686" s="278"/>
      <c r="I686" s="278"/>
      <c r="J686" s="278"/>
      <c r="K686" s="278"/>
      <c r="L686" s="278"/>
      <c r="M686" s="278"/>
      <c r="N686" s="278"/>
      <c r="O686" s="278"/>
      <c r="P686" s="278"/>
      <c r="Q686" s="278"/>
      <c r="R686" s="278"/>
      <c r="S686" s="278"/>
      <c r="T686" s="278"/>
      <c r="U686" s="278"/>
      <c r="V686" s="278"/>
      <c r="W686" s="278"/>
      <c r="X686" s="278"/>
      <c r="Y686" s="278"/>
      <c r="Z686" s="278"/>
    </row>
    <row r="687">
      <c r="A687" s="278"/>
      <c r="B687" s="278"/>
      <c r="C687" s="278"/>
      <c r="D687" s="278"/>
      <c r="E687" s="278"/>
      <c r="F687" s="278"/>
      <c r="G687" s="278"/>
      <c r="H687" s="278"/>
      <c r="I687" s="278"/>
      <c r="J687" s="278"/>
      <c r="K687" s="278"/>
      <c r="L687" s="278"/>
      <c r="M687" s="278"/>
      <c r="N687" s="278"/>
      <c r="O687" s="278"/>
      <c r="P687" s="278"/>
      <c r="Q687" s="278"/>
      <c r="R687" s="278"/>
      <c r="S687" s="278"/>
      <c r="T687" s="278"/>
      <c r="U687" s="278"/>
      <c r="V687" s="278"/>
      <c r="W687" s="278"/>
      <c r="X687" s="278"/>
      <c r="Y687" s="278"/>
      <c r="Z687" s="278"/>
    </row>
    <row r="688">
      <c r="A688" s="278"/>
      <c r="B688" s="278"/>
      <c r="C688" s="278"/>
      <c r="D688" s="278"/>
      <c r="E688" s="278"/>
      <c r="F688" s="278"/>
      <c r="G688" s="278"/>
      <c r="H688" s="278"/>
      <c r="I688" s="278"/>
      <c r="J688" s="278"/>
      <c r="K688" s="278"/>
      <c r="L688" s="278"/>
      <c r="M688" s="278"/>
      <c r="N688" s="278"/>
      <c r="O688" s="278"/>
      <c r="P688" s="278"/>
      <c r="Q688" s="278"/>
      <c r="R688" s="278"/>
      <c r="S688" s="278"/>
      <c r="T688" s="278"/>
      <c r="U688" s="278"/>
      <c r="V688" s="278"/>
      <c r="W688" s="278"/>
      <c r="X688" s="278"/>
      <c r="Y688" s="278"/>
      <c r="Z688" s="278"/>
    </row>
    <row r="689">
      <c r="A689" s="278"/>
      <c r="B689" s="278"/>
      <c r="C689" s="278"/>
      <c r="D689" s="278"/>
      <c r="E689" s="278"/>
      <c r="F689" s="278"/>
      <c r="G689" s="278"/>
      <c r="H689" s="278"/>
      <c r="I689" s="278"/>
      <c r="J689" s="278"/>
      <c r="K689" s="278"/>
      <c r="L689" s="278"/>
      <c r="M689" s="278"/>
      <c r="N689" s="278"/>
      <c r="O689" s="278"/>
      <c r="P689" s="278"/>
      <c r="Q689" s="278"/>
      <c r="R689" s="278"/>
      <c r="S689" s="278"/>
      <c r="T689" s="278"/>
      <c r="U689" s="278"/>
      <c r="V689" s="278"/>
      <c r="W689" s="278"/>
      <c r="X689" s="278"/>
      <c r="Y689" s="278"/>
      <c r="Z689" s="278"/>
    </row>
    <row r="690">
      <c r="A690" s="278"/>
      <c r="B690" s="278"/>
      <c r="C690" s="278"/>
      <c r="D690" s="278"/>
      <c r="E690" s="278"/>
      <c r="F690" s="278"/>
      <c r="G690" s="278"/>
      <c r="H690" s="278"/>
      <c r="I690" s="278"/>
      <c r="J690" s="278"/>
      <c r="K690" s="278"/>
      <c r="L690" s="278"/>
      <c r="M690" s="278"/>
      <c r="N690" s="278"/>
      <c r="O690" s="278"/>
      <c r="P690" s="278"/>
      <c r="Q690" s="278"/>
      <c r="R690" s="278"/>
      <c r="S690" s="278"/>
      <c r="T690" s="278"/>
      <c r="U690" s="278"/>
      <c r="V690" s="278"/>
      <c r="W690" s="278"/>
      <c r="X690" s="278"/>
      <c r="Y690" s="278"/>
      <c r="Z690" s="278"/>
    </row>
    <row r="691">
      <c r="A691" s="278"/>
      <c r="B691" s="278"/>
      <c r="C691" s="278"/>
      <c r="D691" s="278"/>
      <c r="E691" s="278"/>
      <c r="F691" s="278"/>
      <c r="G691" s="278"/>
      <c r="H691" s="278"/>
      <c r="I691" s="278"/>
      <c r="J691" s="278"/>
      <c r="K691" s="278"/>
      <c r="L691" s="278"/>
      <c r="M691" s="278"/>
      <c r="N691" s="278"/>
      <c r="O691" s="278"/>
      <c r="P691" s="278"/>
      <c r="Q691" s="278"/>
      <c r="R691" s="278"/>
      <c r="S691" s="278"/>
      <c r="T691" s="278"/>
      <c r="U691" s="278"/>
      <c r="V691" s="278"/>
      <c r="W691" s="278"/>
      <c r="X691" s="278"/>
      <c r="Y691" s="278"/>
      <c r="Z691" s="278"/>
    </row>
    <row r="692">
      <c r="A692" s="278"/>
      <c r="B692" s="278"/>
      <c r="C692" s="278"/>
      <c r="D692" s="278"/>
      <c r="E692" s="278"/>
      <c r="F692" s="278"/>
      <c r="G692" s="278"/>
      <c r="H692" s="278"/>
      <c r="I692" s="278"/>
      <c r="J692" s="278"/>
      <c r="K692" s="278"/>
      <c r="L692" s="278"/>
      <c r="M692" s="278"/>
      <c r="N692" s="278"/>
      <c r="O692" s="278"/>
      <c r="P692" s="278"/>
      <c r="Q692" s="278"/>
      <c r="R692" s="278"/>
      <c r="S692" s="278"/>
      <c r="T692" s="278"/>
      <c r="U692" s="278"/>
      <c r="V692" s="278"/>
      <c r="W692" s="278"/>
      <c r="X692" s="278"/>
      <c r="Y692" s="278"/>
      <c r="Z692" s="278"/>
    </row>
    <row r="693">
      <c r="A693" s="278"/>
      <c r="B693" s="278"/>
      <c r="C693" s="278"/>
      <c r="D693" s="278"/>
      <c r="E693" s="278"/>
      <c r="F693" s="278"/>
      <c r="G693" s="278"/>
      <c r="H693" s="278"/>
      <c r="I693" s="278"/>
      <c r="J693" s="278"/>
      <c r="K693" s="278"/>
      <c r="L693" s="278"/>
      <c r="M693" s="278"/>
      <c r="N693" s="278"/>
      <c r="O693" s="278"/>
      <c r="P693" s="278"/>
      <c r="Q693" s="278"/>
      <c r="R693" s="278"/>
      <c r="S693" s="278"/>
      <c r="T693" s="278"/>
      <c r="U693" s="278"/>
      <c r="V693" s="278"/>
      <c r="W693" s="278"/>
      <c r="X693" s="278"/>
      <c r="Y693" s="278"/>
      <c r="Z693" s="278"/>
    </row>
    <row r="694">
      <c r="A694" s="278"/>
      <c r="B694" s="278"/>
      <c r="C694" s="278"/>
      <c r="D694" s="278"/>
      <c r="E694" s="278"/>
      <c r="F694" s="278"/>
      <c r="G694" s="278"/>
      <c r="H694" s="278"/>
      <c r="I694" s="278"/>
      <c r="J694" s="278"/>
      <c r="K694" s="278"/>
      <c r="L694" s="278"/>
      <c r="M694" s="278"/>
      <c r="N694" s="278"/>
      <c r="O694" s="278"/>
      <c r="P694" s="278"/>
      <c r="Q694" s="278"/>
      <c r="R694" s="278"/>
      <c r="S694" s="278"/>
      <c r="T694" s="278"/>
      <c r="U694" s="278"/>
      <c r="V694" s="278"/>
      <c r="W694" s="278"/>
      <c r="X694" s="278"/>
      <c r="Y694" s="278"/>
      <c r="Z694" s="278"/>
    </row>
    <row r="695">
      <c r="A695" s="278"/>
      <c r="B695" s="278"/>
      <c r="C695" s="278"/>
      <c r="D695" s="278"/>
      <c r="E695" s="278"/>
      <c r="F695" s="278"/>
      <c r="G695" s="278"/>
      <c r="H695" s="278"/>
      <c r="I695" s="278"/>
      <c r="J695" s="278"/>
      <c r="K695" s="278"/>
      <c r="L695" s="278"/>
      <c r="M695" s="278"/>
      <c r="N695" s="278"/>
      <c r="O695" s="278"/>
      <c r="P695" s="278"/>
      <c r="Q695" s="278"/>
      <c r="R695" s="278"/>
      <c r="S695" s="278"/>
      <c r="T695" s="278"/>
      <c r="U695" s="278"/>
      <c r="V695" s="278"/>
      <c r="W695" s="278"/>
      <c r="X695" s="278"/>
      <c r="Y695" s="278"/>
      <c r="Z695" s="278"/>
    </row>
    <row r="696">
      <c r="A696" s="278"/>
      <c r="B696" s="278"/>
      <c r="C696" s="278"/>
      <c r="D696" s="278"/>
      <c r="E696" s="278"/>
      <c r="F696" s="278"/>
      <c r="G696" s="278"/>
      <c r="H696" s="278"/>
      <c r="I696" s="278"/>
      <c r="J696" s="278"/>
      <c r="K696" s="278"/>
      <c r="L696" s="278"/>
      <c r="M696" s="278"/>
      <c r="N696" s="278"/>
      <c r="O696" s="278"/>
      <c r="P696" s="278"/>
      <c r="Q696" s="278"/>
      <c r="R696" s="278"/>
      <c r="S696" s="278"/>
      <c r="T696" s="278"/>
      <c r="U696" s="278"/>
      <c r="V696" s="278"/>
      <c r="W696" s="278"/>
      <c r="X696" s="278"/>
      <c r="Y696" s="278"/>
      <c r="Z696" s="278"/>
    </row>
    <row r="697">
      <c r="A697" s="278"/>
      <c r="B697" s="278"/>
      <c r="C697" s="278"/>
      <c r="D697" s="278"/>
      <c r="E697" s="278"/>
      <c r="F697" s="278"/>
      <c r="G697" s="278"/>
      <c r="H697" s="278"/>
      <c r="I697" s="278"/>
      <c r="J697" s="278"/>
      <c r="K697" s="278"/>
      <c r="L697" s="278"/>
      <c r="M697" s="278"/>
      <c r="N697" s="278"/>
      <c r="O697" s="278"/>
      <c r="P697" s="278"/>
      <c r="Q697" s="278"/>
      <c r="R697" s="278"/>
      <c r="S697" s="278"/>
      <c r="T697" s="278"/>
      <c r="U697" s="278"/>
      <c r="V697" s="278"/>
      <c r="W697" s="278"/>
      <c r="X697" s="278"/>
      <c r="Y697" s="278"/>
      <c r="Z697" s="278"/>
    </row>
    <row r="698">
      <c r="A698" s="278"/>
      <c r="B698" s="278"/>
      <c r="C698" s="278"/>
      <c r="D698" s="278"/>
      <c r="E698" s="278"/>
      <c r="F698" s="278"/>
      <c r="G698" s="278"/>
      <c r="H698" s="278"/>
      <c r="I698" s="278"/>
      <c r="J698" s="278"/>
      <c r="K698" s="278"/>
      <c r="L698" s="278"/>
      <c r="M698" s="278"/>
      <c r="N698" s="278"/>
      <c r="O698" s="278"/>
      <c r="P698" s="278"/>
      <c r="Q698" s="278"/>
      <c r="R698" s="278"/>
      <c r="S698" s="278"/>
      <c r="T698" s="278"/>
      <c r="U698" s="278"/>
      <c r="V698" s="278"/>
      <c r="W698" s="278"/>
      <c r="X698" s="278"/>
      <c r="Y698" s="278"/>
      <c r="Z698" s="278"/>
    </row>
    <row r="699">
      <c r="A699" s="278"/>
      <c r="B699" s="278"/>
      <c r="C699" s="278"/>
      <c r="D699" s="278"/>
      <c r="E699" s="278"/>
      <c r="F699" s="278"/>
      <c r="G699" s="278"/>
      <c r="H699" s="278"/>
      <c r="I699" s="278"/>
      <c r="J699" s="278"/>
      <c r="K699" s="278"/>
      <c r="L699" s="278"/>
      <c r="M699" s="278"/>
      <c r="N699" s="278"/>
      <c r="O699" s="278"/>
      <c r="P699" s="278"/>
      <c r="Q699" s="278"/>
      <c r="R699" s="278"/>
      <c r="S699" s="278"/>
      <c r="T699" s="278"/>
      <c r="U699" s="278"/>
      <c r="V699" s="278"/>
      <c r="W699" s="278"/>
      <c r="X699" s="278"/>
      <c r="Y699" s="278"/>
      <c r="Z699" s="278"/>
    </row>
    <row r="700">
      <c r="A700" s="278"/>
      <c r="B700" s="278"/>
      <c r="C700" s="278"/>
      <c r="D700" s="278"/>
      <c r="E700" s="278"/>
      <c r="F700" s="278"/>
      <c r="G700" s="278"/>
      <c r="H700" s="278"/>
      <c r="I700" s="278"/>
      <c r="J700" s="278"/>
      <c r="K700" s="278"/>
      <c r="L700" s="278"/>
      <c r="M700" s="278"/>
      <c r="N700" s="278"/>
      <c r="O700" s="278"/>
      <c r="P700" s="278"/>
      <c r="Q700" s="278"/>
      <c r="R700" s="278"/>
      <c r="S700" s="278"/>
      <c r="T700" s="278"/>
      <c r="U700" s="278"/>
      <c r="V700" s="278"/>
      <c r="W700" s="278"/>
      <c r="X700" s="278"/>
      <c r="Y700" s="278"/>
      <c r="Z700" s="278"/>
    </row>
    <row r="701">
      <c r="A701" s="278"/>
      <c r="B701" s="278"/>
      <c r="C701" s="278"/>
      <c r="D701" s="278"/>
      <c r="E701" s="278"/>
      <c r="F701" s="278"/>
      <c r="G701" s="278"/>
      <c r="H701" s="278"/>
      <c r="I701" s="278"/>
      <c r="J701" s="278"/>
      <c r="K701" s="278"/>
      <c r="L701" s="278"/>
      <c r="M701" s="278"/>
      <c r="N701" s="278"/>
      <c r="O701" s="278"/>
      <c r="P701" s="278"/>
      <c r="Q701" s="278"/>
      <c r="R701" s="278"/>
      <c r="S701" s="278"/>
      <c r="T701" s="278"/>
      <c r="U701" s="278"/>
      <c r="V701" s="278"/>
      <c r="W701" s="278"/>
      <c r="X701" s="278"/>
      <c r="Y701" s="278"/>
      <c r="Z701" s="278"/>
    </row>
    <row r="702">
      <c r="A702" s="278"/>
      <c r="B702" s="278"/>
      <c r="C702" s="278"/>
      <c r="D702" s="278"/>
      <c r="E702" s="278"/>
      <c r="F702" s="278"/>
      <c r="G702" s="278"/>
      <c r="H702" s="278"/>
      <c r="I702" s="278"/>
      <c r="J702" s="278"/>
      <c r="K702" s="278"/>
      <c r="L702" s="278"/>
      <c r="M702" s="278"/>
      <c r="N702" s="278"/>
      <c r="O702" s="278"/>
      <c r="P702" s="278"/>
      <c r="Q702" s="278"/>
      <c r="R702" s="278"/>
      <c r="S702" s="278"/>
      <c r="T702" s="278"/>
      <c r="U702" s="278"/>
      <c r="V702" s="278"/>
      <c r="W702" s="278"/>
      <c r="X702" s="278"/>
      <c r="Y702" s="278"/>
      <c r="Z702" s="278"/>
    </row>
    <row r="703">
      <c r="A703" s="278"/>
      <c r="B703" s="278"/>
      <c r="C703" s="278"/>
      <c r="D703" s="278"/>
      <c r="E703" s="278"/>
      <c r="F703" s="278"/>
      <c r="G703" s="278"/>
      <c r="H703" s="278"/>
      <c r="I703" s="278"/>
      <c r="J703" s="278"/>
      <c r="K703" s="278"/>
      <c r="L703" s="278"/>
      <c r="M703" s="278"/>
      <c r="N703" s="278"/>
      <c r="O703" s="278"/>
      <c r="P703" s="278"/>
      <c r="Q703" s="278"/>
      <c r="R703" s="278"/>
      <c r="S703" s="278"/>
      <c r="T703" s="278"/>
      <c r="U703" s="278"/>
      <c r="V703" s="278"/>
      <c r="W703" s="278"/>
      <c r="X703" s="278"/>
      <c r="Y703" s="278"/>
      <c r="Z703" s="278"/>
    </row>
    <row r="704">
      <c r="A704" s="278"/>
      <c r="B704" s="278"/>
      <c r="C704" s="278"/>
      <c r="D704" s="278"/>
      <c r="E704" s="278"/>
      <c r="F704" s="278"/>
      <c r="G704" s="278"/>
      <c r="H704" s="278"/>
      <c r="I704" s="278"/>
      <c r="J704" s="278"/>
      <c r="K704" s="278"/>
      <c r="L704" s="278"/>
      <c r="M704" s="278"/>
      <c r="N704" s="278"/>
      <c r="O704" s="278"/>
      <c r="P704" s="278"/>
      <c r="Q704" s="278"/>
      <c r="R704" s="278"/>
      <c r="S704" s="278"/>
      <c r="T704" s="278"/>
      <c r="U704" s="278"/>
      <c r="V704" s="278"/>
      <c r="W704" s="278"/>
      <c r="X704" s="278"/>
      <c r="Y704" s="278"/>
      <c r="Z704" s="278"/>
    </row>
    <row r="705">
      <c r="A705" s="278"/>
      <c r="B705" s="278"/>
      <c r="C705" s="278"/>
      <c r="D705" s="278"/>
      <c r="E705" s="278"/>
      <c r="F705" s="278"/>
      <c r="G705" s="278"/>
      <c r="H705" s="278"/>
      <c r="I705" s="278"/>
      <c r="J705" s="278"/>
      <c r="K705" s="278"/>
      <c r="L705" s="278"/>
      <c r="M705" s="278"/>
      <c r="N705" s="278"/>
      <c r="O705" s="278"/>
      <c r="P705" s="278"/>
      <c r="Q705" s="278"/>
      <c r="R705" s="278"/>
      <c r="S705" s="278"/>
      <c r="T705" s="278"/>
      <c r="U705" s="278"/>
      <c r="V705" s="278"/>
      <c r="W705" s="278"/>
      <c r="X705" s="278"/>
      <c r="Y705" s="278"/>
      <c r="Z705" s="278"/>
    </row>
    <row r="706">
      <c r="A706" s="278"/>
      <c r="B706" s="278"/>
      <c r="C706" s="278"/>
      <c r="D706" s="278"/>
      <c r="E706" s="278"/>
      <c r="F706" s="278"/>
      <c r="G706" s="278"/>
      <c r="H706" s="278"/>
      <c r="I706" s="278"/>
      <c r="J706" s="278"/>
      <c r="K706" s="278"/>
      <c r="L706" s="278"/>
      <c r="M706" s="278"/>
      <c r="N706" s="278"/>
      <c r="O706" s="278"/>
      <c r="P706" s="278"/>
      <c r="Q706" s="278"/>
      <c r="R706" s="278"/>
      <c r="S706" s="278"/>
      <c r="T706" s="278"/>
      <c r="U706" s="278"/>
      <c r="V706" s="278"/>
      <c r="W706" s="278"/>
      <c r="X706" s="278"/>
      <c r="Y706" s="278"/>
      <c r="Z706" s="278"/>
    </row>
    <row r="707">
      <c r="A707" s="278"/>
      <c r="B707" s="278"/>
      <c r="C707" s="278"/>
      <c r="D707" s="278"/>
      <c r="E707" s="278"/>
      <c r="F707" s="278"/>
      <c r="G707" s="278"/>
      <c r="H707" s="278"/>
      <c r="I707" s="278"/>
      <c r="J707" s="278"/>
      <c r="K707" s="278"/>
      <c r="L707" s="278"/>
      <c r="M707" s="278"/>
      <c r="N707" s="278"/>
      <c r="O707" s="278"/>
      <c r="P707" s="278"/>
      <c r="Q707" s="278"/>
      <c r="R707" s="278"/>
      <c r="S707" s="278"/>
      <c r="T707" s="278"/>
      <c r="U707" s="278"/>
      <c r="V707" s="278"/>
      <c r="W707" s="278"/>
      <c r="X707" s="278"/>
      <c r="Y707" s="278"/>
      <c r="Z707" s="278"/>
    </row>
    <row r="708">
      <c r="A708" s="278"/>
      <c r="B708" s="278"/>
      <c r="C708" s="278"/>
      <c r="D708" s="278"/>
      <c r="E708" s="278"/>
      <c r="F708" s="278"/>
      <c r="G708" s="278"/>
      <c r="H708" s="278"/>
      <c r="I708" s="278"/>
      <c r="J708" s="278"/>
      <c r="K708" s="278"/>
      <c r="L708" s="278"/>
      <c r="M708" s="278"/>
      <c r="N708" s="278"/>
      <c r="O708" s="278"/>
      <c r="P708" s="278"/>
      <c r="Q708" s="278"/>
      <c r="R708" s="278"/>
      <c r="S708" s="278"/>
      <c r="T708" s="278"/>
      <c r="U708" s="278"/>
      <c r="V708" s="278"/>
      <c r="W708" s="278"/>
      <c r="X708" s="278"/>
      <c r="Y708" s="278"/>
      <c r="Z708" s="278"/>
    </row>
    <row r="709">
      <c r="A709" s="278"/>
      <c r="B709" s="278"/>
      <c r="C709" s="278"/>
      <c r="D709" s="278"/>
      <c r="E709" s="278"/>
      <c r="F709" s="278"/>
      <c r="G709" s="278"/>
      <c r="H709" s="278"/>
      <c r="I709" s="278"/>
      <c r="J709" s="278"/>
      <c r="K709" s="278"/>
      <c r="L709" s="278"/>
      <c r="M709" s="278"/>
      <c r="N709" s="278"/>
      <c r="O709" s="278"/>
      <c r="P709" s="278"/>
      <c r="Q709" s="278"/>
      <c r="R709" s="278"/>
      <c r="S709" s="278"/>
      <c r="T709" s="278"/>
      <c r="U709" s="278"/>
      <c r="V709" s="278"/>
      <c r="W709" s="278"/>
      <c r="X709" s="278"/>
      <c r="Y709" s="278"/>
      <c r="Z709" s="278"/>
    </row>
    <row r="710">
      <c r="A710" s="278"/>
      <c r="B710" s="278"/>
      <c r="C710" s="278"/>
      <c r="D710" s="278"/>
      <c r="E710" s="278"/>
      <c r="F710" s="278"/>
      <c r="G710" s="278"/>
      <c r="H710" s="278"/>
      <c r="I710" s="278"/>
      <c r="J710" s="278"/>
      <c r="K710" s="278"/>
      <c r="L710" s="278"/>
      <c r="M710" s="278"/>
      <c r="N710" s="278"/>
      <c r="O710" s="278"/>
      <c r="P710" s="278"/>
      <c r="Q710" s="278"/>
      <c r="R710" s="278"/>
      <c r="S710" s="278"/>
      <c r="T710" s="278"/>
      <c r="U710" s="278"/>
      <c r="V710" s="278"/>
      <c r="W710" s="278"/>
      <c r="X710" s="278"/>
      <c r="Y710" s="278"/>
      <c r="Z710" s="278"/>
    </row>
    <row r="711">
      <c r="A711" s="278"/>
      <c r="B711" s="278"/>
      <c r="C711" s="278"/>
      <c r="D711" s="278"/>
      <c r="E711" s="278"/>
      <c r="F711" s="278"/>
      <c r="G711" s="278"/>
      <c r="H711" s="278"/>
      <c r="I711" s="278"/>
      <c r="J711" s="278"/>
      <c r="K711" s="278"/>
      <c r="L711" s="278"/>
      <c r="M711" s="278"/>
      <c r="N711" s="278"/>
      <c r="O711" s="278"/>
      <c r="P711" s="278"/>
      <c r="Q711" s="278"/>
      <c r="R711" s="278"/>
      <c r="S711" s="278"/>
      <c r="T711" s="278"/>
      <c r="U711" s="278"/>
      <c r="V711" s="278"/>
      <c r="W711" s="278"/>
      <c r="X711" s="278"/>
      <c r="Y711" s="278"/>
      <c r="Z711" s="278"/>
    </row>
    <row r="712">
      <c r="A712" s="278"/>
      <c r="B712" s="278"/>
      <c r="C712" s="278"/>
      <c r="D712" s="278"/>
      <c r="E712" s="278"/>
      <c r="F712" s="278"/>
      <c r="G712" s="278"/>
      <c r="H712" s="278"/>
      <c r="I712" s="278"/>
      <c r="J712" s="278"/>
      <c r="K712" s="278"/>
      <c r="L712" s="278"/>
      <c r="M712" s="278"/>
      <c r="N712" s="278"/>
      <c r="O712" s="278"/>
      <c r="P712" s="278"/>
      <c r="Q712" s="278"/>
      <c r="R712" s="278"/>
      <c r="S712" s="278"/>
      <c r="T712" s="278"/>
      <c r="U712" s="278"/>
      <c r="V712" s="278"/>
      <c r="W712" s="278"/>
      <c r="X712" s="278"/>
      <c r="Y712" s="278"/>
      <c r="Z712" s="278"/>
    </row>
    <row r="713">
      <c r="A713" s="278"/>
      <c r="B713" s="278"/>
      <c r="C713" s="278"/>
      <c r="D713" s="278"/>
      <c r="E713" s="278"/>
      <c r="F713" s="278"/>
      <c r="G713" s="278"/>
      <c r="H713" s="278"/>
      <c r="I713" s="278"/>
      <c r="J713" s="278"/>
      <c r="K713" s="278"/>
      <c r="L713" s="278"/>
      <c r="M713" s="278"/>
      <c r="N713" s="278"/>
      <c r="O713" s="278"/>
      <c r="P713" s="278"/>
      <c r="Q713" s="278"/>
      <c r="R713" s="278"/>
      <c r="S713" s="278"/>
      <c r="T713" s="278"/>
      <c r="U713" s="278"/>
      <c r="V713" s="278"/>
      <c r="W713" s="278"/>
      <c r="X713" s="278"/>
      <c r="Y713" s="278"/>
      <c r="Z713" s="278"/>
    </row>
    <row r="714">
      <c r="A714" s="278"/>
      <c r="B714" s="278"/>
      <c r="C714" s="278"/>
      <c r="D714" s="278"/>
      <c r="E714" s="278"/>
      <c r="F714" s="278"/>
      <c r="G714" s="278"/>
      <c r="H714" s="278"/>
      <c r="I714" s="278"/>
      <c r="J714" s="278"/>
      <c r="K714" s="278"/>
      <c r="L714" s="278"/>
      <c r="M714" s="278"/>
      <c r="N714" s="278"/>
      <c r="O714" s="278"/>
      <c r="P714" s="278"/>
      <c r="Q714" s="278"/>
      <c r="R714" s="278"/>
      <c r="S714" s="278"/>
      <c r="T714" s="278"/>
      <c r="U714" s="278"/>
      <c r="V714" s="278"/>
      <c r="W714" s="278"/>
      <c r="X714" s="278"/>
      <c r="Y714" s="278"/>
      <c r="Z714" s="278"/>
    </row>
    <row r="715">
      <c r="A715" s="278"/>
      <c r="B715" s="278"/>
      <c r="C715" s="278"/>
      <c r="D715" s="278"/>
      <c r="E715" s="278"/>
      <c r="F715" s="278"/>
      <c r="G715" s="278"/>
      <c r="H715" s="278"/>
      <c r="I715" s="278"/>
      <c r="J715" s="278"/>
      <c r="K715" s="278"/>
      <c r="L715" s="278"/>
      <c r="M715" s="278"/>
      <c r="N715" s="278"/>
      <c r="O715" s="278"/>
      <c r="P715" s="278"/>
      <c r="Q715" s="278"/>
      <c r="R715" s="278"/>
      <c r="S715" s="278"/>
      <c r="T715" s="278"/>
      <c r="U715" s="278"/>
      <c r="V715" s="278"/>
      <c r="W715" s="278"/>
      <c r="X715" s="278"/>
      <c r="Y715" s="278"/>
      <c r="Z715" s="278"/>
    </row>
    <row r="716">
      <c r="A716" s="278"/>
      <c r="B716" s="278"/>
      <c r="C716" s="278"/>
      <c r="D716" s="278"/>
      <c r="E716" s="278"/>
      <c r="F716" s="278"/>
      <c r="G716" s="278"/>
      <c r="H716" s="278"/>
      <c r="I716" s="278"/>
      <c r="J716" s="278"/>
      <c r="K716" s="278"/>
      <c r="L716" s="278"/>
      <c r="M716" s="278"/>
      <c r="N716" s="278"/>
      <c r="O716" s="278"/>
      <c r="P716" s="278"/>
      <c r="Q716" s="278"/>
      <c r="R716" s="278"/>
      <c r="S716" s="278"/>
      <c r="T716" s="278"/>
      <c r="U716" s="278"/>
      <c r="V716" s="278"/>
      <c r="W716" s="278"/>
      <c r="X716" s="278"/>
      <c r="Y716" s="278"/>
      <c r="Z716" s="278"/>
    </row>
    <row r="717">
      <c r="A717" s="278"/>
      <c r="B717" s="278"/>
      <c r="C717" s="278"/>
      <c r="D717" s="278"/>
      <c r="E717" s="278"/>
      <c r="F717" s="278"/>
      <c r="G717" s="278"/>
      <c r="H717" s="278"/>
      <c r="I717" s="278"/>
      <c r="J717" s="278"/>
      <c r="K717" s="278"/>
      <c r="L717" s="278"/>
      <c r="M717" s="278"/>
      <c r="N717" s="278"/>
      <c r="O717" s="278"/>
      <c r="P717" s="278"/>
      <c r="Q717" s="278"/>
      <c r="R717" s="278"/>
      <c r="S717" s="278"/>
      <c r="T717" s="278"/>
      <c r="U717" s="278"/>
      <c r="V717" s="278"/>
      <c r="W717" s="278"/>
      <c r="X717" s="278"/>
      <c r="Y717" s="278"/>
      <c r="Z717" s="278"/>
    </row>
    <row r="718">
      <c r="A718" s="278"/>
      <c r="B718" s="278"/>
      <c r="C718" s="278"/>
      <c r="D718" s="278"/>
      <c r="E718" s="278"/>
      <c r="F718" s="278"/>
      <c r="G718" s="278"/>
      <c r="H718" s="278"/>
      <c r="I718" s="278"/>
      <c r="J718" s="278"/>
      <c r="K718" s="278"/>
      <c r="L718" s="278"/>
      <c r="M718" s="278"/>
      <c r="N718" s="278"/>
      <c r="O718" s="278"/>
      <c r="P718" s="278"/>
      <c r="Q718" s="278"/>
      <c r="R718" s="278"/>
      <c r="S718" s="278"/>
      <c r="T718" s="278"/>
      <c r="U718" s="278"/>
      <c r="V718" s="278"/>
      <c r="W718" s="278"/>
      <c r="X718" s="278"/>
      <c r="Y718" s="278"/>
      <c r="Z718" s="278"/>
    </row>
    <row r="719">
      <c r="A719" s="278"/>
      <c r="B719" s="278"/>
      <c r="C719" s="278"/>
      <c r="D719" s="278"/>
      <c r="E719" s="278"/>
      <c r="F719" s="278"/>
      <c r="G719" s="278"/>
      <c r="H719" s="278"/>
      <c r="I719" s="278"/>
      <c r="J719" s="278"/>
      <c r="K719" s="278"/>
      <c r="L719" s="278"/>
      <c r="M719" s="278"/>
      <c r="N719" s="278"/>
      <c r="O719" s="278"/>
      <c r="P719" s="278"/>
      <c r="Q719" s="278"/>
      <c r="R719" s="278"/>
      <c r="S719" s="278"/>
      <c r="T719" s="278"/>
      <c r="U719" s="278"/>
      <c r="V719" s="278"/>
      <c r="W719" s="278"/>
      <c r="X719" s="278"/>
      <c r="Y719" s="278"/>
      <c r="Z719" s="278"/>
    </row>
    <row r="720">
      <c r="A720" s="278"/>
      <c r="B720" s="278"/>
      <c r="C720" s="278"/>
      <c r="D720" s="278"/>
      <c r="E720" s="278"/>
      <c r="F720" s="278"/>
      <c r="G720" s="278"/>
      <c r="H720" s="278"/>
      <c r="I720" s="278"/>
      <c r="J720" s="278"/>
      <c r="K720" s="278"/>
      <c r="L720" s="278"/>
      <c r="M720" s="278"/>
      <c r="N720" s="278"/>
      <c r="O720" s="278"/>
      <c r="P720" s="278"/>
      <c r="Q720" s="278"/>
      <c r="R720" s="278"/>
      <c r="S720" s="278"/>
      <c r="T720" s="278"/>
      <c r="U720" s="278"/>
      <c r="V720" s="278"/>
      <c r="W720" s="278"/>
      <c r="X720" s="278"/>
      <c r="Y720" s="278"/>
      <c r="Z720" s="278"/>
    </row>
    <row r="721">
      <c r="A721" s="278"/>
      <c r="B721" s="278"/>
      <c r="C721" s="278"/>
      <c r="D721" s="278"/>
      <c r="E721" s="278"/>
      <c r="F721" s="278"/>
      <c r="G721" s="278"/>
      <c r="H721" s="278"/>
      <c r="I721" s="278"/>
      <c r="J721" s="278"/>
      <c r="K721" s="278"/>
      <c r="L721" s="278"/>
      <c r="M721" s="278"/>
      <c r="N721" s="278"/>
      <c r="O721" s="278"/>
      <c r="P721" s="278"/>
      <c r="Q721" s="278"/>
      <c r="R721" s="278"/>
      <c r="S721" s="278"/>
      <c r="T721" s="278"/>
      <c r="U721" s="278"/>
      <c r="V721" s="278"/>
      <c r="W721" s="278"/>
      <c r="X721" s="278"/>
      <c r="Y721" s="278"/>
      <c r="Z721" s="278"/>
    </row>
    <row r="722">
      <c r="A722" s="278"/>
      <c r="B722" s="278"/>
      <c r="C722" s="278"/>
      <c r="D722" s="278"/>
      <c r="E722" s="278"/>
      <c r="F722" s="278"/>
      <c r="G722" s="278"/>
      <c r="H722" s="278"/>
      <c r="I722" s="278"/>
      <c r="J722" s="278"/>
      <c r="K722" s="278"/>
      <c r="L722" s="278"/>
      <c r="M722" s="278"/>
      <c r="N722" s="278"/>
      <c r="O722" s="278"/>
      <c r="P722" s="278"/>
      <c r="Q722" s="278"/>
      <c r="R722" s="278"/>
      <c r="S722" s="278"/>
      <c r="T722" s="278"/>
      <c r="U722" s="278"/>
      <c r="V722" s="278"/>
      <c r="W722" s="278"/>
      <c r="X722" s="278"/>
      <c r="Y722" s="278"/>
      <c r="Z722" s="278"/>
    </row>
    <row r="723">
      <c r="A723" s="278"/>
      <c r="B723" s="278"/>
      <c r="C723" s="278"/>
      <c r="D723" s="278"/>
      <c r="E723" s="278"/>
      <c r="F723" s="278"/>
      <c r="G723" s="278"/>
      <c r="H723" s="278"/>
      <c r="I723" s="278"/>
      <c r="J723" s="278"/>
      <c r="K723" s="278"/>
      <c r="L723" s="278"/>
      <c r="M723" s="278"/>
      <c r="N723" s="278"/>
      <c r="O723" s="278"/>
      <c r="P723" s="278"/>
      <c r="Q723" s="278"/>
      <c r="R723" s="278"/>
      <c r="S723" s="278"/>
      <c r="T723" s="278"/>
      <c r="U723" s="278"/>
      <c r="V723" s="278"/>
      <c r="W723" s="278"/>
      <c r="X723" s="278"/>
      <c r="Y723" s="278"/>
      <c r="Z723" s="278"/>
    </row>
    <row r="724">
      <c r="A724" s="278"/>
      <c r="B724" s="278"/>
      <c r="C724" s="278"/>
      <c r="D724" s="278"/>
      <c r="E724" s="278"/>
      <c r="F724" s="278"/>
      <c r="G724" s="278"/>
      <c r="H724" s="278"/>
      <c r="I724" s="278"/>
      <c r="J724" s="278"/>
      <c r="K724" s="278"/>
      <c r="L724" s="278"/>
      <c r="M724" s="278"/>
      <c r="N724" s="278"/>
      <c r="O724" s="278"/>
      <c r="P724" s="278"/>
      <c r="Q724" s="278"/>
      <c r="R724" s="278"/>
      <c r="S724" s="278"/>
      <c r="T724" s="278"/>
      <c r="U724" s="278"/>
      <c r="V724" s="278"/>
      <c r="W724" s="278"/>
      <c r="X724" s="278"/>
      <c r="Y724" s="278"/>
      <c r="Z724" s="278"/>
    </row>
    <row r="725">
      <c r="A725" s="278"/>
      <c r="B725" s="278"/>
      <c r="C725" s="278"/>
      <c r="D725" s="278"/>
      <c r="E725" s="278"/>
      <c r="F725" s="278"/>
      <c r="G725" s="278"/>
      <c r="H725" s="278"/>
      <c r="I725" s="278"/>
      <c r="J725" s="278"/>
      <c r="K725" s="278"/>
      <c r="L725" s="278"/>
      <c r="M725" s="278"/>
      <c r="N725" s="278"/>
      <c r="O725" s="278"/>
      <c r="P725" s="278"/>
      <c r="Q725" s="278"/>
      <c r="R725" s="278"/>
      <c r="S725" s="278"/>
      <c r="T725" s="278"/>
      <c r="U725" s="278"/>
      <c r="V725" s="278"/>
      <c r="W725" s="278"/>
      <c r="X725" s="278"/>
      <c r="Y725" s="278"/>
      <c r="Z725" s="278"/>
    </row>
    <row r="726">
      <c r="A726" s="278"/>
      <c r="B726" s="278"/>
      <c r="C726" s="278"/>
      <c r="D726" s="278"/>
      <c r="E726" s="278"/>
      <c r="F726" s="278"/>
      <c r="G726" s="278"/>
      <c r="H726" s="278"/>
      <c r="I726" s="278"/>
      <c r="J726" s="278"/>
      <c r="K726" s="278"/>
      <c r="L726" s="278"/>
      <c r="M726" s="278"/>
      <c r="N726" s="278"/>
      <c r="O726" s="278"/>
      <c r="P726" s="278"/>
      <c r="Q726" s="278"/>
      <c r="R726" s="278"/>
      <c r="S726" s="278"/>
      <c r="T726" s="278"/>
      <c r="U726" s="278"/>
      <c r="V726" s="278"/>
      <c r="W726" s="278"/>
      <c r="X726" s="278"/>
      <c r="Y726" s="278"/>
      <c r="Z726" s="278"/>
    </row>
    <row r="727">
      <c r="A727" s="278"/>
      <c r="B727" s="278"/>
      <c r="C727" s="278"/>
      <c r="D727" s="278"/>
      <c r="E727" s="278"/>
      <c r="F727" s="278"/>
      <c r="G727" s="278"/>
      <c r="H727" s="278"/>
      <c r="I727" s="278"/>
      <c r="J727" s="278"/>
      <c r="K727" s="278"/>
      <c r="L727" s="278"/>
      <c r="M727" s="278"/>
      <c r="N727" s="278"/>
      <c r="O727" s="278"/>
      <c r="P727" s="278"/>
      <c r="Q727" s="278"/>
      <c r="R727" s="278"/>
      <c r="S727" s="278"/>
      <c r="T727" s="278"/>
      <c r="U727" s="278"/>
      <c r="V727" s="278"/>
      <c r="W727" s="278"/>
      <c r="X727" s="278"/>
      <c r="Y727" s="278"/>
      <c r="Z727" s="278"/>
    </row>
    <row r="728">
      <c r="A728" s="278"/>
      <c r="B728" s="278"/>
      <c r="C728" s="278"/>
      <c r="D728" s="278"/>
      <c r="E728" s="278"/>
      <c r="F728" s="278"/>
      <c r="G728" s="278"/>
      <c r="H728" s="278"/>
      <c r="I728" s="278"/>
      <c r="J728" s="278"/>
      <c r="K728" s="278"/>
      <c r="L728" s="278"/>
      <c r="M728" s="278"/>
      <c r="N728" s="278"/>
      <c r="O728" s="278"/>
      <c r="P728" s="278"/>
      <c r="Q728" s="278"/>
      <c r="R728" s="278"/>
      <c r="S728" s="278"/>
      <c r="T728" s="278"/>
      <c r="U728" s="278"/>
      <c r="V728" s="278"/>
      <c r="W728" s="278"/>
      <c r="X728" s="278"/>
      <c r="Y728" s="278"/>
      <c r="Z728" s="278"/>
    </row>
    <row r="729">
      <c r="A729" s="278"/>
      <c r="B729" s="278"/>
      <c r="C729" s="278"/>
      <c r="D729" s="278"/>
      <c r="E729" s="278"/>
      <c r="F729" s="278"/>
      <c r="G729" s="278"/>
      <c r="H729" s="278"/>
      <c r="I729" s="278"/>
      <c r="J729" s="278"/>
      <c r="K729" s="278"/>
      <c r="L729" s="278"/>
      <c r="M729" s="278"/>
      <c r="N729" s="278"/>
      <c r="O729" s="278"/>
      <c r="P729" s="278"/>
      <c r="Q729" s="278"/>
      <c r="R729" s="278"/>
      <c r="S729" s="278"/>
      <c r="T729" s="278"/>
      <c r="U729" s="278"/>
      <c r="V729" s="278"/>
      <c r="W729" s="278"/>
      <c r="X729" s="278"/>
      <c r="Y729" s="278"/>
      <c r="Z729" s="278"/>
    </row>
    <row r="730">
      <c r="A730" s="278"/>
      <c r="B730" s="278"/>
      <c r="C730" s="278"/>
      <c r="D730" s="278"/>
      <c r="E730" s="278"/>
      <c r="F730" s="278"/>
      <c r="G730" s="278"/>
      <c r="H730" s="278"/>
      <c r="I730" s="278"/>
      <c r="J730" s="278"/>
      <c r="K730" s="278"/>
      <c r="L730" s="278"/>
      <c r="M730" s="278"/>
      <c r="N730" s="278"/>
      <c r="O730" s="278"/>
      <c r="P730" s="278"/>
      <c r="Q730" s="278"/>
      <c r="R730" s="278"/>
      <c r="S730" s="278"/>
      <c r="T730" s="278"/>
      <c r="U730" s="278"/>
      <c r="V730" s="278"/>
      <c r="W730" s="278"/>
      <c r="X730" s="278"/>
      <c r="Y730" s="278"/>
      <c r="Z730" s="278"/>
    </row>
    <row r="731">
      <c r="A731" s="278"/>
      <c r="B731" s="278"/>
      <c r="C731" s="278"/>
      <c r="D731" s="278"/>
      <c r="E731" s="278"/>
      <c r="F731" s="278"/>
      <c r="G731" s="278"/>
      <c r="H731" s="278"/>
      <c r="I731" s="278"/>
      <c r="J731" s="278"/>
      <c r="K731" s="278"/>
      <c r="L731" s="278"/>
      <c r="M731" s="278"/>
      <c r="N731" s="278"/>
      <c r="O731" s="278"/>
      <c r="P731" s="278"/>
      <c r="Q731" s="278"/>
      <c r="R731" s="278"/>
      <c r="S731" s="278"/>
      <c r="T731" s="278"/>
      <c r="U731" s="278"/>
      <c r="V731" s="278"/>
      <c r="W731" s="278"/>
      <c r="X731" s="278"/>
      <c r="Y731" s="278"/>
      <c r="Z731" s="278"/>
    </row>
    <row r="732">
      <c r="A732" s="278"/>
      <c r="B732" s="278"/>
      <c r="C732" s="278"/>
      <c r="D732" s="278"/>
      <c r="E732" s="278"/>
      <c r="F732" s="278"/>
      <c r="G732" s="278"/>
      <c r="H732" s="278"/>
      <c r="I732" s="278"/>
      <c r="J732" s="278"/>
      <c r="K732" s="278"/>
      <c r="L732" s="278"/>
      <c r="M732" s="278"/>
      <c r="N732" s="278"/>
      <c r="O732" s="278"/>
      <c r="P732" s="278"/>
      <c r="Q732" s="278"/>
      <c r="R732" s="278"/>
      <c r="S732" s="278"/>
      <c r="T732" s="278"/>
      <c r="U732" s="278"/>
      <c r="V732" s="278"/>
      <c r="W732" s="278"/>
      <c r="X732" s="278"/>
      <c r="Y732" s="278"/>
      <c r="Z732" s="278"/>
    </row>
    <row r="733">
      <c r="A733" s="278"/>
      <c r="B733" s="278"/>
      <c r="C733" s="278"/>
      <c r="D733" s="278"/>
      <c r="E733" s="278"/>
      <c r="F733" s="278"/>
      <c r="G733" s="278"/>
      <c r="H733" s="278"/>
      <c r="I733" s="278"/>
      <c r="J733" s="278"/>
      <c r="K733" s="278"/>
      <c r="L733" s="278"/>
      <c r="M733" s="278"/>
      <c r="N733" s="278"/>
      <c r="O733" s="278"/>
      <c r="P733" s="278"/>
      <c r="Q733" s="278"/>
      <c r="R733" s="278"/>
      <c r="S733" s="278"/>
      <c r="T733" s="278"/>
      <c r="U733" s="278"/>
      <c r="V733" s="278"/>
      <c r="W733" s="278"/>
      <c r="X733" s="278"/>
      <c r="Y733" s="278"/>
      <c r="Z733" s="278"/>
    </row>
    <row r="734">
      <c r="A734" s="278"/>
      <c r="B734" s="278"/>
      <c r="C734" s="278"/>
      <c r="D734" s="278"/>
      <c r="E734" s="278"/>
      <c r="F734" s="278"/>
      <c r="G734" s="278"/>
      <c r="H734" s="278"/>
      <c r="I734" s="278"/>
      <c r="J734" s="278"/>
      <c r="K734" s="278"/>
      <c r="L734" s="278"/>
      <c r="M734" s="278"/>
      <c r="N734" s="278"/>
      <c r="O734" s="278"/>
      <c r="P734" s="278"/>
      <c r="Q734" s="278"/>
      <c r="R734" s="278"/>
      <c r="S734" s="278"/>
      <c r="T734" s="278"/>
      <c r="U734" s="278"/>
      <c r="V734" s="278"/>
      <c r="W734" s="278"/>
      <c r="X734" s="278"/>
      <c r="Y734" s="278"/>
      <c r="Z734" s="278"/>
    </row>
    <row r="735">
      <c r="A735" s="278"/>
      <c r="B735" s="278"/>
      <c r="C735" s="278"/>
      <c r="D735" s="278"/>
      <c r="E735" s="278"/>
      <c r="F735" s="278"/>
      <c r="G735" s="278"/>
      <c r="H735" s="278"/>
      <c r="I735" s="278"/>
      <c r="J735" s="278"/>
      <c r="K735" s="278"/>
      <c r="L735" s="278"/>
      <c r="M735" s="278"/>
      <c r="N735" s="278"/>
      <c r="O735" s="278"/>
      <c r="P735" s="278"/>
      <c r="Q735" s="278"/>
      <c r="R735" s="278"/>
      <c r="S735" s="278"/>
      <c r="T735" s="278"/>
      <c r="U735" s="278"/>
      <c r="V735" s="278"/>
      <c r="W735" s="278"/>
      <c r="X735" s="278"/>
      <c r="Y735" s="278"/>
      <c r="Z735" s="278"/>
    </row>
    <row r="736">
      <c r="A736" s="278"/>
      <c r="B736" s="278"/>
      <c r="C736" s="278"/>
      <c r="D736" s="278"/>
      <c r="E736" s="278"/>
      <c r="F736" s="278"/>
      <c r="G736" s="278"/>
      <c r="H736" s="278"/>
      <c r="I736" s="278"/>
      <c r="J736" s="278"/>
      <c r="K736" s="278"/>
      <c r="L736" s="278"/>
      <c r="M736" s="278"/>
      <c r="N736" s="278"/>
      <c r="O736" s="278"/>
      <c r="P736" s="278"/>
      <c r="Q736" s="278"/>
      <c r="R736" s="278"/>
      <c r="S736" s="278"/>
      <c r="T736" s="278"/>
      <c r="U736" s="278"/>
      <c r="V736" s="278"/>
      <c r="W736" s="278"/>
      <c r="X736" s="278"/>
      <c r="Y736" s="278"/>
      <c r="Z736" s="278"/>
    </row>
    <row r="737">
      <c r="A737" s="278"/>
      <c r="B737" s="278"/>
      <c r="C737" s="278"/>
      <c r="D737" s="278"/>
      <c r="E737" s="278"/>
      <c r="F737" s="278"/>
      <c r="G737" s="278"/>
      <c r="H737" s="278"/>
      <c r="I737" s="278"/>
      <c r="J737" s="278"/>
      <c r="K737" s="278"/>
      <c r="L737" s="278"/>
      <c r="M737" s="278"/>
      <c r="N737" s="278"/>
      <c r="O737" s="278"/>
      <c r="P737" s="278"/>
      <c r="Q737" s="278"/>
      <c r="R737" s="278"/>
      <c r="S737" s="278"/>
      <c r="T737" s="278"/>
      <c r="U737" s="278"/>
      <c r="V737" s="278"/>
      <c r="W737" s="278"/>
      <c r="X737" s="278"/>
      <c r="Y737" s="278"/>
      <c r="Z737" s="278"/>
    </row>
    <row r="738">
      <c r="A738" s="278"/>
      <c r="B738" s="278"/>
      <c r="C738" s="278"/>
      <c r="D738" s="278"/>
      <c r="E738" s="278"/>
      <c r="F738" s="278"/>
      <c r="G738" s="278"/>
      <c r="H738" s="278"/>
      <c r="I738" s="278"/>
      <c r="J738" s="278"/>
      <c r="K738" s="278"/>
      <c r="L738" s="278"/>
      <c r="M738" s="278"/>
      <c r="N738" s="278"/>
      <c r="O738" s="278"/>
      <c r="P738" s="278"/>
      <c r="Q738" s="278"/>
      <c r="R738" s="278"/>
      <c r="S738" s="278"/>
      <c r="T738" s="278"/>
      <c r="U738" s="278"/>
      <c r="V738" s="278"/>
      <c r="W738" s="278"/>
      <c r="X738" s="278"/>
      <c r="Y738" s="278"/>
      <c r="Z738" s="278"/>
    </row>
    <row r="739">
      <c r="A739" s="278"/>
      <c r="B739" s="278"/>
      <c r="C739" s="278"/>
      <c r="D739" s="278"/>
      <c r="E739" s="278"/>
      <c r="F739" s="278"/>
      <c r="G739" s="278"/>
      <c r="H739" s="278"/>
      <c r="I739" s="278"/>
      <c r="J739" s="278"/>
      <c r="K739" s="278"/>
      <c r="L739" s="278"/>
      <c r="M739" s="278"/>
      <c r="N739" s="278"/>
      <c r="O739" s="278"/>
      <c r="P739" s="278"/>
      <c r="Q739" s="278"/>
      <c r="R739" s="278"/>
      <c r="S739" s="278"/>
      <c r="T739" s="278"/>
      <c r="U739" s="278"/>
      <c r="V739" s="278"/>
      <c r="W739" s="278"/>
      <c r="X739" s="278"/>
      <c r="Y739" s="278"/>
      <c r="Z739" s="278"/>
    </row>
    <row r="740">
      <c r="A740" s="278"/>
      <c r="B740" s="278"/>
      <c r="C740" s="278"/>
      <c r="D740" s="278"/>
      <c r="E740" s="278"/>
      <c r="F740" s="278"/>
      <c r="G740" s="278"/>
      <c r="H740" s="278"/>
      <c r="I740" s="278"/>
      <c r="J740" s="278"/>
      <c r="K740" s="278"/>
      <c r="L740" s="278"/>
      <c r="M740" s="278"/>
      <c r="N740" s="278"/>
      <c r="O740" s="278"/>
      <c r="P740" s="278"/>
      <c r="Q740" s="278"/>
      <c r="R740" s="278"/>
      <c r="S740" s="278"/>
      <c r="T740" s="278"/>
      <c r="U740" s="278"/>
      <c r="V740" s="278"/>
      <c r="W740" s="278"/>
      <c r="X740" s="278"/>
      <c r="Y740" s="278"/>
      <c r="Z740" s="278"/>
    </row>
    <row r="741">
      <c r="A741" s="278"/>
      <c r="B741" s="278"/>
      <c r="C741" s="278"/>
      <c r="D741" s="278"/>
      <c r="E741" s="278"/>
      <c r="F741" s="278"/>
      <c r="G741" s="278"/>
      <c r="H741" s="278"/>
      <c r="I741" s="278"/>
      <c r="J741" s="278"/>
      <c r="K741" s="278"/>
      <c r="L741" s="278"/>
      <c r="M741" s="278"/>
      <c r="N741" s="278"/>
      <c r="O741" s="278"/>
      <c r="P741" s="278"/>
      <c r="Q741" s="278"/>
      <c r="R741" s="278"/>
      <c r="S741" s="278"/>
      <c r="T741" s="278"/>
      <c r="U741" s="278"/>
      <c r="V741" s="278"/>
      <c r="W741" s="278"/>
      <c r="X741" s="278"/>
      <c r="Y741" s="278"/>
      <c r="Z741" s="278"/>
    </row>
    <row r="742">
      <c r="A742" s="278"/>
      <c r="B742" s="278"/>
      <c r="C742" s="278"/>
      <c r="D742" s="278"/>
      <c r="E742" s="278"/>
      <c r="F742" s="278"/>
      <c r="G742" s="278"/>
      <c r="H742" s="278"/>
      <c r="I742" s="278"/>
      <c r="J742" s="278"/>
      <c r="K742" s="278"/>
      <c r="L742" s="278"/>
      <c r="M742" s="278"/>
      <c r="N742" s="278"/>
      <c r="O742" s="278"/>
      <c r="P742" s="278"/>
      <c r="Q742" s="278"/>
      <c r="R742" s="278"/>
      <c r="S742" s="278"/>
      <c r="T742" s="278"/>
      <c r="U742" s="278"/>
      <c r="V742" s="278"/>
      <c r="W742" s="278"/>
      <c r="X742" s="278"/>
      <c r="Y742" s="278"/>
      <c r="Z742" s="278"/>
    </row>
    <row r="743">
      <c r="A743" s="278"/>
      <c r="B743" s="278"/>
      <c r="C743" s="278"/>
      <c r="D743" s="278"/>
      <c r="E743" s="278"/>
      <c r="F743" s="278"/>
      <c r="G743" s="278"/>
      <c r="H743" s="278"/>
      <c r="I743" s="278"/>
      <c r="J743" s="278"/>
      <c r="K743" s="278"/>
      <c r="L743" s="278"/>
      <c r="M743" s="278"/>
      <c r="N743" s="278"/>
      <c r="O743" s="278"/>
      <c r="P743" s="278"/>
      <c r="Q743" s="278"/>
      <c r="R743" s="278"/>
      <c r="S743" s="278"/>
      <c r="T743" s="278"/>
      <c r="U743" s="278"/>
      <c r="V743" s="278"/>
      <c r="W743" s="278"/>
      <c r="X743" s="278"/>
      <c r="Y743" s="278"/>
      <c r="Z743" s="278"/>
    </row>
    <row r="744">
      <c r="A744" s="278"/>
      <c r="B744" s="278"/>
      <c r="C744" s="278"/>
      <c r="D744" s="278"/>
      <c r="E744" s="278"/>
      <c r="F744" s="278"/>
      <c r="G744" s="278"/>
      <c r="H744" s="278"/>
      <c r="I744" s="278"/>
      <c r="J744" s="278"/>
      <c r="K744" s="278"/>
      <c r="L744" s="278"/>
      <c r="M744" s="278"/>
      <c r="N744" s="278"/>
      <c r="O744" s="278"/>
      <c r="P744" s="278"/>
      <c r="Q744" s="278"/>
      <c r="R744" s="278"/>
      <c r="S744" s="278"/>
      <c r="T744" s="278"/>
      <c r="U744" s="278"/>
      <c r="V744" s="278"/>
      <c r="W744" s="278"/>
      <c r="X744" s="278"/>
      <c r="Y744" s="278"/>
      <c r="Z744" s="278"/>
    </row>
    <row r="745">
      <c r="A745" s="278"/>
      <c r="B745" s="278"/>
      <c r="C745" s="278"/>
      <c r="D745" s="278"/>
      <c r="E745" s="278"/>
      <c r="F745" s="278"/>
      <c r="G745" s="278"/>
      <c r="H745" s="278"/>
      <c r="I745" s="278"/>
      <c r="J745" s="278"/>
      <c r="K745" s="278"/>
      <c r="L745" s="278"/>
      <c r="M745" s="278"/>
      <c r="N745" s="278"/>
      <c r="O745" s="278"/>
      <c r="P745" s="278"/>
      <c r="Q745" s="278"/>
      <c r="R745" s="278"/>
      <c r="S745" s="278"/>
      <c r="T745" s="278"/>
      <c r="U745" s="278"/>
      <c r="V745" s="278"/>
      <c r="W745" s="278"/>
      <c r="X745" s="278"/>
      <c r="Y745" s="278"/>
      <c r="Z745" s="278"/>
    </row>
    <row r="746">
      <c r="A746" s="278"/>
      <c r="B746" s="278"/>
      <c r="C746" s="278"/>
      <c r="D746" s="278"/>
      <c r="E746" s="278"/>
      <c r="F746" s="278"/>
      <c r="G746" s="278"/>
      <c r="H746" s="278"/>
      <c r="I746" s="278"/>
      <c r="J746" s="278"/>
      <c r="K746" s="278"/>
      <c r="L746" s="278"/>
      <c r="M746" s="278"/>
      <c r="N746" s="278"/>
      <c r="O746" s="278"/>
      <c r="P746" s="278"/>
      <c r="Q746" s="278"/>
      <c r="R746" s="278"/>
      <c r="S746" s="278"/>
      <c r="T746" s="278"/>
      <c r="U746" s="278"/>
      <c r="V746" s="278"/>
      <c r="W746" s="278"/>
      <c r="X746" s="278"/>
      <c r="Y746" s="278"/>
      <c r="Z746" s="278"/>
    </row>
    <row r="747">
      <c r="A747" s="278"/>
      <c r="B747" s="278"/>
      <c r="C747" s="278"/>
      <c r="D747" s="278"/>
      <c r="E747" s="278"/>
      <c r="F747" s="278"/>
      <c r="G747" s="278"/>
      <c r="H747" s="278"/>
      <c r="I747" s="278"/>
      <c r="J747" s="278"/>
      <c r="K747" s="278"/>
      <c r="L747" s="278"/>
      <c r="M747" s="278"/>
      <c r="N747" s="278"/>
      <c r="O747" s="278"/>
      <c r="P747" s="278"/>
      <c r="Q747" s="278"/>
      <c r="R747" s="278"/>
      <c r="S747" s="278"/>
      <c r="T747" s="278"/>
      <c r="U747" s="278"/>
      <c r="V747" s="278"/>
      <c r="W747" s="278"/>
      <c r="X747" s="278"/>
      <c r="Y747" s="278"/>
      <c r="Z747" s="278"/>
    </row>
    <row r="748">
      <c r="A748" s="278"/>
      <c r="B748" s="278"/>
      <c r="C748" s="278"/>
      <c r="D748" s="278"/>
      <c r="E748" s="278"/>
      <c r="F748" s="278"/>
      <c r="G748" s="278"/>
      <c r="H748" s="278"/>
      <c r="I748" s="278"/>
      <c r="J748" s="278"/>
      <c r="K748" s="278"/>
      <c r="L748" s="278"/>
      <c r="M748" s="278"/>
      <c r="N748" s="278"/>
      <c r="O748" s="278"/>
      <c r="P748" s="278"/>
      <c r="Q748" s="278"/>
      <c r="R748" s="278"/>
      <c r="S748" s="278"/>
      <c r="T748" s="278"/>
      <c r="U748" s="278"/>
      <c r="V748" s="278"/>
      <c r="W748" s="278"/>
      <c r="X748" s="278"/>
      <c r="Y748" s="278"/>
      <c r="Z748" s="278"/>
    </row>
    <row r="749">
      <c r="A749" s="278"/>
      <c r="B749" s="278"/>
      <c r="C749" s="278"/>
      <c r="D749" s="278"/>
      <c r="E749" s="278"/>
      <c r="F749" s="278"/>
      <c r="G749" s="278"/>
      <c r="H749" s="278"/>
      <c r="I749" s="278"/>
      <c r="J749" s="278"/>
      <c r="K749" s="278"/>
      <c r="L749" s="278"/>
      <c r="M749" s="278"/>
      <c r="N749" s="278"/>
      <c r="O749" s="278"/>
      <c r="P749" s="278"/>
      <c r="Q749" s="278"/>
      <c r="R749" s="278"/>
      <c r="S749" s="278"/>
      <c r="T749" s="278"/>
      <c r="U749" s="278"/>
      <c r="V749" s="278"/>
      <c r="W749" s="278"/>
      <c r="X749" s="278"/>
      <c r="Y749" s="278"/>
      <c r="Z749" s="278"/>
    </row>
    <row r="750">
      <c r="A750" s="278"/>
      <c r="B750" s="278"/>
      <c r="C750" s="278"/>
      <c r="D750" s="278"/>
      <c r="E750" s="278"/>
      <c r="F750" s="278"/>
      <c r="G750" s="278"/>
      <c r="H750" s="278"/>
      <c r="I750" s="278"/>
      <c r="J750" s="278"/>
      <c r="K750" s="278"/>
      <c r="L750" s="278"/>
      <c r="M750" s="278"/>
      <c r="N750" s="278"/>
      <c r="O750" s="278"/>
      <c r="P750" s="278"/>
      <c r="Q750" s="278"/>
      <c r="R750" s="278"/>
      <c r="S750" s="278"/>
      <c r="T750" s="278"/>
      <c r="U750" s="278"/>
      <c r="V750" s="278"/>
      <c r="W750" s="278"/>
      <c r="X750" s="278"/>
      <c r="Y750" s="278"/>
      <c r="Z750" s="278"/>
    </row>
    <row r="751">
      <c r="A751" s="278"/>
      <c r="B751" s="278"/>
      <c r="C751" s="278"/>
      <c r="D751" s="278"/>
      <c r="E751" s="278"/>
      <c r="F751" s="278"/>
      <c r="G751" s="278"/>
      <c r="H751" s="278"/>
      <c r="I751" s="278"/>
      <c r="J751" s="278"/>
      <c r="K751" s="278"/>
      <c r="L751" s="278"/>
      <c r="M751" s="278"/>
      <c r="N751" s="278"/>
      <c r="O751" s="278"/>
      <c r="P751" s="278"/>
      <c r="Q751" s="278"/>
      <c r="R751" s="278"/>
      <c r="S751" s="278"/>
      <c r="T751" s="278"/>
      <c r="U751" s="278"/>
      <c r="V751" s="278"/>
      <c r="W751" s="278"/>
      <c r="X751" s="278"/>
      <c r="Y751" s="278"/>
      <c r="Z751" s="278"/>
    </row>
    <row r="752">
      <c r="A752" s="278"/>
      <c r="B752" s="278"/>
      <c r="C752" s="278"/>
      <c r="D752" s="278"/>
      <c r="E752" s="278"/>
      <c r="F752" s="278"/>
      <c r="G752" s="278"/>
      <c r="H752" s="278"/>
      <c r="I752" s="278"/>
      <c r="J752" s="278"/>
      <c r="K752" s="278"/>
      <c r="L752" s="278"/>
      <c r="M752" s="278"/>
      <c r="N752" s="278"/>
      <c r="O752" s="278"/>
      <c r="P752" s="278"/>
      <c r="Q752" s="278"/>
      <c r="R752" s="278"/>
      <c r="S752" s="278"/>
      <c r="T752" s="278"/>
      <c r="U752" s="278"/>
      <c r="V752" s="278"/>
      <c r="W752" s="278"/>
      <c r="X752" s="278"/>
      <c r="Y752" s="278"/>
      <c r="Z752" s="278"/>
    </row>
    <row r="753">
      <c r="A753" s="278"/>
      <c r="B753" s="278"/>
      <c r="C753" s="278"/>
      <c r="D753" s="278"/>
      <c r="E753" s="278"/>
      <c r="F753" s="278"/>
      <c r="G753" s="278"/>
      <c r="H753" s="278"/>
      <c r="I753" s="278"/>
      <c r="J753" s="278"/>
      <c r="K753" s="278"/>
      <c r="L753" s="278"/>
      <c r="M753" s="278"/>
      <c r="N753" s="278"/>
      <c r="O753" s="278"/>
      <c r="P753" s="278"/>
      <c r="Q753" s="278"/>
      <c r="R753" s="278"/>
      <c r="S753" s="278"/>
      <c r="T753" s="278"/>
      <c r="U753" s="278"/>
      <c r="V753" s="278"/>
      <c r="W753" s="278"/>
      <c r="X753" s="278"/>
      <c r="Y753" s="278"/>
      <c r="Z753" s="278"/>
    </row>
    <row r="754">
      <c r="A754" s="278"/>
      <c r="B754" s="278"/>
      <c r="C754" s="278"/>
      <c r="D754" s="278"/>
      <c r="E754" s="278"/>
      <c r="F754" s="278"/>
      <c r="G754" s="278"/>
      <c r="H754" s="278"/>
      <c r="I754" s="278"/>
      <c r="J754" s="278"/>
      <c r="K754" s="278"/>
      <c r="L754" s="278"/>
      <c r="M754" s="278"/>
      <c r="N754" s="278"/>
      <c r="O754" s="278"/>
      <c r="P754" s="278"/>
      <c r="Q754" s="278"/>
      <c r="R754" s="278"/>
      <c r="S754" s="278"/>
      <c r="T754" s="278"/>
      <c r="U754" s="278"/>
      <c r="V754" s="278"/>
      <c r="W754" s="278"/>
      <c r="X754" s="278"/>
      <c r="Y754" s="278"/>
      <c r="Z754" s="278"/>
    </row>
    <row r="755">
      <c r="A755" s="278"/>
      <c r="B755" s="278"/>
      <c r="C755" s="278"/>
      <c r="D755" s="278"/>
      <c r="E755" s="278"/>
      <c r="F755" s="278"/>
      <c r="G755" s="278"/>
      <c r="H755" s="278"/>
      <c r="I755" s="278"/>
      <c r="J755" s="278"/>
      <c r="K755" s="278"/>
      <c r="L755" s="278"/>
      <c r="M755" s="278"/>
      <c r="N755" s="278"/>
      <c r="O755" s="278"/>
      <c r="P755" s="278"/>
      <c r="Q755" s="278"/>
      <c r="R755" s="278"/>
      <c r="S755" s="278"/>
      <c r="T755" s="278"/>
      <c r="U755" s="278"/>
      <c r="V755" s="278"/>
      <c r="W755" s="278"/>
      <c r="X755" s="278"/>
      <c r="Y755" s="278"/>
      <c r="Z755" s="278"/>
    </row>
    <row r="756">
      <c r="A756" s="278"/>
      <c r="B756" s="278"/>
      <c r="C756" s="278"/>
      <c r="D756" s="278"/>
      <c r="E756" s="278"/>
      <c r="F756" s="278"/>
      <c r="G756" s="278"/>
      <c r="H756" s="278"/>
      <c r="I756" s="278"/>
      <c r="J756" s="278"/>
      <c r="K756" s="278"/>
      <c r="L756" s="278"/>
      <c r="M756" s="278"/>
      <c r="N756" s="278"/>
      <c r="O756" s="278"/>
      <c r="P756" s="278"/>
      <c r="Q756" s="278"/>
      <c r="R756" s="278"/>
      <c r="S756" s="278"/>
      <c r="T756" s="278"/>
      <c r="U756" s="278"/>
      <c r="V756" s="278"/>
      <c r="W756" s="278"/>
      <c r="X756" s="278"/>
      <c r="Y756" s="278"/>
      <c r="Z756" s="278"/>
    </row>
    <row r="757">
      <c r="A757" s="278"/>
      <c r="B757" s="278"/>
      <c r="C757" s="278"/>
      <c r="D757" s="278"/>
      <c r="E757" s="278"/>
      <c r="F757" s="278"/>
      <c r="G757" s="278"/>
      <c r="H757" s="278"/>
      <c r="I757" s="278"/>
      <c r="J757" s="278"/>
      <c r="K757" s="278"/>
      <c r="L757" s="278"/>
      <c r="M757" s="278"/>
      <c r="N757" s="278"/>
      <c r="O757" s="278"/>
      <c r="P757" s="278"/>
      <c r="Q757" s="278"/>
      <c r="R757" s="278"/>
      <c r="S757" s="278"/>
      <c r="T757" s="278"/>
      <c r="U757" s="278"/>
      <c r="V757" s="278"/>
      <c r="W757" s="278"/>
      <c r="X757" s="278"/>
      <c r="Y757" s="278"/>
      <c r="Z757" s="278"/>
    </row>
    <row r="758">
      <c r="A758" s="278"/>
      <c r="B758" s="278"/>
      <c r="C758" s="278"/>
      <c r="D758" s="278"/>
      <c r="E758" s="278"/>
      <c r="F758" s="278"/>
      <c r="G758" s="278"/>
      <c r="H758" s="278"/>
      <c r="I758" s="278"/>
      <c r="J758" s="278"/>
      <c r="K758" s="278"/>
      <c r="L758" s="278"/>
      <c r="M758" s="278"/>
      <c r="N758" s="278"/>
      <c r="O758" s="278"/>
      <c r="P758" s="278"/>
      <c r="Q758" s="278"/>
      <c r="R758" s="278"/>
      <c r="S758" s="278"/>
      <c r="T758" s="278"/>
      <c r="U758" s="278"/>
      <c r="V758" s="278"/>
      <c r="W758" s="278"/>
      <c r="X758" s="278"/>
      <c r="Y758" s="278"/>
      <c r="Z758" s="278"/>
    </row>
    <row r="759">
      <c r="A759" s="278"/>
      <c r="B759" s="278"/>
      <c r="C759" s="278"/>
      <c r="D759" s="278"/>
      <c r="E759" s="278"/>
      <c r="F759" s="278"/>
      <c r="G759" s="278"/>
      <c r="H759" s="278"/>
      <c r="I759" s="278"/>
      <c r="J759" s="278"/>
      <c r="K759" s="278"/>
      <c r="L759" s="278"/>
      <c r="M759" s="278"/>
      <c r="N759" s="278"/>
      <c r="O759" s="278"/>
      <c r="P759" s="278"/>
      <c r="Q759" s="278"/>
      <c r="R759" s="278"/>
      <c r="S759" s="278"/>
      <c r="T759" s="278"/>
      <c r="U759" s="278"/>
      <c r="V759" s="278"/>
      <c r="W759" s="278"/>
      <c r="X759" s="278"/>
      <c r="Y759" s="278"/>
      <c r="Z759" s="278"/>
    </row>
    <row r="760">
      <c r="A760" s="278"/>
      <c r="B760" s="278"/>
      <c r="C760" s="278"/>
      <c r="D760" s="278"/>
      <c r="E760" s="278"/>
      <c r="F760" s="278"/>
      <c r="G760" s="278"/>
      <c r="H760" s="278"/>
      <c r="I760" s="278"/>
      <c r="J760" s="278"/>
      <c r="K760" s="278"/>
      <c r="L760" s="278"/>
      <c r="M760" s="278"/>
      <c r="N760" s="278"/>
      <c r="O760" s="278"/>
      <c r="P760" s="278"/>
      <c r="Q760" s="278"/>
      <c r="R760" s="278"/>
      <c r="S760" s="278"/>
      <c r="T760" s="278"/>
      <c r="U760" s="278"/>
      <c r="V760" s="278"/>
      <c r="W760" s="278"/>
      <c r="X760" s="278"/>
      <c r="Y760" s="278"/>
      <c r="Z760" s="278"/>
    </row>
    <row r="761">
      <c r="A761" s="278"/>
      <c r="B761" s="278"/>
      <c r="C761" s="278"/>
      <c r="D761" s="278"/>
      <c r="E761" s="278"/>
      <c r="F761" s="278"/>
      <c r="G761" s="278"/>
      <c r="H761" s="278"/>
      <c r="I761" s="278"/>
      <c r="J761" s="278"/>
      <c r="K761" s="278"/>
      <c r="L761" s="278"/>
      <c r="M761" s="278"/>
      <c r="N761" s="278"/>
      <c r="O761" s="278"/>
      <c r="P761" s="278"/>
      <c r="Q761" s="278"/>
      <c r="R761" s="278"/>
      <c r="S761" s="278"/>
      <c r="T761" s="278"/>
      <c r="U761" s="278"/>
      <c r="V761" s="278"/>
      <c r="W761" s="278"/>
      <c r="X761" s="278"/>
      <c r="Y761" s="278"/>
      <c r="Z761" s="278"/>
    </row>
    <row r="762">
      <c r="A762" s="278"/>
      <c r="B762" s="278"/>
      <c r="C762" s="278"/>
      <c r="D762" s="278"/>
      <c r="E762" s="278"/>
      <c r="F762" s="278"/>
      <c r="G762" s="278"/>
      <c r="H762" s="278"/>
      <c r="I762" s="278"/>
      <c r="J762" s="278"/>
      <c r="K762" s="278"/>
      <c r="L762" s="278"/>
      <c r="M762" s="278"/>
      <c r="N762" s="278"/>
      <c r="O762" s="278"/>
      <c r="P762" s="278"/>
      <c r="Q762" s="278"/>
      <c r="R762" s="278"/>
      <c r="S762" s="278"/>
      <c r="T762" s="278"/>
      <c r="U762" s="278"/>
      <c r="V762" s="278"/>
      <c r="W762" s="278"/>
      <c r="X762" s="278"/>
      <c r="Y762" s="278"/>
      <c r="Z762" s="278"/>
    </row>
    <row r="763">
      <c r="A763" s="278"/>
      <c r="B763" s="278"/>
      <c r="C763" s="278"/>
      <c r="D763" s="278"/>
      <c r="E763" s="278"/>
      <c r="F763" s="278"/>
      <c r="G763" s="278"/>
      <c r="H763" s="278"/>
      <c r="I763" s="278"/>
      <c r="J763" s="278"/>
      <c r="K763" s="278"/>
      <c r="L763" s="278"/>
      <c r="M763" s="278"/>
      <c r="N763" s="278"/>
      <c r="O763" s="278"/>
      <c r="P763" s="278"/>
      <c r="Q763" s="278"/>
      <c r="R763" s="278"/>
      <c r="S763" s="278"/>
      <c r="T763" s="278"/>
      <c r="U763" s="278"/>
      <c r="V763" s="278"/>
      <c r="W763" s="278"/>
      <c r="X763" s="278"/>
      <c r="Y763" s="278"/>
      <c r="Z763" s="278"/>
    </row>
    <row r="764">
      <c r="A764" s="278"/>
      <c r="B764" s="278"/>
      <c r="C764" s="278"/>
      <c r="D764" s="278"/>
      <c r="E764" s="278"/>
      <c r="F764" s="278"/>
      <c r="G764" s="278"/>
      <c r="H764" s="278"/>
      <c r="I764" s="278"/>
      <c r="J764" s="278"/>
      <c r="K764" s="278"/>
      <c r="L764" s="278"/>
      <c r="M764" s="278"/>
      <c r="N764" s="278"/>
      <c r="O764" s="278"/>
      <c r="P764" s="278"/>
      <c r="Q764" s="278"/>
      <c r="R764" s="278"/>
      <c r="S764" s="278"/>
      <c r="T764" s="278"/>
      <c r="U764" s="278"/>
      <c r="V764" s="278"/>
      <c r="W764" s="278"/>
      <c r="X764" s="278"/>
      <c r="Y764" s="278"/>
      <c r="Z764" s="278"/>
    </row>
    <row r="765">
      <c r="A765" s="278"/>
      <c r="B765" s="278"/>
      <c r="C765" s="278"/>
      <c r="D765" s="278"/>
      <c r="E765" s="278"/>
      <c r="F765" s="278"/>
      <c r="G765" s="278"/>
      <c r="H765" s="278"/>
      <c r="I765" s="278"/>
      <c r="J765" s="278"/>
      <c r="K765" s="278"/>
      <c r="L765" s="278"/>
      <c r="M765" s="278"/>
      <c r="N765" s="278"/>
      <c r="O765" s="278"/>
      <c r="P765" s="278"/>
      <c r="Q765" s="278"/>
      <c r="R765" s="278"/>
      <c r="S765" s="278"/>
      <c r="T765" s="278"/>
      <c r="U765" s="278"/>
      <c r="V765" s="278"/>
      <c r="W765" s="278"/>
      <c r="X765" s="278"/>
      <c r="Y765" s="278"/>
      <c r="Z765" s="278"/>
    </row>
    <row r="766">
      <c r="A766" s="278"/>
      <c r="B766" s="278"/>
      <c r="C766" s="278"/>
      <c r="D766" s="278"/>
      <c r="E766" s="278"/>
      <c r="F766" s="278"/>
      <c r="G766" s="278"/>
      <c r="H766" s="278"/>
      <c r="I766" s="278"/>
      <c r="J766" s="278"/>
      <c r="K766" s="278"/>
      <c r="L766" s="278"/>
      <c r="M766" s="278"/>
      <c r="N766" s="278"/>
      <c r="O766" s="278"/>
      <c r="P766" s="278"/>
      <c r="Q766" s="278"/>
      <c r="R766" s="278"/>
      <c r="S766" s="278"/>
      <c r="T766" s="278"/>
      <c r="U766" s="278"/>
      <c r="V766" s="278"/>
      <c r="W766" s="278"/>
      <c r="X766" s="278"/>
      <c r="Y766" s="278"/>
      <c r="Z766" s="278"/>
    </row>
    <row r="767">
      <c r="A767" s="278"/>
      <c r="B767" s="278"/>
      <c r="C767" s="278"/>
      <c r="D767" s="278"/>
      <c r="E767" s="278"/>
      <c r="F767" s="278"/>
      <c r="G767" s="278"/>
      <c r="H767" s="278"/>
      <c r="I767" s="278"/>
      <c r="J767" s="278"/>
      <c r="K767" s="278"/>
      <c r="L767" s="278"/>
      <c r="M767" s="278"/>
      <c r="N767" s="278"/>
      <c r="O767" s="278"/>
      <c r="P767" s="278"/>
      <c r="Q767" s="278"/>
      <c r="R767" s="278"/>
      <c r="S767" s="278"/>
      <c r="T767" s="278"/>
      <c r="U767" s="278"/>
      <c r="V767" s="278"/>
      <c r="W767" s="278"/>
      <c r="X767" s="278"/>
      <c r="Y767" s="278"/>
      <c r="Z767" s="278"/>
    </row>
    <row r="768">
      <c r="A768" s="278"/>
      <c r="B768" s="278"/>
      <c r="C768" s="278"/>
      <c r="D768" s="278"/>
      <c r="E768" s="278"/>
      <c r="F768" s="278"/>
      <c r="G768" s="278"/>
      <c r="H768" s="278"/>
      <c r="I768" s="278"/>
      <c r="J768" s="278"/>
      <c r="K768" s="278"/>
      <c r="L768" s="278"/>
      <c r="M768" s="278"/>
      <c r="N768" s="278"/>
      <c r="O768" s="278"/>
      <c r="P768" s="278"/>
      <c r="Q768" s="278"/>
      <c r="R768" s="278"/>
      <c r="S768" s="278"/>
      <c r="T768" s="278"/>
      <c r="U768" s="278"/>
      <c r="V768" s="278"/>
      <c r="W768" s="278"/>
      <c r="X768" s="278"/>
      <c r="Y768" s="278"/>
      <c r="Z768" s="278"/>
    </row>
    <row r="769">
      <c r="A769" s="278"/>
      <c r="B769" s="278"/>
      <c r="C769" s="278"/>
      <c r="D769" s="278"/>
      <c r="E769" s="278"/>
      <c r="F769" s="278"/>
      <c r="G769" s="278"/>
      <c r="H769" s="278"/>
      <c r="I769" s="278"/>
      <c r="J769" s="278"/>
      <c r="K769" s="278"/>
      <c r="L769" s="278"/>
      <c r="M769" s="278"/>
      <c r="N769" s="278"/>
      <c r="O769" s="278"/>
      <c r="P769" s="278"/>
      <c r="Q769" s="278"/>
      <c r="R769" s="278"/>
      <c r="S769" s="278"/>
      <c r="T769" s="278"/>
      <c r="U769" s="278"/>
      <c r="V769" s="278"/>
      <c r="W769" s="278"/>
      <c r="X769" s="278"/>
      <c r="Y769" s="278"/>
      <c r="Z769" s="278"/>
    </row>
    <row r="770">
      <c r="A770" s="278"/>
      <c r="B770" s="278"/>
      <c r="C770" s="278"/>
      <c r="D770" s="278"/>
      <c r="E770" s="278"/>
      <c r="F770" s="278"/>
      <c r="G770" s="278"/>
      <c r="H770" s="278"/>
      <c r="I770" s="278"/>
      <c r="J770" s="278"/>
      <c r="K770" s="278"/>
      <c r="L770" s="278"/>
      <c r="M770" s="278"/>
      <c r="N770" s="278"/>
      <c r="O770" s="278"/>
      <c r="P770" s="278"/>
      <c r="Q770" s="278"/>
      <c r="R770" s="278"/>
      <c r="S770" s="278"/>
      <c r="T770" s="278"/>
      <c r="U770" s="278"/>
      <c r="V770" s="278"/>
      <c r="W770" s="278"/>
      <c r="X770" s="278"/>
      <c r="Y770" s="278"/>
      <c r="Z770" s="278"/>
    </row>
    <row r="771">
      <c r="A771" s="278"/>
      <c r="B771" s="278"/>
      <c r="C771" s="278"/>
      <c r="D771" s="278"/>
      <c r="E771" s="278"/>
      <c r="F771" s="278"/>
      <c r="G771" s="278"/>
      <c r="H771" s="278"/>
      <c r="I771" s="278"/>
      <c r="J771" s="278"/>
      <c r="K771" s="278"/>
      <c r="L771" s="278"/>
      <c r="M771" s="278"/>
      <c r="N771" s="278"/>
      <c r="O771" s="278"/>
      <c r="P771" s="278"/>
      <c r="Q771" s="278"/>
      <c r="R771" s="278"/>
      <c r="S771" s="278"/>
      <c r="T771" s="278"/>
      <c r="U771" s="278"/>
      <c r="V771" s="278"/>
      <c r="W771" s="278"/>
      <c r="X771" s="278"/>
      <c r="Y771" s="278"/>
      <c r="Z771" s="278"/>
    </row>
    <row r="772">
      <c r="A772" s="278"/>
      <c r="B772" s="278"/>
      <c r="C772" s="278"/>
      <c r="D772" s="278"/>
      <c r="E772" s="278"/>
      <c r="F772" s="278"/>
      <c r="G772" s="278"/>
      <c r="H772" s="278"/>
      <c r="I772" s="278"/>
      <c r="J772" s="278"/>
      <c r="K772" s="278"/>
      <c r="L772" s="278"/>
      <c r="M772" s="278"/>
      <c r="N772" s="278"/>
      <c r="O772" s="278"/>
      <c r="P772" s="278"/>
      <c r="Q772" s="278"/>
      <c r="R772" s="278"/>
      <c r="S772" s="278"/>
      <c r="T772" s="278"/>
      <c r="U772" s="278"/>
      <c r="V772" s="278"/>
      <c r="W772" s="278"/>
      <c r="X772" s="278"/>
      <c r="Y772" s="278"/>
      <c r="Z772" s="278"/>
    </row>
    <row r="773">
      <c r="A773" s="278"/>
      <c r="B773" s="278"/>
      <c r="C773" s="278"/>
      <c r="D773" s="278"/>
      <c r="E773" s="278"/>
      <c r="F773" s="278"/>
      <c r="G773" s="278"/>
      <c r="H773" s="278"/>
      <c r="I773" s="278"/>
      <c r="J773" s="278"/>
      <c r="K773" s="278"/>
      <c r="L773" s="278"/>
      <c r="M773" s="278"/>
      <c r="N773" s="278"/>
      <c r="O773" s="278"/>
      <c r="P773" s="278"/>
      <c r="Q773" s="278"/>
      <c r="R773" s="278"/>
      <c r="S773" s="278"/>
      <c r="T773" s="278"/>
      <c r="U773" s="278"/>
      <c r="V773" s="278"/>
      <c r="W773" s="278"/>
      <c r="X773" s="278"/>
      <c r="Y773" s="278"/>
      <c r="Z773" s="278"/>
    </row>
    <row r="774">
      <c r="A774" s="278"/>
      <c r="B774" s="278"/>
      <c r="C774" s="278"/>
      <c r="D774" s="278"/>
      <c r="E774" s="278"/>
      <c r="F774" s="278"/>
      <c r="G774" s="278"/>
      <c r="H774" s="278"/>
      <c r="I774" s="278"/>
      <c r="J774" s="278"/>
      <c r="K774" s="278"/>
      <c r="L774" s="278"/>
      <c r="M774" s="278"/>
      <c r="N774" s="278"/>
      <c r="O774" s="278"/>
      <c r="P774" s="278"/>
      <c r="Q774" s="278"/>
      <c r="R774" s="278"/>
      <c r="S774" s="278"/>
      <c r="T774" s="278"/>
      <c r="U774" s="278"/>
      <c r="V774" s="278"/>
      <c r="W774" s="278"/>
      <c r="X774" s="278"/>
      <c r="Y774" s="278"/>
      <c r="Z774" s="278"/>
    </row>
    <row r="775">
      <c r="A775" s="278"/>
      <c r="B775" s="278"/>
      <c r="C775" s="278"/>
      <c r="D775" s="278"/>
      <c r="E775" s="278"/>
      <c r="F775" s="278"/>
      <c r="G775" s="278"/>
      <c r="H775" s="278"/>
      <c r="I775" s="278"/>
      <c r="J775" s="278"/>
      <c r="K775" s="278"/>
      <c r="L775" s="278"/>
      <c r="M775" s="278"/>
      <c r="N775" s="278"/>
      <c r="O775" s="278"/>
      <c r="P775" s="278"/>
      <c r="Q775" s="278"/>
      <c r="R775" s="278"/>
      <c r="S775" s="278"/>
      <c r="T775" s="278"/>
      <c r="U775" s="278"/>
      <c r="V775" s="278"/>
      <c r="W775" s="278"/>
      <c r="X775" s="278"/>
      <c r="Y775" s="278"/>
      <c r="Z775" s="278"/>
    </row>
    <row r="776">
      <c r="A776" s="278"/>
      <c r="B776" s="278"/>
      <c r="C776" s="278"/>
      <c r="D776" s="278"/>
      <c r="E776" s="278"/>
      <c r="F776" s="278"/>
      <c r="G776" s="278"/>
      <c r="H776" s="278"/>
      <c r="I776" s="278"/>
      <c r="J776" s="278"/>
      <c r="K776" s="278"/>
      <c r="L776" s="278"/>
      <c r="M776" s="278"/>
      <c r="N776" s="278"/>
      <c r="O776" s="278"/>
      <c r="P776" s="278"/>
      <c r="Q776" s="278"/>
      <c r="R776" s="278"/>
      <c r="S776" s="278"/>
      <c r="T776" s="278"/>
      <c r="U776" s="278"/>
      <c r="V776" s="278"/>
      <c r="W776" s="278"/>
      <c r="X776" s="278"/>
      <c r="Y776" s="278"/>
      <c r="Z776" s="278"/>
    </row>
    <row r="777">
      <c r="A777" s="278"/>
      <c r="B777" s="278"/>
      <c r="C777" s="278"/>
      <c r="D777" s="278"/>
      <c r="E777" s="278"/>
      <c r="F777" s="278"/>
      <c r="G777" s="278"/>
      <c r="H777" s="278"/>
      <c r="I777" s="278"/>
      <c r="J777" s="278"/>
      <c r="K777" s="278"/>
      <c r="L777" s="278"/>
      <c r="M777" s="278"/>
      <c r="N777" s="278"/>
      <c r="O777" s="278"/>
      <c r="P777" s="278"/>
      <c r="Q777" s="278"/>
      <c r="R777" s="278"/>
      <c r="S777" s="278"/>
      <c r="T777" s="278"/>
      <c r="U777" s="278"/>
      <c r="V777" s="278"/>
      <c r="W777" s="278"/>
      <c r="X777" s="278"/>
      <c r="Y777" s="278"/>
      <c r="Z777" s="278"/>
    </row>
    <row r="778">
      <c r="A778" s="278"/>
      <c r="B778" s="278"/>
      <c r="C778" s="278"/>
      <c r="D778" s="278"/>
      <c r="E778" s="278"/>
      <c r="F778" s="278"/>
      <c r="G778" s="278"/>
      <c r="H778" s="278"/>
      <c r="I778" s="278"/>
      <c r="J778" s="278"/>
      <c r="K778" s="278"/>
      <c r="L778" s="278"/>
      <c r="M778" s="278"/>
      <c r="N778" s="278"/>
      <c r="O778" s="278"/>
      <c r="P778" s="278"/>
      <c r="Q778" s="278"/>
      <c r="R778" s="278"/>
      <c r="S778" s="278"/>
      <c r="T778" s="278"/>
      <c r="U778" s="278"/>
      <c r="V778" s="278"/>
      <c r="W778" s="278"/>
      <c r="X778" s="278"/>
      <c r="Y778" s="278"/>
      <c r="Z778" s="278"/>
    </row>
    <row r="779">
      <c r="A779" s="278"/>
      <c r="B779" s="278"/>
      <c r="C779" s="278"/>
      <c r="D779" s="278"/>
      <c r="E779" s="278"/>
      <c r="F779" s="278"/>
      <c r="G779" s="278"/>
      <c r="H779" s="278"/>
      <c r="I779" s="278"/>
      <c r="J779" s="278"/>
      <c r="K779" s="278"/>
      <c r="L779" s="278"/>
      <c r="M779" s="278"/>
      <c r="N779" s="278"/>
      <c r="O779" s="278"/>
      <c r="P779" s="278"/>
      <c r="Q779" s="278"/>
      <c r="R779" s="278"/>
      <c r="S779" s="278"/>
      <c r="T779" s="278"/>
      <c r="U779" s="278"/>
      <c r="V779" s="278"/>
      <c r="W779" s="278"/>
      <c r="X779" s="278"/>
      <c r="Y779" s="278"/>
      <c r="Z779" s="278"/>
    </row>
    <row r="780">
      <c r="A780" s="278"/>
      <c r="B780" s="278"/>
      <c r="C780" s="278"/>
      <c r="D780" s="278"/>
      <c r="E780" s="278"/>
      <c r="F780" s="278"/>
      <c r="G780" s="278"/>
      <c r="H780" s="278"/>
      <c r="I780" s="278"/>
      <c r="J780" s="278"/>
      <c r="K780" s="278"/>
      <c r="L780" s="278"/>
      <c r="M780" s="278"/>
      <c r="N780" s="278"/>
      <c r="O780" s="278"/>
      <c r="P780" s="278"/>
      <c r="Q780" s="278"/>
      <c r="R780" s="278"/>
      <c r="S780" s="278"/>
      <c r="T780" s="278"/>
      <c r="U780" s="278"/>
      <c r="V780" s="278"/>
      <c r="W780" s="278"/>
      <c r="X780" s="278"/>
      <c r="Y780" s="278"/>
      <c r="Z780" s="278"/>
    </row>
    <row r="781">
      <c r="A781" s="278"/>
      <c r="B781" s="278"/>
      <c r="C781" s="278"/>
      <c r="D781" s="278"/>
      <c r="E781" s="278"/>
      <c r="F781" s="278"/>
      <c r="G781" s="278"/>
      <c r="H781" s="278"/>
      <c r="I781" s="278"/>
      <c r="J781" s="278"/>
      <c r="K781" s="278"/>
      <c r="L781" s="278"/>
      <c r="M781" s="278"/>
      <c r="N781" s="278"/>
      <c r="O781" s="278"/>
      <c r="P781" s="278"/>
      <c r="Q781" s="278"/>
      <c r="R781" s="278"/>
      <c r="S781" s="278"/>
      <c r="T781" s="278"/>
      <c r="U781" s="278"/>
      <c r="V781" s="278"/>
      <c r="W781" s="278"/>
      <c r="X781" s="278"/>
      <c r="Y781" s="278"/>
      <c r="Z781" s="278"/>
    </row>
    <row r="782">
      <c r="A782" s="278"/>
      <c r="B782" s="278"/>
      <c r="C782" s="278"/>
      <c r="D782" s="278"/>
      <c r="E782" s="278"/>
      <c r="F782" s="278"/>
      <c r="G782" s="278"/>
      <c r="H782" s="278"/>
      <c r="I782" s="278"/>
      <c r="J782" s="278"/>
      <c r="K782" s="278"/>
      <c r="L782" s="278"/>
      <c r="M782" s="278"/>
      <c r="N782" s="278"/>
      <c r="O782" s="278"/>
      <c r="P782" s="278"/>
      <c r="Q782" s="278"/>
      <c r="R782" s="278"/>
      <c r="S782" s="278"/>
      <c r="T782" s="278"/>
      <c r="U782" s="278"/>
      <c r="V782" s="278"/>
      <c r="W782" s="278"/>
      <c r="X782" s="278"/>
      <c r="Y782" s="278"/>
      <c r="Z782" s="278"/>
    </row>
    <row r="783">
      <c r="A783" s="278"/>
      <c r="B783" s="278"/>
      <c r="C783" s="278"/>
      <c r="D783" s="278"/>
      <c r="E783" s="278"/>
      <c r="F783" s="278"/>
      <c r="G783" s="278"/>
      <c r="H783" s="278"/>
      <c r="I783" s="278"/>
      <c r="J783" s="278"/>
      <c r="K783" s="278"/>
      <c r="L783" s="278"/>
      <c r="M783" s="278"/>
      <c r="N783" s="278"/>
      <c r="O783" s="278"/>
      <c r="P783" s="278"/>
      <c r="Q783" s="278"/>
      <c r="R783" s="278"/>
      <c r="S783" s="278"/>
      <c r="T783" s="278"/>
      <c r="U783" s="278"/>
      <c r="V783" s="278"/>
      <c r="W783" s="278"/>
      <c r="X783" s="278"/>
      <c r="Y783" s="278"/>
      <c r="Z783" s="278"/>
    </row>
    <row r="784">
      <c r="A784" s="278"/>
      <c r="B784" s="278"/>
      <c r="C784" s="278"/>
      <c r="D784" s="278"/>
      <c r="E784" s="278"/>
      <c r="F784" s="278"/>
      <c r="G784" s="278"/>
      <c r="H784" s="278"/>
      <c r="I784" s="278"/>
      <c r="J784" s="278"/>
      <c r="K784" s="278"/>
      <c r="L784" s="278"/>
      <c r="M784" s="278"/>
      <c r="N784" s="278"/>
      <c r="O784" s="278"/>
      <c r="P784" s="278"/>
      <c r="Q784" s="278"/>
      <c r="R784" s="278"/>
      <c r="S784" s="278"/>
      <c r="T784" s="278"/>
      <c r="U784" s="278"/>
      <c r="V784" s="278"/>
      <c r="W784" s="278"/>
      <c r="X784" s="278"/>
      <c r="Y784" s="278"/>
      <c r="Z784" s="278"/>
    </row>
    <row r="785">
      <c r="A785" s="278"/>
      <c r="B785" s="278"/>
      <c r="C785" s="278"/>
      <c r="D785" s="278"/>
      <c r="E785" s="278"/>
      <c r="F785" s="278"/>
      <c r="G785" s="278"/>
      <c r="H785" s="278"/>
      <c r="I785" s="278"/>
      <c r="J785" s="278"/>
      <c r="K785" s="278"/>
      <c r="L785" s="278"/>
      <c r="M785" s="278"/>
      <c r="N785" s="278"/>
      <c r="O785" s="278"/>
      <c r="P785" s="278"/>
      <c r="Q785" s="278"/>
      <c r="R785" s="278"/>
      <c r="S785" s="278"/>
      <c r="T785" s="278"/>
      <c r="U785" s="278"/>
      <c r="V785" s="278"/>
      <c r="W785" s="278"/>
      <c r="X785" s="278"/>
      <c r="Y785" s="278"/>
      <c r="Z785" s="278"/>
    </row>
    <row r="786">
      <c r="A786" s="278"/>
      <c r="B786" s="278"/>
      <c r="C786" s="278"/>
      <c r="D786" s="278"/>
      <c r="E786" s="278"/>
      <c r="F786" s="278"/>
      <c r="G786" s="278"/>
      <c r="H786" s="278"/>
      <c r="I786" s="278"/>
      <c r="J786" s="278"/>
      <c r="K786" s="278"/>
      <c r="L786" s="278"/>
      <c r="M786" s="278"/>
      <c r="N786" s="278"/>
      <c r="O786" s="278"/>
      <c r="P786" s="278"/>
      <c r="Q786" s="278"/>
      <c r="R786" s="278"/>
      <c r="S786" s="278"/>
      <c r="T786" s="278"/>
      <c r="U786" s="278"/>
      <c r="V786" s="278"/>
      <c r="W786" s="278"/>
      <c r="X786" s="278"/>
      <c r="Y786" s="278"/>
      <c r="Z786" s="278"/>
    </row>
    <row r="787">
      <c r="A787" s="278"/>
      <c r="B787" s="278"/>
      <c r="C787" s="278"/>
      <c r="D787" s="278"/>
      <c r="E787" s="278"/>
      <c r="F787" s="278"/>
      <c r="G787" s="278"/>
      <c r="H787" s="278"/>
      <c r="I787" s="278"/>
      <c r="J787" s="278"/>
      <c r="K787" s="278"/>
      <c r="L787" s="278"/>
      <c r="M787" s="278"/>
      <c r="N787" s="278"/>
      <c r="O787" s="278"/>
      <c r="P787" s="278"/>
      <c r="Q787" s="278"/>
      <c r="R787" s="278"/>
      <c r="S787" s="278"/>
      <c r="T787" s="278"/>
      <c r="U787" s="278"/>
      <c r="V787" s="278"/>
      <c r="W787" s="278"/>
      <c r="X787" s="278"/>
      <c r="Y787" s="278"/>
      <c r="Z787" s="278"/>
    </row>
    <row r="788">
      <c r="A788" s="278"/>
      <c r="B788" s="278"/>
      <c r="C788" s="278"/>
      <c r="D788" s="278"/>
      <c r="E788" s="278"/>
      <c r="F788" s="278"/>
      <c r="G788" s="278"/>
      <c r="H788" s="278"/>
      <c r="I788" s="278"/>
      <c r="J788" s="278"/>
      <c r="K788" s="278"/>
      <c r="L788" s="278"/>
      <c r="M788" s="278"/>
      <c r="N788" s="278"/>
      <c r="O788" s="278"/>
      <c r="P788" s="278"/>
      <c r="Q788" s="278"/>
      <c r="R788" s="278"/>
      <c r="S788" s="278"/>
      <c r="T788" s="278"/>
      <c r="U788" s="278"/>
      <c r="V788" s="278"/>
      <c r="W788" s="278"/>
      <c r="X788" s="278"/>
      <c r="Y788" s="278"/>
      <c r="Z788" s="278"/>
    </row>
    <row r="789">
      <c r="A789" s="278"/>
      <c r="B789" s="278"/>
      <c r="C789" s="278"/>
      <c r="D789" s="278"/>
      <c r="E789" s="278"/>
      <c r="F789" s="278"/>
      <c r="G789" s="278"/>
      <c r="H789" s="278"/>
      <c r="I789" s="278"/>
      <c r="J789" s="278"/>
      <c r="K789" s="278"/>
      <c r="L789" s="278"/>
      <c r="M789" s="278"/>
      <c r="N789" s="278"/>
      <c r="O789" s="278"/>
      <c r="P789" s="278"/>
      <c r="Q789" s="278"/>
      <c r="R789" s="278"/>
      <c r="S789" s="278"/>
      <c r="T789" s="278"/>
      <c r="U789" s="278"/>
      <c r="V789" s="278"/>
      <c r="W789" s="278"/>
      <c r="X789" s="278"/>
      <c r="Y789" s="278"/>
      <c r="Z789" s="278"/>
    </row>
    <row r="790">
      <c r="A790" s="278"/>
      <c r="B790" s="278"/>
      <c r="C790" s="278"/>
      <c r="D790" s="278"/>
      <c r="E790" s="278"/>
      <c r="F790" s="278"/>
      <c r="G790" s="278"/>
      <c r="H790" s="278"/>
      <c r="I790" s="278"/>
      <c r="J790" s="278"/>
      <c r="K790" s="278"/>
      <c r="L790" s="278"/>
      <c r="M790" s="278"/>
      <c r="N790" s="278"/>
      <c r="O790" s="278"/>
      <c r="P790" s="278"/>
      <c r="Q790" s="278"/>
      <c r="R790" s="278"/>
      <c r="S790" s="278"/>
      <c r="T790" s="278"/>
      <c r="U790" s="278"/>
      <c r="V790" s="278"/>
      <c r="W790" s="278"/>
      <c r="X790" s="278"/>
      <c r="Y790" s="278"/>
      <c r="Z790" s="278"/>
    </row>
    <row r="791">
      <c r="A791" s="278"/>
      <c r="B791" s="278"/>
      <c r="C791" s="278"/>
      <c r="D791" s="278"/>
      <c r="E791" s="278"/>
      <c r="F791" s="278"/>
      <c r="G791" s="278"/>
      <c r="H791" s="278"/>
      <c r="I791" s="278"/>
      <c r="J791" s="278"/>
      <c r="K791" s="278"/>
      <c r="L791" s="278"/>
      <c r="M791" s="278"/>
      <c r="N791" s="278"/>
      <c r="O791" s="278"/>
      <c r="P791" s="278"/>
      <c r="Q791" s="278"/>
      <c r="R791" s="278"/>
      <c r="S791" s="278"/>
      <c r="T791" s="278"/>
      <c r="U791" s="278"/>
      <c r="V791" s="278"/>
      <c r="W791" s="278"/>
      <c r="X791" s="278"/>
      <c r="Y791" s="278"/>
      <c r="Z791" s="278"/>
    </row>
    <row r="792">
      <c r="A792" s="278"/>
      <c r="B792" s="278"/>
      <c r="C792" s="278"/>
      <c r="D792" s="278"/>
      <c r="E792" s="278"/>
      <c r="F792" s="278"/>
      <c r="G792" s="278"/>
      <c r="H792" s="278"/>
      <c r="I792" s="278"/>
      <c r="J792" s="278"/>
      <c r="K792" s="278"/>
      <c r="L792" s="278"/>
      <c r="M792" s="278"/>
      <c r="N792" s="278"/>
      <c r="O792" s="278"/>
      <c r="P792" s="278"/>
      <c r="Q792" s="278"/>
      <c r="R792" s="278"/>
      <c r="S792" s="278"/>
      <c r="T792" s="278"/>
      <c r="U792" s="278"/>
      <c r="V792" s="278"/>
      <c r="W792" s="278"/>
      <c r="X792" s="278"/>
      <c r="Y792" s="278"/>
      <c r="Z792" s="278"/>
    </row>
    <row r="793">
      <c r="A793" s="278"/>
      <c r="B793" s="278"/>
      <c r="C793" s="278"/>
      <c r="D793" s="278"/>
      <c r="E793" s="278"/>
      <c r="F793" s="278"/>
      <c r="G793" s="278"/>
      <c r="H793" s="278"/>
      <c r="I793" s="278"/>
      <c r="J793" s="278"/>
      <c r="K793" s="278"/>
      <c r="L793" s="278"/>
      <c r="M793" s="278"/>
      <c r="N793" s="278"/>
      <c r="O793" s="278"/>
      <c r="P793" s="278"/>
      <c r="Q793" s="278"/>
      <c r="R793" s="278"/>
      <c r="S793" s="278"/>
      <c r="T793" s="278"/>
      <c r="U793" s="278"/>
      <c r="V793" s="278"/>
      <c r="W793" s="278"/>
      <c r="X793" s="278"/>
      <c r="Y793" s="278"/>
      <c r="Z793" s="278"/>
    </row>
    <row r="794">
      <c r="A794" s="278"/>
      <c r="B794" s="278"/>
      <c r="C794" s="278"/>
      <c r="D794" s="278"/>
      <c r="E794" s="278"/>
      <c r="F794" s="278"/>
      <c r="G794" s="278"/>
      <c r="H794" s="278"/>
      <c r="I794" s="278"/>
      <c r="J794" s="278"/>
      <c r="K794" s="278"/>
      <c r="L794" s="278"/>
      <c r="M794" s="278"/>
      <c r="N794" s="278"/>
      <c r="O794" s="278"/>
      <c r="P794" s="278"/>
      <c r="Q794" s="278"/>
      <c r="R794" s="278"/>
      <c r="S794" s="278"/>
      <c r="T794" s="278"/>
      <c r="U794" s="278"/>
      <c r="V794" s="278"/>
      <c r="W794" s="278"/>
      <c r="X794" s="278"/>
      <c r="Y794" s="278"/>
      <c r="Z794" s="278"/>
    </row>
    <row r="795">
      <c r="A795" s="278"/>
      <c r="B795" s="278"/>
      <c r="C795" s="278"/>
      <c r="D795" s="278"/>
      <c r="E795" s="278"/>
      <c r="F795" s="278"/>
      <c r="G795" s="278"/>
      <c r="H795" s="278"/>
      <c r="I795" s="278"/>
      <c r="J795" s="278"/>
      <c r="K795" s="278"/>
      <c r="L795" s="278"/>
      <c r="M795" s="278"/>
      <c r="N795" s="278"/>
      <c r="O795" s="278"/>
      <c r="P795" s="278"/>
      <c r="Q795" s="278"/>
      <c r="R795" s="278"/>
      <c r="S795" s="278"/>
      <c r="T795" s="278"/>
      <c r="U795" s="278"/>
      <c r="V795" s="278"/>
      <c r="W795" s="278"/>
      <c r="X795" s="278"/>
      <c r="Y795" s="278"/>
      <c r="Z795" s="278"/>
    </row>
    <row r="796">
      <c r="A796" s="278"/>
      <c r="B796" s="278"/>
      <c r="C796" s="278"/>
      <c r="D796" s="278"/>
      <c r="E796" s="278"/>
      <c r="F796" s="278"/>
      <c r="G796" s="278"/>
      <c r="H796" s="278"/>
      <c r="I796" s="278"/>
      <c r="J796" s="278"/>
      <c r="K796" s="278"/>
      <c r="L796" s="278"/>
      <c r="M796" s="278"/>
      <c r="N796" s="278"/>
      <c r="O796" s="278"/>
      <c r="P796" s="278"/>
      <c r="Q796" s="278"/>
      <c r="R796" s="278"/>
      <c r="S796" s="278"/>
      <c r="T796" s="278"/>
      <c r="U796" s="278"/>
      <c r="V796" s="278"/>
      <c r="W796" s="278"/>
      <c r="X796" s="278"/>
      <c r="Y796" s="278"/>
      <c r="Z796" s="278"/>
    </row>
    <row r="797">
      <c r="A797" s="278"/>
      <c r="B797" s="278"/>
      <c r="C797" s="278"/>
      <c r="D797" s="278"/>
      <c r="E797" s="278"/>
      <c r="F797" s="278"/>
      <c r="G797" s="278"/>
      <c r="H797" s="278"/>
      <c r="I797" s="278"/>
      <c r="J797" s="278"/>
      <c r="K797" s="278"/>
      <c r="L797" s="278"/>
      <c r="M797" s="278"/>
      <c r="N797" s="278"/>
      <c r="O797" s="278"/>
      <c r="P797" s="278"/>
      <c r="Q797" s="278"/>
      <c r="R797" s="278"/>
      <c r="S797" s="278"/>
      <c r="T797" s="278"/>
      <c r="U797" s="278"/>
      <c r="V797" s="278"/>
      <c r="W797" s="278"/>
      <c r="X797" s="278"/>
      <c r="Y797" s="278"/>
      <c r="Z797" s="278"/>
    </row>
    <row r="798">
      <c r="A798" s="278"/>
      <c r="B798" s="278"/>
      <c r="C798" s="278"/>
      <c r="D798" s="278"/>
      <c r="E798" s="278"/>
      <c r="F798" s="278"/>
      <c r="G798" s="278"/>
      <c r="H798" s="278"/>
      <c r="I798" s="278"/>
      <c r="J798" s="278"/>
      <c r="K798" s="278"/>
      <c r="L798" s="278"/>
      <c r="M798" s="278"/>
      <c r="N798" s="278"/>
      <c r="O798" s="278"/>
      <c r="P798" s="278"/>
      <c r="Q798" s="278"/>
      <c r="R798" s="278"/>
      <c r="S798" s="278"/>
      <c r="T798" s="278"/>
      <c r="U798" s="278"/>
      <c r="V798" s="278"/>
      <c r="W798" s="278"/>
      <c r="X798" s="278"/>
      <c r="Y798" s="278"/>
      <c r="Z798" s="278"/>
    </row>
    <row r="799">
      <c r="A799" s="278"/>
      <c r="B799" s="278"/>
      <c r="C799" s="278"/>
      <c r="D799" s="278"/>
      <c r="E799" s="278"/>
      <c r="F799" s="278"/>
      <c r="G799" s="278"/>
      <c r="H799" s="278"/>
      <c r="I799" s="278"/>
      <c r="J799" s="278"/>
      <c r="K799" s="278"/>
      <c r="L799" s="278"/>
      <c r="M799" s="278"/>
      <c r="N799" s="278"/>
      <c r="O799" s="278"/>
      <c r="P799" s="278"/>
      <c r="Q799" s="278"/>
      <c r="R799" s="278"/>
      <c r="S799" s="278"/>
      <c r="T799" s="278"/>
      <c r="U799" s="278"/>
      <c r="V799" s="278"/>
      <c r="W799" s="278"/>
      <c r="X799" s="278"/>
      <c r="Y799" s="278"/>
      <c r="Z799" s="278"/>
    </row>
    <row r="800">
      <c r="A800" s="278"/>
      <c r="B800" s="278"/>
      <c r="C800" s="278"/>
      <c r="D800" s="278"/>
      <c r="E800" s="278"/>
      <c r="F800" s="278"/>
      <c r="G800" s="278"/>
      <c r="H800" s="278"/>
      <c r="I800" s="278"/>
      <c r="J800" s="278"/>
      <c r="K800" s="278"/>
      <c r="L800" s="278"/>
      <c r="M800" s="278"/>
      <c r="N800" s="278"/>
      <c r="O800" s="278"/>
      <c r="P800" s="278"/>
      <c r="Q800" s="278"/>
      <c r="R800" s="278"/>
      <c r="S800" s="278"/>
      <c r="T800" s="278"/>
      <c r="U800" s="278"/>
      <c r="V800" s="278"/>
      <c r="W800" s="278"/>
      <c r="X800" s="278"/>
      <c r="Y800" s="278"/>
      <c r="Z800" s="278"/>
    </row>
    <row r="801">
      <c r="A801" s="278"/>
      <c r="B801" s="278"/>
      <c r="C801" s="278"/>
      <c r="D801" s="278"/>
      <c r="E801" s="278"/>
      <c r="F801" s="278"/>
      <c r="G801" s="278"/>
      <c r="H801" s="278"/>
      <c r="I801" s="278"/>
      <c r="J801" s="278"/>
      <c r="K801" s="278"/>
      <c r="L801" s="278"/>
      <c r="M801" s="278"/>
      <c r="N801" s="278"/>
      <c r="O801" s="278"/>
      <c r="P801" s="278"/>
      <c r="Q801" s="278"/>
      <c r="R801" s="278"/>
      <c r="S801" s="278"/>
      <c r="T801" s="278"/>
      <c r="U801" s="278"/>
      <c r="V801" s="278"/>
      <c r="W801" s="278"/>
      <c r="X801" s="278"/>
      <c r="Y801" s="278"/>
      <c r="Z801" s="278"/>
    </row>
    <row r="802">
      <c r="A802" s="278"/>
      <c r="B802" s="278"/>
      <c r="C802" s="278"/>
      <c r="D802" s="278"/>
      <c r="E802" s="278"/>
      <c r="F802" s="278"/>
      <c r="G802" s="278"/>
      <c r="H802" s="278"/>
      <c r="I802" s="278"/>
      <c r="J802" s="278"/>
      <c r="K802" s="278"/>
      <c r="L802" s="278"/>
      <c r="M802" s="278"/>
      <c r="N802" s="278"/>
      <c r="O802" s="278"/>
      <c r="P802" s="278"/>
      <c r="Q802" s="278"/>
      <c r="R802" s="278"/>
      <c r="S802" s="278"/>
      <c r="T802" s="278"/>
      <c r="U802" s="278"/>
      <c r="V802" s="278"/>
      <c r="W802" s="278"/>
      <c r="X802" s="278"/>
      <c r="Y802" s="278"/>
      <c r="Z802" s="278"/>
    </row>
    <row r="803">
      <c r="A803" s="278"/>
      <c r="B803" s="278"/>
      <c r="C803" s="278"/>
      <c r="D803" s="278"/>
      <c r="E803" s="278"/>
      <c r="F803" s="278"/>
      <c r="G803" s="278"/>
      <c r="H803" s="278"/>
      <c r="I803" s="278"/>
      <c r="J803" s="278"/>
      <c r="K803" s="278"/>
      <c r="L803" s="278"/>
      <c r="M803" s="278"/>
      <c r="N803" s="278"/>
      <c r="O803" s="278"/>
      <c r="P803" s="278"/>
      <c r="Q803" s="278"/>
      <c r="R803" s="278"/>
      <c r="S803" s="278"/>
      <c r="T803" s="278"/>
      <c r="U803" s="278"/>
      <c r="V803" s="278"/>
      <c r="W803" s="278"/>
      <c r="X803" s="278"/>
      <c r="Y803" s="278"/>
      <c r="Z803" s="278"/>
    </row>
    <row r="804">
      <c r="A804" s="278"/>
      <c r="B804" s="278"/>
      <c r="C804" s="278"/>
      <c r="D804" s="278"/>
      <c r="E804" s="278"/>
      <c r="F804" s="278"/>
      <c r="G804" s="278"/>
      <c r="H804" s="278"/>
      <c r="I804" s="278"/>
      <c r="J804" s="278"/>
      <c r="K804" s="278"/>
      <c r="L804" s="278"/>
      <c r="M804" s="278"/>
      <c r="N804" s="278"/>
      <c r="O804" s="278"/>
      <c r="P804" s="278"/>
      <c r="Q804" s="278"/>
      <c r="R804" s="278"/>
      <c r="S804" s="278"/>
      <c r="T804" s="278"/>
      <c r="U804" s="278"/>
      <c r="V804" s="278"/>
      <c r="W804" s="278"/>
      <c r="X804" s="278"/>
      <c r="Y804" s="278"/>
      <c r="Z804" s="278"/>
    </row>
    <row r="805">
      <c r="A805" s="278"/>
      <c r="B805" s="278"/>
      <c r="C805" s="278"/>
      <c r="D805" s="278"/>
      <c r="E805" s="278"/>
      <c r="F805" s="278"/>
      <c r="G805" s="278"/>
      <c r="H805" s="278"/>
      <c r="I805" s="278"/>
      <c r="J805" s="278"/>
      <c r="K805" s="278"/>
      <c r="L805" s="278"/>
      <c r="M805" s="278"/>
      <c r="N805" s="278"/>
      <c r="O805" s="278"/>
      <c r="P805" s="278"/>
      <c r="Q805" s="278"/>
      <c r="R805" s="278"/>
      <c r="S805" s="278"/>
      <c r="T805" s="278"/>
      <c r="U805" s="278"/>
      <c r="V805" s="278"/>
      <c r="W805" s="278"/>
      <c r="X805" s="278"/>
      <c r="Y805" s="278"/>
      <c r="Z805" s="278"/>
    </row>
    <row r="806">
      <c r="A806" s="278"/>
      <c r="B806" s="278"/>
      <c r="C806" s="278"/>
      <c r="D806" s="278"/>
      <c r="E806" s="278"/>
      <c r="F806" s="278"/>
      <c r="G806" s="278"/>
      <c r="H806" s="278"/>
      <c r="I806" s="278"/>
      <c r="J806" s="278"/>
      <c r="K806" s="278"/>
      <c r="L806" s="278"/>
      <c r="M806" s="278"/>
      <c r="N806" s="278"/>
      <c r="O806" s="278"/>
      <c r="P806" s="278"/>
      <c r="Q806" s="278"/>
      <c r="R806" s="278"/>
      <c r="S806" s="278"/>
      <c r="T806" s="278"/>
      <c r="U806" s="278"/>
      <c r="V806" s="278"/>
      <c r="W806" s="278"/>
      <c r="X806" s="278"/>
      <c r="Y806" s="278"/>
      <c r="Z806" s="278"/>
    </row>
    <row r="807">
      <c r="A807" s="278"/>
      <c r="B807" s="278"/>
      <c r="C807" s="278"/>
      <c r="D807" s="278"/>
      <c r="E807" s="278"/>
      <c r="F807" s="278"/>
      <c r="G807" s="278"/>
      <c r="H807" s="278"/>
      <c r="I807" s="278"/>
      <c r="J807" s="278"/>
      <c r="K807" s="278"/>
      <c r="L807" s="278"/>
      <c r="M807" s="278"/>
      <c r="N807" s="278"/>
      <c r="O807" s="278"/>
      <c r="P807" s="278"/>
      <c r="Q807" s="278"/>
      <c r="R807" s="278"/>
      <c r="S807" s="278"/>
      <c r="T807" s="278"/>
      <c r="U807" s="278"/>
      <c r="V807" s="278"/>
      <c r="W807" s="278"/>
      <c r="X807" s="278"/>
      <c r="Y807" s="278"/>
      <c r="Z807" s="278"/>
    </row>
    <row r="808">
      <c r="A808" s="278"/>
      <c r="B808" s="278"/>
      <c r="C808" s="278"/>
      <c r="D808" s="278"/>
      <c r="E808" s="278"/>
      <c r="F808" s="278"/>
      <c r="G808" s="278"/>
      <c r="H808" s="278"/>
      <c r="I808" s="278"/>
      <c r="J808" s="278"/>
      <c r="K808" s="278"/>
      <c r="L808" s="278"/>
      <c r="M808" s="278"/>
      <c r="N808" s="278"/>
      <c r="O808" s="278"/>
      <c r="P808" s="278"/>
      <c r="Q808" s="278"/>
      <c r="R808" s="278"/>
      <c r="S808" s="278"/>
      <c r="T808" s="278"/>
      <c r="U808" s="278"/>
      <c r="V808" s="278"/>
      <c r="W808" s="278"/>
      <c r="X808" s="278"/>
      <c r="Y808" s="278"/>
      <c r="Z808" s="278"/>
    </row>
    <row r="809">
      <c r="A809" s="278"/>
      <c r="B809" s="278"/>
      <c r="C809" s="278"/>
      <c r="D809" s="278"/>
      <c r="E809" s="278"/>
      <c r="F809" s="278"/>
      <c r="G809" s="278"/>
      <c r="H809" s="278"/>
      <c r="I809" s="278"/>
      <c r="J809" s="278"/>
      <c r="K809" s="278"/>
      <c r="L809" s="278"/>
      <c r="M809" s="278"/>
      <c r="N809" s="278"/>
      <c r="O809" s="278"/>
      <c r="P809" s="278"/>
      <c r="Q809" s="278"/>
      <c r="R809" s="278"/>
      <c r="S809" s="278"/>
      <c r="T809" s="278"/>
      <c r="U809" s="278"/>
      <c r="V809" s="278"/>
      <c r="W809" s="278"/>
      <c r="X809" s="278"/>
      <c r="Y809" s="278"/>
      <c r="Z809" s="278"/>
    </row>
    <row r="810">
      <c r="A810" s="278"/>
      <c r="B810" s="278"/>
      <c r="C810" s="278"/>
      <c r="D810" s="278"/>
      <c r="E810" s="278"/>
      <c r="F810" s="278"/>
      <c r="G810" s="278"/>
      <c r="H810" s="278"/>
      <c r="I810" s="278"/>
      <c r="J810" s="278"/>
      <c r="K810" s="278"/>
      <c r="L810" s="278"/>
      <c r="M810" s="278"/>
      <c r="N810" s="278"/>
      <c r="O810" s="278"/>
      <c r="P810" s="278"/>
      <c r="Q810" s="278"/>
      <c r="R810" s="278"/>
      <c r="S810" s="278"/>
      <c r="T810" s="278"/>
      <c r="U810" s="278"/>
      <c r="V810" s="278"/>
      <c r="W810" s="278"/>
      <c r="X810" s="278"/>
      <c r="Y810" s="278"/>
      <c r="Z810" s="278"/>
    </row>
    <row r="811">
      <c r="A811" s="278"/>
      <c r="B811" s="278"/>
      <c r="C811" s="278"/>
      <c r="D811" s="278"/>
      <c r="E811" s="278"/>
      <c r="F811" s="278"/>
      <c r="G811" s="278"/>
      <c r="H811" s="278"/>
      <c r="I811" s="278"/>
      <c r="J811" s="278"/>
      <c r="K811" s="278"/>
      <c r="L811" s="278"/>
      <c r="M811" s="278"/>
      <c r="N811" s="278"/>
      <c r="O811" s="278"/>
      <c r="P811" s="278"/>
      <c r="Q811" s="278"/>
      <c r="R811" s="278"/>
      <c r="S811" s="278"/>
      <c r="T811" s="278"/>
      <c r="U811" s="278"/>
      <c r="V811" s="278"/>
      <c r="W811" s="278"/>
      <c r="X811" s="278"/>
      <c r="Y811" s="278"/>
      <c r="Z811" s="278"/>
    </row>
    <row r="812">
      <c r="A812" s="278"/>
      <c r="B812" s="278"/>
      <c r="C812" s="278"/>
      <c r="D812" s="278"/>
      <c r="E812" s="278"/>
      <c r="F812" s="278"/>
      <c r="G812" s="278"/>
      <c r="H812" s="278"/>
      <c r="I812" s="278"/>
      <c r="J812" s="278"/>
      <c r="K812" s="278"/>
      <c r="L812" s="278"/>
      <c r="M812" s="278"/>
      <c r="N812" s="278"/>
      <c r="O812" s="278"/>
      <c r="P812" s="278"/>
      <c r="Q812" s="278"/>
      <c r="R812" s="278"/>
      <c r="S812" s="278"/>
      <c r="T812" s="278"/>
      <c r="U812" s="278"/>
      <c r="V812" s="278"/>
      <c r="W812" s="278"/>
      <c r="X812" s="278"/>
      <c r="Y812" s="278"/>
      <c r="Z812" s="278"/>
    </row>
    <row r="813">
      <c r="A813" s="278"/>
      <c r="B813" s="278"/>
      <c r="C813" s="278"/>
      <c r="D813" s="278"/>
      <c r="E813" s="278"/>
      <c r="F813" s="278"/>
      <c r="G813" s="278"/>
      <c r="H813" s="278"/>
      <c r="I813" s="278"/>
      <c r="J813" s="278"/>
      <c r="K813" s="278"/>
      <c r="L813" s="278"/>
      <c r="M813" s="278"/>
      <c r="N813" s="278"/>
      <c r="O813" s="278"/>
      <c r="P813" s="278"/>
      <c r="Q813" s="278"/>
      <c r="R813" s="278"/>
      <c r="S813" s="278"/>
      <c r="T813" s="278"/>
      <c r="U813" s="278"/>
      <c r="V813" s="278"/>
      <c r="W813" s="278"/>
      <c r="X813" s="278"/>
      <c r="Y813" s="278"/>
      <c r="Z813" s="278"/>
    </row>
    <row r="814">
      <c r="A814" s="278"/>
      <c r="B814" s="278"/>
      <c r="C814" s="278"/>
      <c r="D814" s="278"/>
      <c r="E814" s="278"/>
      <c r="F814" s="278"/>
      <c r="G814" s="278"/>
      <c r="H814" s="278"/>
      <c r="I814" s="278"/>
      <c r="J814" s="278"/>
      <c r="K814" s="278"/>
      <c r="L814" s="278"/>
      <c r="M814" s="278"/>
      <c r="N814" s="278"/>
      <c r="O814" s="278"/>
      <c r="P814" s="278"/>
      <c r="Q814" s="278"/>
      <c r="R814" s="278"/>
      <c r="S814" s="278"/>
      <c r="T814" s="278"/>
      <c r="U814" s="278"/>
      <c r="V814" s="278"/>
      <c r="W814" s="278"/>
      <c r="X814" s="278"/>
      <c r="Y814" s="278"/>
      <c r="Z814" s="278"/>
    </row>
    <row r="815">
      <c r="A815" s="278"/>
      <c r="B815" s="278"/>
      <c r="C815" s="278"/>
      <c r="D815" s="278"/>
      <c r="E815" s="278"/>
      <c r="F815" s="278"/>
      <c r="G815" s="278"/>
      <c r="H815" s="278"/>
      <c r="I815" s="278"/>
      <c r="J815" s="278"/>
      <c r="K815" s="278"/>
      <c r="L815" s="278"/>
      <c r="M815" s="278"/>
      <c r="N815" s="278"/>
      <c r="O815" s="278"/>
      <c r="P815" s="278"/>
      <c r="Q815" s="278"/>
      <c r="R815" s="278"/>
      <c r="S815" s="278"/>
      <c r="T815" s="278"/>
      <c r="U815" s="278"/>
      <c r="V815" s="278"/>
      <c r="W815" s="278"/>
      <c r="X815" s="278"/>
      <c r="Y815" s="278"/>
      <c r="Z815" s="278"/>
    </row>
    <row r="816">
      <c r="A816" s="278"/>
      <c r="B816" s="278"/>
      <c r="C816" s="278"/>
      <c r="D816" s="278"/>
      <c r="E816" s="278"/>
      <c r="F816" s="278"/>
      <c r="G816" s="278"/>
      <c r="H816" s="278"/>
      <c r="I816" s="278"/>
      <c r="J816" s="278"/>
      <c r="K816" s="278"/>
      <c r="L816" s="278"/>
      <c r="M816" s="278"/>
      <c r="N816" s="278"/>
      <c r="O816" s="278"/>
      <c r="P816" s="278"/>
      <c r="Q816" s="278"/>
      <c r="R816" s="278"/>
      <c r="S816" s="278"/>
      <c r="T816" s="278"/>
      <c r="U816" s="278"/>
      <c r="V816" s="278"/>
      <c r="W816" s="278"/>
      <c r="X816" s="278"/>
      <c r="Y816" s="278"/>
      <c r="Z816" s="278"/>
    </row>
    <row r="817">
      <c r="A817" s="278"/>
      <c r="B817" s="278"/>
      <c r="C817" s="278"/>
      <c r="D817" s="278"/>
      <c r="E817" s="278"/>
      <c r="F817" s="278"/>
      <c r="G817" s="278"/>
      <c r="H817" s="278"/>
      <c r="I817" s="278"/>
      <c r="J817" s="278"/>
      <c r="K817" s="278"/>
      <c r="L817" s="278"/>
      <c r="M817" s="278"/>
      <c r="N817" s="278"/>
      <c r="O817" s="278"/>
      <c r="P817" s="278"/>
      <c r="Q817" s="278"/>
      <c r="R817" s="278"/>
      <c r="S817" s="278"/>
      <c r="T817" s="278"/>
      <c r="U817" s="278"/>
      <c r="V817" s="278"/>
      <c r="W817" s="278"/>
      <c r="X817" s="278"/>
      <c r="Y817" s="278"/>
      <c r="Z817" s="278"/>
    </row>
    <row r="818">
      <c r="A818" s="278"/>
      <c r="B818" s="278"/>
      <c r="C818" s="278"/>
      <c r="D818" s="278"/>
      <c r="E818" s="278"/>
      <c r="F818" s="278"/>
      <c r="G818" s="278"/>
      <c r="H818" s="278"/>
      <c r="I818" s="278"/>
      <c r="J818" s="278"/>
      <c r="K818" s="278"/>
      <c r="L818" s="278"/>
      <c r="M818" s="278"/>
      <c r="N818" s="278"/>
      <c r="O818" s="278"/>
      <c r="P818" s="278"/>
      <c r="Q818" s="278"/>
      <c r="R818" s="278"/>
      <c r="S818" s="278"/>
      <c r="T818" s="278"/>
      <c r="U818" s="278"/>
      <c r="V818" s="278"/>
      <c r="W818" s="278"/>
      <c r="X818" s="278"/>
      <c r="Y818" s="278"/>
      <c r="Z818" s="278"/>
    </row>
    <row r="819">
      <c r="A819" s="278"/>
      <c r="B819" s="278"/>
      <c r="C819" s="278"/>
      <c r="D819" s="278"/>
      <c r="E819" s="278"/>
      <c r="F819" s="278"/>
      <c r="G819" s="278"/>
      <c r="H819" s="278"/>
      <c r="I819" s="278"/>
      <c r="J819" s="278"/>
      <c r="K819" s="278"/>
      <c r="L819" s="278"/>
      <c r="M819" s="278"/>
      <c r="N819" s="278"/>
      <c r="O819" s="278"/>
      <c r="P819" s="278"/>
      <c r="Q819" s="278"/>
      <c r="R819" s="278"/>
      <c r="S819" s="278"/>
      <c r="T819" s="278"/>
      <c r="U819" s="278"/>
      <c r="V819" s="278"/>
      <c r="W819" s="278"/>
      <c r="X819" s="278"/>
      <c r="Y819" s="278"/>
      <c r="Z819" s="278"/>
    </row>
    <row r="820">
      <c r="A820" s="278"/>
      <c r="B820" s="278"/>
      <c r="C820" s="278"/>
      <c r="D820" s="278"/>
      <c r="E820" s="278"/>
      <c r="F820" s="278"/>
      <c r="G820" s="278"/>
      <c r="H820" s="278"/>
      <c r="I820" s="278"/>
      <c r="J820" s="278"/>
      <c r="K820" s="278"/>
      <c r="L820" s="278"/>
      <c r="M820" s="278"/>
      <c r="N820" s="278"/>
      <c r="O820" s="278"/>
      <c r="P820" s="278"/>
      <c r="Q820" s="278"/>
      <c r="R820" s="278"/>
      <c r="S820" s="278"/>
      <c r="T820" s="278"/>
      <c r="U820" s="278"/>
      <c r="V820" s="278"/>
      <c r="W820" s="278"/>
      <c r="X820" s="278"/>
      <c r="Y820" s="278"/>
      <c r="Z820" s="278"/>
    </row>
    <row r="821">
      <c r="A821" s="278"/>
      <c r="B821" s="278"/>
      <c r="C821" s="278"/>
      <c r="D821" s="278"/>
      <c r="E821" s="278"/>
      <c r="F821" s="278"/>
      <c r="G821" s="278"/>
      <c r="H821" s="278"/>
      <c r="I821" s="278"/>
      <c r="J821" s="278"/>
      <c r="K821" s="278"/>
      <c r="L821" s="278"/>
      <c r="M821" s="278"/>
      <c r="N821" s="278"/>
      <c r="O821" s="278"/>
      <c r="P821" s="278"/>
      <c r="Q821" s="278"/>
      <c r="R821" s="278"/>
      <c r="S821" s="278"/>
      <c r="T821" s="278"/>
      <c r="U821" s="278"/>
      <c r="V821" s="278"/>
      <c r="W821" s="278"/>
      <c r="X821" s="278"/>
      <c r="Y821" s="278"/>
      <c r="Z821" s="278"/>
    </row>
    <row r="822">
      <c r="A822" s="278"/>
      <c r="B822" s="278"/>
      <c r="C822" s="278"/>
      <c r="D822" s="278"/>
      <c r="E822" s="278"/>
      <c r="F822" s="278"/>
      <c r="G822" s="278"/>
      <c r="H822" s="278"/>
      <c r="I822" s="278"/>
      <c r="J822" s="278"/>
      <c r="K822" s="278"/>
      <c r="L822" s="278"/>
      <c r="M822" s="278"/>
      <c r="N822" s="278"/>
      <c r="O822" s="278"/>
      <c r="P822" s="278"/>
      <c r="Q822" s="278"/>
      <c r="R822" s="278"/>
      <c r="S822" s="278"/>
      <c r="T822" s="278"/>
      <c r="U822" s="278"/>
      <c r="V822" s="278"/>
      <c r="W822" s="278"/>
      <c r="X822" s="278"/>
      <c r="Y822" s="278"/>
      <c r="Z822" s="278"/>
    </row>
    <row r="823">
      <c r="A823" s="278"/>
      <c r="B823" s="278"/>
      <c r="C823" s="278"/>
      <c r="D823" s="278"/>
      <c r="E823" s="278"/>
      <c r="F823" s="278"/>
      <c r="G823" s="278"/>
      <c r="H823" s="278"/>
      <c r="I823" s="278"/>
      <c r="J823" s="278"/>
      <c r="K823" s="278"/>
      <c r="L823" s="278"/>
      <c r="M823" s="278"/>
      <c r="N823" s="278"/>
      <c r="O823" s="278"/>
      <c r="P823" s="278"/>
      <c r="Q823" s="278"/>
      <c r="R823" s="278"/>
      <c r="S823" s="278"/>
      <c r="T823" s="278"/>
      <c r="U823" s="278"/>
      <c r="V823" s="278"/>
      <c r="W823" s="278"/>
      <c r="X823" s="278"/>
      <c r="Y823" s="278"/>
      <c r="Z823" s="278"/>
    </row>
    <row r="824">
      <c r="A824" s="278"/>
      <c r="B824" s="278"/>
      <c r="C824" s="278"/>
      <c r="D824" s="278"/>
      <c r="E824" s="278"/>
      <c r="F824" s="278"/>
      <c r="G824" s="278"/>
      <c r="H824" s="278"/>
      <c r="I824" s="278"/>
      <c r="J824" s="278"/>
      <c r="K824" s="278"/>
      <c r="L824" s="278"/>
      <c r="M824" s="278"/>
      <c r="N824" s="278"/>
      <c r="O824" s="278"/>
      <c r="P824" s="278"/>
      <c r="Q824" s="278"/>
      <c r="R824" s="278"/>
      <c r="S824" s="278"/>
      <c r="T824" s="278"/>
      <c r="U824" s="278"/>
      <c r="V824" s="278"/>
      <c r="W824" s="278"/>
      <c r="X824" s="278"/>
      <c r="Y824" s="278"/>
      <c r="Z824" s="278"/>
    </row>
    <row r="825">
      <c r="A825" s="278"/>
      <c r="B825" s="278"/>
      <c r="C825" s="278"/>
      <c r="D825" s="278"/>
      <c r="E825" s="278"/>
      <c r="F825" s="278"/>
      <c r="G825" s="278"/>
      <c r="H825" s="278"/>
      <c r="I825" s="278"/>
      <c r="J825" s="278"/>
      <c r="K825" s="278"/>
      <c r="L825" s="278"/>
      <c r="M825" s="278"/>
      <c r="N825" s="278"/>
      <c r="O825" s="278"/>
      <c r="P825" s="278"/>
      <c r="Q825" s="278"/>
      <c r="R825" s="278"/>
      <c r="S825" s="278"/>
      <c r="T825" s="278"/>
      <c r="U825" s="278"/>
      <c r="V825" s="278"/>
      <c r="W825" s="278"/>
      <c r="X825" s="278"/>
      <c r="Y825" s="278"/>
      <c r="Z825" s="278"/>
    </row>
    <row r="826">
      <c r="A826" s="278"/>
      <c r="B826" s="278"/>
      <c r="C826" s="278"/>
      <c r="D826" s="278"/>
      <c r="E826" s="278"/>
      <c r="F826" s="278"/>
      <c r="G826" s="278"/>
      <c r="H826" s="278"/>
      <c r="I826" s="278"/>
      <c r="J826" s="278"/>
      <c r="K826" s="278"/>
      <c r="L826" s="278"/>
      <c r="M826" s="278"/>
      <c r="N826" s="278"/>
      <c r="O826" s="278"/>
      <c r="P826" s="278"/>
      <c r="Q826" s="278"/>
      <c r="R826" s="278"/>
      <c r="S826" s="278"/>
      <c r="T826" s="278"/>
      <c r="U826" s="278"/>
      <c r="V826" s="278"/>
      <c r="W826" s="278"/>
      <c r="X826" s="278"/>
      <c r="Y826" s="278"/>
      <c r="Z826" s="278"/>
    </row>
    <row r="827">
      <c r="A827" s="278"/>
      <c r="B827" s="278"/>
      <c r="C827" s="278"/>
      <c r="D827" s="278"/>
      <c r="E827" s="278"/>
      <c r="F827" s="278"/>
      <c r="G827" s="278"/>
      <c r="H827" s="278"/>
      <c r="I827" s="278"/>
      <c r="J827" s="278"/>
      <c r="K827" s="278"/>
      <c r="L827" s="278"/>
      <c r="M827" s="278"/>
      <c r="N827" s="278"/>
      <c r="O827" s="278"/>
      <c r="P827" s="278"/>
      <c r="Q827" s="278"/>
      <c r="R827" s="278"/>
      <c r="S827" s="278"/>
      <c r="T827" s="278"/>
      <c r="U827" s="278"/>
      <c r="V827" s="278"/>
      <c r="W827" s="278"/>
      <c r="X827" s="278"/>
      <c r="Y827" s="278"/>
      <c r="Z827" s="278"/>
    </row>
    <row r="828">
      <c r="A828" s="278"/>
      <c r="B828" s="278"/>
      <c r="C828" s="278"/>
      <c r="D828" s="278"/>
      <c r="E828" s="278"/>
      <c r="F828" s="278"/>
      <c r="G828" s="278"/>
      <c r="H828" s="278"/>
      <c r="I828" s="278"/>
      <c r="J828" s="278"/>
      <c r="K828" s="278"/>
      <c r="L828" s="278"/>
      <c r="M828" s="278"/>
      <c r="N828" s="278"/>
      <c r="O828" s="278"/>
      <c r="P828" s="278"/>
      <c r="Q828" s="278"/>
      <c r="R828" s="278"/>
      <c r="S828" s="278"/>
      <c r="T828" s="278"/>
      <c r="U828" s="278"/>
      <c r="V828" s="278"/>
      <c r="W828" s="278"/>
      <c r="X828" s="278"/>
      <c r="Y828" s="278"/>
      <c r="Z828" s="278"/>
    </row>
    <row r="829">
      <c r="A829" s="278"/>
      <c r="B829" s="278"/>
      <c r="C829" s="278"/>
      <c r="D829" s="278"/>
      <c r="E829" s="278"/>
      <c r="F829" s="278"/>
      <c r="G829" s="278"/>
      <c r="H829" s="278"/>
      <c r="I829" s="278"/>
      <c r="J829" s="278"/>
      <c r="K829" s="278"/>
      <c r="L829" s="278"/>
      <c r="M829" s="278"/>
      <c r="N829" s="278"/>
      <c r="O829" s="278"/>
      <c r="P829" s="278"/>
      <c r="Q829" s="278"/>
      <c r="R829" s="278"/>
      <c r="S829" s="278"/>
      <c r="T829" s="278"/>
      <c r="U829" s="278"/>
      <c r="V829" s="278"/>
      <c r="W829" s="278"/>
      <c r="X829" s="278"/>
      <c r="Y829" s="278"/>
      <c r="Z829" s="278"/>
    </row>
    <row r="830">
      <c r="A830" s="278"/>
      <c r="B830" s="278"/>
      <c r="C830" s="278"/>
      <c r="D830" s="278"/>
      <c r="E830" s="278"/>
      <c r="F830" s="278"/>
      <c r="G830" s="278"/>
      <c r="H830" s="278"/>
      <c r="I830" s="278"/>
      <c r="J830" s="278"/>
      <c r="K830" s="278"/>
      <c r="L830" s="278"/>
      <c r="M830" s="278"/>
      <c r="N830" s="278"/>
      <c r="O830" s="278"/>
      <c r="P830" s="278"/>
      <c r="Q830" s="278"/>
      <c r="R830" s="278"/>
      <c r="S830" s="278"/>
      <c r="T830" s="278"/>
      <c r="U830" s="278"/>
      <c r="V830" s="278"/>
      <c r="W830" s="278"/>
      <c r="X830" s="278"/>
      <c r="Y830" s="278"/>
      <c r="Z830" s="278"/>
    </row>
    <row r="831">
      <c r="A831" s="278"/>
      <c r="B831" s="278"/>
      <c r="C831" s="278"/>
      <c r="D831" s="278"/>
      <c r="E831" s="278"/>
      <c r="F831" s="278"/>
      <c r="G831" s="278"/>
      <c r="H831" s="278"/>
      <c r="I831" s="278"/>
      <c r="J831" s="278"/>
      <c r="K831" s="278"/>
      <c r="L831" s="278"/>
      <c r="M831" s="278"/>
      <c r="N831" s="278"/>
      <c r="O831" s="278"/>
      <c r="P831" s="278"/>
      <c r="Q831" s="278"/>
      <c r="R831" s="278"/>
      <c r="S831" s="278"/>
      <c r="T831" s="278"/>
      <c r="U831" s="278"/>
      <c r="V831" s="278"/>
      <c r="W831" s="278"/>
      <c r="X831" s="278"/>
      <c r="Y831" s="278"/>
      <c r="Z831" s="278"/>
    </row>
    <row r="832">
      <c r="A832" s="278"/>
      <c r="B832" s="278"/>
      <c r="C832" s="278"/>
      <c r="D832" s="278"/>
      <c r="E832" s="278"/>
      <c r="F832" s="278"/>
      <c r="G832" s="278"/>
      <c r="H832" s="278"/>
      <c r="I832" s="278"/>
      <c r="J832" s="278"/>
      <c r="K832" s="278"/>
      <c r="L832" s="278"/>
      <c r="M832" s="278"/>
      <c r="N832" s="278"/>
      <c r="O832" s="278"/>
      <c r="P832" s="278"/>
      <c r="Q832" s="278"/>
      <c r="R832" s="278"/>
      <c r="S832" s="278"/>
      <c r="T832" s="278"/>
      <c r="U832" s="278"/>
      <c r="V832" s="278"/>
      <c r="W832" s="278"/>
      <c r="X832" s="278"/>
      <c r="Y832" s="278"/>
      <c r="Z832" s="278"/>
    </row>
    <row r="833">
      <c r="A833" s="278"/>
      <c r="B833" s="278"/>
      <c r="C833" s="278"/>
      <c r="D833" s="278"/>
      <c r="E833" s="278"/>
      <c r="F833" s="278"/>
      <c r="G833" s="278"/>
      <c r="H833" s="278"/>
      <c r="I833" s="278"/>
      <c r="J833" s="278"/>
      <c r="K833" s="278"/>
      <c r="L833" s="278"/>
      <c r="M833" s="278"/>
      <c r="N833" s="278"/>
      <c r="O833" s="278"/>
      <c r="P833" s="278"/>
      <c r="Q833" s="278"/>
      <c r="R833" s="278"/>
      <c r="S833" s="278"/>
      <c r="T833" s="278"/>
      <c r="U833" s="278"/>
      <c r="V833" s="278"/>
      <c r="W833" s="278"/>
      <c r="X833" s="278"/>
      <c r="Y833" s="278"/>
      <c r="Z833" s="278"/>
    </row>
    <row r="834">
      <c r="A834" s="278"/>
      <c r="B834" s="278"/>
      <c r="C834" s="278"/>
      <c r="D834" s="278"/>
      <c r="E834" s="278"/>
      <c r="F834" s="278"/>
      <c r="G834" s="278"/>
      <c r="H834" s="278"/>
      <c r="I834" s="278"/>
      <c r="J834" s="278"/>
      <c r="K834" s="278"/>
      <c r="L834" s="278"/>
      <c r="M834" s="278"/>
      <c r="N834" s="278"/>
      <c r="O834" s="278"/>
      <c r="P834" s="278"/>
      <c r="Q834" s="278"/>
      <c r="R834" s="278"/>
      <c r="S834" s="278"/>
      <c r="T834" s="278"/>
      <c r="U834" s="278"/>
      <c r="V834" s="278"/>
      <c r="W834" s="278"/>
      <c r="X834" s="278"/>
      <c r="Y834" s="278"/>
      <c r="Z834" s="278"/>
    </row>
    <row r="835">
      <c r="A835" s="278"/>
      <c r="B835" s="278"/>
      <c r="C835" s="278"/>
      <c r="D835" s="278"/>
      <c r="E835" s="278"/>
      <c r="F835" s="278"/>
      <c r="G835" s="278"/>
      <c r="H835" s="278"/>
      <c r="I835" s="278"/>
      <c r="J835" s="278"/>
      <c r="K835" s="278"/>
      <c r="L835" s="278"/>
      <c r="M835" s="278"/>
      <c r="N835" s="278"/>
      <c r="O835" s="278"/>
      <c r="P835" s="278"/>
      <c r="Q835" s="278"/>
      <c r="R835" s="278"/>
      <c r="S835" s="278"/>
      <c r="T835" s="278"/>
      <c r="U835" s="278"/>
      <c r="V835" s="278"/>
      <c r="W835" s="278"/>
      <c r="X835" s="278"/>
      <c r="Y835" s="278"/>
      <c r="Z835" s="278"/>
    </row>
    <row r="836">
      <c r="A836" s="278"/>
      <c r="B836" s="278"/>
      <c r="C836" s="278"/>
      <c r="D836" s="278"/>
      <c r="E836" s="278"/>
      <c r="F836" s="278"/>
      <c r="G836" s="278"/>
      <c r="H836" s="278"/>
      <c r="I836" s="278"/>
      <c r="J836" s="278"/>
      <c r="K836" s="278"/>
      <c r="L836" s="278"/>
      <c r="M836" s="278"/>
      <c r="N836" s="278"/>
      <c r="O836" s="278"/>
      <c r="P836" s="278"/>
      <c r="Q836" s="278"/>
      <c r="R836" s="278"/>
      <c r="S836" s="278"/>
      <c r="T836" s="278"/>
      <c r="U836" s="278"/>
      <c r="V836" s="278"/>
      <c r="W836" s="278"/>
      <c r="X836" s="278"/>
      <c r="Y836" s="278"/>
      <c r="Z836" s="278"/>
    </row>
    <row r="837">
      <c r="A837" s="278"/>
      <c r="B837" s="278"/>
      <c r="C837" s="278"/>
      <c r="D837" s="278"/>
      <c r="E837" s="278"/>
      <c r="F837" s="278"/>
      <c r="G837" s="278"/>
      <c r="H837" s="278"/>
      <c r="I837" s="278"/>
      <c r="J837" s="278"/>
      <c r="K837" s="278"/>
      <c r="L837" s="278"/>
      <c r="M837" s="278"/>
      <c r="N837" s="278"/>
      <c r="O837" s="278"/>
      <c r="P837" s="278"/>
      <c r="Q837" s="278"/>
      <c r="R837" s="278"/>
      <c r="S837" s="278"/>
      <c r="T837" s="278"/>
      <c r="U837" s="278"/>
      <c r="V837" s="278"/>
      <c r="W837" s="278"/>
      <c r="X837" s="278"/>
      <c r="Y837" s="278"/>
      <c r="Z837" s="278"/>
    </row>
    <row r="838">
      <c r="A838" s="278"/>
      <c r="B838" s="278"/>
      <c r="C838" s="278"/>
      <c r="D838" s="278"/>
      <c r="E838" s="278"/>
      <c r="F838" s="278"/>
      <c r="G838" s="278"/>
      <c r="H838" s="278"/>
      <c r="I838" s="278"/>
      <c r="J838" s="278"/>
      <c r="K838" s="278"/>
      <c r="L838" s="278"/>
      <c r="M838" s="278"/>
      <c r="N838" s="278"/>
      <c r="O838" s="278"/>
      <c r="P838" s="278"/>
      <c r="Q838" s="278"/>
      <c r="R838" s="278"/>
      <c r="S838" s="278"/>
      <c r="T838" s="278"/>
      <c r="U838" s="278"/>
      <c r="V838" s="278"/>
      <c r="W838" s="278"/>
      <c r="X838" s="278"/>
      <c r="Y838" s="278"/>
      <c r="Z838" s="278"/>
    </row>
    <row r="839">
      <c r="A839" s="278"/>
      <c r="B839" s="278"/>
      <c r="C839" s="278"/>
      <c r="D839" s="278"/>
      <c r="E839" s="278"/>
      <c r="F839" s="278"/>
      <c r="G839" s="278"/>
      <c r="H839" s="278"/>
      <c r="I839" s="278"/>
      <c r="J839" s="278"/>
      <c r="K839" s="278"/>
      <c r="L839" s="278"/>
      <c r="M839" s="278"/>
      <c r="N839" s="278"/>
      <c r="O839" s="278"/>
      <c r="P839" s="278"/>
      <c r="Q839" s="278"/>
      <c r="R839" s="278"/>
      <c r="S839" s="278"/>
      <c r="T839" s="278"/>
      <c r="U839" s="278"/>
      <c r="V839" s="278"/>
      <c r="W839" s="278"/>
      <c r="X839" s="278"/>
      <c r="Y839" s="278"/>
      <c r="Z839" s="278"/>
    </row>
    <row r="840">
      <c r="A840" s="278"/>
      <c r="B840" s="278"/>
      <c r="C840" s="278"/>
      <c r="D840" s="278"/>
      <c r="E840" s="278"/>
      <c r="F840" s="278"/>
      <c r="G840" s="278"/>
      <c r="H840" s="278"/>
      <c r="I840" s="278"/>
      <c r="J840" s="278"/>
      <c r="K840" s="278"/>
      <c r="L840" s="278"/>
      <c r="M840" s="278"/>
      <c r="N840" s="278"/>
      <c r="O840" s="278"/>
      <c r="P840" s="278"/>
      <c r="Q840" s="278"/>
      <c r="R840" s="278"/>
      <c r="S840" s="278"/>
      <c r="T840" s="278"/>
      <c r="U840" s="278"/>
      <c r="V840" s="278"/>
      <c r="W840" s="278"/>
      <c r="X840" s="278"/>
      <c r="Y840" s="278"/>
      <c r="Z840" s="278"/>
    </row>
    <row r="841">
      <c r="A841" s="278"/>
      <c r="B841" s="278"/>
      <c r="C841" s="278"/>
      <c r="D841" s="278"/>
      <c r="E841" s="278"/>
      <c r="F841" s="278"/>
      <c r="G841" s="278"/>
      <c r="H841" s="278"/>
      <c r="I841" s="278"/>
      <c r="J841" s="278"/>
      <c r="K841" s="278"/>
      <c r="L841" s="278"/>
      <c r="M841" s="278"/>
      <c r="N841" s="278"/>
      <c r="O841" s="278"/>
      <c r="P841" s="278"/>
      <c r="Q841" s="278"/>
      <c r="R841" s="278"/>
      <c r="S841" s="278"/>
      <c r="T841" s="278"/>
      <c r="U841" s="278"/>
      <c r="V841" s="278"/>
      <c r="W841" s="278"/>
      <c r="X841" s="278"/>
      <c r="Y841" s="278"/>
      <c r="Z841" s="278"/>
    </row>
    <row r="842">
      <c r="A842" s="278"/>
      <c r="B842" s="278"/>
      <c r="C842" s="278"/>
      <c r="D842" s="278"/>
      <c r="E842" s="278"/>
      <c r="F842" s="278"/>
      <c r="G842" s="278"/>
      <c r="H842" s="278"/>
      <c r="I842" s="278"/>
      <c r="J842" s="278"/>
      <c r="K842" s="278"/>
      <c r="L842" s="278"/>
      <c r="M842" s="278"/>
      <c r="N842" s="278"/>
      <c r="O842" s="278"/>
      <c r="P842" s="278"/>
      <c r="Q842" s="278"/>
      <c r="R842" s="278"/>
      <c r="S842" s="278"/>
      <c r="T842" s="278"/>
      <c r="U842" s="278"/>
      <c r="V842" s="278"/>
      <c r="W842" s="278"/>
      <c r="X842" s="278"/>
      <c r="Y842" s="278"/>
      <c r="Z842" s="278"/>
    </row>
    <row r="843">
      <c r="A843" s="278"/>
      <c r="B843" s="278"/>
      <c r="C843" s="278"/>
      <c r="D843" s="278"/>
      <c r="E843" s="278"/>
      <c r="F843" s="278"/>
      <c r="G843" s="278"/>
      <c r="H843" s="278"/>
      <c r="I843" s="278"/>
      <c r="J843" s="278"/>
      <c r="K843" s="278"/>
      <c r="L843" s="278"/>
      <c r="M843" s="278"/>
      <c r="N843" s="278"/>
      <c r="O843" s="278"/>
      <c r="P843" s="278"/>
      <c r="Q843" s="278"/>
      <c r="R843" s="278"/>
      <c r="S843" s="278"/>
      <c r="T843" s="278"/>
      <c r="U843" s="278"/>
      <c r="V843" s="278"/>
      <c r="W843" s="278"/>
      <c r="X843" s="278"/>
      <c r="Y843" s="278"/>
      <c r="Z843" s="278"/>
    </row>
    <row r="844">
      <c r="A844" s="278"/>
      <c r="B844" s="278"/>
      <c r="C844" s="278"/>
      <c r="D844" s="278"/>
      <c r="E844" s="278"/>
      <c r="F844" s="278"/>
      <c r="G844" s="278"/>
      <c r="H844" s="278"/>
      <c r="I844" s="278"/>
      <c r="J844" s="278"/>
      <c r="K844" s="278"/>
      <c r="L844" s="278"/>
      <c r="M844" s="278"/>
      <c r="N844" s="278"/>
      <c r="O844" s="278"/>
      <c r="P844" s="278"/>
      <c r="Q844" s="278"/>
      <c r="R844" s="278"/>
      <c r="S844" s="278"/>
      <c r="T844" s="278"/>
      <c r="U844" s="278"/>
      <c r="V844" s="278"/>
      <c r="W844" s="278"/>
      <c r="X844" s="278"/>
      <c r="Y844" s="278"/>
      <c r="Z844" s="278"/>
    </row>
    <row r="845">
      <c r="A845" s="278"/>
      <c r="B845" s="278"/>
      <c r="C845" s="278"/>
      <c r="D845" s="278"/>
      <c r="E845" s="278"/>
      <c r="F845" s="278"/>
      <c r="G845" s="278"/>
      <c r="H845" s="278"/>
      <c r="I845" s="278"/>
      <c r="J845" s="278"/>
      <c r="K845" s="278"/>
      <c r="L845" s="278"/>
      <c r="M845" s="278"/>
      <c r="N845" s="278"/>
      <c r="O845" s="278"/>
      <c r="P845" s="278"/>
      <c r="Q845" s="278"/>
      <c r="R845" s="278"/>
      <c r="S845" s="278"/>
      <c r="T845" s="278"/>
      <c r="U845" s="278"/>
      <c r="V845" s="278"/>
      <c r="W845" s="278"/>
      <c r="X845" s="278"/>
      <c r="Y845" s="278"/>
      <c r="Z845" s="278"/>
    </row>
    <row r="846">
      <c r="A846" s="278"/>
      <c r="B846" s="278"/>
      <c r="C846" s="278"/>
      <c r="D846" s="278"/>
      <c r="E846" s="278"/>
      <c r="F846" s="278"/>
      <c r="G846" s="278"/>
      <c r="H846" s="278"/>
      <c r="I846" s="278"/>
      <c r="J846" s="278"/>
      <c r="K846" s="278"/>
      <c r="L846" s="278"/>
      <c r="M846" s="278"/>
      <c r="N846" s="278"/>
      <c r="O846" s="278"/>
      <c r="P846" s="278"/>
      <c r="Q846" s="278"/>
      <c r="R846" s="278"/>
      <c r="S846" s="278"/>
      <c r="T846" s="278"/>
      <c r="U846" s="278"/>
      <c r="V846" s="278"/>
      <c r="W846" s="278"/>
      <c r="X846" s="278"/>
      <c r="Y846" s="278"/>
      <c r="Z846" s="278"/>
    </row>
    <row r="847">
      <c r="A847" s="278"/>
      <c r="B847" s="278"/>
      <c r="C847" s="278"/>
      <c r="D847" s="278"/>
      <c r="E847" s="278"/>
      <c r="F847" s="278"/>
      <c r="G847" s="278"/>
      <c r="H847" s="278"/>
      <c r="I847" s="278"/>
      <c r="J847" s="278"/>
      <c r="K847" s="278"/>
      <c r="L847" s="278"/>
      <c r="M847" s="278"/>
      <c r="N847" s="278"/>
      <c r="O847" s="278"/>
      <c r="P847" s="278"/>
      <c r="Q847" s="278"/>
      <c r="R847" s="278"/>
      <c r="S847" s="278"/>
      <c r="T847" s="278"/>
      <c r="U847" s="278"/>
      <c r="V847" s="278"/>
      <c r="W847" s="278"/>
      <c r="X847" s="278"/>
      <c r="Y847" s="278"/>
      <c r="Z847" s="278"/>
    </row>
    <row r="848">
      <c r="A848" s="278"/>
      <c r="B848" s="278"/>
      <c r="C848" s="278"/>
      <c r="D848" s="278"/>
      <c r="E848" s="278"/>
      <c r="F848" s="278"/>
      <c r="G848" s="278"/>
      <c r="H848" s="278"/>
      <c r="I848" s="278"/>
      <c r="J848" s="278"/>
      <c r="K848" s="278"/>
      <c r="L848" s="278"/>
      <c r="M848" s="278"/>
      <c r="N848" s="278"/>
      <c r="O848" s="278"/>
      <c r="P848" s="278"/>
      <c r="Q848" s="278"/>
      <c r="R848" s="278"/>
      <c r="S848" s="278"/>
      <c r="T848" s="278"/>
      <c r="U848" s="278"/>
      <c r="V848" s="278"/>
      <c r="W848" s="278"/>
      <c r="X848" s="278"/>
      <c r="Y848" s="278"/>
      <c r="Z848" s="278"/>
    </row>
    <row r="849">
      <c r="A849" s="278"/>
      <c r="B849" s="278"/>
      <c r="C849" s="278"/>
      <c r="D849" s="278"/>
      <c r="E849" s="278"/>
      <c r="F849" s="278"/>
      <c r="G849" s="278"/>
      <c r="H849" s="278"/>
      <c r="I849" s="278"/>
      <c r="J849" s="278"/>
      <c r="K849" s="278"/>
      <c r="L849" s="278"/>
      <c r="M849" s="278"/>
      <c r="N849" s="278"/>
      <c r="O849" s="278"/>
      <c r="P849" s="278"/>
      <c r="Q849" s="278"/>
      <c r="R849" s="278"/>
      <c r="S849" s="278"/>
      <c r="T849" s="278"/>
      <c r="U849" s="278"/>
      <c r="V849" s="278"/>
      <c r="W849" s="278"/>
      <c r="X849" s="278"/>
      <c r="Y849" s="278"/>
      <c r="Z849" s="278"/>
    </row>
    <row r="850">
      <c r="A850" s="278"/>
      <c r="B850" s="278"/>
      <c r="C850" s="278"/>
      <c r="D850" s="278"/>
      <c r="E850" s="278"/>
      <c r="F850" s="278"/>
      <c r="G850" s="278"/>
      <c r="H850" s="278"/>
      <c r="I850" s="278"/>
      <c r="J850" s="278"/>
      <c r="K850" s="278"/>
      <c r="L850" s="278"/>
      <c r="M850" s="278"/>
      <c r="N850" s="278"/>
      <c r="O850" s="278"/>
      <c r="P850" s="278"/>
      <c r="Q850" s="278"/>
      <c r="R850" s="278"/>
      <c r="S850" s="278"/>
      <c r="T850" s="278"/>
      <c r="U850" s="278"/>
      <c r="V850" s="278"/>
      <c r="W850" s="278"/>
      <c r="X850" s="278"/>
      <c r="Y850" s="278"/>
      <c r="Z850" s="278"/>
    </row>
    <row r="851">
      <c r="A851" s="278"/>
      <c r="B851" s="278"/>
      <c r="C851" s="278"/>
      <c r="D851" s="278"/>
      <c r="E851" s="278"/>
      <c r="F851" s="278"/>
      <c r="G851" s="278"/>
      <c r="H851" s="278"/>
      <c r="I851" s="278"/>
      <c r="J851" s="278"/>
      <c r="K851" s="278"/>
      <c r="L851" s="278"/>
      <c r="M851" s="278"/>
      <c r="N851" s="278"/>
      <c r="O851" s="278"/>
      <c r="P851" s="278"/>
      <c r="Q851" s="278"/>
      <c r="R851" s="278"/>
      <c r="S851" s="278"/>
      <c r="T851" s="278"/>
      <c r="U851" s="278"/>
      <c r="V851" s="278"/>
      <c r="W851" s="278"/>
      <c r="X851" s="278"/>
      <c r="Y851" s="278"/>
      <c r="Z851" s="278"/>
    </row>
    <row r="852">
      <c r="A852" s="278"/>
      <c r="B852" s="278"/>
      <c r="C852" s="278"/>
      <c r="D852" s="278"/>
      <c r="E852" s="278"/>
      <c r="F852" s="278"/>
      <c r="G852" s="278"/>
      <c r="H852" s="278"/>
      <c r="I852" s="278"/>
      <c r="J852" s="278"/>
      <c r="K852" s="278"/>
      <c r="L852" s="278"/>
      <c r="M852" s="278"/>
      <c r="N852" s="278"/>
      <c r="O852" s="278"/>
      <c r="P852" s="278"/>
      <c r="Q852" s="278"/>
      <c r="R852" s="278"/>
      <c r="S852" s="278"/>
      <c r="T852" s="278"/>
      <c r="U852" s="278"/>
      <c r="V852" s="278"/>
      <c r="W852" s="278"/>
      <c r="X852" s="278"/>
      <c r="Y852" s="278"/>
      <c r="Z852" s="278"/>
    </row>
    <row r="853">
      <c r="A853" s="278"/>
      <c r="B853" s="278"/>
      <c r="C853" s="278"/>
      <c r="D853" s="278"/>
      <c r="E853" s="278"/>
      <c r="F853" s="278"/>
      <c r="G853" s="278"/>
      <c r="H853" s="278"/>
      <c r="I853" s="278"/>
      <c r="J853" s="278"/>
      <c r="K853" s="278"/>
      <c r="L853" s="278"/>
      <c r="M853" s="278"/>
      <c r="N853" s="278"/>
      <c r="O853" s="278"/>
      <c r="P853" s="278"/>
      <c r="Q853" s="278"/>
      <c r="R853" s="278"/>
      <c r="S853" s="278"/>
      <c r="T853" s="278"/>
      <c r="U853" s="278"/>
      <c r="V853" s="278"/>
      <c r="W853" s="278"/>
      <c r="X853" s="278"/>
      <c r="Y853" s="278"/>
      <c r="Z853" s="278"/>
    </row>
    <row r="854">
      <c r="A854" s="278"/>
      <c r="B854" s="278"/>
      <c r="C854" s="278"/>
      <c r="D854" s="278"/>
      <c r="E854" s="278"/>
      <c r="F854" s="278"/>
      <c r="G854" s="278"/>
      <c r="H854" s="278"/>
      <c r="I854" s="278"/>
      <c r="J854" s="278"/>
      <c r="K854" s="278"/>
      <c r="L854" s="278"/>
      <c r="M854" s="278"/>
      <c r="N854" s="278"/>
      <c r="O854" s="278"/>
      <c r="P854" s="278"/>
      <c r="Q854" s="278"/>
      <c r="R854" s="278"/>
      <c r="S854" s="278"/>
      <c r="T854" s="278"/>
      <c r="U854" s="278"/>
      <c r="V854" s="278"/>
      <c r="W854" s="278"/>
      <c r="X854" s="278"/>
      <c r="Y854" s="278"/>
      <c r="Z854" s="278"/>
    </row>
    <row r="855">
      <c r="A855" s="278"/>
      <c r="B855" s="278"/>
      <c r="C855" s="278"/>
      <c r="D855" s="278"/>
      <c r="E855" s="278"/>
      <c r="F855" s="278"/>
      <c r="G855" s="278"/>
      <c r="H855" s="278"/>
      <c r="I855" s="278"/>
      <c r="J855" s="278"/>
      <c r="K855" s="278"/>
      <c r="L855" s="278"/>
      <c r="M855" s="278"/>
      <c r="N855" s="278"/>
      <c r="O855" s="278"/>
      <c r="P855" s="278"/>
      <c r="Q855" s="278"/>
      <c r="R855" s="278"/>
      <c r="S855" s="278"/>
      <c r="T855" s="278"/>
      <c r="U855" s="278"/>
      <c r="V855" s="278"/>
      <c r="W855" s="278"/>
      <c r="X855" s="278"/>
      <c r="Y855" s="278"/>
      <c r="Z855" s="278"/>
    </row>
    <row r="856">
      <c r="A856" s="278"/>
      <c r="B856" s="278"/>
      <c r="C856" s="278"/>
      <c r="D856" s="278"/>
      <c r="E856" s="278"/>
      <c r="F856" s="278"/>
      <c r="G856" s="278"/>
      <c r="H856" s="278"/>
      <c r="I856" s="278"/>
      <c r="J856" s="278"/>
      <c r="K856" s="278"/>
      <c r="L856" s="278"/>
      <c r="M856" s="278"/>
      <c r="N856" s="278"/>
      <c r="O856" s="278"/>
      <c r="P856" s="278"/>
      <c r="Q856" s="278"/>
      <c r="R856" s="278"/>
      <c r="S856" s="278"/>
      <c r="T856" s="278"/>
      <c r="U856" s="278"/>
      <c r="V856" s="278"/>
      <c r="W856" s="278"/>
      <c r="X856" s="278"/>
      <c r="Y856" s="278"/>
      <c r="Z856" s="278"/>
    </row>
    <row r="857">
      <c r="A857" s="278"/>
      <c r="B857" s="278"/>
      <c r="C857" s="278"/>
      <c r="D857" s="278"/>
      <c r="E857" s="278"/>
      <c r="F857" s="278"/>
      <c r="G857" s="278"/>
      <c r="H857" s="278"/>
      <c r="I857" s="278"/>
      <c r="J857" s="278"/>
      <c r="K857" s="278"/>
      <c r="L857" s="278"/>
      <c r="M857" s="278"/>
      <c r="N857" s="278"/>
      <c r="O857" s="278"/>
      <c r="P857" s="278"/>
      <c r="Q857" s="278"/>
      <c r="R857" s="278"/>
      <c r="S857" s="278"/>
      <c r="T857" s="278"/>
      <c r="U857" s="278"/>
      <c r="V857" s="278"/>
      <c r="W857" s="278"/>
      <c r="X857" s="278"/>
      <c r="Y857" s="278"/>
      <c r="Z857" s="278"/>
    </row>
    <row r="858">
      <c r="A858" s="278"/>
      <c r="B858" s="278"/>
      <c r="C858" s="278"/>
      <c r="D858" s="278"/>
      <c r="E858" s="278"/>
      <c r="F858" s="278"/>
      <c r="G858" s="278"/>
      <c r="H858" s="278"/>
      <c r="I858" s="278"/>
      <c r="J858" s="278"/>
      <c r="K858" s="278"/>
      <c r="L858" s="278"/>
      <c r="M858" s="278"/>
      <c r="N858" s="278"/>
      <c r="O858" s="278"/>
      <c r="P858" s="278"/>
      <c r="Q858" s="278"/>
      <c r="R858" s="278"/>
      <c r="S858" s="278"/>
      <c r="T858" s="278"/>
      <c r="U858" s="278"/>
      <c r="V858" s="278"/>
      <c r="W858" s="278"/>
      <c r="X858" s="278"/>
      <c r="Y858" s="278"/>
      <c r="Z858" s="278"/>
    </row>
    <row r="859">
      <c r="A859" s="278"/>
      <c r="B859" s="278"/>
      <c r="C859" s="278"/>
      <c r="D859" s="278"/>
      <c r="E859" s="278"/>
      <c r="F859" s="278"/>
      <c r="G859" s="278"/>
      <c r="H859" s="278"/>
      <c r="I859" s="278"/>
      <c r="J859" s="278"/>
      <c r="K859" s="278"/>
      <c r="L859" s="278"/>
      <c r="M859" s="278"/>
      <c r="N859" s="278"/>
      <c r="O859" s="278"/>
      <c r="P859" s="278"/>
      <c r="Q859" s="278"/>
      <c r="R859" s="278"/>
      <c r="S859" s="278"/>
      <c r="T859" s="278"/>
      <c r="U859" s="278"/>
      <c r="V859" s="278"/>
      <c r="W859" s="278"/>
      <c r="X859" s="278"/>
      <c r="Y859" s="278"/>
      <c r="Z859" s="278"/>
    </row>
    <row r="860">
      <c r="A860" s="278"/>
      <c r="B860" s="278"/>
      <c r="C860" s="278"/>
      <c r="D860" s="278"/>
      <c r="E860" s="278"/>
      <c r="F860" s="278"/>
      <c r="G860" s="278"/>
      <c r="H860" s="278"/>
      <c r="I860" s="278"/>
      <c r="J860" s="278"/>
      <c r="K860" s="278"/>
      <c r="L860" s="278"/>
      <c r="M860" s="278"/>
      <c r="N860" s="278"/>
      <c r="O860" s="278"/>
      <c r="P860" s="278"/>
      <c r="Q860" s="278"/>
      <c r="R860" s="278"/>
      <c r="S860" s="278"/>
      <c r="T860" s="278"/>
      <c r="U860" s="278"/>
      <c r="V860" s="278"/>
      <c r="W860" s="278"/>
      <c r="X860" s="278"/>
      <c r="Y860" s="278"/>
      <c r="Z860" s="278"/>
    </row>
    <row r="861">
      <c r="A861" s="278"/>
      <c r="B861" s="278"/>
      <c r="C861" s="278"/>
      <c r="D861" s="278"/>
      <c r="E861" s="278"/>
      <c r="F861" s="278"/>
      <c r="G861" s="278"/>
      <c r="H861" s="278"/>
      <c r="I861" s="278"/>
      <c r="J861" s="278"/>
      <c r="K861" s="278"/>
      <c r="L861" s="278"/>
      <c r="M861" s="278"/>
      <c r="N861" s="278"/>
      <c r="O861" s="278"/>
      <c r="P861" s="278"/>
      <c r="Q861" s="278"/>
      <c r="R861" s="278"/>
      <c r="S861" s="278"/>
      <c r="T861" s="278"/>
      <c r="U861" s="278"/>
      <c r="V861" s="278"/>
      <c r="W861" s="278"/>
      <c r="X861" s="278"/>
      <c r="Y861" s="278"/>
      <c r="Z861" s="278"/>
    </row>
    <row r="862">
      <c r="A862" s="278"/>
      <c r="B862" s="278"/>
      <c r="C862" s="278"/>
      <c r="D862" s="278"/>
      <c r="E862" s="278"/>
      <c r="F862" s="278"/>
      <c r="G862" s="278"/>
      <c r="H862" s="278"/>
      <c r="I862" s="278"/>
      <c r="J862" s="278"/>
      <c r="K862" s="278"/>
      <c r="L862" s="278"/>
      <c r="M862" s="278"/>
      <c r="N862" s="278"/>
      <c r="O862" s="278"/>
      <c r="P862" s="278"/>
      <c r="Q862" s="278"/>
      <c r="R862" s="278"/>
      <c r="S862" s="278"/>
      <c r="T862" s="278"/>
      <c r="U862" s="278"/>
      <c r="V862" s="278"/>
      <c r="W862" s="278"/>
      <c r="X862" s="278"/>
      <c r="Y862" s="278"/>
      <c r="Z862" s="278"/>
    </row>
    <row r="863">
      <c r="A863" s="278"/>
      <c r="B863" s="278"/>
      <c r="C863" s="278"/>
      <c r="D863" s="278"/>
      <c r="E863" s="278"/>
      <c r="F863" s="278"/>
      <c r="G863" s="278"/>
      <c r="H863" s="278"/>
      <c r="I863" s="278"/>
      <c r="J863" s="278"/>
      <c r="K863" s="278"/>
      <c r="L863" s="278"/>
      <c r="M863" s="278"/>
      <c r="N863" s="278"/>
      <c r="O863" s="278"/>
      <c r="P863" s="278"/>
      <c r="Q863" s="278"/>
      <c r="R863" s="278"/>
      <c r="S863" s="278"/>
      <c r="T863" s="278"/>
      <c r="U863" s="278"/>
      <c r="V863" s="278"/>
      <c r="W863" s="278"/>
      <c r="X863" s="278"/>
      <c r="Y863" s="278"/>
      <c r="Z863" s="278"/>
    </row>
    <row r="864">
      <c r="A864" s="278"/>
      <c r="B864" s="278"/>
      <c r="C864" s="278"/>
      <c r="D864" s="278"/>
      <c r="E864" s="278"/>
      <c r="F864" s="278"/>
      <c r="G864" s="278"/>
      <c r="H864" s="278"/>
      <c r="I864" s="278"/>
      <c r="J864" s="278"/>
      <c r="K864" s="278"/>
      <c r="L864" s="278"/>
      <c r="M864" s="278"/>
      <c r="N864" s="278"/>
      <c r="O864" s="278"/>
      <c r="P864" s="278"/>
      <c r="Q864" s="278"/>
      <c r="R864" s="278"/>
      <c r="S864" s="278"/>
      <c r="T864" s="278"/>
      <c r="U864" s="278"/>
      <c r="V864" s="278"/>
      <c r="W864" s="278"/>
      <c r="X864" s="278"/>
      <c r="Y864" s="278"/>
      <c r="Z864" s="278"/>
    </row>
    <row r="865">
      <c r="A865" s="278"/>
      <c r="B865" s="278"/>
      <c r="C865" s="278"/>
      <c r="D865" s="278"/>
      <c r="E865" s="278"/>
      <c r="F865" s="278"/>
      <c r="G865" s="278"/>
      <c r="H865" s="278"/>
      <c r="I865" s="278"/>
      <c r="J865" s="278"/>
      <c r="K865" s="278"/>
      <c r="L865" s="278"/>
      <c r="M865" s="278"/>
      <c r="N865" s="278"/>
      <c r="O865" s="278"/>
      <c r="P865" s="278"/>
      <c r="Q865" s="278"/>
      <c r="R865" s="278"/>
      <c r="S865" s="278"/>
      <c r="T865" s="278"/>
      <c r="U865" s="278"/>
      <c r="V865" s="278"/>
      <c r="W865" s="278"/>
      <c r="X865" s="278"/>
      <c r="Y865" s="278"/>
      <c r="Z865" s="278"/>
    </row>
    <row r="866">
      <c r="A866" s="278"/>
      <c r="B866" s="278"/>
      <c r="C866" s="278"/>
      <c r="D866" s="278"/>
      <c r="E866" s="278"/>
      <c r="F866" s="278"/>
      <c r="G866" s="278"/>
      <c r="H866" s="278"/>
      <c r="I866" s="278"/>
      <c r="J866" s="278"/>
      <c r="K866" s="278"/>
      <c r="L866" s="278"/>
      <c r="M866" s="278"/>
      <c r="N866" s="278"/>
      <c r="O866" s="278"/>
      <c r="P866" s="278"/>
      <c r="Q866" s="278"/>
      <c r="R866" s="278"/>
      <c r="S866" s="278"/>
      <c r="T866" s="278"/>
      <c r="U866" s="278"/>
      <c r="V866" s="278"/>
      <c r="W866" s="278"/>
      <c r="X866" s="278"/>
      <c r="Y866" s="278"/>
      <c r="Z866" s="278"/>
    </row>
    <row r="867">
      <c r="A867" s="278"/>
      <c r="B867" s="278"/>
      <c r="C867" s="278"/>
      <c r="D867" s="278"/>
      <c r="E867" s="278"/>
      <c r="F867" s="278"/>
      <c r="G867" s="278"/>
      <c r="H867" s="278"/>
      <c r="I867" s="278"/>
      <c r="J867" s="278"/>
      <c r="K867" s="278"/>
      <c r="L867" s="278"/>
      <c r="M867" s="278"/>
      <c r="N867" s="278"/>
      <c r="O867" s="278"/>
      <c r="P867" s="278"/>
      <c r="Q867" s="278"/>
      <c r="R867" s="278"/>
      <c r="S867" s="278"/>
      <c r="T867" s="278"/>
      <c r="U867" s="278"/>
      <c r="V867" s="278"/>
      <c r="W867" s="278"/>
      <c r="X867" s="278"/>
      <c r="Y867" s="278"/>
      <c r="Z867" s="278"/>
    </row>
    <row r="868">
      <c r="A868" s="278"/>
      <c r="B868" s="278"/>
      <c r="C868" s="278"/>
      <c r="D868" s="278"/>
      <c r="E868" s="278"/>
      <c r="F868" s="278"/>
      <c r="G868" s="278"/>
      <c r="H868" s="278"/>
      <c r="I868" s="278"/>
      <c r="J868" s="278"/>
      <c r="K868" s="278"/>
      <c r="L868" s="278"/>
      <c r="M868" s="278"/>
      <c r="N868" s="278"/>
      <c r="O868" s="278"/>
      <c r="P868" s="278"/>
      <c r="Q868" s="278"/>
      <c r="R868" s="278"/>
      <c r="S868" s="278"/>
      <c r="T868" s="278"/>
      <c r="U868" s="278"/>
      <c r="V868" s="278"/>
      <c r="W868" s="278"/>
      <c r="X868" s="278"/>
      <c r="Y868" s="278"/>
      <c r="Z868" s="278"/>
    </row>
    <row r="869">
      <c r="A869" s="278"/>
      <c r="B869" s="278"/>
      <c r="C869" s="278"/>
      <c r="D869" s="278"/>
      <c r="E869" s="278"/>
      <c r="F869" s="278"/>
      <c r="G869" s="278"/>
      <c r="H869" s="278"/>
      <c r="I869" s="278"/>
      <c r="J869" s="278"/>
      <c r="K869" s="278"/>
      <c r="L869" s="278"/>
      <c r="M869" s="278"/>
      <c r="N869" s="278"/>
      <c r="O869" s="278"/>
      <c r="P869" s="278"/>
      <c r="Q869" s="278"/>
      <c r="R869" s="278"/>
      <c r="S869" s="278"/>
      <c r="T869" s="278"/>
      <c r="U869" s="278"/>
      <c r="V869" s="278"/>
      <c r="W869" s="278"/>
      <c r="X869" s="278"/>
      <c r="Y869" s="278"/>
      <c r="Z869" s="278"/>
    </row>
    <row r="870">
      <c r="A870" s="278"/>
      <c r="B870" s="278"/>
      <c r="C870" s="278"/>
      <c r="D870" s="278"/>
      <c r="E870" s="278"/>
      <c r="F870" s="278"/>
      <c r="G870" s="278"/>
      <c r="H870" s="278"/>
      <c r="I870" s="278"/>
      <c r="J870" s="278"/>
      <c r="K870" s="278"/>
      <c r="L870" s="278"/>
      <c r="M870" s="278"/>
      <c r="N870" s="278"/>
      <c r="O870" s="278"/>
      <c r="P870" s="278"/>
      <c r="Q870" s="278"/>
      <c r="R870" s="278"/>
      <c r="S870" s="278"/>
      <c r="T870" s="278"/>
      <c r="U870" s="278"/>
      <c r="V870" s="278"/>
      <c r="W870" s="278"/>
      <c r="X870" s="278"/>
      <c r="Y870" s="278"/>
      <c r="Z870" s="278"/>
    </row>
    <row r="871">
      <c r="A871" s="278"/>
      <c r="B871" s="278"/>
      <c r="C871" s="278"/>
      <c r="D871" s="278"/>
      <c r="E871" s="278"/>
      <c r="F871" s="278"/>
      <c r="G871" s="278"/>
      <c r="H871" s="278"/>
      <c r="I871" s="278"/>
      <c r="J871" s="278"/>
      <c r="K871" s="278"/>
      <c r="L871" s="278"/>
      <c r="M871" s="278"/>
      <c r="N871" s="278"/>
      <c r="O871" s="278"/>
      <c r="P871" s="278"/>
      <c r="Q871" s="278"/>
      <c r="R871" s="278"/>
      <c r="S871" s="278"/>
      <c r="T871" s="278"/>
      <c r="U871" s="278"/>
      <c r="V871" s="278"/>
      <c r="W871" s="278"/>
      <c r="X871" s="278"/>
      <c r="Y871" s="278"/>
      <c r="Z871" s="278"/>
    </row>
    <row r="872">
      <c r="A872" s="278"/>
      <c r="B872" s="278"/>
      <c r="C872" s="278"/>
      <c r="D872" s="278"/>
      <c r="E872" s="278"/>
      <c r="F872" s="278"/>
      <c r="G872" s="278"/>
      <c r="H872" s="278"/>
      <c r="I872" s="278"/>
      <c r="J872" s="278"/>
      <c r="K872" s="278"/>
      <c r="L872" s="278"/>
      <c r="M872" s="278"/>
      <c r="N872" s="278"/>
      <c r="O872" s="278"/>
      <c r="P872" s="278"/>
      <c r="Q872" s="278"/>
      <c r="R872" s="278"/>
      <c r="S872" s="278"/>
      <c r="T872" s="278"/>
      <c r="U872" s="278"/>
      <c r="V872" s="278"/>
      <c r="W872" s="278"/>
      <c r="X872" s="278"/>
      <c r="Y872" s="278"/>
      <c r="Z872" s="278"/>
    </row>
    <row r="873">
      <c r="A873" s="278"/>
      <c r="B873" s="278"/>
      <c r="C873" s="278"/>
      <c r="D873" s="278"/>
      <c r="E873" s="278"/>
      <c r="F873" s="278"/>
      <c r="G873" s="278"/>
      <c r="H873" s="278"/>
      <c r="I873" s="278"/>
      <c r="J873" s="278"/>
      <c r="K873" s="278"/>
      <c r="L873" s="278"/>
      <c r="M873" s="278"/>
      <c r="N873" s="278"/>
      <c r="O873" s="278"/>
      <c r="P873" s="278"/>
      <c r="Q873" s="278"/>
      <c r="R873" s="278"/>
      <c r="S873" s="278"/>
      <c r="T873" s="278"/>
      <c r="U873" s="278"/>
      <c r="V873" s="278"/>
      <c r="W873" s="278"/>
      <c r="X873" s="278"/>
      <c r="Y873" s="278"/>
      <c r="Z873" s="278"/>
    </row>
    <row r="874">
      <c r="A874" s="278"/>
      <c r="B874" s="278"/>
      <c r="C874" s="278"/>
      <c r="D874" s="278"/>
      <c r="E874" s="278"/>
      <c r="F874" s="278"/>
      <c r="G874" s="278"/>
      <c r="H874" s="278"/>
      <c r="I874" s="278"/>
      <c r="J874" s="278"/>
      <c r="K874" s="278"/>
      <c r="L874" s="278"/>
      <c r="M874" s="278"/>
      <c r="N874" s="278"/>
      <c r="O874" s="278"/>
      <c r="P874" s="278"/>
      <c r="Q874" s="278"/>
      <c r="R874" s="278"/>
      <c r="S874" s="278"/>
      <c r="T874" s="278"/>
      <c r="U874" s="278"/>
      <c r="V874" s="278"/>
      <c r="W874" s="278"/>
      <c r="X874" s="278"/>
      <c r="Y874" s="278"/>
      <c r="Z874" s="278"/>
    </row>
    <row r="875">
      <c r="A875" s="278"/>
      <c r="B875" s="278"/>
      <c r="C875" s="278"/>
      <c r="D875" s="278"/>
      <c r="E875" s="278"/>
      <c r="F875" s="278"/>
      <c r="G875" s="278"/>
      <c r="H875" s="278"/>
      <c r="I875" s="278"/>
      <c r="J875" s="278"/>
      <c r="K875" s="278"/>
      <c r="L875" s="278"/>
      <c r="M875" s="278"/>
      <c r="N875" s="278"/>
      <c r="O875" s="278"/>
      <c r="P875" s="278"/>
      <c r="Q875" s="278"/>
      <c r="R875" s="278"/>
      <c r="S875" s="278"/>
      <c r="T875" s="278"/>
      <c r="U875" s="278"/>
      <c r="V875" s="278"/>
      <c r="W875" s="278"/>
      <c r="X875" s="278"/>
      <c r="Y875" s="278"/>
      <c r="Z875" s="278"/>
    </row>
    <row r="876">
      <c r="A876" s="278"/>
      <c r="B876" s="278"/>
      <c r="C876" s="278"/>
      <c r="D876" s="278"/>
      <c r="E876" s="278"/>
      <c r="F876" s="278"/>
      <c r="G876" s="278"/>
      <c r="H876" s="278"/>
      <c r="I876" s="278"/>
      <c r="J876" s="278"/>
      <c r="K876" s="278"/>
      <c r="L876" s="278"/>
      <c r="M876" s="278"/>
      <c r="N876" s="278"/>
      <c r="O876" s="278"/>
      <c r="P876" s="278"/>
      <c r="Q876" s="278"/>
      <c r="R876" s="278"/>
      <c r="S876" s="278"/>
      <c r="T876" s="278"/>
      <c r="U876" s="278"/>
      <c r="V876" s="278"/>
      <c r="W876" s="278"/>
      <c r="X876" s="278"/>
      <c r="Y876" s="278"/>
      <c r="Z876" s="278"/>
    </row>
    <row r="877">
      <c r="A877" s="278"/>
      <c r="B877" s="278"/>
      <c r="C877" s="278"/>
      <c r="D877" s="278"/>
      <c r="E877" s="278"/>
      <c r="F877" s="278"/>
      <c r="G877" s="278"/>
      <c r="H877" s="278"/>
      <c r="I877" s="278"/>
      <c r="J877" s="278"/>
      <c r="K877" s="278"/>
      <c r="L877" s="278"/>
      <c r="M877" s="278"/>
      <c r="N877" s="278"/>
      <c r="O877" s="278"/>
      <c r="P877" s="278"/>
      <c r="Q877" s="278"/>
      <c r="R877" s="278"/>
      <c r="S877" s="278"/>
      <c r="T877" s="278"/>
      <c r="U877" s="278"/>
      <c r="V877" s="278"/>
      <c r="W877" s="278"/>
      <c r="X877" s="278"/>
      <c r="Y877" s="278"/>
      <c r="Z877" s="278"/>
    </row>
    <row r="878">
      <c r="A878" s="278"/>
      <c r="B878" s="278"/>
      <c r="C878" s="278"/>
      <c r="D878" s="278"/>
      <c r="E878" s="278"/>
      <c r="F878" s="278"/>
      <c r="G878" s="278"/>
      <c r="H878" s="278"/>
      <c r="I878" s="278"/>
      <c r="J878" s="278"/>
      <c r="K878" s="278"/>
      <c r="L878" s="278"/>
      <c r="M878" s="278"/>
      <c r="N878" s="278"/>
      <c r="O878" s="278"/>
      <c r="P878" s="278"/>
      <c r="Q878" s="278"/>
      <c r="R878" s="278"/>
      <c r="S878" s="278"/>
      <c r="T878" s="278"/>
      <c r="U878" s="278"/>
      <c r="V878" s="278"/>
      <c r="W878" s="278"/>
      <c r="X878" s="278"/>
      <c r="Y878" s="278"/>
      <c r="Z878" s="278"/>
    </row>
    <row r="879">
      <c r="A879" s="278"/>
      <c r="B879" s="278"/>
      <c r="C879" s="278"/>
      <c r="D879" s="278"/>
      <c r="E879" s="278"/>
      <c r="F879" s="278"/>
      <c r="G879" s="278"/>
      <c r="H879" s="278"/>
      <c r="I879" s="278"/>
      <c r="J879" s="278"/>
      <c r="K879" s="278"/>
      <c r="L879" s="278"/>
      <c r="M879" s="278"/>
      <c r="N879" s="278"/>
      <c r="O879" s="278"/>
      <c r="P879" s="278"/>
      <c r="Q879" s="278"/>
      <c r="R879" s="278"/>
      <c r="S879" s="278"/>
      <c r="T879" s="278"/>
      <c r="U879" s="278"/>
      <c r="V879" s="278"/>
      <c r="W879" s="278"/>
      <c r="X879" s="278"/>
      <c r="Y879" s="278"/>
      <c r="Z879" s="278"/>
    </row>
    <row r="880">
      <c r="A880" s="278"/>
      <c r="B880" s="278"/>
      <c r="C880" s="278"/>
      <c r="D880" s="278"/>
      <c r="E880" s="278"/>
      <c r="F880" s="278"/>
      <c r="G880" s="278"/>
      <c r="H880" s="278"/>
      <c r="I880" s="278"/>
      <c r="J880" s="278"/>
      <c r="K880" s="278"/>
      <c r="L880" s="278"/>
      <c r="M880" s="278"/>
      <c r="N880" s="278"/>
      <c r="O880" s="278"/>
      <c r="P880" s="278"/>
      <c r="Q880" s="278"/>
      <c r="R880" s="278"/>
      <c r="S880" s="278"/>
      <c r="T880" s="278"/>
      <c r="U880" s="278"/>
      <c r="V880" s="278"/>
      <c r="W880" s="278"/>
      <c r="X880" s="278"/>
      <c r="Y880" s="278"/>
      <c r="Z880" s="278"/>
    </row>
    <row r="881">
      <c r="A881" s="278"/>
      <c r="B881" s="278"/>
      <c r="C881" s="278"/>
      <c r="D881" s="278"/>
      <c r="E881" s="278"/>
      <c r="F881" s="278"/>
      <c r="G881" s="278"/>
      <c r="H881" s="278"/>
      <c r="I881" s="278"/>
      <c r="J881" s="278"/>
      <c r="K881" s="278"/>
      <c r="L881" s="278"/>
      <c r="M881" s="278"/>
      <c r="N881" s="278"/>
      <c r="O881" s="278"/>
      <c r="P881" s="278"/>
      <c r="Q881" s="278"/>
      <c r="R881" s="278"/>
      <c r="S881" s="278"/>
      <c r="T881" s="278"/>
      <c r="U881" s="278"/>
      <c r="V881" s="278"/>
      <c r="W881" s="278"/>
      <c r="X881" s="278"/>
      <c r="Y881" s="278"/>
      <c r="Z881" s="278"/>
    </row>
    <row r="882">
      <c r="A882" s="278"/>
      <c r="B882" s="278"/>
      <c r="C882" s="278"/>
      <c r="D882" s="278"/>
      <c r="E882" s="278"/>
      <c r="F882" s="278"/>
      <c r="G882" s="278"/>
      <c r="H882" s="278"/>
      <c r="I882" s="278"/>
      <c r="J882" s="278"/>
      <c r="K882" s="278"/>
      <c r="L882" s="278"/>
      <c r="M882" s="278"/>
      <c r="N882" s="278"/>
      <c r="O882" s="278"/>
      <c r="P882" s="278"/>
      <c r="Q882" s="278"/>
      <c r="R882" s="278"/>
      <c r="S882" s="278"/>
      <c r="T882" s="278"/>
      <c r="U882" s="278"/>
      <c r="V882" s="278"/>
      <c r="W882" s="278"/>
      <c r="X882" s="278"/>
      <c r="Y882" s="278"/>
      <c r="Z882" s="278"/>
    </row>
    <row r="883">
      <c r="A883" s="278"/>
      <c r="B883" s="278"/>
      <c r="C883" s="278"/>
      <c r="D883" s="278"/>
      <c r="E883" s="278"/>
      <c r="F883" s="278"/>
      <c r="G883" s="278"/>
      <c r="H883" s="278"/>
      <c r="I883" s="278"/>
      <c r="J883" s="278"/>
      <c r="K883" s="278"/>
      <c r="L883" s="278"/>
      <c r="M883" s="278"/>
      <c r="N883" s="278"/>
      <c r="O883" s="278"/>
      <c r="P883" s="278"/>
      <c r="Q883" s="278"/>
      <c r="R883" s="278"/>
      <c r="S883" s="278"/>
      <c r="T883" s="278"/>
      <c r="U883" s="278"/>
      <c r="V883" s="278"/>
      <c r="W883" s="278"/>
      <c r="X883" s="278"/>
      <c r="Y883" s="278"/>
      <c r="Z883" s="278"/>
    </row>
    <row r="884">
      <c r="A884" s="278"/>
      <c r="B884" s="278"/>
      <c r="C884" s="278"/>
      <c r="D884" s="278"/>
      <c r="E884" s="278"/>
      <c r="F884" s="278"/>
      <c r="G884" s="278"/>
      <c r="H884" s="278"/>
      <c r="I884" s="278"/>
      <c r="J884" s="278"/>
      <c r="K884" s="278"/>
      <c r="L884" s="278"/>
      <c r="M884" s="278"/>
      <c r="N884" s="278"/>
      <c r="O884" s="278"/>
      <c r="P884" s="278"/>
      <c r="Q884" s="278"/>
      <c r="R884" s="278"/>
      <c r="S884" s="278"/>
      <c r="T884" s="278"/>
      <c r="U884" s="278"/>
      <c r="V884" s="278"/>
      <c r="W884" s="278"/>
      <c r="X884" s="278"/>
      <c r="Y884" s="278"/>
      <c r="Z884" s="278"/>
    </row>
    <row r="885">
      <c r="A885" s="278"/>
      <c r="B885" s="278"/>
      <c r="C885" s="278"/>
      <c r="D885" s="278"/>
      <c r="E885" s="278"/>
      <c r="F885" s="278"/>
      <c r="G885" s="278"/>
      <c r="H885" s="278"/>
      <c r="I885" s="278"/>
      <c r="J885" s="278"/>
      <c r="K885" s="278"/>
      <c r="L885" s="278"/>
      <c r="M885" s="278"/>
      <c r="N885" s="278"/>
      <c r="O885" s="278"/>
      <c r="P885" s="278"/>
      <c r="Q885" s="278"/>
      <c r="R885" s="278"/>
      <c r="S885" s="278"/>
      <c r="T885" s="278"/>
      <c r="U885" s="278"/>
      <c r="V885" s="278"/>
      <c r="W885" s="278"/>
      <c r="X885" s="278"/>
      <c r="Y885" s="278"/>
      <c r="Z885" s="278"/>
    </row>
    <row r="886">
      <c r="A886" s="278"/>
      <c r="B886" s="278"/>
      <c r="C886" s="278"/>
      <c r="D886" s="278"/>
      <c r="E886" s="278"/>
      <c r="F886" s="278"/>
      <c r="G886" s="278"/>
      <c r="H886" s="278"/>
      <c r="I886" s="278"/>
      <c r="J886" s="278"/>
      <c r="K886" s="278"/>
      <c r="L886" s="278"/>
      <c r="M886" s="278"/>
      <c r="N886" s="278"/>
      <c r="O886" s="278"/>
      <c r="P886" s="278"/>
      <c r="Q886" s="278"/>
      <c r="R886" s="278"/>
      <c r="S886" s="278"/>
      <c r="T886" s="278"/>
      <c r="U886" s="278"/>
      <c r="V886" s="278"/>
      <c r="W886" s="278"/>
      <c r="X886" s="278"/>
      <c r="Y886" s="278"/>
      <c r="Z886" s="278"/>
    </row>
    <row r="887">
      <c r="A887" s="278"/>
      <c r="B887" s="278"/>
      <c r="C887" s="278"/>
      <c r="D887" s="278"/>
      <c r="E887" s="278"/>
      <c r="F887" s="278"/>
      <c r="G887" s="278"/>
      <c r="H887" s="278"/>
      <c r="I887" s="278"/>
      <c r="J887" s="278"/>
      <c r="K887" s="278"/>
      <c r="L887" s="278"/>
      <c r="M887" s="278"/>
      <c r="N887" s="278"/>
      <c r="O887" s="278"/>
      <c r="P887" s="278"/>
      <c r="Q887" s="278"/>
      <c r="R887" s="278"/>
      <c r="S887" s="278"/>
      <c r="T887" s="278"/>
      <c r="U887" s="278"/>
      <c r="V887" s="278"/>
      <c r="W887" s="278"/>
      <c r="X887" s="278"/>
      <c r="Y887" s="278"/>
      <c r="Z887" s="278"/>
    </row>
    <row r="888">
      <c r="A888" s="278"/>
      <c r="B888" s="278"/>
      <c r="C888" s="278"/>
      <c r="D888" s="278"/>
      <c r="E888" s="278"/>
      <c r="F888" s="278"/>
      <c r="G888" s="278"/>
      <c r="H888" s="278"/>
      <c r="I888" s="278"/>
      <c r="J888" s="278"/>
      <c r="K888" s="278"/>
      <c r="L888" s="278"/>
      <c r="M888" s="278"/>
      <c r="N888" s="278"/>
      <c r="O888" s="278"/>
      <c r="P888" s="278"/>
      <c r="Q888" s="278"/>
      <c r="R888" s="278"/>
      <c r="S888" s="278"/>
      <c r="T888" s="278"/>
      <c r="U888" s="278"/>
      <c r="V888" s="278"/>
      <c r="W888" s="278"/>
      <c r="X888" s="278"/>
      <c r="Y888" s="278"/>
      <c r="Z888" s="278"/>
    </row>
    <row r="889">
      <c r="A889" s="278"/>
      <c r="B889" s="278"/>
      <c r="C889" s="278"/>
      <c r="D889" s="278"/>
      <c r="E889" s="278"/>
      <c r="F889" s="278"/>
      <c r="G889" s="278"/>
      <c r="H889" s="278"/>
      <c r="I889" s="278"/>
      <c r="J889" s="278"/>
      <c r="K889" s="278"/>
      <c r="L889" s="278"/>
      <c r="M889" s="278"/>
      <c r="N889" s="278"/>
      <c r="O889" s="278"/>
      <c r="P889" s="278"/>
      <c r="Q889" s="278"/>
      <c r="R889" s="278"/>
      <c r="S889" s="278"/>
      <c r="T889" s="278"/>
      <c r="U889" s="278"/>
      <c r="V889" s="278"/>
      <c r="W889" s="278"/>
      <c r="X889" s="278"/>
      <c r="Y889" s="278"/>
      <c r="Z889" s="278"/>
    </row>
    <row r="890">
      <c r="A890" s="278"/>
      <c r="B890" s="278"/>
      <c r="C890" s="278"/>
      <c r="D890" s="278"/>
      <c r="E890" s="278"/>
      <c r="F890" s="278"/>
      <c r="G890" s="278"/>
      <c r="H890" s="278"/>
      <c r="I890" s="278"/>
      <c r="J890" s="278"/>
      <c r="K890" s="278"/>
      <c r="L890" s="278"/>
      <c r="M890" s="278"/>
      <c r="N890" s="278"/>
      <c r="O890" s="278"/>
      <c r="P890" s="278"/>
      <c r="Q890" s="278"/>
      <c r="R890" s="278"/>
      <c r="S890" s="278"/>
      <c r="T890" s="278"/>
      <c r="U890" s="278"/>
      <c r="V890" s="278"/>
      <c r="W890" s="278"/>
      <c r="X890" s="278"/>
      <c r="Y890" s="278"/>
      <c r="Z890" s="278"/>
    </row>
    <row r="891">
      <c r="A891" s="278"/>
      <c r="B891" s="278"/>
      <c r="C891" s="278"/>
      <c r="D891" s="278"/>
      <c r="E891" s="278"/>
      <c r="F891" s="278"/>
      <c r="G891" s="278"/>
      <c r="H891" s="278"/>
      <c r="I891" s="278"/>
      <c r="J891" s="278"/>
      <c r="K891" s="278"/>
      <c r="L891" s="278"/>
      <c r="M891" s="278"/>
      <c r="N891" s="278"/>
      <c r="O891" s="278"/>
      <c r="P891" s="278"/>
      <c r="Q891" s="278"/>
      <c r="R891" s="278"/>
      <c r="S891" s="278"/>
      <c r="T891" s="278"/>
      <c r="U891" s="278"/>
      <c r="V891" s="278"/>
      <c r="W891" s="278"/>
      <c r="X891" s="278"/>
      <c r="Y891" s="278"/>
      <c r="Z891" s="278"/>
    </row>
    <row r="892">
      <c r="A892" s="278"/>
      <c r="B892" s="278"/>
      <c r="C892" s="278"/>
      <c r="D892" s="278"/>
      <c r="E892" s="278"/>
      <c r="F892" s="278"/>
      <c r="G892" s="278"/>
      <c r="H892" s="278"/>
      <c r="I892" s="278"/>
      <c r="J892" s="278"/>
      <c r="K892" s="278"/>
      <c r="L892" s="278"/>
      <c r="M892" s="278"/>
      <c r="N892" s="278"/>
      <c r="O892" s="278"/>
      <c r="P892" s="278"/>
      <c r="Q892" s="278"/>
      <c r="R892" s="278"/>
      <c r="S892" s="278"/>
      <c r="T892" s="278"/>
      <c r="U892" s="278"/>
      <c r="V892" s="278"/>
      <c r="W892" s="278"/>
      <c r="X892" s="278"/>
      <c r="Y892" s="278"/>
      <c r="Z892" s="278"/>
    </row>
    <row r="893">
      <c r="A893" s="278"/>
      <c r="B893" s="278"/>
      <c r="C893" s="278"/>
      <c r="D893" s="278"/>
      <c r="E893" s="278"/>
      <c r="F893" s="278"/>
      <c r="G893" s="278"/>
      <c r="H893" s="278"/>
      <c r="I893" s="278"/>
      <c r="J893" s="278"/>
      <c r="K893" s="278"/>
      <c r="L893" s="278"/>
      <c r="M893" s="278"/>
      <c r="N893" s="278"/>
      <c r="O893" s="278"/>
      <c r="P893" s="278"/>
      <c r="Q893" s="278"/>
      <c r="R893" s="278"/>
      <c r="S893" s="278"/>
      <c r="T893" s="278"/>
      <c r="U893" s="278"/>
      <c r="V893" s="278"/>
      <c r="W893" s="278"/>
      <c r="X893" s="278"/>
      <c r="Y893" s="278"/>
      <c r="Z893" s="278"/>
    </row>
    <row r="894">
      <c r="A894" s="278"/>
      <c r="B894" s="278"/>
      <c r="C894" s="278"/>
      <c r="D894" s="278"/>
      <c r="E894" s="278"/>
      <c r="F894" s="278"/>
      <c r="G894" s="278"/>
      <c r="H894" s="278"/>
      <c r="I894" s="278"/>
      <c r="J894" s="278"/>
      <c r="K894" s="278"/>
      <c r="L894" s="278"/>
      <c r="M894" s="278"/>
      <c r="N894" s="278"/>
      <c r="O894" s="278"/>
      <c r="P894" s="278"/>
      <c r="Q894" s="278"/>
      <c r="R894" s="278"/>
      <c r="S894" s="278"/>
      <c r="T894" s="278"/>
      <c r="U894" s="278"/>
      <c r="V894" s="278"/>
      <c r="W894" s="278"/>
      <c r="X894" s="278"/>
      <c r="Y894" s="278"/>
      <c r="Z894" s="278"/>
    </row>
    <row r="895">
      <c r="A895" s="278"/>
      <c r="B895" s="278"/>
      <c r="C895" s="278"/>
      <c r="D895" s="278"/>
      <c r="E895" s="278"/>
      <c r="F895" s="278"/>
      <c r="G895" s="278"/>
      <c r="H895" s="278"/>
      <c r="I895" s="278"/>
      <c r="J895" s="278"/>
      <c r="K895" s="278"/>
      <c r="L895" s="278"/>
      <c r="M895" s="278"/>
      <c r="N895" s="278"/>
      <c r="O895" s="278"/>
      <c r="P895" s="278"/>
      <c r="Q895" s="278"/>
      <c r="R895" s="278"/>
      <c r="S895" s="278"/>
      <c r="T895" s="278"/>
      <c r="U895" s="278"/>
      <c r="V895" s="278"/>
      <c r="W895" s="278"/>
      <c r="X895" s="278"/>
      <c r="Y895" s="278"/>
      <c r="Z895" s="278"/>
    </row>
    <row r="896">
      <c r="A896" s="278"/>
      <c r="B896" s="278"/>
      <c r="C896" s="278"/>
      <c r="D896" s="278"/>
      <c r="E896" s="278"/>
      <c r="F896" s="278"/>
      <c r="G896" s="278"/>
      <c r="H896" s="278"/>
      <c r="I896" s="278"/>
      <c r="J896" s="278"/>
      <c r="K896" s="278"/>
      <c r="L896" s="278"/>
      <c r="M896" s="278"/>
      <c r="N896" s="278"/>
      <c r="O896" s="278"/>
      <c r="P896" s="278"/>
      <c r="Q896" s="278"/>
      <c r="R896" s="278"/>
      <c r="S896" s="278"/>
      <c r="T896" s="278"/>
      <c r="U896" s="278"/>
      <c r="V896" s="278"/>
      <c r="W896" s="278"/>
      <c r="X896" s="278"/>
      <c r="Y896" s="278"/>
      <c r="Z896" s="278"/>
    </row>
    <row r="897">
      <c r="A897" s="278"/>
      <c r="B897" s="278"/>
      <c r="C897" s="278"/>
      <c r="D897" s="278"/>
      <c r="E897" s="278"/>
      <c r="F897" s="278"/>
      <c r="G897" s="278"/>
      <c r="H897" s="278"/>
      <c r="I897" s="278"/>
      <c r="J897" s="278"/>
      <c r="K897" s="278"/>
      <c r="L897" s="278"/>
      <c r="M897" s="278"/>
      <c r="N897" s="278"/>
      <c r="O897" s="278"/>
      <c r="P897" s="278"/>
      <c r="Q897" s="278"/>
      <c r="R897" s="278"/>
      <c r="S897" s="278"/>
      <c r="T897" s="278"/>
      <c r="U897" s="278"/>
      <c r="V897" s="278"/>
      <c r="W897" s="278"/>
      <c r="X897" s="278"/>
      <c r="Y897" s="278"/>
      <c r="Z897" s="278"/>
    </row>
    <row r="898">
      <c r="A898" s="278"/>
      <c r="B898" s="278"/>
      <c r="C898" s="278"/>
      <c r="D898" s="278"/>
      <c r="E898" s="278"/>
      <c r="F898" s="278"/>
      <c r="G898" s="278"/>
      <c r="H898" s="278"/>
      <c r="I898" s="278"/>
      <c r="J898" s="278"/>
      <c r="K898" s="278"/>
      <c r="L898" s="278"/>
      <c r="M898" s="278"/>
      <c r="N898" s="278"/>
      <c r="O898" s="278"/>
      <c r="P898" s="278"/>
      <c r="Q898" s="278"/>
      <c r="R898" s="278"/>
      <c r="S898" s="278"/>
      <c r="T898" s="278"/>
      <c r="U898" s="278"/>
      <c r="V898" s="278"/>
      <c r="W898" s="278"/>
      <c r="X898" s="278"/>
      <c r="Y898" s="278"/>
      <c r="Z898" s="278"/>
    </row>
    <row r="899">
      <c r="A899" s="278"/>
      <c r="B899" s="278"/>
      <c r="C899" s="278"/>
      <c r="D899" s="278"/>
      <c r="E899" s="278"/>
      <c r="F899" s="278"/>
      <c r="G899" s="278"/>
      <c r="H899" s="278"/>
      <c r="I899" s="278"/>
      <c r="J899" s="278"/>
      <c r="K899" s="278"/>
      <c r="L899" s="278"/>
      <c r="M899" s="278"/>
      <c r="N899" s="278"/>
      <c r="O899" s="278"/>
      <c r="P899" s="278"/>
      <c r="Q899" s="278"/>
      <c r="R899" s="278"/>
      <c r="S899" s="278"/>
      <c r="T899" s="278"/>
      <c r="U899" s="278"/>
      <c r="V899" s="278"/>
      <c r="W899" s="278"/>
      <c r="X899" s="278"/>
      <c r="Y899" s="278"/>
      <c r="Z899" s="278"/>
    </row>
    <row r="900">
      <c r="A900" s="278"/>
      <c r="B900" s="278"/>
      <c r="C900" s="278"/>
      <c r="D900" s="278"/>
      <c r="E900" s="278"/>
      <c r="F900" s="278"/>
      <c r="G900" s="278"/>
      <c r="H900" s="278"/>
      <c r="I900" s="278"/>
      <c r="J900" s="278"/>
      <c r="K900" s="278"/>
      <c r="L900" s="278"/>
      <c r="M900" s="278"/>
      <c r="N900" s="278"/>
      <c r="O900" s="278"/>
      <c r="P900" s="278"/>
      <c r="Q900" s="278"/>
      <c r="R900" s="278"/>
      <c r="S900" s="278"/>
      <c r="T900" s="278"/>
      <c r="U900" s="278"/>
      <c r="V900" s="278"/>
      <c r="W900" s="278"/>
      <c r="X900" s="278"/>
      <c r="Y900" s="278"/>
      <c r="Z900" s="278"/>
    </row>
    <row r="901">
      <c r="A901" s="278"/>
      <c r="B901" s="278"/>
      <c r="C901" s="278"/>
      <c r="D901" s="278"/>
      <c r="E901" s="278"/>
      <c r="F901" s="278"/>
      <c r="G901" s="278"/>
      <c r="H901" s="278"/>
      <c r="I901" s="278"/>
      <c r="J901" s="278"/>
      <c r="K901" s="278"/>
      <c r="L901" s="278"/>
      <c r="M901" s="278"/>
      <c r="N901" s="278"/>
      <c r="O901" s="278"/>
      <c r="P901" s="278"/>
      <c r="Q901" s="278"/>
      <c r="R901" s="278"/>
      <c r="S901" s="278"/>
      <c r="T901" s="278"/>
      <c r="U901" s="278"/>
      <c r="V901" s="278"/>
      <c r="W901" s="278"/>
      <c r="X901" s="278"/>
      <c r="Y901" s="278"/>
      <c r="Z901" s="278"/>
    </row>
    <row r="902">
      <c r="A902" s="278"/>
      <c r="B902" s="278"/>
      <c r="C902" s="278"/>
      <c r="D902" s="278"/>
      <c r="E902" s="278"/>
      <c r="F902" s="278"/>
      <c r="G902" s="278"/>
      <c r="H902" s="278"/>
      <c r="I902" s="278"/>
      <c r="J902" s="278"/>
      <c r="K902" s="278"/>
      <c r="L902" s="278"/>
      <c r="M902" s="278"/>
      <c r="N902" s="278"/>
      <c r="O902" s="278"/>
      <c r="P902" s="278"/>
      <c r="Q902" s="278"/>
      <c r="R902" s="278"/>
      <c r="S902" s="278"/>
      <c r="T902" s="278"/>
      <c r="U902" s="278"/>
      <c r="V902" s="278"/>
      <c r="W902" s="278"/>
      <c r="X902" s="278"/>
      <c r="Y902" s="278"/>
      <c r="Z902" s="278"/>
    </row>
    <row r="903">
      <c r="A903" s="278"/>
      <c r="B903" s="278"/>
      <c r="C903" s="278"/>
      <c r="D903" s="278"/>
      <c r="E903" s="278"/>
      <c r="F903" s="278"/>
      <c r="G903" s="278"/>
      <c r="H903" s="278"/>
      <c r="I903" s="278"/>
      <c r="J903" s="278"/>
      <c r="K903" s="278"/>
      <c r="L903" s="278"/>
      <c r="M903" s="278"/>
      <c r="N903" s="278"/>
      <c r="O903" s="278"/>
      <c r="P903" s="278"/>
      <c r="Q903" s="278"/>
      <c r="R903" s="278"/>
      <c r="S903" s="278"/>
      <c r="T903" s="278"/>
      <c r="U903" s="278"/>
      <c r="V903" s="278"/>
      <c r="W903" s="278"/>
      <c r="X903" s="278"/>
      <c r="Y903" s="278"/>
      <c r="Z903" s="278"/>
    </row>
    <row r="904">
      <c r="A904" s="278"/>
      <c r="B904" s="278"/>
      <c r="C904" s="278"/>
      <c r="D904" s="278"/>
      <c r="E904" s="278"/>
      <c r="F904" s="278"/>
      <c r="G904" s="278"/>
      <c r="H904" s="278"/>
      <c r="I904" s="278"/>
      <c r="J904" s="278"/>
      <c r="K904" s="278"/>
      <c r="L904" s="278"/>
      <c r="M904" s="278"/>
      <c r="N904" s="278"/>
      <c r="O904" s="278"/>
      <c r="P904" s="278"/>
      <c r="Q904" s="278"/>
      <c r="R904" s="278"/>
      <c r="S904" s="278"/>
      <c r="T904" s="278"/>
      <c r="U904" s="278"/>
      <c r="V904" s="278"/>
      <c r="W904" s="278"/>
      <c r="X904" s="278"/>
      <c r="Y904" s="278"/>
      <c r="Z904" s="278"/>
    </row>
    <row r="905">
      <c r="A905" s="278"/>
      <c r="B905" s="278"/>
      <c r="C905" s="278"/>
      <c r="D905" s="278"/>
      <c r="E905" s="278"/>
      <c r="F905" s="278"/>
      <c r="G905" s="278"/>
      <c r="H905" s="278"/>
      <c r="I905" s="278"/>
      <c r="J905" s="278"/>
      <c r="K905" s="278"/>
      <c r="L905" s="278"/>
      <c r="M905" s="278"/>
      <c r="N905" s="278"/>
      <c r="O905" s="278"/>
      <c r="P905" s="278"/>
      <c r="Q905" s="278"/>
      <c r="R905" s="278"/>
      <c r="S905" s="278"/>
      <c r="T905" s="278"/>
      <c r="U905" s="278"/>
      <c r="V905" s="278"/>
      <c r="W905" s="278"/>
      <c r="X905" s="278"/>
      <c r="Y905" s="278"/>
      <c r="Z905" s="278"/>
    </row>
    <row r="906">
      <c r="A906" s="278"/>
      <c r="B906" s="278"/>
      <c r="C906" s="278"/>
      <c r="D906" s="278"/>
      <c r="E906" s="278"/>
      <c r="F906" s="278"/>
      <c r="G906" s="278"/>
      <c r="H906" s="278"/>
      <c r="I906" s="278"/>
      <c r="J906" s="278"/>
      <c r="K906" s="278"/>
      <c r="L906" s="278"/>
      <c r="M906" s="278"/>
      <c r="N906" s="278"/>
      <c r="O906" s="278"/>
      <c r="P906" s="278"/>
      <c r="Q906" s="278"/>
      <c r="R906" s="278"/>
      <c r="S906" s="278"/>
      <c r="T906" s="278"/>
      <c r="U906" s="278"/>
      <c r="V906" s="278"/>
      <c r="W906" s="278"/>
      <c r="X906" s="278"/>
      <c r="Y906" s="278"/>
      <c r="Z906" s="278"/>
    </row>
    <row r="907">
      <c r="A907" s="278"/>
      <c r="B907" s="278"/>
      <c r="C907" s="278"/>
      <c r="D907" s="278"/>
      <c r="E907" s="278"/>
      <c r="F907" s="278"/>
      <c r="G907" s="278"/>
      <c r="H907" s="278"/>
      <c r="I907" s="278"/>
      <c r="J907" s="278"/>
      <c r="K907" s="278"/>
      <c r="L907" s="278"/>
      <c r="M907" s="278"/>
      <c r="N907" s="278"/>
      <c r="O907" s="278"/>
      <c r="P907" s="278"/>
      <c r="Q907" s="278"/>
      <c r="R907" s="278"/>
      <c r="S907" s="278"/>
      <c r="T907" s="278"/>
      <c r="U907" s="278"/>
      <c r="V907" s="278"/>
      <c r="W907" s="278"/>
      <c r="X907" s="278"/>
      <c r="Y907" s="278"/>
      <c r="Z907" s="278"/>
    </row>
    <row r="908">
      <c r="A908" s="278"/>
      <c r="B908" s="278"/>
      <c r="C908" s="278"/>
      <c r="D908" s="278"/>
      <c r="E908" s="278"/>
      <c r="F908" s="278"/>
      <c r="G908" s="278"/>
      <c r="H908" s="278"/>
      <c r="I908" s="278"/>
      <c r="J908" s="278"/>
      <c r="K908" s="278"/>
      <c r="L908" s="278"/>
      <c r="M908" s="278"/>
      <c r="N908" s="278"/>
      <c r="O908" s="278"/>
      <c r="P908" s="278"/>
      <c r="Q908" s="278"/>
      <c r="R908" s="278"/>
      <c r="S908" s="278"/>
      <c r="T908" s="278"/>
      <c r="U908" s="278"/>
      <c r="V908" s="278"/>
      <c r="W908" s="278"/>
      <c r="X908" s="278"/>
      <c r="Y908" s="278"/>
      <c r="Z908" s="278"/>
    </row>
    <row r="909">
      <c r="A909" s="278"/>
      <c r="B909" s="278"/>
      <c r="C909" s="278"/>
      <c r="D909" s="278"/>
      <c r="E909" s="278"/>
      <c r="F909" s="278"/>
      <c r="G909" s="278"/>
      <c r="H909" s="278"/>
      <c r="I909" s="278"/>
      <c r="J909" s="278"/>
      <c r="K909" s="278"/>
      <c r="L909" s="278"/>
      <c r="M909" s="278"/>
      <c r="N909" s="278"/>
      <c r="O909" s="278"/>
      <c r="P909" s="278"/>
      <c r="Q909" s="278"/>
      <c r="R909" s="278"/>
      <c r="S909" s="278"/>
      <c r="T909" s="278"/>
      <c r="U909" s="278"/>
      <c r="V909" s="278"/>
      <c r="W909" s="278"/>
      <c r="X909" s="278"/>
      <c r="Y909" s="278"/>
      <c r="Z909" s="278"/>
    </row>
    <row r="910">
      <c r="A910" s="278"/>
      <c r="B910" s="278"/>
      <c r="C910" s="278"/>
      <c r="D910" s="278"/>
      <c r="E910" s="278"/>
      <c r="F910" s="278"/>
      <c r="G910" s="278"/>
      <c r="H910" s="278"/>
      <c r="I910" s="278"/>
      <c r="J910" s="278"/>
      <c r="K910" s="278"/>
      <c r="L910" s="278"/>
      <c r="M910" s="278"/>
      <c r="N910" s="278"/>
      <c r="O910" s="278"/>
      <c r="P910" s="278"/>
      <c r="Q910" s="278"/>
      <c r="R910" s="278"/>
      <c r="S910" s="278"/>
      <c r="T910" s="278"/>
      <c r="U910" s="278"/>
      <c r="V910" s="278"/>
      <c r="W910" s="278"/>
      <c r="X910" s="278"/>
      <c r="Y910" s="278"/>
      <c r="Z910" s="278"/>
    </row>
    <row r="911">
      <c r="A911" s="278"/>
      <c r="B911" s="278"/>
      <c r="C911" s="278"/>
      <c r="D911" s="278"/>
      <c r="E911" s="278"/>
      <c r="F911" s="278"/>
      <c r="G911" s="278"/>
      <c r="H911" s="278"/>
      <c r="I911" s="278"/>
      <c r="J911" s="278"/>
      <c r="K911" s="278"/>
      <c r="L911" s="278"/>
      <c r="M911" s="278"/>
      <c r="N911" s="278"/>
      <c r="O911" s="278"/>
      <c r="P911" s="278"/>
      <c r="Q911" s="278"/>
      <c r="R911" s="278"/>
      <c r="S911" s="278"/>
      <c r="T911" s="278"/>
      <c r="U911" s="278"/>
      <c r="V911" s="278"/>
      <c r="W911" s="278"/>
      <c r="X911" s="278"/>
      <c r="Y911" s="278"/>
      <c r="Z911" s="278"/>
    </row>
    <row r="912">
      <c r="A912" s="278"/>
      <c r="B912" s="278"/>
      <c r="C912" s="278"/>
      <c r="D912" s="278"/>
      <c r="E912" s="278"/>
      <c r="F912" s="278"/>
      <c r="G912" s="278"/>
      <c r="H912" s="278"/>
      <c r="I912" s="278"/>
      <c r="J912" s="278"/>
      <c r="K912" s="278"/>
      <c r="L912" s="278"/>
      <c r="M912" s="278"/>
      <c r="N912" s="278"/>
      <c r="O912" s="278"/>
      <c r="P912" s="278"/>
      <c r="Q912" s="278"/>
      <c r="R912" s="278"/>
      <c r="S912" s="278"/>
      <c r="T912" s="278"/>
      <c r="U912" s="278"/>
      <c r="V912" s="278"/>
      <c r="W912" s="278"/>
      <c r="X912" s="278"/>
      <c r="Y912" s="278"/>
      <c r="Z912" s="278"/>
    </row>
    <row r="913">
      <c r="A913" s="278"/>
      <c r="B913" s="278"/>
      <c r="C913" s="278"/>
      <c r="D913" s="278"/>
      <c r="E913" s="278"/>
      <c r="F913" s="278"/>
      <c r="G913" s="278"/>
      <c r="H913" s="278"/>
      <c r="I913" s="278"/>
      <c r="J913" s="278"/>
      <c r="K913" s="278"/>
      <c r="L913" s="278"/>
      <c r="M913" s="278"/>
      <c r="N913" s="278"/>
      <c r="O913" s="278"/>
      <c r="P913" s="278"/>
      <c r="Q913" s="278"/>
      <c r="R913" s="278"/>
      <c r="S913" s="278"/>
      <c r="T913" s="278"/>
      <c r="U913" s="278"/>
      <c r="V913" s="278"/>
      <c r="W913" s="278"/>
      <c r="X913" s="278"/>
      <c r="Y913" s="278"/>
      <c r="Z913" s="278"/>
    </row>
    <row r="914">
      <c r="A914" s="278"/>
      <c r="B914" s="278"/>
      <c r="C914" s="278"/>
      <c r="D914" s="278"/>
      <c r="E914" s="278"/>
      <c r="F914" s="278"/>
      <c r="G914" s="278"/>
      <c r="H914" s="278"/>
      <c r="I914" s="278"/>
      <c r="J914" s="278"/>
      <c r="K914" s="278"/>
      <c r="L914" s="278"/>
      <c r="M914" s="278"/>
      <c r="N914" s="278"/>
      <c r="O914" s="278"/>
      <c r="P914" s="278"/>
      <c r="Q914" s="278"/>
      <c r="R914" s="278"/>
      <c r="S914" s="278"/>
      <c r="T914" s="278"/>
      <c r="U914" s="278"/>
      <c r="V914" s="278"/>
      <c r="W914" s="278"/>
      <c r="X914" s="278"/>
      <c r="Y914" s="278"/>
      <c r="Z914" s="278"/>
    </row>
    <row r="915">
      <c r="A915" s="278"/>
      <c r="B915" s="278"/>
      <c r="C915" s="278"/>
      <c r="D915" s="278"/>
      <c r="E915" s="278"/>
      <c r="F915" s="278"/>
      <c r="G915" s="278"/>
      <c r="H915" s="278"/>
      <c r="I915" s="278"/>
      <c r="J915" s="278"/>
      <c r="K915" s="278"/>
      <c r="L915" s="278"/>
      <c r="M915" s="278"/>
      <c r="N915" s="278"/>
      <c r="O915" s="278"/>
      <c r="P915" s="278"/>
      <c r="Q915" s="278"/>
      <c r="R915" s="278"/>
      <c r="S915" s="278"/>
      <c r="T915" s="278"/>
      <c r="U915" s="278"/>
      <c r="V915" s="278"/>
      <c r="W915" s="278"/>
      <c r="X915" s="278"/>
      <c r="Y915" s="278"/>
      <c r="Z915" s="278"/>
    </row>
    <row r="916">
      <c r="A916" s="278"/>
      <c r="B916" s="278"/>
      <c r="C916" s="278"/>
      <c r="D916" s="278"/>
      <c r="E916" s="278"/>
      <c r="F916" s="278"/>
      <c r="G916" s="278"/>
      <c r="H916" s="278"/>
      <c r="I916" s="278"/>
      <c r="J916" s="278"/>
      <c r="K916" s="278"/>
      <c r="L916" s="278"/>
      <c r="M916" s="278"/>
      <c r="N916" s="278"/>
      <c r="O916" s="278"/>
      <c r="P916" s="278"/>
      <c r="Q916" s="278"/>
      <c r="R916" s="278"/>
      <c r="S916" s="278"/>
      <c r="T916" s="278"/>
      <c r="U916" s="278"/>
      <c r="V916" s="278"/>
      <c r="W916" s="278"/>
      <c r="X916" s="278"/>
      <c r="Y916" s="278"/>
      <c r="Z916" s="278"/>
    </row>
    <row r="917">
      <c r="A917" s="278"/>
      <c r="B917" s="278"/>
      <c r="C917" s="278"/>
      <c r="D917" s="278"/>
      <c r="E917" s="278"/>
      <c r="F917" s="278"/>
      <c r="G917" s="278"/>
      <c r="H917" s="278"/>
      <c r="I917" s="278"/>
      <c r="J917" s="278"/>
      <c r="K917" s="278"/>
      <c r="L917" s="278"/>
      <c r="M917" s="278"/>
      <c r="N917" s="278"/>
      <c r="O917" s="278"/>
      <c r="P917" s="278"/>
      <c r="Q917" s="278"/>
      <c r="R917" s="278"/>
      <c r="S917" s="278"/>
      <c r="T917" s="278"/>
      <c r="U917" s="278"/>
      <c r="V917" s="278"/>
      <c r="W917" s="278"/>
      <c r="X917" s="278"/>
      <c r="Y917" s="278"/>
      <c r="Z917" s="278"/>
    </row>
    <row r="918">
      <c r="A918" s="278"/>
      <c r="B918" s="278"/>
      <c r="C918" s="278"/>
      <c r="D918" s="278"/>
      <c r="E918" s="278"/>
      <c r="F918" s="278"/>
      <c r="G918" s="278"/>
      <c r="H918" s="278"/>
      <c r="I918" s="278"/>
      <c r="J918" s="278"/>
      <c r="K918" s="278"/>
      <c r="L918" s="278"/>
      <c r="M918" s="278"/>
      <c r="N918" s="278"/>
      <c r="O918" s="278"/>
      <c r="P918" s="278"/>
      <c r="Q918" s="278"/>
      <c r="R918" s="278"/>
      <c r="S918" s="278"/>
      <c r="T918" s="278"/>
      <c r="U918" s="278"/>
      <c r="V918" s="278"/>
      <c r="W918" s="278"/>
      <c r="X918" s="278"/>
      <c r="Y918" s="278"/>
      <c r="Z918" s="278"/>
    </row>
    <row r="919">
      <c r="A919" s="278"/>
      <c r="B919" s="278"/>
      <c r="C919" s="278"/>
      <c r="D919" s="278"/>
      <c r="E919" s="278"/>
      <c r="F919" s="278"/>
      <c r="G919" s="278"/>
      <c r="H919" s="278"/>
      <c r="I919" s="278"/>
      <c r="J919" s="278"/>
      <c r="K919" s="278"/>
      <c r="L919" s="278"/>
      <c r="M919" s="278"/>
      <c r="N919" s="278"/>
      <c r="O919" s="278"/>
      <c r="P919" s="278"/>
      <c r="Q919" s="278"/>
      <c r="R919" s="278"/>
      <c r="S919" s="278"/>
      <c r="T919" s="278"/>
      <c r="U919" s="278"/>
      <c r="V919" s="278"/>
      <c r="W919" s="278"/>
      <c r="X919" s="278"/>
      <c r="Y919" s="278"/>
      <c r="Z919" s="278"/>
    </row>
    <row r="920">
      <c r="A920" s="278"/>
      <c r="B920" s="278"/>
      <c r="C920" s="278"/>
      <c r="D920" s="278"/>
      <c r="E920" s="278"/>
      <c r="F920" s="278"/>
      <c r="G920" s="278"/>
      <c r="H920" s="278"/>
      <c r="I920" s="278"/>
      <c r="J920" s="278"/>
      <c r="K920" s="278"/>
      <c r="L920" s="278"/>
      <c r="M920" s="278"/>
      <c r="N920" s="278"/>
      <c r="O920" s="278"/>
      <c r="P920" s="278"/>
      <c r="Q920" s="278"/>
      <c r="R920" s="278"/>
      <c r="S920" s="278"/>
      <c r="T920" s="278"/>
      <c r="U920" s="278"/>
      <c r="V920" s="278"/>
      <c r="W920" s="278"/>
      <c r="X920" s="278"/>
      <c r="Y920" s="278"/>
      <c r="Z920" s="278"/>
    </row>
    <row r="921">
      <c r="A921" s="278"/>
      <c r="B921" s="278"/>
      <c r="C921" s="278"/>
      <c r="D921" s="278"/>
      <c r="E921" s="278"/>
      <c r="F921" s="278"/>
      <c r="G921" s="278"/>
      <c r="H921" s="278"/>
      <c r="I921" s="278"/>
      <c r="J921" s="278"/>
      <c r="K921" s="278"/>
      <c r="L921" s="278"/>
      <c r="M921" s="278"/>
      <c r="N921" s="278"/>
      <c r="O921" s="278"/>
      <c r="P921" s="278"/>
      <c r="Q921" s="278"/>
      <c r="R921" s="278"/>
      <c r="S921" s="278"/>
      <c r="T921" s="278"/>
      <c r="U921" s="278"/>
      <c r="V921" s="278"/>
      <c r="W921" s="278"/>
      <c r="X921" s="278"/>
      <c r="Y921" s="278"/>
      <c r="Z921" s="278"/>
    </row>
    <row r="922">
      <c r="A922" s="278"/>
      <c r="B922" s="278"/>
      <c r="C922" s="278"/>
      <c r="D922" s="278"/>
      <c r="E922" s="278"/>
      <c r="F922" s="278"/>
      <c r="G922" s="278"/>
      <c r="H922" s="278"/>
      <c r="I922" s="278"/>
      <c r="J922" s="278"/>
      <c r="K922" s="278"/>
      <c r="L922" s="278"/>
      <c r="M922" s="278"/>
      <c r="N922" s="278"/>
      <c r="O922" s="278"/>
      <c r="P922" s="278"/>
      <c r="Q922" s="278"/>
      <c r="R922" s="278"/>
      <c r="S922" s="278"/>
      <c r="T922" s="278"/>
      <c r="U922" s="278"/>
      <c r="V922" s="278"/>
      <c r="W922" s="278"/>
      <c r="X922" s="278"/>
      <c r="Y922" s="278"/>
      <c r="Z922" s="278"/>
    </row>
    <row r="923">
      <c r="A923" s="278"/>
      <c r="B923" s="278"/>
      <c r="C923" s="278"/>
      <c r="D923" s="278"/>
      <c r="E923" s="278"/>
      <c r="F923" s="278"/>
      <c r="G923" s="278"/>
      <c r="H923" s="278"/>
      <c r="I923" s="278"/>
      <c r="J923" s="278"/>
      <c r="K923" s="278"/>
      <c r="L923" s="278"/>
      <c r="M923" s="278"/>
      <c r="N923" s="278"/>
      <c r="O923" s="278"/>
      <c r="P923" s="278"/>
      <c r="Q923" s="278"/>
      <c r="R923" s="278"/>
      <c r="S923" s="278"/>
      <c r="T923" s="278"/>
      <c r="U923" s="278"/>
      <c r="V923" s="278"/>
      <c r="W923" s="278"/>
      <c r="X923" s="278"/>
      <c r="Y923" s="278"/>
      <c r="Z923" s="278"/>
    </row>
    <row r="924">
      <c r="A924" s="278"/>
      <c r="B924" s="278"/>
      <c r="C924" s="278"/>
      <c r="D924" s="278"/>
      <c r="E924" s="278"/>
      <c r="F924" s="278"/>
      <c r="G924" s="278"/>
      <c r="H924" s="278"/>
      <c r="I924" s="278"/>
      <c r="J924" s="278"/>
      <c r="K924" s="278"/>
      <c r="L924" s="278"/>
      <c r="M924" s="278"/>
      <c r="N924" s="278"/>
      <c r="O924" s="278"/>
      <c r="P924" s="278"/>
      <c r="Q924" s="278"/>
      <c r="R924" s="278"/>
      <c r="S924" s="278"/>
      <c r="T924" s="278"/>
      <c r="U924" s="278"/>
      <c r="V924" s="278"/>
      <c r="W924" s="278"/>
      <c r="X924" s="278"/>
      <c r="Y924" s="278"/>
      <c r="Z924" s="278"/>
    </row>
    <row r="925">
      <c r="A925" s="278"/>
      <c r="B925" s="278"/>
      <c r="C925" s="278"/>
      <c r="D925" s="278"/>
      <c r="E925" s="278"/>
      <c r="F925" s="278"/>
      <c r="G925" s="278"/>
      <c r="H925" s="278"/>
      <c r="I925" s="278"/>
      <c r="J925" s="278"/>
      <c r="K925" s="278"/>
      <c r="L925" s="278"/>
      <c r="M925" s="278"/>
      <c r="N925" s="278"/>
      <c r="O925" s="278"/>
      <c r="P925" s="278"/>
      <c r="Q925" s="278"/>
      <c r="R925" s="278"/>
      <c r="S925" s="278"/>
      <c r="T925" s="278"/>
      <c r="U925" s="278"/>
      <c r="V925" s="278"/>
      <c r="W925" s="278"/>
      <c r="X925" s="278"/>
      <c r="Y925" s="278"/>
      <c r="Z925" s="278"/>
    </row>
    <row r="926">
      <c r="A926" s="278"/>
      <c r="B926" s="278"/>
      <c r="C926" s="278"/>
      <c r="D926" s="278"/>
      <c r="E926" s="278"/>
      <c r="F926" s="278"/>
      <c r="G926" s="278"/>
      <c r="H926" s="278"/>
      <c r="I926" s="278"/>
      <c r="J926" s="278"/>
      <c r="K926" s="278"/>
      <c r="L926" s="278"/>
      <c r="M926" s="278"/>
      <c r="N926" s="278"/>
      <c r="O926" s="278"/>
      <c r="P926" s="278"/>
      <c r="Q926" s="278"/>
      <c r="R926" s="278"/>
      <c r="S926" s="278"/>
      <c r="T926" s="278"/>
      <c r="U926" s="278"/>
      <c r="V926" s="278"/>
      <c r="W926" s="278"/>
      <c r="X926" s="278"/>
      <c r="Y926" s="278"/>
      <c r="Z926" s="278"/>
    </row>
    <row r="927">
      <c r="A927" s="278"/>
      <c r="B927" s="278"/>
      <c r="C927" s="278"/>
      <c r="D927" s="278"/>
      <c r="E927" s="278"/>
      <c r="F927" s="278"/>
      <c r="G927" s="278"/>
      <c r="H927" s="278"/>
      <c r="I927" s="278"/>
      <c r="J927" s="278"/>
      <c r="K927" s="278"/>
      <c r="L927" s="278"/>
      <c r="M927" s="278"/>
      <c r="N927" s="278"/>
      <c r="O927" s="278"/>
      <c r="P927" s="278"/>
      <c r="Q927" s="278"/>
      <c r="R927" s="278"/>
      <c r="S927" s="278"/>
      <c r="T927" s="278"/>
      <c r="U927" s="278"/>
      <c r="V927" s="278"/>
      <c r="W927" s="278"/>
      <c r="X927" s="278"/>
      <c r="Y927" s="278"/>
      <c r="Z927" s="278"/>
    </row>
    <row r="928">
      <c r="A928" s="278"/>
      <c r="B928" s="278"/>
      <c r="C928" s="278"/>
      <c r="D928" s="278"/>
      <c r="E928" s="278"/>
      <c r="F928" s="278"/>
      <c r="G928" s="278"/>
      <c r="H928" s="278"/>
      <c r="I928" s="278"/>
      <c r="J928" s="278"/>
      <c r="K928" s="278"/>
      <c r="L928" s="278"/>
      <c r="M928" s="278"/>
      <c r="N928" s="278"/>
      <c r="O928" s="278"/>
      <c r="P928" s="278"/>
      <c r="Q928" s="278"/>
      <c r="R928" s="278"/>
      <c r="S928" s="278"/>
      <c r="T928" s="278"/>
      <c r="U928" s="278"/>
      <c r="V928" s="278"/>
      <c r="W928" s="278"/>
      <c r="X928" s="278"/>
      <c r="Y928" s="278"/>
      <c r="Z928" s="278"/>
    </row>
    <row r="929">
      <c r="A929" s="278"/>
      <c r="B929" s="278"/>
      <c r="C929" s="278"/>
      <c r="D929" s="278"/>
      <c r="E929" s="278"/>
      <c r="F929" s="278"/>
      <c r="G929" s="278"/>
      <c r="H929" s="278"/>
      <c r="I929" s="278"/>
      <c r="J929" s="278"/>
      <c r="K929" s="278"/>
      <c r="L929" s="278"/>
      <c r="M929" s="278"/>
      <c r="N929" s="278"/>
      <c r="O929" s="278"/>
      <c r="P929" s="278"/>
      <c r="Q929" s="278"/>
      <c r="R929" s="278"/>
      <c r="S929" s="278"/>
      <c r="T929" s="278"/>
      <c r="U929" s="278"/>
      <c r="V929" s="278"/>
      <c r="W929" s="278"/>
      <c r="X929" s="278"/>
      <c r="Y929" s="278"/>
      <c r="Z929" s="278"/>
    </row>
    <row r="930">
      <c r="A930" s="278"/>
      <c r="B930" s="278"/>
      <c r="C930" s="278"/>
      <c r="D930" s="278"/>
      <c r="E930" s="278"/>
      <c r="F930" s="278"/>
      <c r="G930" s="278"/>
      <c r="H930" s="278"/>
      <c r="I930" s="278"/>
      <c r="J930" s="278"/>
      <c r="K930" s="278"/>
      <c r="L930" s="278"/>
      <c r="M930" s="278"/>
      <c r="N930" s="278"/>
      <c r="O930" s="278"/>
      <c r="P930" s="278"/>
      <c r="Q930" s="278"/>
      <c r="R930" s="278"/>
      <c r="S930" s="278"/>
      <c r="T930" s="278"/>
      <c r="U930" s="278"/>
      <c r="V930" s="278"/>
      <c r="W930" s="278"/>
      <c r="X930" s="278"/>
      <c r="Y930" s="278"/>
      <c r="Z930" s="278"/>
    </row>
    <row r="931">
      <c r="A931" s="278"/>
      <c r="B931" s="278"/>
      <c r="C931" s="278"/>
      <c r="D931" s="278"/>
      <c r="E931" s="278"/>
      <c r="F931" s="278"/>
      <c r="G931" s="278"/>
      <c r="H931" s="278"/>
      <c r="I931" s="278"/>
      <c r="J931" s="278"/>
      <c r="K931" s="278"/>
      <c r="L931" s="278"/>
      <c r="M931" s="278"/>
      <c r="N931" s="278"/>
      <c r="O931" s="278"/>
      <c r="P931" s="278"/>
      <c r="Q931" s="278"/>
      <c r="R931" s="278"/>
      <c r="S931" s="278"/>
      <c r="T931" s="278"/>
      <c r="U931" s="278"/>
      <c r="V931" s="278"/>
      <c r="W931" s="278"/>
      <c r="X931" s="278"/>
      <c r="Y931" s="278"/>
      <c r="Z931" s="278"/>
    </row>
    <row r="932">
      <c r="A932" s="278"/>
      <c r="B932" s="278"/>
      <c r="C932" s="278"/>
      <c r="D932" s="278"/>
      <c r="E932" s="278"/>
      <c r="F932" s="278"/>
      <c r="G932" s="278"/>
      <c r="H932" s="278"/>
      <c r="I932" s="278"/>
      <c r="J932" s="278"/>
      <c r="K932" s="278"/>
      <c r="L932" s="278"/>
      <c r="M932" s="278"/>
      <c r="N932" s="278"/>
      <c r="O932" s="278"/>
      <c r="P932" s="278"/>
      <c r="Q932" s="278"/>
      <c r="R932" s="278"/>
      <c r="S932" s="278"/>
      <c r="T932" s="278"/>
      <c r="U932" s="278"/>
      <c r="V932" s="278"/>
      <c r="W932" s="278"/>
      <c r="X932" s="278"/>
      <c r="Y932" s="278"/>
      <c r="Z932" s="278"/>
    </row>
    <row r="933">
      <c r="A933" s="278"/>
      <c r="B933" s="278"/>
      <c r="C933" s="278"/>
      <c r="D933" s="278"/>
      <c r="E933" s="278"/>
      <c r="F933" s="278"/>
      <c r="G933" s="278"/>
      <c r="H933" s="278"/>
      <c r="I933" s="278"/>
      <c r="J933" s="278"/>
      <c r="K933" s="278"/>
      <c r="L933" s="278"/>
      <c r="M933" s="278"/>
      <c r="N933" s="278"/>
      <c r="O933" s="278"/>
      <c r="P933" s="278"/>
      <c r="Q933" s="278"/>
      <c r="R933" s="278"/>
      <c r="S933" s="278"/>
      <c r="T933" s="278"/>
      <c r="U933" s="278"/>
      <c r="V933" s="278"/>
      <c r="W933" s="278"/>
      <c r="X933" s="278"/>
      <c r="Y933" s="278"/>
      <c r="Z933" s="278"/>
    </row>
    <row r="934">
      <c r="A934" s="278"/>
      <c r="B934" s="278"/>
      <c r="C934" s="278"/>
      <c r="D934" s="278"/>
      <c r="E934" s="278"/>
      <c r="F934" s="278"/>
      <c r="G934" s="278"/>
      <c r="H934" s="278"/>
      <c r="I934" s="278"/>
      <c r="J934" s="278"/>
      <c r="K934" s="278"/>
      <c r="L934" s="278"/>
      <c r="M934" s="278"/>
      <c r="N934" s="278"/>
      <c r="O934" s="278"/>
      <c r="P934" s="278"/>
      <c r="Q934" s="278"/>
      <c r="R934" s="278"/>
      <c r="S934" s="278"/>
      <c r="T934" s="278"/>
      <c r="U934" s="278"/>
      <c r="V934" s="278"/>
      <c r="W934" s="278"/>
      <c r="X934" s="278"/>
      <c r="Y934" s="278"/>
      <c r="Z934" s="278"/>
    </row>
    <row r="935">
      <c r="A935" s="278"/>
      <c r="B935" s="278"/>
      <c r="C935" s="278"/>
      <c r="D935" s="278"/>
      <c r="E935" s="278"/>
      <c r="F935" s="278"/>
      <c r="G935" s="278"/>
      <c r="H935" s="278"/>
      <c r="I935" s="278"/>
      <c r="J935" s="278"/>
      <c r="K935" s="278"/>
      <c r="L935" s="278"/>
      <c r="M935" s="278"/>
      <c r="N935" s="278"/>
      <c r="O935" s="278"/>
      <c r="P935" s="278"/>
      <c r="Q935" s="278"/>
      <c r="R935" s="278"/>
      <c r="S935" s="278"/>
      <c r="T935" s="278"/>
      <c r="U935" s="278"/>
      <c r="V935" s="278"/>
      <c r="W935" s="278"/>
      <c r="X935" s="278"/>
      <c r="Y935" s="278"/>
      <c r="Z935" s="278"/>
    </row>
    <row r="936">
      <c r="A936" s="278"/>
      <c r="B936" s="278"/>
      <c r="C936" s="278"/>
      <c r="D936" s="278"/>
      <c r="E936" s="278"/>
      <c r="F936" s="278"/>
      <c r="G936" s="278"/>
      <c r="H936" s="278"/>
      <c r="I936" s="278"/>
      <c r="J936" s="278"/>
      <c r="K936" s="278"/>
      <c r="L936" s="278"/>
      <c r="M936" s="278"/>
      <c r="N936" s="278"/>
      <c r="O936" s="278"/>
      <c r="P936" s="278"/>
      <c r="Q936" s="278"/>
      <c r="R936" s="278"/>
      <c r="S936" s="278"/>
      <c r="T936" s="278"/>
      <c r="U936" s="278"/>
      <c r="V936" s="278"/>
      <c r="W936" s="278"/>
      <c r="X936" s="278"/>
      <c r="Y936" s="278"/>
      <c r="Z936" s="278"/>
    </row>
    <row r="937">
      <c r="A937" s="278"/>
      <c r="B937" s="278"/>
      <c r="C937" s="278"/>
      <c r="D937" s="278"/>
      <c r="E937" s="278"/>
      <c r="F937" s="278"/>
      <c r="G937" s="278"/>
      <c r="H937" s="278"/>
      <c r="I937" s="278"/>
      <c r="J937" s="278"/>
      <c r="K937" s="278"/>
      <c r="L937" s="278"/>
      <c r="M937" s="278"/>
      <c r="N937" s="278"/>
      <c r="O937" s="278"/>
      <c r="P937" s="278"/>
      <c r="Q937" s="278"/>
      <c r="R937" s="278"/>
      <c r="S937" s="278"/>
      <c r="T937" s="278"/>
      <c r="U937" s="278"/>
      <c r="V937" s="278"/>
      <c r="W937" s="278"/>
      <c r="X937" s="278"/>
      <c r="Y937" s="278"/>
      <c r="Z937" s="278"/>
    </row>
    <row r="938">
      <c r="A938" s="278"/>
      <c r="B938" s="278"/>
      <c r="C938" s="278"/>
      <c r="D938" s="278"/>
      <c r="E938" s="278"/>
      <c r="F938" s="278"/>
      <c r="G938" s="278"/>
      <c r="H938" s="278"/>
      <c r="I938" s="278"/>
      <c r="J938" s="278"/>
      <c r="K938" s="278"/>
      <c r="L938" s="278"/>
      <c r="M938" s="278"/>
      <c r="N938" s="278"/>
      <c r="O938" s="278"/>
      <c r="P938" s="278"/>
      <c r="Q938" s="278"/>
      <c r="R938" s="278"/>
      <c r="S938" s="278"/>
      <c r="T938" s="278"/>
      <c r="U938" s="278"/>
      <c r="V938" s="278"/>
      <c r="W938" s="278"/>
      <c r="X938" s="278"/>
      <c r="Y938" s="278"/>
      <c r="Z938" s="278"/>
    </row>
    <row r="939">
      <c r="A939" s="278"/>
      <c r="B939" s="278"/>
      <c r="C939" s="278"/>
      <c r="D939" s="278"/>
      <c r="E939" s="278"/>
      <c r="F939" s="278"/>
      <c r="G939" s="278"/>
      <c r="H939" s="278"/>
      <c r="I939" s="278"/>
      <c r="J939" s="278"/>
      <c r="K939" s="278"/>
      <c r="L939" s="278"/>
      <c r="M939" s="278"/>
      <c r="N939" s="278"/>
      <c r="O939" s="278"/>
      <c r="P939" s="278"/>
      <c r="Q939" s="278"/>
      <c r="R939" s="278"/>
      <c r="S939" s="278"/>
      <c r="T939" s="278"/>
      <c r="U939" s="278"/>
      <c r="V939" s="278"/>
      <c r="W939" s="278"/>
      <c r="X939" s="278"/>
      <c r="Y939" s="278"/>
      <c r="Z939" s="278"/>
    </row>
    <row r="940">
      <c r="A940" s="278"/>
      <c r="B940" s="278"/>
      <c r="C940" s="278"/>
      <c r="D940" s="278"/>
      <c r="E940" s="278"/>
      <c r="F940" s="278"/>
      <c r="G940" s="278"/>
      <c r="H940" s="278"/>
      <c r="I940" s="278"/>
      <c r="J940" s="278"/>
      <c r="K940" s="278"/>
      <c r="L940" s="278"/>
      <c r="M940" s="278"/>
      <c r="N940" s="278"/>
      <c r="O940" s="278"/>
      <c r="P940" s="278"/>
      <c r="Q940" s="278"/>
      <c r="R940" s="278"/>
      <c r="S940" s="278"/>
      <c r="T940" s="278"/>
      <c r="U940" s="278"/>
      <c r="V940" s="278"/>
      <c r="W940" s="278"/>
      <c r="X940" s="278"/>
      <c r="Y940" s="278"/>
      <c r="Z940" s="278"/>
    </row>
    <row r="941">
      <c r="A941" s="278"/>
      <c r="B941" s="278"/>
      <c r="C941" s="278"/>
      <c r="D941" s="278"/>
      <c r="E941" s="278"/>
      <c r="F941" s="278"/>
      <c r="G941" s="278"/>
      <c r="H941" s="278"/>
      <c r="I941" s="278"/>
      <c r="J941" s="278"/>
      <c r="K941" s="278"/>
      <c r="L941" s="278"/>
      <c r="M941" s="278"/>
      <c r="N941" s="278"/>
      <c r="O941" s="278"/>
      <c r="P941" s="278"/>
      <c r="Q941" s="278"/>
      <c r="R941" s="278"/>
      <c r="S941" s="278"/>
      <c r="T941" s="278"/>
      <c r="U941" s="278"/>
      <c r="V941" s="278"/>
      <c r="W941" s="278"/>
      <c r="X941" s="278"/>
      <c r="Y941" s="278"/>
      <c r="Z941" s="278"/>
    </row>
    <row r="942">
      <c r="A942" s="278"/>
      <c r="B942" s="278"/>
      <c r="C942" s="278"/>
      <c r="D942" s="278"/>
      <c r="E942" s="278"/>
      <c r="F942" s="278"/>
      <c r="G942" s="278"/>
      <c r="H942" s="278"/>
      <c r="I942" s="278"/>
      <c r="J942" s="278"/>
      <c r="K942" s="278"/>
      <c r="L942" s="278"/>
      <c r="M942" s="278"/>
      <c r="N942" s="278"/>
      <c r="O942" s="278"/>
      <c r="P942" s="278"/>
      <c r="Q942" s="278"/>
      <c r="R942" s="278"/>
      <c r="S942" s="278"/>
      <c r="T942" s="278"/>
      <c r="U942" s="278"/>
      <c r="V942" s="278"/>
      <c r="W942" s="278"/>
      <c r="X942" s="278"/>
      <c r="Y942" s="278"/>
      <c r="Z942" s="278"/>
    </row>
    <row r="943">
      <c r="A943" s="278"/>
      <c r="B943" s="278"/>
      <c r="C943" s="278"/>
      <c r="D943" s="278"/>
      <c r="E943" s="278"/>
      <c r="F943" s="278"/>
      <c r="G943" s="278"/>
      <c r="H943" s="278"/>
      <c r="I943" s="278"/>
      <c r="J943" s="278"/>
      <c r="K943" s="278"/>
      <c r="L943" s="278"/>
      <c r="M943" s="278"/>
      <c r="N943" s="278"/>
      <c r="O943" s="278"/>
      <c r="P943" s="278"/>
      <c r="Q943" s="278"/>
      <c r="R943" s="278"/>
      <c r="S943" s="278"/>
      <c r="T943" s="278"/>
      <c r="U943" s="278"/>
      <c r="V943" s="278"/>
      <c r="W943" s="278"/>
      <c r="X943" s="278"/>
      <c r="Y943" s="278"/>
      <c r="Z943" s="278"/>
    </row>
    <row r="944">
      <c r="A944" s="278"/>
      <c r="B944" s="278"/>
      <c r="C944" s="278"/>
      <c r="D944" s="278"/>
      <c r="E944" s="278"/>
      <c r="F944" s="278"/>
      <c r="G944" s="278"/>
      <c r="H944" s="278"/>
      <c r="I944" s="278"/>
      <c r="J944" s="278"/>
      <c r="K944" s="278"/>
      <c r="L944" s="278"/>
      <c r="M944" s="278"/>
      <c r="N944" s="278"/>
      <c r="O944" s="278"/>
      <c r="P944" s="278"/>
      <c r="Q944" s="278"/>
      <c r="R944" s="278"/>
      <c r="S944" s="278"/>
      <c r="T944" s="278"/>
      <c r="U944" s="278"/>
      <c r="V944" s="278"/>
      <c r="W944" s="278"/>
      <c r="X944" s="278"/>
      <c r="Y944" s="278"/>
      <c r="Z944" s="278"/>
    </row>
    <row r="945">
      <c r="A945" s="278"/>
      <c r="B945" s="278"/>
      <c r="C945" s="278"/>
      <c r="D945" s="278"/>
      <c r="E945" s="278"/>
      <c r="F945" s="278"/>
      <c r="G945" s="278"/>
      <c r="H945" s="278"/>
      <c r="I945" s="278"/>
      <c r="J945" s="278"/>
      <c r="K945" s="278"/>
      <c r="L945" s="278"/>
      <c r="M945" s="278"/>
      <c r="N945" s="278"/>
      <c r="O945" s="278"/>
      <c r="P945" s="278"/>
      <c r="Q945" s="278"/>
      <c r="R945" s="278"/>
      <c r="S945" s="278"/>
      <c r="T945" s="278"/>
      <c r="U945" s="278"/>
      <c r="V945" s="278"/>
      <c r="W945" s="278"/>
      <c r="X945" s="278"/>
      <c r="Y945" s="278"/>
      <c r="Z945" s="278"/>
    </row>
    <row r="946">
      <c r="A946" s="278"/>
      <c r="B946" s="278"/>
      <c r="C946" s="278"/>
      <c r="D946" s="278"/>
      <c r="E946" s="278"/>
      <c r="F946" s="278"/>
      <c r="G946" s="278"/>
      <c r="H946" s="278"/>
      <c r="I946" s="278"/>
      <c r="J946" s="278"/>
      <c r="K946" s="278"/>
      <c r="L946" s="278"/>
      <c r="M946" s="278"/>
      <c r="N946" s="278"/>
      <c r="O946" s="278"/>
      <c r="P946" s="278"/>
      <c r="Q946" s="278"/>
      <c r="R946" s="278"/>
      <c r="S946" s="278"/>
      <c r="T946" s="278"/>
      <c r="U946" s="278"/>
      <c r="V946" s="278"/>
      <c r="W946" s="278"/>
      <c r="X946" s="278"/>
      <c r="Y946" s="278"/>
      <c r="Z946" s="278"/>
    </row>
    <row r="947">
      <c r="A947" s="278"/>
      <c r="B947" s="278"/>
      <c r="C947" s="278"/>
      <c r="D947" s="278"/>
      <c r="E947" s="278"/>
      <c r="F947" s="278"/>
      <c r="G947" s="278"/>
      <c r="H947" s="278"/>
      <c r="I947" s="278"/>
      <c r="J947" s="278"/>
      <c r="K947" s="278"/>
      <c r="L947" s="278"/>
      <c r="M947" s="278"/>
      <c r="N947" s="278"/>
      <c r="O947" s="278"/>
      <c r="P947" s="278"/>
      <c r="Q947" s="278"/>
      <c r="R947" s="278"/>
      <c r="S947" s="278"/>
      <c r="T947" s="278"/>
      <c r="U947" s="278"/>
      <c r="V947" s="278"/>
      <c r="W947" s="278"/>
      <c r="X947" s="278"/>
      <c r="Y947" s="278"/>
      <c r="Z947" s="278"/>
    </row>
    <row r="948">
      <c r="A948" s="278"/>
      <c r="B948" s="278"/>
      <c r="C948" s="278"/>
      <c r="D948" s="278"/>
      <c r="E948" s="278"/>
      <c r="F948" s="278"/>
      <c r="G948" s="278"/>
      <c r="H948" s="278"/>
      <c r="I948" s="278"/>
      <c r="J948" s="278"/>
      <c r="K948" s="278"/>
      <c r="L948" s="278"/>
      <c r="M948" s="278"/>
      <c r="N948" s="278"/>
      <c r="O948" s="278"/>
      <c r="P948" s="278"/>
      <c r="Q948" s="278"/>
      <c r="R948" s="278"/>
      <c r="S948" s="278"/>
      <c r="T948" s="278"/>
      <c r="U948" s="278"/>
      <c r="V948" s="278"/>
      <c r="W948" s="278"/>
      <c r="X948" s="278"/>
      <c r="Y948" s="278"/>
      <c r="Z948" s="278"/>
    </row>
    <row r="949">
      <c r="A949" s="278"/>
      <c r="B949" s="278"/>
      <c r="C949" s="278"/>
      <c r="D949" s="278"/>
      <c r="E949" s="278"/>
      <c r="F949" s="278"/>
      <c r="G949" s="278"/>
      <c r="H949" s="278"/>
      <c r="I949" s="278"/>
      <c r="J949" s="278"/>
      <c r="K949" s="278"/>
      <c r="L949" s="278"/>
      <c r="M949" s="278"/>
      <c r="N949" s="278"/>
      <c r="O949" s="278"/>
      <c r="P949" s="278"/>
      <c r="Q949" s="278"/>
      <c r="R949" s="278"/>
      <c r="S949" s="278"/>
      <c r="T949" s="278"/>
      <c r="U949" s="278"/>
      <c r="V949" s="278"/>
      <c r="W949" s="278"/>
      <c r="X949" s="278"/>
      <c r="Y949" s="278"/>
      <c r="Z949" s="278"/>
    </row>
    <row r="950">
      <c r="A950" s="278"/>
      <c r="B950" s="278"/>
      <c r="C950" s="278"/>
      <c r="D950" s="278"/>
      <c r="E950" s="278"/>
      <c r="F950" s="278"/>
      <c r="G950" s="278"/>
      <c r="H950" s="278"/>
      <c r="I950" s="278"/>
      <c r="J950" s="278"/>
      <c r="K950" s="278"/>
      <c r="L950" s="278"/>
      <c r="M950" s="278"/>
      <c r="N950" s="278"/>
      <c r="O950" s="278"/>
      <c r="P950" s="278"/>
      <c r="Q950" s="278"/>
      <c r="R950" s="278"/>
      <c r="S950" s="278"/>
      <c r="T950" s="278"/>
      <c r="U950" s="278"/>
      <c r="V950" s="278"/>
      <c r="W950" s="278"/>
      <c r="X950" s="278"/>
      <c r="Y950" s="278"/>
      <c r="Z950" s="278"/>
    </row>
    <row r="951">
      <c r="A951" s="278"/>
      <c r="B951" s="278"/>
      <c r="C951" s="278"/>
      <c r="D951" s="278"/>
      <c r="E951" s="278"/>
      <c r="F951" s="278"/>
      <c r="G951" s="278"/>
      <c r="H951" s="278"/>
      <c r="I951" s="278"/>
      <c r="J951" s="278"/>
      <c r="K951" s="278"/>
      <c r="L951" s="278"/>
      <c r="M951" s="278"/>
      <c r="N951" s="278"/>
      <c r="O951" s="278"/>
      <c r="P951" s="278"/>
      <c r="Q951" s="278"/>
      <c r="R951" s="278"/>
      <c r="S951" s="278"/>
      <c r="T951" s="278"/>
      <c r="U951" s="278"/>
      <c r="V951" s="278"/>
      <c r="W951" s="278"/>
      <c r="X951" s="278"/>
      <c r="Y951" s="278"/>
      <c r="Z951" s="278"/>
    </row>
    <row r="952">
      <c r="A952" s="278"/>
      <c r="B952" s="278"/>
      <c r="C952" s="278"/>
      <c r="D952" s="278"/>
      <c r="E952" s="278"/>
      <c r="F952" s="278"/>
      <c r="G952" s="278"/>
      <c r="H952" s="278"/>
      <c r="I952" s="278"/>
      <c r="J952" s="278"/>
      <c r="K952" s="278"/>
      <c r="L952" s="278"/>
      <c r="M952" s="278"/>
      <c r="N952" s="278"/>
      <c r="O952" s="278"/>
      <c r="P952" s="278"/>
      <c r="Q952" s="278"/>
      <c r="R952" s="278"/>
      <c r="S952" s="278"/>
      <c r="T952" s="278"/>
      <c r="U952" s="278"/>
      <c r="V952" s="278"/>
      <c r="W952" s="278"/>
      <c r="X952" s="278"/>
      <c r="Y952" s="278"/>
      <c r="Z952" s="278"/>
    </row>
    <row r="953">
      <c r="A953" s="278"/>
      <c r="B953" s="278"/>
      <c r="C953" s="278"/>
      <c r="D953" s="278"/>
      <c r="E953" s="278"/>
      <c r="F953" s="278"/>
      <c r="G953" s="278"/>
      <c r="H953" s="278"/>
      <c r="I953" s="278"/>
      <c r="J953" s="278"/>
      <c r="K953" s="278"/>
      <c r="L953" s="278"/>
      <c r="M953" s="278"/>
      <c r="N953" s="278"/>
      <c r="O953" s="278"/>
      <c r="P953" s="278"/>
      <c r="Q953" s="278"/>
      <c r="R953" s="278"/>
      <c r="S953" s="278"/>
      <c r="T953" s="278"/>
      <c r="U953" s="278"/>
      <c r="V953" s="278"/>
      <c r="W953" s="278"/>
      <c r="X953" s="278"/>
      <c r="Y953" s="278"/>
      <c r="Z953" s="278"/>
    </row>
    <row r="954">
      <c r="A954" s="278"/>
      <c r="B954" s="278"/>
      <c r="C954" s="278"/>
      <c r="D954" s="278"/>
      <c r="E954" s="278"/>
      <c r="F954" s="278"/>
      <c r="G954" s="278"/>
      <c r="H954" s="278"/>
      <c r="I954" s="278"/>
      <c r="J954" s="278"/>
      <c r="K954" s="278"/>
      <c r="L954" s="278"/>
      <c r="M954" s="278"/>
      <c r="N954" s="278"/>
      <c r="O954" s="278"/>
      <c r="P954" s="278"/>
      <c r="Q954" s="278"/>
      <c r="R954" s="278"/>
      <c r="S954" s="278"/>
      <c r="T954" s="278"/>
      <c r="U954" s="278"/>
      <c r="V954" s="278"/>
      <c r="W954" s="278"/>
      <c r="X954" s="278"/>
      <c r="Y954" s="278"/>
      <c r="Z954" s="278"/>
    </row>
    <row r="955">
      <c r="A955" s="278"/>
      <c r="B955" s="278"/>
      <c r="C955" s="278"/>
      <c r="D955" s="278"/>
      <c r="E955" s="278"/>
      <c r="F955" s="278"/>
      <c r="G955" s="278"/>
      <c r="H955" s="278"/>
      <c r="I955" s="278"/>
      <c r="J955" s="278"/>
      <c r="K955" s="278"/>
      <c r="L955" s="278"/>
      <c r="M955" s="278"/>
      <c r="N955" s="278"/>
      <c r="O955" s="278"/>
      <c r="P955" s="278"/>
      <c r="Q955" s="278"/>
      <c r="R955" s="278"/>
      <c r="S955" s="278"/>
      <c r="T955" s="278"/>
      <c r="U955" s="278"/>
      <c r="V955" s="278"/>
      <c r="W955" s="278"/>
      <c r="X955" s="278"/>
      <c r="Y955" s="278"/>
      <c r="Z955" s="278"/>
    </row>
    <row r="956">
      <c r="A956" s="278"/>
      <c r="B956" s="278"/>
      <c r="C956" s="278"/>
      <c r="D956" s="278"/>
      <c r="E956" s="278"/>
      <c r="F956" s="278"/>
      <c r="G956" s="278"/>
      <c r="H956" s="278"/>
      <c r="I956" s="278"/>
      <c r="J956" s="278"/>
      <c r="K956" s="278"/>
      <c r="L956" s="278"/>
      <c r="M956" s="278"/>
      <c r="N956" s="278"/>
      <c r="O956" s="278"/>
      <c r="P956" s="278"/>
      <c r="Q956" s="278"/>
      <c r="R956" s="278"/>
      <c r="S956" s="278"/>
      <c r="T956" s="278"/>
      <c r="U956" s="278"/>
      <c r="V956" s="278"/>
      <c r="W956" s="278"/>
      <c r="X956" s="278"/>
      <c r="Y956" s="278"/>
      <c r="Z956" s="278"/>
    </row>
    <row r="957">
      <c r="A957" s="278"/>
      <c r="B957" s="278"/>
      <c r="C957" s="278"/>
      <c r="D957" s="278"/>
      <c r="E957" s="278"/>
      <c r="F957" s="278"/>
      <c r="G957" s="278"/>
      <c r="H957" s="278"/>
      <c r="I957" s="278"/>
      <c r="J957" s="278"/>
      <c r="K957" s="278"/>
      <c r="L957" s="278"/>
      <c r="M957" s="278"/>
      <c r="N957" s="278"/>
      <c r="O957" s="278"/>
      <c r="P957" s="278"/>
      <c r="Q957" s="278"/>
      <c r="R957" s="278"/>
      <c r="S957" s="278"/>
      <c r="T957" s="278"/>
      <c r="U957" s="278"/>
      <c r="V957" s="278"/>
      <c r="W957" s="278"/>
      <c r="X957" s="278"/>
      <c r="Y957" s="278"/>
      <c r="Z957" s="278"/>
    </row>
    <row r="958">
      <c r="A958" s="278"/>
      <c r="B958" s="278"/>
      <c r="C958" s="278"/>
      <c r="D958" s="278"/>
      <c r="E958" s="278"/>
      <c r="F958" s="278"/>
      <c r="G958" s="278"/>
      <c r="H958" s="278"/>
      <c r="I958" s="278"/>
      <c r="J958" s="278"/>
      <c r="K958" s="278"/>
      <c r="L958" s="278"/>
      <c r="M958" s="278"/>
      <c r="N958" s="278"/>
      <c r="O958" s="278"/>
      <c r="P958" s="278"/>
      <c r="Q958" s="278"/>
      <c r="R958" s="278"/>
      <c r="S958" s="278"/>
      <c r="T958" s="278"/>
      <c r="U958" s="278"/>
      <c r="V958" s="278"/>
      <c r="W958" s="278"/>
      <c r="X958" s="278"/>
      <c r="Y958" s="278"/>
      <c r="Z958" s="278"/>
    </row>
    <row r="959">
      <c r="A959" s="278"/>
      <c r="B959" s="278"/>
      <c r="C959" s="278"/>
      <c r="D959" s="278"/>
      <c r="E959" s="278"/>
      <c r="F959" s="278"/>
      <c r="G959" s="278"/>
      <c r="H959" s="278"/>
      <c r="I959" s="278"/>
      <c r="J959" s="278"/>
      <c r="K959" s="278"/>
      <c r="L959" s="278"/>
      <c r="M959" s="278"/>
      <c r="N959" s="278"/>
      <c r="O959" s="278"/>
      <c r="P959" s="278"/>
      <c r="Q959" s="278"/>
      <c r="R959" s="278"/>
      <c r="S959" s="278"/>
      <c r="T959" s="278"/>
      <c r="U959" s="278"/>
      <c r="V959" s="278"/>
      <c r="W959" s="278"/>
      <c r="X959" s="278"/>
      <c r="Y959" s="278"/>
      <c r="Z959" s="278"/>
    </row>
    <row r="960">
      <c r="A960" s="278"/>
      <c r="B960" s="278"/>
      <c r="C960" s="278"/>
      <c r="D960" s="278"/>
      <c r="E960" s="278"/>
      <c r="F960" s="278"/>
      <c r="G960" s="278"/>
      <c r="H960" s="278"/>
      <c r="I960" s="278"/>
      <c r="J960" s="278"/>
      <c r="K960" s="278"/>
      <c r="L960" s="278"/>
      <c r="M960" s="278"/>
      <c r="N960" s="278"/>
      <c r="O960" s="278"/>
      <c r="P960" s="278"/>
      <c r="Q960" s="278"/>
      <c r="R960" s="278"/>
      <c r="S960" s="278"/>
      <c r="T960" s="278"/>
      <c r="U960" s="278"/>
      <c r="V960" s="278"/>
      <c r="W960" s="278"/>
      <c r="X960" s="278"/>
      <c r="Y960" s="278"/>
      <c r="Z960" s="278"/>
    </row>
    <row r="961">
      <c r="A961" s="278"/>
      <c r="B961" s="278"/>
      <c r="C961" s="278"/>
      <c r="D961" s="278"/>
      <c r="E961" s="278"/>
      <c r="F961" s="278"/>
      <c r="G961" s="278"/>
      <c r="H961" s="278"/>
      <c r="I961" s="278"/>
      <c r="J961" s="278"/>
      <c r="K961" s="278"/>
      <c r="L961" s="278"/>
      <c r="M961" s="278"/>
      <c r="N961" s="278"/>
      <c r="O961" s="278"/>
      <c r="P961" s="278"/>
      <c r="Q961" s="278"/>
      <c r="R961" s="278"/>
      <c r="S961" s="278"/>
      <c r="T961" s="278"/>
      <c r="U961" s="278"/>
      <c r="V961" s="278"/>
      <c r="W961" s="278"/>
      <c r="X961" s="278"/>
      <c r="Y961" s="278"/>
      <c r="Z961" s="278"/>
    </row>
    <row r="962">
      <c r="A962" s="278"/>
      <c r="B962" s="278"/>
      <c r="C962" s="278"/>
      <c r="D962" s="278"/>
      <c r="E962" s="278"/>
      <c r="F962" s="278"/>
      <c r="G962" s="278"/>
      <c r="H962" s="278"/>
      <c r="I962" s="278"/>
      <c r="J962" s="278"/>
      <c r="K962" s="278"/>
      <c r="L962" s="278"/>
      <c r="M962" s="278"/>
      <c r="N962" s="278"/>
      <c r="O962" s="278"/>
      <c r="P962" s="278"/>
      <c r="Q962" s="278"/>
      <c r="R962" s="278"/>
      <c r="S962" s="278"/>
      <c r="T962" s="278"/>
      <c r="U962" s="278"/>
      <c r="V962" s="278"/>
      <c r="W962" s="278"/>
      <c r="X962" s="278"/>
      <c r="Y962" s="278"/>
      <c r="Z962" s="278"/>
    </row>
    <row r="963">
      <c r="A963" s="278"/>
      <c r="B963" s="278"/>
      <c r="C963" s="278"/>
      <c r="D963" s="278"/>
      <c r="E963" s="278"/>
      <c r="F963" s="278"/>
      <c r="G963" s="278"/>
      <c r="H963" s="278"/>
      <c r="I963" s="278"/>
      <c r="J963" s="278"/>
      <c r="K963" s="278"/>
      <c r="L963" s="278"/>
      <c r="M963" s="278"/>
      <c r="N963" s="278"/>
      <c r="O963" s="278"/>
      <c r="P963" s="278"/>
      <c r="Q963" s="278"/>
      <c r="R963" s="278"/>
      <c r="S963" s="278"/>
      <c r="T963" s="278"/>
      <c r="U963" s="278"/>
      <c r="V963" s="278"/>
      <c r="W963" s="278"/>
      <c r="X963" s="278"/>
      <c r="Y963" s="278"/>
      <c r="Z963" s="278"/>
    </row>
    <row r="964">
      <c r="A964" s="278"/>
      <c r="B964" s="278"/>
      <c r="C964" s="278"/>
      <c r="D964" s="278"/>
      <c r="E964" s="278"/>
      <c r="F964" s="278"/>
      <c r="G964" s="278"/>
      <c r="H964" s="278"/>
      <c r="I964" s="278"/>
      <c r="J964" s="278"/>
      <c r="K964" s="278"/>
      <c r="L964" s="278"/>
      <c r="M964" s="278"/>
      <c r="N964" s="278"/>
      <c r="O964" s="278"/>
      <c r="P964" s="278"/>
      <c r="Q964" s="278"/>
      <c r="R964" s="278"/>
      <c r="S964" s="278"/>
      <c r="T964" s="278"/>
      <c r="U964" s="278"/>
      <c r="V964" s="278"/>
      <c r="W964" s="278"/>
      <c r="X964" s="278"/>
      <c r="Y964" s="278"/>
      <c r="Z964" s="278"/>
    </row>
    <row r="965">
      <c r="A965" s="278"/>
      <c r="B965" s="278"/>
      <c r="C965" s="278"/>
      <c r="D965" s="278"/>
      <c r="E965" s="278"/>
      <c r="F965" s="278"/>
      <c r="G965" s="278"/>
      <c r="H965" s="278"/>
      <c r="I965" s="278"/>
      <c r="J965" s="278"/>
      <c r="K965" s="278"/>
      <c r="L965" s="278"/>
      <c r="M965" s="278"/>
      <c r="N965" s="278"/>
      <c r="O965" s="278"/>
      <c r="P965" s="278"/>
      <c r="Q965" s="278"/>
      <c r="R965" s="278"/>
      <c r="S965" s="278"/>
      <c r="T965" s="278"/>
      <c r="U965" s="278"/>
      <c r="V965" s="278"/>
      <c r="W965" s="278"/>
      <c r="X965" s="278"/>
      <c r="Y965" s="278"/>
      <c r="Z965" s="278"/>
    </row>
    <row r="966">
      <c r="A966" s="278"/>
      <c r="B966" s="278"/>
      <c r="C966" s="278"/>
      <c r="D966" s="278"/>
      <c r="E966" s="278"/>
      <c r="F966" s="278"/>
      <c r="G966" s="278"/>
      <c r="H966" s="278"/>
      <c r="I966" s="278"/>
      <c r="J966" s="278"/>
      <c r="K966" s="278"/>
      <c r="L966" s="278"/>
      <c r="M966" s="278"/>
      <c r="N966" s="278"/>
      <c r="O966" s="278"/>
      <c r="P966" s="278"/>
      <c r="Q966" s="278"/>
      <c r="R966" s="278"/>
      <c r="S966" s="278"/>
      <c r="T966" s="278"/>
      <c r="U966" s="278"/>
      <c r="V966" s="278"/>
      <c r="W966" s="278"/>
      <c r="X966" s="278"/>
      <c r="Y966" s="278"/>
      <c r="Z966" s="278"/>
    </row>
    <row r="967">
      <c r="A967" s="278"/>
      <c r="B967" s="278"/>
      <c r="C967" s="278"/>
      <c r="D967" s="278"/>
      <c r="E967" s="278"/>
      <c r="F967" s="278"/>
      <c r="G967" s="278"/>
      <c r="H967" s="278"/>
      <c r="I967" s="278"/>
      <c r="J967" s="278"/>
      <c r="K967" s="278"/>
      <c r="L967" s="278"/>
      <c r="M967" s="278"/>
      <c r="N967" s="278"/>
      <c r="O967" s="278"/>
      <c r="P967" s="278"/>
      <c r="Q967" s="278"/>
      <c r="R967" s="278"/>
      <c r="S967" s="278"/>
      <c r="T967" s="278"/>
      <c r="U967" s="278"/>
      <c r="V967" s="278"/>
      <c r="W967" s="278"/>
      <c r="X967" s="278"/>
      <c r="Y967" s="278"/>
      <c r="Z967" s="278"/>
    </row>
    <row r="968">
      <c r="A968" s="278"/>
      <c r="B968" s="278"/>
      <c r="C968" s="278"/>
      <c r="D968" s="278"/>
      <c r="E968" s="278"/>
      <c r="F968" s="278"/>
      <c r="G968" s="278"/>
      <c r="H968" s="278"/>
      <c r="I968" s="278"/>
      <c r="J968" s="278"/>
      <c r="K968" s="278"/>
      <c r="L968" s="278"/>
      <c r="M968" s="278"/>
      <c r="N968" s="278"/>
      <c r="O968" s="278"/>
      <c r="P968" s="278"/>
      <c r="Q968" s="278"/>
      <c r="R968" s="278"/>
      <c r="S968" s="278"/>
      <c r="T968" s="278"/>
      <c r="U968" s="278"/>
      <c r="V968" s="278"/>
      <c r="W968" s="278"/>
      <c r="X968" s="278"/>
      <c r="Y968" s="278"/>
      <c r="Z968" s="278"/>
    </row>
    <row r="969">
      <c r="A969" s="278"/>
      <c r="B969" s="278"/>
      <c r="C969" s="278"/>
      <c r="D969" s="278"/>
      <c r="E969" s="278"/>
      <c r="F969" s="278"/>
      <c r="G969" s="278"/>
      <c r="H969" s="278"/>
      <c r="I969" s="278"/>
      <c r="J969" s="278"/>
      <c r="K969" s="278"/>
      <c r="L969" s="278"/>
      <c r="M969" s="278"/>
      <c r="N969" s="278"/>
      <c r="O969" s="278"/>
      <c r="P969" s="278"/>
      <c r="Q969" s="278"/>
      <c r="R969" s="278"/>
      <c r="S969" s="278"/>
      <c r="T969" s="278"/>
      <c r="U969" s="278"/>
      <c r="V969" s="278"/>
      <c r="W969" s="278"/>
      <c r="X969" s="278"/>
      <c r="Y969" s="278"/>
      <c r="Z969" s="278"/>
    </row>
    <row r="970">
      <c r="A970" s="278"/>
      <c r="B970" s="278"/>
      <c r="C970" s="278"/>
      <c r="D970" s="278"/>
      <c r="E970" s="278"/>
      <c r="F970" s="278"/>
      <c r="G970" s="278"/>
      <c r="H970" s="278"/>
      <c r="I970" s="278"/>
      <c r="J970" s="278"/>
      <c r="K970" s="278"/>
      <c r="L970" s="278"/>
      <c r="M970" s="278"/>
      <c r="N970" s="278"/>
      <c r="O970" s="278"/>
      <c r="P970" s="278"/>
      <c r="Q970" s="278"/>
      <c r="R970" s="278"/>
      <c r="S970" s="278"/>
      <c r="T970" s="278"/>
      <c r="U970" s="278"/>
      <c r="V970" s="278"/>
      <c r="W970" s="278"/>
      <c r="X970" s="278"/>
      <c r="Y970" s="278"/>
      <c r="Z970" s="278"/>
    </row>
    <row r="971">
      <c r="A971" s="278"/>
      <c r="B971" s="278"/>
      <c r="C971" s="278"/>
      <c r="D971" s="278"/>
      <c r="E971" s="278"/>
      <c r="F971" s="278"/>
      <c r="G971" s="278"/>
      <c r="H971" s="278"/>
      <c r="I971" s="278"/>
      <c r="J971" s="278"/>
      <c r="K971" s="278"/>
      <c r="L971" s="278"/>
      <c r="M971" s="278"/>
      <c r="N971" s="278"/>
      <c r="O971" s="278"/>
      <c r="P971" s="278"/>
      <c r="Q971" s="278"/>
      <c r="R971" s="278"/>
      <c r="S971" s="278"/>
      <c r="T971" s="278"/>
      <c r="U971" s="278"/>
      <c r="V971" s="278"/>
      <c r="W971" s="278"/>
      <c r="X971" s="278"/>
      <c r="Y971" s="278"/>
      <c r="Z971" s="278"/>
    </row>
    <row r="972">
      <c r="A972" s="278"/>
      <c r="B972" s="278"/>
      <c r="C972" s="278"/>
      <c r="D972" s="278"/>
      <c r="E972" s="278"/>
      <c r="F972" s="278"/>
      <c r="G972" s="278"/>
      <c r="H972" s="278"/>
      <c r="I972" s="278"/>
      <c r="J972" s="278"/>
      <c r="K972" s="278"/>
      <c r="L972" s="278"/>
      <c r="M972" s="278"/>
      <c r="N972" s="278"/>
      <c r="O972" s="278"/>
      <c r="P972" s="278"/>
      <c r="Q972" s="278"/>
      <c r="R972" s="278"/>
      <c r="S972" s="278"/>
      <c r="T972" s="278"/>
      <c r="U972" s="278"/>
      <c r="V972" s="278"/>
      <c r="W972" s="278"/>
      <c r="X972" s="278"/>
      <c r="Y972" s="278"/>
      <c r="Z972" s="278"/>
    </row>
    <row r="973">
      <c r="A973" s="278"/>
      <c r="B973" s="278"/>
      <c r="C973" s="278"/>
      <c r="D973" s="278"/>
      <c r="E973" s="278"/>
      <c r="F973" s="278"/>
      <c r="G973" s="278"/>
      <c r="H973" s="278"/>
      <c r="I973" s="278"/>
      <c r="J973" s="278"/>
      <c r="K973" s="278"/>
      <c r="L973" s="278"/>
      <c r="M973" s="278"/>
      <c r="N973" s="278"/>
      <c r="O973" s="278"/>
      <c r="P973" s="278"/>
      <c r="Q973" s="278"/>
      <c r="R973" s="278"/>
      <c r="S973" s="278"/>
      <c r="T973" s="278"/>
      <c r="U973" s="278"/>
      <c r="V973" s="278"/>
      <c r="W973" s="278"/>
      <c r="X973" s="278"/>
      <c r="Y973" s="278"/>
      <c r="Z973" s="278"/>
    </row>
    <row r="974">
      <c r="A974" s="278"/>
      <c r="B974" s="278"/>
      <c r="C974" s="278"/>
      <c r="D974" s="278"/>
      <c r="E974" s="278"/>
      <c r="F974" s="278"/>
      <c r="G974" s="278"/>
      <c r="H974" s="278"/>
      <c r="I974" s="278"/>
      <c r="J974" s="278"/>
      <c r="K974" s="278"/>
      <c r="L974" s="278"/>
      <c r="M974" s="278"/>
      <c r="N974" s="278"/>
      <c r="O974" s="278"/>
      <c r="P974" s="278"/>
      <c r="Q974" s="278"/>
      <c r="R974" s="278"/>
      <c r="S974" s="278"/>
      <c r="T974" s="278"/>
      <c r="U974" s="278"/>
      <c r="V974" s="278"/>
      <c r="W974" s="278"/>
      <c r="X974" s="278"/>
      <c r="Y974" s="278"/>
      <c r="Z974" s="278"/>
    </row>
    <row r="975">
      <c r="A975" s="278"/>
      <c r="B975" s="278"/>
      <c r="C975" s="278"/>
      <c r="D975" s="278"/>
      <c r="E975" s="278"/>
      <c r="F975" s="278"/>
      <c r="G975" s="278"/>
      <c r="H975" s="278"/>
      <c r="I975" s="278"/>
      <c r="J975" s="278"/>
      <c r="K975" s="278"/>
      <c r="L975" s="278"/>
      <c r="M975" s="278"/>
      <c r="N975" s="278"/>
      <c r="O975" s="278"/>
      <c r="P975" s="278"/>
      <c r="Q975" s="278"/>
      <c r="R975" s="278"/>
      <c r="S975" s="278"/>
      <c r="T975" s="278"/>
      <c r="U975" s="278"/>
      <c r="V975" s="278"/>
      <c r="W975" s="278"/>
      <c r="X975" s="278"/>
      <c r="Y975" s="278"/>
      <c r="Z975" s="278"/>
    </row>
    <row r="976">
      <c r="A976" s="278"/>
      <c r="B976" s="278"/>
      <c r="C976" s="278"/>
      <c r="D976" s="278"/>
      <c r="E976" s="278"/>
      <c r="F976" s="278"/>
      <c r="G976" s="278"/>
      <c r="H976" s="278"/>
      <c r="I976" s="278"/>
      <c r="J976" s="278"/>
      <c r="K976" s="278"/>
      <c r="L976" s="278"/>
      <c r="M976" s="278"/>
      <c r="N976" s="278"/>
      <c r="O976" s="278"/>
      <c r="P976" s="278"/>
      <c r="Q976" s="278"/>
      <c r="R976" s="278"/>
      <c r="S976" s="278"/>
      <c r="T976" s="278"/>
      <c r="U976" s="278"/>
      <c r="V976" s="278"/>
      <c r="W976" s="278"/>
      <c r="X976" s="278"/>
      <c r="Y976" s="278"/>
      <c r="Z976" s="278"/>
    </row>
    <row r="977">
      <c r="A977" s="278"/>
      <c r="B977" s="278"/>
      <c r="C977" s="278"/>
      <c r="D977" s="278"/>
      <c r="E977" s="278"/>
      <c r="F977" s="278"/>
      <c r="G977" s="278"/>
      <c r="H977" s="278"/>
      <c r="I977" s="278"/>
      <c r="J977" s="278"/>
      <c r="K977" s="278"/>
      <c r="L977" s="278"/>
      <c r="M977" s="278"/>
      <c r="N977" s="278"/>
      <c r="O977" s="278"/>
      <c r="P977" s="278"/>
      <c r="Q977" s="278"/>
      <c r="R977" s="278"/>
      <c r="S977" s="278"/>
      <c r="T977" s="278"/>
      <c r="U977" s="278"/>
      <c r="V977" s="278"/>
      <c r="W977" s="278"/>
      <c r="X977" s="278"/>
      <c r="Y977" s="278"/>
      <c r="Z977" s="278"/>
    </row>
    <row r="978">
      <c r="A978" s="278"/>
      <c r="B978" s="278"/>
      <c r="C978" s="278"/>
      <c r="D978" s="278"/>
      <c r="E978" s="278"/>
      <c r="F978" s="278"/>
      <c r="G978" s="278"/>
      <c r="H978" s="278"/>
      <c r="I978" s="278"/>
      <c r="J978" s="278"/>
      <c r="K978" s="278"/>
      <c r="L978" s="278"/>
      <c r="M978" s="278"/>
      <c r="N978" s="278"/>
      <c r="O978" s="278"/>
      <c r="P978" s="278"/>
      <c r="Q978" s="278"/>
      <c r="R978" s="278"/>
      <c r="S978" s="278"/>
      <c r="T978" s="278"/>
      <c r="U978" s="278"/>
      <c r="V978" s="278"/>
      <c r="W978" s="278"/>
      <c r="X978" s="278"/>
      <c r="Y978" s="278"/>
      <c r="Z978" s="278"/>
    </row>
    <row r="979">
      <c r="A979" s="278"/>
      <c r="B979" s="278"/>
      <c r="C979" s="278"/>
      <c r="D979" s="278"/>
      <c r="E979" s="278"/>
      <c r="F979" s="278"/>
      <c r="G979" s="278"/>
      <c r="H979" s="278"/>
      <c r="I979" s="278"/>
      <c r="J979" s="278"/>
      <c r="K979" s="278"/>
      <c r="L979" s="278"/>
      <c r="M979" s="278"/>
      <c r="N979" s="278"/>
      <c r="O979" s="278"/>
      <c r="P979" s="278"/>
      <c r="Q979" s="278"/>
      <c r="R979" s="278"/>
      <c r="S979" s="278"/>
      <c r="T979" s="278"/>
      <c r="U979" s="278"/>
      <c r="V979" s="278"/>
      <c r="W979" s="278"/>
      <c r="X979" s="278"/>
      <c r="Y979" s="278"/>
      <c r="Z979" s="278"/>
    </row>
    <row r="980">
      <c r="A980" s="278"/>
      <c r="B980" s="278"/>
      <c r="C980" s="278"/>
      <c r="D980" s="278"/>
      <c r="E980" s="278"/>
      <c r="F980" s="278"/>
      <c r="G980" s="278"/>
      <c r="H980" s="278"/>
      <c r="I980" s="278"/>
      <c r="J980" s="278"/>
      <c r="K980" s="278"/>
      <c r="L980" s="278"/>
      <c r="M980" s="278"/>
      <c r="N980" s="278"/>
      <c r="O980" s="278"/>
      <c r="P980" s="278"/>
      <c r="Q980" s="278"/>
      <c r="R980" s="278"/>
      <c r="S980" s="278"/>
      <c r="T980" s="278"/>
      <c r="U980" s="278"/>
      <c r="V980" s="278"/>
      <c r="W980" s="278"/>
      <c r="X980" s="278"/>
      <c r="Y980" s="278"/>
      <c r="Z980" s="278"/>
    </row>
    <row r="981">
      <c r="A981" s="278"/>
      <c r="B981" s="278"/>
      <c r="C981" s="278"/>
      <c r="D981" s="278"/>
      <c r="E981" s="278"/>
      <c r="F981" s="278"/>
      <c r="G981" s="278"/>
      <c r="H981" s="278"/>
      <c r="I981" s="278"/>
      <c r="J981" s="278"/>
      <c r="K981" s="278"/>
      <c r="L981" s="278"/>
      <c r="M981" s="278"/>
      <c r="N981" s="278"/>
      <c r="O981" s="278"/>
      <c r="P981" s="278"/>
      <c r="Q981" s="278"/>
      <c r="R981" s="278"/>
      <c r="S981" s="278"/>
      <c r="T981" s="278"/>
      <c r="U981" s="278"/>
      <c r="V981" s="278"/>
      <c r="W981" s="278"/>
      <c r="X981" s="278"/>
      <c r="Y981" s="278"/>
      <c r="Z981" s="278"/>
    </row>
    <row r="982">
      <c r="A982" s="278"/>
      <c r="B982" s="278"/>
      <c r="C982" s="278"/>
      <c r="D982" s="278"/>
      <c r="E982" s="278"/>
      <c r="F982" s="278"/>
      <c r="G982" s="278"/>
      <c r="H982" s="278"/>
      <c r="I982" s="278"/>
      <c r="J982" s="278"/>
      <c r="K982" s="278"/>
      <c r="L982" s="278"/>
      <c r="M982" s="278"/>
      <c r="N982" s="278"/>
      <c r="O982" s="278"/>
      <c r="P982" s="278"/>
      <c r="Q982" s="278"/>
      <c r="R982" s="278"/>
      <c r="S982" s="278"/>
      <c r="T982" s="278"/>
      <c r="U982" s="278"/>
      <c r="V982" s="278"/>
      <c r="W982" s="278"/>
      <c r="X982" s="278"/>
      <c r="Y982" s="278"/>
      <c r="Z982" s="278"/>
    </row>
    <row r="983">
      <c r="A983" s="278"/>
      <c r="B983" s="278"/>
      <c r="C983" s="278"/>
      <c r="D983" s="278"/>
      <c r="E983" s="278"/>
      <c r="F983" s="278"/>
      <c r="G983" s="278"/>
      <c r="H983" s="278"/>
      <c r="I983" s="278"/>
      <c r="J983" s="278"/>
      <c r="K983" s="278"/>
      <c r="L983" s="278"/>
      <c r="M983" s="278"/>
      <c r="N983" s="278"/>
      <c r="O983" s="278"/>
      <c r="P983" s="278"/>
      <c r="Q983" s="278"/>
      <c r="R983" s="278"/>
      <c r="S983" s="278"/>
      <c r="T983" s="278"/>
      <c r="U983" s="278"/>
      <c r="V983" s="278"/>
      <c r="W983" s="278"/>
      <c r="X983" s="278"/>
      <c r="Y983" s="278"/>
      <c r="Z983" s="278"/>
    </row>
    <row r="984">
      <c r="A984" s="278"/>
      <c r="B984" s="278"/>
      <c r="C984" s="278"/>
      <c r="D984" s="278"/>
      <c r="E984" s="278"/>
      <c r="F984" s="278"/>
      <c r="G984" s="278"/>
      <c r="H984" s="278"/>
      <c r="I984" s="278"/>
      <c r="J984" s="278"/>
      <c r="K984" s="278"/>
      <c r="L984" s="278"/>
      <c r="M984" s="278"/>
      <c r="N984" s="278"/>
      <c r="O984" s="278"/>
      <c r="P984" s="278"/>
      <c r="Q984" s="278"/>
      <c r="R984" s="278"/>
      <c r="S984" s="278"/>
      <c r="T984" s="278"/>
      <c r="U984" s="278"/>
      <c r="V984" s="278"/>
      <c r="W984" s="278"/>
      <c r="X984" s="278"/>
      <c r="Y984" s="278"/>
      <c r="Z984" s="278"/>
    </row>
    <row r="985">
      <c r="A985" s="278"/>
      <c r="B985" s="278"/>
      <c r="C985" s="278"/>
      <c r="D985" s="278"/>
      <c r="E985" s="278"/>
      <c r="F985" s="278"/>
      <c r="G985" s="278"/>
      <c r="H985" s="278"/>
      <c r="I985" s="278"/>
      <c r="J985" s="278"/>
      <c r="K985" s="278"/>
      <c r="L985" s="278"/>
      <c r="M985" s="278"/>
      <c r="N985" s="278"/>
      <c r="O985" s="278"/>
      <c r="P985" s="278"/>
      <c r="Q985" s="278"/>
      <c r="R985" s="278"/>
      <c r="S985" s="278"/>
      <c r="T985" s="278"/>
      <c r="U985" s="278"/>
      <c r="V985" s="278"/>
      <c r="W985" s="278"/>
      <c r="X985" s="278"/>
      <c r="Y985" s="278"/>
      <c r="Z985" s="278"/>
    </row>
    <row r="986">
      <c r="A986" s="278"/>
      <c r="B986" s="278"/>
      <c r="C986" s="278"/>
      <c r="D986" s="278"/>
      <c r="E986" s="278"/>
      <c r="F986" s="278"/>
      <c r="G986" s="278"/>
      <c r="H986" s="278"/>
      <c r="I986" s="278"/>
      <c r="J986" s="278"/>
      <c r="K986" s="278"/>
      <c r="L986" s="278"/>
      <c r="M986" s="278"/>
      <c r="N986" s="278"/>
      <c r="O986" s="278"/>
      <c r="P986" s="278"/>
      <c r="Q986" s="278"/>
      <c r="R986" s="278"/>
      <c r="S986" s="278"/>
      <c r="T986" s="278"/>
      <c r="U986" s="278"/>
      <c r="V986" s="278"/>
      <c r="W986" s="278"/>
      <c r="X986" s="278"/>
      <c r="Y986" s="278"/>
      <c r="Z986" s="278"/>
    </row>
    <row r="987">
      <c r="A987" s="278"/>
      <c r="B987" s="278"/>
      <c r="C987" s="278"/>
      <c r="D987" s="278"/>
      <c r="E987" s="278"/>
      <c r="F987" s="278"/>
      <c r="G987" s="278"/>
      <c r="H987" s="278"/>
      <c r="I987" s="278"/>
      <c r="J987" s="278"/>
      <c r="K987" s="278"/>
      <c r="L987" s="278"/>
      <c r="M987" s="278"/>
      <c r="N987" s="278"/>
      <c r="O987" s="278"/>
      <c r="P987" s="278"/>
      <c r="Q987" s="278"/>
      <c r="R987" s="278"/>
      <c r="S987" s="278"/>
      <c r="T987" s="278"/>
      <c r="U987" s="278"/>
      <c r="V987" s="278"/>
      <c r="W987" s="278"/>
      <c r="X987" s="278"/>
      <c r="Y987" s="278"/>
      <c r="Z987" s="278"/>
    </row>
    <row r="988">
      <c r="A988" s="278"/>
      <c r="B988" s="278"/>
      <c r="C988" s="278"/>
      <c r="D988" s="278"/>
      <c r="E988" s="278"/>
      <c r="F988" s="278"/>
      <c r="G988" s="278"/>
      <c r="H988" s="278"/>
      <c r="I988" s="278"/>
      <c r="J988" s="278"/>
      <c r="K988" s="278"/>
      <c r="L988" s="278"/>
      <c r="M988" s="278"/>
      <c r="N988" s="278"/>
      <c r="O988" s="278"/>
      <c r="P988" s="278"/>
      <c r="Q988" s="278"/>
      <c r="R988" s="278"/>
      <c r="S988" s="278"/>
      <c r="T988" s="278"/>
      <c r="U988" s="278"/>
      <c r="V988" s="278"/>
      <c r="W988" s="278"/>
      <c r="X988" s="278"/>
      <c r="Y988" s="278"/>
      <c r="Z988" s="278"/>
    </row>
    <row r="989">
      <c r="A989" s="278"/>
      <c r="B989" s="278"/>
      <c r="C989" s="278"/>
      <c r="D989" s="278"/>
      <c r="E989" s="278"/>
      <c r="F989" s="278"/>
      <c r="G989" s="278"/>
      <c r="H989" s="278"/>
      <c r="I989" s="278"/>
      <c r="J989" s="278"/>
      <c r="K989" s="278"/>
      <c r="L989" s="278"/>
      <c r="M989" s="278"/>
      <c r="N989" s="278"/>
      <c r="O989" s="278"/>
      <c r="P989" s="278"/>
      <c r="Q989" s="278"/>
      <c r="R989" s="278"/>
      <c r="S989" s="278"/>
      <c r="T989" s="278"/>
      <c r="U989" s="278"/>
      <c r="V989" s="278"/>
      <c r="W989" s="278"/>
      <c r="X989" s="278"/>
      <c r="Y989" s="278"/>
      <c r="Z989" s="278"/>
    </row>
    <row r="990">
      <c r="A990" s="278"/>
      <c r="B990" s="278"/>
      <c r="C990" s="278"/>
      <c r="D990" s="278"/>
      <c r="E990" s="278"/>
      <c r="F990" s="278"/>
      <c r="G990" s="278"/>
      <c r="H990" s="278"/>
      <c r="I990" s="278"/>
      <c r="J990" s="278"/>
      <c r="K990" s="278"/>
      <c r="L990" s="278"/>
      <c r="M990" s="278"/>
      <c r="N990" s="278"/>
      <c r="O990" s="278"/>
      <c r="P990" s="278"/>
      <c r="Q990" s="278"/>
      <c r="R990" s="278"/>
      <c r="S990" s="278"/>
      <c r="T990" s="278"/>
      <c r="U990" s="278"/>
      <c r="V990" s="278"/>
      <c r="W990" s="278"/>
      <c r="X990" s="278"/>
      <c r="Y990" s="278"/>
      <c r="Z990" s="278"/>
    </row>
    <row r="991">
      <c r="A991" s="278"/>
      <c r="B991" s="278"/>
      <c r="C991" s="278"/>
      <c r="D991" s="278"/>
      <c r="E991" s="278"/>
      <c r="F991" s="278"/>
      <c r="G991" s="278"/>
      <c r="H991" s="278"/>
      <c r="I991" s="278"/>
      <c r="J991" s="278"/>
      <c r="K991" s="278"/>
      <c r="L991" s="278"/>
      <c r="M991" s="278"/>
      <c r="N991" s="278"/>
      <c r="O991" s="278"/>
      <c r="P991" s="278"/>
      <c r="Q991" s="278"/>
      <c r="R991" s="278"/>
      <c r="S991" s="278"/>
      <c r="T991" s="278"/>
      <c r="U991" s="278"/>
      <c r="V991" s="278"/>
      <c r="W991" s="278"/>
      <c r="X991" s="278"/>
      <c r="Y991" s="278"/>
      <c r="Z991" s="278"/>
    </row>
    <row r="992">
      <c r="A992" s="278"/>
      <c r="B992" s="278"/>
      <c r="C992" s="278"/>
      <c r="D992" s="278"/>
      <c r="E992" s="278"/>
      <c r="F992" s="278"/>
      <c r="G992" s="278"/>
      <c r="H992" s="278"/>
      <c r="I992" s="278"/>
      <c r="J992" s="278"/>
      <c r="K992" s="278"/>
      <c r="L992" s="278"/>
      <c r="M992" s="278"/>
      <c r="N992" s="278"/>
      <c r="O992" s="278"/>
      <c r="P992" s="278"/>
      <c r="Q992" s="278"/>
      <c r="R992" s="278"/>
      <c r="S992" s="278"/>
      <c r="T992" s="278"/>
      <c r="U992" s="278"/>
      <c r="V992" s="278"/>
      <c r="W992" s="278"/>
      <c r="X992" s="278"/>
      <c r="Y992" s="278"/>
      <c r="Z992" s="278"/>
    </row>
    <row r="993">
      <c r="A993" s="278"/>
      <c r="B993" s="278"/>
      <c r="C993" s="278"/>
      <c r="D993" s="278"/>
      <c r="E993" s="278"/>
      <c r="F993" s="278"/>
      <c r="G993" s="278"/>
      <c r="H993" s="278"/>
      <c r="I993" s="278"/>
      <c r="J993" s="278"/>
      <c r="K993" s="278"/>
      <c r="L993" s="278"/>
      <c r="M993" s="278"/>
      <c r="N993" s="278"/>
      <c r="O993" s="278"/>
      <c r="P993" s="278"/>
      <c r="Q993" s="278"/>
      <c r="R993" s="278"/>
      <c r="S993" s="278"/>
      <c r="T993" s="278"/>
      <c r="U993" s="278"/>
      <c r="V993" s="278"/>
      <c r="W993" s="278"/>
      <c r="X993" s="278"/>
      <c r="Y993" s="278"/>
      <c r="Z993" s="278"/>
    </row>
    <row r="994">
      <c r="A994" s="278"/>
      <c r="B994" s="278"/>
      <c r="C994" s="278"/>
      <c r="D994" s="278"/>
      <c r="E994" s="278"/>
      <c r="F994" s="278"/>
      <c r="G994" s="278"/>
      <c r="H994" s="278"/>
      <c r="I994" s="278"/>
      <c r="J994" s="278"/>
      <c r="K994" s="278"/>
      <c r="L994" s="278"/>
      <c r="M994" s="278"/>
      <c r="N994" s="278"/>
      <c r="O994" s="278"/>
      <c r="P994" s="278"/>
      <c r="Q994" s="278"/>
      <c r="R994" s="278"/>
      <c r="S994" s="278"/>
      <c r="T994" s="278"/>
      <c r="U994" s="278"/>
      <c r="V994" s="278"/>
      <c r="W994" s="278"/>
      <c r="X994" s="278"/>
      <c r="Y994" s="278"/>
      <c r="Z994" s="278"/>
    </row>
    <row r="995">
      <c r="A995" s="278"/>
      <c r="B995" s="278"/>
      <c r="C995" s="278"/>
      <c r="D995" s="278"/>
      <c r="E995" s="278"/>
      <c r="F995" s="278"/>
      <c r="G995" s="278"/>
      <c r="H995" s="278"/>
      <c r="I995" s="278"/>
      <c r="J995" s="278"/>
      <c r="K995" s="278"/>
      <c r="L995" s="278"/>
      <c r="M995" s="278"/>
      <c r="N995" s="278"/>
      <c r="O995" s="278"/>
      <c r="P995" s="278"/>
      <c r="Q995" s="278"/>
      <c r="R995" s="278"/>
      <c r="S995" s="278"/>
      <c r="T995" s="278"/>
      <c r="U995" s="278"/>
      <c r="V995" s="278"/>
      <c r="W995" s="278"/>
      <c r="X995" s="278"/>
      <c r="Y995" s="278"/>
      <c r="Z995" s="278"/>
    </row>
    <row r="996">
      <c r="A996" s="278"/>
      <c r="B996" s="278"/>
      <c r="C996" s="278"/>
      <c r="D996" s="278"/>
      <c r="E996" s="278"/>
      <c r="F996" s="278"/>
      <c r="G996" s="278"/>
      <c r="H996" s="278"/>
      <c r="I996" s="278"/>
      <c r="J996" s="278"/>
      <c r="K996" s="278"/>
      <c r="L996" s="278"/>
      <c r="M996" s="278"/>
      <c r="N996" s="278"/>
      <c r="O996" s="278"/>
      <c r="P996" s="278"/>
      <c r="Q996" s="278"/>
      <c r="R996" s="278"/>
      <c r="S996" s="278"/>
      <c r="T996" s="278"/>
      <c r="U996" s="278"/>
      <c r="V996" s="278"/>
      <c r="W996" s="278"/>
      <c r="X996" s="278"/>
      <c r="Y996" s="278"/>
      <c r="Z996" s="278"/>
    </row>
    <row r="997">
      <c r="A997" s="278"/>
      <c r="B997" s="278"/>
      <c r="C997" s="278"/>
      <c r="D997" s="278"/>
      <c r="E997" s="278"/>
      <c r="F997" s="278"/>
      <c r="G997" s="278"/>
      <c r="H997" s="278"/>
      <c r="I997" s="278"/>
      <c r="J997" s="278"/>
      <c r="K997" s="278"/>
      <c r="L997" s="278"/>
      <c r="M997" s="278"/>
      <c r="N997" s="278"/>
      <c r="O997" s="278"/>
      <c r="P997" s="278"/>
      <c r="Q997" s="278"/>
      <c r="R997" s="278"/>
      <c r="S997" s="278"/>
      <c r="T997" s="278"/>
      <c r="U997" s="278"/>
      <c r="V997" s="278"/>
      <c r="W997" s="278"/>
      <c r="X997" s="278"/>
      <c r="Y997" s="278"/>
      <c r="Z997" s="278"/>
    </row>
    <row r="998">
      <c r="A998" s="278"/>
      <c r="B998" s="278"/>
      <c r="C998" s="278"/>
      <c r="D998" s="278"/>
      <c r="E998" s="278"/>
      <c r="F998" s="278"/>
      <c r="G998" s="278"/>
      <c r="H998" s="278"/>
      <c r="I998" s="278"/>
      <c r="J998" s="278"/>
      <c r="K998" s="278"/>
      <c r="L998" s="278"/>
      <c r="M998" s="278"/>
      <c r="N998" s="278"/>
      <c r="O998" s="278"/>
      <c r="P998" s="278"/>
      <c r="Q998" s="278"/>
      <c r="R998" s="278"/>
      <c r="S998" s="278"/>
      <c r="T998" s="278"/>
      <c r="U998" s="278"/>
      <c r="V998" s="278"/>
      <c r="W998" s="278"/>
      <c r="X998" s="278"/>
      <c r="Y998" s="278"/>
      <c r="Z998" s="278"/>
    </row>
    <row r="999">
      <c r="A999" s="278"/>
      <c r="B999" s="278"/>
      <c r="C999" s="278"/>
      <c r="D999" s="278"/>
      <c r="E999" s="278"/>
      <c r="F999" s="278"/>
      <c r="G999" s="278"/>
      <c r="H999" s="278"/>
      <c r="I999" s="278"/>
      <c r="J999" s="278"/>
      <c r="K999" s="278"/>
      <c r="L999" s="278"/>
      <c r="M999" s="278"/>
      <c r="N999" s="278"/>
      <c r="O999" s="278"/>
      <c r="P999" s="278"/>
      <c r="Q999" s="278"/>
      <c r="R999" s="278"/>
      <c r="S999" s="278"/>
      <c r="T999" s="278"/>
      <c r="U999" s="278"/>
      <c r="V999" s="278"/>
      <c r="W999" s="278"/>
      <c r="X999" s="278"/>
      <c r="Y999" s="278"/>
      <c r="Z999" s="278"/>
    </row>
    <row r="1000">
      <c r="A1000" s="278"/>
      <c r="B1000" s="278"/>
      <c r="C1000" s="278"/>
      <c r="D1000" s="278"/>
      <c r="E1000" s="278"/>
      <c r="F1000" s="278"/>
      <c r="G1000" s="278"/>
      <c r="H1000" s="278"/>
      <c r="I1000" s="278"/>
      <c r="J1000" s="278"/>
      <c r="K1000" s="278"/>
      <c r="L1000" s="278"/>
      <c r="M1000" s="278"/>
      <c r="N1000" s="278"/>
      <c r="O1000" s="278"/>
      <c r="P1000" s="278"/>
      <c r="Q1000" s="278"/>
      <c r="R1000" s="278"/>
      <c r="S1000" s="278"/>
      <c r="T1000" s="278"/>
      <c r="U1000" s="278"/>
      <c r="V1000" s="278"/>
      <c r="W1000" s="278"/>
      <c r="X1000" s="278"/>
      <c r="Y1000" s="278"/>
      <c r="Z1000" s="278"/>
    </row>
  </sheetData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1.0"/>
    <col customWidth="1" min="2" max="2" width="6.43"/>
    <col customWidth="1" min="3" max="3" width="2.14"/>
    <col customWidth="1" min="4" max="4" width="9.71"/>
    <col customWidth="1" min="5" max="5" width="10.71"/>
    <col customWidth="1" min="6" max="6" width="11.57"/>
    <col customWidth="1" min="7" max="7" width="8.43"/>
    <col customWidth="1" min="8" max="8" width="8.29"/>
    <col customWidth="1" min="9" max="9" width="12.71"/>
    <col customWidth="1" min="10" max="10" width="38.14"/>
    <col customWidth="1" min="11" max="11" width="8.29"/>
    <col customWidth="1" min="12" max="12" width="8.57"/>
    <col customWidth="1" min="13" max="13" width="7.57"/>
    <col customWidth="1" min="14" max="14" width="7.0"/>
    <col customWidth="1" min="15" max="15" width="2.14"/>
    <col customWidth="1" hidden="1" min="16" max="20" width="12.57"/>
    <col customWidth="1" hidden="1" min="21" max="21" width="2.14"/>
    <col customWidth="1" min="22" max="22" width="14.86"/>
    <col customWidth="1" hidden="1" min="23" max="24" width="34.57"/>
    <col customWidth="1" hidden="1" min="25" max="25" width="12.14"/>
    <col customWidth="1" hidden="1" min="26" max="26" width="1.57"/>
    <col customWidth="1" min="27" max="27" width="9.57"/>
  </cols>
  <sheetData>
    <row r="1">
      <c r="A1" s="204" t="s">
        <v>24</v>
      </c>
      <c r="B1" s="205" t="s">
        <v>6237</v>
      </c>
      <c r="C1" s="206"/>
      <c r="D1" s="207" t="s">
        <v>25</v>
      </c>
      <c r="E1" s="280" t="s">
        <v>21</v>
      </c>
      <c r="F1" s="208" t="s">
        <v>6077</v>
      </c>
      <c r="G1" s="208" t="s">
        <v>6318</v>
      </c>
      <c r="H1" s="209" t="s">
        <v>2</v>
      </c>
      <c r="I1" s="209" t="s">
        <v>6206</v>
      </c>
      <c r="J1" s="209" t="s">
        <v>6135</v>
      </c>
      <c r="K1" s="208" t="s">
        <v>6353</v>
      </c>
      <c r="L1" s="208" t="s">
        <v>6354</v>
      </c>
      <c r="M1" s="208" t="s">
        <v>6240</v>
      </c>
      <c r="N1" s="210" t="s">
        <v>7</v>
      </c>
      <c r="O1" s="206"/>
      <c r="P1" s="207" t="s">
        <v>6188</v>
      </c>
      <c r="Q1" s="208" t="s">
        <v>6319</v>
      </c>
      <c r="R1" s="208" t="s">
        <v>6132</v>
      </c>
      <c r="S1" s="208" t="s">
        <v>6134</v>
      </c>
      <c r="T1" s="208" t="s">
        <v>6147</v>
      </c>
      <c r="U1" s="211"/>
      <c r="V1" s="212" t="s">
        <v>6320</v>
      </c>
      <c r="W1" s="207"/>
      <c r="X1" s="209"/>
      <c r="Y1" s="208" t="s">
        <v>6321</v>
      </c>
      <c r="Z1" s="213"/>
      <c r="AA1" s="241"/>
    </row>
    <row r="2">
      <c r="A2" s="214" t="str">
        <f>IFS($B2=FALSE,"",$B2,VLOOKUP($B2,'PATIENT DATA (072721)'!A:C, 2, 0))</f>
        <v>PUZIO, ANN M</v>
      </c>
      <c r="B2" s="215">
        <v>15555.0</v>
      </c>
      <c r="C2" s="216" t="str">
        <f>IF(COUNTIF('PATIENT DATA (072721)'!A:A, B2)=0, "X","✓")</f>
        <v>✓</v>
      </c>
      <c r="D2" s="226">
        <f>IFS($B2=FALSE,"",$B2,VLOOKUP($B2,'PATIENT DATA (072721)'!A:C, 3, 0))</f>
        <v>20542</v>
      </c>
      <c r="E2" s="218">
        <v>44573.0</v>
      </c>
      <c r="F2" s="219">
        <f>ifs($B2="","",$B2, VLOOKUP($B2&amp;$E2, 'VISIT DATA'!A:O,3,0))</f>
        <v>0.3125</v>
      </c>
      <c r="G2" s="220" t="s">
        <v>6323</v>
      </c>
      <c r="H2" s="221" t="s">
        <v>12</v>
      </c>
      <c r="I2" s="222" t="str">
        <f>VLOOKUP($B2&amp;$E2,'VISIT DATA'!A:J, 9, FALSE)</f>
        <v>THOMAS</v>
      </c>
      <c r="J2" s="223" t="str">
        <f>VLOOKUP(B2&amp;E2,'VISIT DATA'!A:N,10,FALSE)</f>
        <v>MEDICARE TEXAS</v>
      </c>
      <c r="K2" s="242"/>
      <c r="L2" s="224" t="s">
        <v>6242</v>
      </c>
      <c r="M2" s="224"/>
      <c r="N2" s="225"/>
      <c r="O2" s="216" t="str">
        <f t="shared" ref="O2:O99" si="1">IF(OR(K2 = "x",L2 = "x",M2 = "x"),"✓", "X")</f>
        <v>✓</v>
      </c>
      <c r="P2" s="226" t="str">
        <f t="shared" ref="P2:P99" si="2">ifs(SEARCH($P$1,$J2)&gt;=1,"X")</f>
        <v>#VALUE!</v>
      </c>
      <c r="Q2" s="227" t="str">
        <f t="shared" ref="Q2:Q99" si="3">ifs(SEARCH($Q$1,$J2)&gt;=1,"X")</f>
        <v>#VALUE!</v>
      </c>
      <c r="R2" s="228" t="str">
        <f t="shared" ref="R2:R99" si="4">ifs(SEARCH($R$1,$J2)&gt;=1,"X")</f>
        <v>#VALUE!</v>
      </c>
      <c r="S2" s="220" t="str">
        <f t="shared" ref="S2:S99" si="5">ifs(SEARCH($S$1,$J2)&gt;=1,"X")</f>
        <v>#VALUE!</v>
      </c>
      <c r="T2" s="220" t="str">
        <f t="shared" ref="T2:T99" si="6">ifs(SEARCH($T$1,$J2)&gt;=1,"X")</f>
        <v>#VALUE!</v>
      </c>
      <c r="U2" s="221">
        <f t="shared" ref="U2:U99" si="7">countif($P2:$T2,"X")</f>
        <v>0</v>
      </c>
      <c r="V2" s="229" t="str">
        <f>ifs($N2="",VLOOKUP($B2&amp;$E2,'VISIT DATA'!$A$2:$J100,7,FALSE), $N2="SWAB","OUTSA-RW",$N2="SWQU","OUTSA-SaQu", AND($L2="X",$M2="X",$N2="QUEST"),"OUT-UAQPre",$N2="QUEST","OUT-UAQ", $N2="Walk in","ColUATele")</f>
        <v>UA</v>
      </c>
      <c r="W2" s="24" t="str">
        <f t="shared" ref="W2:W99" si="8">ifs($V2="UA-NWPT","UA-NWPT : UA New Patient",$V2="UA","UA : Urine Analysis In House",$V2="UA-Prelim","UA-Prelim : Preliminary UA Test",$V2="OUT-UAQ","OUT-UAQ : Quest Out UA",$V2="OUT-UAQPre", "OUT-UAQPre : OUT UA Prelim Quest",$V2="OUTSA-SaQu","OUTSA-SaQu : Saliva Out Quest",$V2="ColUATele","Collected Telemed",$V2="OUTUA-PrRW", "OUTUA-PrRW : OUT UA Prelimin Redwood",$V2="OUTUA-FURW", "OUTUA-FURW : OUT UA FU Redwood",$V2="OUTUA-NWRW", "OUTUA-NWRW : OUT UA New Redwood",$V2="OUTSA-RW", "OUTSA-RW : OUT Saliva Redwood")</f>
        <v>UA : Urine Analysis In House</v>
      </c>
      <c r="X2" s="222" t="str">
        <f t="shared" ref="X2:X99" si="9">ifs($B2="","",and($K2="X",$L2="X",$M2="X",$N2="SWAB"), "ERROR",and($K2="X",$L2="X",$N2="SWAB"), "ERROR", and($L2="X",$N2="SWAB"), "OUTSA-RW : OUT Saliva Redwood", and($K2="X",$M2="X", $N2="SWAB"),"ERROR", and($M2="X",$N2="SWAB"), "OUTSA-RW : OUT Saliva Redwood", and($K2="X",$N2="SWAB"),"OUTSA-RW : OUT Saliva Redwood",and($K2="X",$L2="X"),"ERROR", and($K2="X",$M2="X"),"ERROR",and($M2="X",$U2=1), "OUTUA-PrRW : OUT UA Prelimin Redwood", and($K2="X",$U2=1), "OUTUA-NWRW : OUT UA New Redwood", and($L2="X",$U2=1), "OUTUA-FURW : OUT UA FU Redwood", and($L2="X",$M2="X",$U2=1), "OUTUA-PrRW : OUT UA Prelimin Redwood", $K2="X","UA-NWPT : UA New Patient", and($L2="X",$M2="X"),"UA-Prelim : Preliminary UA Test",and($L2="X",$N2="SWAB"),"OUTSA-RW : OUT Saliva Redwood",$L2="X","UA : Urine Analysis In House",$M2="X","UA-Prelim : Preliminary UA Test")</f>
        <v>UA : Urine Analysis In House</v>
      </c>
      <c r="Y2" s="222" t="str">
        <f t="shared" ref="Y2:Y99" si="10">IFS($B2="","",X2=W2,"MATCH",X2&lt;&gt;W2,"NO MATCH")</f>
        <v>MATCH</v>
      </c>
      <c r="Z2" s="224" t="str">
        <f t="shared" ref="Z2:Z99" si="11">IF((countif($B$2:$B100,$B2)&gt;1),"Repeat"," ")</f>
        <v> </v>
      </c>
      <c r="AA2" s="243"/>
    </row>
    <row r="3">
      <c r="A3" s="214" t="str">
        <f>IFS($B3=FALSE,"",$B3,VLOOKUP($B3,'PATIENT DATA (072721)'!A:C, 2, 0))</f>
        <v>GUERRA, JON</v>
      </c>
      <c r="B3" s="215">
        <v>11511.0</v>
      </c>
      <c r="C3" s="216" t="str">
        <f>IF(COUNTIF('PATIENT DATA (072721)'!A:A, B3)=0, "X","✓")</f>
        <v>✓</v>
      </c>
      <c r="D3" s="226">
        <f>IFS($B3=FALSE,"",$B3,VLOOKUP($B3,'PATIENT DATA (072721)'!A:C, 3, 0))</f>
        <v>29821</v>
      </c>
      <c r="E3" s="218">
        <v>44573.0</v>
      </c>
      <c r="F3" s="219">
        <f>ifs($B3="","",$B3, VLOOKUP($B3&amp;$E3, 'VISIT DATA'!A:O,3,0))</f>
        <v>0.3541666667</v>
      </c>
      <c r="G3" s="220" t="s">
        <v>6328</v>
      </c>
      <c r="H3" s="221" t="s">
        <v>14</v>
      </c>
      <c r="I3" s="222" t="str">
        <f>VLOOKUP($B3&amp;$E3,'VISIT DATA'!A:J, 9, FALSE)</f>
        <v>TORRES</v>
      </c>
      <c r="J3" s="223" t="str">
        <f>VLOOKUP(B3&amp;E3,'VISIT DATA'!A:N,10,FALSE)</f>
        <v>AETNA</v>
      </c>
      <c r="K3" s="224"/>
      <c r="L3" s="224" t="s">
        <v>6242</v>
      </c>
      <c r="M3" s="224"/>
      <c r="N3" s="225"/>
      <c r="O3" s="216" t="str">
        <f t="shared" si="1"/>
        <v>✓</v>
      </c>
      <c r="P3" s="226" t="str">
        <f t="shared" si="2"/>
        <v>#VALUE!</v>
      </c>
      <c r="Q3" s="227" t="str">
        <f t="shared" si="3"/>
        <v>#VALUE!</v>
      </c>
      <c r="R3" s="228" t="str">
        <f t="shared" si="4"/>
        <v>#VALUE!</v>
      </c>
      <c r="S3" s="220" t="str">
        <f t="shared" si="5"/>
        <v>#VALUE!</v>
      </c>
      <c r="T3" s="220" t="str">
        <f t="shared" si="6"/>
        <v>#VALUE!</v>
      </c>
      <c r="U3" s="221">
        <f t="shared" si="7"/>
        <v>0</v>
      </c>
      <c r="V3" s="229" t="str">
        <f>ifs($N3="",VLOOKUP($B3&amp;$E3,'VISIT DATA'!$A$2:$J100,7,FALSE), $N3="SWAB","OUTSA-RW",$N3="SWQU","OUTSA-SaQu", AND($L3="X",$M3="X",$N3="QUEST"),"OUT-UAQPre",$N3="QUEST","OUT-UAQ", $N3="Walk in","ColUATele")</f>
        <v>UA</v>
      </c>
      <c r="W3" s="24" t="str">
        <f t="shared" si="8"/>
        <v>UA : Urine Analysis In House</v>
      </c>
      <c r="X3" s="222" t="str">
        <f t="shared" si="9"/>
        <v>UA : Urine Analysis In House</v>
      </c>
      <c r="Y3" s="222" t="str">
        <f t="shared" si="10"/>
        <v>MATCH</v>
      </c>
      <c r="Z3" s="224" t="str">
        <f t="shared" si="11"/>
        <v> </v>
      </c>
      <c r="AA3" s="243"/>
    </row>
    <row r="4">
      <c r="A4" s="214" t="str">
        <f>IFS($B4=FALSE,"",$B4,VLOOKUP($B4,'PATIENT DATA (072721)'!A:C, 2, 0))</f>
        <v>REYES, GUADALUPE</v>
      </c>
      <c r="B4" s="215">
        <v>17211.0</v>
      </c>
      <c r="C4" s="216" t="str">
        <f>IF(COUNTIF('PATIENT DATA (072721)'!A:A, B4)=0, "X","✓")</f>
        <v>✓</v>
      </c>
      <c r="D4" s="226">
        <f>IFS($B4=FALSE,"",$B4,VLOOKUP($B4,'PATIENT DATA (072721)'!A:C, 3, 0))</f>
        <v>16418</v>
      </c>
      <c r="E4" s="218">
        <v>44573.0</v>
      </c>
      <c r="F4" s="219">
        <f>ifs($B4="","",$B4, VLOOKUP($B4&amp;$E4, 'VISIT DATA'!A:O,3,0))</f>
        <v>0.3541666667</v>
      </c>
      <c r="G4" s="220" t="s">
        <v>6323</v>
      </c>
      <c r="H4" s="221" t="s">
        <v>14</v>
      </c>
      <c r="I4" s="222" t="str">
        <f>VLOOKUP($B4&amp;$E4,'VISIT DATA'!A:J, 9, FALSE)</f>
        <v>TORRES</v>
      </c>
      <c r="J4" s="223" t="str">
        <f>VLOOKUP(B4&amp;E4,'VISIT DATA'!A:N,10,FALSE)</f>
        <v>WELLMED - CIGNA HEALTHSPRING</v>
      </c>
      <c r="K4" s="242"/>
      <c r="L4" s="224" t="s">
        <v>6242</v>
      </c>
      <c r="M4" s="224"/>
      <c r="N4" s="225"/>
      <c r="O4" s="216" t="str">
        <f t="shared" si="1"/>
        <v>✓</v>
      </c>
      <c r="P4" s="226" t="str">
        <f t="shared" si="2"/>
        <v>X</v>
      </c>
      <c r="Q4" s="227" t="str">
        <f t="shared" si="3"/>
        <v>#VALUE!</v>
      </c>
      <c r="R4" s="228" t="str">
        <f t="shared" si="4"/>
        <v>#VALUE!</v>
      </c>
      <c r="S4" s="220" t="str">
        <f t="shared" si="5"/>
        <v>#VALUE!</v>
      </c>
      <c r="T4" s="220" t="str">
        <f t="shared" si="6"/>
        <v>#VALUE!</v>
      </c>
      <c r="U4" s="221">
        <f t="shared" si="7"/>
        <v>1</v>
      </c>
      <c r="V4" s="229" t="str">
        <f>ifs($N4="",VLOOKUP($B4&amp;$E4,'VISIT DATA'!$A$2:$J100,7,FALSE), $N4="SWAB","OUTSA-RW",$N4="SWQU","OUTSA-SaQu", AND($L4="X",$M4="X",$N4="QUEST"),"OUT-UAQPre",$N4="QUEST","OUT-UAQ", $N4="Walk in","ColUATele")</f>
        <v>OUTUA-FURW</v>
      </c>
      <c r="W4" s="24" t="str">
        <f t="shared" si="8"/>
        <v>OUTUA-FURW : OUT UA FU Redwood</v>
      </c>
      <c r="X4" s="222" t="str">
        <f t="shared" si="9"/>
        <v>OUTUA-FURW : OUT UA FU Redwood</v>
      </c>
      <c r="Y4" s="222" t="str">
        <f t="shared" si="10"/>
        <v>MATCH</v>
      </c>
      <c r="Z4" s="224" t="str">
        <f t="shared" si="11"/>
        <v> </v>
      </c>
      <c r="AA4" s="243"/>
    </row>
    <row r="5">
      <c r="A5" s="214" t="str">
        <f>IFS($B5=FALSE,"",$B5,VLOOKUP($B5,'PATIENT DATA (072721)'!A:C, 2, 0))</f>
        <v>MCALEER, KAREN</v>
      </c>
      <c r="B5" s="215">
        <v>14901.0</v>
      </c>
      <c r="C5" s="216" t="str">
        <f>IF(COUNTIF('PATIENT DATA (072721)'!A:A, B5)=0, "X","✓")</f>
        <v>✓</v>
      </c>
      <c r="D5" s="226">
        <f>IFS($B5=FALSE,"",$B5,VLOOKUP($B5,'PATIENT DATA (072721)'!A:C, 3, 0))</f>
        <v>21206</v>
      </c>
      <c r="E5" s="218">
        <v>44573.0</v>
      </c>
      <c r="F5" s="219">
        <f>ifs($B5="","",$B5, VLOOKUP($B5&amp;$E5, 'VISIT DATA'!A:O,3,0))</f>
        <v>0.3541666667</v>
      </c>
      <c r="G5" s="220" t="s">
        <v>6323</v>
      </c>
      <c r="H5" s="221" t="s">
        <v>15</v>
      </c>
      <c r="I5" s="222" t="str">
        <f>VLOOKUP($B5&amp;$E5,'VISIT DATA'!A:J, 9, FALSE)</f>
        <v>MARTINEZ</v>
      </c>
      <c r="J5" s="223" t="str">
        <f>VLOOKUP(B5&amp;E5,'VISIT DATA'!A:N,10,FALSE)</f>
        <v>CIGNA OPEN ACCESS PLAN (OAP)</v>
      </c>
      <c r="K5" s="224"/>
      <c r="L5" s="224" t="s">
        <v>6242</v>
      </c>
      <c r="M5" s="224"/>
      <c r="N5" s="225"/>
      <c r="O5" s="216" t="str">
        <f t="shared" si="1"/>
        <v>✓</v>
      </c>
      <c r="P5" s="226" t="str">
        <f t="shared" si="2"/>
        <v>#VALUE!</v>
      </c>
      <c r="Q5" s="227" t="str">
        <f t="shared" si="3"/>
        <v>#VALUE!</v>
      </c>
      <c r="R5" s="228" t="str">
        <f t="shared" si="4"/>
        <v>#VALUE!</v>
      </c>
      <c r="S5" s="220" t="str">
        <f t="shared" si="5"/>
        <v>#VALUE!</v>
      </c>
      <c r="T5" s="220" t="str">
        <f t="shared" si="6"/>
        <v>#VALUE!</v>
      </c>
      <c r="U5" s="221">
        <f t="shared" si="7"/>
        <v>0</v>
      </c>
      <c r="V5" s="229" t="str">
        <f>ifs($N5="",VLOOKUP($B5&amp;$E5,'VISIT DATA'!$A$2:$J100,7,FALSE), $N5="SWAB","OUTSA-RW",$N5="SWQU","OUTSA-SaQu", AND($L5="X",$M5="X",$N5="QUEST"),"OUT-UAQPre",$N5="QUEST","OUT-UAQ", $N5="Walk in","ColUATele")</f>
        <v>UA</v>
      </c>
      <c r="W5" s="24" t="str">
        <f t="shared" si="8"/>
        <v>UA : Urine Analysis In House</v>
      </c>
      <c r="X5" s="222" t="str">
        <f t="shared" si="9"/>
        <v>UA : Urine Analysis In House</v>
      </c>
      <c r="Y5" s="222" t="str">
        <f t="shared" si="10"/>
        <v>MATCH</v>
      </c>
      <c r="Z5" s="224" t="str">
        <f t="shared" si="11"/>
        <v> </v>
      </c>
      <c r="AA5" s="243"/>
    </row>
    <row r="6">
      <c r="A6" s="214" t="str">
        <f>IFS($B6=FALSE,"",$B6,VLOOKUP($B6,'PATIENT DATA (072721)'!A:C, 2, 0))</f>
        <v>TRAVER, MARIA T</v>
      </c>
      <c r="B6" s="215">
        <v>17542.0</v>
      </c>
      <c r="C6" s="216" t="str">
        <f>IF(COUNTIF('PATIENT DATA (072721)'!A:A, B6)=0, "X","✓")</f>
        <v>✓</v>
      </c>
      <c r="D6" s="226">
        <f>IFS($B6=FALSE,"",$B6,VLOOKUP($B6,'PATIENT DATA (072721)'!A:C, 3, 0))</f>
        <v>20417</v>
      </c>
      <c r="E6" s="218">
        <v>44573.0</v>
      </c>
      <c r="F6" s="219">
        <f>ifs($B6="","",$B6, VLOOKUP($B6&amp;$E6, 'VISIT DATA'!A:O,3,0))</f>
        <v>0.3541666667</v>
      </c>
      <c r="G6" s="220" t="s">
        <v>6323</v>
      </c>
      <c r="H6" s="221" t="s">
        <v>15</v>
      </c>
      <c r="I6" s="222" t="str">
        <f>VLOOKUP($B6&amp;$E6,'VISIT DATA'!A:J, 9, FALSE)</f>
        <v>MARTINEZ</v>
      </c>
      <c r="J6" s="223" t="str">
        <f>VLOOKUP(B6&amp;E6,'VISIT DATA'!A:N,10,FALSE)</f>
        <v>BCBSTX PPO</v>
      </c>
      <c r="K6" s="224"/>
      <c r="L6" s="224" t="s">
        <v>6242</v>
      </c>
      <c r="M6" s="224" t="s">
        <v>6242</v>
      </c>
      <c r="N6" s="225"/>
      <c r="O6" s="216" t="str">
        <f t="shared" si="1"/>
        <v>✓</v>
      </c>
      <c r="P6" s="226" t="str">
        <f t="shared" si="2"/>
        <v>#VALUE!</v>
      </c>
      <c r="Q6" s="227" t="str">
        <f t="shared" si="3"/>
        <v>#VALUE!</v>
      </c>
      <c r="R6" s="228" t="str">
        <f t="shared" si="4"/>
        <v>#VALUE!</v>
      </c>
      <c r="S6" s="220" t="str">
        <f t="shared" si="5"/>
        <v>#VALUE!</v>
      </c>
      <c r="T6" s="220" t="str">
        <f t="shared" si="6"/>
        <v>#VALUE!</v>
      </c>
      <c r="U6" s="221">
        <f t="shared" si="7"/>
        <v>0</v>
      </c>
      <c r="V6" s="229" t="str">
        <f>ifs($N6="",VLOOKUP($B6&amp;$E6,'VISIT DATA'!$A$2:$J100,7,FALSE), $N6="SWAB","OUTSA-RW",$N6="SWQU","OUTSA-SaQu", AND($L6="X",$M6="X",$N6="QUEST"),"OUT-UAQPre",$N6="QUEST","OUT-UAQ", $N6="Walk in","ColUATele")</f>
        <v>UA-Prelim</v>
      </c>
      <c r="W6" s="24" t="str">
        <f t="shared" si="8"/>
        <v>UA-Prelim : Preliminary UA Test</v>
      </c>
      <c r="X6" s="222" t="str">
        <f t="shared" si="9"/>
        <v>UA-Prelim : Preliminary UA Test</v>
      </c>
      <c r="Y6" s="222" t="str">
        <f t="shared" si="10"/>
        <v>MATCH</v>
      </c>
      <c r="Z6" s="224" t="str">
        <f t="shared" si="11"/>
        <v> </v>
      </c>
      <c r="AA6" s="243"/>
    </row>
    <row r="7">
      <c r="A7" s="214" t="str">
        <f>IFS($B7=FALSE,"",$B7,VLOOKUP($B7,'PATIENT DATA (072721)'!A:C, 2, 0))</f>
        <v>MARINELARENA, MATILDE OLIVIA</v>
      </c>
      <c r="B7" s="215">
        <v>14200.0</v>
      </c>
      <c r="C7" s="216" t="str">
        <f>IF(COUNTIF('PATIENT DATA (072721)'!A:A, B7)=0, "X","✓")</f>
        <v>✓</v>
      </c>
      <c r="D7" s="226">
        <f>IFS($B7=FALSE,"",$B7,VLOOKUP($B7,'PATIENT DATA (072721)'!A:C, 3, 0))</f>
        <v>25722</v>
      </c>
      <c r="E7" s="218">
        <v>44573.0</v>
      </c>
      <c r="F7" s="219">
        <f>ifs($B7="","",$B7, VLOOKUP($B7&amp;$E7, 'VISIT DATA'!A:O,3,0))</f>
        <v>0.34375</v>
      </c>
      <c r="G7" s="220" t="s">
        <v>6323</v>
      </c>
      <c r="H7" s="221" t="s">
        <v>15</v>
      </c>
      <c r="I7" s="222" t="str">
        <f>VLOOKUP($B7&amp;$E7,'VISIT DATA'!A:J, 9, FALSE)</f>
        <v>MARTINEZ</v>
      </c>
      <c r="J7" s="223" t="str">
        <f>VLOOKUP(B7&amp;E7,'VISIT DATA'!A:N,10,FALSE)</f>
        <v>BCBSTX PPO</v>
      </c>
      <c r="K7" s="242"/>
      <c r="L7" s="224" t="s">
        <v>6242</v>
      </c>
      <c r="M7" s="224"/>
      <c r="N7" s="225"/>
      <c r="O7" s="216" t="str">
        <f t="shared" si="1"/>
        <v>✓</v>
      </c>
      <c r="P7" s="226" t="str">
        <f t="shared" si="2"/>
        <v>#VALUE!</v>
      </c>
      <c r="Q7" s="227" t="str">
        <f t="shared" si="3"/>
        <v>#VALUE!</v>
      </c>
      <c r="R7" s="228" t="str">
        <f t="shared" si="4"/>
        <v>#VALUE!</v>
      </c>
      <c r="S7" s="220" t="str">
        <f t="shared" si="5"/>
        <v>#VALUE!</v>
      </c>
      <c r="T7" s="220" t="str">
        <f t="shared" si="6"/>
        <v>#VALUE!</v>
      </c>
      <c r="U7" s="221">
        <f t="shared" si="7"/>
        <v>0</v>
      </c>
      <c r="V7" s="229" t="str">
        <f>ifs($N7="",VLOOKUP($B7&amp;$E7,'VISIT DATA'!$A$2:$J100,7,FALSE), $N7="SWAB","OUTSA-RW",$N7="SWQU","OUTSA-SaQu", AND($L7="X",$M7="X",$N7="QUEST"),"OUT-UAQPre",$N7="QUEST","OUT-UAQ", $N7="Walk in","ColUATele")</f>
        <v>UA</v>
      </c>
      <c r="W7" s="24" t="str">
        <f t="shared" si="8"/>
        <v>UA : Urine Analysis In House</v>
      </c>
      <c r="X7" s="222" t="str">
        <f t="shared" si="9"/>
        <v>UA : Urine Analysis In House</v>
      </c>
      <c r="Y7" s="222" t="str">
        <f t="shared" si="10"/>
        <v>MATCH</v>
      </c>
      <c r="Z7" s="224" t="str">
        <f t="shared" si="11"/>
        <v> </v>
      </c>
      <c r="AA7" s="243"/>
    </row>
    <row r="8">
      <c r="A8" s="214" t="str">
        <f>IFS($B8=FALSE,"",$B8,VLOOKUP($B8,'PATIENT DATA (072721)'!A:C, 2, 0))</f>
        <v>CHRISTMAS, KATHERINE</v>
      </c>
      <c r="B8" s="215">
        <v>15791.0</v>
      </c>
      <c r="C8" s="216" t="str">
        <f>IF(COUNTIF('PATIENT DATA (072721)'!A:A, B8)=0, "X","✓")</f>
        <v>✓</v>
      </c>
      <c r="D8" s="226">
        <f>IFS($B8=FALSE,"",$B8,VLOOKUP($B8,'PATIENT DATA (072721)'!A:C, 3, 0))</f>
        <v>21098</v>
      </c>
      <c r="E8" s="218">
        <v>44573.0</v>
      </c>
      <c r="F8" s="219">
        <f>ifs($B8="","",$B8, VLOOKUP($B8&amp;$E8, 'VISIT DATA'!A:O,3,0))</f>
        <v>0.3958333333</v>
      </c>
      <c r="G8" s="220" t="s">
        <v>6323</v>
      </c>
      <c r="H8" s="221" t="s">
        <v>14</v>
      </c>
      <c r="I8" s="222" t="str">
        <f>VLOOKUP($B8&amp;$E8,'VISIT DATA'!A:J, 9, FALSE)</f>
        <v>TORRES</v>
      </c>
      <c r="J8" s="223" t="str">
        <f>VLOOKUP(B8&amp;E8,'VISIT DATA'!A:N,10,FALSE)</f>
        <v>AMERIGROUP</v>
      </c>
      <c r="K8" s="242"/>
      <c r="L8" s="224" t="s">
        <v>6242</v>
      </c>
      <c r="M8" s="224"/>
      <c r="N8" s="225"/>
      <c r="O8" s="216" t="str">
        <f t="shared" si="1"/>
        <v>✓</v>
      </c>
      <c r="P8" s="226" t="str">
        <f t="shared" si="2"/>
        <v>#VALUE!</v>
      </c>
      <c r="Q8" s="227" t="str">
        <f t="shared" si="3"/>
        <v>#VALUE!</v>
      </c>
      <c r="R8" s="228" t="str">
        <f t="shared" si="4"/>
        <v>#VALUE!</v>
      </c>
      <c r="S8" s="220" t="str">
        <f t="shared" si="5"/>
        <v>#VALUE!</v>
      </c>
      <c r="T8" s="220" t="str">
        <f t="shared" si="6"/>
        <v>#VALUE!</v>
      </c>
      <c r="U8" s="221">
        <f t="shared" si="7"/>
        <v>0</v>
      </c>
      <c r="V8" s="229" t="str">
        <f>ifs($N8="",VLOOKUP($B8&amp;$E8,'VISIT DATA'!$A$2:$J100,7,FALSE), $N8="SWAB","OUTSA-RW",$N8="SWQU","OUTSA-SaQu", AND($L8="X",$M8="X",$N8="QUEST"),"OUT-UAQPre",$N8="QUEST","OUT-UAQ", $N8="Walk in","ColUATele")</f>
        <v>UA</v>
      </c>
      <c r="W8" s="24" t="str">
        <f t="shared" si="8"/>
        <v>UA : Urine Analysis In House</v>
      </c>
      <c r="X8" s="222" t="str">
        <f t="shared" si="9"/>
        <v>UA : Urine Analysis In House</v>
      </c>
      <c r="Y8" s="222" t="str">
        <f t="shared" si="10"/>
        <v>MATCH</v>
      </c>
      <c r="Z8" s="224" t="str">
        <f t="shared" si="11"/>
        <v> </v>
      </c>
      <c r="AA8" s="243"/>
    </row>
    <row r="9">
      <c r="A9" s="214" t="str">
        <f>IFS($B9=FALSE,"",$B9,VLOOKUP($B9,'PATIENT DATA (072721)'!A:C, 2, 0))</f>
        <v>PADILLA, RAUL</v>
      </c>
      <c r="B9" s="215">
        <v>17832.0</v>
      </c>
      <c r="C9" s="216" t="str">
        <f>IF(COUNTIF('PATIENT DATA (072721)'!A:A, B9)=0, "X","✓")</f>
        <v>✓</v>
      </c>
      <c r="D9" s="226">
        <f>IFS($B9=FALSE,"",$B9,VLOOKUP($B9,'PATIENT DATA (072721)'!A:C, 3, 0))</f>
        <v>16496</v>
      </c>
      <c r="E9" s="218">
        <v>44573.0</v>
      </c>
      <c r="F9" s="219">
        <f>ifs($B9="","",$B9, VLOOKUP($B9&amp;$E9, 'VISIT DATA'!A:O,3,0))</f>
        <v>0.3645833333</v>
      </c>
      <c r="G9" s="220" t="s">
        <v>6328</v>
      </c>
      <c r="H9" s="221" t="s">
        <v>13</v>
      </c>
      <c r="I9" s="222" t="str">
        <f>VLOOKUP($B9&amp;$E9,'VISIT DATA'!A:J, 9, FALSE)</f>
        <v>THOMAS</v>
      </c>
      <c r="J9" s="223" t="str">
        <f>VLOOKUP(B9&amp;E9,'VISIT DATA'!A:N,10,FALSE)</f>
        <v>WELLMED - UHC DUAL COMPLETE SNP</v>
      </c>
      <c r="K9" s="224" t="s">
        <v>6242</v>
      </c>
      <c r="L9" s="224"/>
      <c r="M9" s="224"/>
      <c r="N9" s="225"/>
      <c r="O9" s="216" t="str">
        <f t="shared" si="1"/>
        <v>✓</v>
      </c>
      <c r="P9" s="226" t="str">
        <f t="shared" si="2"/>
        <v>X</v>
      </c>
      <c r="Q9" s="227" t="str">
        <f t="shared" si="3"/>
        <v>#VALUE!</v>
      </c>
      <c r="R9" s="228" t="str">
        <f t="shared" si="4"/>
        <v>#VALUE!</v>
      </c>
      <c r="S9" s="220" t="str">
        <f t="shared" si="5"/>
        <v>#VALUE!</v>
      </c>
      <c r="T9" s="220" t="str">
        <f t="shared" si="6"/>
        <v>#VALUE!</v>
      </c>
      <c r="U9" s="221">
        <f t="shared" si="7"/>
        <v>1</v>
      </c>
      <c r="V9" s="229" t="str">
        <f>ifs($N9="",VLOOKUP($B9&amp;$E9,'VISIT DATA'!$A$2:$J100,7,FALSE), $N9="SWAB","OUTSA-RW",$N9="SWQU","OUTSA-SaQu", AND($L9="X",$M9="X",$N9="QUEST"),"OUT-UAQPre",$N9="QUEST","OUT-UAQ", $N9="Walk in","ColUATele")</f>
        <v>OUTUA-NWRW</v>
      </c>
      <c r="W9" s="24" t="str">
        <f t="shared" si="8"/>
        <v>OUTUA-NWRW : OUT UA New Redwood</v>
      </c>
      <c r="X9" s="222" t="str">
        <f t="shared" si="9"/>
        <v>OUTUA-NWRW : OUT UA New Redwood</v>
      </c>
      <c r="Y9" s="222" t="str">
        <f t="shared" si="10"/>
        <v>MATCH</v>
      </c>
      <c r="Z9" s="224" t="str">
        <f t="shared" si="11"/>
        <v> </v>
      </c>
      <c r="AA9" s="243"/>
    </row>
    <row r="10">
      <c r="A10" s="214" t="str">
        <f>IFS($B10=FALSE,"",$B10,VLOOKUP($B10,'PATIENT DATA (072721)'!A:C, 2, 0))</f>
        <v>VASQUEZ, GUADALUPE</v>
      </c>
      <c r="B10" s="215">
        <v>17846.0</v>
      </c>
      <c r="C10" s="216" t="str">
        <f>IF(COUNTIF('PATIENT DATA (072721)'!A:A, B10)=0, "X","✓")</f>
        <v>✓</v>
      </c>
      <c r="D10" s="226">
        <f>IFS($B10=FALSE,"",$B10,VLOOKUP($B10,'PATIENT DATA (072721)'!A:C, 3, 0))</f>
        <v>19720</v>
      </c>
      <c r="E10" s="218">
        <v>44573.0</v>
      </c>
      <c r="F10" s="219">
        <f>ifs($B10="","",$B10, VLOOKUP($B10&amp;$E10, 'VISIT DATA'!A:O,3,0))</f>
        <v>0.3958333333</v>
      </c>
      <c r="G10" s="220" t="s">
        <v>6323</v>
      </c>
      <c r="H10" s="221" t="s">
        <v>12</v>
      </c>
      <c r="I10" s="222" t="str">
        <f>VLOOKUP($B10&amp;$E10,'VISIT DATA'!A:J, 9, FALSE)</f>
        <v>THOMAS</v>
      </c>
      <c r="J10" s="223" t="str">
        <f>VLOOKUP(B10&amp;E10,'VISIT DATA'!A:N,10,FALSE)</f>
        <v>WELLMED - AARP MEDICARE COMPLETE</v>
      </c>
      <c r="K10" s="224" t="s">
        <v>6242</v>
      </c>
      <c r="L10" s="224"/>
      <c r="M10" s="224"/>
      <c r="N10" s="225"/>
      <c r="O10" s="216" t="str">
        <f t="shared" si="1"/>
        <v>✓</v>
      </c>
      <c r="P10" s="226" t="str">
        <f t="shared" si="2"/>
        <v>X</v>
      </c>
      <c r="Q10" s="227" t="str">
        <f t="shared" si="3"/>
        <v>#VALUE!</v>
      </c>
      <c r="R10" s="228" t="str">
        <f t="shared" si="4"/>
        <v>#VALUE!</v>
      </c>
      <c r="S10" s="220" t="str">
        <f t="shared" si="5"/>
        <v>#VALUE!</v>
      </c>
      <c r="T10" s="220" t="str">
        <f t="shared" si="6"/>
        <v>#VALUE!</v>
      </c>
      <c r="U10" s="221">
        <f t="shared" si="7"/>
        <v>1</v>
      </c>
      <c r="V10" s="229" t="str">
        <f>ifs($N10="",VLOOKUP($B10&amp;$E10,'VISIT DATA'!$A$2:$J100,7,FALSE), $N10="SWAB","OUTSA-RW",$N10="SWQU","OUTSA-SaQu", AND($L10="X",$M10="X",$N10="QUEST"),"OUT-UAQPre",$N10="QUEST","OUT-UAQ", $N10="Walk in","ColUATele")</f>
        <v>OUTUA-NWRW</v>
      </c>
      <c r="W10" s="24" t="str">
        <f t="shared" si="8"/>
        <v>OUTUA-NWRW : OUT UA New Redwood</v>
      </c>
      <c r="X10" s="222" t="str">
        <f t="shared" si="9"/>
        <v>OUTUA-NWRW : OUT UA New Redwood</v>
      </c>
      <c r="Y10" s="222" t="str">
        <f t="shared" si="10"/>
        <v>MATCH</v>
      </c>
      <c r="Z10" s="224" t="str">
        <f t="shared" si="11"/>
        <v> </v>
      </c>
      <c r="AA10" s="243"/>
    </row>
    <row r="11">
      <c r="A11" s="214" t="str">
        <f>IFS($B11=FALSE,"",$B11,VLOOKUP($B11,'PATIENT DATA (072721)'!A:C, 2, 0))</f>
        <v>MORENO, JOSE M</v>
      </c>
      <c r="B11" s="215">
        <v>9752.0</v>
      </c>
      <c r="C11" s="216" t="str">
        <f>IF(COUNTIF('PATIENT DATA (072721)'!A:A, B11)=0, "X","✓")</f>
        <v>✓</v>
      </c>
      <c r="D11" s="226">
        <f>IFS($B11=FALSE,"",$B11,VLOOKUP($B11,'PATIENT DATA (072721)'!A:C, 3, 0))</f>
        <v>17975</v>
      </c>
      <c r="E11" s="218">
        <v>44573.0</v>
      </c>
      <c r="F11" s="219">
        <f>ifs($B11="","",$B11, VLOOKUP($B11&amp;$E11, 'VISIT DATA'!A:O,3,0))</f>
        <v>0.40625</v>
      </c>
      <c r="G11" s="220" t="s">
        <v>6328</v>
      </c>
      <c r="H11" s="221" t="s">
        <v>14</v>
      </c>
      <c r="I11" s="222" t="str">
        <f>VLOOKUP($B11&amp;$E11,'VISIT DATA'!A:J, 9, FALSE)</f>
        <v>TORRES</v>
      </c>
      <c r="J11" s="223" t="str">
        <f>VLOOKUP(B11&amp;E11,'VISIT DATA'!A:N,10,FALSE)</f>
        <v>WELLMED - AARP MEDICARE COMPLETE</v>
      </c>
      <c r="K11" s="242"/>
      <c r="L11" s="224" t="s">
        <v>6242</v>
      </c>
      <c r="M11" s="224" t="s">
        <v>6242</v>
      </c>
      <c r="N11" s="225"/>
      <c r="O11" s="216" t="str">
        <f t="shared" si="1"/>
        <v>✓</v>
      </c>
      <c r="P11" s="226" t="str">
        <f t="shared" si="2"/>
        <v>X</v>
      </c>
      <c r="Q11" s="227" t="str">
        <f t="shared" si="3"/>
        <v>#VALUE!</v>
      </c>
      <c r="R11" s="228" t="str">
        <f t="shared" si="4"/>
        <v>#VALUE!</v>
      </c>
      <c r="S11" s="220" t="str">
        <f t="shared" si="5"/>
        <v>#VALUE!</v>
      </c>
      <c r="T11" s="220" t="str">
        <f t="shared" si="6"/>
        <v>#VALUE!</v>
      </c>
      <c r="U11" s="221">
        <f t="shared" si="7"/>
        <v>1</v>
      </c>
      <c r="V11" s="229" t="str">
        <f>ifs($N11="",VLOOKUP($B11&amp;$E11,'VISIT DATA'!$A$2:$J100,7,FALSE), $N11="SWAB","OUTSA-RW",$N11="SWQU","OUTSA-SaQu", AND($L11="X",$M11="X",$N11="QUEST"),"OUT-UAQPre",$N11="QUEST","OUT-UAQ", $N11="Walk in","ColUATele")</f>
        <v>OUTUA-PrRW</v>
      </c>
      <c r="W11" s="24" t="str">
        <f t="shared" si="8"/>
        <v>OUTUA-PrRW : OUT UA Prelimin Redwood</v>
      </c>
      <c r="X11" s="222" t="str">
        <f t="shared" si="9"/>
        <v>OUTUA-PrRW : OUT UA Prelimin Redwood</v>
      </c>
      <c r="Y11" s="222" t="str">
        <f t="shared" si="10"/>
        <v>MATCH</v>
      </c>
      <c r="Z11" s="224" t="str">
        <f t="shared" si="11"/>
        <v> </v>
      </c>
      <c r="AA11" s="243"/>
    </row>
    <row r="12">
      <c r="A12" s="214" t="str">
        <f>IFS($B12=FALSE,"",$B12,VLOOKUP($B12,'PATIENT DATA (072721)'!A:C, 2, 0))</f>
        <v>LINDSEY, ROBERT</v>
      </c>
      <c r="B12" s="215">
        <v>17834.0</v>
      </c>
      <c r="C12" s="216" t="str">
        <f>IF(COUNTIF('PATIENT DATA (072721)'!A:A, B12)=0, "X","✓")</f>
        <v>✓</v>
      </c>
      <c r="D12" s="226">
        <f>IFS($B12=FALSE,"",$B12,VLOOKUP($B12,'PATIENT DATA (072721)'!A:C, 3, 0))</f>
        <v>10266</v>
      </c>
      <c r="E12" s="218">
        <v>44573.0</v>
      </c>
      <c r="F12" s="219">
        <f>ifs($B12="","",$B12, VLOOKUP($B12&amp;$E12, 'VISIT DATA'!A:O,3,0))</f>
        <v>0.3958333333</v>
      </c>
      <c r="G12" s="220" t="s">
        <v>6328</v>
      </c>
      <c r="H12" s="221" t="s">
        <v>12</v>
      </c>
      <c r="I12" s="222" t="str">
        <f>VLOOKUP($B12&amp;$E12,'VISIT DATA'!A:J, 9, FALSE)</f>
        <v>THOMAS</v>
      </c>
      <c r="J12" s="223" t="str">
        <f>VLOOKUP(B12&amp;E12,'VISIT DATA'!A:N,10,FALSE)</f>
        <v>MEDICARE TEXAS</v>
      </c>
      <c r="K12" s="224" t="s">
        <v>6242</v>
      </c>
      <c r="L12" s="224"/>
      <c r="M12" s="224"/>
      <c r="N12" s="225"/>
      <c r="O12" s="216" t="str">
        <f t="shared" si="1"/>
        <v>✓</v>
      </c>
      <c r="P12" s="226" t="str">
        <f t="shared" si="2"/>
        <v>#VALUE!</v>
      </c>
      <c r="Q12" s="227" t="str">
        <f t="shared" si="3"/>
        <v>#VALUE!</v>
      </c>
      <c r="R12" s="228" t="str">
        <f t="shared" si="4"/>
        <v>#VALUE!</v>
      </c>
      <c r="S12" s="220" t="str">
        <f t="shared" si="5"/>
        <v>#VALUE!</v>
      </c>
      <c r="T12" s="220" t="str">
        <f t="shared" si="6"/>
        <v>#VALUE!</v>
      </c>
      <c r="U12" s="221">
        <f t="shared" si="7"/>
        <v>0</v>
      </c>
      <c r="V12" s="229" t="str">
        <f>ifs($N12="",VLOOKUP($B12&amp;$E12,'VISIT DATA'!$A$2:$J100,7,FALSE), $N12="SWAB","OUTSA-RW",$N12="SWQU","OUTSA-SaQu", AND($L12="X",$M12="X",$N12="QUEST"),"OUT-UAQPre",$N12="QUEST","OUT-UAQ", $N12="Walk in","ColUATele")</f>
        <v>UA-NWPT</v>
      </c>
      <c r="W12" s="24" t="str">
        <f t="shared" si="8"/>
        <v>UA-NWPT : UA New Patient</v>
      </c>
      <c r="X12" s="222" t="str">
        <f t="shared" si="9"/>
        <v>UA-NWPT : UA New Patient</v>
      </c>
      <c r="Y12" s="222" t="str">
        <f t="shared" si="10"/>
        <v>MATCH</v>
      </c>
      <c r="Z12" s="224" t="str">
        <f t="shared" si="11"/>
        <v> </v>
      </c>
      <c r="AA12" s="243"/>
    </row>
    <row r="13">
      <c r="A13" s="214" t="str">
        <f>IFS($B13=FALSE,"",$B13,VLOOKUP($B13,'PATIENT DATA (072721)'!A:C, 2, 0))</f>
        <v>AGUILAR, HUMBERTO</v>
      </c>
      <c r="B13" s="215">
        <v>11036.0</v>
      </c>
      <c r="C13" s="216" t="str">
        <f>IF(COUNTIF('PATIENT DATA (072721)'!A:A, B13)=0, "X","✓")</f>
        <v>✓</v>
      </c>
      <c r="D13" s="226">
        <f>IFS($B13=FALSE,"",$B13,VLOOKUP($B13,'PATIENT DATA (072721)'!A:C, 3, 0))</f>
        <v>18515</v>
      </c>
      <c r="E13" s="218">
        <v>44573.0</v>
      </c>
      <c r="F13" s="219">
        <f>ifs($B13="","",$B13, VLOOKUP($B13&amp;$E13, 'VISIT DATA'!A:O,3,0))</f>
        <v>0.4166666667</v>
      </c>
      <c r="G13" s="220" t="s">
        <v>6328</v>
      </c>
      <c r="H13" s="221" t="s">
        <v>14</v>
      </c>
      <c r="I13" s="222" t="str">
        <f>VLOOKUP($B13&amp;$E13,'VISIT DATA'!A:J, 9, FALSE)</f>
        <v>TORRES</v>
      </c>
      <c r="J13" s="223" t="str">
        <f>VLOOKUP(B13&amp;E13,'VISIT DATA'!A:N,10,FALSE)</f>
        <v>AMERIVANTAGE DUAL</v>
      </c>
      <c r="K13" s="242"/>
      <c r="L13" s="224" t="s">
        <v>6242</v>
      </c>
      <c r="M13" s="224"/>
      <c r="N13" s="225"/>
      <c r="O13" s="216" t="str">
        <f t="shared" si="1"/>
        <v>✓</v>
      </c>
      <c r="P13" s="226" t="str">
        <f t="shared" si="2"/>
        <v>#VALUE!</v>
      </c>
      <c r="Q13" s="227" t="str">
        <f t="shared" si="3"/>
        <v>#VALUE!</v>
      </c>
      <c r="R13" s="228" t="str">
        <f t="shared" si="4"/>
        <v>#VALUE!</v>
      </c>
      <c r="S13" s="220" t="str">
        <f t="shared" si="5"/>
        <v>#VALUE!</v>
      </c>
      <c r="T13" s="220" t="str">
        <f t="shared" si="6"/>
        <v>#VALUE!</v>
      </c>
      <c r="U13" s="221">
        <f t="shared" si="7"/>
        <v>0</v>
      </c>
      <c r="V13" s="229" t="str">
        <f>ifs($N13="",VLOOKUP($B13&amp;$E13,'VISIT DATA'!$A$2:$J100,7,FALSE), $N13="SWAB","OUTSA-RW",$N13="SWQU","OUTSA-SaQu", AND($L13="X",$M13="X",$N13="QUEST"),"OUT-UAQPre",$N13="QUEST","OUT-UAQ", $N13="Walk in","ColUATele")</f>
        <v>UA</v>
      </c>
      <c r="W13" s="24" t="str">
        <f t="shared" si="8"/>
        <v>UA : Urine Analysis In House</v>
      </c>
      <c r="X13" s="222" t="str">
        <f t="shared" si="9"/>
        <v>UA : Urine Analysis In House</v>
      </c>
      <c r="Y13" s="222" t="str">
        <f t="shared" si="10"/>
        <v>MATCH</v>
      </c>
      <c r="Z13" s="224" t="str">
        <f t="shared" si="11"/>
        <v> </v>
      </c>
      <c r="AA13" s="243"/>
    </row>
    <row r="14">
      <c r="A14" s="214" t="str">
        <f>IFS($B14=FALSE,"",$B14,VLOOKUP($B14,'PATIENT DATA (072721)'!A:C, 2, 0))</f>
        <v>LOTT, ALVIN B</v>
      </c>
      <c r="B14" s="215">
        <v>12220.0</v>
      </c>
      <c r="C14" s="216" t="str">
        <f>IF(COUNTIF('PATIENT DATA (072721)'!A:A, B14)=0, "X","✓")</f>
        <v>✓</v>
      </c>
      <c r="D14" s="226">
        <f>IFS($B14=FALSE,"",$B14,VLOOKUP($B14,'PATIENT DATA (072721)'!A:C, 3, 0))</f>
        <v>14923</v>
      </c>
      <c r="E14" s="218">
        <v>44573.0</v>
      </c>
      <c r="F14" s="219">
        <f>ifs($B14="","",$B14, VLOOKUP($B14&amp;$E14, 'VISIT DATA'!A:O,3,0))</f>
        <v>0.3958333333</v>
      </c>
      <c r="G14" s="220" t="s">
        <v>6328</v>
      </c>
      <c r="H14" s="221" t="s">
        <v>15</v>
      </c>
      <c r="I14" s="222" t="str">
        <f>VLOOKUP($B14&amp;$E14,'VISIT DATA'!A:J, 9, FALSE)</f>
        <v>MARTINEZ</v>
      </c>
      <c r="J14" s="223" t="str">
        <f>VLOOKUP(B14&amp;E14,'VISIT DATA'!A:N,10,FALSE)</f>
        <v>HUMANA MEDICARE PPO</v>
      </c>
      <c r="K14" s="225"/>
      <c r="L14" s="224" t="s">
        <v>6242</v>
      </c>
      <c r="M14" s="224"/>
      <c r="N14" s="225"/>
      <c r="O14" s="216" t="str">
        <f t="shared" si="1"/>
        <v>✓</v>
      </c>
      <c r="P14" s="226" t="str">
        <f t="shared" si="2"/>
        <v>#VALUE!</v>
      </c>
      <c r="Q14" s="227" t="str">
        <f t="shared" si="3"/>
        <v>#VALUE!</v>
      </c>
      <c r="R14" s="228" t="str">
        <f t="shared" si="4"/>
        <v>#VALUE!</v>
      </c>
      <c r="S14" s="220" t="str">
        <f t="shared" si="5"/>
        <v>#VALUE!</v>
      </c>
      <c r="T14" s="220" t="str">
        <f t="shared" si="6"/>
        <v>#VALUE!</v>
      </c>
      <c r="U14" s="221">
        <f t="shared" si="7"/>
        <v>0</v>
      </c>
      <c r="V14" s="229" t="str">
        <f>ifs($N14="",VLOOKUP($B14&amp;$E14,'VISIT DATA'!$A$2:$J100,7,FALSE), $N14="SWAB","OUTSA-RW",$N14="SWQU","OUTSA-SaQu", AND($L14="X",$M14="X",$N14="QUEST"),"OUT-UAQPre",$N14="QUEST","OUT-UAQ", $N14="Walk in","ColUATele")</f>
        <v>UA</v>
      </c>
      <c r="W14" s="24" t="str">
        <f t="shared" si="8"/>
        <v>UA : Urine Analysis In House</v>
      </c>
      <c r="X14" s="222" t="str">
        <f t="shared" si="9"/>
        <v>UA : Urine Analysis In House</v>
      </c>
      <c r="Y14" s="222" t="str">
        <f t="shared" si="10"/>
        <v>MATCH</v>
      </c>
      <c r="Z14" s="224" t="str">
        <f t="shared" si="11"/>
        <v> </v>
      </c>
      <c r="AA14" s="244"/>
    </row>
    <row r="15">
      <c r="A15" s="214" t="str">
        <f>IFS($B15=FALSE,"",$B15,VLOOKUP($B15,'PATIENT DATA (072721)'!A:C, 2, 0))</f>
        <v>MONTES, EDWARD</v>
      </c>
      <c r="B15" s="215">
        <v>11303.0</v>
      </c>
      <c r="C15" s="216" t="str">
        <f>IF(COUNTIF('PATIENT DATA (072721)'!A:A, B15)=0, "X","✓")</f>
        <v>✓</v>
      </c>
      <c r="D15" s="226">
        <f>IFS($B15=FALSE,"",$B15,VLOOKUP($B15,'PATIENT DATA (072721)'!A:C, 3, 0))</f>
        <v>17223</v>
      </c>
      <c r="E15" s="218">
        <v>44573.0</v>
      </c>
      <c r="F15" s="219">
        <f>ifs($B15="","",$B15, VLOOKUP($B15&amp;$E15, 'VISIT DATA'!A:O,3,0))</f>
        <v>0.4166666667</v>
      </c>
      <c r="G15" s="220" t="s">
        <v>6328</v>
      </c>
      <c r="H15" s="221" t="s">
        <v>14</v>
      </c>
      <c r="I15" s="222" t="str">
        <f>VLOOKUP($B15&amp;$E15,'VISIT DATA'!A:J, 9, FALSE)</f>
        <v>TORRES</v>
      </c>
      <c r="J15" s="223" t="str">
        <f>VLOOKUP(B15&amp;E15,'VISIT DATA'!A:N,10,FALSE)</f>
        <v>WPS VA - COMMUNITY CARE</v>
      </c>
      <c r="K15" s="225"/>
      <c r="L15" s="224" t="s">
        <v>6242</v>
      </c>
      <c r="M15" s="224" t="s">
        <v>6242</v>
      </c>
      <c r="N15" s="225"/>
      <c r="O15" s="216" t="str">
        <f t="shared" si="1"/>
        <v>✓</v>
      </c>
      <c r="P15" s="226" t="str">
        <f t="shared" si="2"/>
        <v>#VALUE!</v>
      </c>
      <c r="Q15" s="227" t="str">
        <f t="shared" si="3"/>
        <v>#VALUE!</v>
      </c>
      <c r="R15" s="228" t="str">
        <f t="shared" si="4"/>
        <v>#VALUE!</v>
      </c>
      <c r="S15" s="220" t="str">
        <f t="shared" si="5"/>
        <v>#VALUE!</v>
      </c>
      <c r="T15" s="220" t="str">
        <f t="shared" si="6"/>
        <v>#VALUE!</v>
      </c>
      <c r="U15" s="221">
        <f t="shared" si="7"/>
        <v>0</v>
      </c>
      <c r="V15" s="229" t="str">
        <f>ifs($N15="",VLOOKUP($B15&amp;$E15,'VISIT DATA'!$A$2:$J100,7,FALSE), $N15="SWAB","OUTSA-RW",$N15="SWQU","OUTSA-SaQu", AND($L15="X",$M15="X",$N15="QUEST"),"OUT-UAQPre",$N15="QUEST","OUT-UAQ", $N15="Walk in","ColUATele")</f>
        <v>UA-Prelim</v>
      </c>
      <c r="W15" s="24" t="str">
        <f t="shared" si="8"/>
        <v>UA-Prelim : Preliminary UA Test</v>
      </c>
      <c r="X15" s="222" t="str">
        <f t="shared" si="9"/>
        <v>UA-Prelim : Preliminary UA Test</v>
      </c>
      <c r="Y15" s="222" t="str">
        <f t="shared" si="10"/>
        <v>MATCH</v>
      </c>
      <c r="Z15" s="224" t="str">
        <f t="shared" si="11"/>
        <v> </v>
      </c>
      <c r="AA15" s="244"/>
    </row>
    <row r="16">
      <c r="A16" s="214" t="str">
        <f>IFS($B16=FALSE,"",$B16,VLOOKUP($B16,'PATIENT DATA (072721)'!A:C, 2, 0))</f>
        <v>LOPEZ, ROBERT</v>
      </c>
      <c r="B16" s="215">
        <v>11619.0</v>
      </c>
      <c r="C16" s="216" t="str">
        <f>IF(COUNTIF('PATIENT DATA (072721)'!A:A, B16)=0, "X","✓")</f>
        <v>✓</v>
      </c>
      <c r="D16" s="226">
        <f>IFS($B16=FALSE,"",$B16,VLOOKUP($B16,'PATIENT DATA (072721)'!A:C, 3, 0))</f>
        <v>29756</v>
      </c>
      <c r="E16" s="218">
        <v>44573.0</v>
      </c>
      <c r="F16" s="219">
        <f>ifs($B16="","",$B16, VLOOKUP($B16&amp;$E16, 'VISIT DATA'!A:O,3,0))</f>
        <v>0.4270833333</v>
      </c>
      <c r="G16" s="220" t="s">
        <v>6328</v>
      </c>
      <c r="H16" s="221" t="s">
        <v>15</v>
      </c>
      <c r="I16" s="222" t="str">
        <f>VLOOKUP($B16&amp;$E16,'VISIT DATA'!A:J, 9, FALSE)</f>
        <v>MARTINEZ</v>
      </c>
      <c r="J16" s="223" t="str">
        <f>VLOOKUP(B16&amp;E16,'VISIT DATA'!A:N,10,FALSE)</f>
        <v>AMERIVANTAGE DUAL</v>
      </c>
      <c r="K16" s="224"/>
      <c r="L16" s="224" t="s">
        <v>6242</v>
      </c>
      <c r="M16" s="224"/>
      <c r="N16" s="225"/>
      <c r="O16" s="216" t="str">
        <f t="shared" si="1"/>
        <v>✓</v>
      </c>
      <c r="P16" s="226" t="str">
        <f t="shared" si="2"/>
        <v>#VALUE!</v>
      </c>
      <c r="Q16" s="227" t="str">
        <f t="shared" si="3"/>
        <v>#VALUE!</v>
      </c>
      <c r="R16" s="228" t="str">
        <f t="shared" si="4"/>
        <v>#VALUE!</v>
      </c>
      <c r="S16" s="220" t="str">
        <f t="shared" si="5"/>
        <v>#VALUE!</v>
      </c>
      <c r="T16" s="220" t="str">
        <f t="shared" si="6"/>
        <v>#VALUE!</v>
      </c>
      <c r="U16" s="221">
        <f t="shared" si="7"/>
        <v>0</v>
      </c>
      <c r="V16" s="229" t="str">
        <f>ifs($N16="",VLOOKUP($B16&amp;$E16,'VISIT DATA'!$A$2:$J100,7,FALSE), $N16="SWAB","OUTSA-RW",$N16="SWQU","OUTSA-SaQu", AND($L16="X",$M16="X",$N16="QUEST"),"OUT-UAQPre",$N16="QUEST","OUT-UAQ", $N16="Walk in","ColUATele")</f>
        <v>UA</v>
      </c>
      <c r="W16" s="24" t="str">
        <f t="shared" si="8"/>
        <v>UA : Urine Analysis In House</v>
      </c>
      <c r="X16" s="222" t="str">
        <f t="shared" si="9"/>
        <v>UA : Urine Analysis In House</v>
      </c>
      <c r="Y16" s="222" t="str">
        <f t="shared" si="10"/>
        <v>MATCH</v>
      </c>
      <c r="Z16" s="224" t="str">
        <f t="shared" si="11"/>
        <v> </v>
      </c>
      <c r="AA16" s="244"/>
    </row>
    <row r="17">
      <c r="A17" s="214" t="str">
        <f>IFS($B17=FALSE,"",$B17,VLOOKUP($B17,'PATIENT DATA (072721)'!A:C, 2, 0))</f>
        <v>LOFTON, GERARD</v>
      </c>
      <c r="B17" s="215">
        <v>14063.0</v>
      </c>
      <c r="C17" s="216" t="str">
        <f>IF(COUNTIF('PATIENT DATA (072721)'!A:A, B17)=0, "X","✓")</f>
        <v>✓</v>
      </c>
      <c r="D17" s="226">
        <f>IFS($B17=FALSE,"",$B17,VLOOKUP($B17,'PATIENT DATA (072721)'!A:C, 3, 0))</f>
        <v>22822</v>
      </c>
      <c r="E17" s="218">
        <v>44573.0</v>
      </c>
      <c r="F17" s="219">
        <f>ifs($B17="","",$B17, VLOOKUP($B17&amp;$E17, 'VISIT DATA'!A:O,3,0))</f>
        <v>0.3958333333</v>
      </c>
      <c r="G17" s="220" t="s">
        <v>6328</v>
      </c>
      <c r="H17" s="221" t="s">
        <v>15</v>
      </c>
      <c r="I17" s="222" t="str">
        <f>VLOOKUP($B17&amp;$E17,'VISIT DATA'!A:J, 9, FALSE)</f>
        <v>MARTINEZ</v>
      </c>
      <c r="J17" s="223" t="str">
        <f>VLOOKUP(B17&amp;E17,'VISIT DATA'!A:N,10,FALSE)</f>
        <v>WPS VA - COMMUNITY CARE</v>
      </c>
      <c r="K17" s="225"/>
      <c r="L17" s="224" t="s">
        <v>6242</v>
      </c>
      <c r="M17" s="224"/>
      <c r="N17" s="224"/>
      <c r="O17" s="216" t="str">
        <f t="shared" si="1"/>
        <v>✓</v>
      </c>
      <c r="P17" s="226" t="str">
        <f t="shared" si="2"/>
        <v>#VALUE!</v>
      </c>
      <c r="Q17" s="227" t="str">
        <f t="shared" si="3"/>
        <v>#VALUE!</v>
      </c>
      <c r="R17" s="228" t="str">
        <f t="shared" si="4"/>
        <v>#VALUE!</v>
      </c>
      <c r="S17" s="220" t="str">
        <f t="shared" si="5"/>
        <v>#VALUE!</v>
      </c>
      <c r="T17" s="220" t="str">
        <f t="shared" si="6"/>
        <v>#VALUE!</v>
      </c>
      <c r="U17" s="221">
        <f t="shared" si="7"/>
        <v>0</v>
      </c>
      <c r="V17" s="229" t="str">
        <f>ifs($N17="",VLOOKUP($B17&amp;$E17,'VISIT DATA'!$A$2:$J100,7,FALSE), $N17="SWAB","OUTSA-RW",$N17="SWQU","OUTSA-SaQu", AND($L17="X",$M17="X",$N17="QUEST"),"OUT-UAQPre",$N17="QUEST","OUT-UAQ", $N17="Walk in","ColUATele")</f>
        <v>UA</v>
      </c>
      <c r="W17" s="24" t="str">
        <f t="shared" si="8"/>
        <v>UA : Urine Analysis In House</v>
      </c>
      <c r="X17" s="222" t="str">
        <f t="shared" si="9"/>
        <v>UA : Urine Analysis In House</v>
      </c>
      <c r="Y17" s="222" t="str">
        <f t="shared" si="10"/>
        <v>MATCH</v>
      </c>
      <c r="Z17" s="224" t="str">
        <f t="shared" si="11"/>
        <v> </v>
      </c>
      <c r="AA17" s="245"/>
    </row>
    <row r="18">
      <c r="A18" s="214" t="str">
        <f>IFS($B18=FALSE,"",$B18,VLOOKUP($B18,'PATIENT DATA (072721)'!A:C, 2, 0))</f>
        <v>ERNEWAYN, ESTHER</v>
      </c>
      <c r="B18" s="215">
        <v>13260.0</v>
      </c>
      <c r="C18" s="216" t="str">
        <f>IF(COUNTIF('PATIENT DATA (072721)'!A:A, B18)=0, "X","✓")</f>
        <v>✓</v>
      </c>
      <c r="D18" s="226">
        <f>IFS($B18=FALSE,"",$B18,VLOOKUP($B18,'PATIENT DATA (072721)'!A:C, 3, 0))</f>
        <v>22127</v>
      </c>
      <c r="E18" s="218">
        <v>44573.0</v>
      </c>
      <c r="F18" s="219">
        <f>ifs($B18="","",$B18, VLOOKUP($B18&amp;$E18, 'VISIT DATA'!A:O,3,0))</f>
        <v>0.4375</v>
      </c>
      <c r="G18" s="220" t="s">
        <v>6323</v>
      </c>
      <c r="H18" s="221" t="s">
        <v>15</v>
      </c>
      <c r="I18" s="222" t="str">
        <f>VLOOKUP($B18&amp;$E18,'VISIT DATA'!A:J, 9, FALSE)</f>
        <v>MARTINEZ</v>
      </c>
      <c r="J18" s="223" t="str">
        <f>VLOOKUP(B18&amp;E18,'VISIT DATA'!A:N,10,FALSE)</f>
        <v>WELLCARE OF TEXAS</v>
      </c>
      <c r="K18" s="224"/>
      <c r="L18" s="224" t="s">
        <v>6242</v>
      </c>
      <c r="M18" s="224"/>
      <c r="N18" s="224"/>
      <c r="O18" s="216" t="str">
        <f t="shared" si="1"/>
        <v>✓</v>
      </c>
      <c r="P18" s="226" t="str">
        <f t="shared" si="2"/>
        <v>#VALUE!</v>
      </c>
      <c r="Q18" s="227" t="str">
        <f t="shared" si="3"/>
        <v>#VALUE!</v>
      </c>
      <c r="R18" s="228" t="str">
        <f t="shared" si="4"/>
        <v>#VALUE!</v>
      </c>
      <c r="S18" s="220" t="str">
        <f t="shared" si="5"/>
        <v>#VALUE!</v>
      </c>
      <c r="T18" s="220" t="str">
        <f t="shared" si="6"/>
        <v>#VALUE!</v>
      </c>
      <c r="U18" s="221">
        <f t="shared" si="7"/>
        <v>0</v>
      </c>
      <c r="V18" s="229" t="str">
        <f>ifs($N18="",VLOOKUP($B18&amp;$E18,'VISIT DATA'!$A$2:$J100,7,FALSE), $N18="SWAB","OUTSA-RW",$N18="SWQU","OUTSA-SaQu", AND($L18="X",$M18="X",$N18="QUEST"),"OUT-UAQPre",$N18="QUEST","OUT-UAQ", $N18="Walk in","ColUATele")</f>
        <v>UA</v>
      </c>
      <c r="W18" s="24" t="str">
        <f t="shared" si="8"/>
        <v>UA : Urine Analysis In House</v>
      </c>
      <c r="X18" s="222" t="str">
        <f t="shared" si="9"/>
        <v>UA : Urine Analysis In House</v>
      </c>
      <c r="Y18" s="222" t="str">
        <f t="shared" si="10"/>
        <v>MATCH</v>
      </c>
      <c r="Z18" s="224" t="str">
        <f t="shared" si="11"/>
        <v> </v>
      </c>
      <c r="AA18" s="244"/>
    </row>
    <row r="19">
      <c r="A19" s="214" t="str">
        <f>IFS($B19=FALSE,"",$B19,VLOOKUP($B19,'PATIENT DATA (072721)'!A:C, 2, 0))</f>
        <v>FLORES, CARLOS</v>
      </c>
      <c r="B19" s="215">
        <v>9726.0</v>
      </c>
      <c r="C19" s="216" t="str">
        <f>IF(COUNTIF('PATIENT DATA (072721)'!A:A, B19)=0, "X","✓")</f>
        <v>✓</v>
      </c>
      <c r="D19" s="226">
        <f>IFS($B19=FALSE,"",$B19,VLOOKUP($B19,'PATIENT DATA (072721)'!A:C, 3, 0))</f>
        <v>23374</v>
      </c>
      <c r="E19" s="218">
        <v>44573.0</v>
      </c>
      <c r="F19" s="219" t="str">
        <f>ifs($B19="","",$B19, VLOOKUP($B19&amp;$E19, 'VISIT DATA'!A:O,3,0))</f>
        <v>#N/A</v>
      </c>
      <c r="G19" s="220" t="s">
        <v>6328</v>
      </c>
      <c r="H19" s="221" t="s">
        <v>15</v>
      </c>
      <c r="I19" s="222" t="str">
        <f>VLOOKUP($B19&amp;$E19,'VISIT DATA'!A:J, 9, FALSE)</f>
        <v>#N/A</v>
      </c>
      <c r="J19" s="223" t="str">
        <f>VLOOKUP(B19&amp;E19,'VISIT DATA'!A:N,10,FALSE)</f>
        <v>#N/A</v>
      </c>
      <c r="K19" s="225"/>
      <c r="L19" s="224" t="s">
        <v>6242</v>
      </c>
      <c r="M19" s="224"/>
      <c r="N19" s="225"/>
      <c r="O19" s="216" t="str">
        <f t="shared" si="1"/>
        <v>✓</v>
      </c>
      <c r="P19" s="226" t="str">
        <f t="shared" si="2"/>
        <v>#N/A</v>
      </c>
      <c r="Q19" s="227" t="str">
        <f t="shared" si="3"/>
        <v>#N/A</v>
      </c>
      <c r="R19" s="228" t="str">
        <f t="shared" si="4"/>
        <v>#N/A</v>
      </c>
      <c r="S19" s="220" t="str">
        <f t="shared" si="5"/>
        <v>#N/A</v>
      </c>
      <c r="T19" s="220" t="str">
        <f t="shared" si="6"/>
        <v>#N/A</v>
      </c>
      <c r="U19" s="221">
        <f t="shared" si="7"/>
        <v>0</v>
      </c>
      <c r="V19" s="229" t="str">
        <f>ifs($N19="",VLOOKUP($B19&amp;$E19,'VISIT DATA'!$A$2:$J100,7,FALSE), $N19="SWAB","OUTSA-RW",$N19="SWQU","OUTSA-SaQu", AND($L19="X",$M19="X",$N19="QUEST"),"OUT-UAQPre",$N19="QUEST","OUT-UAQ", $N19="Walk in","ColUATele")</f>
        <v>#N/A</v>
      </c>
      <c r="W19" s="24" t="str">
        <f t="shared" si="8"/>
        <v>#N/A</v>
      </c>
      <c r="X19" s="222" t="str">
        <f t="shared" si="9"/>
        <v>UA : Urine Analysis In House</v>
      </c>
      <c r="Y19" s="222" t="str">
        <f t="shared" si="10"/>
        <v>#N/A</v>
      </c>
      <c r="Z19" s="224" t="str">
        <f t="shared" si="11"/>
        <v> </v>
      </c>
      <c r="AA19" s="244"/>
    </row>
    <row r="20">
      <c r="A20" s="214" t="str">
        <f>IFS($B20=FALSE,"",$B20,VLOOKUP($B20,'PATIENT DATA (072721)'!A:C, 2, 0))</f>
        <v>GARCIA, CARMEN A</v>
      </c>
      <c r="B20" s="215">
        <v>16733.0</v>
      </c>
      <c r="C20" s="216" t="str">
        <f>IF(COUNTIF('PATIENT DATA (072721)'!A:A, B20)=0, "X","✓")</f>
        <v>✓</v>
      </c>
      <c r="D20" s="226">
        <f>IFS($B20=FALSE,"",$B20,VLOOKUP($B20,'PATIENT DATA (072721)'!A:C, 3, 0))</f>
        <v>18127</v>
      </c>
      <c r="E20" s="218">
        <v>44573.0</v>
      </c>
      <c r="F20" s="219">
        <f>ifs($B20="","",$B20, VLOOKUP($B20&amp;$E20, 'VISIT DATA'!A:O,3,0))</f>
        <v>0.4583333333</v>
      </c>
      <c r="G20" s="220" t="s">
        <v>6323</v>
      </c>
      <c r="H20" s="221" t="s">
        <v>15</v>
      </c>
      <c r="I20" s="222" t="str">
        <f>VLOOKUP($B20&amp;$E20,'VISIT DATA'!A:J, 9, FALSE)</f>
        <v>MARTINEZ</v>
      </c>
      <c r="J20" s="223" t="str">
        <f>VLOOKUP(B20&amp;E20,'VISIT DATA'!A:N,10,FALSE)</f>
        <v>WELLMED - UHC DUAL COMPLETE SNP</v>
      </c>
      <c r="K20" s="225"/>
      <c r="L20" s="224" t="s">
        <v>6242</v>
      </c>
      <c r="M20" s="224"/>
      <c r="N20" s="224"/>
      <c r="O20" s="216" t="str">
        <f t="shared" si="1"/>
        <v>✓</v>
      </c>
      <c r="P20" s="226" t="str">
        <f t="shared" si="2"/>
        <v>X</v>
      </c>
      <c r="Q20" s="227" t="str">
        <f t="shared" si="3"/>
        <v>#VALUE!</v>
      </c>
      <c r="R20" s="228" t="str">
        <f t="shared" si="4"/>
        <v>#VALUE!</v>
      </c>
      <c r="S20" s="220" t="str">
        <f t="shared" si="5"/>
        <v>#VALUE!</v>
      </c>
      <c r="T20" s="220" t="str">
        <f t="shared" si="6"/>
        <v>#VALUE!</v>
      </c>
      <c r="U20" s="221">
        <f t="shared" si="7"/>
        <v>1</v>
      </c>
      <c r="V20" s="229" t="str">
        <f>ifs($N20="",VLOOKUP($B20&amp;$E20,'VISIT DATA'!$A$2:$J100,7,FALSE), $N20="SWAB","OUTSA-RW",$N20="SWQU","OUTSA-SaQu", AND($L20="X",$M20="X",$N20="QUEST"),"OUT-UAQPre",$N20="QUEST","OUT-UAQ", $N20="Walk in","ColUATele")</f>
        <v>OUTUA-FURW</v>
      </c>
      <c r="W20" s="24" t="str">
        <f t="shared" si="8"/>
        <v>OUTUA-FURW : OUT UA FU Redwood</v>
      </c>
      <c r="X20" s="222" t="str">
        <f t="shared" si="9"/>
        <v>OUTUA-FURW : OUT UA FU Redwood</v>
      </c>
      <c r="Y20" s="222" t="str">
        <f t="shared" si="10"/>
        <v>MATCH</v>
      </c>
      <c r="Z20" s="224" t="str">
        <f t="shared" si="11"/>
        <v> </v>
      </c>
      <c r="AA20" s="244"/>
    </row>
    <row r="21">
      <c r="A21" s="214" t="str">
        <f>IFS($B21=FALSE,"",$B21,VLOOKUP($B21,'PATIENT DATA (072721)'!A:C, 2, 0))</f>
        <v>GURROLA, PORFIRIO</v>
      </c>
      <c r="B21" s="215">
        <v>12051.0</v>
      </c>
      <c r="C21" s="216" t="str">
        <f>IF(COUNTIF('PATIENT DATA (072721)'!A:A, B21)=0, "X","✓")</f>
        <v>✓</v>
      </c>
      <c r="D21" s="226">
        <f>IFS($B21=FALSE,"",$B21,VLOOKUP($B21,'PATIENT DATA (072721)'!A:C, 3, 0))</f>
        <v>19608</v>
      </c>
      <c r="E21" s="218">
        <v>44573.0</v>
      </c>
      <c r="F21" s="219">
        <f>ifs($B21="","",$B21, VLOOKUP($B21&amp;$E21, 'VISIT DATA'!A:O,3,0))</f>
        <v>0.4583333333</v>
      </c>
      <c r="G21" s="220" t="s">
        <v>6328</v>
      </c>
      <c r="H21" s="221" t="s">
        <v>12</v>
      </c>
      <c r="I21" s="222" t="str">
        <f>VLOOKUP($B21&amp;$E21,'VISIT DATA'!A:J, 9, FALSE)</f>
        <v>THOMAS</v>
      </c>
      <c r="J21" s="223" t="str">
        <f>VLOOKUP(B21&amp;E21,'VISIT DATA'!A:N,10,FALSE)</f>
        <v>WELLMED - AARP MEDICARE COMPLETE</v>
      </c>
      <c r="K21" s="225"/>
      <c r="L21" s="224" t="s">
        <v>6242</v>
      </c>
      <c r="M21" s="224"/>
      <c r="N21" s="225"/>
      <c r="O21" s="216" t="str">
        <f t="shared" si="1"/>
        <v>✓</v>
      </c>
      <c r="P21" s="226" t="str">
        <f t="shared" si="2"/>
        <v>X</v>
      </c>
      <c r="Q21" s="227" t="str">
        <f t="shared" si="3"/>
        <v>#VALUE!</v>
      </c>
      <c r="R21" s="228" t="str">
        <f t="shared" si="4"/>
        <v>#VALUE!</v>
      </c>
      <c r="S21" s="220" t="str">
        <f t="shared" si="5"/>
        <v>#VALUE!</v>
      </c>
      <c r="T21" s="220" t="str">
        <f t="shared" si="6"/>
        <v>#VALUE!</v>
      </c>
      <c r="U21" s="221">
        <f t="shared" si="7"/>
        <v>1</v>
      </c>
      <c r="V21" s="229" t="str">
        <f>ifs($N21="",VLOOKUP($B21&amp;$E21,'VISIT DATA'!$A$2:$J100,7,FALSE), $N21="SWAB","OUTSA-RW",$N21="SWQU","OUTSA-SaQu", AND($L21="X",$M21="X",$N21="QUEST"),"OUT-UAQPre",$N21="QUEST","OUT-UAQ", $N21="Walk in","ColUATele")</f>
        <v>OUTUA-FURW</v>
      </c>
      <c r="W21" s="24" t="str">
        <f t="shared" si="8"/>
        <v>OUTUA-FURW : OUT UA FU Redwood</v>
      </c>
      <c r="X21" s="222" t="str">
        <f t="shared" si="9"/>
        <v>OUTUA-FURW : OUT UA FU Redwood</v>
      </c>
      <c r="Y21" s="222" t="str">
        <f t="shared" si="10"/>
        <v>MATCH</v>
      </c>
      <c r="Z21" s="224" t="str">
        <f t="shared" si="11"/>
        <v> </v>
      </c>
      <c r="AA21" s="244"/>
    </row>
    <row r="22">
      <c r="A22" s="214" t="str">
        <f>IFS($B22=FALSE,"",$B22,VLOOKUP($B22,'PATIENT DATA (072721)'!A:C, 2, 0))</f>
        <v>SANCHEZ, JOSE G</v>
      </c>
      <c r="B22" s="215">
        <v>10662.0</v>
      </c>
      <c r="C22" s="216" t="str">
        <f>IF(COUNTIF('PATIENT DATA (072721)'!A:A, B22)=0, "X","✓")</f>
        <v>✓</v>
      </c>
      <c r="D22" s="226">
        <f>IFS($B22=FALSE,"",$B22,VLOOKUP($B22,'PATIENT DATA (072721)'!A:C, 3, 0))</f>
        <v>18416</v>
      </c>
      <c r="E22" s="218">
        <v>44573.0</v>
      </c>
      <c r="F22" s="219">
        <f>ifs($B22="","",$B22, VLOOKUP($B22&amp;$E22, 'VISIT DATA'!A:O,3,0))</f>
        <v>0.4375</v>
      </c>
      <c r="G22" s="220" t="s">
        <v>6328</v>
      </c>
      <c r="H22" s="221" t="s">
        <v>14</v>
      </c>
      <c r="I22" s="222" t="str">
        <f>VLOOKUP($B22&amp;$E22,'VISIT DATA'!A:J, 9, FALSE)</f>
        <v>TORRES</v>
      </c>
      <c r="J22" s="223" t="str">
        <f>VLOOKUP(B22&amp;E22,'VISIT DATA'!A:N,10,FALSE)</f>
        <v>WPS VA - COMMUNITY CARE</v>
      </c>
      <c r="K22" s="225"/>
      <c r="L22" s="224" t="s">
        <v>6242</v>
      </c>
      <c r="M22" s="224"/>
      <c r="N22" s="225"/>
      <c r="O22" s="216" t="str">
        <f t="shared" si="1"/>
        <v>✓</v>
      </c>
      <c r="P22" s="226" t="str">
        <f t="shared" si="2"/>
        <v>#VALUE!</v>
      </c>
      <c r="Q22" s="227" t="str">
        <f t="shared" si="3"/>
        <v>#VALUE!</v>
      </c>
      <c r="R22" s="228" t="str">
        <f t="shared" si="4"/>
        <v>#VALUE!</v>
      </c>
      <c r="S22" s="220" t="str">
        <f t="shared" si="5"/>
        <v>#VALUE!</v>
      </c>
      <c r="T22" s="220" t="str">
        <f t="shared" si="6"/>
        <v>#VALUE!</v>
      </c>
      <c r="U22" s="221">
        <f t="shared" si="7"/>
        <v>0</v>
      </c>
      <c r="V22" s="229" t="str">
        <f>ifs($N22="",VLOOKUP($B22&amp;$E22,'VISIT DATA'!$A$2:$J100,7,FALSE), $N22="SWAB","OUTSA-RW",$N22="SWQU","OUTSA-SaQu", AND($L22="X",$M22="X",$N22="QUEST"),"OUT-UAQPre",$N22="QUEST","OUT-UAQ", $N22="Walk in","ColUATele")</f>
        <v>UA</v>
      </c>
      <c r="W22" s="24" t="str">
        <f t="shared" si="8"/>
        <v>UA : Urine Analysis In House</v>
      </c>
      <c r="X22" s="222" t="str">
        <f t="shared" si="9"/>
        <v>UA : Urine Analysis In House</v>
      </c>
      <c r="Y22" s="222" t="str">
        <f t="shared" si="10"/>
        <v>MATCH</v>
      </c>
      <c r="Z22" s="224" t="str">
        <f t="shared" si="11"/>
        <v> </v>
      </c>
      <c r="AA22" s="244"/>
    </row>
    <row r="23">
      <c r="A23" s="214" t="str">
        <f>IFS($B23=FALSE,"",$B23,VLOOKUP($B23,'PATIENT DATA (072721)'!A:C, 2, 0))</f>
        <v>HUERTA, SALVADOR</v>
      </c>
      <c r="B23" s="215">
        <v>12275.0</v>
      </c>
      <c r="C23" s="216" t="str">
        <f>IF(COUNTIF('PATIENT DATA (072721)'!A:A, B23)=0, "X","✓")</f>
        <v>✓</v>
      </c>
      <c r="D23" s="226">
        <f>IFS($B23=FALSE,"",$B23,VLOOKUP($B23,'PATIENT DATA (072721)'!A:C, 3, 0))</f>
        <v>14237</v>
      </c>
      <c r="E23" s="218">
        <v>44573.0</v>
      </c>
      <c r="F23" s="219" t="str">
        <f>ifs($B23="","",$B23, VLOOKUP($B23&amp;$E23, 'VISIT DATA'!A:O,3,0))</f>
        <v>#N/A</v>
      </c>
      <c r="G23" s="220" t="s">
        <v>6328</v>
      </c>
      <c r="H23" s="221" t="s">
        <v>14</v>
      </c>
      <c r="I23" s="222" t="str">
        <f>VLOOKUP($B23&amp;$E23,'VISIT DATA'!A:J, 9, FALSE)</f>
        <v>#N/A</v>
      </c>
      <c r="J23" s="223" t="str">
        <f>VLOOKUP(B23&amp;E23,'VISIT DATA'!A:N,10,FALSE)</f>
        <v>#N/A</v>
      </c>
      <c r="K23" s="225"/>
      <c r="L23" s="224" t="s">
        <v>6242</v>
      </c>
      <c r="M23" s="224" t="s">
        <v>6242</v>
      </c>
      <c r="N23" s="225"/>
      <c r="O23" s="216" t="str">
        <f t="shared" si="1"/>
        <v>✓</v>
      </c>
      <c r="P23" s="226" t="str">
        <f t="shared" si="2"/>
        <v>#N/A</v>
      </c>
      <c r="Q23" s="227" t="str">
        <f t="shared" si="3"/>
        <v>#N/A</v>
      </c>
      <c r="R23" s="228" t="str">
        <f t="shared" si="4"/>
        <v>#N/A</v>
      </c>
      <c r="S23" s="220" t="str">
        <f t="shared" si="5"/>
        <v>#N/A</v>
      </c>
      <c r="T23" s="220" t="str">
        <f t="shared" si="6"/>
        <v>#N/A</v>
      </c>
      <c r="U23" s="221">
        <f t="shared" si="7"/>
        <v>0</v>
      </c>
      <c r="V23" s="229" t="str">
        <f>ifs($N23="",VLOOKUP($B23&amp;$E23,'VISIT DATA'!$A$2:$J100,7,FALSE), $N23="SWAB","OUTSA-RW",$N23="SWQU","OUTSA-SaQu", AND($L23="X",$M23="X",$N23="QUEST"),"OUT-UAQPre",$N23="QUEST","OUT-UAQ", $N23="Walk in","ColUATele")</f>
        <v>#N/A</v>
      </c>
      <c r="W23" s="24" t="str">
        <f t="shared" si="8"/>
        <v>#N/A</v>
      </c>
      <c r="X23" s="222" t="str">
        <f t="shared" si="9"/>
        <v>UA-Prelim : Preliminary UA Test</v>
      </c>
      <c r="Y23" s="222" t="str">
        <f t="shared" si="10"/>
        <v>#N/A</v>
      </c>
      <c r="Z23" s="224" t="str">
        <f t="shared" si="11"/>
        <v> </v>
      </c>
      <c r="AA23" s="244"/>
    </row>
    <row r="24">
      <c r="A24" s="214" t="str">
        <f>IFS($B24=FALSE,"",$B24,VLOOKUP($B24,'PATIENT DATA (072721)'!A:C, 2, 0))</f>
        <v>OSORIA MUNIZ, ERIC E</v>
      </c>
      <c r="B24" s="215">
        <v>17552.0</v>
      </c>
      <c r="C24" s="216" t="str">
        <f>IF(COUNTIF('PATIENT DATA (072721)'!A:A, B24)=0, "X","✓")</f>
        <v>✓</v>
      </c>
      <c r="D24" s="226">
        <f>IFS($B24=FALSE,"",$B24,VLOOKUP($B24,'PATIENT DATA (072721)'!A:C, 3, 0))</f>
        <v>29202</v>
      </c>
      <c r="E24" s="218">
        <v>44573.0</v>
      </c>
      <c r="F24" s="219">
        <f>ifs($B24="","",$B24, VLOOKUP($B24&amp;$E24, 'VISIT DATA'!A:O,3,0))</f>
        <v>0.46875</v>
      </c>
      <c r="G24" s="220" t="s">
        <v>6328</v>
      </c>
      <c r="H24" s="221" t="s">
        <v>14</v>
      </c>
      <c r="I24" s="222" t="str">
        <f>VLOOKUP($B24&amp;$E24,'VISIT DATA'!A:J, 9, FALSE)</f>
        <v>TORRES</v>
      </c>
      <c r="J24" s="223" t="str">
        <f>VLOOKUP(B24&amp;E24,'VISIT DATA'!A:N,10,FALSE)</f>
        <v>MOLINA MEDICAID TEXAS</v>
      </c>
      <c r="K24" s="225"/>
      <c r="L24" s="224" t="s">
        <v>6242</v>
      </c>
      <c r="M24" s="224"/>
      <c r="N24" s="224" t="s">
        <v>6343</v>
      </c>
      <c r="O24" s="216" t="str">
        <f t="shared" si="1"/>
        <v>✓</v>
      </c>
      <c r="P24" s="226" t="str">
        <f t="shared" si="2"/>
        <v>#VALUE!</v>
      </c>
      <c r="Q24" s="227" t="str">
        <f t="shared" si="3"/>
        <v>X</v>
      </c>
      <c r="R24" s="228" t="str">
        <f t="shared" si="4"/>
        <v>#VALUE!</v>
      </c>
      <c r="S24" s="220" t="str">
        <f t="shared" si="5"/>
        <v>#VALUE!</v>
      </c>
      <c r="T24" s="220" t="str">
        <f t="shared" si="6"/>
        <v>#VALUE!</v>
      </c>
      <c r="U24" s="221">
        <f t="shared" si="7"/>
        <v>1</v>
      </c>
      <c r="V24" s="229" t="str">
        <f>ifs($N24="",VLOOKUP($B24&amp;$E24,'VISIT DATA'!$A$2:$J100,7,FALSE), $N24="SWAB","OUTSA-RW",$N24="SWQU","OUTSA-SaQu", AND($L24="X",$M24="X",$N24="QUEST"),"OUT-UAQPre",$N24="QUEST","OUT-UAQ", $N24="Walk in","ColUATele")</f>
        <v>OUTSA-RW</v>
      </c>
      <c r="W24" s="24" t="str">
        <f t="shared" si="8"/>
        <v>OUTSA-RW : OUT Saliva Redwood</v>
      </c>
      <c r="X24" s="222" t="str">
        <f t="shared" si="9"/>
        <v>OUTSA-RW : OUT Saliva Redwood</v>
      </c>
      <c r="Y24" s="222" t="str">
        <f t="shared" si="10"/>
        <v>MATCH</v>
      </c>
      <c r="Z24" s="224" t="str">
        <f t="shared" si="11"/>
        <v> </v>
      </c>
      <c r="AA24" s="244"/>
    </row>
    <row r="25">
      <c r="A25" s="214" t="str">
        <f>IFS($B25=FALSE,"",$B25,VLOOKUP($B25,'PATIENT DATA (072721)'!A:C, 2, 0))</f>
        <v>QUEZADA, BRENDA I</v>
      </c>
      <c r="B25" s="215">
        <v>15265.0</v>
      </c>
      <c r="C25" s="216" t="str">
        <f>IF(COUNTIF('PATIENT DATA (072721)'!A:A, B25)=0, "X","✓")</f>
        <v>✓</v>
      </c>
      <c r="D25" s="226">
        <f>IFS($B25=FALSE,"",$B25,VLOOKUP($B25,'PATIENT DATA (072721)'!A:C, 3, 0))</f>
        <v>26902</v>
      </c>
      <c r="E25" s="218">
        <v>44573.0</v>
      </c>
      <c r="F25" s="219">
        <f>ifs($B25="","",$B25, VLOOKUP($B25&amp;$E25, 'VISIT DATA'!A:O,3,0))</f>
        <v>0.3958333333</v>
      </c>
      <c r="G25" s="220" t="s">
        <v>6323</v>
      </c>
      <c r="H25" s="221" t="s">
        <v>13</v>
      </c>
      <c r="I25" s="222" t="str">
        <f>VLOOKUP($B25&amp;$E25,'VISIT DATA'!A:J, 9, FALSE)</f>
        <v>THOMAS</v>
      </c>
      <c r="J25" s="223" t="str">
        <f>VLOOKUP(B25&amp;E25,'VISIT DATA'!A:N,10,FALSE)</f>
        <v>WELLMED - UHC DUAL COMPLETE SNP</v>
      </c>
      <c r="K25" s="224"/>
      <c r="L25" s="224" t="s">
        <v>6242</v>
      </c>
      <c r="M25" s="224" t="s">
        <v>6242</v>
      </c>
      <c r="N25" s="225"/>
      <c r="O25" s="216" t="str">
        <f t="shared" si="1"/>
        <v>✓</v>
      </c>
      <c r="P25" s="226" t="str">
        <f t="shared" si="2"/>
        <v>X</v>
      </c>
      <c r="Q25" s="227" t="str">
        <f t="shared" si="3"/>
        <v>#VALUE!</v>
      </c>
      <c r="R25" s="228" t="str">
        <f t="shared" si="4"/>
        <v>#VALUE!</v>
      </c>
      <c r="S25" s="220" t="str">
        <f t="shared" si="5"/>
        <v>#VALUE!</v>
      </c>
      <c r="T25" s="220" t="str">
        <f t="shared" si="6"/>
        <v>#VALUE!</v>
      </c>
      <c r="U25" s="221">
        <f t="shared" si="7"/>
        <v>1</v>
      </c>
      <c r="V25" s="229" t="str">
        <f>ifs($N25="",VLOOKUP($B25&amp;$E25,'VISIT DATA'!$A$2:$J100,7,FALSE), $N25="SWAB","OUTSA-RW",$N25="SWQU","OUTSA-SaQu", AND($L25="X",$M25="X",$N25="QUEST"),"OUT-UAQPre",$N25="QUEST","OUT-UAQ", $N25="Walk in","ColUATele")</f>
        <v>OUTUA-PrRW</v>
      </c>
      <c r="W25" s="24" t="str">
        <f t="shared" si="8"/>
        <v>OUTUA-PrRW : OUT UA Prelimin Redwood</v>
      </c>
      <c r="X25" s="222" t="str">
        <f t="shared" si="9"/>
        <v>OUTUA-PrRW : OUT UA Prelimin Redwood</v>
      </c>
      <c r="Y25" s="222" t="str">
        <f t="shared" si="10"/>
        <v>MATCH</v>
      </c>
      <c r="Z25" s="224" t="str">
        <f t="shared" si="11"/>
        <v> </v>
      </c>
      <c r="AA25" s="244"/>
    </row>
    <row r="26">
      <c r="A26" s="214" t="str">
        <f>IFS($B26=FALSE,"",$B26,VLOOKUP($B26,'PATIENT DATA (072721)'!A:C, 2, 0))</f>
        <v>MCINTOSH, CHRISTINE L</v>
      </c>
      <c r="B26" s="215">
        <v>17872.0</v>
      </c>
      <c r="C26" s="216" t="str">
        <f>IF(COUNTIF('PATIENT DATA (072721)'!A:A, B26)=0, "X","✓")</f>
        <v>✓</v>
      </c>
      <c r="D26" s="226">
        <f>IFS($B26=FALSE,"",$B26,VLOOKUP($B26,'PATIENT DATA (072721)'!A:C, 3, 0))</f>
        <v>11312</v>
      </c>
      <c r="E26" s="218">
        <v>44573.0</v>
      </c>
      <c r="F26" s="219" t="str">
        <f>ifs($B26="","",$B26, VLOOKUP($B26&amp;$E26, 'VISIT DATA'!A:O,3,0))</f>
        <v>#N/A</v>
      </c>
      <c r="G26" s="220" t="s">
        <v>6323</v>
      </c>
      <c r="H26" s="221" t="s">
        <v>12</v>
      </c>
      <c r="I26" s="222" t="str">
        <f>VLOOKUP($B26&amp;$E26,'VISIT DATA'!A:J, 9, FALSE)</f>
        <v>#N/A</v>
      </c>
      <c r="J26" s="223" t="str">
        <f>VLOOKUP(B26&amp;E26,'VISIT DATA'!A:N,10,FALSE)</f>
        <v>#N/A</v>
      </c>
      <c r="K26" s="224"/>
      <c r="L26" s="224" t="s">
        <v>6242</v>
      </c>
      <c r="M26" s="224"/>
      <c r="N26" s="224"/>
      <c r="O26" s="216" t="str">
        <f t="shared" si="1"/>
        <v>✓</v>
      </c>
      <c r="P26" s="226" t="str">
        <f t="shared" si="2"/>
        <v>#N/A</v>
      </c>
      <c r="Q26" s="227" t="str">
        <f t="shared" si="3"/>
        <v>#N/A</v>
      </c>
      <c r="R26" s="228" t="str">
        <f t="shared" si="4"/>
        <v>#N/A</v>
      </c>
      <c r="S26" s="220" t="str">
        <f t="shared" si="5"/>
        <v>#N/A</v>
      </c>
      <c r="T26" s="220" t="str">
        <f t="shared" si="6"/>
        <v>#N/A</v>
      </c>
      <c r="U26" s="221">
        <f t="shared" si="7"/>
        <v>0</v>
      </c>
      <c r="V26" s="229" t="str">
        <f>ifs($N26="",VLOOKUP($B26&amp;$E26,'VISIT DATA'!$A$2:$J100,7,FALSE), $N26="SWAB","OUTSA-RW",$N26="SWQU","OUTSA-SaQu", AND($L26="X",$M26="X",$N26="QUEST"),"OUT-UAQPre",$N26="QUEST","OUT-UAQ", $N26="Walk in","ColUATele")</f>
        <v>#N/A</v>
      </c>
      <c r="W26" s="24" t="str">
        <f t="shared" si="8"/>
        <v>#N/A</v>
      </c>
      <c r="X26" s="222" t="str">
        <f t="shared" si="9"/>
        <v>UA : Urine Analysis In House</v>
      </c>
      <c r="Y26" s="222" t="str">
        <f t="shared" si="10"/>
        <v>#N/A</v>
      </c>
      <c r="Z26" s="224" t="str">
        <f t="shared" si="11"/>
        <v> </v>
      </c>
      <c r="AA26" s="245"/>
    </row>
    <row r="27">
      <c r="A27" s="214" t="str">
        <f>IFS($B27=FALSE,"",$B27,VLOOKUP($B27,'PATIENT DATA (072721)'!A:C, 2, 0))</f>
        <v>VILLESCAS, HECTOR</v>
      </c>
      <c r="B27" s="215">
        <v>13019.0</v>
      </c>
      <c r="C27" s="216" t="str">
        <f>IF(COUNTIF('PATIENT DATA (072721)'!A:A, B27)=0, "X","✓")</f>
        <v>✓</v>
      </c>
      <c r="D27" s="226">
        <f>IFS($B27=FALSE,"",$B27,VLOOKUP($B27,'PATIENT DATA (072721)'!A:C, 3, 0))</f>
        <v>20401</v>
      </c>
      <c r="E27" s="218">
        <v>44573.0</v>
      </c>
      <c r="F27" s="219">
        <f>ifs($B27="","",$B27, VLOOKUP($B27&amp;$E27, 'VISIT DATA'!A:O,3,0))</f>
        <v>0.5416666667</v>
      </c>
      <c r="G27" s="220" t="s">
        <v>6328</v>
      </c>
      <c r="H27" s="221" t="s">
        <v>15</v>
      </c>
      <c r="I27" s="222" t="str">
        <f>VLOOKUP($B27&amp;$E27,'VISIT DATA'!A:J, 9, FALSE)</f>
        <v>TORRES</v>
      </c>
      <c r="J27" s="223" t="str">
        <f>VLOOKUP(B27&amp;E27,'VISIT DATA'!A:N,10,FALSE)</f>
        <v>UHC MEDICARE COMPLETE</v>
      </c>
      <c r="K27" s="224"/>
      <c r="L27" s="224" t="s">
        <v>6242</v>
      </c>
      <c r="M27" s="224"/>
      <c r="N27" s="225"/>
      <c r="O27" s="216" t="str">
        <f t="shared" si="1"/>
        <v>✓</v>
      </c>
      <c r="P27" s="226" t="str">
        <f t="shared" si="2"/>
        <v>#VALUE!</v>
      </c>
      <c r="Q27" s="227" t="str">
        <f t="shared" si="3"/>
        <v>#VALUE!</v>
      </c>
      <c r="R27" s="228" t="str">
        <f t="shared" si="4"/>
        <v>#VALUE!</v>
      </c>
      <c r="S27" s="220" t="str">
        <f t="shared" si="5"/>
        <v>#VALUE!</v>
      </c>
      <c r="T27" s="220" t="str">
        <f t="shared" si="6"/>
        <v>#VALUE!</v>
      </c>
      <c r="U27" s="221">
        <f t="shared" si="7"/>
        <v>0</v>
      </c>
      <c r="V27" s="229" t="str">
        <f>ifs($N27="",VLOOKUP($B27&amp;$E27,'VISIT DATA'!$A$2:$J100,7,FALSE), $N27="SWAB","OUTSA-RW",$N27="SWQU","OUTSA-SaQu", AND($L27="X",$M27="X",$N27="QUEST"),"OUT-UAQPre",$N27="QUEST","OUT-UAQ", $N27="Walk in","ColUATele")</f>
        <v>UA</v>
      </c>
      <c r="W27" s="24" t="str">
        <f t="shared" si="8"/>
        <v>UA : Urine Analysis In House</v>
      </c>
      <c r="X27" s="222" t="str">
        <f t="shared" si="9"/>
        <v>UA : Urine Analysis In House</v>
      </c>
      <c r="Y27" s="222" t="str">
        <f t="shared" si="10"/>
        <v>MATCH</v>
      </c>
      <c r="Z27" s="224" t="str">
        <f t="shared" si="11"/>
        <v> </v>
      </c>
      <c r="AA27" s="244"/>
    </row>
    <row r="28">
      <c r="A28" s="214" t="str">
        <f>IFS($B28=FALSE,"",$B28,VLOOKUP($B28,'PATIENT DATA (072721)'!A:C, 2, 0))</f>
        <v>FACIO, TERESITA D</v>
      </c>
      <c r="B28" s="215">
        <v>11088.0</v>
      </c>
      <c r="C28" s="216" t="str">
        <f>IF(COUNTIF('PATIENT DATA (072721)'!A:A, B28)=0, "X","✓")</f>
        <v>✓</v>
      </c>
      <c r="D28" s="226">
        <f>IFS($B28=FALSE,"",$B28,VLOOKUP($B28,'PATIENT DATA (072721)'!A:C, 3, 0))</f>
        <v>14999</v>
      </c>
      <c r="E28" s="218">
        <v>44573.0</v>
      </c>
      <c r="F28" s="219">
        <f>ifs($B28="","",$B28, VLOOKUP($B28&amp;$E28, 'VISIT DATA'!A:O,3,0))</f>
        <v>0.5625</v>
      </c>
      <c r="G28" s="220" t="s">
        <v>6323</v>
      </c>
      <c r="H28" s="221" t="s">
        <v>15</v>
      </c>
      <c r="I28" s="222" t="str">
        <f>VLOOKUP($B28&amp;$E28,'VISIT DATA'!A:J, 9, FALSE)</f>
        <v>TORRES</v>
      </c>
      <c r="J28" s="223" t="str">
        <f>VLOOKUP(B28&amp;E28,'VISIT DATA'!A:N,10,FALSE)</f>
        <v>WELLCARE OF TEXAS</v>
      </c>
      <c r="K28" s="224"/>
      <c r="L28" s="224" t="s">
        <v>6242</v>
      </c>
      <c r="M28" s="224" t="s">
        <v>6242</v>
      </c>
      <c r="N28" s="225"/>
      <c r="O28" s="216" t="str">
        <f t="shared" si="1"/>
        <v>✓</v>
      </c>
      <c r="P28" s="226" t="str">
        <f t="shared" si="2"/>
        <v>#VALUE!</v>
      </c>
      <c r="Q28" s="227" t="str">
        <f t="shared" si="3"/>
        <v>#VALUE!</v>
      </c>
      <c r="R28" s="228" t="str">
        <f t="shared" si="4"/>
        <v>#VALUE!</v>
      </c>
      <c r="S28" s="220" t="str">
        <f t="shared" si="5"/>
        <v>#VALUE!</v>
      </c>
      <c r="T28" s="220" t="str">
        <f t="shared" si="6"/>
        <v>#VALUE!</v>
      </c>
      <c r="U28" s="221">
        <f t="shared" si="7"/>
        <v>0</v>
      </c>
      <c r="V28" s="229" t="str">
        <f>ifs($N28="",VLOOKUP($B28&amp;$E28,'VISIT DATA'!$A$2:$J100,7,FALSE), $N28="SWAB","OUTSA-RW",$N28="SWQU","OUTSA-SaQu", AND($L28="X",$M28="X",$N28="QUEST"),"OUT-UAQPre",$N28="QUEST","OUT-UAQ", $N28="Walk in","ColUATele")</f>
        <v>UA-Prelim</v>
      </c>
      <c r="W28" s="24" t="str">
        <f t="shared" si="8"/>
        <v>UA-Prelim : Preliminary UA Test</v>
      </c>
      <c r="X28" s="222" t="str">
        <f t="shared" si="9"/>
        <v>UA-Prelim : Preliminary UA Test</v>
      </c>
      <c r="Y28" s="222" t="str">
        <f t="shared" si="10"/>
        <v>MATCH</v>
      </c>
      <c r="Z28" s="224" t="str">
        <f t="shared" si="11"/>
        <v> </v>
      </c>
      <c r="AA28" s="244"/>
    </row>
    <row r="29">
      <c r="A29" s="214" t="str">
        <f>IFS($B29=FALSE,"",$B29,VLOOKUP($B29,'PATIENT DATA (072721)'!A:C, 2, 0))</f>
        <v>ORTEGA, ESPERANZA</v>
      </c>
      <c r="B29" s="215">
        <v>11792.0</v>
      </c>
      <c r="C29" s="216" t="str">
        <f>IF(COUNTIF('PATIENT DATA (072721)'!A:A, B29)=0, "X","✓")</f>
        <v>✓</v>
      </c>
      <c r="D29" s="226">
        <f>IFS($B29=FALSE,"",$B29,VLOOKUP($B29,'PATIENT DATA (072721)'!A:C, 3, 0))</f>
        <v>20872</v>
      </c>
      <c r="E29" s="218">
        <v>44573.0</v>
      </c>
      <c r="F29" s="219">
        <f>ifs($B29="","",$B29, VLOOKUP($B29&amp;$E29, 'VISIT DATA'!A:O,3,0))</f>
        <v>0.34375</v>
      </c>
      <c r="G29" s="220" t="s">
        <v>6323</v>
      </c>
      <c r="H29" s="221" t="s">
        <v>12</v>
      </c>
      <c r="I29" s="222" t="str">
        <f>VLOOKUP($B29&amp;$E29,'VISIT DATA'!A:J, 9, FALSE)</f>
        <v>THOMAS</v>
      </c>
      <c r="J29" s="223" t="str">
        <f>VLOOKUP(B29&amp;E29,'VISIT DATA'!A:N,10,FALSE)</f>
        <v>MEDICARE TEXAS</v>
      </c>
      <c r="K29" s="224"/>
      <c r="L29" s="224" t="s">
        <v>6242</v>
      </c>
      <c r="M29" s="224"/>
      <c r="N29" s="224"/>
      <c r="O29" s="216" t="str">
        <f t="shared" si="1"/>
        <v>✓</v>
      </c>
      <c r="P29" s="226" t="str">
        <f t="shared" si="2"/>
        <v>#VALUE!</v>
      </c>
      <c r="Q29" s="227" t="str">
        <f t="shared" si="3"/>
        <v>#VALUE!</v>
      </c>
      <c r="R29" s="228" t="str">
        <f t="shared" si="4"/>
        <v>#VALUE!</v>
      </c>
      <c r="S29" s="220" t="str">
        <f t="shared" si="5"/>
        <v>#VALUE!</v>
      </c>
      <c r="T29" s="220" t="str">
        <f t="shared" si="6"/>
        <v>#VALUE!</v>
      </c>
      <c r="U29" s="221">
        <f t="shared" si="7"/>
        <v>0</v>
      </c>
      <c r="V29" s="229" t="str">
        <f>ifs($N29="",VLOOKUP($B29&amp;$E29,'VISIT DATA'!$A$2:$J100,7,FALSE), $N29="SWAB","OUTSA-RW",$N29="SWQU","OUTSA-SaQu", AND($L29="X",$M29="X",$N29="QUEST"),"OUT-UAQPre",$N29="QUEST","OUT-UAQ", $N29="Walk in","ColUATele")</f>
        <v>UA</v>
      </c>
      <c r="W29" s="24" t="str">
        <f t="shared" si="8"/>
        <v>UA : Urine Analysis In House</v>
      </c>
      <c r="X29" s="222" t="str">
        <f t="shared" si="9"/>
        <v>UA : Urine Analysis In House</v>
      </c>
      <c r="Y29" s="222" t="str">
        <f t="shared" si="10"/>
        <v>MATCH</v>
      </c>
      <c r="Z29" s="224" t="str">
        <f t="shared" si="11"/>
        <v> </v>
      </c>
      <c r="AA29" s="245"/>
    </row>
    <row r="30">
      <c r="A30" s="214" t="str">
        <f>IFS($B30=FALSE,"",$B30,VLOOKUP($B30,'PATIENT DATA (072721)'!A:C, 2, 0))</f>
        <v>PEREZ, MARIA</v>
      </c>
      <c r="B30" s="215">
        <v>10237.0</v>
      </c>
      <c r="C30" s="230" t="str">
        <f>IF(COUNTIF('PATIENT DATA (072721)'!A:A, B30)=0, "X","✓")</f>
        <v>✓</v>
      </c>
      <c r="D30" s="226">
        <f>IFS($B30=FALSE,"",$B30,VLOOKUP($B30,'PATIENT DATA (072721)'!A:C, 3, 0))</f>
        <v>21414</v>
      </c>
      <c r="E30" s="218">
        <v>44573.0</v>
      </c>
      <c r="F30" s="219">
        <f>ifs($B30="","",$B30, VLOOKUP($B30&amp;$E30, 'VISIT DATA'!A:O,3,0))</f>
        <v>0.6145833333</v>
      </c>
      <c r="G30" s="231" t="s">
        <v>6323</v>
      </c>
      <c r="H30" s="221" t="s">
        <v>12</v>
      </c>
      <c r="I30" s="222" t="str">
        <f>VLOOKUP($B30&amp;$E30,'VISIT DATA'!A:J, 9, FALSE)</f>
        <v>THOMAS</v>
      </c>
      <c r="J30" s="223" t="str">
        <f>VLOOKUP(B30&amp;E30,'VISIT DATA'!A:N,10,FALSE)</f>
        <v>WELLMED - CIGNA HEALTHSPRING</v>
      </c>
      <c r="K30" s="224"/>
      <c r="L30" s="224" t="s">
        <v>6341</v>
      </c>
      <c r="M30" s="224"/>
      <c r="N30" s="225"/>
      <c r="O30" s="216" t="str">
        <f t="shared" si="1"/>
        <v>✓</v>
      </c>
      <c r="P30" s="226" t="str">
        <f t="shared" si="2"/>
        <v>X</v>
      </c>
      <c r="Q30" s="227" t="str">
        <f t="shared" si="3"/>
        <v>#VALUE!</v>
      </c>
      <c r="R30" s="228" t="str">
        <f t="shared" si="4"/>
        <v>#VALUE!</v>
      </c>
      <c r="S30" s="220" t="str">
        <f t="shared" si="5"/>
        <v>#VALUE!</v>
      </c>
      <c r="T30" s="220" t="str">
        <f t="shared" si="6"/>
        <v>#VALUE!</v>
      </c>
      <c r="U30" s="221">
        <f t="shared" si="7"/>
        <v>1</v>
      </c>
      <c r="V30" s="229" t="str">
        <f>ifs($N30="",VLOOKUP($B30&amp;$E30,'VISIT DATA'!$A$2:$J100,7,FALSE), $N30="SWAB","OUTSA-RW",$N30="SWQU","OUTSA-SaQu", AND($L30="X",$M30="X",$N30="QUEST"),"OUT-UAQPre",$N30="QUEST","OUT-UAQ", $N30="Walk in","ColUATele")</f>
        <v>OUTUA-FURW</v>
      </c>
      <c r="W30" s="24" t="str">
        <f t="shared" si="8"/>
        <v>OUTUA-FURW : OUT UA FU Redwood</v>
      </c>
      <c r="X30" s="222" t="str">
        <f t="shared" si="9"/>
        <v>OUTUA-FURW : OUT UA FU Redwood</v>
      </c>
      <c r="Y30" s="222" t="str">
        <f t="shared" si="10"/>
        <v>MATCH</v>
      </c>
      <c r="Z30" s="224" t="str">
        <f t="shared" si="11"/>
        <v> </v>
      </c>
      <c r="AA30" s="244"/>
    </row>
    <row r="31">
      <c r="A31" s="214" t="str">
        <f>IFS($B31=FALSE,"",$B31,VLOOKUP($B31,'PATIENT DATA (072721)'!A:C, 2, 0))</f>
        <v>AGUILAR, FREDDY</v>
      </c>
      <c r="B31" s="215">
        <v>12724.0</v>
      </c>
      <c r="C31" s="230" t="str">
        <f>IF(COUNTIF('PATIENT DATA (072721)'!A:A, B31)=0, "X","✓")</f>
        <v>✓</v>
      </c>
      <c r="D31" s="226">
        <f>IFS($B31=FALSE,"",$B31,VLOOKUP($B31,'PATIENT DATA (072721)'!A:C, 3, 0))</f>
        <v>25314</v>
      </c>
      <c r="E31" s="218">
        <v>44573.0</v>
      </c>
      <c r="F31" s="219">
        <f>ifs($B31="","",$B31, VLOOKUP($B31&amp;$E31, 'VISIT DATA'!A:O,3,0))</f>
        <v>0.5833333333</v>
      </c>
      <c r="G31" s="231" t="s">
        <v>6328</v>
      </c>
      <c r="H31" s="221" t="s">
        <v>15</v>
      </c>
      <c r="I31" s="222" t="str">
        <f>VLOOKUP($B31&amp;$E31,'VISIT DATA'!A:J, 9, FALSE)</f>
        <v>TORRES</v>
      </c>
      <c r="J31" s="223" t="str">
        <f>VLOOKUP(B31&amp;E31,'VISIT DATA'!A:N,10,FALSE)</f>
        <v>SUPERIOR HEALTH PLAN</v>
      </c>
      <c r="K31" s="225"/>
      <c r="L31" s="224" t="s">
        <v>6242</v>
      </c>
      <c r="M31" s="224" t="s">
        <v>6242</v>
      </c>
      <c r="N31" s="225"/>
      <c r="O31" s="216" t="str">
        <f t="shared" si="1"/>
        <v>✓</v>
      </c>
      <c r="P31" s="226" t="str">
        <f t="shared" si="2"/>
        <v>#VALUE!</v>
      </c>
      <c r="Q31" s="227" t="str">
        <f t="shared" si="3"/>
        <v>#VALUE!</v>
      </c>
      <c r="R31" s="228" t="str">
        <f t="shared" si="4"/>
        <v>#VALUE!</v>
      </c>
      <c r="S31" s="220" t="str">
        <f t="shared" si="5"/>
        <v>#VALUE!</v>
      </c>
      <c r="T31" s="220" t="str">
        <f t="shared" si="6"/>
        <v>#VALUE!</v>
      </c>
      <c r="U31" s="221">
        <f t="shared" si="7"/>
        <v>0</v>
      </c>
      <c r="V31" s="229" t="str">
        <f>ifs($N31="",VLOOKUP($B31&amp;$E31,'VISIT DATA'!$A$2:$J100,7,FALSE), $N31="SWAB","OUTSA-RW",$N31="SWQU","OUTSA-SaQu", AND($L31="X",$M31="X",$N31="QUEST"),"OUT-UAQPre",$N31="QUEST","OUT-UAQ", $N31="Walk in","ColUATele")</f>
        <v>UA-Prelim</v>
      </c>
      <c r="W31" s="24" t="str">
        <f t="shared" si="8"/>
        <v>UA-Prelim : Preliminary UA Test</v>
      </c>
      <c r="X31" s="222" t="str">
        <f t="shared" si="9"/>
        <v>UA-Prelim : Preliminary UA Test</v>
      </c>
      <c r="Y31" s="222" t="str">
        <f t="shared" si="10"/>
        <v>MATCH</v>
      </c>
      <c r="Z31" s="224" t="str">
        <f t="shared" si="11"/>
        <v> </v>
      </c>
      <c r="AA31" s="244"/>
    </row>
    <row r="32">
      <c r="A32" s="214" t="str">
        <f>IFS($B32=FALSE,"",$B32,VLOOKUP($B32,'PATIENT DATA (072721)'!A:C, 2, 0))</f>
        <v>URBAN, FRANCES</v>
      </c>
      <c r="B32" s="215">
        <v>17633.0</v>
      </c>
      <c r="C32" s="230" t="str">
        <f>IF(COUNTIF('PATIENT DATA (072721)'!A:A, B32)=0, "X","✓")</f>
        <v>✓</v>
      </c>
      <c r="D32" s="226">
        <f>IFS($B32=FALSE,"",$B32,VLOOKUP($B32,'PATIENT DATA (072721)'!A:C, 3, 0))</f>
        <v>20719</v>
      </c>
      <c r="E32" s="218">
        <v>44573.0</v>
      </c>
      <c r="F32" s="219">
        <f>ifs($B32="","",$B32, VLOOKUP($B32&amp;$E32, 'VISIT DATA'!A:O,3,0))</f>
        <v>0.5416666667</v>
      </c>
      <c r="G32" s="231" t="s">
        <v>6323</v>
      </c>
      <c r="H32" s="221" t="s">
        <v>12</v>
      </c>
      <c r="I32" s="222" t="str">
        <f>VLOOKUP($B32&amp;$E32,'VISIT DATA'!A:J, 9, FALSE)</f>
        <v>THOMAS</v>
      </c>
      <c r="J32" s="223" t="str">
        <f>VLOOKUP(B32&amp;E32,'VISIT DATA'!A:N,10,FALSE)</f>
        <v>WELLMED - AARP MEDICARE COMPLETE</v>
      </c>
      <c r="K32" s="224" t="s">
        <v>6341</v>
      </c>
      <c r="L32" s="224"/>
      <c r="M32" s="224"/>
      <c r="N32" s="225"/>
      <c r="O32" s="216" t="str">
        <f t="shared" si="1"/>
        <v>✓</v>
      </c>
      <c r="P32" s="226" t="str">
        <f t="shared" si="2"/>
        <v>X</v>
      </c>
      <c r="Q32" s="227" t="str">
        <f t="shared" si="3"/>
        <v>#VALUE!</v>
      </c>
      <c r="R32" s="228" t="str">
        <f t="shared" si="4"/>
        <v>#VALUE!</v>
      </c>
      <c r="S32" s="220" t="str">
        <f t="shared" si="5"/>
        <v>#VALUE!</v>
      </c>
      <c r="T32" s="220" t="str">
        <f t="shared" si="6"/>
        <v>#VALUE!</v>
      </c>
      <c r="U32" s="221">
        <f t="shared" si="7"/>
        <v>1</v>
      </c>
      <c r="V32" s="229" t="str">
        <f>ifs($N32="",VLOOKUP($B32&amp;$E32,'VISIT DATA'!$A$2:$J100,7,FALSE), $N32="SWAB","OUTSA-RW",$N32="SWQU","OUTSA-SaQu", AND($L32="X",$M32="X",$N32="QUEST"),"OUT-UAQPre",$N32="QUEST","OUT-UAQ", $N32="Walk in","ColUATele")</f>
        <v>OUTUA-NWRW</v>
      </c>
      <c r="W32" s="24" t="str">
        <f t="shared" si="8"/>
        <v>OUTUA-NWRW : OUT UA New Redwood</v>
      </c>
      <c r="X32" s="222" t="str">
        <f t="shared" si="9"/>
        <v>OUTUA-NWRW : OUT UA New Redwood</v>
      </c>
      <c r="Y32" s="222" t="str">
        <f t="shared" si="10"/>
        <v>MATCH</v>
      </c>
      <c r="Z32" s="224" t="str">
        <f t="shared" si="11"/>
        <v> </v>
      </c>
      <c r="AA32" s="244"/>
    </row>
    <row r="33">
      <c r="A33" s="214" t="str">
        <f>IFS($B33=FALSE,"",$B33,VLOOKUP($B33,'PATIENT DATA (072721)'!A:C, 2, 0))</f>
        <v>BLANTON, PATRICIA A</v>
      </c>
      <c r="B33" s="215">
        <v>17821.0</v>
      </c>
      <c r="C33" s="230" t="str">
        <f>IF(COUNTIF('PATIENT DATA (072721)'!A:A, B33)=0, "X","✓")</f>
        <v>✓</v>
      </c>
      <c r="D33" s="226">
        <f>IFS($B33=FALSE,"",$B33,VLOOKUP($B33,'PATIENT DATA (072721)'!A:C, 3, 0))</f>
        <v>20126</v>
      </c>
      <c r="E33" s="218">
        <v>44573.0</v>
      </c>
      <c r="F33" s="219">
        <f>ifs($B33="","",$B33, VLOOKUP($B33&amp;$E33, 'VISIT DATA'!A:O,3,0))</f>
        <v>0.5416666667</v>
      </c>
      <c r="G33" s="231" t="s">
        <v>6323</v>
      </c>
      <c r="H33" s="221" t="s">
        <v>6342</v>
      </c>
      <c r="I33" s="222" t="str">
        <f>VLOOKUP($B33&amp;$E33,'VISIT DATA'!A:J, 9, FALSE)</f>
        <v>THOMAS</v>
      </c>
      <c r="J33" s="223" t="str">
        <f>VLOOKUP(B33&amp;E33,'VISIT DATA'!A:N,10,FALSE)</f>
        <v>WELLMED - HUMANA</v>
      </c>
      <c r="K33" s="224" t="s">
        <v>6341</v>
      </c>
      <c r="L33" s="224"/>
      <c r="M33" s="224"/>
      <c r="N33" s="225"/>
      <c r="O33" s="216" t="str">
        <f t="shared" si="1"/>
        <v>✓</v>
      </c>
      <c r="P33" s="226" t="str">
        <f t="shared" si="2"/>
        <v>X</v>
      </c>
      <c r="Q33" s="227" t="str">
        <f t="shared" si="3"/>
        <v>#VALUE!</v>
      </c>
      <c r="R33" s="228" t="str">
        <f t="shared" si="4"/>
        <v>#VALUE!</v>
      </c>
      <c r="S33" s="220" t="str">
        <f t="shared" si="5"/>
        <v>#VALUE!</v>
      </c>
      <c r="T33" s="220" t="str">
        <f t="shared" si="6"/>
        <v>#VALUE!</v>
      </c>
      <c r="U33" s="221">
        <f t="shared" si="7"/>
        <v>1</v>
      </c>
      <c r="V33" s="229" t="str">
        <f>ifs($N33="",VLOOKUP($B33&amp;$E33,'VISIT DATA'!$A$2:$J100,7,FALSE), $N33="SWAB","OUTSA-RW",$N33="SWQU","OUTSA-SaQu", AND($L33="X",$M33="X",$N33="QUEST"),"OUT-UAQPre",$N33="QUEST","OUT-UAQ", $N33="Walk in","ColUATele")</f>
        <v>OUTUA-NWRW</v>
      </c>
      <c r="W33" s="24" t="str">
        <f t="shared" si="8"/>
        <v>OUTUA-NWRW : OUT UA New Redwood</v>
      </c>
      <c r="X33" s="222" t="str">
        <f t="shared" si="9"/>
        <v>OUTUA-NWRW : OUT UA New Redwood</v>
      </c>
      <c r="Y33" s="222" t="str">
        <f t="shared" si="10"/>
        <v>MATCH</v>
      </c>
      <c r="Z33" s="224" t="str">
        <f t="shared" si="11"/>
        <v> </v>
      </c>
      <c r="AA33" s="244"/>
    </row>
    <row r="34">
      <c r="A34" s="214" t="str">
        <f>IFS($B34=FALSE,"",$B34,VLOOKUP($B34,'PATIENT DATA (072721)'!A:C, 2, 0))</f>
        <v>SANCHEZ, CHRISTINA M</v>
      </c>
      <c r="B34" s="215">
        <v>13187.0</v>
      </c>
      <c r="C34" s="230" t="str">
        <f>IF(COUNTIF('PATIENT DATA (072721)'!A:A, B34)=0, "X","✓")</f>
        <v>✓</v>
      </c>
      <c r="D34" s="226">
        <f>IFS($B34=FALSE,"",$B34,VLOOKUP($B34,'PATIENT DATA (072721)'!A:C, 3, 0))</f>
        <v>20156</v>
      </c>
      <c r="E34" s="218">
        <v>44573.0</v>
      </c>
      <c r="F34" s="219">
        <f>ifs($B34="","",$B34, VLOOKUP($B34&amp;$E34, 'VISIT DATA'!A:O,3,0))</f>
        <v>0.5416666667</v>
      </c>
      <c r="G34" s="231" t="s">
        <v>6323</v>
      </c>
      <c r="H34" s="221" t="s">
        <v>14</v>
      </c>
      <c r="I34" s="222" t="str">
        <f>VLOOKUP($B34&amp;$E34,'VISIT DATA'!A:J, 9, FALSE)</f>
        <v>MARTINEZ</v>
      </c>
      <c r="J34" s="223" t="str">
        <f>VLOOKUP(B34&amp;E34,'VISIT DATA'!A:N,10,FALSE)</f>
        <v>BCBS HIGHMARK MEDICAL</v>
      </c>
      <c r="K34" s="225"/>
      <c r="L34" s="224" t="s">
        <v>6242</v>
      </c>
      <c r="M34" s="224" t="s">
        <v>6242</v>
      </c>
      <c r="N34" s="225"/>
      <c r="O34" s="216" t="str">
        <f t="shared" si="1"/>
        <v>✓</v>
      </c>
      <c r="P34" s="226" t="str">
        <f t="shared" si="2"/>
        <v>#VALUE!</v>
      </c>
      <c r="Q34" s="227" t="str">
        <f t="shared" si="3"/>
        <v>#VALUE!</v>
      </c>
      <c r="R34" s="228" t="str">
        <f t="shared" si="4"/>
        <v>#VALUE!</v>
      </c>
      <c r="S34" s="220" t="str">
        <f t="shared" si="5"/>
        <v>#VALUE!</v>
      </c>
      <c r="T34" s="220" t="str">
        <f t="shared" si="6"/>
        <v>#VALUE!</v>
      </c>
      <c r="U34" s="221">
        <f t="shared" si="7"/>
        <v>0</v>
      </c>
      <c r="V34" s="229" t="str">
        <f>ifs($N34="",VLOOKUP($B34&amp;$E34,'VISIT DATA'!$A$2:$J100,7,FALSE), $N34="SWAB","OUTSA-RW",$N34="SWQU","OUTSA-SaQu", AND($L34="X",$M34="X",$N34="QUEST"),"OUT-UAQPre",$N34="QUEST","OUT-UAQ", $N34="Walk in","ColUATele")</f>
        <v>UA-Prelim</v>
      </c>
      <c r="W34" s="24" t="str">
        <f t="shared" si="8"/>
        <v>UA-Prelim : Preliminary UA Test</v>
      </c>
      <c r="X34" s="222" t="str">
        <f t="shared" si="9"/>
        <v>UA-Prelim : Preliminary UA Test</v>
      </c>
      <c r="Y34" s="222" t="str">
        <f t="shared" si="10"/>
        <v>MATCH</v>
      </c>
      <c r="Z34" s="224" t="str">
        <f t="shared" si="11"/>
        <v> </v>
      </c>
      <c r="AA34" s="244"/>
    </row>
    <row r="35">
      <c r="A35" s="214" t="str">
        <f>IFS($B35=FALSE,"",$B35,VLOOKUP($B35,'PATIENT DATA (072721)'!A:C, 2, 0))</f>
        <v>RAMIREZ, KATHRYN</v>
      </c>
      <c r="B35" s="215">
        <v>15870.0</v>
      </c>
      <c r="C35" s="230" t="str">
        <f>IF(COUNTIF('PATIENT DATA (072721)'!A:A, B35)=0, "X","✓")</f>
        <v>✓</v>
      </c>
      <c r="D35" s="226">
        <f>IFS($B35=FALSE,"",$B35,VLOOKUP($B35,'PATIENT DATA (072721)'!A:C, 3, 0))</f>
        <v>23931</v>
      </c>
      <c r="E35" s="218">
        <v>44573.0</v>
      </c>
      <c r="F35" s="219">
        <f>ifs($B35="","",$B35, VLOOKUP($B35&amp;$E35, 'VISIT DATA'!A:O,3,0))</f>
        <v>0.5520833333</v>
      </c>
      <c r="G35" s="231" t="s">
        <v>6323</v>
      </c>
      <c r="H35" s="221" t="s">
        <v>14</v>
      </c>
      <c r="I35" s="222" t="str">
        <f>VLOOKUP($B35&amp;$E35,'VISIT DATA'!A:J, 9, FALSE)</f>
        <v>MARTINEZ</v>
      </c>
      <c r="J35" s="223" t="str">
        <f>VLOOKUP(B35&amp;E35,'VISIT DATA'!A:N,10,FALSE)</f>
        <v>MOLINA MEDICAID TEXAS</v>
      </c>
      <c r="K35" s="224"/>
      <c r="L35" s="224" t="s">
        <v>6242</v>
      </c>
      <c r="M35" s="224"/>
      <c r="N35" s="224"/>
      <c r="O35" s="216" t="str">
        <f t="shared" si="1"/>
        <v>✓</v>
      </c>
      <c r="P35" s="226" t="str">
        <f t="shared" si="2"/>
        <v>#VALUE!</v>
      </c>
      <c r="Q35" s="227" t="str">
        <f t="shared" si="3"/>
        <v>X</v>
      </c>
      <c r="R35" s="228" t="str">
        <f t="shared" si="4"/>
        <v>#VALUE!</v>
      </c>
      <c r="S35" s="220" t="str">
        <f t="shared" si="5"/>
        <v>#VALUE!</v>
      </c>
      <c r="T35" s="220" t="str">
        <f t="shared" si="6"/>
        <v>#VALUE!</v>
      </c>
      <c r="U35" s="221">
        <f t="shared" si="7"/>
        <v>1</v>
      </c>
      <c r="V35" s="229" t="str">
        <f>ifs($N35="",VLOOKUP($B35&amp;$E35,'VISIT DATA'!$A$2:$J100,7,FALSE), $N35="SWAB","OUTSA-RW",$N35="SWQU","OUTSA-SaQu", AND($L35="X",$M35="X",$N35="QUEST"),"OUT-UAQPre",$N35="QUEST","OUT-UAQ", $N35="Walk in","ColUATele")</f>
        <v>OUTUA-FURW</v>
      </c>
      <c r="W35" s="24" t="str">
        <f t="shared" si="8"/>
        <v>OUTUA-FURW : OUT UA FU Redwood</v>
      </c>
      <c r="X35" s="222" t="str">
        <f t="shared" si="9"/>
        <v>OUTUA-FURW : OUT UA FU Redwood</v>
      </c>
      <c r="Y35" s="222" t="str">
        <f t="shared" si="10"/>
        <v>MATCH</v>
      </c>
      <c r="Z35" s="224" t="str">
        <f t="shared" si="11"/>
        <v> </v>
      </c>
      <c r="AA35" s="244"/>
    </row>
    <row r="36">
      <c r="A36" s="214" t="str">
        <f>IFS($B36=FALSE,"",$B36,VLOOKUP($B36,'PATIENT DATA (072721)'!A:C, 2, 0))</f>
        <v>CONTRERAS, RUBY ESMERALDA</v>
      </c>
      <c r="B36" s="215">
        <v>14159.0</v>
      </c>
      <c r="C36" s="230" t="str">
        <f>IF(COUNTIF('PATIENT DATA (072721)'!A:A, B36)=0, "X","✓")</f>
        <v>✓</v>
      </c>
      <c r="D36" s="226">
        <f>IFS($B36=FALSE,"",$B36,VLOOKUP($B36,'PATIENT DATA (072721)'!A:C, 3, 0))</f>
        <v>31274</v>
      </c>
      <c r="E36" s="218">
        <v>44573.0</v>
      </c>
      <c r="F36" s="219">
        <f>ifs($B36="","",$B36, VLOOKUP($B36&amp;$E36, 'VISIT DATA'!A:O,3,0))</f>
        <v>0.6145833333</v>
      </c>
      <c r="G36" s="231" t="s">
        <v>6323</v>
      </c>
      <c r="H36" s="221" t="s">
        <v>14</v>
      </c>
      <c r="I36" s="222" t="str">
        <f>VLOOKUP($B36&amp;$E36,'VISIT DATA'!A:J, 9, FALSE)</f>
        <v>TORRES</v>
      </c>
      <c r="J36" s="223" t="str">
        <f>VLOOKUP(B36&amp;E36,'VISIT DATA'!A:N,10,FALSE)</f>
        <v>WPS VA - COMMUNITY CARE</v>
      </c>
      <c r="K36" s="225"/>
      <c r="L36" s="224" t="s">
        <v>6242</v>
      </c>
      <c r="M36" s="224"/>
      <c r="N36" s="225"/>
      <c r="O36" s="216" t="str">
        <f t="shared" si="1"/>
        <v>✓</v>
      </c>
      <c r="P36" s="226" t="str">
        <f t="shared" si="2"/>
        <v>#VALUE!</v>
      </c>
      <c r="Q36" s="227" t="str">
        <f t="shared" si="3"/>
        <v>#VALUE!</v>
      </c>
      <c r="R36" s="228" t="str">
        <f t="shared" si="4"/>
        <v>#VALUE!</v>
      </c>
      <c r="S36" s="220" t="str">
        <f t="shared" si="5"/>
        <v>#VALUE!</v>
      </c>
      <c r="T36" s="220" t="str">
        <f t="shared" si="6"/>
        <v>#VALUE!</v>
      </c>
      <c r="U36" s="221">
        <f t="shared" si="7"/>
        <v>0</v>
      </c>
      <c r="V36" s="229" t="str">
        <f>ifs($N36="",VLOOKUP($B36&amp;$E36,'VISIT DATA'!$A$2:$J100,7,FALSE), $N36="SWAB","OUTSA-RW",$N36="SWQU","OUTSA-SaQu", AND($L36="X",$M36="X",$N36="QUEST"),"OUT-UAQPre",$N36="QUEST","OUT-UAQ", $N36="Walk in","ColUATele")</f>
        <v>UA</v>
      </c>
      <c r="W36" s="24" t="str">
        <f t="shared" si="8"/>
        <v>UA : Urine Analysis In House</v>
      </c>
      <c r="X36" s="222" t="str">
        <f t="shared" si="9"/>
        <v>UA : Urine Analysis In House</v>
      </c>
      <c r="Y36" s="222" t="str">
        <f t="shared" si="10"/>
        <v>MATCH</v>
      </c>
      <c r="Z36" s="224" t="str">
        <f t="shared" si="11"/>
        <v> </v>
      </c>
      <c r="AA36" s="244"/>
    </row>
    <row r="37">
      <c r="A37" s="214" t="str">
        <f>IFS($B37=FALSE,"",$B37,VLOOKUP($B37,'PATIENT DATA (072721)'!A:C, 2, 0))</f>
        <v>CONIGLIO, PATRICIA S</v>
      </c>
      <c r="B37" s="215">
        <v>15667.0</v>
      </c>
      <c r="C37" s="230" t="str">
        <f>IF(COUNTIF('PATIENT DATA (072721)'!A:A, B37)=0, "X","✓")</f>
        <v>✓</v>
      </c>
      <c r="D37" s="226">
        <f>IFS($B37=FALSE,"",$B37,VLOOKUP($B37,'PATIENT DATA (072721)'!A:C, 3, 0))</f>
        <v>28612</v>
      </c>
      <c r="E37" s="218">
        <v>44573.0</v>
      </c>
      <c r="F37" s="219">
        <f>ifs($B37="","",$B37, VLOOKUP($B37&amp;$E37, 'VISIT DATA'!A:O,3,0))</f>
        <v>0.625</v>
      </c>
      <c r="G37" s="231" t="s">
        <v>6323</v>
      </c>
      <c r="H37" s="221" t="s">
        <v>14</v>
      </c>
      <c r="I37" s="222" t="str">
        <f>VLOOKUP($B37&amp;$E37,'VISIT DATA'!A:J, 9, FALSE)</f>
        <v>TORRES</v>
      </c>
      <c r="J37" s="223" t="str">
        <f>VLOOKUP(B37&amp;E37,'VISIT DATA'!A:N,10,FALSE)</f>
        <v>EL PASO HEALTH PLAN</v>
      </c>
      <c r="K37" s="225"/>
      <c r="L37" s="224" t="s">
        <v>6242</v>
      </c>
      <c r="M37" s="224" t="s">
        <v>6242</v>
      </c>
      <c r="N37" s="225"/>
      <c r="O37" s="216" t="str">
        <f t="shared" si="1"/>
        <v>✓</v>
      </c>
      <c r="P37" s="226" t="str">
        <f t="shared" si="2"/>
        <v>#VALUE!</v>
      </c>
      <c r="Q37" s="227" t="str">
        <f t="shared" si="3"/>
        <v>#VALUE!</v>
      </c>
      <c r="R37" s="228" t="str">
        <f t="shared" si="4"/>
        <v>#VALUE!</v>
      </c>
      <c r="S37" s="220" t="str">
        <f t="shared" si="5"/>
        <v>#VALUE!</v>
      </c>
      <c r="T37" s="220" t="str">
        <f t="shared" si="6"/>
        <v>#VALUE!</v>
      </c>
      <c r="U37" s="221">
        <f t="shared" si="7"/>
        <v>0</v>
      </c>
      <c r="V37" s="229" t="str">
        <f>ifs($N37="",VLOOKUP($B37&amp;$E37,'VISIT DATA'!$A$2:$J100,7,FALSE), $N37="SWAB","OUTSA-RW",$N37="SWQU","OUTSA-SaQu", AND($L37="X",$M37="X",$N37="QUEST"),"OUT-UAQPre",$N37="QUEST","OUT-UAQ", $N37="Walk in","ColUATele")</f>
        <v>UA-Prelim</v>
      </c>
      <c r="W37" s="24" t="str">
        <f t="shared" si="8"/>
        <v>UA-Prelim : Preliminary UA Test</v>
      </c>
      <c r="X37" s="222" t="str">
        <f t="shared" si="9"/>
        <v>UA-Prelim : Preliminary UA Test</v>
      </c>
      <c r="Y37" s="222" t="str">
        <f t="shared" si="10"/>
        <v>MATCH</v>
      </c>
      <c r="Z37" s="224" t="str">
        <f t="shared" si="11"/>
        <v> </v>
      </c>
      <c r="AA37" s="244"/>
    </row>
    <row r="38">
      <c r="A38" s="214" t="str">
        <f>IFS($B38=FALSE,"",$B38,VLOOKUP($B38,'PATIENT DATA (072721)'!A:C, 2, 0))</f>
        <v>ALMODOVAR VARGAS, GONZALO</v>
      </c>
      <c r="B38" s="215">
        <v>17848.0</v>
      </c>
      <c r="C38" s="230" t="str">
        <f>IF(COUNTIF('PATIENT DATA (072721)'!A:A, B38)=0, "X","✓")</f>
        <v>✓</v>
      </c>
      <c r="D38" s="226">
        <f>IFS($B38=FALSE,"",$B38,VLOOKUP($B38,'PATIENT DATA (072721)'!A:C, 3, 0))</f>
        <v>19261</v>
      </c>
      <c r="E38" s="218">
        <v>44573.0</v>
      </c>
      <c r="F38" s="219">
        <f>ifs($B38="","",$B38, VLOOKUP($B38&amp;$E38, 'VISIT DATA'!A:O,3,0))</f>
        <v>0.6145833333</v>
      </c>
      <c r="G38" s="231" t="s">
        <v>6328</v>
      </c>
      <c r="H38" s="221" t="s">
        <v>12</v>
      </c>
      <c r="I38" s="222" t="str">
        <f>VLOOKUP($B38&amp;$E38,'VISIT DATA'!A:J, 9, FALSE)</f>
        <v>THOMAS</v>
      </c>
      <c r="J38" s="223" t="str">
        <f>VLOOKUP(B38&amp;E38,'VISIT DATA'!A:N,10,FALSE)</f>
        <v>WELLMED - AARP MEDICARE COMPLETE</v>
      </c>
      <c r="K38" s="224" t="s">
        <v>6341</v>
      </c>
      <c r="L38" s="224"/>
      <c r="M38" s="224"/>
      <c r="N38" s="225"/>
      <c r="O38" s="216" t="str">
        <f t="shared" si="1"/>
        <v>✓</v>
      </c>
      <c r="P38" s="226" t="str">
        <f t="shared" si="2"/>
        <v>X</v>
      </c>
      <c r="Q38" s="227" t="str">
        <f t="shared" si="3"/>
        <v>#VALUE!</v>
      </c>
      <c r="R38" s="228" t="str">
        <f t="shared" si="4"/>
        <v>#VALUE!</v>
      </c>
      <c r="S38" s="220" t="str">
        <f t="shared" si="5"/>
        <v>#VALUE!</v>
      </c>
      <c r="T38" s="220" t="str">
        <f t="shared" si="6"/>
        <v>#VALUE!</v>
      </c>
      <c r="U38" s="221">
        <f t="shared" si="7"/>
        <v>1</v>
      </c>
      <c r="V38" s="229" t="str">
        <f>ifs($N38="",VLOOKUP($B38&amp;$E38,'VISIT DATA'!$A$2:$J100,7,FALSE), $N38="SWAB","OUTSA-RW",$N38="SWQU","OUTSA-SaQu", AND($L38="X",$M38="X",$N38="QUEST"),"OUT-UAQPre",$N38="QUEST","OUT-UAQ", $N38="Walk in","ColUATele")</f>
        <v>OUTUA-NWRW</v>
      </c>
      <c r="W38" s="24" t="str">
        <f t="shared" si="8"/>
        <v>OUTUA-NWRW : OUT UA New Redwood</v>
      </c>
      <c r="X38" s="222" t="str">
        <f t="shared" si="9"/>
        <v>OUTUA-NWRW : OUT UA New Redwood</v>
      </c>
      <c r="Y38" s="222" t="str">
        <f t="shared" si="10"/>
        <v>MATCH</v>
      </c>
      <c r="Z38" s="224" t="str">
        <f t="shared" si="11"/>
        <v> </v>
      </c>
      <c r="AA38" s="244"/>
    </row>
    <row r="39">
      <c r="A39" s="214" t="str">
        <f>IFS($B39=FALSE,"",$B39,VLOOKUP($B39,'PATIENT DATA (072721)'!A:C, 2, 0))</f>
        <v>OLGUIN, ISIDRO</v>
      </c>
      <c r="B39" s="215">
        <v>15802.0</v>
      </c>
      <c r="C39" s="230" t="str">
        <f>IF(COUNTIF('PATIENT DATA (072721)'!A:A, B39)=0, "X","✓")</f>
        <v>✓</v>
      </c>
      <c r="D39" s="226">
        <f>IFS($B39=FALSE,"",$B39,VLOOKUP($B39,'PATIENT DATA (072721)'!A:C, 3, 0))</f>
        <v>14014</v>
      </c>
      <c r="E39" s="218">
        <v>44573.0</v>
      </c>
      <c r="F39" s="219">
        <f>ifs($B39="","",$B39, VLOOKUP($B39&amp;$E39, 'VISIT DATA'!A:O,3,0))</f>
        <v>0.625</v>
      </c>
      <c r="G39" s="231" t="s">
        <v>6328</v>
      </c>
      <c r="H39" s="221" t="s">
        <v>15</v>
      </c>
      <c r="I39" s="222" t="str">
        <f>VLOOKUP($B39&amp;$E39,'VISIT DATA'!A:J, 9, FALSE)</f>
        <v>MARTINEZ</v>
      </c>
      <c r="J39" s="223" t="str">
        <f>VLOOKUP(B39&amp;E39,'VISIT DATA'!A:N,10,FALSE)</f>
        <v>MEDICARE TEXAS</v>
      </c>
      <c r="K39" s="225"/>
      <c r="L39" s="224" t="s">
        <v>6242</v>
      </c>
      <c r="M39" s="224" t="s">
        <v>6242</v>
      </c>
      <c r="N39" s="225"/>
      <c r="O39" s="216" t="str">
        <f t="shared" si="1"/>
        <v>✓</v>
      </c>
      <c r="P39" s="226" t="str">
        <f t="shared" si="2"/>
        <v>#VALUE!</v>
      </c>
      <c r="Q39" s="227" t="str">
        <f t="shared" si="3"/>
        <v>#VALUE!</v>
      </c>
      <c r="R39" s="228" t="str">
        <f t="shared" si="4"/>
        <v>#VALUE!</v>
      </c>
      <c r="S39" s="220" t="str">
        <f t="shared" si="5"/>
        <v>#VALUE!</v>
      </c>
      <c r="T39" s="220" t="str">
        <f t="shared" si="6"/>
        <v>#VALUE!</v>
      </c>
      <c r="U39" s="221">
        <f t="shared" si="7"/>
        <v>0</v>
      </c>
      <c r="V39" s="229" t="str">
        <f>ifs($N39="",VLOOKUP($B39&amp;$E39,'VISIT DATA'!$A$2:$J100,7,FALSE), $N39="SWAB","OUTSA-RW",$N39="SWQU","OUTSA-SaQu", AND($L39="X",$M39="X",$N39="QUEST"),"OUT-UAQPre",$N39="QUEST","OUT-UAQ", $N39="Walk in","ColUATele")</f>
        <v>UA-Prelim</v>
      </c>
      <c r="W39" s="24" t="str">
        <f t="shared" si="8"/>
        <v>UA-Prelim : Preliminary UA Test</v>
      </c>
      <c r="X39" s="222" t="str">
        <f t="shared" si="9"/>
        <v>UA-Prelim : Preliminary UA Test</v>
      </c>
      <c r="Y39" s="222" t="str">
        <f t="shared" si="10"/>
        <v>MATCH</v>
      </c>
      <c r="Z39" s="224" t="str">
        <f t="shared" si="11"/>
        <v> </v>
      </c>
      <c r="AA39" s="244"/>
    </row>
    <row r="40">
      <c r="A40" s="214" t="str">
        <f>IFS($B40=FALSE,"",$B40,VLOOKUP($B40,'PATIENT DATA (072721)'!A:C, 2, 0))</f>
        <v>COOPER, OLGA P</v>
      </c>
      <c r="B40" s="215">
        <v>9457.0</v>
      </c>
      <c r="C40" s="230" t="str">
        <f>IF(COUNTIF('PATIENT DATA (072721)'!A:A, B40)=0, "X","✓")</f>
        <v>✓</v>
      </c>
      <c r="D40" s="226">
        <f>IFS($B40=FALSE,"",$B40,VLOOKUP($B40,'PATIENT DATA (072721)'!A:C, 3, 0))</f>
        <v>18817</v>
      </c>
      <c r="E40" s="218">
        <v>44573.0</v>
      </c>
      <c r="F40" s="219">
        <f>ifs($B40="","",$B40, VLOOKUP($B40&amp;$E40, 'VISIT DATA'!A:O,3,0))</f>
        <v>0.6354166667</v>
      </c>
      <c r="G40" s="231" t="s">
        <v>6323</v>
      </c>
      <c r="H40" s="221" t="s">
        <v>14</v>
      </c>
      <c r="I40" s="222" t="str">
        <f>VLOOKUP($B40&amp;$E40,'VISIT DATA'!A:J, 9, FALSE)</f>
        <v>THOMAS</v>
      </c>
      <c r="J40" s="223" t="str">
        <f>VLOOKUP(B40&amp;E40,'VISIT DATA'!A:N,10,FALSE)</f>
        <v>WELLMED - UHC DUAL COMPLETE SNP</v>
      </c>
      <c r="K40" s="224"/>
      <c r="L40" s="224" t="s">
        <v>6242</v>
      </c>
      <c r="M40" s="224" t="s">
        <v>6242</v>
      </c>
      <c r="N40" s="225"/>
      <c r="O40" s="216" t="str">
        <f t="shared" si="1"/>
        <v>✓</v>
      </c>
      <c r="P40" s="226" t="str">
        <f t="shared" si="2"/>
        <v>X</v>
      </c>
      <c r="Q40" s="227" t="str">
        <f t="shared" si="3"/>
        <v>#VALUE!</v>
      </c>
      <c r="R40" s="228" t="str">
        <f t="shared" si="4"/>
        <v>#VALUE!</v>
      </c>
      <c r="S40" s="220" t="str">
        <f t="shared" si="5"/>
        <v>#VALUE!</v>
      </c>
      <c r="T40" s="220" t="str">
        <f t="shared" si="6"/>
        <v>#VALUE!</v>
      </c>
      <c r="U40" s="221">
        <f t="shared" si="7"/>
        <v>1</v>
      </c>
      <c r="V40" s="229" t="str">
        <f>ifs($N40="",VLOOKUP($B40&amp;$E40,'VISIT DATA'!$A$2:$J100,7,FALSE), $N40="SWAB","OUTSA-RW",$N40="SWQU","OUTSA-SaQu", AND($L40="X",$M40="X",$N40="QUEST"),"OUT-UAQPre",$N40="QUEST","OUT-UAQ", $N40="Walk in","ColUATele")</f>
        <v>OUTUA-PrRW</v>
      </c>
      <c r="W40" s="24" t="str">
        <f t="shared" si="8"/>
        <v>OUTUA-PrRW : OUT UA Prelimin Redwood</v>
      </c>
      <c r="X40" s="222" t="str">
        <f t="shared" si="9"/>
        <v>OUTUA-PrRW : OUT UA Prelimin Redwood</v>
      </c>
      <c r="Y40" s="222" t="str">
        <f t="shared" si="10"/>
        <v>MATCH</v>
      </c>
      <c r="Z40" s="224" t="str">
        <f t="shared" si="11"/>
        <v> </v>
      </c>
      <c r="AA40" s="244"/>
    </row>
    <row r="41">
      <c r="A41" s="214" t="str">
        <f>IFS($B41=FALSE,"",$B41,VLOOKUP($B41,'PATIENT DATA (072721)'!A:C, 2, 0))</f>
        <v>PORRAS, CLAUDIA</v>
      </c>
      <c r="B41" s="215">
        <v>9987.0</v>
      </c>
      <c r="C41" s="216" t="str">
        <f>IF(COUNTIF('PATIENT DATA (072721)'!A:A, B41)=0, "X","✓")</f>
        <v>✓</v>
      </c>
      <c r="D41" s="226">
        <f>IFS($B41=FALSE,"",$B41,VLOOKUP($B41,'PATIENT DATA (072721)'!A:C, 3, 0))</f>
        <v>25661</v>
      </c>
      <c r="E41" s="218">
        <v>44573.0</v>
      </c>
      <c r="F41" s="219">
        <f>ifs($B41="","",$B41, VLOOKUP($B41&amp;$E41, 'VISIT DATA'!A:O,3,0))</f>
        <v>0.625</v>
      </c>
      <c r="G41" s="220" t="s">
        <v>6323</v>
      </c>
      <c r="H41" s="221" t="s">
        <v>14</v>
      </c>
      <c r="I41" s="222" t="str">
        <f>VLOOKUP($B41&amp;$E41,'VISIT DATA'!A:J, 9, FALSE)</f>
        <v>TORRES</v>
      </c>
      <c r="J41" s="223" t="str">
        <f>VLOOKUP(B41&amp;E41,'VISIT DATA'!A:N,10,FALSE)</f>
        <v>BCBSTX PPO</v>
      </c>
      <c r="K41" s="225"/>
      <c r="L41" s="224" t="s">
        <v>6242</v>
      </c>
      <c r="M41" s="224"/>
      <c r="N41" s="225"/>
      <c r="O41" s="216" t="str">
        <f t="shared" si="1"/>
        <v>✓</v>
      </c>
      <c r="P41" s="226" t="str">
        <f t="shared" si="2"/>
        <v>#VALUE!</v>
      </c>
      <c r="Q41" s="227" t="str">
        <f t="shared" si="3"/>
        <v>#VALUE!</v>
      </c>
      <c r="R41" s="228" t="str">
        <f t="shared" si="4"/>
        <v>#VALUE!</v>
      </c>
      <c r="S41" s="220" t="str">
        <f t="shared" si="5"/>
        <v>#VALUE!</v>
      </c>
      <c r="T41" s="220" t="str">
        <f t="shared" si="6"/>
        <v>#VALUE!</v>
      </c>
      <c r="U41" s="221">
        <f t="shared" si="7"/>
        <v>0</v>
      </c>
      <c r="V41" s="229" t="str">
        <f>ifs($N41="",VLOOKUP($B41&amp;$E41,'VISIT DATA'!$A$2:$J100,7,FALSE), $N41="SWAB","OUTSA-RW",$N41="SWQU","OUTSA-SaQu", AND($L41="X",$M41="X",$N41="QUEST"),"OUT-UAQPre",$N41="QUEST","OUT-UAQ", $N41="Walk in","ColUATele")</f>
        <v>UA</v>
      </c>
      <c r="W41" s="24" t="str">
        <f t="shared" si="8"/>
        <v>UA : Urine Analysis In House</v>
      </c>
      <c r="X41" s="222" t="str">
        <f t="shared" si="9"/>
        <v>UA : Urine Analysis In House</v>
      </c>
      <c r="Y41" s="222" t="str">
        <f t="shared" si="10"/>
        <v>MATCH</v>
      </c>
      <c r="Z41" s="224" t="str">
        <f t="shared" si="11"/>
        <v> </v>
      </c>
      <c r="AA41" s="244"/>
    </row>
    <row r="42">
      <c r="A42" s="214" t="str">
        <f>IFS($B42=FALSE,"",$B42,VLOOKUP($B42,'PATIENT DATA (072721)'!A:C, 2, 0))</f>
        <v>RODRIGUEZ, LYDIA G</v>
      </c>
      <c r="B42" s="215">
        <v>16856.0</v>
      </c>
      <c r="C42" s="216" t="str">
        <f>IF(COUNTIF('PATIENT DATA (072721)'!A:A, B42)=0, "X","✓")</f>
        <v>✓</v>
      </c>
      <c r="D42" s="226">
        <f>IFS($B42=FALSE,"",$B42,VLOOKUP($B42,'PATIENT DATA (072721)'!A:C, 3, 0))</f>
        <v>12796</v>
      </c>
      <c r="E42" s="218">
        <v>44573.0</v>
      </c>
      <c r="F42" s="219">
        <f>ifs($B42="","",$B42, VLOOKUP($B42&amp;$E42, 'VISIT DATA'!A:O,3,0))</f>
        <v>0.6458333333</v>
      </c>
      <c r="G42" s="220" t="s">
        <v>6323</v>
      </c>
      <c r="H42" s="221" t="s">
        <v>15</v>
      </c>
      <c r="I42" s="222" t="str">
        <f>VLOOKUP($B42&amp;$E42,'VISIT DATA'!A:J, 9, FALSE)</f>
        <v>MARTINEZ</v>
      </c>
      <c r="J42" s="223" t="str">
        <f>VLOOKUP(B42&amp;E42,'VISIT DATA'!A:N,10,FALSE)</f>
        <v>MEDICARE TEXAS</v>
      </c>
      <c r="K42" s="225"/>
      <c r="L42" s="224" t="s">
        <v>6242</v>
      </c>
      <c r="M42" s="224"/>
      <c r="N42" s="225"/>
      <c r="O42" s="216" t="str">
        <f t="shared" si="1"/>
        <v>✓</v>
      </c>
      <c r="P42" s="226" t="str">
        <f t="shared" si="2"/>
        <v>#VALUE!</v>
      </c>
      <c r="Q42" s="227" t="str">
        <f t="shared" si="3"/>
        <v>#VALUE!</v>
      </c>
      <c r="R42" s="228" t="str">
        <f t="shared" si="4"/>
        <v>#VALUE!</v>
      </c>
      <c r="S42" s="220" t="str">
        <f t="shared" si="5"/>
        <v>#VALUE!</v>
      </c>
      <c r="T42" s="220" t="str">
        <f t="shared" si="6"/>
        <v>#VALUE!</v>
      </c>
      <c r="U42" s="221">
        <f t="shared" si="7"/>
        <v>0</v>
      </c>
      <c r="V42" s="229" t="str">
        <f>ifs($N42="",VLOOKUP($B42&amp;$E42,'VISIT DATA'!$A$2:$J100,7,FALSE), $N42="SWAB","OUTSA-RW",$N42="SWQU","OUTSA-SaQu", AND($L42="X",$M42="X",$N42="QUEST"),"OUT-UAQPre",$N42="QUEST","OUT-UAQ", $N42="Walk in","ColUATele")</f>
        <v>UA</v>
      </c>
      <c r="W42" s="24" t="str">
        <f t="shared" si="8"/>
        <v>UA : Urine Analysis In House</v>
      </c>
      <c r="X42" s="222" t="str">
        <f t="shared" si="9"/>
        <v>UA : Urine Analysis In House</v>
      </c>
      <c r="Y42" s="222" t="str">
        <f t="shared" si="10"/>
        <v>MATCH</v>
      </c>
      <c r="Z42" s="224" t="str">
        <f t="shared" si="11"/>
        <v> </v>
      </c>
      <c r="AA42" s="244"/>
    </row>
    <row r="43">
      <c r="A43" s="214" t="str">
        <f>IFS($B43=FALSE,"",$B43,VLOOKUP($B43,'PATIENT DATA (072721)'!A:C, 2, 0))</f>
        <v>VASQUEZ DE PONCE, MARIVEL</v>
      </c>
      <c r="B43" s="215">
        <v>11446.0</v>
      </c>
      <c r="C43" s="216" t="str">
        <f>IF(COUNTIF('PATIENT DATA (072721)'!A:A, B43)=0, "X","✓")</f>
        <v>✓</v>
      </c>
      <c r="D43" s="226">
        <f>IFS($B43=FALSE,"",$B43,VLOOKUP($B43,'PATIENT DATA (072721)'!A:C, 3, 0))</f>
        <v>26192</v>
      </c>
      <c r="E43" s="218">
        <v>44573.0</v>
      </c>
      <c r="F43" s="219">
        <f>ifs($B43="","",$B43, VLOOKUP($B43&amp;$E43, 'VISIT DATA'!A:O,3,0))</f>
        <v>0.6354166667</v>
      </c>
      <c r="G43" s="220" t="s">
        <v>6323</v>
      </c>
      <c r="H43" s="221" t="s">
        <v>15</v>
      </c>
      <c r="I43" s="222" t="str">
        <f>VLOOKUP($B43&amp;$E43,'VISIT DATA'!A:J, 9, FALSE)</f>
        <v>MARTINEZ</v>
      </c>
      <c r="J43" s="223" t="str">
        <f>VLOOKUP(B43&amp;E43,'VISIT DATA'!A:N,10,FALSE)</f>
        <v>WELLMED - CIGNA HEALTHSPRING</v>
      </c>
      <c r="K43" s="225"/>
      <c r="L43" s="224" t="s">
        <v>6242</v>
      </c>
      <c r="M43" s="224" t="s">
        <v>6242</v>
      </c>
      <c r="N43" s="225"/>
      <c r="O43" s="216" t="str">
        <f t="shared" si="1"/>
        <v>✓</v>
      </c>
      <c r="P43" s="226" t="str">
        <f t="shared" si="2"/>
        <v>X</v>
      </c>
      <c r="Q43" s="227" t="str">
        <f t="shared" si="3"/>
        <v>#VALUE!</v>
      </c>
      <c r="R43" s="228" t="str">
        <f t="shared" si="4"/>
        <v>#VALUE!</v>
      </c>
      <c r="S43" s="220" t="str">
        <f t="shared" si="5"/>
        <v>#VALUE!</v>
      </c>
      <c r="T43" s="220" t="str">
        <f t="shared" si="6"/>
        <v>#VALUE!</v>
      </c>
      <c r="U43" s="221">
        <f t="shared" si="7"/>
        <v>1</v>
      </c>
      <c r="V43" s="229" t="str">
        <f>ifs($N43="",VLOOKUP($B43&amp;$E43,'VISIT DATA'!$A$2:$J100,7,FALSE), $N43="SWAB","OUTSA-RW",$N43="SWQU","OUTSA-SaQu", AND($L43="X",$M43="X",$N43="QUEST"),"OUT-UAQPre",$N43="QUEST","OUT-UAQ", $N43="Walk in","ColUATele")</f>
        <v>OUTUA-PrRW</v>
      </c>
      <c r="W43" s="24" t="str">
        <f t="shared" si="8"/>
        <v>OUTUA-PrRW : OUT UA Prelimin Redwood</v>
      </c>
      <c r="X43" s="222" t="str">
        <f t="shared" si="9"/>
        <v>OUTUA-PrRW : OUT UA Prelimin Redwood</v>
      </c>
      <c r="Y43" s="222" t="str">
        <f t="shared" si="10"/>
        <v>MATCH</v>
      </c>
      <c r="Z43" s="224" t="str">
        <f t="shared" si="11"/>
        <v> </v>
      </c>
      <c r="AA43" s="244"/>
    </row>
    <row r="44">
      <c r="A44" s="214" t="str">
        <f>IFS($B44=FALSE,"",$B44,VLOOKUP($B44,'PATIENT DATA (072721)'!A:C, 2, 0))</f>
        <v>ESPARZA, IRENE</v>
      </c>
      <c r="B44" s="215">
        <v>12174.0</v>
      </c>
      <c r="C44" s="216" t="str">
        <f>IF(COUNTIF('PATIENT DATA (072721)'!A:A, B44)=0, "X","✓")</f>
        <v>✓</v>
      </c>
      <c r="D44" s="226">
        <f>IFS($B44=FALSE,"",$B44,VLOOKUP($B44,'PATIENT DATA (072721)'!A:C, 3, 0))</f>
        <v>17259</v>
      </c>
      <c r="E44" s="218">
        <v>44573.0</v>
      </c>
      <c r="F44" s="219">
        <f>ifs($B44="","",$B44, VLOOKUP($B44&amp;$E44, 'VISIT DATA'!A:O,3,0))</f>
        <v>0.6354166667</v>
      </c>
      <c r="G44" s="220" t="s">
        <v>6323</v>
      </c>
      <c r="H44" s="221" t="s">
        <v>13</v>
      </c>
      <c r="I44" s="222" t="str">
        <f>VLOOKUP($B44&amp;$E44,'VISIT DATA'!A:J, 9, FALSE)</f>
        <v>THOMAS</v>
      </c>
      <c r="J44" s="223" t="str">
        <f>VLOOKUP(B44&amp;E44,'VISIT DATA'!A:N,10,FALSE)</f>
        <v>WELLMED - AMERIVANTAGE</v>
      </c>
      <c r="K44" s="224"/>
      <c r="L44" s="224" t="s">
        <v>6341</v>
      </c>
      <c r="M44" s="224"/>
      <c r="N44" s="225"/>
      <c r="O44" s="216" t="str">
        <f t="shared" si="1"/>
        <v>✓</v>
      </c>
      <c r="P44" s="226" t="str">
        <f t="shared" si="2"/>
        <v>X</v>
      </c>
      <c r="Q44" s="227" t="str">
        <f t="shared" si="3"/>
        <v>#VALUE!</v>
      </c>
      <c r="R44" s="228" t="str">
        <f t="shared" si="4"/>
        <v>#VALUE!</v>
      </c>
      <c r="S44" s="220" t="str">
        <f t="shared" si="5"/>
        <v>#VALUE!</v>
      </c>
      <c r="T44" s="220" t="str">
        <f t="shared" si="6"/>
        <v>#VALUE!</v>
      </c>
      <c r="U44" s="221">
        <f t="shared" si="7"/>
        <v>1</v>
      </c>
      <c r="V44" s="229" t="str">
        <f>ifs($N44="",VLOOKUP($B44&amp;$E44,'VISIT DATA'!$A$2:$J100,7,FALSE), $N44="SWAB","OUTSA-RW",$N44="SWQU","OUTSA-SaQu", AND($L44="X",$M44="X",$N44="QUEST"),"OUT-UAQPre",$N44="QUEST","OUT-UAQ", $N44="Walk in","ColUATele")</f>
        <v>OUTUA-FURW</v>
      </c>
      <c r="W44" s="24" t="str">
        <f t="shared" si="8"/>
        <v>OUTUA-FURW : OUT UA FU Redwood</v>
      </c>
      <c r="X44" s="222" t="str">
        <f t="shared" si="9"/>
        <v>OUTUA-FURW : OUT UA FU Redwood</v>
      </c>
      <c r="Y44" s="222" t="str">
        <f t="shared" si="10"/>
        <v>MATCH</v>
      </c>
      <c r="Z44" s="224" t="str">
        <f t="shared" si="11"/>
        <v> </v>
      </c>
      <c r="AA44" s="244"/>
    </row>
    <row r="45">
      <c r="A45" s="214" t="str">
        <f>IFS($B45=FALSE,"",$B45,VLOOKUP($B45,'PATIENT DATA (072721)'!A:C, 2, 0))</f>
        <v>GOMEZ, ESTHELA</v>
      </c>
      <c r="B45" s="215">
        <v>17831.0</v>
      </c>
      <c r="C45" s="216" t="str">
        <f>IF(COUNTIF('PATIENT DATA (072721)'!A:A, B45)=0, "X","✓")</f>
        <v>✓</v>
      </c>
      <c r="D45" s="226">
        <f>IFS($B45=FALSE,"",$B45,VLOOKUP($B45,'PATIENT DATA (072721)'!A:C, 3, 0))</f>
        <v>18671</v>
      </c>
      <c r="E45" s="218">
        <v>44573.0</v>
      </c>
      <c r="F45" s="219">
        <f>ifs($B45="","",$B45, VLOOKUP($B45&amp;$E45, 'VISIT DATA'!A:O,3,0))</f>
        <v>0.6145833333</v>
      </c>
      <c r="G45" s="220" t="s">
        <v>6344</v>
      </c>
      <c r="H45" s="221" t="s">
        <v>13</v>
      </c>
      <c r="I45" s="222" t="str">
        <f>VLOOKUP($B45&amp;$E45,'VISIT DATA'!A:J, 9, FALSE)</f>
        <v>THOMAS</v>
      </c>
      <c r="J45" s="223" t="str">
        <f>VLOOKUP(B45&amp;E45,'VISIT DATA'!A:N,10,FALSE)</f>
        <v>WELLMED - UHC DUAL COMPLETE SNP</v>
      </c>
      <c r="K45" s="224" t="s">
        <v>6341</v>
      </c>
      <c r="L45" s="224"/>
      <c r="M45" s="224"/>
      <c r="N45" s="225"/>
      <c r="O45" s="216" t="str">
        <f t="shared" si="1"/>
        <v>✓</v>
      </c>
      <c r="P45" s="226" t="str">
        <f t="shared" si="2"/>
        <v>X</v>
      </c>
      <c r="Q45" s="227" t="str">
        <f t="shared" si="3"/>
        <v>#VALUE!</v>
      </c>
      <c r="R45" s="228" t="str">
        <f t="shared" si="4"/>
        <v>#VALUE!</v>
      </c>
      <c r="S45" s="220" t="str">
        <f t="shared" si="5"/>
        <v>#VALUE!</v>
      </c>
      <c r="T45" s="220" t="str">
        <f t="shared" si="6"/>
        <v>#VALUE!</v>
      </c>
      <c r="U45" s="221">
        <f t="shared" si="7"/>
        <v>1</v>
      </c>
      <c r="V45" s="229" t="str">
        <f>ifs($N45="",VLOOKUP($B45&amp;$E45,'VISIT DATA'!$A$2:$J100,7,FALSE), $N45="SWAB","OUTSA-RW",$N45="SWQU","OUTSA-SaQu", AND($L45="X",$M45="X",$N45="QUEST"),"OUT-UAQPre",$N45="QUEST","OUT-UAQ", $N45="Walk in","ColUATele")</f>
        <v>OUTUA-NWRW</v>
      </c>
      <c r="W45" s="24" t="str">
        <f t="shared" si="8"/>
        <v>OUTUA-NWRW : OUT UA New Redwood</v>
      </c>
      <c r="X45" s="222" t="str">
        <f t="shared" si="9"/>
        <v>OUTUA-NWRW : OUT UA New Redwood</v>
      </c>
      <c r="Y45" s="222" t="str">
        <f t="shared" si="10"/>
        <v>MATCH</v>
      </c>
      <c r="Z45" s="224" t="str">
        <f t="shared" si="11"/>
        <v> </v>
      </c>
      <c r="AA45" s="244"/>
    </row>
    <row r="46">
      <c r="A46" s="214" t="str">
        <f>IFS($B46=FALSE,"",$B46,VLOOKUP($B46,'PATIENT DATA (072721)'!A:C, 2, 0))</f>
        <v>DAVILA, ALMA</v>
      </c>
      <c r="B46" s="215">
        <v>13972.0</v>
      </c>
      <c r="C46" s="216" t="str">
        <f>IF(COUNTIF('PATIENT DATA (072721)'!A:A, B46)=0, "X","✓")</f>
        <v>✓</v>
      </c>
      <c r="D46" s="226">
        <f>IFS($B46=FALSE,"",$B46,VLOOKUP($B46,'PATIENT DATA (072721)'!A:C, 3, 0))</f>
        <v>17231</v>
      </c>
      <c r="E46" s="218">
        <v>44573.0</v>
      </c>
      <c r="F46" s="219">
        <f>ifs($B46="","",$B46, VLOOKUP($B46&amp;$E46, 'VISIT DATA'!A:O,3,0))</f>
        <v>0.5625</v>
      </c>
      <c r="G46" s="220" t="s">
        <v>6323</v>
      </c>
      <c r="H46" s="221" t="s">
        <v>13</v>
      </c>
      <c r="I46" s="222" t="str">
        <f>VLOOKUP($B46&amp;$E46,'VISIT DATA'!A:J, 9, FALSE)</f>
        <v>TORRES</v>
      </c>
      <c r="J46" s="223" t="str">
        <f>VLOOKUP(B46&amp;E46,'VISIT DATA'!A:N,10,FALSE)</f>
        <v>WELLMED - UHC DUAL COMPLETE HMO SNP</v>
      </c>
      <c r="K46" s="224"/>
      <c r="L46" s="224" t="s">
        <v>6341</v>
      </c>
      <c r="M46" s="224"/>
      <c r="N46" s="225"/>
      <c r="O46" s="216" t="str">
        <f t="shared" si="1"/>
        <v>✓</v>
      </c>
      <c r="P46" s="226" t="str">
        <f t="shared" si="2"/>
        <v>X</v>
      </c>
      <c r="Q46" s="227" t="str">
        <f t="shared" si="3"/>
        <v>#VALUE!</v>
      </c>
      <c r="R46" s="228" t="str">
        <f t="shared" si="4"/>
        <v>#VALUE!</v>
      </c>
      <c r="S46" s="220" t="str">
        <f t="shared" si="5"/>
        <v>#VALUE!</v>
      </c>
      <c r="T46" s="220" t="str">
        <f t="shared" si="6"/>
        <v>#VALUE!</v>
      </c>
      <c r="U46" s="221">
        <f t="shared" si="7"/>
        <v>1</v>
      </c>
      <c r="V46" s="229" t="str">
        <f>ifs($N46="",VLOOKUP($B46&amp;$E46,'VISIT DATA'!$A$2:$J100,7,FALSE), $N46="SWAB","OUTSA-RW",$N46="SWQU","OUTSA-SaQu", AND($L46="X",$M46="X",$N46="QUEST"),"OUT-UAQPre",$N46="QUEST","OUT-UAQ", $N46="Walk in","ColUATele")</f>
        <v>OUTUA-FURW</v>
      </c>
      <c r="W46" s="24" t="str">
        <f t="shared" si="8"/>
        <v>OUTUA-FURW : OUT UA FU Redwood</v>
      </c>
      <c r="X46" s="222" t="str">
        <f t="shared" si="9"/>
        <v>OUTUA-FURW : OUT UA FU Redwood</v>
      </c>
      <c r="Y46" s="222" t="str">
        <f t="shared" si="10"/>
        <v>MATCH</v>
      </c>
      <c r="Z46" s="224" t="str">
        <f t="shared" si="11"/>
        <v> </v>
      </c>
      <c r="AA46" s="244"/>
    </row>
    <row r="47">
      <c r="A47" s="214" t="str">
        <f>IFS($B47=FALSE,"",$B47,VLOOKUP($B47,'PATIENT DATA (072721)'!A:C, 2, 0))</f>
        <v/>
      </c>
      <c r="B47" s="215"/>
      <c r="C47" s="230" t="str">
        <f>IF(COUNTIF('PATIENT DATA (072721)'!A:A, B47)=0, "X","✓")</f>
        <v>X</v>
      </c>
      <c r="D47" s="226" t="str">
        <f>IFS($B47=FALSE,"",$B47,VLOOKUP($B47,'PATIENT DATA (072721)'!A:C, 3, 0))</f>
        <v/>
      </c>
      <c r="E47" s="218">
        <v>44573.0</v>
      </c>
      <c r="F47" s="219" t="str">
        <f>ifs($B47="","",$B47, VLOOKUP($B47&amp;$E47, 'VISIT DATA'!A:O,3,0))</f>
        <v/>
      </c>
      <c r="G47" s="220"/>
      <c r="H47" s="221"/>
      <c r="I47" s="222" t="str">
        <f>VLOOKUP($B47&amp;$E47,'VISIT DATA'!A:J, 9, FALSE)</f>
        <v>#N/A</v>
      </c>
      <c r="J47" s="223" t="str">
        <f>VLOOKUP(B47&amp;E47,'VISIT DATA'!A:N,10,FALSE)</f>
        <v>#N/A</v>
      </c>
      <c r="K47" s="225"/>
      <c r="L47" s="224"/>
      <c r="M47" s="224"/>
      <c r="N47" s="225"/>
      <c r="O47" s="216" t="str">
        <f t="shared" si="1"/>
        <v>X</v>
      </c>
      <c r="P47" s="226" t="str">
        <f t="shared" si="2"/>
        <v>#N/A</v>
      </c>
      <c r="Q47" s="227" t="str">
        <f t="shared" si="3"/>
        <v>#N/A</v>
      </c>
      <c r="R47" s="228" t="str">
        <f t="shared" si="4"/>
        <v>#N/A</v>
      </c>
      <c r="S47" s="220" t="str">
        <f t="shared" si="5"/>
        <v>#N/A</v>
      </c>
      <c r="T47" s="220" t="str">
        <f t="shared" si="6"/>
        <v>#N/A</v>
      </c>
      <c r="U47" s="221">
        <f t="shared" si="7"/>
        <v>0</v>
      </c>
      <c r="V47" s="229" t="str">
        <f>ifs($N47="",VLOOKUP($B47&amp;$E47,'VISIT DATA'!$A$2:$J100,7,FALSE), $N47="SWAB","OUTSA-RW",$N47="SWQU","OUTSA-SaQu", AND($L47="X",$M47="X",$N47="QUEST"),"OUT-UAQPre",$N47="QUEST","OUT-UAQ", $N47="Walk in","ColUATele")</f>
        <v>#N/A</v>
      </c>
      <c r="W47" s="24" t="str">
        <f t="shared" si="8"/>
        <v>#N/A</v>
      </c>
      <c r="X47" s="222" t="str">
        <f t="shared" si="9"/>
        <v/>
      </c>
      <c r="Y47" s="222" t="str">
        <f t="shared" si="10"/>
        <v/>
      </c>
      <c r="Z47" s="224" t="str">
        <f t="shared" si="11"/>
        <v> </v>
      </c>
      <c r="AA47" s="244"/>
    </row>
    <row r="48">
      <c r="A48" s="214" t="str">
        <f>IFS($B48=FALSE,"",$B48,VLOOKUP($B48,'PATIENT DATA (072721)'!A:C, 2, 0))</f>
        <v/>
      </c>
      <c r="B48" s="215"/>
      <c r="C48" s="230" t="str">
        <f>IF(COUNTIF('PATIENT DATA (072721)'!A:A, B48)=0, "X","✓")</f>
        <v>X</v>
      </c>
      <c r="D48" s="226" t="str">
        <f>IFS($B48=FALSE,"",$B48,VLOOKUP($B48,'PATIENT DATA (072721)'!A:C, 3, 0))</f>
        <v/>
      </c>
      <c r="E48" s="218">
        <v>44573.0</v>
      </c>
      <c r="F48" s="219" t="str">
        <f>ifs($B48="","",$B48, VLOOKUP($B48&amp;$E48, 'VISIT DATA'!A:O,3,0))</f>
        <v/>
      </c>
      <c r="G48" s="220"/>
      <c r="H48" s="221"/>
      <c r="I48" s="222" t="str">
        <f>VLOOKUP($B48&amp;$E48,'VISIT DATA'!A:J, 9, FALSE)</f>
        <v>#N/A</v>
      </c>
      <c r="J48" s="223" t="str">
        <f>VLOOKUP(B48&amp;E48,'VISIT DATA'!A:N,10,FALSE)</f>
        <v>#N/A</v>
      </c>
      <c r="K48" s="225"/>
      <c r="L48" s="224"/>
      <c r="M48" s="224"/>
      <c r="N48" s="224"/>
      <c r="O48" s="216" t="str">
        <f t="shared" si="1"/>
        <v>X</v>
      </c>
      <c r="P48" s="226" t="str">
        <f t="shared" si="2"/>
        <v>#N/A</v>
      </c>
      <c r="Q48" s="227" t="str">
        <f t="shared" si="3"/>
        <v>#N/A</v>
      </c>
      <c r="R48" s="228" t="str">
        <f t="shared" si="4"/>
        <v>#N/A</v>
      </c>
      <c r="S48" s="220" t="str">
        <f t="shared" si="5"/>
        <v>#N/A</v>
      </c>
      <c r="T48" s="220" t="str">
        <f t="shared" si="6"/>
        <v>#N/A</v>
      </c>
      <c r="U48" s="221">
        <f t="shared" si="7"/>
        <v>0</v>
      </c>
      <c r="V48" s="229" t="str">
        <f>ifs($N48="",VLOOKUP($B48&amp;$E48,'VISIT DATA'!$A$2:$J100,7,FALSE), $N48="SWAB","OUTSA-RW",$N48="SWQU","OUTSA-SaQu", AND($L48="X",$M48="X",$N48="QUEST"),"OUT-UAQPre",$N48="QUEST","OUT-UAQ", $N48="Walk in","ColUATele")</f>
        <v>#N/A</v>
      </c>
      <c r="W48" s="24" t="str">
        <f t="shared" si="8"/>
        <v>#N/A</v>
      </c>
      <c r="X48" s="222" t="str">
        <f t="shared" si="9"/>
        <v/>
      </c>
      <c r="Y48" s="222" t="str">
        <f t="shared" si="10"/>
        <v/>
      </c>
      <c r="Z48" s="224" t="str">
        <f t="shared" si="11"/>
        <v> </v>
      </c>
      <c r="AA48" s="244"/>
    </row>
    <row r="49">
      <c r="A49" s="214" t="str">
        <f>IFS($B49=FALSE,"",$B49,VLOOKUP($B49,'PATIENT DATA (072721)'!A:C, 2, 0))</f>
        <v/>
      </c>
      <c r="B49" s="215"/>
      <c r="C49" s="247" t="str">
        <f>IF(COUNTIF('PATIENT DATA (072721)'!A:A, B49)=0, "X","✓")</f>
        <v>X</v>
      </c>
      <c r="D49" s="226" t="str">
        <f>IFS($B49=FALSE,"",$B49,VLOOKUP($B49,'PATIENT DATA (072721)'!A:C, 3, 0))</f>
        <v/>
      </c>
      <c r="E49" s="218">
        <v>44573.0</v>
      </c>
      <c r="F49" s="219"/>
      <c r="G49" s="220"/>
      <c r="H49" s="221"/>
      <c r="I49" s="222" t="str">
        <f>VLOOKUP($B49&amp;$E49,'VISIT DATA'!A:J, 9, FALSE)</f>
        <v>#N/A</v>
      </c>
      <c r="J49" s="223" t="str">
        <f>VLOOKUP(B49&amp;E49,'VISIT DATA'!A:N,10,FALSE)</f>
        <v>#N/A</v>
      </c>
      <c r="K49" s="225"/>
      <c r="L49" s="224"/>
      <c r="M49" s="224"/>
      <c r="N49" s="225"/>
      <c r="O49" s="247" t="str">
        <f t="shared" si="1"/>
        <v>X</v>
      </c>
      <c r="P49" s="226" t="str">
        <f t="shared" si="2"/>
        <v>#N/A</v>
      </c>
      <c r="Q49" s="227" t="str">
        <f t="shared" si="3"/>
        <v>#N/A</v>
      </c>
      <c r="R49" s="228" t="str">
        <f t="shared" si="4"/>
        <v>#N/A</v>
      </c>
      <c r="S49" s="220" t="str">
        <f t="shared" si="5"/>
        <v>#N/A</v>
      </c>
      <c r="T49" s="220" t="str">
        <f t="shared" si="6"/>
        <v>#N/A</v>
      </c>
      <c r="U49" s="221">
        <f t="shared" si="7"/>
        <v>0</v>
      </c>
      <c r="V49" s="229" t="str">
        <f>ifs($N49="",VLOOKUP($B49&amp;$E49,'VISIT DATA'!$A$2:$J100,7,FALSE), $N49="SWAB","OUTSA-RW",$N49="SWQU","OUTSA-SaQu", AND($L49="X",$M49="X",$N49="QUEST"),"OUT-UAQPre",$N49="QUEST","OUT-UAQ", $N49="Walk in","ColUATele")</f>
        <v>#N/A</v>
      </c>
      <c r="W49" s="24" t="str">
        <f t="shared" si="8"/>
        <v>#N/A</v>
      </c>
      <c r="X49" s="222" t="str">
        <f t="shared" si="9"/>
        <v/>
      </c>
      <c r="Y49" s="222" t="str">
        <f t="shared" si="10"/>
        <v/>
      </c>
      <c r="Z49" s="224" t="str">
        <f t="shared" si="11"/>
        <v> </v>
      </c>
      <c r="AA49" s="244"/>
    </row>
    <row r="50">
      <c r="A50" s="248" t="str">
        <f>IFS($B50=FALSE,"",$B50,VLOOKUP($B50,'PATIENT DATA (072721)'!A:C, 2, 0))</f>
        <v/>
      </c>
      <c r="B50" s="249"/>
      <c r="C50" s="250" t="str">
        <f>IF(COUNTIF('PATIENT DATA (072721)'!A:A, B50)=0, "X","✓")</f>
        <v>X</v>
      </c>
      <c r="D50" s="251" t="str">
        <f>IFS($B50=FALSE,"",$B50,VLOOKUP($B50,'PATIENT DATA (072721)'!A:C, 3, 0))</f>
        <v/>
      </c>
      <c r="E50" s="252">
        <v>44573.0</v>
      </c>
      <c r="F50" s="253" t="str">
        <f>ifs($B50="","",$B50, VLOOKUP($B50&amp;$E50, 'VISIT DATA'!A:O,3,0))</f>
        <v/>
      </c>
      <c r="G50" s="254"/>
      <c r="H50" s="255" t="str">
        <f>ifs($B50="","",$B50, VLOOKUP($B50&amp;$E50, 'VISIT DATA'!$A:$O,13,0))</f>
        <v/>
      </c>
      <c r="I50" s="256" t="str">
        <f>VLOOKUP($B50&amp;$E50,'VISIT DATA'!A:J, 9, FALSE)</f>
        <v>#N/A</v>
      </c>
      <c r="J50" s="257" t="str">
        <f>VLOOKUP(B50&amp;E50,'VISIT DATA'!A:N,10,FALSE)</f>
        <v>#N/A</v>
      </c>
      <c r="K50" s="258"/>
      <c r="L50" s="259"/>
      <c r="M50" s="259"/>
      <c r="N50" s="258"/>
      <c r="O50" s="260" t="str">
        <f t="shared" si="1"/>
        <v>X</v>
      </c>
      <c r="P50" s="226" t="str">
        <f t="shared" si="2"/>
        <v>#N/A</v>
      </c>
      <c r="Q50" s="227" t="str">
        <f t="shared" si="3"/>
        <v>#N/A</v>
      </c>
      <c r="R50" s="228" t="str">
        <f t="shared" si="4"/>
        <v>#N/A</v>
      </c>
      <c r="S50" s="220" t="str">
        <f t="shared" si="5"/>
        <v>#N/A</v>
      </c>
      <c r="T50" s="220" t="str">
        <f t="shared" si="6"/>
        <v>#N/A</v>
      </c>
      <c r="U50" s="221">
        <f t="shared" si="7"/>
        <v>0</v>
      </c>
      <c r="V50" s="261" t="str">
        <f>ifs($N50="",VLOOKUP($B50&amp;$E50,'VISIT DATA'!$A$2:$J100,7,FALSE), $N50="SWAB","OUTSA-RW",$N50="SWQU","OUTSA-SaQu", AND($L50="X",$M50="X",$N50="QUEST"),"OUT-UAQPre",$N50="QUEST","OUT-UAQ", $N50="Walk in","ColUATele")</f>
        <v>#N/A</v>
      </c>
      <c r="W50" s="24" t="str">
        <f t="shared" si="8"/>
        <v>#N/A</v>
      </c>
      <c r="X50" s="222" t="str">
        <f t="shared" si="9"/>
        <v/>
      </c>
      <c r="Y50" s="222" t="str">
        <f t="shared" si="10"/>
        <v/>
      </c>
      <c r="Z50" s="224" t="str">
        <f t="shared" si="11"/>
        <v> </v>
      </c>
      <c r="AA50" s="244"/>
    </row>
    <row r="51">
      <c r="A51" s="214" t="str">
        <f>IFS($B51=FALSE,"",$B51,VLOOKUP($B51,'PATIENT DATA (072721)'!A:C, 2, 0))</f>
        <v/>
      </c>
      <c r="B51" s="215"/>
      <c r="C51" s="230" t="str">
        <f>IF(COUNTIF('PATIENT DATA (072721)'!A:A, B51)=0, "X","✓")</f>
        <v>X</v>
      </c>
      <c r="D51" s="226" t="str">
        <f>IFS($B51=FALSE,"",$B51,VLOOKUP($B51,'PATIENT DATA (072721)'!A:C, 3, 0))</f>
        <v/>
      </c>
      <c r="E51" s="218">
        <v>44573.0</v>
      </c>
      <c r="F51" s="219" t="str">
        <f>ifs($B51="","",$B51, VLOOKUP($B51&amp;$E51, 'VISIT DATA'!A:O,3,0))</f>
        <v/>
      </c>
      <c r="G51" s="231"/>
      <c r="H51" s="221" t="str">
        <f>ifs($B51="","",$B51, VLOOKUP($B51&amp;$E51, 'VISIT DATA'!$A:$O,13,0))</f>
        <v/>
      </c>
      <c r="I51" s="262" t="str">
        <f>VLOOKUP($B51&amp;$E51,'VISIT DATA'!A:J, 9, FALSE)</f>
        <v>#N/A</v>
      </c>
      <c r="J51" s="223" t="str">
        <f>VLOOKUP(B51&amp;E51,'VISIT DATA'!A:N,10,FALSE)</f>
        <v>#N/A</v>
      </c>
      <c r="K51" s="225"/>
      <c r="L51" s="224"/>
      <c r="M51" s="224"/>
      <c r="N51" s="225"/>
      <c r="O51" s="216" t="str">
        <f t="shared" si="1"/>
        <v>X</v>
      </c>
      <c r="P51" s="226" t="str">
        <f t="shared" si="2"/>
        <v>#N/A</v>
      </c>
      <c r="Q51" s="227" t="str">
        <f t="shared" si="3"/>
        <v>#N/A</v>
      </c>
      <c r="R51" s="228" t="str">
        <f t="shared" si="4"/>
        <v>#N/A</v>
      </c>
      <c r="S51" s="220" t="str">
        <f t="shared" si="5"/>
        <v>#N/A</v>
      </c>
      <c r="T51" s="220" t="str">
        <f t="shared" si="6"/>
        <v>#N/A</v>
      </c>
      <c r="U51" s="221">
        <f t="shared" si="7"/>
        <v>0</v>
      </c>
      <c r="V51" s="229" t="str">
        <f>ifs($N51="",VLOOKUP($B51&amp;$E51,'VISIT DATA'!$A$2:$J100,7,FALSE), $N51="SWAB","OUTSA-RW",$N51="SWQU","OUTSA-SaQu", AND($L51="X",$M51="X",$N51="QUEST"),"OUT-UAQPre",$N51="QUEST","OUT-UAQ", $N51="Walk in","ColUATele")</f>
        <v>#N/A</v>
      </c>
      <c r="W51" s="24" t="str">
        <f t="shared" si="8"/>
        <v>#N/A</v>
      </c>
      <c r="X51" s="222" t="str">
        <f t="shared" si="9"/>
        <v/>
      </c>
      <c r="Y51" s="222" t="str">
        <f t="shared" si="10"/>
        <v/>
      </c>
      <c r="Z51" s="224" t="str">
        <f t="shared" si="11"/>
        <v> </v>
      </c>
      <c r="AA51" s="244"/>
    </row>
    <row r="52">
      <c r="A52" s="214" t="str">
        <f>IFS($B52=FALSE,"",$B52,VLOOKUP($B52,'PATIENT DATA (072721)'!A:C, 2, 0))</f>
        <v/>
      </c>
      <c r="B52" s="215"/>
      <c r="C52" s="230" t="str">
        <f>IF(COUNTIF('PATIENT DATA (072721)'!A:A, B52)=0, "X","✓")</f>
        <v>X</v>
      </c>
      <c r="D52" s="226" t="str">
        <f>IFS($B52=FALSE,"",$B52,VLOOKUP($B52,'PATIENT DATA (072721)'!A:C, 3, 0))</f>
        <v/>
      </c>
      <c r="E52" s="218">
        <v>44573.0</v>
      </c>
      <c r="F52" s="219" t="str">
        <f>ifs($B52="","",$B52, VLOOKUP($B52&amp;$E52, 'VISIT DATA'!A:O,3,0))</f>
        <v/>
      </c>
      <c r="G52" s="231"/>
      <c r="H52" s="221" t="str">
        <f>ifs($B52="","",$B52, VLOOKUP($B52&amp;$E52, 'VISIT DATA'!$A:$O,13,0))</f>
        <v/>
      </c>
      <c r="I52" s="262" t="str">
        <f>VLOOKUP($B52&amp;$E52,'VISIT DATA'!A:J, 9, FALSE)</f>
        <v>#N/A</v>
      </c>
      <c r="J52" s="223" t="str">
        <f>VLOOKUP(B52&amp;E52,'VISIT DATA'!A:N,10,FALSE)</f>
        <v>#N/A</v>
      </c>
      <c r="K52" s="225"/>
      <c r="L52" s="224"/>
      <c r="M52" s="224"/>
      <c r="N52" s="225"/>
      <c r="O52" s="216" t="str">
        <f t="shared" si="1"/>
        <v>X</v>
      </c>
      <c r="P52" s="226" t="str">
        <f t="shared" si="2"/>
        <v>#N/A</v>
      </c>
      <c r="Q52" s="227" t="str">
        <f t="shared" si="3"/>
        <v>#N/A</v>
      </c>
      <c r="R52" s="228" t="str">
        <f t="shared" si="4"/>
        <v>#N/A</v>
      </c>
      <c r="S52" s="220" t="str">
        <f t="shared" si="5"/>
        <v>#N/A</v>
      </c>
      <c r="T52" s="220" t="str">
        <f t="shared" si="6"/>
        <v>#N/A</v>
      </c>
      <c r="U52" s="221">
        <f t="shared" si="7"/>
        <v>0</v>
      </c>
      <c r="V52" s="229" t="str">
        <f>ifs($N52="",VLOOKUP($B52&amp;$E52,'VISIT DATA'!$A$2:$J100,7,FALSE), $N52="SWAB","OUTSA-RW",$N52="SWQU","OUTSA-SaQu", AND($L52="X",$M52="X",$N52="QUEST"),"OUT-UAQPre",$N52="QUEST","OUT-UAQ", $N52="Walk in","ColUATele")</f>
        <v>#N/A</v>
      </c>
      <c r="W52" s="24" t="str">
        <f t="shared" si="8"/>
        <v>#N/A</v>
      </c>
      <c r="X52" s="222" t="str">
        <f t="shared" si="9"/>
        <v/>
      </c>
      <c r="Y52" s="222" t="str">
        <f t="shared" si="10"/>
        <v/>
      </c>
      <c r="Z52" s="224" t="str">
        <f t="shared" si="11"/>
        <v> </v>
      </c>
      <c r="AA52" s="244"/>
    </row>
    <row r="53">
      <c r="A53" s="214" t="str">
        <f>IFS($B53=FALSE,"",$B53,VLOOKUP($B53,'PATIENT DATA (072721)'!A:C, 2, 0))</f>
        <v/>
      </c>
      <c r="B53" s="215"/>
      <c r="C53" s="230" t="str">
        <f>IF(COUNTIF('PATIENT DATA (072721)'!A:A, B53)=0, "X","✓")</f>
        <v>X</v>
      </c>
      <c r="D53" s="226" t="str">
        <f>IFS($B53=FALSE,"",$B53,VLOOKUP($B53,'PATIENT DATA (072721)'!A:C, 3, 0))</f>
        <v/>
      </c>
      <c r="E53" s="218">
        <v>44573.0</v>
      </c>
      <c r="F53" s="219" t="str">
        <f>ifs($B53="","",$B53, VLOOKUP($B53&amp;$E53, 'VISIT DATA'!A:O,3,0))</f>
        <v/>
      </c>
      <c r="G53" s="231"/>
      <c r="H53" s="221" t="str">
        <f>ifs($B53="","",$B53, VLOOKUP($B53&amp;$E53, 'VISIT DATA'!$A:$O,13,0))</f>
        <v/>
      </c>
      <c r="I53" s="262" t="str">
        <f>VLOOKUP($B53&amp;$E53,'VISIT DATA'!A:J, 9, FALSE)</f>
        <v>#N/A</v>
      </c>
      <c r="J53" s="223" t="str">
        <f>VLOOKUP(B53&amp;E53,'VISIT DATA'!A:N,10,FALSE)</f>
        <v>#N/A</v>
      </c>
      <c r="K53" s="224"/>
      <c r="L53" s="224"/>
      <c r="M53" s="224"/>
      <c r="N53" s="225"/>
      <c r="O53" s="216" t="str">
        <f t="shared" si="1"/>
        <v>X</v>
      </c>
      <c r="P53" s="226" t="str">
        <f t="shared" si="2"/>
        <v>#N/A</v>
      </c>
      <c r="Q53" s="227" t="str">
        <f t="shared" si="3"/>
        <v>#N/A</v>
      </c>
      <c r="R53" s="228" t="str">
        <f t="shared" si="4"/>
        <v>#N/A</v>
      </c>
      <c r="S53" s="220" t="str">
        <f t="shared" si="5"/>
        <v>#N/A</v>
      </c>
      <c r="T53" s="220" t="str">
        <f t="shared" si="6"/>
        <v>#N/A</v>
      </c>
      <c r="U53" s="221">
        <f t="shared" si="7"/>
        <v>0</v>
      </c>
      <c r="V53" s="229" t="str">
        <f>ifs($N53="",VLOOKUP($B53&amp;$E53,'VISIT DATA'!$A$2:$J100,7,FALSE), $N53="SWAB","OUTSA-RW",$N53="SWQU","OUTSA-SaQu", AND($L53="X",$M53="X",$N53="QUEST"),"OUT-UAQPre",$N53="QUEST","OUT-UAQ", $N53="Walk in","ColUATele")</f>
        <v>#N/A</v>
      </c>
      <c r="W53" s="24" t="str">
        <f t="shared" si="8"/>
        <v>#N/A</v>
      </c>
      <c r="X53" s="222" t="str">
        <f t="shared" si="9"/>
        <v/>
      </c>
      <c r="Y53" s="222" t="str">
        <f t="shared" si="10"/>
        <v/>
      </c>
      <c r="Z53" s="224" t="str">
        <f t="shared" si="11"/>
        <v> </v>
      </c>
      <c r="AA53" s="244"/>
    </row>
    <row r="54">
      <c r="A54" s="214" t="str">
        <f>IFS($B54=FALSE,"",$B54,VLOOKUP($B54,'PATIENT DATA (072721)'!A:C, 2, 0))</f>
        <v/>
      </c>
      <c r="B54" s="215"/>
      <c r="C54" s="230" t="str">
        <f>IF(COUNTIF('PATIENT DATA (072721)'!A:A, B54)=0, "X","✓")</f>
        <v>X</v>
      </c>
      <c r="D54" s="226" t="str">
        <f>IFS($B54=FALSE,"",$B54,VLOOKUP($B54,'PATIENT DATA (072721)'!A:C, 3, 0))</f>
        <v/>
      </c>
      <c r="E54" s="218">
        <v>44573.0</v>
      </c>
      <c r="F54" s="219" t="str">
        <f>ifs($B54="","",$B54, VLOOKUP($B54&amp;$E54, 'VISIT DATA'!A:O,3,0))</f>
        <v/>
      </c>
      <c r="G54" s="231"/>
      <c r="H54" s="221" t="str">
        <f>ifs($B54="","",$B54, VLOOKUP($B54&amp;$E54, 'VISIT DATA'!$A:$O,13,0))</f>
        <v/>
      </c>
      <c r="I54" s="262" t="str">
        <f>VLOOKUP($B54&amp;$E54,'VISIT DATA'!A:J, 9, FALSE)</f>
        <v>#N/A</v>
      </c>
      <c r="J54" s="223" t="str">
        <f>VLOOKUP(B54&amp;E54,'VISIT DATA'!A:N,10,FALSE)</f>
        <v>#N/A</v>
      </c>
      <c r="K54" s="225"/>
      <c r="L54" s="224"/>
      <c r="M54" s="224"/>
      <c r="N54" s="225"/>
      <c r="O54" s="216" t="str">
        <f t="shared" si="1"/>
        <v>X</v>
      </c>
      <c r="P54" s="226" t="str">
        <f t="shared" si="2"/>
        <v>#N/A</v>
      </c>
      <c r="Q54" s="227" t="str">
        <f t="shared" si="3"/>
        <v>#N/A</v>
      </c>
      <c r="R54" s="228" t="str">
        <f t="shared" si="4"/>
        <v>#N/A</v>
      </c>
      <c r="S54" s="220" t="str">
        <f t="shared" si="5"/>
        <v>#N/A</v>
      </c>
      <c r="T54" s="220" t="str">
        <f t="shared" si="6"/>
        <v>#N/A</v>
      </c>
      <c r="U54" s="221">
        <f t="shared" si="7"/>
        <v>0</v>
      </c>
      <c r="V54" s="229" t="str">
        <f>ifs($N54="",VLOOKUP($B54&amp;$E54,'VISIT DATA'!$A$2:$J100,7,FALSE), $N54="SWAB","OUTSA-RW",$N54="SWQU","OUTSA-SaQu", AND($L54="X",$M54="X",$N54="QUEST"),"OUT-UAQPre",$N54="QUEST","OUT-UAQ", $N54="Walk in","ColUATele")</f>
        <v>#N/A</v>
      </c>
      <c r="W54" s="24" t="str">
        <f t="shared" si="8"/>
        <v>#N/A</v>
      </c>
      <c r="X54" s="222" t="str">
        <f t="shared" si="9"/>
        <v/>
      </c>
      <c r="Y54" s="222" t="str">
        <f t="shared" si="10"/>
        <v/>
      </c>
      <c r="Z54" s="224" t="str">
        <f t="shared" si="11"/>
        <v> </v>
      </c>
      <c r="AA54" s="244"/>
    </row>
    <row r="55">
      <c r="A55" s="214" t="str">
        <f>IFS($B55=FALSE,"",$B55,VLOOKUP($B55,'PATIENT DATA (072721)'!A:C, 2, 0))</f>
        <v/>
      </c>
      <c r="B55" s="215"/>
      <c r="C55" s="230" t="str">
        <f>IF(COUNTIF('PATIENT DATA (072721)'!A:A, B55)=0, "X","✓")</f>
        <v>X</v>
      </c>
      <c r="D55" s="226" t="str">
        <f>IFS($B55=FALSE,"",$B55,VLOOKUP($B55,'PATIENT DATA (072721)'!A:C, 3, 0))</f>
        <v/>
      </c>
      <c r="E55" s="218">
        <v>44573.0</v>
      </c>
      <c r="F55" s="219" t="str">
        <f>ifs($B55="","",$B55, VLOOKUP($B55&amp;$E55, 'VISIT DATA'!A:O,3,0))</f>
        <v/>
      </c>
      <c r="G55" s="231"/>
      <c r="H55" s="221" t="str">
        <f>ifs($B55="","",$B55, VLOOKUP($B55&amp;$E55, 'VISIT DATA'!$A:$O,13,0))</f>
        <v/>
      </c>
      <c r="I55" s="262" t="str">
        <f>VLOOKUP($B55&amp;$E55,'VISIT DATA'!A:J, 9, FALSE)</f>
        <v>#N/A</v>
      </c>
      <c r="J55" s="223" t="str">
        <f>VLOOKUP(B55&amp;E55,'VISIT DATA'!A:N,10,FALSE)</f>
        <v>#N/A</v>
      </c>
      <c r="K55" s="225"/>
      <c r="L55" s="224"/>
      <c r="M55" s="224"/>
      <c r="N55" s="225"/>
      <c r="O55" s="216" t="str">
        <f t="shared" si="1"/>
        <v>X</v>
      </c>
      <c r="P55" s="226" t="str">
        <f t="shared" si="2"/>
        <v>#N/A</v>
      </c>
      <c r="Q55" s="227" t="str">
        <f t="shared" si="3"/>
        <v>#N/A</v>
      </c>
      <c r="R55" s="228" t="str">
        <f t="shared" si="4"/>
        <v>#N/A</v>
      </c>
      <c r="S55" s="220" t="str">
        <f t="shared" si="5"/>
        <v>#N/A</v>
      </c>
      <c r="T55" s="220" t="str">
        <f t="shared" si="6"/>
        <v>#N/A</v>
      </c>
      <c r="U55" s="221">
        <f t="shared" si="7"/>
        <v>0</v>
      </c>
      <c r="V55" s="229" t="str">
        <f>ifs($N55="",VLOOKUP($B55&amp;$E55,'VISIT DATA'!$A$2:$J100,7,FALSE), $N55="SWAB","OUTSA-RW",$N55="SWQU","OUTSA-SaQu", AND($L55="X",$M55="X",$N55="QUEST"),"OUT-UAQPre",$N55="QUEST","OUT-UAQ", $N55="Walk in","ColUATele")</f>
        <v>#N/A</v>
      </c>
      <c r="W55" s="24" t="str">
        <f t="shared" si="8"/>
        <v>#N/A</v>
      </c>
      <c r="X55" s="222" t="str">
        <f t="shared" si="9"/>
        <v/>
      </c>
      <c r="Y55" s="222" t="str">
        <f t="shared" si="10"/>
        <v/>
      </c>
      <c r="Z55" s="224" t="str">
        <f t="shared" si="11"/>
        <v> </v>
      </c>
      <c r="AA55" s="244"/>
    </row>
    <row r="56">
      <c r="A56" s="214" t="str">
        <f>IFS($B56=FALSE,"",$B56,VLOOKUP($B56,'PATIENT DATA (072721)'!A:C, 2, 0))</f>
        <v/>
      </c>
      <c r="B56" s="215"/>
      <c r="C56" s="230" t="str">
        <f>IF(COUNTIF('PATIENT DATA (072721)'!A:A, B56)=0, "X","✓")</f>
        <v>X</v>
      </c>
      <c r="D56" s="226" t="str">
        <f>IFS($B56=FALSE,"",$B56,VLOOKUP($B56,'PATIENT DATA (072721)'!A:C, 3, 0))</f>
        <v/>
      </c>
      <c r="E56" s="218">
        <v>44573.0</v>
      </c>
      <c r="F56" s="219" t="str">
        <f>ifs($B56="","",$B56, VLOOKUP($B56&amp;$E56, 'VISIT DATA'!A:O,3,0))</f>
        <v/>
      </c>
      <c r="G56" s="231"/>
      <c r="H56" s="221" t="str">
        <f>ifs($B56="","",$B56, VLOOKUP($B56&amp;$E56, 'VISIT DATA'!$A:$O,13,0))</f>
        <v/>
      </c>
      <c r="I56" s="262" t="str">
        <f>VLOOKUP($B56&amp;$E56,'VISIT DATA'!A:J, 9, FALSE)</f>
        <v>#N/A</v>
      </c>
      <c r="J56" s="223" t="str">
        <f>VLOOKUP(B56&amp;E56,'VISIT DATA'!A:N,10,FALSE)</f>
        <v>#N/A</v>
      </c>
      <c r="K56" s="225"/>
      <c r="L56" s="224"/>
      <c r="M56" s="224"/>
      <c r="N56" s="225"/>
      <c r="O56" s="216" t="str">
        <f t="shared" si="1"/>
        <v>X</v>
      </c>
      <c r="P56" s="226" t="str">
        <f t="shared" si="2"/>
        <v>#N/A</v>
      </c>
      <c r="Q56" s="227" t="str">
        <f t="shared" si="3"/>
        <v>#N/A</v>
      </c>
      <c r="R56" s="228" t="str">
        <f t="shared" si="4"/>
        <v>#N/A</v>
      </c>
      <c r="S56" s="220" t="str">
        <f t="shared" si="5"/>
        <v>#N/A</v>
      </c>
      <c r="T56" s="220" t="str">
        <f t="shared" si="6"/>
        <v>#N/A</v>
      </c>
      <c r="U56" s="221">
        <f t="shared" si="7"/>
        <v>0</v>
      </c>
      <c r="V56" s="229" t="str">
        <f>ifs($N56="",VLOOKUP($B56&amp;$E56,'VISIT DATA'!$A$2:$J100,7,FALSE), $N56="SWAB","OUTSA-RW",$N56="SWQU","OUTSA-SaQu", AND($L56="X",$M56="X",$N56="QUEST"),"OUT-UAQPre",$N56="QUEST","OUT-UAQ", $N56="Walk in","ColUATele")</f>
        <v>#N/A</v>
      </c>
      <c r="W56" s="24" t="str">
        <f t="shared" si="8"/>
        <v>#N/A</v>
      </c>
      <c r="X56" s="222" t="str">
        <f t="shared" si="9"/>
        <v/>
      </c>
      <c r="Y56" s="222" t="str">
        <f t="shared" si="10"/>
        <v/>
      </c>
      <c r="Z56" s="224" t="str">
        <f t="shared" si="11"/>
        <v> </v>
      </c>
      <c r="AA56" s="244"/>
    </row>
    <row r="57">
      <c r="A57" s="214" t="str">
        <f>IFS($B57=FALSE,"",$B57,VLOOKUP($B57,'PATIENT DATA (072721)'!A:C, 2, 0))</f>
        <v/>
      </c>
      <c r="B57" s="215"/>
      <c r="C57" s="230" t="str">
        <f>IF(COUNTIF('PATIENT DATA (072721)'!A:A, B57)=0, "X","✓")</f>
        <v>X</v>
      </c>
      <c r="D57" s="226" t="str">
        <f>IFS($B57=FALSE,"",$B57,VLOOKUP($B57,'PATIENT DATA (072721)'!A:C, 3, 0))</f>
        <v/>
      </c>
      <c r="E57" s="218">
        <v>44573.0</v>
      </c>
      <c r="F57" s="219" t="str">
        <f>ifs($B57="","",$B57, VLOOKUP($B57&amp;$E57, 'VISIT DATA'!A:O,3,0))</f>
        <v/>
      </c>
      <c r="G57" s="231"/>
      <c r="H57" s="221" t="str">
        <f>ifs($B57="","",$B57, VLOOKUP($B57&amp;$E57, 'VISIT DATA'!$A:$O,13,0))</f>
        <v/>
      </c>
      <c r="I57" s="262" t="str">
        <f>VLOOKUP($B57&amp;$E57,'VISIT DATA'!A:J, 9, FALSE)</f>
        <v>#N/A</v>
      </c>
      <c r="J57" s="223" t="str">
        <f>VLOOKUP(B57&amp;E57,'VISIT DATA'!A:N,10,FALSE)</f>
        <v>#N/A</v>
      </c>
      <c r="K57" s="225"/>
      <c r="L57" s="224"/>
      <c r="M57" s="224"/>
      <c r="N57" s="225"/>
      <c r="O57" s="216" t="str">
        <f t="shared" si="1"/>
        <v>X</v>
      </c>
      <c r="P57" s="226" t="str">
        <f t="shared" si="2"/>
        <v>#N/A</v>
      </c>
      <c r="Q57" s="227" t="str">
        <f t="shared" si="3"/>
        <v>#N/A</v>
      </c>
      <c r="R57" s="228" t="str">
        <f t="shared" si="4"/>
        <v>#N/A</v>
      </c>
      <c r="S57" s="220" t="str">
        <f t="shared" si="5"/>
        <v>#N/A</v>
      </c>
      <c r="T57" s="220" t="str">
        <f t="shared" si="6"/>
        <v>#N/A</v>
      </c>
      <c r="U57" s="221">
        <f t="shared" si="7"/>
        <v>0</v>
      </c>
      <c r="V57" s="229" t="str">
        <f>ifs($N57="",VLOOKUP($B57&amp;$E57,'VISIT DATA'!$A$2:$J100,7,FALSE), $N57="SWAB","OUTSA-RW",$N57="SWQU","OUTSA-SaQu", AND($L57="X",$M57="X",$N57="QUEST"),"OUT-UAQPre",$N57="QUEST","OUT-UAQ", $N57="Walk in","ColUATele")</f>
        <v>#N/A</v>
      </c>
      <c r="W57" s="24" t="str">
        <f t="shared" si="8"/>
        <v>#N/A</v>
      </c>
      <c r="X57" s="222" t="str">
        <f t="shared" si="9"/>
        <v/>
      </c>
      <c r="Y57" s="222" t="str">
        <f t="shared" si="10"/>
        <v/>
      </c>
      <c r="Z57" s="224" t="str">
        <f t="shared" si="11"/>
        <v> </v>
      </c>
      <c r="AA57" s="244"/>
    </row>
    <row r="58">
      <c r="A58" s="214" t="str">
        <f>IFS($B58=FALSE,"",$B58,VLOOKUP($B58,'PATIENT DATA (072721)'!A:C, 2, 0))</f>
        <v/>
      </c>
      <c r="B58" s="215"/>
      <c r="C58" s="230" t="str">
        <f>IF(COUNTIF('PATIENT DATA (072721)'!A:A, B58)=0, "X","✓")</f>
        <v>X</v>
      </c>
      <c r="D58" s="226" t="str">
        <f>IFS($B58=FALSE,"",$B58,VLOOKUP($B58,'PATIENT DATA (072721)'!A:C, 3, 0))</f>
        <v/>
      </c>
      <c r="E58" s="218">
        <v>44573.0</v>
      </c>
      <c r="F58" s="219" t="str">
        <f>ifs($B58="","",$B58, VLOOKUP($B58&amp;$E58, 'VISIT DATA'!A:O,3,0))</f>
        <v/>
      </c>
      <c r="G58" s="231"/>
      <c r="H58" s="221" t="str">
        <f>ifs($B58="","",$B58, VLOOKUP($B58&amp;$E58, 'VISIT DATA'!$A:$O,13,0))</f>
        <v/>
      </c>
      <c r="I58" s="262" t="str">
        <f>VLOOKUP($B58&amp;$E58,'VISIT DATA'!A:J, 9, FALSE)</f>
        <v>#N/A</v>
      </c>
      <c r="J58" s="223" t="str">
        <f>VLOOKUP(B58&amp;E58,'VISIT DATA'!A:N,10,FALSE)</f>
        <v>#N/A</v>
      </c>
      <c r="K58" s="224"/>
      <c r="L58" s="224"/>
      <c r="M58" s="224"/>
      <c r="N58" s="225"/>
      <c r="O58" s="216" t="str">
        <f t="shared" si="1"/>
        <v>X</v>
      </c>
      <c r="P58" s="226" t="str">
        <f t="shared" si="2"/>
        <v>#N/A</v>
      </c>
      <c r="Q58" s="227" t="str">
        <f t="shared" si="3"/>
        <v>#N/A</v>
      </c>
      <c r="R58" s="228" t="str">
        <f t="shared" si="4"/>
        <v>#N/A</v>
      </c>
      <c r="S58" s="220" t="str">
        <f t="shared" si="5"/>
        <v>#N/A</v>
      </c>
      <c r="T58" s="220" t="str">
        <f t="shared" si="6"/>
        <v>#N/A</v>
      </c>
      <c r="U58" s="221">
        <f t="shared" si="7"/>
        <v>0</v>
      </c>
      <c r="V58" s="229" t="str">
        <f>ifs($N58="",VLOOKUP($B58&amp;$E58,'VISIT DATA'!$A$2:$J100,7,FALSE), $N58="SWAB","OUTSA-RW",$N58="SWQU","OUTSA-SaQu", AND($L58="X",$M58="X",$N58="QUEST"),"OUT-UAQPre",$N58="QUEST","OUT-UAQ", $N58="Walk in","ColUATele")</f>
        <v>#N/A</v>
      </c>
      <c r="W58" s="24" t="str">
        <f t="shared" si="8"/>
        <v>#N/A</v>
      </c>
      <c r="X58" s="222" t="str">
        <f t="shared" si="9"/>
        <v/>
      </c>
      <c r="Y58" s="222" t="str">
        <f t="shared" si="10"/>
        <v/>
      </c>
      <c r="Z58" s="224" t="str">
        <f t="shared" si="11"/>
        <v> </v>
      </c>
      <c r="AA58" s="244"/>
    </row>
    <row r="59">
      <c r="A59" s="214" t="str">
        <f>IFS($B59=FALSE,"",$B59,VLOOKUP($B59,'PATIENT DATA (072721)'!A:C, 2, 0))</f>
        <v/>
      </c>
      <c r="B59" s="215"/>
      <c r="C59" s="230" t="str">
        <f>IF(COUNTIF('PATIENT DATA (072721)'!A:A, B59)=0, "X","✓")</f>
        <v>X</v>
      </c>
      <c r="D59" s="226" t="str">
        <f>IFS($B59=FALSE,"",$B59,VLOOKUP($B59,'PATIENT DATA (072721)'!A:C, 3, 0))</f>
        <v/>
      </c>
      <c r="E59" s="218">
        <v>44573.0</v>
      </c>
      <c r="F59" s="219" t="str">
        <f>ifs($B59="","",$B59, VLOOKUP($B59&amp;$E59, 'VISIT DATA'!A:O,3,0))</f>
        <v/>
      </c>
      <c r="G59" s="231"/>
      <c r="H59" s="221" t="str">
        <f>ifs($B59="","",$B59, VLOOKUP($B59&amp;$E59, 'VISIT DATA'!$A:$O,13,0))</f>
        <v/>
      </c>
      <c r="I59" s="262" t="str">
        <f>VLOOKUP($B59&amp;$E59,'VISIT DATA'!A:J, 9, FALSE)</f>
        <v>#N/A</v>
      </c>
      <c r="J59" s="223" t="str">
        <f>VLOOKUP(B59&amp;E59,'VISIT DATA'!A:N,10,FALSE)</f>
        <v>#N/A</v>
      </c>
      <c r="K59" s="224"/>
      <c r="L59" s="224"/>
      <c r="M59" s="224"/>
      <c r="N59" s="225"/>
      <c r="O59" s="216" t="str">
        <f t="shared" si="1"/>
        <v>X</v>
      </c>
      <c r="P59" s="226" t="str">
        <f t="shared" si="2"/>
        <v>#N/A</v>
      </c>
      <c r="Q59" s="227" t="str">
        <f t="shared" si="3"/>
        <v>#N/A</v>
      </c>
      <c r="R59" s="228" t="str">
        <f t="shared" si="4"/>
        <v>#N/A</v>
      </c>
      <c r="S59" s="220" t="str">
        <f t="shared" si="5"/>
        <v>#N/A</v>
      </c>
      <c r="T59" s="220" t="str">
        <f t="shared" si="6"/>
        <v>#N/A</v>
      </c>
      <c r="U59" s="221">
        <f t="shared" si="7"/>
        <v>0</v>
      </c>
      <c r="V59" s="229" t="str">
        <f>ifs($N59="",VLOOKUP($B59&amp;$E59,'VISIT DATA'!$A$2:$J100,7,FALSE), $N59="SWAB","OUTSA-RW",$N59="SWQU","OUTSA-SaQu", AND($L59="X",$M59="X",$N59="QUEST"),"OUT-UAQPre",$N59="QUEST","OUT-UAQ", $N59="Walk in","ColUATele")</f>
        <v>#N/A</v>
      </c>
      <c r="W59" s="24" t="str">
        <f t="shared" si="8"/>
        <v>#N/A</v>
      </c>
      <c r="X59" s="222" t="str">
        <f t="shared" si="9"/>
        <v/>
      </c>
      <c r="Y59" s="222" t="str">
        <f t="shared" si="10"/>
        <v/>
      </c>
      <c r="Z59" s="224" t="str">
        <f t="shared" si="11"/>
        <v> </v>
      </c>
      <c r="AA59" s="244"/>
    </row>
    <row r="60">
      <c r="A60" s="214" t="str">
        <f>IFS($B60=FALSE,"",$B60,VLOOKUP($B60,'PATIENT DATA (072721)'!A:C, 2, 0))</f>
        <v/>
      </c>
      <c r="B60" s="215"/>
      <c r="C60" s="230" t="str">
        <f>IF(COUNTIF('PATIENT DATA (072721)'!A:A, B60)=0, "X","✓")</f>
        <v>X</v>
      </c>
      <c r="D60" s="226" t="str">
        <f>IFS($B60=FALSE,"",$B60,VLOOKUP($B60,'PATIENT DATA (072721)'!A:C, 3, 0))</f>
        <v/>
      </c>
      <c r="E60" s="218">
        <v>44573.0</v>
      </c>
      <c r="F60" s="219" t="str">
        <f>ifs($B60="","",$B60, VLOOKUP($B60&amp;$E60, 'VISIT DATA'!A:O,3,0))</f>
        <v/>
      </c>
      <c r="G60" s="231"/>
      <c r="H60" s="221" t="str">
        <f>ifs($B60="","",$B60, VLOOKUP($B60&amp;$E60, 'VISIT DATA'!$A:$O,13,0))</f>
        <v/>
      </c>
      <c r="I60" s="262" t="str">
        <f>VLOOKUP($B60&amp;$E60,'VISIT DATA'!A:J, 9, FALSE)</f>
        <v>#N/A</v>
      </c>
      <c r="J60" s="223" t="str">
        <f>VLOOKUP(B60&amp;E60,'VISIT DATA'!A:N,10,FALSE)</f>
        <v>#N/A</v>
      </c>
      <c r="K60" s="225"/>
      <c r="L60" s="224"/>
      <c r="M60" s="224"/>
      <c r="N60" s="225"/>
      <c r="O60" s="216" t="str">
        <f t="shared" si="1"/>
        <v>X</v>
      </c>
      <c r="P60" s="226" t="str">
        <f t="shared" si="2"/>
        <v>#N/A</v>
      </c>
      <c r="Q60" s="227" t="str">
        <f t="shared" si="3"/>
        <v>#N/A</v>
      </c>
      <c r="R60" s="228" t="str">
        <f t="shared" si="4"/>
        <v>#N/A</v>
      </c>
      <c r="S60" s="220" t="str">
        <f t="shared" si="5"/>
        <v>#N/A</v>
      </c>
      <c r="T60" s="220" t="str">
        <f t="shared" si="6"/>
        <v>#N/A</v>
      </c>
      <c r="U60" s="221">
        <f t="shared" si="7"/>
        <v>0</v>
      </c>
      <c r="V60" s="229" t="str">
        <f>ifs($N60="",VLOOKUP($B60&amp;$E60,'VISIT DATA'!$A$2:$J100,7,FALSE), $N60="SWAB","OUTSA-RW",$N60="SWQU","OUTSA-SaQu", AND($L60="X",$M60="X",$N60="QUEST"),"OUT-UAQPre",$N60="QUEST","OUT-UAQ", $N60="Walk in","ColUATele")</f>
        <v>#N/A</v>
      </c>
      <c r="W60" s="24" t="str">
        <f t="shared" si="8"/>
        <v>#N/A</v>
      </c>
      <c r="X60" s="222" t="str">
        <f t="shared" si="9"/>
        <v/>
      </c>
      <c r="Y60" s="222" t="str">
        <f t="shared" si="10"/>
        <v/>
      </c>
      <c r="Z60" s="224" t="str">
        <f t="shared" si="11"/>
        <v> </v>
      </c>
      <c r="AA60" s="244"/>
    </row>
    <row r="61">
      <c r="A61" s="214" t="str">
        <f>IFS($B61=FALSE,"",$B61,VLOOKUP($B61,'PATIENT DATA (072721)'!A:C, 2, 0))</f>
        <v/>
      </c>
      <c r="B61" s="215"/>
      <c r="C61" s="230" t="str">
        <f>IF(COUNTIF('PATIENT DATA (072721)'!A:A, B61)=0, "X","✓")</f>
        <v>X</v>
      </c>
      <c r="D61" s="226" t="str">
        <f>IFS($B61=FALSE,"",$B61,VLOOKUP($B61,'PATIENT DATA (072721)'!A:C, 3, 0))</f>
        <v/>
      </c>
      <c r="E61" s="218">
        <v>44573.0</v>
      </c>
      <c r="F61" s="219" t="str">
        <f>ifs($B61="","",$B61, VLOOKUP($B61&amp;$E61, 'VISIT DATA'!A:O,3,0))</f>
        <v/>
      </c>
      <c r="G61" s="231"/>
      <c r="H61" s="221" t="str">
        <f>ifs($B61="","",$B61, VLOOKUP($B61&amp;$E61, 'VISIT DATA'!$A:$O,13,0))</f>
        <v/>
      </c>
      <c r="I61" s="262" t="str">
        <f>VLOOKUP($B61&amp;$E61,'VISIT DATA'!A:J, 9, FALSE)</f>
        <v>#N/A</v>
      </c>
      <c r="J61" s="223" t="str">
        <f>VLOOKUP(B61&amp;E61,'VISIT DATA'!A:N,10,FALSE)</f>
        <v>#N/A</v>
      </c>
      <c r="K61" s="225"/>
      <c r="L61" s="224"/>
      <c r="M61" s="224"/>
      <c r="N61" s="225"/>
      <c r="O61" s="216" t="str">
        <f t="shared" si="1"/>
        <v>X</v>
      </c>
      <c r="P61" s="226" t="str">
        <f t="shared" si="2"/>
        <v>#N/A</v>
      </c>
      <c r="Q61" s="227" t="str">
        <f t="shared" si="3"/>
        <v>#N/A</v>
      </c>
      <c r="R61" s="228" t="str">
        <f t="shared" si="4"/>
        <v>#N/A</v>
      </c>
      <c r="S61" s="220" t="str">
        <f t="shared" si="5"/>
        <v>#N/A</v>
      </c>
      <c r="T61" s="220" t="str">
        <f t="shared" si="6"/>
        <v>#N/A</v>
      </c>
      <c r="U61" s="221">
        <f t="shared" si="7"/>
        <v>0</v>
      </c>
      <c r="V61" s="229" t="str">
        <f>ifs($N61="",VLOOKUP($B61&amp;$E61,'VISIT DATA'!$A$2:$J100,7,FALSE), $N61="SWAB","OUTSA-RW",$N61="SWQU","OUTSA-SaQu", AND($L61="X",$M61="X",$N61="QUEST"),"OUT-UAQPre",$N61="QUEST","OUT-UAQ", $N61="Walk in","ColUATele")</f>
        <v>#N/A</v>
      </c>
      <c r="W61" s="24" t="str">
        <f t="shared" si="8"/>
        <v>#N/A</v>
      </c>
      <c r="X61" s="222" t="str">
        <f t="shared" si="9"/>
        <v/>
      </c>
      <c r="Y61" s="222" t="str">
        <f t="shared" si="10"/>
        <v/>
      </c>
      <c r="Z61" s="224" t="str">
        <f t="shared" si="11"/>
        <v> </v>
      </c>
      <c r="AA61" s="244"/>
    </row>
    <row r="62">
      <c r="A62" s="214" t="str">
        <f>IFS($B62=FALSE,"",$B62,VLOOKUP($B62,'PATIENT DATA (072721)'!A:C, 2, 0))</f>
        <v/>
      </c>
      <c r="B62" s="215"/>
      <c r="C62" s="230" t="str">
        <f>IF(COUNTIF('PATIENT DATA (072721)'!A:A, B62)=0, "X","✓")</f>
        <v>X</v>
      </c>
      <c r="D62" s="226" t="str">
        <f>IFS($B62=FALSE,"",$B62,VLOOKUP($B62,'PATIENT DATA (072721)'!A:C, 3, 0))</f>
        <v/>
      </c>
      <c r="E62" s="218">
        <v>44573.0</v>
      </c>
      <c r="F62" s="219" t="str">
        <f>ifs($B62="","",$B62, VLOOKUP($B62&amp;$E62, 'VISIT DATA'!A:O,3,0))</f>
        <v/>
      </c>
      <c r="G62" s="231"/>
      <c r="H62" s="221" t="str">
        <f>ifs($B62="","",$B62, VLOOKUP($B62&amp;$E62, 'VISIT DATA'!$A:$O,13,0))</f>
        <v/>
      </c>
      <c r="I62" s="262" t="str">
        <f>VLOOKUP($B62&amp;$E62,'VISIT DATA'!A:J, 9, FALSE)</f>
        <v>#N/A</v>
      </c>
      <c r="J62" s="223" t="str">
        <f>VLOOKUP(B62&amp;E62,'VISIT DATA'!A:N,10,FALSE)</f>
        <v>#N/A</v>
      </c>
      <c r="K62" s="225"/>
      <c r="L62" s="224"/>
      <c r="M62" s="224"/>
      <c r="N62" s="225"/>
      <c r="O62" s="216" t="str">
        <f t="shared" si="1"/>
        <v>X</v>
      </c>
      <c r="P62" s="226" t="str">
        <f t="shared" si="2"/>
        <v>#N/A</v>
      </c>
      <c r="Q62" s="227" t="str">
        <f t="shared" si="3"/>
        <v>#N/A</v>
      </c>
      <c r="R62" s="228" t="str">
        <f t="shared" si="4"/>
        <v>#N/A</v>
      </c>
      <c r="S62" s="220" t="str">
        <f t="shared" si="5"/>
        <v>#N/A</v>
      </c>
      <c r="T62" s="220" t="str">
        <f t="shared" si="6"/>
        <v>#N/A</v>
      </c>
      <c r="U62" s="221">
        <f t="shared" si="7"/>
        <v>0</v>
      </c>
      <c r="V62" s="229" t="str">
        <f>ifs($N62="",VLOOKUP($B62&amp;$E62,'VISIT DATA'!$A$2:$J100,7,FALSE), $N62="SWAB","OUTSA-RW",$N62="SWQU","OUTSA-SaQu", AND($L62="X",$M62="X",$N62="QUEST"),"OUT-UAQPre",$N62="QUEST","OUT-UAQ", $N62="Walk in","ColUATele")</f>
        <v>#N/A</v>
      </c>
      <c r="W62" s="24" t="str">
        <f t="shared" si="8"/>
        <v>#N/A</v>
      </c>
      <c r="X62" s="222" t="str">
        <f t="shared" si="9"/>
        <v/>
      </c>
      <c r="Y62" s="222" t="str">
        <f t="shared" si="10"/>
        <v/>
      </c>
      <c r="Z62" s="224" t="str">
        <f t="shared" si="11"/>
        <v> </v>
      </c>
      <c r="AA62" s="244"/>
    </row>
    <row r="63">
      <c r="A63" s="214" t="str">
        <f>IFS($B63=FALSE,"",$B63,VLOOKUP($B63,'PATIENT DATA (072721)'!A:C, 2, 0))</f>
        <v/>
      </c>
      <c r="B63" s="215"/>
      <c r="C63" s="230" t="str">
        <f>IF(COUNTIF('PATIENT DATA (072721)'!A:A, B63)=0, "X","✓")</f>
        <v>X</v>
      </c>
      <c r="D63" s="226" t="str">
        <f>IFS($B63=FALSE,"",$B63,VLOOKUP($B63,'PATIENT DATA (072721)'!A:C, 3, 0))</f>
        <v/>
      </c>
      <c r="E63" s="218">
        <v>44573.0</v>
      </c>
      <c r="F63" s="219" t="str">
        <f>ifs($B63="","",$B63, VLOOKUP($B63&amp;$E63, 'VISIT DATA'!A:O,3,0))</f>
        <v/>
      </c>
      <c r="G63" s="231"/>
      <c r="H63" s="221" t="str">
        <f>ifs($B63="","",$B63, VLOOKUP($B63&amp;$E63, 'VISIT DATA'!$A:$O,13,0))</f>
        <v/>
      </c>
      <c r="I63" s="262" t="str">
        <f>VLOOKUP($B63&amp;$E63,'VISIT DATA'!A:J, 9, FALSE)</f>
        <v>#N/A</v>
      </c>
      <c r="J63" s="223" t="str">
        <f>VLOOKUP(B63&amp;E63,'VISIT DATA'!A:N,10,FALSE)</f>
        <v>#N/A</v>
      </c>
      <c r="K63" s="225"/>
      <c r="L63" s="224"/>
      <c r="M63" s="224"/>
      <c r="N63" s="225"/>
      <c r="O63" s="216" t="str">
        <f t="shared" si="1"/>
        <v>X</v>
      </c>
      <c r="P63" s="226" t="str">
        <f t="shared" si="2"/>
        <v>#N/A</v>
      </c>
      <c r="Q63" s="227" t="str">
        <f t="shared" si="3"/>
        <v>#N/A</v>
      </c>
      <c r="R63" s="228" t="str">
        <f t="shared" si="4"/>
        <v>#N/A</v>
      </c>
      <c r="S63" s="220" t="str">
        <f t="shared" si="5"/>
        <v>#N/A</v>
      </c>
      <c r="T63" s="220" t="str">
        <f t="shared" si="6"/>
        <v>#N/A</v>
      </c>
      <c r="U63" s="221">
        <f t="shared" si="7"/>
        <v>0</v>
      </c>
      <c r="V63" s="229" t="str">
        <f>ifs($N63="",VLOOKUP($B63&amp;$E63,'VISIT DATA'!$A$2:$J100,7,FALSE), $N63="SWAB","OUTSA-RW",$N63="SWQU","OUTSA-SaQu", AND($L63="X",$M63="X",$N63="QUEST"),"OUT-UAQPre",$N63="QUEST","OUT-UAQ", $N63="Walk in","ColUATele")</f>
        <v>#N/A</v>
      </c>
      <c r="W63" s="24" t="str">
        <f t="shared" si="8"/>
        <v>#N/A</v>
      </c>
      <c r="X63" s="222" t="str">
        <f t="shared" si="9"/>
        <v/>
      </c>
      <c r="Y63" s="222" t="str">
        <f t="shared" si="10"/>
        <v/>
      </c>
      <c r="Z63" s="224" t="str">
        <f t="shared" si="11"/>
        <v> </v>
      </c>
      <c r="AA63" s="244"/>
    </row>
    <row r="64">
      <c r="A64" s="214" t="str">
        <f>IFS($B64=FALSE,"",$B64,VLOOKUP($B64,'PATIENT DATA (072721)'!A:C, 2, 0))</f>
        <v/>
      </c>
      <c r="B64" s="215"/>
      <c r="C64" s="230" t="str">
        <f>IF(COUNTIF('PATIENT DATA (072721)'!A:A, B64)=0, "X","✓")</f>
        <v>X</v>
      </c>
      <c r="D64" s="226" t="str">
        <f>IFS($B64=FALSE,"",$B64,VLOOKUP($B64,'PATIENT DATA (072721)'!A:C, 3, 0))</f>
        <v/>
      </c>
      <c r="E64" s="218">
        <v>44573.0</v>
      </c>
      <c r="F64" s="219" t="str">
        <f>ifs($B64="","",$B64, VLOOKUP($B64&amp;$E64, 'VISIT DATA'!A:O,3,0))</f>
        <v/>
      </c>
      <c r="G64" s="231"/>
      <c r="H64" s="221" t="str">
        <f>ifs($B64="","",$B64, VLOOKUP($B64&amp;$E64, 'VISIT DATA'!$A:$O,13,0))</f>
        <v/>
      </c>
      <c r="I64" s="262" t="str">
        <f>VLOOKUP($B64&amp;$E64,'VISIT DATA'!A:J, 9, FALSE)</f>
        <v>#N/A</v>
      </c>
      <c r="J64" s="223" t="str">
        <f>VLOOKUP(B64&amp;E64,'VISIT DATA'!A:N,10,FALSE)</f>
        <v>#N/A</v>
      </c>
      <c r="K64" s="225"/>
      <c r="L64" s="224"/>
      <c r="M64" s="224"/>
      <c r="N64" s="225"/>
      <c r="O64" s="216" t="str">
        <f t="shared" si="1"/>
        <v>X</v>
      </c>
      <c r="P64" s="226" t="str">
        <f t="shared" si="2"/>
        <v>#N/A</v>
      </c>
      <c r="Q64" s="227" t="str">
        <f t="shared" si="3"/>
        <v>#N/A</v>
      </c>
      <c r="R64" s="228" t="str">
        <f t="shared" si="4"/>
        <v>#N/A</v>
      </c>
      <c r="S64" s="220" t="str">
        <f t="shared" si="5"/>
        <v>#N/A</v>
      </c>
      <c r="T64" s="220" t="str">
        <f t="shared" si="6"/>
        <v>#N/A</v>
      </c>
      <c r="U64" s="221">
        <f t="shared" si="7"/>
        <v>0</v>
      </c>
      <c r="V64" s="229" t="str">
        <f>ifs($N64="",VLOOKUP($B64&amp;$E64,'VISIT DATA'!$A$2:$J100,7,FALSE), $N64="SWAB","OUTSA-RW",$N64="SWQU","OUTSA-SaQu", AND($L64="X",$M64="X",$N64="QUEST"),"OUT-UAQPre",$N64="QUEST","OUT-UAQ", $N64="Walk in","ColUATele")</f>
        <v>#N/A</v>
      </c>
      <c r="W64" s="24" t="str">
        <f t="shared" si="8"/>
        <v>#N/A</v>
      </c>
      <c r="X64" s="222" t="str">
        <f t="shared" si="9"/>
        <v/>
      </c>
      <c r="Y64" s="222" t="str">
        <f t="shared" si="10"/>
        <v/>
      </c>
      <c r="Z64" s="224" t="str">
        <f t="shared" si="11"/>
        <v> </v>
      </c>
      <c r="AA64" s="244"/>
    </row>
    <row r="65">
      <c r="A65" s="214" t="str">
        <f>IFS($B65=FALSE,"",$B65,VLOOKUP($B65,'PATIENT DATA (072721)'!A:C, 2, 0))</f>
        <v/>
      </c>
      <c r="B65" s="215"/>
      <c r="C65" s="230" t="str">
        <f>IF(COUNTIF('PATIENT DATA (072721)'!A:A, B65)=0, "X","✓")</f>
        <v>X</v>
      </c>
      <c r="D65" s="226" t="str">
        <f>IFS($B65=FALSE,"",$B65,VLOOKUP($B65,'PATIENT DATA (072721)'!A:C, 3, 0))</f>
        <v/>
      </c>
      <c r="E65" s="218">
        <v>44573.0</v>
      </c>
      <c r="F65" s="219" t="str">
        <f>ifs($B65="","",$B65, VLOOKUP($B65&amp;$E65, 'VISIT DATA'!A:O,3,0))</f>
        <v/>
      </c>
      <c r="G65" s="231"/>
      <c r="H65" s="221" t="str">
        <f>ifs($B65="","",$B65, VLOOKUP($B65&amp;$E65, 'VISIT DATA'!$A:$O,13,0))</f>
        <v/>
      </c>
      <c r="I65" s="262" t="str">
        <f>VLOOKUP($B65&amp;$E65,'VISIT DATA'!A:J, 9, FALSE)</f>
        <v>#N/A</v>
      </c>
      <c r="J65" s="223" t="str">
        <f>VLOOKUP(B65&amp;E65,'VISIT DATA'!A:N,10,FALSE)</f>
        <v>#N/A</v>
      </c>
      <c r="K65" s="225"/>
      <c r="L65" s="224"/>
      <c r="M65" s="224"/>
      <c r="N65" s="225"/>
      <c r="O65" s="216" t="str">
        <f t="shared" si="1"/>
        <v>X</v>
      </c>
      <c r="P65" s="226" t="str">
        <f t="shared" si="2"/>
        <v>#N/A</v>
      </c>
      <c r="Q65" s="227" t="str">
        <f t="shared" si="3"/>
        <v>#N/A</v>
      </c>
      <c r="R65" s="228" t="str">
        <f t="shared" si="4"/>
        <v>#N/A</v>
      </c>
      <c r="S65" s="220" t="str">
        <f t="shared" si="5"/>
        <v>#N/A</v>
      </c>
      <c r="T65" s="220" t="str">
        <f t="shared" si="6"/>
        <v>#N/A</v>
      </c>
      <c r="U65" s="221">
        <f t="shared" si="7"/>
        <v>0</v>
      </c>
      <c r="V65" s="229" t="str">
        <f>ifs($N65="",VLOOKUP($B65&amp;$E65,'VISIT DATA'!$A$2:$J100,7,FALSE), $N65="SWAB","OUTSA-RW",$N65="SWQU","OUTSA-SaQu", AND($L65="X",$M65="X",$N65="QUEST"),"OUT-UAQPre",$N65="QUEST","OUT-UAQ", $N65="Walk in","ColUATele")</f>
        <v>#N/A</v>
      </c>
      <c r="W65" s="24" t="str">
        <f t="shared" si="8"/>
        <v>#N/A</v>
      </c>
      <c r="X65" s="222" t="str">
        <f t="shared" si="9"/>
        <v/>
      </c>
      <c r="Y65" s="222" t="str">
        <f t="shared" si="10"/>
        <v/>
      </c>
      <c r="Z65" s="224" t="str">
        <f t="shared" si="11"/>
        <v> </v>
      </c>
      <c r="AA65" s="244"/>
    </row>
    <row r="66">
      <c r="A66" s="214" t="str">
        <f>IFS($B66=FALSE,"",$B66,VLOOKUP($B66,'PATIENT DATA (072721)'!A:C, 2, 0))</f>
        <v/>
      </c>
      <c r="B66" s="215"/>
      <c r="C66" s="230" t="str">
        <f>IF(COUNTIF('PATIENT DATA (072721)'!A:A, B66)=0, "X","✓")</f>
        <v>X</v>
      </c>
      <c r="D66" s="226" t="str">
        <f>IFS($B66=FALSE,"",$B66,VLOOKUP($B66,'PATIENT DATA (072721)'!A:C, 3, 0))</f>
        <v/>
      </c>
      <c r="E66" s="218">
        <v>44573.0</v>
      </c>
      <c r="F66" s="219" t="str">
        <f>ifs($B66="","",$B66, VLOOKUP($B66&amp;$E66, 'VISIT DATA'!A:O,3,0))</f>
        <v/>
      </c>
      <c r="G66" s="231"/>
      <c r="H66" s="221" t="str">
        <f>ifs($B66="","",$B66, VLOOKUP($B66&amp;$E66, 'VISIT DATA'!$A:$O,13,0))</f>
        <v/>
      </c>
      <c r="I66" s="262" t="str">
        <f>VLOOKUP($B66&amp;$E66,'VISIT DATA'!A:J, 9, FALSE)</f>
        <v>#N/A</v>
      </c>
      <c r="J66" s="223" t="str">
        <f>VLOOKUP(B66&amp;E66,'VISIT DATA'!A:N,10,FALSE)</f>
        <v>#N/A</v>
      </c>
      <c r="K66" s="225"/>
      <c r="L66" s="224"/>
      <c r="M66" s="224"/>
      <c r="N66" s="225"/>
      <c r="O66" s="216" t="str">
        <f t="shared" si="1"/>
        <v>X</v>
      </c>
      <c r="P66" s="226" t="str">
        <f t="shared" si="2"/>
        <v>#N/A</v>
      </c>
      <c r="Q66" s="227" t="str">
        <f t="shared" si="3"/>
        <v>#N/A</v>
      </c>
      <c r="R66" s="228" t="str">
        <f t="shared" si="4"/>
        <v>#N/A</v>
      </c>
      <c r="S66" s="220" t="str">
        <f t="shared" si="5"/>
        <v>#N/A</v>
      </c>
      <c r="T66" s="220" t="str">
        <f t="shared" si="6"/>
        <v>#N/A</v>
      </c>
      <c r="U66" s="221">
        <f t="shared" si="7"/>
        <v>0</v>
      </c>
      <c r="V66" s="229" t="str">
        <f>ifs($N66="",VLOOKUP($B66&amp;$E66,'VISIT DATA'!$A$2:$J100,7,FALSE), $N66="SWAB","OUTSA-RW",$N66="SWQU","OUTSA-SaQu", AND($L66="X",$M66="X",$N66="QUEST"),"OUT-UAQPre",$N66="QUEST","OUT-UAQ", $N66="Walk in","ColUATele")</f>
        <v>#N/A</v>
      </c>
      <c r="W66" s="24" t="str">
        <f t="shared" si="8"/>
        <v>#N/A</v>
      </c>
      <c r="X66" s="222" t="str">
        <f t="shared" si="9"/>
        <v/>
      </c>
      <c r="Y66" s="222" t="str">
        <f t="shared" si="10"/>
        <v/>
      </c>
      <c r="Z66" s="224" t="str">
        <f t="shared" si="11"/>
        <v> </v>
      </c>
      <c r="AA66" s="244"/>
    </row>
    <row r="67">
      <c r="A67" s="214" t="str">
        <f>IFS($B67=FALSE,"",$B67,VLOOKUP($B67,'PATIENT DATA (072721)'!A:C, 2, 0))</f>
        <v/>
      </c>
      <c r="B67" s="215"/>
      <c r="C67" s="230" t="str">
        <f>IF(COUNTIF('PATIENT DATA (072721)'!A:A, B67)=0, "X","✓")</f>
        <v>X</v>
      </c>
      <c r="D67" s="226" t="str">
        <f>IFS($B67=FALSE,"",$B67,VLOOKUP($B67,'PATIENT DATA (072721)'!A:C, 3, 0))</f>
        <v/>
      </c>
      <c r="E67" s="218">
        <v>44573.0</v>
      </c>
      <c r="F67" s="219" t="str">
        <f>ifs($B67="","",$B67, VLOOKUP($B67&amp;$E67, 'VISIT DATA'!A:O,3,0))</f>
        <v/>
      </c>
      <c r="G67" s="231"/>
      <c r="H67" s="221" t="str">
        <f>ifs($B67="","",$B67, VLOOKUP($B67&amp;$E67, 'VISIT DATA'!$A:$O,13,0))</f>
        <v/>
      </c>
      <c r="I67" s="262" t="str">
        <f>VLOOKUP($B67&amp;$E67,'VISIT DATA'!A:J, 9, FALSE)</f>
        <v>#N/A</v>
      </c>
      <c r="J67" s="223" t="str">
        <f>VLOOKUP(B67&amp;E67,'VISIT DATA'!A:N,10,FALSE)</f>
        <v>#N/A</v>
      </c>
      <c r="K67" s="225"/>
      <c r="L67" s="224"/>
      <c r="M67" s="224"/>
      <c r="N67" s="225"/>
      <c r="O67" s="216" t="str">
        <f t="shared" si="1"/>
        <v>X</v>
      </c>
      <c r="P67" s="226" t="str">
        <f t="shared" si="2"/>
        <v>#N/A</v>
      </c>
      <c r="Q67" s="227" t="str">
        <f t="shared" si="3"/>
        <v>#N/A</v>
      </c>
      <c r="R67" s="228" t="str">
        <f t="shared" si="4"/>
        <v>#N/A</v>
      </c>
      <c r="S67" s="220" t="str">
        <f t="shared" si="5"/>
        <v>#N/A</v>
      </c>
      <c r="T67" s="220" t="str">
        <f t="shared" si="6"/>
        <v>#N/A</v>
      </c>
      <c r="U67" s="221">
        <f t="shared" si="7"/>
        <v>0</v>
      </c>
      <c r="V67" s="229" t="str">
        <f>ifs($N67="",VLOOKUP($B67&amp;$E67,'VISIT DATA'!$A$2:$J100,7,FALSE), $N67="SWAB","OUTSA-RW",$N67="SWQU","OUTSA-SaQu", AND($L67="X",$M67="X",$N67="QUEST"),"OUT-UAQPre",$N67="QUEST","OUT-UAQ", $N67="Walk in","ColUATele")</f>
        <v>#N/A</v>
      </c>
      <c r="W67" s="24" t="str">
        <f t="shared" si="8"/>
        <v>#N/A</v>
      </c>
      <c r="X67" s="222" t="str">
        <f t="shared" si="9"/>
        <v/>
      </c>
      <c r="Y67" s="222" t="str">
        <f t="shared" si="10"/>
        <v/>
      </c>
      <c r="Z67" s="224" t="str">
        <f t="shared" si="11"/>
        <v> </v>
      </c>
      <c r="AA67" s="244"/>
    </row>
    <row r="68">
      <c r="A68" s="214" t="str">
        <f>IFS($B68=FALSE,"",$B68,VLOOKUP($B68,'PATIENT DATA (072721)'!A:C, 2, 0))</f>
        <v/>
      </c>
      <c r="B68" s="215"/>
      <c r="C68" s="230" t="str">
        <f>IF(COUNTIF('PATIENT DATA (072721)'!A:A, B68)=0, "X","✓")</f>
        <v>X</v>
      </c>
      <c r="D68" s="226" t="str">
        <f>IFS($B68=FALSE,"",$B68,VLOOKUP($B68,'PATIENT DATA (072721)'!A:C, 3, 0))</f>
        <v/>
      </c>
      <c r="E68" s="218">
        <v>44573.0</v>
      </c>
      <c r="F68" s="219" t="str">
        <f>ifs($B68="","",$B68, VLOOKUP($B68&amp;$E68, 'VISIT DATA'!A:O,3,0))</f>
        <v/>
      </c>
      <c r="G68" s="231"/>
      <c r="H68" s="221" t="str">
        <f>ifs($B68="","",$B68, VLOOKUP($B68&amp;$E68, 'VISIT DATA'!$A:$O,13,0))</f>
        <v/>
      </c>
      <c r="I68" s="262" t="str">
        <f>VLOOKUP($B68&amp;$E68,'VISIT DATA'!A:J, 9, FALSE)</f>
        <v>#N/A</v>
      </c>
      <c r="J68" s="223" t="str">
        <f>VLOOKUP(B68&amp;E68,'VISIT DATA'!A:N,10,FALSE)</f>
        <v>#N/A</v>
      </c>
      <c r="K68" s="225"/>
      <c r="L68" s="224"/>
      <c r="M68" s="224"/>
      <c r="N68" s="225"/>
      <c r="O68" s="216" t="str">
        <f t="shared" si="1"/>
        <v>X</v>
      </c>
      <c r="P68" s="226" t="str">
        <f t="shared" si="2"/>
        <v>#N/A</v>
      </c>
      <c r="Q68" s="227" t="str">
        <f t="shared" si="3"/>
        <v>#N/A</v>
      </c>
      <c r="R68" s="228" t="str">
        <f t="shared" si="4"/>
        <v>#N/A</v>
      </c>
      <c r="S68" s="220" t="str">
        <f t="shared" si="5"/>
        <v>#N/A</v>
      </c>
      <c r="T68" s="220" t="str">
        <f t="shared" si="6"/>
        <v>#N/A</v>
      </c>
      <c r="U68" s="221">
        <f t="shared" si="7"/>
        <v>0</v>
      </c>
      <c r="V68" s="229" t="str">
        <f>ifs($N68="",VLOOKUP($B68&amp;$E68,'VISIT DATA'!$A$2:$J100,7,FALSE), $N68="SWAB","OUTSA-RW",$N68="SWQU","OUTSA-SaQu", AND($L68="X",$M68="X",$N68="QUEST"),"OUT-UAQPre",$N68="QUEST","OUT-UAQ", $N68="Walk in","ColUATele")</f>
        <v>#N/A</v>
      </c>
      <c r="W68" s="24" t="str">
        <f t="shared" si="8"/>
        <v>#N/A</v>
      </c>
      <c r="X68" s="222" t="str">
        <f t="shared" si="9"/>
        <v/>
      </c>
      <c r="Y68" s="222" t="str">
        <f t="shared" si="10"/>
        <v/>
      </c>
      <c r="Z68" s="224" t="str">
        <f t="shared" si="11"/>
        <v> </v>
      </c>
      <c r="AA68" s="244"/>
    </row>
    <row r="69">
      <c r="A69" s="214" t="str">
        <f>IFS($B69=FALSE,"",$B69,VLOOKUP($B69,'PATIENT DATA (072721)'!A:C, 2, 0))</f>
        <v/>
      </c>
      <c r="B69" s="215"/>
      <c r="C69" s="230" t="str">
        <f>IF(COUNTIF('PATIENT DATA (072721)'!A:A, B69)=0, "X","✓")</f>
        <v>X</v>
      </c>
      <c r="D69" s="226" t="str">
        <f>IFS($B69=FALSE,"",$B69,VLOOKUP($B69,'PATIENT DATA (072721)'!A:C, 3, 0))</f>
        <v/>
      </c>
      <c r="E69" s="218">
        <v>44573.0</v>
      </c>
      <c r="F69" s="219" t="str">
        <f>ifs($B69="","",$B69, VLOOKUP($B69&amp;$E69, 'VISIT DATA'!A:O,3,0))</f>
        <v/>
      </c>
      <c r="G69" s="231"/>
      <c r="H69" s="221" t="str">
        <f>ifs($B69="","",$B69, VLOOKUP($B69&amp;$E69, 'VISIT DATA'!$A:$O,13,0))</f>
        <v/>
      </c>
      <c r="I69" s="262" t="str">
        <f>VLOOKUP($B69&amp;$E69,'VISIT DATA'!A:J, 9, FALSE)</f>
        <v>#N/A</v>
      </c>
      <c r="J69" s="223" t="str">
        <f>VLOOKUP(B69&amp;E69,'VISIT DATA'!A:N,10,FALSE)</f>
        <v>#N/A</v>
      </c>
      <c r="K69" s="224"/>
      <c r="L69" s="224"/>
      <c r="M69" s="224"/>
      <c r="N69" s="225"/>
      <c r="O69" s="216" t="str">
        <f t="shared" si="1"/>
        <v>X</v>
      </c>
      <c r="P69" s="226" t="str">
        <f t="shared" si="2"/>
        <v>#N/A</v>
      </c>
      <c r="Q69" s="227" t="str">
        <f t="shared" si="3"/>
        <v>#N/A</v>
      </c>
      <c r="R69" s="228" t="str">
        <f t="shared" si="4"/>
        <v>#N/A</v>
      </c>
      <c r="S69" s="220" t="str">
        <f t="shared" si="5"/>
        <v>#N/A</v>
      </c>
      <c r="T69" s="220" t="str">
        <f t="shared" si="6"/>
        <v>#N/A</v>
      </c>
      <c r="U69" s="221">
        <f t="shared" si="7"/>
        <v>0</v>
      </c>
      <c r="V69" s="229" t="str">
        <f>ifs($N69="",VLOOKUP($B69&amp;$E69,'VISIT DATA'!$A$2:$J100,7,FALSE), $N69="SWAB","OUTSA-RW",$N69="SWQU","OUTSA-SaQu", AND($L69="X",$M69="X",$N69="QUEST"),"OUT-UAQPre",$N69="QUEST","OUT-UAQ", $N69="Walk in","ColUATele")</f>
        <v>#N/A</v>
      </c>
      <c r="W69" s="24" t="str">
        <f t="shared" si="8"/>
        <v>#N/A</v>
      </c>
      <c r="X69" s="222" t="str">
        <f t="shared" si="9"/>
        <v/>
      </c>
      <c r="Y69" s="222" t="str">
        <f t="shared" si="10"/>
        <v/>
      </c>
      <c r="Z69" s="224" t="str">
        <f t="shared" si="11"/>
        <v> </v>
      </c>
      <c r="AA69" s="244"/>
    </row>
    <row r="70">
      <c r="A70" s="214" t="str">
        <f>IFS($B70=FALSE,"",$B70,VLOOKUP($B70,'PATIENT DATA (072721)'!A:C, 2, 0))</f>
        <v/>
      </c>
      <c r="B70" s="215"/>
      <c r="C70" s="230" t="str">
        <f>IF(COUNTIF('PATIENT DATA (072721)'!A:A, B70)=0, "X","✓")</f>
        <v>X</v>
      </c>
      <c r="D70" s="226" t="str">
        <f>IFS($B70=FALSE,"",$B70,VLOOKUP($B70,'PATIENT DATA (072721)'!A:C, 3, 0))</f>
        <v/>
      </c>
      <c r="E70" s="218">
        <v>44573.0</v>
      </c>
      <c r="F70" s="219" t="str">
        <f>ifs($B70="","",$B70, VLOOKUP($B70&amp;$E70, 'VISIT DATA'!A:O,3,0))</f>
        <v/>
      </c>
      <c r="G70" s="231"/>
      <c r="H70" s="221" t="str">
        <f>ifs($B70="","",$B70, VLOOKUP($B70&amp;$E70, 'VISIT DATA'!$A:$O,13,0))</f>
        <v/>
      </c>
      <c r="I70" s="262" t="str">
        <f>VLOOKUP($B70&amp;$E70,'VISIT DATA'!A:J, 9, FALSE)</f>
        <v>#N/A</v>
      </c>
      <c r="J70" s="223" t="str">
        <f>VLOOKUP(B70&amp;E70,'VISIT DATA'!A:N,10,FALSE)</f>
        <v>#N/A</v>
      </c>
      <c r="K70" s="224"/>
      <c r="L70" s="224"/>
      <c r="M70" s="224"/>
      <c r="N70" s="225"/>
      <c r="O70" s="216" t="str">
        <f t="shared" si="1"/>
        <v>X</v>
      </c>
      <c r="P70" s="226" t="str">
        <f t="shared" si="2"/>
        <v>#N/A</v>
      </c>
      <c r="Q70" s="227" t="str">
        <f t="shared" si="3"/>
        <v>#N/A</v>
      </c>
      <c r="R70" s="228" t="str">
        <f t="shared" si="4"/>
        <v>#N/A</v>
      </c>
      <c r="S70" s="220" t="str">
        <f t="shared" si="5"/>
        <v>#N/A</v>
      </c>
      <c r="T70" s="220" t="str">
        <f t="shared" si="6"/>
        <v>#N/A</v>
      </c>
      <c r="U70" s="221">
        <f t="shared" si="7"/>
        <v>0</v>
      </c>
      <c r="V70" s="229" t="str">
        <f>ifs($N70="",VLOOKUP($B70&amp;$E70,'VISIT DATA'!$A$2:$J100,7,FALSE), $N70="SWAB","OUTSA-RW",$N70="SWQU","OUTSA-SaQu", AND($L70="X",$M70="X",$N70="QUEST"),"OUT-UAQPre",$N70="QUEST","OUT-UAQ", $N70="Walk in","ColUATele")</f>
        <v>#N/A</v>
      </c>
      <c r="W70" s="24" t="str">
        <f t="shared" si="8"/>
        <v>#N/A</v>
      </c>
      <c r="X70" s="222" t="str">
        <f t="shared" si="9"/>
        <v/>
      </c>
      <c r="Y70" s="222" t="str">
        <f t="shared" si="10"/>
        <v/>
      </c>
      <c r="Z70" s="224" t="str">
        <f t="shared" si="11"/>
        <v> </v>
      </c>
      <c r="AA70" s="244"/>
    </row>
    <row r="71">
      <c r="A71" s="214" t="str">
        <f>IFS($B71=FALSE,"",$B71,VLOOKUP($B71,'PATIENT DATA (072721)'!A:C, 2, 0))</f>
        <v/>
      </c>
      <c r="B71" s="215"/>
      <c r="C71" s="230" t="str">
        <f>IF(COUNTIF('PATIENT DATA (072721)'!A:A, B71)=0, "X","✓")</f>
        <v>X</v>
      </c>
      <c r="D71" s="226" t="str">
        <f>IFS($B71=FALSE,"",$B71,VLOOKUP($B71,'PATIENT DATA (072721)'!A:C, 3, 0))</f>
        <v/>
      </c>
      <c r="E71" s="218">
        <v>44573.0</v>
      </c>
      <c r="F71" s="219" t="str">
        <f>ifs($B71="","",$B71, VLOOKUP($B71&amp;$E71, 'VISIT DATA'!A:O,3,0))</f>
        <v/>
      </c>
      <c r="G71" s="231"/>
      <c r="H71" s="221" t="str">
        <f>ifs($B71="","",$B71, VLOOKUP($B71&amp;$E71, 'VISIT DATA'!$A:$O,13,0))</f>
        <v/>
      </c>
      <c r="I71" s="262" t="str">
        <f>VLOOKUP($B71&amp;$E71,'VISIT DATA'!A:J, 9, FALSE)</f>
        <v>#N/A</v>
      </c>
      <c r="J71" s="223" t="str">
        <f>VLOOKUP(B71&amp;E71,'VISIT DATA'!A:N,10,FALSE)</f>
        <v>#N/A</v>
      </c>
      <c r="K71" s="225"/>
      <c r="L71" s="224"/>
      <c r="M71" s="224"/>
      <c r="N71" s="225"/>
      <c r="O71" s="216" t="str">
        <f t="shared" si="1"/>
        <v>X</v>
      </c>
      <c r="P71" s="226" t="str">
        <f t="shared" si="2"/>
        <v>#N/A</v>
      </c>
      <c r="Q71" s="227" t="str">
        <f t="shared" si="3"/>
        <v>#N/A</v>
      </c>
      <c r="R71" s="228" t="str">
        <f t="shared" si="4"/>
        <v>#N/A</v>
      </c>
      <c r="S71" s="220" t="str">
        <f t="shared" si="5"/>
        <v>#N/A</v>
      </c>
      <c r="T71" s="220" t="str">
        <f t="shared" si="6"/>
        <v>#N/A</v>
      </c>
      <c r="U71" s="221">
        <f t="shared" si="7"/>
        <v>0</v>
      </c>
      <c r="V71" s="229" t="str">
        <f>ifs($N71="",VLOOKUP($B71&amp;$E71,'VISIT DATA'!$A$2:$J100,7,FALSE), $N71="SWAB","OUTSA-RW",$N71="SWQU","OUTSA-SaQu", AND($L71="X",$M71="X",$N71="QUEST"),"OUT-UAQPre",$N71="QUEST","OUT-UAQ", $N71="Walk in","ColUATele")</f>
        <v>#N/A</v>
      </c>
      <c r="W71" s="24" t="str">
        <f t="shared" si="8"/>
        <v>#N/A</v>
      </c>
      <c r="X71" s="222" t="str">
        <f t="shared" si="9"/>
        <v/>
      </c>
      <c r="Y71" s="222" t="str">
        <f t="shared" si="10"/>
        <v/>
      </c>
      <c r="Z71" s="224" t="str">
        <f t="shared" si="11"/>
        <v> </v>
      </c>
      <c r="AA71" s="244"/>
    </row>
    <row r="72">
      <c r="A72" s="214" t="str">
        <f>IFS($B72=FALSE,"",$B72,VLOOKUP($B72,'PATIENT DATA (072721)'!A:C, 2, 0))</f>
        <v/>
      </c>
      <c r="B72" s="215"/>
      <c r="C72" s="230" t="str">
        <f>IF(COUNTIF('PATIENT DATA (072721)'!A:A, B72)=0, "X","✓")</f>
        <v>X</v>
      </c>
      <c r="D72" s="226" t="str">
        <f>IFS($B72=FALSE,"",$B72,VLOOKUP($B72,'PATIENT DATA (072721)'!A:C, 3, 0))</f>
        <v/>
      </c>
      <c r="E72" s="218">
        <v>44573.0</v>
      </c>
      <c r="F72" s="219" t="str">
        <f>ifs($B72="","",$B72, VLOOKUP($B72&amp;$E72, 'VISIT DATA'!A:O,3,0))</f>
        <v/>
      </c>
      <c r="G72" s="231"/>
      <c r="H72" s="221" t="str">
        <f>ifs($B72="","",$B72, VLOOKUP($B72&amp;$E72, 'VISIT DATA'!$A:$O,13,0))</f>
        <v/>
      </c>
      <c r="I72" s="262" t="str">
        <f>VLOOKUP($B72&amp;$E72,'VISIT DATA'!A:J, 9, FALSE)</f>
        <v>#N/A</v>
      </c>
      <c r="J72" s="223" t="str">
        <f>VLOOKUP(B72&amp;E72,'VISIT DATA'!A:N,10,FALSE)</f>
        <v>#N/A</v>
      </c>
      <c r="K72" s="225"/>
      <c r="L72" s="224"/>
      <c r="M72" s="224"/>
      <c r="N72" s="225"/>
      <c r="O72" s="216" t="str">
        <f t="shared" si="1"/>
        <v>X</v>
      </c>
      <c r="P72" s="226" t="str">
        <f t="shared" si="2"/>
        <v>#N/A</v>
      </c>
      <c r="Q72" s="227" t="str">
        <f t="shared" si="3"/>
        <v>#N/A</v>
      </c>
      <c r="R72" s="228" t="str">
        <f t="shared" si="4"/>
        <v>#N/A</v>
      </c>
      <c r="S72" s="220" t="str">
        <f t="shared" si="5"/>
        <v>#N/A</v>
      </c>
      <c r="T72" s="220" t="str">
        <f t="shared" si="6"/>
        <v>#N/A</v>
      </c>
      <c r="U72" s="221">
        <f t="shared" si="7"/>
        <v>0</v>
      </c>
      <c r="V72" s="229" t="str">
        <f>ifs($N72="",VLOOKUP($B72&amp;$E72,'VISIT DATA'!$A$2:$J100,7,FALSE), $N72="SWAB","OUTSA-RW",$N72="SWQU","OUTSA-SaQu", AND($L72="X",$M72="X",$N72="QUEST"),"OUT-UAQPre",$N72="QUEST","OUT-UAQ", $N72="Walk in","ColUATele")</f>
        <v>#N/A</v>
      </c>
      <c r="W72" s="24" t="str">
        <f t="shared" si="8"/>
        <v>#N/A</v>
      </c>
      <c r="X72" s="222" t="str">
        <f t="shared" si="9"/>
        <v/>
      </c>
      <c r="Y72" s="222" t="str">
        <f t="shared" si="10"/>
        <v/>
      </c>
      <c r="Z72" s="224" t="str">
        <f t="shared" si="11"/>
        <v> </v>
      </c>
      <c r="AA72" s="244"/>
    </row>
    <row r="73">
      <c r="A73" s="214" t="str">
        <f>IFS($B73=FALSE,"",$B73,VLOOKUP($B73,'PATIENT DATA (072721)'!A:C, 2, 0))</f>
        <v/>
      </c>
      <c r="B73" s="215"/>
      <c r="C73" s="230" t="str">
        <f>IF(COUNTIF('PATIENT DATA (072721)'!A:A, B73)=0, "X","✓")</f>
        <v>X</v>
      </c>
      <c r="D73" s="226" t="str">
        <f>IFS($B73=FALSE,"",$B73,VLOOKUP($B73,'PATIENT DATA (072721)'!A:C, 3, 0))</f>
        <v/>
      </c>
      <c r="E73" s="218">
        <v>44573.0</v>
      </c>
      <c r="F73" s="219" t="str">
        <f>ifs($B73="","",$B73, VLOOKUP($B73&amp;$E73, 'VISIT DATA'!A:O,3,0))</f>
        <v/>
      </c>
      <c r="G73" s="231"/>
      <c r="H73" s="221" t="str">
        <f>ifs($B73="","",$B73, VLOOKUP($B73&amp;$E73, 'VISIT DATA'!$A:$O,13,0))</f>
        <v/>
      </c>
      <c r="I73" s="262" t="str">
        <f>VLOOKUP($B73&amp;$E73,'VISIT DATA'!A:J, 9, FALSE)</f>
        <v>#N/A</v>
      </c>
      <c r="J73" s="223" t="str">
        <f>VLOOKUP(B73&amp;E73,'VISIT DATA'!A:N,10,FALSE)</f>
        <v>#N/A</v>
      </c>
      <c r="K73" s="225"/>
      <c r="L73" s="224"/>
      <c r="M73" s="224"/>
      <c r="N73" s="225"/>
      <c r="O73" s="216" t="str">
        <f t="shared" si="1"/>
        <v>X</v>
      </c>
      <c r="P73" s="226" t="str">
        <f t="shared" si="2"/>
        <v>#N/A</v>
      </c>
      <c r="Q73" s="227" t="str">
        <f t="shared" si="3"/>
        <v>#N/A</v>
      </c>
      <c r="R73" s="228" t="str">
        <f t="shared" si="4"/>
        <v>#N/A</v>
      </c>
      <c r="S73" s="220" t="str">
        <f t="shared" si="5"/>
        <v>#N/A</v>
      </c>
      <c r="T73" s="220" t="str">
        <f t="shared" si="6"/>
        <v>#N/A</v>
      </c>
      <c r="U73" s="221">
        <f t="shared" si="7"/>
        <v>0</v>
      </c>
      <c r="V73" s="229" t="str">
        <f>ifs($N73="",VLOOKUP($B73&amp;$E73,'VISIT DATA'!$A$2:$J100,7,FALSE), $N73="SWAB","OUTSA-RW",$N73="SWQU","OUTSA-SaQu", AND($L73="X",$M73="X",$N73="QUEST"),"OUT-UAQPre",$N73="QUEST","OUT-UAQ", $N73="Walk in","ColUATele")</f>
        <v>#N/A</v>
      </c>
      <c r="W73" s="24" t="str">
        <f t="shared" si="8"/>
        <v>#N/A</v>
      </c>
      <c r="X73" s="222" t="str">
        <f t="shared" si="9"/>
        <v/>
      </c>
      <c r="Y73" s="222" t="str">
        <f t="shared" si="10"/>
        <v/>
      </c>
      <c r="Z73" s="224" t="str">
        <f t="shared" si="11"/>
        <v> </v>
      </c>
      <c r="AA73" s="244"/>
    </row>
    <row r="74">
      <c r="A74" s="214" t="str">
        <f>IFS($B74=FALSE,"",$B74,VLOOKUP($B74,'PATIENT DATA (072721)'!A:C, 2, 0))</f>
        <v/>
      </c>
      <c r="B74" s="215"/>
      <c r="C74" s="230" t="str">
        <f>IF(COUNTIF('PATIENT DATA (072721)'!A:A, B74)=0, "X","✓")</f>
        <v>X</v>
      </c>
      <c r="D74" s="226" t="str">
        <f>IFS($B74=FALSE,"",$B74,VLOOKUP($B74,'PATIENT DATA (072721)'!A:C, 3, 0))</f>
        <v/>
      </c>
      <c r="E74" s="218">
        <v>44573.0</v>
      </c>
      <c r="F74" s="219" t="str">
        <f>ifs($B74="","",$B74, VLOOKUP($B74&amp;$E74, 'VISIT DATA'!A:O,3,0))</f>
        <v/>
      </c>
      <c r="G74" s="231"/>
      <c r="H74" s="221" t="str">
        <f>ifs($B74="","",$B74, VLOOKUP($B74&amp;$E74, 'VISIT DATA'!$A:$O,13,0))</f>
        <v/>
      </c>
      <c r="I74" s="262" t="str">
        <f>VLOOKUP($B74&amp;$E74,'VISIT DATA'!A:J, 9, FALSE)</f>
        <v>#N/A</v>
      </c>
      <c r="J74" s="223" t="str">
        <f>VLOOKUP(B74&amp;E74,'VISIT DATA'!A:N,10,FALSE)</f>
        <v>#N/A</v>
      </c>
      <c r="K74" s="225"/>
      <c r="L74" s="224"/>
      <c r="M74" s="224"/>
      <c r="N74" s="225"/>
      <c r="O74" s="216" t="str">
        <f t="shared" si="1"/>
        <v>X</v>
      </c>
      <c r="P74" s="226" t="str">
        <f t="shared" si="2"/>
        <v>#N/A</v>
      </c>
      <c r="Q74" s="227" t="str">
        <f t="shared" si="3"/>
        <v>#N/A</v>
      </c>
      <c r="R74" s="228" t="str">
        <f t="shared" si="4"/>
        <v>#N/A</v>
      </c>
      <c r="S74" s="220" t="str">
        <f t="shared" si="5"/>
        <v>#N/A</v>
      </c>
      <c r="T74" s="220" t="str">
        <f t="shared" si="6"/>
        <v>#N/A</v>
      </c>
      <c r="U74" s="221">
        <f t="shared" si="7"/>
        <v>0</v>
      </c>
      <c r="V74" s="229" t="str">
        <f>ifs($N74="",VLOOKUP($B74&amp;$E74,'VISIT DATA'!$A$2:$J100,7,FALSE), $N74="SWAB","OUTSA-RW",$N74="SWQU","OUTSA-SaQu", AND($L74="X",$M74="X",$N74="QUEST"),"OUT-UAQPre",$N74="QUEST","OUT-UAQ", $N74="Walk in","ColUATele")</f>
        <v>#N/A</v>
      </c>
      <c r="W74" s="24" t="str">
        <f t="shared" si="8"/>
        <v>#N/A</v>
      </c>
      <c r="X74" s="222" t="str">
        <f t="shared" si="9"/>
        <v/>
      </c>
      <c r="Y74" s="222" t="str">
        <f t="shared" si="10"/>
        <v/>
      </c>
      <c r="Z74" s="224" t="str">
        <f t="shared" si="11"/>
        <v> </v>
      </c>
      <c r="AA74" s="244"/>
    </row>
    <row r="75">
      <c r="A75" s="214" t="str">
        <f>IFS($B75=FALSE,"",$B75,VLOOKUP($B75,'PATIENT DATA (072721)'!A:C, 2, 0))</f>
        <v/>
      </c>
      <c r="B75" s="215"/>
      <c r="C75" s="230" t="str">
        <f>IF(COUNTIF('PATIENT DATA (072721)'!A:A, B75)=0, "X","✓")</f>
        <v>X</v>
      </c>
      <c r="D75" s="226" t="str">
        <f>IFS($B75=FALSE,"",$B75,VLOOKUP($B75,'PATIENT DATA (072721)'!A:C, 3, 0))</f>
        <v/>
      </c>
      <c r="E75" s="218">
        <v>44573.0</v>
      </c>
      <c r="F75" s="219" t="str">
        <f>ifs($B75="","",$B75, VLOOKUP($B75&amp;$E75, 'VISIT DATA'!A:O,3,0))</f>
        <v/>
      </c>
      <c r="G75" s="231"/>
      <c r="H75" s="221" t="str">
        <f>ifs($B75="","",$B75, VLOOKUP($B75&amp;$E75, 'VISIT DATA'!$A:$O,13,0))</f>
        <v/>
      </c>
      <c r="I75" s="262" t="str">
        <f>VLOOKUP($B75&amp;$E75,'VISIT DATA'!A:J, 9, FALSE)</f>
        <v>#N/A</v>
      </c>
      <c r="J75" s="223" t="str">
        <f>VLOOKUP(B75&amp;E75,'VISIT DATA'!A:N,10,FALSE)</f>
        <v>#N/A</v>
      </c>
      <c r="K75" s="225"/>
      <c r="L75" s="224"/>
      <c r="M75" s="224"/>
      <c r="N75" s="225"/>
      <c r="O75" s="216" t="str">
        <f t="shared" si="1"/>
        <v>X</v>
      </c>
      <c r="P75" s="226" t="str">
        <f t="shared" si="2"/>
        <v>#N/A</v>
      </c>
      <c r="Q75" s="227" t="str">
        <f t="shared" si="3"/>
        <v>#N/A</v>
      </c>
      <c r="R75" s="228" t="str">
        <f t="shared" si="4"/>
        <v>#N/A</v>
      </c>
      <c r="S75" s="220" t="str">
        <f t="shared" si="5"/>
        <v>#N/A</v>
      </c>
      <c r="T75" s="220" t="str">
        <f t="shared" si="6"/>
        <v>#N/A</v>
      </c>
      <c r="U75" s="221">
        <f t="shared" si="7"/>
        <v>0</v>
      </c>
      <c r="V75" s="229" t="str">
        <f>ifs($N75="",VLOOKUP($B75&amp;$E75,'VISIT DATA'!$A$2:$J100,7,FALSE), $N75="SWAB","OUTSA-RW",$N75="SWQU","OUTSA-SaQu", AND($L75="X",$M75="X",$N75="QUEST"),"OUT-UAQPre",$N75="QUEST","OUT-UAQ", $N75="Walk in","ColUATele")</f>
        <v>#N/A</v>
      </c>
      <c r="W75" s="24" t="str">
        <f t="shared" si="8"/>
        <v>#N/A</v>
      </c>
      <c r="X75" s="222" t="str">
        <f t="shared" si="9"/>
        <v/>
      </c>
      <c r="Y75" s="222" t="str">
        <f t="shared" si="10"/>
        <v/>
      </c>
      <c r="Z75" s="224" t="str">
        <f t="shared" si="11"/>
        <v> </v>
      </c>
      <c r="AA75" s="244"/>
    </row>
    <row r="76">
      <c r="A76" s="214" t="str">
        <f>IFS($B76=FALSE,"",$B76,VLOOKUP($B76,'PATIENT DATA (072721)'!A:C, 2, 0))</f>
        <v/>
      </c>
      <c r="B76" s="215"/>
      <c r="C76" s="230" t="str">
        <f>IF(COUNTIF('PATIENT DATA (072721)'!A:A, B76)=0, "X","✓")</f>
        <v>X</v>
      </c>
      <c r="D76" s="226" t="str">
        <f>IFS($B76=FALSE,"",$B76,VLOOKUP($B76,'PATIENT DATA (072721)'!A:C, 3, 0))</f>
        <v/>
      </c>
      <c r="E76" s="218">
        <v>44573.0</v>
      </c>
      <c r="F76" s="219" t="str">
        <f>ifs($B76="","",$B76, VLOOKUP($B76&amp;$E76, 'VISIT DATA'!A:O,3,0))</f>
        <v/>
      </c>
      <c r="G76" s="231"/>
      <c r="H76" s="221" t="str">
        <f>ifs($B76="","",$B76, VLOOKUP($B76&amp;$E76, 'VISIT DATA'!$A:$O,13,0))</f>
        <v/>
      </c>
      <c r="I76" s="262" t="str">
        <f>VLOOKUP($B76&amp;$E76,'VISIT DATA'!A:J, 9, FALSE)</f>
        <v>#N/A</v>
      </c>
      <c r="J76" s="223" t="str">
        <f>VLOOKUP(B76&amp;E76,'VISIT DATA'!A:N,10,FALSE)</f>
        <v>#N/A</v>
      </c>
      <c r="K76" s="225"/>
      <c r="L76" s="224"/>
      <c r="M76" s="224"/>
      <c r="N76" s="225"/>
      <c r="O76" s="216" t="str">
        <f t="shared" si="1"/>
        <v>X</v>
      </c>
      <c r="P76" s="226" t="str">
        <f t="shared" si="2"/>
        <v>#N/A</v>
      </c>
      <c r="Q76" s="227" t="str">
        <f t="shared" si="3"/>
        <v>#N/A</v>
      </c>
      <c r="R76" s="228" t="str">
        <f t="shared" si="4"/>
        <v>#N/A</v>
      </c>
      <c r="S76" s="220" t="str">
        <f t="shared" si="5"/>
        <v>#N/A</v>
      </c>
      <c r="T76" s="220" t="str">
        <f t="shared" si="6"/>
        <v>#N/A</v>
      </c>
      <c r="U76" s="221">
        <f t="shared" si="7"/>
        <v>0</v>
      </c>
      <c r="V76" s="229" t="str">
        <f>ifs($N76="",VLOOKUP($B76&amp;$E76,'VISIT DATA'!$A$2:$J100,7,FALSE), $N76="SWAB","OUTSA-RW",$N76="SWQU","OUTSA-SaQu", AND($L76="X",$M76="X",$N76="QUEST"),"OUT-UAQPre",$N76="QUEST","OUT-UAQ", $N76="Walk in","ColUATele")</f>
        <v>#N/A</v>
      </c>
      <c r="W76" s="24" t="str">
        <f t="shared" si="8"/>
        <v>#N/A</v>
      </c>
      <c r="X76" s="222" t="str">
        <f t="shared" si="9"/>
        <v/>
      </c>
      <c r="Y76" s="222" t="str">
        <f t="shared" si="10"/>
        <v/>
      </c>
      <c r="Z76" s="224" t="str">
        <f t="shared" si="11"/>
        <v> </v>
      </c>
      <c r="AA76" s="244"/>
    </row>
    <row r="77">
      <c r="A77" s="214" t="str">
        <f>IFS($B77=FALSE,"",$B77,VLOOKUP($B77,'PATIENT DATA (072721)'!A:C, 2, 0))</f>
        <v/>
      </c>
      <c r="B77" s="215"/>
      <c r="C77" s="230" t="str">
        <f>IF(COUNTIF('PATIENT DATA (072721)'!A:A, B77)=0, "X","✓")</f>
        <v>X</v>
      </c>
      <c r="D77" s="226" t="str">
        <f>IFS($B77=FALSE,"",$B77,VLOOKUP($B77,'PATIENT DATA (072721)'!A:C, 3, 0))</f>
        <v/>
      </c>
      <c r="E77" s="218">
        <v>44573.0</v>
      </c>
      <c r="F77" s="219" t="str">
        <f>ifs($B77="","",$B77, VLOOKUP($B77&amp;$E77, 'VISIT DATA'!A:O,3,0))</f>
        <v/>
      </c>
      <c r="G77" s="231"/>
      <c r="H77" s="221" t="str">
        <f>ifs($B77="","",$B77, VLOOKUP($B77&amp;$E77, 'VISIT DATA'!$A:$O,13,0))</f>
        <v/>
      </c>
      <c r="I77" s="262" t="str">
        <f>VLOOKUP($B77&amp;$E77,'VISIT DATA'!A:J, 9, FALSE)</f>
        <v>#N/A</v>
      </c>
      <c r="J77" s="223" t="str">
        <f>VLOOKUP(B77&amp;E77,'VISIT DATA'!A:N,10,FALSE)</f>
        <v>#N/A</v>
      </c>
      <c r="K77" s="225"/>
      <c r="L77" s="224"/>
      <c r="M77" s="224"/>
      <c r="N77" s="225"/>
      <c r="O77" s="216" t="str">
        <f t="shared" si="1"/>
        <v>X</v>
      </c>
      <c r="P77" s="226" t="str">
        <f t="shared" si="2"/>
        <v>#N/A</v>
      </c>
      <c r="Q77" s="227" t="str">
        <f t="shared" si="3"/>
        <v>#N/A</v>
      </c>
      <c r="R77" s="228" t="str">
        <f t="shared" si="4"/>
        <v>#N/A</v>
      </c>
      <c r="S77" s="220" t="str">
        <f t="shared" si="5"/>
        <v>#N/A</v>
      </c>
      <c r="T77" s="220" t="str">
        <f t="shared" si="6"/>
        <v>#N/A</v>
      </c>
      <c r="U77" s="221">
        <f t="shared" si="7"/>
        <v>0</v>
      </c>
      <c r="V77" s="229" t="str">
        <f>ifs($N77="",VLOOKUP($B77&amp;$E77,'VISIT DATA'!$A$2:$J100,7,FALSE), $N77="SWAB","OUTSA-RW",$N77="SWQU","OUTSA-SaQu", AND($L77="X",$M77="X",$N77="QUEST"),"OUT-UAQPre",$N77="QUEST","OUT-UAQ", $N77="Walk in","ColUATele")</f>
        <v>#N/A</v>
      </c>
      <c r="W77" s="24" t="str">
        <f t="shared" si="8"/>
        <v>#N/A</v>
      </c>
      <c r="X77" s="222" t="str">
        <f t="shared" si="9"/>
        <v/>
      </c>
      <c r="Y77" s="222" t="str">
        <f t="shared" si="10"/>
        <v/>
      </c>
      <c r="Z77" s="224" t="str">
        <f t="shared" si="11"/>
        <v> </v>
      </c>
      <c r="AA77" s="244"/>
    </row>
    <row r="78">
      <c r="A78" s="214" t="str">
        <f>IFS($B78=FALSE,"",$B78,VLOOKUP($B78,'PATIENT DATA (072721)'!A:C, 2, 0))</f>
        <v/>
      </c>
      <c r="B78" s="215"/>
      <c r="C78" s="230" t="str">
        <f>IF(COUNTIF('PATIENT DATA (072721)'!A:A, B78)=0, "X","✓")</f>
        <v>X</v>
      </c>
      <c r="D78" s="226" t="str">
        <f>IFS($B78=FALSE,"",$B78,VLOOKUP($B78,'PATIENT DATA (072721)'!A:C, 3, 0))</f>
        <v/>
      </c>
      <c r="E78" s="218">
        <v>44573.0</v>
      </c>
      <c r="F78" s="219" t="str">
        <f>ifs($B78="","",$B78, VLOOKUP($B78&amp;$E78, 'VISIT DATA'!A:O,3,0))</f>
        <v/>
      </c>
      <c r="G78" s="231"/>
      <c r="H78" s="221" t="str">
        <f>ifs($B78="","",$B78, VLOOKUP($B78&amp;$E78, 'VISIT DATA'!$A:$O,13,0))</f>
        <v/>
      </c>
      <c r="I78" s="262" t="str">
        <f>VLOOKUP($B78&amp;$E78,'VISIT DATA'!A:J, 9, FALSE)</f>
        <v>#N/A</v>
      </c>
      <c r="J78" s="223" t="str">
        <f>VLOOKUP(B78&amp;E78,'VISIT DATA'!A:N,10,FALSE)</f>
        <v>#N/A</v>
      </c>
      <c r="K78" s="225"/>
      <c r="L78" s="224"/>
      <c r="M78" s="224"/>
      <c r="N78" s="225"/>
      <c r="O78" s="216" t="str">
        <f t="shared" si="1"/>
        <v>X</v>
      </c>
      <c r="P78" s="226" t="str">
        <f t="shared" si="2"/>
        <v>#N/A</v>
      </c>
      <c r="Q78" s="227" t="str">
        <f t="shared" si="3"/>
        <v>#N/A</v>
      </c>
      <c r="R78" s="228" t="str">
        <f t="shared" si="4"/>
        <v>#N/A</v>
      </c>
      <c r="S78" s="220" t="str">
        <f t="shared" si="5"/>
        <v>#N/A</v>
      </c>
      <c r="T78" s="220" t="str">
        <f t="shared" si="6"/>
        <v>#N/A</v>
      </c>
      <c r="U78" s="221">
        <f t="shared" si="7"/>
        <v>0</v>
      </c>
      <c r="V78" s="229" t="str">
        <f>ifs($N78="",VLOOKUP($B78&amp;$E78,'VISIT DATA'!$A$2:$J100,7,FALSE), $N78="SWAB","OUTSA-RW",$N78="SWQU","OUTSA-SaQu", AND($L78="X",$M78="X",$N78="QUEST"),"OUT-UAQPre",$N78="QUEST","OUT-UAQ", $N78="Walk in","ColUATele")</f>
        <v>#N/A</v>
      </c>
      <c r="W78" s="24" t="str">
        <f t="shared" si="8"/>
        <v>#N/A</v>
      </c>
      <c r="X78" s="222" t="str">
        <f t="shared" si="9"/>
        <v/>
      </c>
      <c r="Y78" s="222" t="str">
        <f t="shared" si="10"/>
        <v/>
      </c>
      <c r="Z78" s="224" t="str">
        <f t="shared" si="11"/>
        <v> </v>
      </c>
      <c r="AA78" s="244"/>
    </row>
    <row r="79">
      <c r="A79" s="214" t="str">
        <f>IFS($B79=FALSE,"",$B79,VLOOKUP($B79,'PATIENT DATA (072721)'!A:C, 2, 0))</f>
        <v/>
      </c>
      <c r="B79" s="215"/>
      <c r="C79" s="230" t="str">
        <f>IF(COUNTIF('PATIENT DATA (072721)'!A:A, B79)=0, "X","✓")</f>
        <v>X</v>
      </c>
      <c r="D79" s="226" t="str">
        <f>IFS($B79=FALSE,"",$B79,VLOOKUP($B79,'PATIENT DATA (072721)'!A:C, 3, 0))</f>
        <v/>
      </c>
      <c r="E79" s="218">
        <v>44573.0</v>
      </c>
      <c r="F79" s="219" t="str">
        <f>ifs($B79="","",$B79, VLOOKUP($B79&amp;$E79, 'VISIT DATA'!A:O,3,0))</f>
        <v/>
      </c>
      <c r="G79" s="231"/>
      <c r="H79" s="221" t="str">
        <f>ifs($B79="","",$B79, VLOOKUP($B79&amp;$E79, 'VISIT DATA'!$A:$O,13,0))</f>
        <v/>
      </c>
      <c r="I79" s="262" t="str">
        <f>VLOOKUP($B79&amp;$E79,'VISIT DATA'!A:J, 9, FALSE)</f>
        <v>#N/A</v>
      </c>
      <c r="J79" s="223" t="str">
        <f>VLOOKUP(B79&amp;E79,'VISIT DATA'!A:N,10,FALSE)</f>
        <v>#N/A</v>
      </c>
      <c r="K79" s="225"/>
      <c r="L79" s="224"/>
      <c r="M79" s="224"/>
      <c r="N79" s="225"/>
      <c r="O79" s="216" t="str">
        <f t="shared" si="1"/>
        <v>X</v>
      </c>
      <c r="P79" s="226" t="str">
        <f t="shared" si="2"/>
        <v>#N/A</v>
      </c>
      <c r="Q79" s="227" t="str">
        <f t="shared" si="3"/>
        <v>#N/A</v>
      </c>
      <c r="R79" s="228" t="str">
        <f t="shared" si="4"/>
        <v>#N/A</v>
      </c>
      <c r="S79" s="220" t="str">
        <f t="shared" si="5"/>
        <v>#N/A</v>
      </c>
      <c r="T79" s="220" t="str">
        <f t="shared" si="6"/>
        <v>#N/A</v>
      </c>
      <c r="U79" s="221">
        <f t="shared" si="7"/>
        <v>0</v>
      </c>
      <c r="V79" s="229" t="str">
        <f>ifs($N79="",VLOOKUP($B79&amp;$E79,'VISIT DATA'!$A$2:$J100,7,FALSE), $N79="SWAB","OUTSA-RW",$N79="SWQU","OUTSA-SaQu", AND($L79="X",$M79="X",$N79="QUEST"),"OUT-UAQPre",$N79="QUEST","OUT-UAQ", $N79="Walk in","ColUATele")</f>
        <v>#N/A</v>
      </c>
      <c r="W79" s="24" t="str">
        <f t="shared" si="8"/>
        <v>#N/A</v>
      </c>
      <c r="X79" s="222" t="str">
        <f t="shared" si="9"/>
        <v/>
      </c>
      <c r="Y79" s="222" t="str">
        <f t="shared" si="10"/>
        <v/>
      </c>
      <c r="Z79" s="224" t="str">
        <f t="shared" si="11"/>
        <v> </v>
      </c>
      <c r="AA79" s="244"/>
    </row>
    <row r="80">
      <c r="A80" s="214" t="str">
        <f>IFS($B80=FALSE,"",$B80,VLOOKUP($B80,'PATIENT DATA (072721)'!A:C, 2, 0))</f>
        <v/>
      </c>
      <c r="B80" s="215"/>
      <c r="C80" s="230" t="str">
        <f>IF(COUNTIF('PATIENT DATA (072721)'!A:A, B80)=0, "X","✓")</f>
        <v>X</v>
      </c>
      <c r="D80" s="226" t="str">
        <f>IFS($B80=FALSE,"",$B80,VLOOKUP($B80,'PATIENT DATA (072721)'!A:C, 3, 0))</f>
        <v/>
      </c>
      <c r="E80" s="218">
        <v>44573.0</v>
      </c>
      <c r="F80" s="219" t="str">
        <f>ifs($B80="","",$B80, VLOOKUP($B80&amp;$E80, 'VISIT DATA'!A:O,3,0))</f>
        <v/>
      </c>
      <c r="G80" s="231"/>
      <c r="H80" s="221" t="str">
        <f>ifs($B80="","",$B80, VLOOKUP($B80&amp;$E80, 'VISIT DATA'!$A:$O,13,0))</f>
        <v/>
      </c>
      <c r="I80" s="262" t="str">
        <f>VLOOKUP($B80&amp;$E80,'VISIT DATA'!A:J, 9, FALSE)</f>
        <v>#N/A</v>
      </c>
      <c r="J80" s="223" t="str">
        <f>VLOOKUP(B80&amp;E80,'VISIT DATA'!A:N,10,FALSE)</f>
        <v>#N/A</v>
      </c>
      <c r="K80" s="225"/>
      <c r="L80" s="224"/>
      <c r="M80" s="224"/>
      <c r="N80" s="225"/>
      <c r="O80" s="216" t="str">
        <f t="shared" si="1"/>
        <v>X</v>
      </c>
      <c r="P80" s="226" t="str">
        <f t="shared" si="2"/>
        <v>#N/A</v>
      </c>
      <c r="Q80" s="227" t="str">
        <f t="shared" si="3"/>
        <v>#N/A</v>
      </c>
      <c r="R80" s="228" t="str">
        <f t="shared" si="4"/>
        <v>#N/A</v>
      </c>
      <c r="S80" s="220" t="str">
        <f t="shared" si="5"/>
        <v>#N/A</v>
      </c>
      <c r="T80" s="220" t="str">
        <f t="shared" si="6"/>
        <v>#N/A</v>
      </c>
      <c r="U80" s="221">
        <f t="shared" si="7"/>
        <v>0</v>
      </c>
      <c r="V80" s="229" t="str">
        <f>ifs($N80="",VLOOKUP($B80&amp;$E80,'VISIT DATA'!$A$2:$J100,7,FALSE), $N80="SWAB","OUTSA-RW",$N80="SWQU","OUTSA-SaQu", AND($L80="X",$M80="X",$N80="QUEST"),"OUT-UAQPre",$N80="QUEST","OUT-UAQ", $N80="Walk in","ColUATele")</f>
        <v>#N/A</v>
      </c>
      <c r="W80" s="24" t="str">
        <f t="shared" si="8"/>
        <v>#N/A</v>
      </c>
      <c r="X80" s="222" t="str">
        <f t="shared" si="9"/>
        <v/>
      </c>
      <c r="Y80" s="222" t="str">
        <f t="shared" si="10"/>
        <v/>
      </c>
      <c r="Z80" s="224" t="str">
        <f t="shared" si="11"/>
        <v> </v>
      </c>
      <c r="AA80" s="244"/>
    </row>
    <row r="81">
      <c r="A81" s="214" t="str">
        <f>IFS($B81=FALSE,"",$B81,VLOOKUP($B81,'PATIENT DATA (072721)'!A:C, 2, 0))</f>
        <v/>
      </c>
      <c r="B81" s="215"/>
      <c r="C81" s="230" t="str">
        <f>IF(COUNTIF('PATIENT DATA (072721)'!A:A, B81)=0, "X","✓")</f>
        <v>X</v>
      </c>
      <c r="D81" s="226" t="str">
        <f>IFS($B81=FALSE,"",$B81,VLOOKUP($B81,'PATIENT DATA (072721)'!A:C, 3, 0))</f>
        <v/>
      </c>
      <c r="E81" s="218">
        <v>44573.0</v>
      </c>
      <c r="F81" s="219" t="str">
        <f>ifs($B81="","",$B81, VLOOKUP($B81&amp;$E81, 'VISIT DATA'!A:O,3,0))</f>
        <v/>
      </c>
      <c r="G81" s="231"/>
      <c r="H81" s="221" t="str">
        <f>ifs($B81="","",$B81, VLOOKUP($B81&amp;$E81, 'VISIT DATA'!$A:$O,13,0))</f>
        <v/>
      </c>
      <c r="I81" s="262" t="str">
        <f>VLOOKUP($B81&amp;$E81,'VISIT DATA'!A:J, 9, FALSE)</f>
        <v>#N/A</v>
      </c>
      <c r="J81" s="223" t="str">
        <f>VLOOKUP(B81&amp;E81,'VISIT DATA'!A:N,10,FALSE)</f>
        <v>#N/A</v>
      </c>
      <c r="K81" s="225"/>
      <c r="L81" s="224"/>
      <c r="M81" s="224"/>
      <c r="N81" s="225"/>
      <c r="O81" s="216" t="str">
        <f t="shared" si="1"/>
        <v>X</v>
      </c>
      <c r="P81" s="226" t="str">
        <f t="shared" si="2"/>
        <v>#N/A</v>
      </c>
      <c r="Q81" s="227" t="str">
        <f t="shared" si="3"/>
        <v>#N/A</v>
      </c>
      <c r="R81" s="228" t="str">
        <f t="shared" si="4"/>
        <v>#N/A</v>
      </c>
      <c r="S81" s="220" t="str">
        <f t="shared" si="5"/>
        <v>#N/A</v>
      </c>
      <c r="T81" s="220" t="str">
        <f t="shared" si="6"/>
        <v>#N/A</v>
      </c>
      <c r="U81" s="221">
        <f t="shared" si="7"/>
        <v>0</v>
      </c>
      <c r="V81" s="229" t="str">
        <f>ifs($N81="",VLOOKUP($B81&amp;$E81,'VISIT DATA'!$A$2:$J100,7,FALSE), $N81="SWAB","OUTSA-RW",$N81="SWQU","OUTSA-SaQu", AND($L81="X",$M81="X",$N81="QUEST"),"OUT-UAQPre",$N81="QUEST","OUT-UAQ", $N81="Walk in","ColUATele")</f>
        <v>#N/A</v>
      </c>
      <c r="W81" s="24" t="str">
        <f t="shared" si="8"/>
        <v>#N/A</v>
      </c>
      <c r="X81" s="222" t="str">
        <f t="shared" si="9"/>
        <v/>
      </c>
      <c r="Y81" s="222" t="str">
        <f t="shared" si="10"/>
        <v/>
      </c>
      <c r="Z81" s="224" t="str">
        <f t="shared" si="11"/>
        <v> </v>
      </c>
      <c r="AA81" s="244"/>
    </row>
    <row r="82">
      <c r="A82" s="214" t="str">
        <f>IFS($B82=FALSE,"",$B82,VLOOKUP($B82,'PATIENT DATA (072721)'!A:C, 2, 0))</f>
        <v/>
      </c>
      <c r="B82" s="215"/>
      <c r="C82" s="230" t="str">
        <f>IF(COUNTIF('PATIENT DATA (072721)'!A:A, B82)=0, "X","✓")</f>
        <v>X</v>
      </c>
      <c r="D82" s="226" t="str">
        <f>IFS($B82=FALSE,"",$B82,VLOOKUP($B82,'PATIENT DATA (072721)'!A:C, 3, 0))</f>
        <v/>
      </c>
      <c r="E82" s="218">
        <v>44573.0</v>
      </c>
      <c r="F82" s="219" t="str">
        <f>ifs($B82="","",$B82, VLOOKUP($B82&amp;$E82, 'VISIT DATA'!A:O,3,0))</f>
        <v/>
      </c>
      <c r="G82" s="231"/>
      <c r="H82" s="221" t="str">
        <f>ifs($B82="","",$B82, VLOOKUP($B82&amp;$E82, 'VISIT DATA'!$A:$O,13,0))</f>
        <v/>
      </c>
      <c r="I82" s="262" t="str">
        <f>VLOOKUP($B82&amp;$E82,'VISIT DATA'!A:J, 9, FALSE)</f>
        <v>#N/A</v>
      </c>
      <c r="J82" s="223" t="str">
        <f>VLOOKUP(B82&amp;E82,'VISIT DATA'!A:N,10,FALSE)</f>
        <v>#N/A</v>
      </c>
      <c r="K82" s="225"/>
      <c r="L82" s="224"/>
      <c r="M82" s="224"/>
      <c r="N82" s="225"/>
      <c r="O82" s="216" t="str">
        <f t="shared" si="1"/>
        <v>X</v>
      </c>
      <c r="P82" s="226" t="str">
        <f t="shared" si="2"/>
        <v>#N/A</v>
      </c>
      <c r="Q82" s="227" t="str">
        <f t="shared" si="3"/>
        <v>#N/A</v>
      </c>
      <c r="R82" s="228" t="str">
        <f t="shared" si="4"/>
        <v>#N/A</v>
      </c>
      <c r="S82" s="220" t="str">
        <f t="shared" si="5"/>
        <v>#N/A</v>
      </c>
      <c r="T82" s="220" t="str">
        <f t="shared" si="6"/>
        <v>#N/A</v>
      </c>
      <c r="U82" s="221">
        <f t="shared" si="7"/>
        <v>0</v>
      </c>
      <c r="V82" s="229" t="str">
        <f>ifs($N82="",VLOOKUP($B82&amp;$E82,'VISIT DATA'!$A$2:$J100,7,FALSE), $N82="SWAB","OUTSA-RW",$N82="SWQU","OUTSA-SaQu", AND($L82="X",$M82="X",$N82="QUEST"),"OUT-UAQPre",$N82="QUEST","OUT-UAQ", $N82="Walk in","ColUATele")</f>
        <v>#N/A</v>
      </c>
      <c r="W82" s="24" t="str">
        <f t="shared" si="8"/>
        <v>#N/A</v>
      </c>
      <c r="X82" s="222" t="str">
        <f t="shared" si="9"/>
        <v/>
      </c>
      <c r="Y82" s="222" t="str">
        <f t="shared" si="10"/>
        <v/>
      </c>
      <c r="Z82" s="224" t="str">
        <f t="shared" si="11"/>
        <v> </v>
      </c>
      <c r="AA82" s="244"/>
    </row>
    <row r="83">
      <c r="A83" s="214" t="str">
        <f>IFS($B83=FALSE,"",$B83,VLOOKUP($B83,'PATIENT DATA (072721)'!A:C, 2, 0))</f>
        <v/>
      </c>
      <c r="B83" s="215"/>
      <c r="C83" s="230" t="str">
        <f>IF(COUNTIF('PATIENT DATA (072721)'!A:A, B83)=0, "X","✓")</f>
        <v>X</v>
      </c>
      <c r="D83" s="226" t="str">
        <f>IFS($B83=FALSE,"",$B83,VLOOKUP($B83,'PATIENT DATA (072721)'!A:C, 3, 0))</f>
        <v/>
      </c>
      <c r="E83" s="218">
        <v>44573.0</v>
      </c>
      <c r="F83" s="219" t="str">
        <f>ifs($B83="","",$B83, VLOOKUP($B83&amp;$E83, 'VISIT DATA'!A:O,3,0))</f>
        <v/>
      </c>
      <c r="G83" s="231"/>
      <c r="H83" s="221" t="str">
        <f>ifs($B83="","",$B83, VLOOKUP($B83&amp;$E83, 'VISIT DATA'!$A:$O,13,0))</f>
        <v/>
      </c>
      <c r="I83" s="262" t="str">
        <f>VLOOKUP($B83&amp;$E83,'VISIT DATA'!A:J, 9, FALSE)</f>
        <v>#N/A</v>
      </c>
      <c r="J83" s="223" t="str">
        <f>VLOOKUP(B83&amp;E83,'VISIT DATA'!A:N,10,FALSE)</f>
        <v>#N/A</v>
      </c>
      <c r="K83" s="225"/>
      <c r="L83" s="224"/>
      <c r="M83" s="224"/>
      <c r="N83" s="225"/>
      <c r="O83" s="216" t="str">
        <f t="shared" si="1"/>
        <v>X</v>
      </c>
      <c r="P83" s="226" t="str">
        <f t="shared" si="2"/>
        <v>#N/A</v>
      </c>
      <c r="Q83" s="227" t="str">
        <f t="shared" si="3"/>
        <v>#N/A</v>
      </c>
      <c r="R83" s="228" t="str">
        <f t="shared" si="4"/>
        <v>#N/A</v>
      </c>
      <c r="S83" s="220" t="str">
        <f t="shared" si="5"/>
        <v>#N/A</v>
      </c>
      <c r="T83" s="220" t="str">
        <f t="shared" si="6"/>
        <v>#N/A</v>
      </c>
      <c r="U83" s="221">
        <f t="shared" si="7"/>
        <v>0</v>
      </c>
      <c r="V83" s="229" t="str">
        <f>ifs($N83="",VLOOKUP($B83&amp;$E83,'VISIT DATA'!$A$2:$J100,7,FALSE), $N83="SWAB","OUTSA-RW",$N83="SWQU","OUTSA-SaQu", AND($L83="X",$M83="X",$N83="QUEST"),"OUT-UAQPre",$N83="QUEST","OUT-UAQ", $N83="Walk in","ColUATele")</f>
        <v>#N/A</v>
      </c>
      <c r="W83" s="24" t="str">
        <f t="shared" si="8"/>
        <v>#N/A</v>
      </c>
      <c r="X83" s="222" t="str">
        <f t="shared" si="9"/>
        <v/>
      </c>
      <c r="Y83" s="222" t="str">
        <f t="shared" si="10"/>
        <v/>
      </c>
      <c r="Z83" s="224" t="str">
        <f t="shared" si="11"/>
        <v> </v>
      </c>
      <c r="AA83" s="244"/>
    </row>
    <row r="84">
      <c r="A84" s="214" t="str">
        <f>IFS($B84=FALSE,"",$B84,VLOOKUP($B84,'PATIENT DATA (072721)'!A:C, 2, 0))</f>
        <v/>
      </c>
      <c r="B84" s="215"/>
      <c r="C84" s="230" t="str">
        <f>IF(COUNTIF('PATIENT DATA (072721)'!A:A, B84)=0, "X","✓")</f>
        <v>X</v>
      </c>
      <c r="D84" s="226" t="str">
        <f>IFS($B84=FALSE,"",$B84,VLOOKUP($B84,'PATIENT DATA (072721)'!A:C, 3, 0))</f>
        <v/>
      </c>
      <c r="E84" s="218">
        <v>44573.0</v>
      </c>
      <c r="F84" s="219" t="str">
        <f>ifs($B84="","",$B84, VLOOKUP($B84&amp;$E84, 'VISIT DATA'!A:O,3,0))</f>
        <v/>
      </c>
      <c r="G84" s="231"/>
      <c r="H84" s="221" t="str">
        <f>ifs($B84="","",$B84, VLOOKUP($B84&amp;$E84, 'VISIT DATA'!$A:$O,13,0))</f>
        <v/>
      </c>
      <c r="I84" s="262" t="str">
        <f>VLOOKUP($B84&amp;$E84,'VISIT DATA'!A:J, 9, FALSE)</f>
        <v>#N/A</v>
      </c>
      <c r="J84" s="223" t="str">
        <f>VLOOKUP(B84&amp;E84,'VISIT DATA'!A:N,10,FALSE)</f>
        <v>#N/A</v>
      </c>
      <c r="K84" s="225"/>
      <c r="L84" s="224"/>
      <c r="M84" s="224"/>
      <c r="N84" s="225"/>
      <c r="O84" s="216" t="str">
        <f t="shared" si="1"/>
        <v>X</v>
      </c>
      <c r="P84" s="226" t="str">
        <f t="shared" si="2"/>
        <v>#N/A</v>
      </c>
      <c r="Q84" s="227" t="str">
        <f t="shared" si="3"/>
        <v>#N/A</v>
      </c>
      <c r="R84" s="228" t="str">
        <f t="shared" si="4"/>
        <v>#N/A</v>
      </c>
      <c r="S84" s="220" t="str">
        <f t="shared" si="5"/>
        <v>#N/A</v>
      </c>
      <c r="T84" s="220" t="str">
        <f t="shared" si="6"/>
        <v>#N/A</v>
      </c>
      <c r="U84" s="221">
        <f t="shared" si="7"/>
        <v>0</v>
      </c>
      <c r="V84" s="229" t="str">
        <f>ifs($N84="",VLOOKUP($B84&amp;$E84,'VISIT DATA'!$A$2:$J100,7,FALSE), $N84="SWAB","OUTSA-RW",$N84="SWQU","OUTSA-SaQu", AND($L84="X",$M84="X",$N84="QUEST"),"OUT-UAQPre",$N84="QUEST","OUT-UAQ", $N84="Walk in","ColUATele")</f>
        <v>#N/A</v>
      </c>
      <c r="W84" s="24" t="str">
        <f t="shared" si="8"/>
        <v>#N/A</v>
      </c>
      <c r="X84" s="222" t="str">
        <f t="shared" si="9"/>
        <v/>
      </c>
      <c r="Y84" s="222" t="str">
        <f t="shared" si="10"/>
        <v/>
      </c>
      <c r="Z84" s="224" t="str">
        <f t="shared" si="11"/>
        <v> </v>
      </c>
      <c r="AA84" s="244"/>
    </row>
    <row r="85">
      <c r="A85" s="214" t="str">
        <f>IFS($B85=FALSE,"",$B85,VLOOKUP($B85,'PATIENT DATA (072721)'!A:C, 2, 0))</f>
        <v/>
      </c>
      <c r="B85" s="215"/>
      <c r="C85" s="230" t="str">
        <f>IF(COUNTIF('PATIENT DATA (072721)'!A:A, B85)=0, "X","✓")</f>
        <v>X</v>
      </c>
      <c r="D85" s="226" t="str">
        <f>IFS($B85=FALSE,"",$B85,VLOOKUP($B85,'PATIENT DATA (072721)'!A:C, 3, 0))</f>
        <v/>
      </c>
      <c r="E85" s="218">
        <v>44573.0</v>
      </c>
      <c r="F85" s="219" t="str">
        <f>ifs($B85="","",$B85, VLOOKUP($B85&amp;$E85, 'VISIT DATA'!A:O,3,0))</f>
        <v/>
      </c>
      <c r="G85" s="231"/>
      <c r="H85" s="221" t="str">
        <f>ifs($B85="","",$B85, VLOOKUP($B85&amp;$E85, 'VISIT DATA'!$A:$O,13,0))</f>
        <v/>
      </c>
      <c r="I85" s="262" t="str">
        <f>VLOOKUP($B85&amp;$E85,'VISIT DATA'!A:J, 9, FALSE)</f>
        <v>#N/A</v>
      </c>
      <c r="J85" s="223" t="str">
        <f>VLOOKUP(B85&amp;E85,'VISIT DATA'!A:N,10,FALSE)</f>
        <v>#N/A</v>
      </c>
      <c r="K85" s="225"/>
      <c r="L85" s="224"/>
      <c r="M85" s="224"/>
      <c r="N85" s="225"/>
      <c r="O85" s="216" t="str">
        <f t="shared" si="1"/>
        <v>X</v>
      </c>
      <c r="P85" s="226" t="str">
        <f t="shared" si="2"/>
        <v>#N/A</v>
      </c>
      <c r="Q85" s="227" t="str">
        <f t="shared" si="3"/>
        <v>#N/A</v>
      </c>
      <c r="R85" s="228" t="str">
        <f t="shared" si="4"/>
        <v>#N/A</v>
      </c>
      <c r="S85" s="220" t="str">
        <f t="shared" si="5"/>
        <v>#N/A</v>
      </c>
      <c r="T85" s="220" t="str">
        <f t="shared" si="6"/>
        <v>#N/A</v>
      </c>
      <c r="U85" s="221">
        <f t="shared" si="7"/>
        <v>0</v>
      </c>
      <c r="V85" s="229" t="str">
        <f>ifs($N85="",VLOOKUP($B85&amp;$E85,'VISIT DATA'!$A$2:$J100,7,FALSE), $N85="SWAB","OUTSA-RW",$N85="SWQU","OUTSA-SaQu", AND($L85="X",$M85="X",$N85="QUEST"),"OUT-UAQPre",$N85="QUEST","OUT-UAQ", $N85="Walk in","ColUATele")</f>
        <v>#N/A</v>
      </c>
      <c r="W85" s="24" t="str">
        <f t="shared" si="8"/>
        <v>#N/A</v>
      </c>
      <c r="X85" s="222" t="str">
        <f t="shared" si="9"/>
        <v/>
      </c>
      <c r="Y85" s="222" t="str">
        <f t="shared" si="10"/>
        <v/>
      </c>
      <c r="Z85" s="224" t="str">
        <f t="shared" si="11"/>
        <v> </v>
      </c>
      <c r="AA85" s="244"/>
    </row>
    <row r="86">
      <c r="A86" s="214" t="str">
        <f>IFS($B86=FALSE,"",$B86,VLOOKUP($B86,'PATIENT DATA (072721)'!A:C, 2, 0))</f>
        <v/>
      </c>
      <c r="B86" s="215"/>
      <c r="C86" s="230" t="str">
        <f>IF(COUNTIF('PATIENT DATA (072721)'!A:A, B86)=0, "X","✓")</f>
        <v>X</v>
      </c>
      <c r="D86" s="226" t="str">
        <f>IFS($B86=FALSE,"",$B86,VLOOKUP($B86,'PATIENT DATA (072721)'!A:C, 3, 0))</f>
        <v/>
      </c>
      <c r="E86" s="218">
        <v>44573.0</v>
      </c>
      <c r="F86" s="219" t="str">
        <f>ifs($B86="","",$B86, VLOOKUP($B86&amp;$E86, 'VISIT DATA'!A:O,3,0))</f>
        <v/>
      </c>
      <c r="G86" s="231"/>
      <c r="H86" s="221" t="str">
        <f>ifs($B86="","",$B86, VLOOKUP($B86&amp;$E86, 'VISIT DATA'!$A:$O,13,0))</f>
        <v/>
      </c>
      <c r="I86" s="262" t="str">
        <f>VLOOKUP($B86&amp;$E86,'VISIT DATA'!A:J, 9, FALSE)</f>
        <v>#N/A</v>
      </c>
      <c r="J86" s="223" t="str">
        <f>VLOOKUP(B86&amp;E86,'VISIT DATA'!A:N,10,FALSE)</f>
        <v>#N/A</v>
      </c>
      <c r="K86" s="225"/>
      <c r="L86" s="224"/>
      <c r="M86" s="224"/>
      <c r="N86" s="225"/>
      <c r="O86" s="216" t="str">
        <f t="shared" si="1"/>
        <v>X</v>
      </c>
      <c r="P86" s="226" t="str">
        <f t="shared" si="2"/>
        <v>#N/A</v>
      </c>
      <c r="Q86" s="227" t="str">
        <f t="shared" si="3"/>
        <v>#N/A</v>
      </c>
      <c r="R86" s="228" t="str">
        <f t="shared" si="4"/>
        <v>#N/A</v>
      </c>
      <c r="S86" s="220" t="str">
        <f t="shared" si="5"/>
        <v>#N/A</v>
      </c>
      <c r="T86" s="220" t="str">
        <f t="shared" si="6"/>
        <v>#N/A</v>
      </c>
      <c r="U86" s="221">
        <f t="shared" si="7"/>
        <v>0</v>
      </c>
      <c r="V86" s="229" t="str">
        <f>ifs($N86="",VLOOKUP($B86&amp;$E86,'VISIT DATA'!$A$2:$J100,7,FALSE), $N86="SWAB","OUTSA-RW",$N86="SWQU","OUTSA-SaQu", AND($L86="X",$M86="X",$N86="QUEST"),"OUT-UAQPre",$N86="QUEST","OUT-UAQ", $N86="Walk in","ColUATele")</f>
        <v>#N/A</v>
      </c>
      <c r="W86" s="24" t="str">
        <f t="shared" si="8"/>
        <v>#N/A</v>
      </c>
      <c r="X86" s="222" t="str">
        <f t="shared" si="9"/>
        <v/>
      </c>
      <c r="Y86" s="222" t="str">
        <f t="shared" si="10"/>
        <v/>
      </c>
      <c r="Z86" s="224" t="str">
        <f t="shared" si="11"/>
        <v> </v>
      </c>
      <c r="AA86" s="244"/>
    </row>
    <row r="87">
      <c r="A87" s="214" t="str">
        <f>IFS($B87=FALSE,"",$B87,VLOOKUP($B87,'PATIENT DATA (072721)'!A:C, 2, 0))</f>
        <v/>
      </c>
      <c r="B87" s="215"/>
      <c r="C87" s="230" t="str">
        <f>IF(COUNTIF('PATIENT DATA (072721)'!A:A, B87)=0, "X","✓")</f>
        <v>X</v>
      </c>
      <c r="D87" s="226" t="str">
        <f>IFS($B87=FALSE,"",$B87,VLOOKUP($B87,'PATIENT DATA (072721)'!A:C, 3, 0))</f>
        <v/>
      </c>
      <c r="E87" s="218">
        <v>44573.0</v>
      </c>
      <c r="F87" s="219" t="str">
        <f>ifs($B87="","",$B87, VLOOKUP($B87&amp;$E87, 'VISIT DATA'!A:O,3,0))</f>
        <v/>
      </c>
      <c r="G87" s="231"/>
      <c r="H87" s="221" t="str">
        <f>ifs($B87="","",$B87, VLOOKUP($B87&amp;$E87, 'VISIT DATA'!$A:$O,13,0))</f>
        <v/>
      </c>
      <c r="I87" s="262" t="str">
        <f>VLOOKUP($B87&amp;$E87,'VISIT DATA'!A:J, 9, FALSE)</f>
        <v>#N/A</v>
      </c>
      <c r="J87" s="223" t="str">
        <f>VLOOKUP(B87&amp;E87,'VISIT DATA'!A:N,10,FALSE)</f>
        <v>#N/A</v>
      </c>
      <c r="K87" s="225"/>
      <c r="L87" s="224"/>
      <c r="M87" s="224"/>
      <c r="N87" s="225"/>
      <c r="O87" s="216" t="str">
        <f t="shared" si="1"/>
        <v>X</v>
      </c>
      <c r="P87" s="226" t="str">
        <f t="shared" si="2"/>
        <v>#N/A</v>
      </c>
      <c r="Q87" s="227" t="str">
        <f t="shared" si="3"/>
        <v>#N/A</v>
      </c>
      <c r="R87" s="228" t="str">
        <f t="shared" si="4"/>
        <v>#N/A</v>
      </c>
      <c r="S87" s="220" t="str">
        <f t="shared" si="5"/>
        <v>#N/A</v>
      </c>
      <c r="T87" s="220" t="str">
        <f t="shared" si="6"/>
        <v>#N/A</v>
      </c>
      <c r="U87" s="221">
        <f t="shared" si="7"/>
        <v>0</v>
      </c>
      <c r="V87" s="229" t="str">
        <f>ifs($N87="",VLOOKUP($B87&amp;$E87,'VISIT DATA'!$A$2:$J100,7,FALSE), $N87="SWAB","OUTSA-RW",$N87="SWQU","OUTSA-SaQu", AND($L87="X",$M87="X",$N87="QUEST"),"OUT-UAQPre",$N87="QUEST","OUT-UAQ", $N87="Walk in","ColUATele")</f>
        <v>#N/A</v>
      </c>
      <c r="W87" s="24" t="str">
        <f t="shared" si="8"/>
        <v>#N/A</v>
      </c>
      <c r="X87" s="222" t="str">
        <f t="shared" si="9"/>
        <v/>
      </c>
      <c r="Y87" s="222" t="str">
        <f t="shared" si="10"/>
        <v/>
      </c>
      <c r="Z87" s="224" t="str">
        <f t="shared" si="11"/>
        <v> </v>
      </c>
      <c r="AA87" s="244"/>
    </row>
    <row r="88">
      <c r="A88" s="214" t="str">
        <f>IFS($B88=FALSE,"",$B88,VLOOKUP($B88,'PATIENT DATA (072721)'!A:C, 2, 0))</f>
        <v/>
      </c>
      <c r="B88" s="215"/>
      <c r="C88" s="230" t="str">
        <f>IF(COUNTIF('PATIENT DATA (072721)'!A:A, B88)=0, "X","✓")</f>
        <v>X</v>
      </c>
      <c r="D88" s="226" t="str">
        <f>IFS($B88=FALSE,"",$B88,VLOOKUP($B88,'PATIENT DATA (072721)'!A:C, 3, 0))</f>
        <v/>
      </c>
      <c r="E88" s="218">
        <v>44573.0</v>
      </c>
      <c r="F88" s="219" t="str">
        <f>ifs($B88="","",$B88, VLOOKUP($B88&amp;$E88, 'VISIT DATA'!A:O,3,0))</f>
        <v/>
      </c>
      <c r="G88" s="231"/>
      <c r="H88" s="221" t="str">
        <f>ifs($B88="","",$B88, VLOOKUP($B88&amp;$E88, 'VISIT DATA'!$A:$O,13,0))</f>
        <v/>
      </c>
      <c r="I88" s="262" t="str">
        <f>VLOOKUP($B88&amp;$E88,'VISIT DATA'!A:J, 9, FALSE)</f>
        <v>#N/A</v>
      </c>
      <c r="J88" s="223" t="str">
        <f>VLOOKUP(B88&amp;E88,'VISIT DATA'!A:N,10,FALSE)</f>
        <v>#N/A</v>
      </c>
      <c r="K88" s="225"/>
      <c r="L88" s="224"/>
      <c r="M88" s="224"/>
      <c r="N88" s="225"/>
      <c r="O88" s="216" t="str">
        <f t="shared" si="1"/>
        <v>X</v>
      </c>
      <c r="P88" s="226" t="str">
        <f t="shared" si="2"/>
        <v>#N/A</v>
      </c>
      <c r="Q88" s="227" t="str">
        <f t="shared" si="3"/>
        <v>#N/A</v>
      </c>
      <c r="R88" s="228" t="str">
        <f t="shared" si="4"/>
        <v>#N/A</v>
      </c>
      <c r="S88" s="220" t="str">
        <f t="shared" si="5"/>
        <v>#N/A</v>
      </c>
      <c r="T88" s="220" t="str">
        <f t="shared" si="6"/>
        <v>#N/A</v>
      </c>
      <c r="U88" s="221">
        <f t="shared" si="7"/>
        <v>0</v>
      </c>
      <c r="V88" s="229" t="str">
        <f>ifs($N88="",VLOOKUP($B88&amp;$E88,'VISIT DATA'!$A$2:$J100,7,FALSE), $N88="SWAB","OUTSA-RW",$N88="SWQU","OUTSA-SaQu", AND($L88="X",$M88="X",$N88="QUEST"),"OUT-UAQPre",$N88="QUEST","OUT-UAQ", $N88="Walk in","ColUATele")</f>
        <v>#N/A</v>
      </c>
      <c r="W88" s="24" t="str">
        <f t="shared" si="8"/>
        <v>#N/A</v>
      </c>
      <c r="X88" s="222" t="str">
        <f t="shared" si="9"/>
        <v/>
      </c>
      <c r="Y88" s="222" t="str">
        <f t="shared" si="10"/>
        <v/>
      </c>
      <c r="Z88" s="224" t="str">
        <f t="shared" si="11"/>
        <v> </v>
      </c>
      <c r="AA88" s="244"/>
    </row>
    <row r="89">
      <c r="A89" s="214" t="str">
        <f>IFS($B89=FALSE,"",$B89,VLOOKUP($B89,'PATIENT DATA (072721)'!A:C, 2, 0))</f>
        <v/>
      </c>
      <c r="B89" s="215"/>
      <c r="C89" s="230" t="str">
        <f>IF(COUNTIF('PATIENT DATA (072721)'!A:A, B89)=0, "X","✓")</f>
        <v>X</v>
      </c>
      <c r="D89" s="226" t="str">
        <f>IFS($B89=FALSE,"",$B89,VLOOKUP($B89,'PATIENT DATA (072721)'!A:C, 3, 0))</f>
        <v/>
      </c>
      <c r="E89" s="218">
        <v>44573.0</v>
      </c>
      <c r="F89" s="219" t="str">
        <f>ifs($B89="","",$B89, VLOOKUP($B89&amp;$E89, 'VISIT DATA'!A:O,3,0))</f>
        <v/>
      </c>
      <c r="G89" s="231"/>
      <c r="H89" s="221" t="str">
        <f>ifs($B89="","",$B89, VLOOKUP($B89&amp;$E89, 'VISIT DATA'!$A:$O,13,0))</f>
        <v/>
      </c>
      <c r="I89" s="262" t="str">
        <f>VLOOKUP($B89&amp;$E89,'VISIT DATA'!A:J, 9, FALSE)</f>
        <v>#N/A</v>
      </c>
      <c r="J89" s="223" t="str">
        <f>VLOOKUP(B89&amp;E89,'VISIT DATA'!A:N,10,FALSE)</f>
        <v>#N/A</v>
      </c>
      <c r="K89" s="225"/>
      <c r="L89" s="224"/>
      <c r="M89" s="224"/>
      <c r="N89" s="225"/>
      <c r="O89" s="216" t="str">
        <f t="shared" si="1"/>
        <v>X</v>
      </c>
      <c r="P89" s="226" t="str">
        <f t="shared" si="2"/>
        <v>#N/A</v>
      </c>
      <c r="Q89" s="227" t="str">
        <f t="shared" si="3"/>
        <v>#N/A</v>
      </c>
      <c r="R89" s="228" t="str">
        <f t="shared" si="4"/>
        <v>#N/A</v>
      </c>
      <c r="S89" s="220" t="str">
        <f t="shared" si="5"/>
        <v>#N/A</v>
      </c>
      <c r="T89" s="220" t="str">
        <f t="shared" si="6"/>
        <v>#N/A</v>
      </c>
      <c r="U89" s="221">
        <f t="shared" si="7"/>
        <v>0</v>
      </c>
      <c r="V89" s="229" t="str">
        <f>ifs($N89="",VLOOKUP($B89&amp;$E89,'VISIT DATA'!$A$2:$J100,7,FALSE), $N89="SWAB","OUTSA-RW",$N89="SWQU","OUTSA-SaQu", AND($L89="X",$M89="X",$N89="QUEST"),"OUT-UAQPre",$N89="QUEST","OUT-UAQ", $N89="Walk in","ColUATele")</f>
        <v>#N/A</v>
      </c>
      <c r="W89" s="24" t="str">
        <f t="shared" si="8"/>
        <v>#N/A</v>
      </c>
      <c r="X89" s="222" t="str">
        <f t="shared" si="9"/>
        <v/>
      </c>
      <c r="Y89" s="222" t="str">
        <f t="shared" si="10"/>
        <v/>
      </c>
      <c r="Z89" s="224" t="str">
        <f t="shared" si="11"/>
        <v> </v>
      </c>
      <c r="AA89" s="244"/>
    </row>
    <row r="90">
      <c r="A90" s="214" t="str">
        <f>IFS($B90=FALSE,"",$B90,VLOOKUP($B90,'PATIENT DATA (072721)'!A:C, 2, 0))</f>
        <v/>
      </c>
      <c r="B90" s="215"/>
      <c r="C90" s="230" t="str">
        <f>IF(COUNTIF('PATIENT DATA (072721)'!A:A, B90)=0, "X","✓")</f>
        <v>X</v>
      </c>
      <c r="D90" s="226" t="str">
        <f>IFS($B90=FALSE,"",$B90,VLOOKUP($B90,'PATIENT DATA (072721)'!A:C, 3, 0))</f>
        <v/>
      </c>
      <c r="E90" s="218">
        <v>44573.0</v>
      </c>
      <c r="F90" s="219" t="str">
        <f>ifs($B90="","",$B90, VLOOKUP($B90&amp;$E90, 'VISIT DATA'!A:O,3,0))</f>
        <v/>
      </c>
      <c r="G90" s="231"/>
      <c r="H90" s="221" t="str">
        <f>ifs($B90="","",$B90, VLOOKUP($B90&amp;$E90, 'VISIT DATA'!$A:$O,13,0))</f>
        <v/>
      </c>
      <c r="I90" s="262" t="str">
        <f>VLOOKUP($B90&amp;$E90,'VISIT DATA'!A:J, 9, FALSE)</f>
        <v>#N/A</v>
      </c>
      <c r="J90" s="223" t="str">
        <f>VLOOKUP(B90&amp;E90,'VISIT DATA'!A:N,10,FALSE)</f>
        <v>#N/A</v>
      </c>
      <c r="K90" s="225"/>
      <c r="L90" s="224"/>
      <c r="M90" s="224"/>
      <c r="N90" s="225"/>
      <c r="O90" s="216" t="str">
        <f t="shared" si="1"/>
        <v>X</v>
      </c>
      <c r="P90" s="226" t="str">
        <f t="shared" si="2"/>
        <v>#N/A</v>
      </c>
      <c r="Q90" s="227" t="str">
        <f t="shared" si="3"/>
        <v>#N/A</v>
      </c>
      <c r="R90" s="228" t="str">
        <f t="shared" si="4"/>
        <v>#N/A</v>
      </c>
      <c r="S90" s="220" t="str">
        <f t="shared" si="5"/>
        <v>#N/A</v>
      </c>
      <c r="T90" s="220" t="str">
        <f t="shared" si="6"/>
        <v>#N/A</v>
      </c>
      <c r="U90" s="221">
        <f t="shared" si="7"/>
        <v>0</v>
      </c>
      <c r="V90" s="229" t="str">
        <f>ifs($N90="",VLOOKUP($B90&amp;$E90,'VISIT DATA'!$A$2:$J100,7,FALSE), $N90="SWAB","OUTSA-RW",$N90="SWQU","OUTSA-SaQu", AND($L90="X",$M90="X",$N90="QUEST"),"OUT-UAQPre",$N90="QUEST","OUT-UAQ", $N90="Walk in","ColUATele")</f>
        <v>#N/A</v>
      </c>
      <c r="W90" s="24" t="str">
        <f t="shared" si="8"/>
        <v>#N/A</v>
      </c>
      <c r="X90" s="222" t="str">
        <f t="shared" si="9"/>
        <v/>
      </c>
      <c r="Y90" s="222" t="str">
        <f t="shared" si="10"/>
        <v/>
      </c>
      <c r="Z90" s="224" t="str">
        <f t="shared" si="11"/>
        <v> </v>
      </c>
      <c r="AA90" s="244"/>
    </row>
    <row r="91">
      <c r="A91" s="214" t="str">
        <f>IFS($B91=FALSE,"",$B91,VLOOKUP($B91,'PATIENT DATA (072721)'!A:C, 2, 0))</f>
        <v/>
      </c>
      <c r="B91" s="215"/>
      <c r="C91" s="230" t="str">
        <f>IF(COUNTIF('PATIENT DATA (072721)'!A:A, B91)=0, "X","✓")</f>
        <v>X</v>
      </c>
      <c r="D91" s="226" t="str">
        <f>IFS($B91=FALSE,"",$B91,VLOOKUP($B91,'PATIENT DATA (072721)'!A:C, 3, 0))</f>
        <v/>
      </c>
      <c r="E91" s="218">
        <v>44573.0</v>
      </c>
      <c r="F91" s="219" t="str">
        <f>ifs($B91="","",$B91, VLOOKUP($B91&amp;$E91, 'VISIT DATA'!A:O,3,0))</f>
        <v/>
      </c>
      <c r="G91" s="231"/>
      <c r="H91" s="221" t="str">
        <f>ifs($B91="","",$B91, VLOOKUP($B91&amp;$E91, 'VISIT DATA'!$A:$O,13,0))</f>
        <v/>
      </c>
      <c r="I91" s="262" t="str">
        <f>VLOOKUP($B91&amp;$E91,'VISIT DATA'!A:J, 9, FALSE)</f>
        <v>#N/A</v>
      </c>
      <c r="J91" s="223" t="str">
        <f>VLOOKUP(B91&amp;E91,'VISIT DATA'!A:N,10,FALSE)</f>
        <v>#N/A</v>
      </c>
      <c r="K91" s="225"/>
      <c r="L91" s="224"/>
      <c r="M91" s="224"/>
      <c r="N91" s="225"/>
      <c r="O91" s="216" t="str">
        <f t="shared" si="1"/>
        <v>X</v>
      </c>
      <c r="P91" s="226" t="str">
        <f t="shared" si="2"/>
        <v>#N/A</v>
      </c>
      <c r="Q91" s="227" t="str">
        <f t="shared" si="3"/>
        <v>#N/A</v>
      </c>
      <c r="R91" s="228" t="str">
        <f t="shared" si="4"/>
        <v>#N/A</v>
      </c>
      <c r="S91" s="220" t="str">
        <f t="shared" si="5"/>
        <v>#N/A</v>
      </c>
      <c r="T91" s="220" t="str">
        <f t="shared" si="6"/>
        <v>#N/A</v>
      </c>
      <c r="U91" s="221">
        <f t="shared" si="7"/>
        <v>0</v>
      </c>
      <c r="V91" s="229" t="str">
        <f>ifs($N91="",VLOOKUP($B91&amp;$E91,'VISIT DATA'!$A$2:$J100,7,FALSE), $N91="SWAB","OUTSA-RW",$N91="SWQU","OUTSA-SaQu", AND($L91="X",$M91="X",$N91="QUEST"),"OUT-UAQPre",$N91="QUEST","OUT-UAQ", $N91="Walk in","ColUATele")</f>
        <v>#N/A</v>
      </c>
      <c r="W91" s="24" t="str">
        <f t="shared" si="8"/>
        <v>#N/A</v>
      </c>
      <c r="X91" s="222" t="str">
        <f t="shared" si="9"/>
        <v/>
      </c>
      <c r="Y91" s="222" t="str">
        <f t="shared" si="10"/>
        <v/>
      </c>
      <c r="Z91" s="224" t="str">
        <f t="shared" si="11"/>
        <v> </v>
      </c>
      <c r="AA91" s="244"/>
    </row>
    <row r="92">
      <c r="A92" s="214" t="str">
        <f>IFS($B92=FALSE,"",$B92,VLOOKUP($B92,'PATIENT DATA (072721)'!A:C, 2, 0))</f>
        <v/>
      </c>
      <c r="B92" s="215"/>
      <c r="C92" s="230" t="str">
        <f>IF(COUNTIF('PATIENT DATA (072721)'!A:A, B92)=0, "X","✓")</f>
        <v>X</v>
      </c>
      <c r="D92" s="226" t="str">
        <f>IFS($B92=FALSE,"",$B92,VLOOKUP($B92,'PATIENT DATA (072721)'!A:C, 3, 0))</f>
        <v/>
      </c>
      <c r="E92" s="218">
        <v>44573.0</v>
      </c>
      <c r="F92" s="219" t="str">
        <f>ifs($B92="","",$B92, VLOOKUP($B92&amp;$E92, 'VISIT DATA'!A:O,3,0))</f>
        <v/>
      </c>
      <c r="G92" s="231"/>
      <c r="H92" s="221" t="str">
        <f>ifs($B92="","",$B92, VLOOKUP($B92&amp;$E92, 'VISIT DATA'!$A:$O,13,0))</f>
        <v/>
      </c>
      <c r="I92" s="262" t="str">
        <f>VLOOKUP($B92&amp;$E92,'VISIT DATA'!A:J, 9, FALSE)</f>
        <v>#N/A</v>
      </c>
      <c r="J92" s="223" t="str">
        <f>VLOOKUP(B92&amp;E92,'VISIT DATA'!A:N,10,FALSE)</f>
        <v>#N/A</v>
      </c>
      <c r="K92" s="225"/>
      <c r="L92" s="224"/>
      <c r="M92" s="224"/>
      <c r="N92" s="225"/>
      <c r="O92" s="216" t="str">
        <f t="shared" si="1"/>
        <v>X</v>
      </c>
      <c r="P92" s="226" t="str">
        <f t="shared" si="2"/>
        <v>#N/A</v>
      </c>
      <c r="Q92" s="227" t="str">
        <f t="shared" si="3"/>
        <v>#N/A</v>
      </c>
      <c r="R92" s="228" t="str">
        <f t="shared" si="4"/>
        <v>#N/A</v>
      </c>
      <c r="S92" s="220" t="str">
        <f t="shared" si="5"/>
        <v>#N/A</v>
      </c>
      <c r="T92" s="220" t="str">
        <f t="shared" si="6"/>
        <v>#N/A</v>
      </c>
      <c r="U92" s="221">
        <f t="shared" si="7"/>
        <v>0</v>
      </c>
      <c r="V92" s="229" t="str">
        <f>ifs($N92="",VLOOKUP($B92&amp;$E92,'VISIT DATA'!$A$2:$J100,7,FALSE), $N92="SWAB","OUTSA-RW",$N92="SWQU","OUTSA-SaQu", AND($L92="X",$M92="X",$N92="QUEST"),"OUT-UAQPre",$N92="QUEST","OUT-UAQ", $N92="Walk in","ColUATele")</f>
        <v>#N/A</v>
      </c>
      <c r="W92" s="24" t="str">
        <f t="shared" si="8"/>
        <v>#N/A</v>
      </c>
      <c r="X92" s="222" t="str">
        <f t="shared" si="9"/>
        <v/>
      </c>
      <c r="Y92" s="222" t="str">
        <f t="shared" si="10"/>
        <v/>
      </c>
      <c r="Z92" s="224" t="str">
        <f t="shared" si="11"/>
        <v> </v>
      </c>
      <c r="AA92" s="244"/>
    </row>
    <row r="93">
      <c r="A93" s="214" t="str">
        <f>IFS($B93=FALSE,"",$B93,VLOOKUP($B93,'PATIENT DATA (072721)'!A:C, 2, 0))</f>
        <v/>
      </c>
      <c r="B93" s="215"/>
      <c r="C93" s="230" t="str">
        <f>IF(COUNTIF('PATIENT DATA (072721)'!A:A, B93)=0, "X","✓")</f>
        <v>X</v>
      </c>
      <c r="D93" s="226" t="str">
        <f>IFS($B93=FALSE,"",$B93,VLOOKUP($B93,'PATIENT DATA (072721)'!A:C, 3, 0))</f>
        <v/>
      </c>
      <c r="E93" s="218">
        <v>44573.0</v>
      </c>
      <c r="F93" s="219" t="str">
        <f>ifs($B93="","",$B93, VLOOKUP($B93&amp;$E93, 'VISIT DATA'!A:O,3,0))</f>
        <v/>
      </c>
      <c r="G93" s="231"/>
      <c r="H93" s="221" t="str">
        <f>ifs($B93="","",$B93, VLOOKUP($B93&amp;$E93, 'VISIT DATA'!$A:$O,13,0))</f>
        <v/>
      </c>
      <c r="I93" s="262" t="str">
        <f>VLOOKUP($B93&amp;$E93,'VISIT DATA'!A:J, 9, FALSE)</f>
        <v>#N/A</v>
      </c>
      <c r="J93" s="223" t="str">
        <f>VLOOKUP(B93&amp;E93,'VISIT DATA'!A:N,10,FALSE)</f>
        <v>#N/A</v>
      </c>
      <c r="K93" s="225"/>
      <c r="L93" s="224"/>
      <c r="M93" s="224"/>
      <c r="N93" s="225"/>
      <c r="O93" s="216" t="str">
        <f t="shared" si="1"/>
        <v>X</v>
      </c>
      <c r="P93" s="226" t="str">
        <f t="shared" si="2"/>
        <v>#N/A</v>
      </c>
      <c r="Q93" s="227" t="str">
        <f t="shared" si="3"/>
        <v>#N/A</v>
      </c>
      <c r="R93" s="228" t="str">
        <f t="shared" si="4"/>
        <v>#N/A</v>
      </c>
      <c r="S93" s="220" t="str">
        <f t="shared" si="5"/>
        <v>#N/A</v>
      </c>
      <c r="T93" s="220" t="str">
        <f t="shared" si="6"/>
        <v>#N/A</v>
      </c>
      <c r="U93" s="221">
        <f t="shared" si="7"/>
        <v>0</v>
      </c>
      <c r="V93" s="229" t="str">
        <f>ifs($N93="",VLOOKUP($B93&amp;$E93,'VISIT DATA'!$A$2:$J100,7,FALSE), $N93="SWAB","OUTSA-RW",$N93="SWQU","OUTSA-SaQu", AND($L93="X",$M93="X",$N93="QUEST"),"OUT-UAQPre",$N93="QUEST","OUT-UAQ", $N93="Walk in","ColUATele")</f>
        <v>#N/A</v>
      </c>
      <c r="W93" s="24" t="str">
        <f t="shared" si="8"/>
        <v>#N/A</v>
      </c>
      <c r="X93" s="222" t="str">
        <f t="shared" si="9"/>
        <v/>
      </c>
      <c r="Y93" s="222" t="str">
        <f t="shared" si="10"/>
        <v/>
      </c>
      <c r="Z93" s="224" t="str">
        <f t="shared" si="11"/>
        <v> </v>
      </c>
      <c r="AA93" s="244"/>
    </row>
    <row r="94">
      <c r="A94" s="214" t="str">
        <f>IFS($B94=FALSE,"",$B94,VLOOKUP($B94,'PATIENT DATA (072721)'!A:C, 2, 0))</f>
        <v/>
      </c>
      <c r="B94" s="215"/>
      <c r="C94" s="230" t="str">
        <f>IF(COUNTIF('PATIENT DATA (072721)'!A:A, B94)=0, "X","✓")</f>
        <v>X</v>
      </c>
      <c r="D94" s="226" t="str">
        <f>IFS($B94=FALSE,"",$B94,VLOOKUP($B94,'PATIENT DATA (072721)'!A:C, 3, 0))</f>
        <v/>
      </c>
      <c r="E94" s="218">
        <v>44573.0</v>
      </c>
      <c r="F94" s="219" t="str">
        <f>ifs($B94="","",$B94, VLOOKUP($B94&amp;$E94, 'VISIT DATA'!A:O,3,0))</f>
        <v/>
      </c>
      <c r="G94" s="231"/>
      <c r="H94" s="221" t="str">
        <f>ifs($B94="","",$B94, VLOOKUP($B94&amp;$E94, 'VISIT DATA'!$A:$O,13,0))</f>
        <v/>
      </c>
      <c r="I94" s="262" t="str">
        <f>VLOOKUP($B94&amp;$E94,'VISIT DATA'!A:J, 9, FALSE)</f>
        <v>#N/A</v>
      </c>
      <c r="J94" s="223" t="str">
        <f>VLOOKUP(B94&amp;E94,'VISIT DATA'!A:N,10,FALSE)</f>
        <v>#N/A</v>
      </c>
      <c r="K94" s="225"/>
      <c r="L94" s="224"/>
      <c r="M94" s="224"/>
      <c r="N94" s="225"/>
      <c r="O94" s="216" t="str">
        <f t="shared" si="1"/>
        <v>X</v>
      </c>
      <c r="P94" s="226" t="str">
        <f t="shared" si="2"/>
        <v>#N/A</v>
      </c>
      <c r="Q94" s="227" t="str">
        <f t="shared" si="3"/>
        <v>#N/A</v>
      </c>
      <c r="R94" s="228" t="str">
        <f t="shared" si="4"/>
        <v>#N/A</v>
      </c>
      <c r="S94" s="220" t="str">
        <f t="shared" si="5"/>
        <v>#N/A</v>
      </c>
      <c r="T94" s="220" t="str">
        <f t="shared" si="6"/>
        <v>#N/A</v>
      </c>
      <c r="U94" s="221">
        <f t="shared" si="7"/>
        <v>0</v>
      </c>
      <c r="V94" s="229" t="str">
        <f>ifs($N94="",VLOOKUP($B94&amp;$E94,'VISIT DATA'!$A$2:$J100,7,FALSE), $N94="SWAB","OUTSA-RW",$N94="SWQU","OUTSA-SaQu", AND($L94="X",$M94="X",$N94="QUEST"),"OUT-UAQPre",$N94="QUEST","OUT-UAQ", $N94="Walk in","ColUATele")</f>
        <v>#N/A</v>
      </c>
      <c r="W94" s="24" t="str">
        <f t="shared" si="8"/>
        <v>#N/A</v>
      </c>
      <c r="X94" s="222" t="str">
        <f t="shared" si="9"/>
        <v/>
      </c>
      <c r="Y94" s="222" t="str">
        <f t="shared" si="10"/>
        <v/>
      </c>
      <c r="Z94" s="224" t="str">
        <f t="shared" si="11"/>
        <v> </v>
      </c>
      <c r="AA94" s="244"/>
    </row>
    <row r="95">
      <c r="A95" s="214" t="str">
        <f>IFS($B95=FALSE,"",$B95,VLOOKUP($B95,'PATIENT DATA (072721)'!A:C, 2, 0))</f>
        <v/>
      </c>
      <c r="B95" s="215"/>
      <c r="C95" s="230" t="str">
        <f>IF(COUNTIF('PATIENT DATA (072721)'!A:A, B95)=0, "X","✓")</f>
        <v>X</v>
      </c>
      <c r="D95" s="226" t="str">
        <f>IFS($B95=FALSE,"",$B95,VLOOKUP($B95,'PATIENT DATA (072721)'!A:C, 3, 0))</f>
        <v/>
      </c>
      <c r="E95" s="218">
        <v>44573.0</v>
      </c>
      <c r="F95" s="219" t="str">
        <f>ifs($B95="","",$B95, VLOOKUP($B95&amp;$E95, 'VISIT DATA'!A:O,3,0))</f>
        <v/>
      </c>
      <c r="G95" s="231"/>
      <c r="H95" s="221" t="str">
        <f>ifs($B95="","",$B95, VLOOKUP($B95&amp;$E95, 'VISIT DATA'!$A:$O,13,0))</f>
        <v/>
      </c>
      <c r="I95" s="262" t="str">
        <f>VLOOKUP($B95&amp;$E95,'VISIT DATA'!A:J, 9, FALSE)</f>
        <v>#N/A</v>
      </c>
      <c r="J95" s="223" t="str">
        <f>VLOOKUP(B95&amp;E95,'VISIT DATA'!A:N,10,FALSE)</f>
        <v>#N/A</v>
      </c>
      <c r="K95" s="225"/>
      <c r="L95" s="224"/>
      <c r="M95" s="224"/>
      <c r="N95" s="225"/>
      <c r="O95" s="216" t="str">
        <f t="shared" si="1"/>
        <v>X</v>
      </c>
      <c r="P95" s="226" t="str">
        <f t="shared" si="2"/>
        <v>#N/A</v>
      </c>
      <c r="Q95" s="227" t="str">
        <f t="shared" si="3"/>
        <v>#N/A</v>
      </c>
      <c r="R95" s="228" t="str">
        <f t="shared" si="4"/>
        <v>#N/A</v>
      </c>
      <c r="S95" s="220" t="str">
        <f t="shared" si="5"/>
        <v>#N/A</v>
      </c>
      <c r="T95" s="220" t="str">
        <f t="shared" si="6"/>
        <v>#N/A</v>
      </c>
      <c r="U95" s="221">
        <f t="shared" si="7"/>
        <v>0</v>
      </c>
      <c r="V95" s="229" t="str">
        <f>ifs($N95="",VLOOKUP($B95&amp;$E95,'VISIT DATA'!$A$2:$J100,7,FALSE), $N95="SWAB","OUTSA-RW",$N95="SWQU","OUTSA-SaQu", AND($L95="X",$M95="X",$N95="QUEST"),"OUT-UAQPre",$N95="QUEST","OUT-UAQ", $N95="Walk in","ColUATele")</f>
        <v>#N/A</v>
      </c>
      <c r="W95" s="24" t="str">
        <f t="shared" si="8"/>
        <v>#N/A</v>
      </c>
      <c r="X95" s="222" t="str">
        <f t="shared" si="9"/>
        <v/>
      </c>
      <c r="Y95" s="222" t="str">
        <f t="shared" si="10"/>
        <v/>
      </c>
      <c r="Z95" s="224" t="str">
        <f t="shared" si="11"/>
        <v> </v>
      </c>
      <c r="AA95" s="244"/>
    </row>
    <row r="96">
      <c r="A96" s="214" t="str">
        <f>IFS($B96=FALSE,"",$B96,VLOOKUP($B96,'PATIENT DATA (072721)'!A:C, 2, 0))</f>
        <v/>
      </c>
      <c r="B96" s="215"/>
      <c r="C96" s="230" t="str">
        <f>IF(COUNTIF('PATIENT DATA (072721)'!A:A, B96)=0, "X","✓")</f>
        <v>X</v>
      </c>
      <c r="D96" s="226" t="str">
        <f>IFS($B96=FALSE,"",$B96,VLOOKUP($B96,'PATIENT DATA (072721)'!A:C, 3, 0))</f>
        <v/>
      </c>
      <c r="E96" s="218">
        <v>44573.0</v>
      </c>
      <c r="F96" s="219" t="str">
        <f>ifs($B96="","",$B96, VLOOKUP($B96&amp;$E96, 'VISIT DATA'!A:O,3,0))</f>
        <v/>
      </c>
      <c r="G96" s="231"/>
      <c r="H96" s="221" t="str">
        <f>ifs($B96="","",$B96, VLOOKUP($B96&amp;$E96, 'VISIT DATA'!$A:$O,13,0))</f>
        <v/>
      </c>
      <c r="I96" s="262" t="str">
        <f>VLOOKUP($B96&amp;$E96,'VISIT DATA'!A:J, 9, FALSE)</f>
        <v>#N/A</v>
      </c>
      <c r="J96" s="223" t="str">
        <f>VLOOKUP(B96&amp;E96,'VISIT DATA'!A:N,10,FALSE)</f>
        <v>#N/A</v>
      </c>
      <c r="K96" s="225"/>
      <c r="L96" s="224"/>
      <c r="M96" s="224"/>
      <c r="N96" s="225"/>
      <c r="O96" s="216" t="str">
        <f t="shared" si="1"/>
        <v>X</v>
      </c>
      <c r="P96" s="226" t="str">
        <f t="shared" si="2"/>
        <v>#N/A</v>
      </c>
      <c r="Q96" s="227" t="str">
        <f t="shared" si="3"/>
        <v>#N/A</v>
      </c>
      <c r="R96" s="228" t="str">
        <f t="shared" si="4"/>
        <v>#N/A</v>
      </c>
      <c r="S96" s="220" t="str">
        <f t="shared" si="5"/>
        <v>#N/A</v>
      </c>
      <c r="T96" s="220" t="str">
        <f t="shared" si="6"/>
        <v>#N/A</v>
      </c>
      <c r="U96" s="221">
        <f t="shared" si="7"/>
        <v>0</v>
      </c>
      <c r="V96" s="229" t="str">
        <f>ifs($N96="",VLOOKUP($B96&amp;$E96,'VISIT DATA'!$A$2:$J100,7,FALSE), $N96="SWAB","OUTSA-RW",$N96="SWQU","OUTSA-SaQu", AND($L96="X",$M96="X",$N96="QUEST"),"OUT-UAQPre",$N96="QUEST","OUT-UAQ", $N96="Walk in","ColUATele")</f>
        <v>#N/A</v>
      </c>
      <c r="W96" s="24" t="str">
        <f t="shared" si="8"/>
        <v>#N/A</v>
      </c>
      <c r="X96" s="222" t="str">
        <f t="shared" si="9"/>
        <v/>
      </c>
      <c r="Y96" s="222" t="str">
        <f t="shared" si="10"/>
        <v/>
      </c>
      <c r="Z96" s="224" t="str">
        <f t="shared" si="11"/>
        <v> </v>
      </c>
      <c r="AA96" s="244"/>
    </row>
    <row r="97">
      <c r="A97" s="214" t="str">
        <f>IFS($B97=FALSE,"",$B97,VLOOKUP($B97,'PATIENT DATA (072721)'!A:C, 2, 0))</f>
        <v/>
      </c>
      <c r="B97" s="215"/>
      <c r="C97" s="230" t="str">
        <f>IF(COUNTIF('PATIENT DATA (072721)'!A:A, B97)=0, "X","✓")</f>
        <v>X</v>
      </c>
      <c r="D97" s="226" t="str">
        <f>IFS($B97=FALSE,"",$B97,VLOOKUP($B97,'PATIENT DATA (072721)'!A:C, 3, 0))</f>
        <v/>
      </c>
      <c r="E97" s="218">
        <v>44573.0</v>
      </c>
      <c r="F97" s="219" t="str">
        <f>ifs($B97="","",$B97, VLOOKUP($B97&amp;$E97, 'VISIT DATA'!A:O,3,0))</f>
        <v/>
      </c>
      <c r="G97" s="231"/>
      <c r="H97" s="221" t="str">
        <f>ifs($B97="","",$B97, VLOOKUP($B97&amp;$E97, 'VISIT DATA'!$A:$O,13,0))</f>
        <v/>
      </c>
      <c r="I97" s="262" t="str">
        <f>VLOOKUP($B97&amp;$E97,'VISIT DATA'!A:J, 9, FALSE)</f>
        <v>#N/A</v>
      </c>
      <c r="J97" s="223" t="str">
        <f>VLOOKUP(B97&amp;E97,'VISIT DATA'!A:N,10,FALSE)</f>
        <v>#N/A</v>
      </c>
      <c r="K97" s="225"/>
      <c r="L97" s="224"/>
      <c r="M97" s="224"/>
      <c r="N97" s="225"/>
      <c r="O97" s="216" t="str">
        <f t="shared" si="1"/>
        <v>X</v>
      </c>
      <c r="P97" s="226" t="str">
        <f t="shared" si="2"/>
        <v>#N/A</v>
      </c>
      <c r="Q97" s="227" t="str">
        <f t="shared" si="3"/>
        <v>#N/A</v>
      </c>
      <c r="R97" s="228" t="str">
        <f t="shared" si="4"/>
        <v>#N/A</v>
      </c>
      <c r="S97" s="220" t="str">
        <f t="shared" si="5"/>
        <v>#N/A</v>
      </c>
      <c r="T97" s="220" t="str">
        <f t="shared" si="6"/>
        <v>#N/A</v>
      </c>
      <c r="U97" s="221">
        <f t="shared" si="7"/>
        <v>0</v>
      </c>
      <c r="V97" s="229" t="str">
        <f>ifs($N97="",VLOOKUP($B97&amp;$E97,'VISIT DATA'!$A$2:$J100,7,FALSE), $N97="SWAB","OUTSA-RW",$N97="SWQU","OUTSA-SaQu", AND($L97="X",$M97="X",$N97="QUEST"),"OUT-UAQPre",$N97="QUEST","OUT-UAQ", $N97="Walk in","ColUATele")</f>
        <v>#N/A</v>
      </c>
      <c r="W97" s="24" t="str">
        <f t="shared" si="8"/>
        <v>#N/A</v>
      </c>
      <c r="X97" s="222" t="str">
        <f t="shared" si="9"/>
        <v/>
      </c>
      <c r="Y97" s="222" t="str">
        <f t="shared" si="10"/>
        <v/>
      </c>
      <c r="Z97" s="224" t="str">
        <f t="shared" si="11"/>
        <v> </v>
      </c>
      <c r="AA97" s="244"/>
    </row>
    <row r="98">
      <c r="A98" s="214" t="str">
        <f>IFS($B98=FALSE,"",$B98,VLOOKUP($B98,'PATIENT DATA (072721)'!A:C, 2, 0))</f>
        <v/>
      </c>
      <c r="B98" s="215"/>
      <c r="C98" s="230" t="str">
        <f>IF(COUNTIF('PATIENT DATA (072721)'!A:A, B98)=0, "X","✓")</f>
        <v>X</v>
      </c>
      <c r="D98" s="226" t="str">
        <f>IFS($B98=FALSE,"",$B98,VLOOKUP($B98,'PATIENT DATA (072721)'!A:C, 3, 0))</f>
        <v/>
      </c>
      <c r="E98" s="218">
        <v>44573.0</v>
      </c>
      <c r="F98" s="219" t="str">
        <f>ifs($B98="","",$B98, VLOOKUP($B98&amp;$E98, 'VISIT DATA'!A:O,3,0))</f>
        <v/>
      </c>
      <c r="G98" s="231"/>
      <c r="H98" s="221" t="str">
        <f>ifs($B98="","",$B98, VLOOKUP($B98&amp;$E98, 'VISIT DATA'!$A:$O,13,0))</f>
        <v/>
      </c>
      <c r="I98" s="262" t="str">
        <f>VLOOKUP($B98&amp;$E98,'VISIT DATA'!A:J, 9, FALSE)</f>
        <v>#N/A</v>
      </c>
      <c r="J98" s="223" t="str">
        <f>VLOOKUP(B98&amp;E98,'VISIT DATA'!A:N,10,FALSE)</f>
        <v>#N/A</v>
      </c>
      <c r="K98" s="225"/>
      <c r="L98" s="224"/>
      <c r="M98" s="224"/>
      <c r="N98" s="225"/>
      <c r="O98" s="216" t="str">
        <f t="shared" si="1"/>
        <v>X</v>
      </c>
      <c r="P98" s="226" t="str">
        <f t="shared" si="2"/>
        <v>#N/A</v>
      </c>
      <c r="Q98" s="227" t="str">
        <f t="shared" si="3"/>
        <v>#N/A</v>
      </c>
      <c r="R98" s="228" t="str">
        <f t="shared" si="4"/>
        <v>#N/A</v>
      </c>
      <c r="S98" s="220" t="str">
        <f t="shared" si="5"/>
        <v>#N/A</v>
      </c>
      <c r="T98" s="220" t="str">
        <f t="shared" si="6"/>
        <v>#N/A</v>
      </c>
      <c r="U98" s="221">
        <f t="shared" si="7"/>
        <v>0</v>
      </c>
      <c r="V98" s="229" t="str">
        <f>ifs($N98="",VLOOKUP($B98&amp;$E98,'VISIT DATA'!$A$2:$J100,7,FALSE), $N98="SWAB","OUTSA-RW",$N98="SWQU","OUTSA-SaQu", AND($L98="X",$M98="X",$N98="QUEST"),"OUT-UAQPre",$N98="QUEST","OUT-UAQ", $N98="Walk in","ColUATele")</f>
        <v>#N/A</v>
      </c>
      <c r="W98" s="24" t="str">
        <f t="shared" si="8"/>
        <v>#N/A</v>
      </c>
      <c r="X98" s="222" t="str">
        <f t="shared" si="9"/>
        <v/>
      </c>
      <c r="Y98" s="222" t="str">
        <f t="shared" si="10"/>
        <v/>
      </c>
      <c r="Z98" s="224" t="str">
        <f t="shared" si="11"/>
        <v> </v>
      </c>
      <c r="AA98" s="244"/>
    </row>
    <row r="99">
      <c r="A99" s="214" t="str">
        <f>IFS($B99=FALSE,"",$B99,VLOOKUP($B99,'PATIENT DATA (072721)'!A:C, 2, 0))</f>
        <v/>
      </c>
      <c r="B99" s="215"/>
      <c r="C99" s="230" t="str">
        <f>IF(COUNTIF('PATIENT DATA (072721)'!A:A, B99)=0, "X","✓")</f>
        <v>X</v>
      </c>
      <c r="D99" s="226" t="str">
        <f>IFS($B99=FALSE,"",$B99,VLOOKUP($B99,'PATIENT DATA (072721)'!A:C, 3, 0))</f>
        <v/>
      </c>
      <c r="E99" s="218">
        <v>44573.0</v>
      </c>
      <c r="F99" s="219" t="str">
        <f>ifs($B99="","",$B99, VLOOKUP($B99&amp;$E99, 'VISIT DATA'!A:O,3,0))</f>
        <v/>
      </c>
      <c r="G99" s="231"/>
      <c r="H99" s="221" t="str">
        <f>ifs($B99="","",$B99, VLOOKUP($B99&amp;$E99, 'VISIT DATA'!$A:$O,13,0))</f>
        <v/>
      </c>
      <c r="I99" s="262" t="str">
        <f>VLOOKUP($B99&amp;$E99,'VISIT DATA'!A:J, 9, FALSE)</f>
        <v>#N/A</v>
      </c>
      <c r="J99" s="223" t="str">
        <f>VLOOKUP(B99&amp;E99,'VISIT DATA'!A:N,10,FALSE)</f>
        <v>#N/A</v>
      </c>
      <c r="K99" s="225"/>
      <c r="L99" s="224"/>
      <c r="M99" s="224"/>
      <c r="N99" s="225"/>
      <c r="O99" s="216" t="str">
        <f t="shared" si="1"/>
        <v>X</v>
      </c>
      <c r="P99" s="226" t="str">
        <f t="shared" si="2"/>
        <v>#N/A</v>
      </c>
      <c r="Q99" s="227" t="str">
        <f t="shared" si="3"/>
        <v>#N/A</v>
      </c>
      <c r="R99" s="228" t="str">
        <f t="shared" si="4"/>
        <v>#N/A</v>
      </c>
      <c r="S99" s="220" t="str">
        <f t="shared" si="5"/>
        <v>#N/A</v>
      </c>
      <c r="T99" s="220" t="str">
        <f t="shared" si="6"/>
        <v>#N/A</v>
      </c>
      <c r="U99" s="221">
        <f t="shared" si="7"/>
        <v>0</v>
      </c>
      <c r="V99" s="229" t="str">
        <f>ifs($N99="",VLOOKUP($B99&amp;$E99,'VISIT DATA'!$A$2:$J100,7,FALSE), $N99="SWAB","OUTSA-RW",$N99="SWQU","OUTSA-SaQu", AND($L99="X",$M99="X",$N99="QUEST"),"OUT-UAQPre",$N99="QUEST","OUT-UAQ", $N99="Walk in","ColUATele")</f>
        <v>#N/A</v>
      </c>
      <c r="W99" s="24" t="str">
        <f t="shared" si="8"/>
        <v>#N/A</v>
      </c>
      <c r="X99" s="222" t="str">
        <f t="shared" si="9"/>
        <v/>
      </c>
      <c r="Y99" s="222" t="str">
        <f t="shared" si="10"/>
        <v/>
      </c>
      <c r="Z99" s="224" t="str">
        <f t="shared" si="11"/>
        <v> </v>
      </c>
      <c r="AA99" s="244"/>
    </row>
    <row r="100">
      <c r="A100" s="232"/>
      <c r="B100" s="232"/>
      <c r="C100" s="232"/>
      <c r="D100" s="232"/>
      <c r="E100" s="263"/>
      <c r="F100" s="234"/>
      <c r="G100" s="232"/>
      <c r="H100" s="235"/>
      <c r="I100" s="232"/>
      <c r="J100" s="232"/>
      <c r="K100" s="236" t="s">
        <v>6333</v>
      </c>
      <c r="L100" s="237">
        <f>COUNTIFS(K1:L80, "X")</f>
        <v>45</v>
      </c>
      <c r="M100" s="236" t="s">
        <v>6334</v>
      </c>
      <c r="N100" s="237">
        <f>COUNTIFS(M1:M80, "X")</f>
        <v>12</v>
      </c>
      <c r="O100" s="238"/>
      <c r="P100" s="238"/>
      <c r="Q100" s="238"/>
      <c r="R100" s="238"/>
      <c r="S100" s="238"/>
      <c r="T100" s="238"/>
      <c r="U100" s="238"/>
      <c r="V100" s="239"/>
      <c r="W100" s="238"/>
      <c r="X100" s="238"/>
      <c r="Y100" s="238"/>
      <c r="Z100" s="238"/>
      <c r="AA100" s="238"/>
    </row>
  </sheetData>
  <autoFilter ref="$A$1:$AA$100"/>
  <customSheetViews>
    <customSheetView guid="{20F5F3BA-172D-4727-943D-E296FD1F3EFA}" filter="1" showAutoFilter="1">
      <autoFilter ref="$A$1:$AA$100"/>
    </customSheetView>
  </customSheetViews>
  <conditionalFormatting sqref="A1:X100">
    <cfRule type="expression" dxfId="5" priority="1">
      <formula>$X1="ERROR"</formula>
    </cfRule>
  </conditionalFormatting>
  <conditionalFormatting sqref="A1:Z99">
    <cfRule type="expression" dxfId="5" priority="2">
      <formula>$Y1="NO MATCH"</formula>
    </cfRule>
  </conditionalFormatting>
  <conditionalFormatting sqref="C2:C99 O2:O99">
    <cfRule type="containsText" dxfId="5" priority="3" operator="containsText" text="X">
      <formula>NOT(ISERROR(SEARCH(("X"),(C2))))</formula>
    </cfRule>
  </conditionalFormatting>
  <conditionalFormatting sqref="A1:Z99">
    <cfRule type="expression" dxfId="4" priority="4">
      <formula>$Z1="Repeat"</formula>
    </cfRule>
  </conditionalFormatting>
  <conditionalFormatting sqref="V2:V99">
    <cfRule type="expression" dxfId="10" priority="5">
      <formula>$N2="QUEST"</formula>
    </cfRule>
  </conditionalFormatting>
  <conditionalFormatting sqref="C2:C99 O2:O99">
    <cfRule type="containsText" dxfId="10" priority="6" operator="containsText" text="✓">
      <formula>NOT(ISERROR(SEARCH(("✓"),(C2))))</formula>
    </cfRule>
  </conditionalFormatting>
  <conditionalFormatting sqref="A1:U99">
    <cfRule type="expression" dxfId="20" priority="7">
      <formula>$J1="MOLINA DUAL COMPLETE NEW MEXICO"</formula>
    </cfRule>
  </conditionalFormatting>
  <conditionalFormatting sqref="A1:U99">
    <cfRule type="expression" dxfId="20" priority="8">
      <formula>$J1="MOLINA DUAL COMPLETE TEXAS"</formula>
    </cfRule>
  </conditionalFormatting>
  <conditionalFormatting sqref="A1:U99">
    <cfRule type="expression" dxfId="20" priority="9">
      <formula>$J1="MOLINA MARKETPLACE TEXAS"</formula>
    </cfRule>
  </conditionalFormatting>
  <conditionalFormatting sqref="K1:K99">
    <cfRule type="containsText" dxfId="6" priority="10" operator="containsText" text="x">
      <formula>NOT(ISERROR(SEARCH(("x"),(K1))))</formula>
    </cfRule>
  </conditionalFormatting>
  <conditionalFormatting sqref="M1:M99">
    <cfRule type="containsText" dxfId="21" priority="11" operator="containsText" text="X">
      <formula>NOT(ISERROR(SEARCH(("X"),(M1))))</formula>
    </cfRule>
  </conditionalFormatting>
  <conditionalFormatting sqref="L1:L99">
    <cfRule type="containsText" dxfId="22" priority="12" operator="containsText" text="X">
      <formula>NOT(ISERROR(SEARCH(("X"),(L1))))</formula>
    </cfRule>
  </conditionalFormatting>
  <conditionalFormatting sqref="C1:C99 O1:O99">
    <cfRule type="containsBlanks" dxfId="23" priority="13">
      <formula>LEN(TRIM(C1))=0</formula>
    </cfRule>
  </conditionalFormatting>
  <conditionalFormatting sqref="J1:J99 N1:O1 Z1">
    <cfRule type="containsText" dxfId="24" priority="14" operator="containsText" text="Molina">
      <formula>NOT(ISERROR(SEARCH(("Molina"),(J1))))</formula>
    </cfRule>
  </conditionalFormatting>
  <conditionalFormatting sqref="K1:M99">
    <cfRule type="containsBlanks" dxfId="25" priority="15">
      <formula>LEN(TRIM(K1))=0</formula>
    </cfRule>
  </conditionalFormatting>
  <conditionalFormatting sqref="O1:O99 A2:N99 P2:Z99">
    <cfRule type="expression" dxfId="10" priority="16">
      <formula>$N1="SWAB"</formula>
    </cfRule>
  </conditionalFormatting>
  <conditionalFormatting sqref="J1:J99">
    <cfRule type="containsText" dxfId="5" priority="17" operator="containsText" text="Self Pay">
      <formula>NOT(ISERROR(SEARCH(("Self Pay"),(J1))))</formula>
    </cfRule>
  </conditionalFormatting>
  <conditionalFormatting sqref="J1:J99">
    <cfRule type="containsText" dxfId="5" priority="18" operator="containsText" text="Self-Pay">
      <formula>NOT(ISERROR(SEARCH(("Self-Pay"),(J1))))</formula>
    </cfRule>
  </conditionalFormatting>
  <conditionalFormatting sqref="J1:J99">
    <cfRule type="containsText" dxfId="5" priority="19" operator="containsText" text="Third Party">
      <formula>NOT(ISERROR(SEARCH(("Third Party"),(J1))))</formula>
    </cfRule>
  </conditionalFormatting>
  <conditionalFormatting sqref="A1:U99">
    <cfRule type="expression" dxfId="26" priority="20">
      <formula>$J1="SUPERIOR HEALTH PLAN"</formula>
    </cfRule>
  </conditionalFormatting>
  <conditionalFormatting sqref="A1:U99">
    <cfRule type="expression" dxfId="26" priority="21">
      <formula>$J1="AMBETTER - SUPERIOR"</formula>
    </cfRule>
  </conditionalFormatting>
  <conditionalFormatting sqref="A1:U99">
    <cfRule type="expression" dxfId="19" priority="22">
      <formula>$J1="Wellmed - Humana"</formula>
    </cfRule>
  </conditionalFormatting>
  <conditionalFormatting sqref="A1:U99">
    <cfRule type="expression" dxfId="19" priority="23">
      <formula>$J1="WELLMED - AARP MEDICARE COMPLETE"</formula>
    </cfRule>
  </conditionalFormatting>
  <conditionalFormatting sqref="A1:U99">
    <cfRule type="expression" dxfId="19" priority="24">
      <formula>$J1="WELLMED - AMERIVANTAGE"</formula>
    </cfRule>
  </conditionalFormatting>
  <conditionalFormatting sqref="A1:U99">
    <cfRule type="expression" dxfId="19" priority="25">
      <formula>$J1="WELLMED - CIGNA HEALTHSPRING"</formula>
    </cfRule>
  </conditionalFormatting>
  <conditionalFormatting sqref="A1:U99">
    <cfRule type="expression" dxfId="19" priority="26">
      <formula>$J1="WELLMED - UHC CHRONIC COMPLETE HMO C-SNP"</formula>
    </cfRule>
  </conditionalFormatting>
  <conditionalFormatting sqref="A1:U99">
    <cfRule type="expression" dxfId="19" priority="27">
      <formula>$J1="WELLMED - UHC DUAL COMPLETE HMO SNP"</formula>
    </cfRule>
  </conditionalFormatting>
  <conditionalFormatting sqref="A1:U99">
    <cfRule type="expression" dxfId="19" priority="28">
      <formula>$J1="WELLMED - UHC DUAL COMPLETE SNP"</formula>
    </cfRule>
  </conditionalFormatting>
  <conditionalFormatting sqref="A1:U99">
    <cfRule type="expression" dxfId="20" priority="29">
      <formula>$J1="MOLINA DUAL COMPLETE NEW MEXICO"</formula>
    </cfRule>
  </conditionalFormatting>
  <conditionalFormatting sqref="A1:U99">
    <cfRule type="expression" dxfId="20" priority="30">
      <formula>$J1="MOLINA DUAL COMPLETE TEXAS"</formula>
    </cfRule>
  </conditionalFormatting>
  <conditionalFormatting sqref="A1:U99">
    <cfRule type="expression" dxfId="20" priority="31">
      <formula>$J1="MOLINA MARKETPLACE TEXAS"</formula>
    </cfRule>
  </conditionalFormatting>
  <conditionalFormatting sqref="A1:U99">
    <cfRule type="expression" dxfId="20" priority="32">
      <formula>$J1="MOLINA MEDICAID TEXAS"</formula>
    </cfRule>
  </conditionalFormatting>
  <conditionalFormatting sqref="A1:U99">
    <cfRule type="expression" dxfId="27" priority="33">
      <formula>$J1="HUMANA OPEN ACCESS PLAN"</formula>
    </cfRule>
  </conditionalFormatting>
  <conditionalFormatting sqref="A1:U99">
    <cfRule type="expression" dxfId="28" priority="34">
      <formula>$J1="HUMANA CHOICE CARE"</formula>
    </cfRule>
  </conditionalFormatting>
  <conditionalFormatting sqref="V1:W99">
    <cfRule type="expression" dxfId="11" priority="35">
      <formula>$V1="UA"</formula>
    </cfRule>
  </conditionalFormatting>
  <conditionalFormatting sqref="V1:W99">
    <cfRule type="expression" dxfId="12" priority="36">
      <formula>$V1="OUTUA-PrRW"</formula>
    </cfRule>
  </conditionalFormatting>
  <conditionalFormatting sqref="V1:W99">
    <cfRule type="expression" dxfId="12" priority="37">
      <formula>$V1="OUT-UAQPre"</formula>
    </cfRule>
  </conditionalFormatting>
  <conditionalFormatting sqref="V1:W99">
    <cfRule type="expression" dxfId="13" priority="38">
      <formula>$V1="UA-Prelim"</formula>
    </cfRule>
  </conditionalFormatting>
  <conditionalFormatting sqref="V1:W99">
    <cfRule type="expression" dxfId="6" priority="39">
      <formula>$V1="UA-NWPT"</formula>
    </cfRule>
  </conditionalFormatting>
  <conditionalFormatting sqref="N1:N100 O1:O99">
    <cfRule type="expression" dxfId="5" priority="40">
      <formula>$O1="X"</formula>
    </cfRule>
  </conditionalFormatting>
  <conditionalFormatting sqref="V1:W99">
    <cfRule type="expression" dxfId="10" priority="41">
      <formula>$V1="OUT-UAQ"</formula>
    </cfRule>
  </conditionalFormatting>
  <conditionalFormatting sqref="V1:W99">
    <cfRule type="expression" dxfId="10" priority="42">
      <formula>$V1="OUTUA-FURW"</formula>
    </cfRule>
  </conditionalFormatting>
  <conditionalFormatting sqref="V1:W99">
    <cfRule type="expression" dxfId="14" priority="43">
      <formula>$V1="OUTSA-SaQu"</formula>
    </cfRule>
  </conditionalFormatting>
  <conditionalFormatting sqref="V1:W99">
    <cfRule type="expression" dxfId="14" priority="44">
      <formula>$V1="OUTSA-RW"</formula>
    </cfRule>
  </conditionalFormatting>
  <dataValidations>
    <dataValidation type="list" allowBlank="1" showErrorMessage="1" sqref="H2:H99">
      <formula1>"CH,DA,DC,DM,FA,LM"</formula1>
    </dataValidation>
    <dataValidation type="list" allowBlank="1" showErrorMessage="1" sqref="J2:J99">
      <formula1>Data!$A$2:$A100</formula1>
    </dataValidation>
    <dataValidation type="custom" allowBlank="1" showDropDown="1" showInputMessage="1" showErrorMessage="1" prompt="CAPITALS" sqref="A1:A99">
      <formula1>ISERROR(SEARCH((exact(upper(B:N),B:N)),(A1)))</formula1>
    </dataValidation>
    <dataValidation type="list" allowBlank="1" showErrorMessage="1" sqref="F2:F99">
      <formula1>Data!$B$1:$B$44</formula1>
    </dataValidation>
    <dataValidation type="custom" allowBlank="1" showDropDown="1" showInputMessage="1" showErrorMessage="1" prompt="CAPITALS" sqref="B1:B99">
      <formula1>ISERROR(SEARCH((exact(upper(B:O),B:O)),(B1)))</formula1>
    </dataValidation>
    <dataValidation type="list" allowBlank="1" showErrorMessage="1" sqref="G2:G99">
      <formula1>"F,M"</formula1>
    </dataValidation>
    <dataValidation type="list" allowBlank="1" showErrorMessage="1" sqref="K2:M99">
      <formula1>"X"</formula1>
    </dataValidation>
    <dataValidation type="list" allowBlank="1" showInputMessage="1" showErrorMessage="1" prompt="Click and enter a value from range 'Insurance Data'!C2:C608" sqref="E2:E99">
      <formula1>Data!$C:$C</formula1>
    </dataValidation>
    <dataValidation type="list" allowBlank="1" showErrorMessage="1" sqref="I2:I99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6.43"/>
    <col customWidth="1" min="2" max="2" width="22.43"/>
    <col customWidth="1" min="3" max="3" width="9.71"/>
    <col customWidth="1" min="4" max="4" width="10.71"/>
    <col customWidth="1" min="5" max="5" width="8.29"/>
    <col customWidth="1" min="6" max="6" width="38.14"/>
    <col customWidth="1" hidden="1" min="7" max="7" width="8.29"/>
    <col customWidth="1" hidden="1" min="8" max="8" width="8.57"/>
    <col customWidth="1" hidden="1" min="9" max="9" width="7.57"/>
    <col customWidth="1" hidden="1" min="10" max="10" width="7.0"/>
    <col customWidth="1" hidden="1" min="11" max="11" width="2.14"/>
    <col customWidth="1" hidden="1" min="12" max="16" width="12.57"/>
    <col customWidth="1" hidden="1" min="17" max="17" width="2.14"/>
    <col customWidth="1" min="18" max="18" width="14.86"/>
    <col customWidth="1" min="19" max="19" width="85.14"/>
  </cols>
  <sheetData>
    <row r="1">
      <c r="A1" s="281" t="s">
        <v>6237</v>
      </c>
      <c r="B1" s="282" t="s">
        <v>24</v>
      </c>
      <c r="C1" s="207" t="s">
        <v>25</v>
      </c>
      <c r="D1" s="207" t="s">
        <v>21</v>
      </c>
      <c r="E1" s="209" t="s">
        <v>2</v>
      </c>
      <c r="F1" s="209" t="s">
        <v>6135</v>
      </c>
      <c r="G1" s="208" t="s">
        <v>6337</v>
      </c>
      <c r="H1" s="208" t="s">
        <v>6338</v>
      </c>
      <c r="I1" s="208" t="s">
        <v>6339</v>
      </c>
      <c r="J1" s="210" t="s">
        <v>7</v>
      </c>
      <c r="K1" s="206"/>
      <c r="L1" s="207" t="s">
        <v>6188</v>
      </c>
      <c r="M1" s="208" t="s">
        <v>6319</v>
      </c>
      <c r="N1" s="208" t="s">
        <v>6132</v>
      </c>
      <c r="O1" s="208" t="s">
        <v>6134</v>
      </c>
      <c r="P1" s="208" t="s">
        <v>6147</v>
      </c>
      <c r="Q1" s="211"/>
      <c r="R1" s="212" t="s">
        <v>6320</v>
      </c>
      <c r="S1" s="281" t="s">
        <v>6355</v>
      </c>
    </row>
    <row r="2">
      <c r="A2" s="283">
        <v>14718.0</v>
      </c>
      <c r="B2" s="284" t="str">
        <f>IFS($A2=FALSE,"",$A2,VLOOKUP($A2,'PATIENT DATA (072721)'!A:C, 2, 0))</f>
        <v>CENICEROS, REBECCA C</v>
      </c>
      <c r="C2" s="226">
        <f>IFS($A2=FALSE,"",$A2,VLOOKUP($A2,'PATIENT DATA (072721)'!A:C, 3, 0))</f>
        <v>19516</v>
      </c>
      <c r="D2" s="218">
        <v>44568.0</v>
      </c>
      <c r="E2" s="221" t="s">
        <v>15</v>
      </c>
      <c r="F2" s="223" t="str">
        <f>VLOOKUP(A2&amp;D2,'VISIT DATA'!A:N,10,FALSE)</f>
        <v>WELLMED - AARP MEDICARE COMPLETE</v>
      </c>
      <c r="G2" s="242"/>
      <c r="H2" s="224"/>
      <c r="I2" s="224"/>
      <c r="J2" s="225"/>
      <c r="K2" s="216" t="str">
        <f t="shared" ref="K2:K99" si="1">IF(OR(G2 = "x",H2 = "x",I2 = "x"),"✓", "X")</f>
        <v>X</v>
      </c>
      <c r="L2" s="226" t="str">
        <f t="shared" ref="L2:L99" si="2">ifs(SEARCH($L$1,$F2)&gt;=1,"X")</f>
        <v>X</v>
      </c>
      <c r="M2" s="227" t="str">
        <f t="shared" ref="M2:M99" si="3">ifs(SEARCH($M$1,$F2)&gt;=1,"X")</f>
        <v>#VALUE!</v>
      </c>
      <c r="N2" s="228" t="str">
        <f t="shared" ref="N2:N99" si="4">ifs(SEARCH($N$1,$F2)&gt;=1,"X")</f>
        <v>#VALUE!</v>
      </c>
      <c r="O2" s="220" t="str">
        <f t="shared" ref="O2:O99" si="5">ifs(SEARCH($O$1,$F2)&gt;=1,"X")</f>
        <v>#VALUE!</v>
      </c>
      <c r="P2" s="220" t="str">
        <f t="shared" ref="P2:P99" si="6">ifs(SEARCH($P$1,$F2)&gt;=1,"X")</f>
        <v>#VALUE!</v>
      </c>
      <c r="Q2" s="221">
        <f t="shared" ref="Q2:Q99" si="7">countif($L2:$P2,"X")</f>
        <v>1</v>
      </c>
      <c r="R2" s="229" t="str">
        <f>ifs($J2="",VLOOKUP($A2&amp;$D2,'VISIT DATA'!$A$2:$J100,7,FALSE), $J2="SWAB","OUTSA-RW",$J2="SWQU","OUTSA-SaQu", AND($H2="X",$I2="X",$J2="QUEST"),"OUT-UAQPre",$J2="QUEST","OUT-UAQ", $J2="Walk in","ColUATele")</f>
        <v>OUTUA-PrRW</v>
      </c>
      <c r="S2" s="283" t="s">
        <v>6356</v>
      </c>
    </row>
    <row r="3">
      <c r="A3" s="283">
        <v>10273.0</v>
      </c>
      <c r="B3" s="284" t="str">
        <f>IFS($A3=FALSE,"",$A3,VLOOKUP($A3,'PATIENT DATA (072721)'!A:C, 2, 0))</f>
        <v>ROBERTS, SANTIAGO</v>
      </c>
      <c r="C3" s="226">
        <f>IFS($A3=FALSE,"",$A3,VLOOKUP($A3,'PATIENT DATA (072721)'!A:C, 3, 0))</f>
        <v>15730</v>
      </c>
      <c r="D3" s="218">
        <v>44568.0</v>
      </c>
      <c r="E3" s="221" t="s">
        <v>15</v>
      </c>
      <c r="F3" s="223" t="str">
        <f>VLOOKUP(A3&amp;D3,'VISIT DATA'!A:N,10,FALSE)</f>
        <v>#N/A</v>
      </c>
      <c r="G3" s="224"/>
      <c r="H3" s="224"/>
      <c r="I3" s="224"/>
      <c r="J3" s="225"/>
      <c r="K3" s="216" t="str">
        <f t="shared" si="1"/>
        <v>X</v>
      </c>
      <c r="L3" s="226" t="str">
        <f t="shared" si="2"/>
        <v>#N/A</v>
      </c>
      <c r="M3" s="227" t="str">
        <f t="shared" si="3"/>
        <v>#N/A</v>
      </c>
      <c r="N3" s="228" t="str">
        <f t="shared" si="4"/>
        <v>#N/A</v>
      </c>
      <c r="O3" s="220" t="str">
        <f t="shared" si="5"/>
        <v>#N/A</v>
      </c>
      <c r="P3" s="220" t="str">
        <f t="shared" si="6"/>
        <v>#N/A</v>
      </c>
      <c r="Q3" s="221">
        <f t="shared" si="7"/>
        <v>0</v>
      </c>
      <c r="R3" s="229" t="s">
        <v>6220</v>
      </c>
      <c r="S3" s="283" t="s">
        <v>6357</v>
      </c>
    </row>
    <row r="4">
      <c r="A4" s="285"/>
      <c r="B4" s="284" t="str">
        <f>IFS($A4=FALSE,"",$A4,VLOOKUP($A4,'PATIENT DATA (072721)'!A:C, 2, 0))</f>
        <v/>
      </c>
      <c r="C4" s="226" t="str">
        <f>IFS($A4=FALSE,"",$A4,VLOOKUP($A4,'PATIENT DATA (072721)'!A:C, 3, 0))</f>
        <v/>
      </c>
      <c r="D4" s="218"/>
      <c r="E4" s="221"/>
      <c r="F4" s="223" t="str">
        <f>VLOOKUP(A4&amp;D4,'VISIT DATA'!A:N,10,FALSE)</f>
        <v>#N/A</v>
      </c>
      <c r="G4" s="242"/>
      <c r="H4" s="224"/>
      <c r="I4" s="224"/>
      <c r="J4" s="225"/>
      <c r="K4" s="216" t="str">
        <f t="shared" si="1"/>
        <v>X</v>
      </c>
      <c r="L4" s="226" t="str">
        <f t="shared" si="2"/>
        <v>#N/A</v>
      </c>
      <c r="M4" s="227" t="str">
        <f t="shared" si="3"/>
        <v>#N/A</v>
      </c>
      <c r="N4" s="228" t="str">
        <f t="shared" si="4"/>
        <v>#N/A</v>
      </c>
      <c r="O4" s="220" t="str">
        <f t="shared" si="5"/>
        <v>#N/A</v>
      </c>
      <c r="P4" s="220" t="str">
        <f t="shared" si="6"/>
        <v>#N/A</v>
      </c>
      <c r="Q4" s="221">
        <f t="shared" si="7"/>
        <v>0</v>
      </c>
      <c r="R4" s="229" t="str">
        <f>ifs($J4="",VLOOKUP($A4&amp;$D4,'VISIT DATA'!$A$2:$J100,7,FALSE), $J4="SWAB","OUTSA-RW",$J4="SWQU","OUTSA-SaQu", AND($H4="X",$I4="X",$J4="QUEST"),"OUT-UAQPre",$J4="QUEST","OUT-UAQ", $J4="Walk in","ColUATele")</f>
        <v>#N/A</v>
      </c>
      <c r="S4" s="285"/>
    </row>
    <row r="5">
      <c r="A5" s="285"/>
      <c r="B5" s="284" t="str">
        <f>IFS($A5=FALSE,"",$A5,VLOOKUP($A5,'PATIENT DATA (072721)'!A:C, 2, 0))</f>
        <v/>
      </c>
      <c r="C5" s="226" t="str">
        <f>IFS($A5=FALSE,"",$A5,VLOOKUP($A5,'PATIENT DATA (072721)'!A:C, 3, 0))</f>
        <v/>
      </c>
      <c r="D5" s="218"/>
      <c r="E5" s="221"/>
      <c r="F5" s="223" t="str">
        <f>VLOOKUP(A5&amp;D5,'VISIT DATA'!A:N,10,FALSE)</f>
        <v>#N/A</v>
      </c>
      <c r="G5" s="224"/>
      <c r="H5" s="224"/>
      <c r="I5" s="224"/>
      <c r="J5" s="225"/>
      <c r="K5" s="216" t="str">
        <f t="shared" si="1"/>
        <v>X</v>
      </c>
      <c r="L5" s="226" t="str">
        <f t="shared" si="2"/>
        <v>#N/A</v>
      </c>
      <c r="M5" s="227" t="str">
        <f t="shared" si="3"/>
        <v>#N/A</v>
      </c>
      <c r="N5" s="228" t="str">
        <f t="shared" si="4"/>
        <v>#N/A</v>
      </c>
      <c r="O5" s="220" t="str">
        <f t="shared" si="5"/>
        <v>#N/A</v>
      </c>
      <c r="P5" s="220" t="str">
        <f t="shared" si="6"/>
        <v>#N/A</v>
      </c>
      <c r="Q5" s="221">
        <f t="shared" si="7"/>
        <v>0</v>
      </c>
      <c r="R5" s="229" t="str">
        <f>ifs($J5="",VLOOKUP($A5&amp;$D5,'VISIT DATA'!$A$2:$J100,7,FALSE), $J5="SWAB","OUTSA-RW",$J5="SWQU","OUTSA-SaQu", AND($H5="X",$I5="X",$J5="QUEST"),"OUT-UAQPre",$J5="QUEST","OUT-UAQ", $J5="Walk in","ColUATele")</f>
        <v>#N/A</v>
      </c>
      <c r="S5" s="285"/>
    </row>
    <row r="6">
      <c r="A6" s="285"/>
      <c r="B6" s="284" t="str">
        <f>IFS($A6=FALSE,"",$A6,VLOOKUP($A6,'PATIENT DATA (072721)'!A:C, 2, 0))</f>
        <v/>
      </c>
      <c r="C6" s="226" t="str">
        <f>IFS($A6=FALSE,"",$A6,VLOOKUP($A6,'PATIENT DATA (072721)'!A:C, 3, 0))</f>
        <v/>
      </c>
      <c r="D6" s="218"/>
      <c r="E6" s="221"/>
      <c r="F6" s="223" t="str">
        <f>VLOOKUP(A6&amp;D6,'VISIT DATA'!A:N,10,FALSE)</f>
        <v>#N/A</v>
      </c>
      <c r="G6" s="242"/>
      <c r="H6" s="224"/>
      <c r="I6" s="224"/>
      <c r="J6" s="225"/>
      <c r="K6" s="216" t="str">
        <f t="shared" si="1"/>
        <v>X</v>
      </c>
      <c r="L6" s="226" t="str">
        <f t="shared" si="2"/>
        <v>#N/A</v>
      </c>
      <c r="M6" s="227" t="str">
        <f t="shared" si="3"/>
        <v>#N/A</v>
      </c>
      <c r="N6" s="228" t="str">
        <f t="shared" si="4"/>
        <v>#N/A</v>
      </c>
      <c r="O6" s="220" t="str">
        <f t="shared" si="5"/>
        <v>#N/A</v>
      </c>
      <c r="P6" s="220" t="str">
        <f t="shared" si="6"/>
        <v>#N/A</v>
      </c>
      <c r="Q6" s="221">
        <f t="shared" si="7"/>
        <v>0</v>
      </c>
      <c r="R6" s="229" t="str">
        <f>ifs($J6="",VLOOKUP($A6&amp;$D6,'VISIT DATA'!$A$2:$J100,7,FALSE), $J6="SWAB","OUTSA-RW",$J6="SWQU","OUTSA-SaQu", AND($H6="X",$I6="X",$J6="QUEST"),"OUT-UAQPre",$J6="QUEST","OUT-UAQ", $J6="Walk in","ColUATele")</f>
        <v>#N/A</v>
      </c>
      <c r="S6" s="285"/>
    </row>
    <row r="7">
      <c r="A7" s="285"/>
      <c r="B7" s="284" t="str">
        <f>IFS($A7=FALSE,"",$A7,VLOOKUP($A7,'PATIENT DATA (072721)'!A:C, 2, 0))</f>
        <v/>
      </c>
      <c r="C7" s="226" t="str">
        <f>IFS($A7=FALSE,"",$A7,VLOOKUP($A7,'PATIENT DATA (072721)'!A:C, 3, 0))</f>
        <v/>
      </c>
      <c r="D7" s="218"/>
      <c r="E7" s="221"/>
      <c r="F7" s="223" t="str">
        <f>VLOOKUP(A7&amp;D7,'VISIT DATA'!A:N,10,FALSE)</f>
        <v>#N/A</v>
      </c>
      <c r="G7" s="242"/>
      <c r="H7" s="224"/>
      <c r="I7" s="224"/>
      <c r="J7" s="225"/>
      <c r="K7" s="216" t="str">
        <f t="shared" si="1"/>
        <v>X</v>
      </c>
      <c r="L7" s="226" t="str">
        <f t="shared" si="2"/>
        <v>#N/A</v>
      </c>
      <c r="M7" s="227" t="str">
        <f t="shared" si="3"/>
        <v>#N/A</v>
      </c>
      <c r="N7" s="228" t="str">
        <f t="shared" si="4"/>
        <v>#N/A</v>
      </c>
      <c r="O7" s="220" t="str">
        <f t="shared" si="5"/>
        <v>#N/A</v>
      </c>
      <c r="P7" s="220" t="str">
        <f t="shared" si="6"/>
        <v>#N/A</v>
      </c>
      <c r="Q7" s="221">
        <f t="shared" si="7"/>
        <v>0</v>
      </c>
      <c r="R7" s="229" t="str">
        <f>ifs($J7="",VLOOKUP($A7&amp;$D7,'VISIT DATA'!$A$2:$J100,7,FALSE), $J7="SWAB","OUTSA-RW",$J7="SWQU","OUTSA-SaQu", AND($H7="X",$I7="X",$J7="QUEST"),"OUT-UAQPre",$J7="QUEST","OUT-UAQ", $J7="Walk in","ColUATele")</f>
        <v>#N/A</v>
      </c>
      <c r="S7" s="285"/>
    </row>
    <row r="8">
      <c r="A8" s="285"/>
      <c r="B8" s="284" t="str">
        <f>IFS($A8=FALSE,"",$A8,VLOOKUP($A8,'PATIENT DATA (072721)'!A:C, 2, 0))</f>
        <v/>
      </c>
      <c r="C8" s="226" t="str">
        <f>IFS($A8=FALSE,"",$A8,VLOOKUP($A8,'PATIENT DATA (072721)'!A:C, 3, 0))</f>
        <v/>
      </c>
      <c r="D8" s="218"/>
      <c r="E8" s="221"/>
      <c r="F8" s="223" t="str">
        <f>VLOOKUP(A8&amp;D8,'VISIT DATA'!A:N,10,FALSE)</f>
        <v>#N/A</v>
      </c>
      <c r="G8" s="242"/>
      <c r="H8" s="224"/>
      <c r="I8" s="224"/>
      <c r="J8" s="225"/>
      <c r="K8" s="216" t="str">
        <f t="shared" si="1"/>
        <v>X</v>
      </c>
      <c r="L8" s="226" t="str">
        <f t="shared" si="2"/>
        <v>#N/A</v>
      </c>
      <c r="M8" s="227" t="str">
        <f t="shared" si="3"/>
        <v>#N/A</v>
      </c>
      <c r="N8" s="228" t="str">
        <f t="shared" si="4"/>
        <v>#N/A</v>
      </c>
      <c r="O8" s="220" t="str">
        <f t="shared" si="5"/>
        <v>#N/A</v>
      </c>
      <c r="P8" s="220" t="str">
        <f t="shared" si="6"/>
        <v>#N/A</v>
      </c>
      <c r="Q8" s="221">
        <f t="shared" si="7"/>
        <v>0</v>
      </c>
      <c r="R8" s="229" t="str">
        <f>ifs($J8="",VLOOKUP($A8&amp;$D8,'VISIT DATA'!$A$2:$J100,7,FALSE), $J8="SWAB","OUTSA-RW",$J8="SWQU","OUTSA-SaQu", AND($H8="X",$I8="X",$J8="QUEST"),"OUT-UAQPre",$J8="QUEST","OUT-UAQ", $J8="Walk in","ColUATele")</f>
        <v>#N/A</v>
      </c>
      <c r="S8" s="285"/>
    </row>
    <row r="9">
      <c r="A9" s="285"/>
      <c r="B9" s="284" t="str">
        <f>IFS($A9=FALSE,"",$A9,VLOOKUP($A9,'PATIENT DATA (072721)'!A:C, 2, 0))</f>
        <v/>
      </c>
      <c r="C9" s="226" t="str">
        <f>IFS($A9=FALSE,"",$A9,VLOOKUP($A9,'PATIENT DATA (072721)'!A:C, 3, 0))</f>
        <v/>
      </c>
      <c r="D9" s="218"/>
      <c r="E9" s="221"/>
      <c r="F9" s="223" t="str">
        <f>VLOOKUP(A9&amp;D9,'VISIT DATA'!A:N,10,FALSE)</f>
        <v>#N/A</v>
      </c>
      <c r="G9" s="242"/>
      <c r="H9" s="224"/>
      <c r="I9" s="224"/>
      <c r="J9" s="225"/>
      <c r="K9" s="216" t="str">
        <f t="shared" si="1"/>
        <v>X</v>
      </c>
      <c r="L9" s="226" t="str">
        <f t="shared" si="2"/>
        <v>#N/A</v>
      </c>
      <c r="M9" s="227" t="str">
        <f t="shared" si="3"/>
        <v>#N/A</v>
      </c>
      <c r="N9" s="228" t="str">
        <f t="shared" si="4"/>
        <v>#N/A</v>
      </c>
      <c r="O9" s="220" t="str">
        <f t="shared" si="5"/>
        <v>#N/A</v>
      </c>
      <c r="P9" s="220" t="str">
        <f t="shared" si="6"/>
        <v>#N/A</v>
      </c>
      <c r="Q9" s="221">
        <f t="shared" si="7"/>
        <v>0</v>
      </c>
      <c r="R9" s="229" t="str">
        <f>ifs($J9="",VLOOKUP($A9&amp;$D9,'VISIT DATA'!$A$2:$J100,7,FALSE), $J9="SWAB","OUTSA-RW",$J9="SWQU","OUTSA-SaQu", AND($H9="X",$I9="X",$J9="QUEST"),"OUT-UAQPre",$J9="QUEST","OUT-UAQ", $J9="Walk in","ColUATele")</f>
        <v>#N/A</v>
      </c>
      <c r="S9" s="285"/>
    </row>
    <row r="10">
      <c r="A10" s="285"/>
      <c r="B10" s="284" t="str">
        <f>IFS($A10=FALSE,"",$A10,VLOOKUP($A10,'PATIENT DATA (072721)'!A:C, 2, 0))</f>
        <v/>
      </c>
      <c r="C10" s="226" t="str">
        <f>IFS($A10=FALSE,"",$A10,VLOOKUP($A10,'PATIENT DATA (072721)'!A:C, 3, 0))</f>
        <v/>
      </c>
      <c r="D10" s="218"/>
      <c r="E10" s="221"/>
      <c r="F10" s="223" t="str">
        <f>VLOOKUP(A10&amp;D10,'VISIT DATA'!A:N,10,FALSE)</f>
        <v>#N/A</v>
      </c>
      <c r="G10" s="242"/>
      <c r="H10" s="224"/>
      <c r="I10" s="224"/>
      <c r="J10" s="225"/>
      <c r="K10" s="216" t="str">
        <f t="shared" si="1"/>
        <v>X</v>
      </c>
      <c r="L10" s="226" t="str">
        <f t="shared" si="2"/>
        <v>#N/A</v>
      </c>
      <c r="M10" s="227" t="str">
        <f t="shared" si="3"/>
        <v>#N/A</v>
      </c>
      <c r="N10" s="228" t="str">
        <f t="shared" si="4"/>
        <v>#N/A</v>
      </c>
      <c r="O10" s="220" t="str">
        <f t="shared" si="5"/>
        <v>#N/A</v>
      </c>
      <c r="P10" s="220" t="str">
        <f t="shared" si="6"/>
        <v>#N/A</v>
      </c>
      <c r="Q10" s="221">
        <f t="shared" si="7"/>
        <v>0</v>
      </c>
      <c r="R10" s="229" t="str">
        <f>ifs($J10="",VLOOKUP($A10&amp;$D10,'VISIT DATA'!$A$2:$J100,7,FALSE), $J10="SWAB","OUTSA-RW",$J10="SWQU","OUTSA-SaQu", AND($H10="X",$I10="X",$J10="QUEST"),"OUT-UAQPre",$J10="QUEST","OUT-UAQ", $J10="Walk in","ColUATele")</f>
        <v>#N/A</v>
      </c>
      <c r="S10" s="285"/>
    </row>
    <row r="11">
      <c r="A11" s="285"/>
      <c r="B11" s="284" t="str">
        <f>IFS($A11=FALSE,"",$A11,VLOOKUP($A11,'PATIENT DATA (072721)'!A:C, 2, 0))</f>
        <v/>
      </c>
      <c r="C11" s="226" t="str">
        <f>IFS($A11=FALSE,"",$A11,VLOOKUP($A11,'PATIENT DATA (072721)'!A:C, 3, 0))</f>
        <v/>
      </c>
      <c r="D11" s="218"/>
      <c r="E11" s="221"/>
      <c r="F11" s="223" t="str">
        <f>VLOOKUP(A11&amp;D11,'VISIT DATA'!A:N,10,FALSE)</f>
        <v>#N/A</v>
      </c>
      <c r="G11" s="242"/>
      <c r="H11" s="224"/>
      <c r="I11" s="224"/>
      <c r="J11" s="225"/>
      <c r="K11" s="216" t="str">
        <f t="shared" si="1"/>
        <v>X</v>
      </c>
      <c r="L11" s="226" t="str">
        <f t="shared" si="2"/>
        <v>#N/A</v>
      </c>
      <c r="M11" s="227" t="str">
        <f t="shared" si="3"/>
        <v>#N/A</v>
      </c>
      <c r="N11" s="228" t="str">
        <f t="shared" si="4"/>
        <v>#N/A</v>
      </c>
      <c r="O11" s="220" t="str">
        <f t="shared" si="5"/>
        <v>#N/A</v>
      </c>
      <c r="P11" s="220" t="str">
        <f t="shared" si="6"/>
        <v>#N/A</v>
      </c>
      <c r="Q11" s="221">
        <f t="shared" si="7"/>
        <v>0</v>
      </c>
      <c r="R11" s="229" t="str">
        <f>ifs($J11="",VLOOKUP($A11&amp;$D11,'VISIT DATA'!$A$2:$J100,7,FALSE), $J11="SWAB","OUTSA-RW",$J11="SWQU","OUTSA-SaQu", AND($H11="X",$I11="X",$J11="QUEST"),"OUT-UAQPre",$J11="QUEST","OUT-UAQ", $J11="Walk in","ColUATele")</f>
        <v>#N/A</v>
      </c>
      <c r="S11" s="285"/>
    </row>
    <row r="12">
      <c r="A12" s="285"/>
      <c r="B12" s="284" t="str">
        <f>IFS($A12=FALSE,"",$A12,VLOOKUP($A12,'PATIENT DATA (072721)'!A:C, 2, 0))</f>
        <v/>
      </c>
      <c r="C12" s="226" t="str">
        <f>IFS($A12=FALSE,"",$A12,VLOOKUP($A12,'PATIENT DATA (072721)'!A:C, 3, 0))</f>
        <v/>
      </c>
      <c r="D12" s="218"/>
      <c r="E12" s="221"/>
      <c r="F12" s="223" t="str">
        <f>VLOOKUP(A12&amp;D12,'VISIT DATA'!A:N,10,FALSE)</f>
        <v>#N/A</v>
      </c>
      <c r="G12" s="242"/>
      <c r="H12" s="224"/>
      <c r="I12" s="224"/>
      <c r="J12" s="225"/>
      <c r="K12" s="216" t="str">
        <f t="shared" si="1"/>
        <v>X</v>
      </c>
      <c r="L12" s="226" t="str">
        <f t="shared" si="2"/>
        <v>#N/A</v>
      </c>
      <c r="M12" s="227" t="str">
        <f t="shared" si="3"/>
        <v>#N/A</v>
      </c>
      <c r="N12" s="228" t="str">
        <f t="shared" si="4"/>
        <v>#N/A</v>
      </c>
      <c r="O12" s="220" t="str">
        <f t="shared" si="5"/>
        <v>#N/A</v>
      </c>
      <c r="P12" s="220" t="str">
        <f t="shared" si="6"/>
        <v>#N/A</v>
      </c>
      <c r="Q12" s="221">
        <f t="shared" si="7"/>
        <v>0</v>
      </c>
      <c r="R12" s="229" t="str">
        <f>ifs($J12="",VLOOKUP($A12&amp;$D12,'VISIT DATA'!$A$2:$J100,7,FALSE), $J12="SWAB","OUTSA-RW",$J12="SWQU","OUTSA-SaQu", AND($H12="X",$I12="X",$J12="QUEST"),"OUT-UAQPre",$J12="QUEST","OUT-UAQ", $J12="Walk in","ColUATele")</f>
        <v>#N/A</v>
      </c>
      <c r="S12" s="285"/>
    </row>
    <row r="13">
      <c r="A13" s="285"/>
      <c r="B13" s="284" t="str">
        <f>IFS($A13=FALSE,"",$A13,VLOOKUP($A13,'PATIENT DATA (072721)'!A:C, 2, 0))</f>
        <v/>
      </c>
      <c r="C13" s="226" t="str">
        <f>IFS($A13=FALSE,"",$A13,VLOOKUP($A13,'PATIENT DATA (072721)'!A:C, 3, 0))</f>
        <v/>
      </c>
      <c r="D13" s="218"/>
      <c r="E13" s="221"/>
      <c r="F13" s="223" t="str">
        <f>VLOOKUP(A13&amp;D13,'VISIT DATA'!A:N,10,FALSE)</f>
        <v>#N/A</v>
      </c>
      <c r="G13" s="242"/>
      <c r="H13" s="224"/>
      <c r="I13" s="224"/>
      <c r="J13" s="225"/>
      <c r="K13" s="216" t="str">
        <f t="shared" si="1"/>
        <v>X</v>
      </c>
      <c r="L13" s="226" t="str">
        <f t="shared" si="2"/>
        <v>#N/A</v>
      </c>
      <c r="M13" s="227" t="str">
        <f t="shared" si="3"/>
        <v>#N/A</v>
      </c>
      <c r="N13" s="228" t="str">
        <f t="shared" si="4"/>
        <v>#N/A</v>
      </c>
      <c r="O13" s="220" t="str">
        <f t="shared" si="5"/>
        <v>#N/A</v>
      </c>
      <c r="P13" s="220" t="str">
        <f t="shared" si="6"/>
        <v>#N/A</v>
      </c>
      <c r="Q13" s="221">
        <f t="shared" si="7"/>
        <v>0</v>
      </c>
      <c r="R13" s="229" t="str">
        <f>ifs($J13="",VLOOKUP($A13&amp;$D13,'VISIT DATA'!$A$2:$J100,7,FALSE), $J13="SWAB","OUTSA-RW",$J13="SWQU","OUTSA-SaQu", AND($H13="X",$I13="X",$J13="QUEST"),"OUT-UAQPre",$J13="QUEST","OUT-UAQ", $J13="Walk in","ColUATele")</f>
        <v>#N/A</v>
      </c>
      <c r="S13" s="285"/>
    </row>
    <row r="14">
      <c r="A14" s="285"/>
      <c r="B14" s="284" t="str">
        <f>IFS($A14=FALSE,"",$A14,VLOOKUP($A14,'PATIENT DATA (072721)'!A:C, 2, 0))</f>
        <v/>
      </c>
      <c r="C14" s="226" t="str">
        <f>IFS($A14=FALSE,"",$A14,VLOOKUP($A14,'PATIENT DATA (072721)'!A:C, 3, 0))</f>
        <v/>
      </c>
      <c r="D14" s="218"/>
      <c r="E14" s="221"/>
      <c r="F14" s="223" t="str">
        <f>VLOOKUP(A14&amp;D14,'VISIT DATA'!A:N,10,FALSE)</f>
        <v>#N/A</v>
      </c>
      <c r="G14" s="225"/>
      <c r="H14" s="224"/>
      <c r="I14" s="224"/>
      <c r="J14" s="225"/>
      <c r="K14" s="216" t="str">
        <f t="shared" si="1"/>
        <v>X</v>
      </c>
      <c r="L14" s="226" t="str">
        <f t="shared" si="2"/>
        <v>#N/A</v>
      </c>
      <c r="M14" s="227" t="str">
        <f t="shared" si="3"/>
        <v>#N/A</v>
      </c>
      <c r="N14" s="228" t="str">
        <f t="shared" si="4"/>
        <v>#N/A</v>
      </c>
      <c r="O14" s="220" t="str">
        <f t="shared" si="5"/>
        <v>#N/A</v>
      </c>
      <c r="P14" s="220" t="str">
        <f t="shared" si="6"/>
        <v>#N/A</v>
      </c>
      <c r="Q14" s="221">
        <f t="shared" si="7"/>
        <v>0</v>
      </c>
      <c r="R14" s="229" t="str">
        <f>ifs($J14="",VLOOKUP($A14&amp;$D14,'VISIT DATA'!$A$2:$J100,7,FALSE), $J14="SWAB","OUTSA-RW",$J14="SWQU","OUTSA-SaQu", AND($H14="X",$I14="X",$J14="QUEST"),"OUT-UAQPre",$J14="QUEST","OUT-UAQ", $J14="Walk in","ColUATele")</f>
        <v>#N/A</v>
      </c>
      <c r="S14" s="285"/>
    </row>
    <row r="15">
      <c r="A15" s="285"/>
      <c r="B15" s="284" t="str">
        <f>IFS($A15=FALSE,"",$A15,VLOOKUP($A15,'PATIENT DATA (072721)'!A:C, 2, 0))</f>
        <v/>
      </c>
      <c r="C15" s="226" t="str">
        <f>IFS($A15=FALSE,"",$A15,VLOOKUP($A15,'PATIENT DATA (072721)'!A:C, 3, 0))</f>
        <v/>
      </c>
      <c r="D15" s="218"/>
      <c r="E15" s="221"/>
      <c r="F15" s="223" t="str">
        <f>VLOOKUP(A15&amp;D15,'VISIT DATA'!A:N,10,FALSE)</f>
        <v>#N/A</v>
      </c>
      <c r="G15" s="225"/>
      <c r="H15" s="224"/>
      <c r="I15" s="224"/>
      <c r="J15" s="225"/>
      <c r="K15" s="216" t="str">
        <f t="shared" si="1"/>
        <v>X</v>
      </c>
      <c r="L15" s="226" t="str">
        <f t="shared" si="2"/>
        <v>#N/A</v>
      </c>
      <c r="M15" s="227" t="str">
        <f t="shared" si="3"/>
        <v>#N/A</v>
      </c>
      <c r="N15" s="228" t="str">
        <f t="shared" si="4"/>
        <v>#N/A</v>
      </c>
      <c r="O15" s="220" t="str">
        <f t="shared" si="5"/>
        <v>#N/A</v>
      </c>
      <c r="P15" s="220" t="str">
        <f t="shared" si="6"/>
        <v>#N/A</v>
      </c>
      <c r="Q15" s="221">
        <f t="shared" si="7"/>
        <v>0</v>
      </c>
      <c r="R15" s="229" t="str">
        <f>ifs($J15="",VLOOKUP($A15&amp;$D15,'VISIT DATA'!$A$2:$J100,7,FALSE), $J15="SWAB","OUTSA-RW",$J15="SWQU","OUTSA-SaQu", AND($H15="X",$I15="X",$J15="QUEST"),"OUT-UAQPre",$J15="QUEST","OUT-UAQ", $J15="Walk in","ColUATele")</f>
        <v>#N/A</v>
      </c>
      <c r="S15" s="285"/>
    </row>
    <row r="16">
      <c r="A16" s="285"/>
      <c r="B16" s="284" t="str">
        <f>IFS($A16=FALSE,"",$A16,VLOOKUP($A16,'PATIENT DATA (072721)'!A:C, 2, 0))</f>
        <v/>
      </c>
      <c r="C16" s="226" t="str">
        <f>IFS($A16=FALSE,"",$A16,VLOOKUP($A16,'PATIENT DATA (072721)'!A:C, 3, 0))</f>
        <v/>
      </c>
      <c r="D16" s="218"/>
      <c r="E16" s="221"/>
      <c r="F16" s="223" t="str">
        <f>VLOOKUP(A16&amp;D16,'VISIT DATA'!A:N,10,FALSE)</f>
        <v>#N/A</v>
      </c>
      <c r="G16" s="224"/>
      <c r="H16" s="224"/>
      <c r="I16" s="224"/>
      <c r="J16" s="225"/>
      <c r="K16" s="216" t="str">
        <f t="shared" si="1"/>
        <v>X</v>
      </c>
      <c r="L16" s="226" t="str">
        <f t="shared" si="2"/>
        <v>#N/A</v>
      </c>
      <c r="M16" s="227" t="str">
        <f t="shared" si="3"/>
        <v>#N/A</v>
      </c>
      <c r="N16" s="228" t="str">
        <f t="shared" si="4"/>
        <v>#N/A</v>
      </c>
      <c r="O16" s="220" t="str">
        <f t="shared" si="5"/>
        <v>#N/A</v>
      </c>
      <c r="P16" s="220" t="str">
        <f t="shared" si="6"/>
        <v>#N/A</v>
      </c>
      <c r="Q16" s="221">
        <f t="shared" si="7"/>
        <v>0</v>
      </c>
      <c r="R16" s="229" t="str">
        <f>ifs($J16="",VLOOKUP($A16&amp;$D16,'VISIT DATA'!$A$2:$J100,7,FALSE), $J16="SWAB","OUTSA-RW",$J16="SWQU","OUTSA-SaQu", AND($H16="X",$I16="X",$J16="QUEST"),"OUT-UAQPre",$J16="QUEST","OUT-UAQ", $J16="Walk in","ColUATele")</f>
        <v>#N/A</v>
      </c>
      <c r="S16" s="285"/>
    </row>
    <row r="17">
      <c r="A17" s="285"/>
      <c r="B17" s="284" t="str">
        <f>IFS($A17=FALSE,"",$A17,VLOOKUP($A17,'PATIENT DATA (072721)'!A:C, 2, 0))</f>
        <v/>
      </c>
      <c r="C17" s="226" t="str">
        <f>IFS($A17=FALSE,"",$A17,VLOOKUP($A17,'PATIENT DATA (072721)'!A:C, 3, 0))</f>
        <v/>
      </c>
      <c r="D17" s="218"/>
      <c r="E17" s="221"/>
      <c r="F17" s="223" t="str">
        <f>VLOOKUP(A17&amp;D17,'VISIT DATA'!A:N,10,FALSE)</f>
        <v>#N/A</v>
      </c>
      <c r="G17" s="225"/>
      <c r="H17" s="224"/>
      <c r="I17" s="224"/>
      <c r="J17" s="224"/>
      <c r="K17" s="216" t="str">
        <f t="shared" si="1"/>
        <v>X</v>
      </c>
      <c r="L17" s="226" t="str">
        <f t="shared" si="2"/>
        <v>#N/A</v>
      </c>
      <c r="M17" s="227" t="str">
        <f t="shared" si="3"/>
        <v>#N/A</v>
      </c>
      <c r="N17" s="228" t="str">
        <f t="shared" si="4"/>
        <v>#N/A</v>
      </c>
      <c r="O17" s="220" t="str">
        <f t="shared" si="5"/>
        <v>#N/A</v>
      </c>
      <c r="P17" s="220" t="str">
        <f t="shared" si="6"/>
        <v>#N/A</v>
      </c>
      <c r="Q17" s="221">
        <f t="shared" si="7"/>
        <v>0</v>
      </c>
      <c r="R17" s="229" t="str">
        <f>ifs($J17="",VLOOKUP($A17&amp;$D17,'VISIT DATA'!$A$2:$J100,7,FALSE), $J17="SWAB","OUTSA-RW",$J17="SWQU","OUTSA-SaQu", AND($H17="X",$I17="X",$J17="QUEST"),"OUT-UAQPre",$J17="QUEST","OUT-UAQ", $J17="Walk in","ColUATele")</f>
        <v>#N/A</v>
      </c>
      <c r="S17" s="285"/>
    </row>
    <row r="18">
      <c r="A18" s="285"/>
      <c r="B18" s="284" t="str">
        <f>IFS($A18=FALSE,"",$A18,VLOOKUP($A18,'PATIENT DATA (072721)'!A:C, 2, 0))</f>
        <v/>
      </c>
      <c r="C18" s="226" t="str">
        <f>IFS($A18=FALSE,"",$A18,VLOOKUP($A18,'PATIENT DATA (072721)'!A:C, 3, 0))</f>
        <v/>
      </c>
      <c r="D18" s="218"/>
      <c r="E18" s="221"/>
      <c r="F18" s="223" t="str">
        <f>VLOOKUP(A18&amp;D18,'VISIT DATA'!A:N,10,FALSE)</f>
        <v>#N/A</v>
      </c>
      <c r="G18" s="224"/>
      <c r="H18" s="224"/>
      <c r="I18" s="224"/>
      <c r="J18" s="224"/>
      <c r="K18" s="216" t="str">
        <f t="shared" si="1"/>
        <v>X</v>
      </c>
      <c r="L18" s="226" t="str">
        <f t="shared" si="2"/>
        <v>#N/A</v>
      </c>
      <c r="M18" s="227" t="str">
        <f t="shared" si="3"/>
        <v>#N/A</v>
      </c>
      <c r="N18" s="228" t="str">
        <f t="shared" si="4"/>
        <v>#N/A</v>
      </c>
      <c r="O18" s="220" t="str">
        <f t="shared" si="5"/>
        <v>#N/A</v>
      </c>
      <c r="P18" s="220" t="str">
        <f t="shared" si="6"/>
        <v>#N/A</v>
      </c>
      <c r="Q18" s="221">
        <f t="shared" si="7"/>
        <v>0</v>
      </c>
      <c r="R18" s="229" t="str">
        <f>ifs($J18="",VLOOKUP($A18&amp;$D18,'VISIT DATA'!$A$2:$J100,7,FALSE), $J18="SWAB","OUTSA-RW",$J18="SWQU","OUTSA-SaQu", AND($H18="X",$I18="X",$J18="QUEST"),"OUT-UAQPre",$J18="QUEST","OUT-UAQ", $J18="Walk in","ColUATele")</f>
        <v>#N/A</v>
      </c>
      <c r="S18" s="285"/>
    </row>
    <row r="19">
      <c r="A19" s="285"/>
      <c r="B19" s="284" t="str">
        <f>IFS($A19=FALSE,"",$A19,VLOOKUP($A19,'PATIENT DATA (072721)'!A:C, 2, 0))</f>
        <v/>
      </c>
      <c r="C19" s="226" t="str">
        <f>IFS($A19=FALSE,"",$A19,VLOOKUP($A19,'PATIENT DATA (072721)'!A:C, 3, 0))</f>
        <v/>
      </c>
      <c r="D19" s="218"/>
      <c r="E19" s="221"/>
      <c r="F19" s="223" t="str">
        <f>VLOOKUP(A19&amp;D19,'VISIT DATA'!A:N,10,FALSE)</f>
        <v>#N/A</v>
      </c>
      <c r="G19" s="225"/>
      <c r="H19" s="224"/>
      <c r="I19" s="224"/>
      <c r="J19" s="225"/>
      <c r="K19" s="216" t="str">
        <f t="shared" si="1"/>
        <v>X</v>
      </c>
      <c r="L19" s="226" t="str">
        <f t="shared" si="2"/>
        <v>#N/A</v>
      </c>
      <c r="M19" s="227" t="str">
        <f t="shared" si="3"/>
        <v>#N/A</v>
      </c>
      <c r="N19" s="228" t="str">
        <f t="shared" si="4"/>
        <v>#N/A</v>
      </c>
      <c r="O19" s="220" t="str">
        <f t="shared" si="5"/>
        <v>#N/A</v>
      </c>
      <c r="P19" s="220" t="str">
        <f t="shared" si="6"/>
        <v>#N/A</v>
      </c>
      <c r="Q19" s="221">
        <f t="shared" si="7"/>
        <v>0</v>
      </c>
      <c r="R19" s="229" t="str">
        <f>ifs($J19="",VLOOKUP($A19&amp;$D19,'VISIT DATA'!$A$2:$J100,7,FALSE), $J19="SWAB","OUTSA-RW",$J19="SWQU","OUTSA-SaQu", AND($H19="X",$I19="X",$J19="QUEST"),"OUT-UAQPre",$J19="QUEST","OUT-UAQ", $J19="Walk in","ColUATele")</f>
        <v>#N/A</v>
      </c>
      <c r="S19" s="285"/>
    </row>
    <row r="20">
      <c r="A20" s="285"/>
      <c r="B20" s="284" t="str">
        <f>IFS($A20=FALSE,"",$A20,VLOOKUP($A20,'PATIENT DATA (072721)'!A:C, 2, 0))</f>
        <v/>
      </c>
      <c r="C20" s="226" t="str">
        <f>IFS($A20=FALSE,"",$A20,VLOOKUP($A20,'PATIENT DATA (072721)'!A:C, 3, 0))</f>
        <v/>
      </c>
      <c r="D20" s="218"/>
      <c r="E20" s="221"/>
      <c r="F20" s="223" t="str">
        <f>VLOOKUP(A20&amp;D20,'VISIT DATA'!A:N,10,FALSE)</f>
        <v>#N/A</v>
      </c>
      <c r="G20" s="225"/>
      <c r="H20" s="224"/>
      <c r="I20" s="224"/>
      <c r="J20" s="224"/>
      <c r="K20" s="216" t="str">
        <f t="shared" si="1"/>
        <v>X</v>
      </c>
      <c r="L20" s="226" t="str">
        <f t="shared" si="2"/>
        <v>#N/A</v>
      </c>
      <c r="M20" s="227" t="str">
        <f t="shared" si="3"/>
        <v>#N/A</v>
      </c>
      <c r="N20" s="228" t="str">
        <f t="shared" si="4"/>
        <v>#N/A</v>
      </c>
      <c r="O20" s="220" t="str">
        <f t="shared" si="5"/>
        <v>#N/A</v>
      </c>
      <c r="P20" s="220" t="str">
        <f t="shared" si="6"/>
        <v>#N/A</v>
      </c>
      <c r="Q20" s="221">
        <f t="shared" si="7"/>
        <v>0</v>
      </c>
      <c r="R20" s="229" t="str">
        <f>ifs($J20="",VLOOKUP($A20&amp;$D20,'VISIT DATA'!$A$2:$J100,7,FALSE), $J20="SWAB","OUTSA-RW",$J20="SWQU","OUTSA-SaQu", AND($H20="X",$I20="X",$J20="QUEST"),"OUT-UAQPre",$J20="QUEST","OUT-UAQ", $J20="Walk in","ColUATele")</f>
        <v>#N/A</v>
      </c>
      <c r="S20" s="285"/>
    </row>
    <row r="21">
      <c r="A21" s="285"/>
      <c r="B21" s="284" t="str">
        <f>IFS($A21=FALSE,"",$A21,VLOOKUP($A21,'PATIENT DATA (072721)'!A:C, 2, 0))</f>
        <v/>
      </c>
      <c r="C21" s="226" t="str">
        <f>IFS($A21=FALSE,"",$A21,VLOOKUP($A21,'PATIENT DATA (072721)'!A:C, 3, 0))</f>
        <v/>
      </c>
      <c r="D21" s="218"/>
      <c r="E21" s="221"/>
      <c r="F21" s="223" t="str">
        <f>VLOOKUP(A21&amp;D21,'VISIT DATA'!A:N,10,FALSE)</f>
        <v>#N/A</v>
      </c>
      <c r="G21" s="225"/>
      <c r="H21" s="224"/>
      <c r="I21" s="224"/>
      <c r="J21" s="225"/>
      <c r="K21" s="216" t="str">
        <f t="shared" si="1"/>
        <v>X</v>
      </c>
      <c r="L21" s="226" t="str">
        <f t="shared" si="2"/>
        <v>#N/A</v>
      </c>
      <c r="M21" s="227" t="str">
        <f t="shared" si="3"/>
        <v>#N/A</v>
      </c>
      <c r="N21" s="228" t="str">
        <f t="shared" si="4"/>
        <v>#N/A</v>
      </c>
      <c r="O21" s="220" t="str">
        <f t="shared" si="5"/>
        <v>#N/A</v>
      </c>
      <c r="P21" s="220" t="str">
        <f t="shared" si="6"/>
        <v>#N/A</v>
      </c>
      <c r="Q21" s="221">
        <f t="shared" si="7"/>
        <v>0</v>
      </c>
      <c r="R21" s="229" t="str">
        <f>ifs($J21="",VLOOKUP($A21&amp;$D21,'VISIT DATA'!$A$2:$J100,7,FALSE), $J21="SWAB","OUTSA-RW",$J21="SWQU","OUTSA-SaQu", AND($H21="X",$I21="X",$J21="QUEST"),"OUT-UAQPre",$J21="QUEST","OUT-UAQ", $J21="Walk in","ColUATele")</f>
        <v>#N/A</v>
      </c>
      <c r="S21" s="285"/>
    </row>
    <row r="22">
      <c r="A22" s="285"/>
      <c r="B22" s="284" t="str">
        <f>IFS($A22=FALSE,"",$A22,VLOOKUP($A22,'PATIENT DATA (072721)'!A:C, 2, 0))</f>
        <v/>
      </c>
      <c r="C22" s="226" t="str">
        <f>IFS($A22=FALSE,"",$A22,VLOOKUP($A22,'PATIENT DATA (072721)'!A:C, 3, 0))</f>
        <v/>
      </c>
      <c r="D22" s="218"/>
      <c r="E22" s="221"/>
      <c r="F22" s="223" t="str">
        <f>VLOOKUP(A22&amp;D22,'VISIT DATA'!A:N,10,FALSE)</f>
        <v>#N/A</v>
      </c>
      <c r="G22" s="225"/>
      <c r="H22" s="224"/>
      <c r="I22" s="224"/>
      <c r="J22" s="225"/>
      <c r="K22" s="216" t="str">
        <f t="shared" si="1"/>
        <v>X</v>
      </c>
      <c r="L22" s="226" t="str">
        <f t="shared" si="2"/>
        <v>#N/A</v>
      </c>
      <c r="M22" s="227" t="str">
        <f t="shared" si="3"/>
        <v>#N/A</v>
      </c>
      <c r="N22" s="228" t="str">
        <f t="shared" si="4"/>
        <v>#N/A</v>
      </c>
      <c r="O22" s="220" t="str">
        <f t="shared" si="5"/>
        <v>#N/A</v>
      </c>
      <c r="P22" s="220" t="str">
        <f t="shared" si="6"/>
        <v>#N/A</v>
      </c>
      <c r="Q22" s="221">
        <f t="shared" si="7"/>
        <v>0</v>
      </c>
      <c r="R22" s="229" t="str">
        <f>ifs($J22="",VLOOKUP($A22&amp;$D22,'VISIT DATA'!$A$2:$J100,7,FALSE), $J22="SWAB","OUTSA-RW",$J22="SWQU","OUTSA-SaQu", AND($H22="X",$I22="X",$J22="QUEST"),"OUT-UAQPre",$J22="QUEST","OUT-UAQ", $J22="Walk in","ColUATele")</f>
        <v>#N/A</v>
      </c>
      <c r="S22" s="285"/>
    </row>
    <row r="23">
      <c r="A23" s="285"/>
      <c r="B23" s="284" t="str">
        <f>IFS($A23=FALSE,"",$A23,VLOOKUP($A23,'PATIENT DATA (072721)'!A:C, 2, 0))</f>
        <v/>
      </c>
      <c r="C23" s="226" t="str">
        <f>IFS($A23=FALSE,"",$A23,VLOOKUP($A23,'PATIENT DATA (072721)'!A:C, 3, 0))</f>
        <v/>
      </c>
      <c r="D23" s="218"/>
      <c r="E23" s="221"/>
      <c r="F23" s="223" t="str">
        <f>VLOOKUP(A23&amp;D23,'VISIT DATA'!A:N,10,FALSE)</f>
        <v>#N/A</v>
      </c>
      <c r="G23" s="225"/>
      <c r="H23" s="224"/>
      <c r="I23" s="224"/>
      <c r="J23" s="225"/>
      <c r="K23" s="216" t="str">
        <f t="shared" si="1"/>
        <v>X</v>
      </c>
      <c r="L23" s="226" t="str">
        <f t="shared" si="2"/>
        <v>#N/A</v>
      </c>
      <c r="M23" s="227" t="str">
        <f t="shared" si="3"/>
        <v>#N/A</v>
      </c>
      <c r="N23" s="228" t="str">
        <f t="shared" si="4"/>
        <v>#N/A</v>
      </c>
      <c r="O23" s="220" t="str">
        <f t="shared" si="5"/>
        <v>#N/A</v>
      </c>
      <c r="P23" s="220" t="str">
        <f t="shared" si="6"/>
        <v>#N/A</v>
      </c>
      <c r="Q23" s="221">
        <f t="shared" si="7"/>
        <v>0</v>
      </c>
      <c r="R23" s="229" t="str">
        <f>ifs($J23="",VLOOKUP($A23&amp;$D23,'VISIT DATA'!$A$2:$J100,7,FALSE), $J23="SWAB","OUTSA-RW",$J23="SWQU","OUTSA-SaQu", AND($H23="X",$I23="X",$J23="QUEST"),"OUT-UAQPre",$J23="QUEST","OUT-UAQ", $J23="Walk in","ColUATele")</f>
        <v>#N/A</v>
      </c>
      <c r="S23" s="285"/>
    </row>
    <row r="24">
      <c r="A24" s="285"/>
      <c r="B24" s="284" t="str">
        <f>IFS($A24=FALSE,"",$A24,VLOOKUP($A24,'PATIENT DATA (072721)'!A:C, 2, 0))</f>
        <v/>
      </c>
      <c r="C24" s="226" t="str">
        <f>IFS($A24=FALSE,"",$A24,VLOOKUP($A24,'PATIENT DATA (072721)'!A:C, 3, 0))</f>
        <v/>
      </c>
      <c r="D24" s="218"/>
      <c r="E24" s="221"/>
      <c r="F24" s="223" t="str">
        <f>VLOOKUP(A24&amp;D24,'VISIT DATA'!A:N,10,FALSE)</f>
        <v>#N/A</v>
      </c>
      <c r="G24" s="225"/>
      <c r="H24" s="224"/>
      <c r="I24" s="224"/>
      <c r="J24" s="225"/>
      <c r="K24" s="216" t="str">
        <f t="shared" si="1"/>
        <v>X</v>
      </c>
      <c r="L24" s="226" t="str">
        <f t="shared" si="2"/>
        <v>#N/A</v>
      </c>
      <c r="M24" s="227" t="str">
        <f t="shared" si="3"/>
        <v>#N/A</v>
      </c>
      <c r="N24" s="228" t="str">
        <f t="shared" si="4"/>
        <v>#N/A</v>
      </c>
      <c r="O24" s="220" t="str">
        <f t="shared" si="5"/>
        <v>#N/A</v>
      </c>
      <c r="P24" s="220" t="str">
        <f t="shared" si="6"/>
        <v>#N/A</v>
      </c>
      <c r="Q24" s="221">
        <f t="shared" si="7"/>
        <v>0</v>
      </c>
      <c r="R24" s="229" t="str">
        <f>ifs($J24="",VLOOKUP($A24&amp;$D24,'VISIT DATA'!$A$2:$J100,7,FALSE), $J24="SWAB","OUTSA-RW",$J24="SWQU","OUTSA-SaQu", AND($H24="X",$I24="X",$J24="QUEST"),"OUT-UAQPre",$J24="QUEST","OUT-UAQ", $J24="Walk in","ColUATele")</f>
        <v>#N/A</v>
      </c>
      <c r="S24" s="285"/>
    </row>
    <row r="25">
      <c r="A25" s="285"/>
      <c r="B25" s="284" t="str">
        <f>IFS($A25=FALSE,"",$A25,VLOOKUP($A25,'PATIENT DATA (072721)'!A:C, 2, 0))</f>
        <v/>
      </c>
      <c r="C25" s="226" t="str">
        <f>IFS($A25=FALSE,"",$A25,VLOOKUP($A25,'PATIENT DATA (072721)'!A:C, 3, 0))</f>
        <v/>
      </c>
      <c r="D25" s="218"/>
      <c r="E25" s="221"/>
      <c r="F25" s="223" t="str">
        <f>VLOOKUP(A25&amp;D25,'VISIT DATA'!A:N,10,FALSE)</f>
        <v>#N/A</v>
      </c>
      <c r="G25" s="224"/>
      <c r="H25" s="224"/>
      <c r="I25" s="224"/>
      <c r="J25" s="225"/>
      <c r="K25" s="216" t="str">
        <f t="shared" si="1"/>
        <v>X</v>
      </c>
      <c r="L25" s="226" t="str">
        <f t="shared" si="2"/>
        <v>#N/A</v>
      </c>
      <c r="M25" s="227" t="str">
        <f t="shared" si="3"/>
        <v>#N/A</v>
      </c>
      <c r="N25" s="228" t="str">
        <f t="shared" si="4"/>
        <v>#N/A</v>
      </c>
      <c r="O25" s="220" t="str">
        <f t="shared" si="5"/>
        <v>#N/A</v>
      </c>
      <c r="P25" s="220" t="str">
        <f t="shared" si="6"/>
        <v>#N/A</v>
      </c>
      <c r="Q25" s="221">
        <f t="shared" si="7"/>
        <v>0</v>
      </c>
      <c r="R25" s="229" t="str">
        <f>ifs($J25="",VLOOKUP($A25&amp;$D25,'VISIT DATA'!$A$2:$J100,7,FALSE), $J25="SWAB","OUTSA-RW",$J25="SWQU","OUTSA-SaQu", AND($H25="X",$I25="X",$J25="QUEST"),"OUT-UAQPre",$J25="QUEST","OUT-UAQ", $J25="Walk in","ColUATele")</f>
        <v>#N/A</v>
      </c>
      <c r="S25" s="285"/>
    </row>
    <row r="26">
      <c r="A26" s="285"/>
      <c r="B26" s="284" t="str">
        <f>IFS($A26=FALSE,"",$A26,VLOOKUP($A26,'PATIENT DATA (072721)'!A:C, 2, 0))</f>
        <v/>
      </c>
      <c r="C26" s="226" t="str">
        <f>IFS($A26=FALSE,"",$A26,VLOOKUP($A26,'PATIENT DATA (072721)'!A:C, 3, 0))</f>
        <v/>
      </c>
      <c r="D26" s="218"/>
      <c r="E26" s="221"/>
      <c r="F26" s="223" t="str">
        <f>VLOOKUP(A26&amp;D26,'VISIT DATA'!A:N,10,FALSE)</f>
        <v>#N/A</v>
      </c>
      <c r="G26" s="224"/>
      <c r="H26" s="224"/>
      <c r="I26" s="224"/>
      <c r="J26" s="224"/>
      <c r="K26" s="216" t="str">
        <f t="shared" si="1"/>
        <v>X</v>
      </c>
      <c r="L26" s="226" t="str">
        <f t="shared" si="2"/>
        <v>#N/A</v>
      </c>
      <c r="M26" s="227" t="str">
        <f t="shared" si="3"/>
        <v>#N/A</v>
      </c>
      <c r="N26" s="228" t="str">
        <f t="shared" si="4"/>
        <v>#N/A</v>
      </c>
      <c r="O26" s="220" t="str">
        <f t="shared" si="5"/>
        <v>#N/A</v>
      </c>
      <c r="P26" s="220" t="str">
        <f t="shared" si="6"/>
        <v>#N/A</v>
      </c>
      <c r="Q26" s="221">
        <f t="shared" si="7"/>
        <v>0</v>
      </c>
      <c r="R26" s="229" t="str">
        <f>ifs($J26="",VLOOKUP($A26&amp;$D26,'VISIT DATA'!$A$2:$J100,7,FALSE), $J26="SWAB","OUTSA-RW",$J26="SWQU","OUTSA-SaQu", AND($H26="X",$I26="X",$J26="QUEST"),"OUT-UAQPre",$J26="QUEST","OUT-UAQ", $J26="Walk in","ColUATele")</f>
        <v>#N/A</v>
      </c>
      <c r="S26" s="285"/>
    </row>
    <row r="27">
      <c r="A27" s="285"/>
      <c r="B27" s="284" t="str">
        <f>IFS($A27=FALSE,"",$A27,VLOOKUP($A27,'PATIENT DATA (072721)'!A:C, 2, 0))</f>
        <v/>
      </c>
      <c r="C27" s="226" t="str">
        <f>IFS($A27=FALSE,"",$A27,VLOOKUP($A27,'PATIENT DATA (072721)'!A:C, 3, 0))</f>
        <v/>
      </c>
      <c r="D27" s="218"/>
      <c r="E27" s="221"/>
      <c r="F27" s="223" t="str">
        <f>VLOOKUP(A27&amp;D27,'VISIT DATA'!A:N,10,FALSE)</f>
        <v>#N/A</v>
      </c>
      <c r="G27" s="224"/>
      <c r="H27" s="224"/>
      <c r="I27" s="224"/>
      <c r="J27" s="225"/>
      <c r="K27" s="216" t="str">
        <f t="shared" si="1"/>
        <v>X</v>
      </c>
      <c r="L27" s="226" t="str">
        <f t="shared" si="2"/>
        <v>#N/A</v>
      </c>
      <c r="M27" s="227" t="str">
        <f t="shared" si="3"/>
        <v>#N/A</v>
      </c>
      <c r="N27" s="228" t="str">
        <f t="shared" si="4"/>
        <v>#N/A</v>
      </c>
      <c r="O27" s="220" t="str">
        <f t="shared" si="5"/>
        <v>#N/A</v>
      </c>
      <c r="P27" s="220" t="str">
        <f t="shared" si="6"/>
        <v>#N/A</v>
      </c>
      <c r="Q27" s="221">
        <f t="shared" si="7"/>
        <v>0</v>
      </c>
      <c r="R27" s="229" t="str">
        <f>ifs($J27="",VLOOKUP($A27&amp;$D27,'VISIT DATA'!$A$2:$J100,7,FALSE), $J27="SWAB","OUTSA-RW",$J27="SWQU","OUTSA-SaQu", AND($H27="X",$I27="X",$J27="QUEST"),"OUT-UAQPre",$J27="QUEST","OUT-UAQ", $J27="Walk in","ColUATele")</f>
        <v>#N/A</v>
      </c>
      <c r="S27" s="285"/>
    </row>
    <row r="28">
      <c r="A28" s="285"/>
      <c r="B28" s="284" t="str">
        <f>IFS($A28=FALSE,"",$A28,VLOOKUP($A28,'PATIENT DATA (072721)'!A:C, 2, 0))</f>
        <v/>
      </c>
      <c r="C28" s="226" t="str">
        <f>IFS($A28=FALSE,"",$A28,VLOOKUP($A28,'PATIENT DATA (072721)'!A:C, 3, 0))</f>
        <v/>
      </c>
      <c r="D28" s="218"/>
      <c r="E28" s="221"/>
      <c r="F28" s="223" t="str">
        <f>VLOOKUP(A28&amp;D28,'VISIT DATA'!A:N,10,FALSE)</f>
        <v>#N/A</v>
      </c>
      <c r="G28" s="224"/>
      <c r="H28" s="224"/>
      <c r="I28" s="224"/>
      <c r="J28" s="225"/>
      <c r="K28" s="216" t="str">
        <f t="shared" si="1"/>
        <v>X</v>
      </c>
      <c r="L28" s="226" t="str">
        <f t="shared" si="2"/>
        <v>#N/A</v>
      </c>
      <c r="M28" s="227" t="str">
        <f t="shared" si="3"/>
        <v>#N/A</v>
      </c>
      <c r="N28" s="228" t="str">
        <f t="shared" si="4"/>
        <v>#N/A</v>
      </c>
      <c r="O28" s="220" t="str">
        <f t="shared" si="5"/>
        <v>#N/A</v>
      </c>
      <c r="P28" s="220" t="str">
        <f t="shared" si="6"/>
        <v>#N/A</v>
      </c>
      <c r="Q28" s="221">
        <f t="shared" si="7"/>
        <v>0</v>
      </c>
      <c r="R28" s="229" t="str">
        <f>ifs($J28="",VLOOKUP($A28&amp;$D28,'VISIT DATA'!$A$2:$J100,7,FALSE), $J28="SWAB","OUTSA-RW",$J28="SWQU","OUTSA-SaQu", AND($H28="X",$I28="X",$J28="QUEST"),"OUT-UAQPre",$J28="QUEST","OUT-UAQ", $J28="Walk in","ColUATele")</f>
        <v>#N/A</v>
      </c>
      <c r="S28" s="285"/>
    </row>
    <row r="29">
      <c r="A29" s="285"/>
      <c r="B29" s="284" t="str">
        <f>IFS($A29=FALSE,"",$A29,VLOOKUP($A29,'PATIENT DATA (072721)'!A:C, 2, 0))</f>
        <v/>
      </c>
      <c r="C29" s="226" t="str">
        <f>IFS($A29=FALSE,"",$A29,VLOOKUP($A29,'PATIENT DATA (072721)'!A:C, 3, 0))</f>
        <v/>
      </c>
      <c r="D29" s="218"/>
      <c r="E29" s="221"/>
      <c r="F29" s="223" t="str">
        <f>VLOOKUP(A29&amp;D29,'VISIT DATA'!A:N,10,FALSE)</f>
        <v>#N/A</v>
      </c>
      <c r="G29" s="224"/>
      <c r="H29" s="224"/>
      <c r="I29" s="224"/>
      <c r="J29" s="224"/>
      <c r="K29" s="216" t="str">
        <f t="shared" si="1"/>
        <v>X</v>
      </c>
      <c r="L29" s="226" t="str">
        <f t="shared" si="2"/>
        <v>#N/A</v>
      </c>
      <c r="M29" s="227" t="str">
        <f t="shared" si="3"/>
        <v>#N/A</v>
      </c>
      <c r="N29" s="228" t="str">
        <f t="shared" si="4"/>
        <v>#N/A</v>
      </c>
      <c r="O29" s="220" t="str">
        <f t="shared" si="5"/>
        <v>#N/A</v>
      </c>
      <c r="P29" s="220" t="str">
        <f t="shared" si="6"/>
        <v>#N/A</v>
      </c>
      <c r="Q29" s="221">
        <f t="shared" si="7"/>
        <v>0</v>
      </c>
      <c r="R29" s="229" t="str">
        <f>ifs($J29="",VLOOKUP($A29&amp;$D29,'VISIT DATA'!$A$2:$J100,7,FALSE), $J29="SWAB","OUTSA-RW",$J29="SWQU","OUTSA-SaQu", AND($H29="X",$I29="X",$J29="QUEST"),"OUT-UAQPre",$J29="QUEST","OUT-UAQ", $J29="Walk in","ColUATele")</f>
        <v>#N/A</v>
      </c>
      <c r="S29" s="285"/>
    </row>
    <row r="30">
      <c r="A30" s="285"/>
      <c r="B30" s="284" t="str">
        <f>IFS($A30=FALSE,"",$A30,VLOOKUP($A30,'PATIENT DATA (072721)'!A:C, 2, 0))</f>
        <v/>
      </c>
      <c r="C30" s="226" t="str">
        <f>IFS($A30=FALSE,"",$A30,VLOOKUP($A30,'PATIENT DATA (072721)'!A:C, 3, 0))</f>
        <v/>
      </c>
      <c r="D30" s="218"/>
      <c r="E30" s="221"/>
      <c r="F30" s="223" t="str">
        <f>VLOOKUP(A30&amp;D30,'VISIT DATA'!A:N,10,FALSE)</f>
        <v>#N/A</v>
      </c>
      <c r="G30" s="224"/>
      <c r="H30" s="224"/>
      <c r="I30" s="224"/>
      <c r="J30" s="225"/>
      <c r="K30" s="216" t="str">
        <f t="shared" si="1"/>
        <v>X</v>
      </c>
      <c r="L30" s="226" t="str">
        <f t="shared" si="2"/>
        <v>#N/A</v>
      </c>
      <c r="M30" s="227" t="str">
        <f t="shared" si="3"/>
        <v>#N/A</v>
      </c>
      <c r="N30" s="228" t="str">
        <f t="shared" si="4"/>
        <v>#N/A</v>
      </c>
      <c r="O30" s="220" t="str">
        <f t="shared" si="5"/>
        <v>#N/A</v>
      </c>
      <c r="P30" s="220" t="str">
        <f t="shared" si="6"/>
        <v>#N/A</v>
      </c>
      <c r="Q30" s="221">
        <f t="shared" si="7"/>
        <v>0</v>
      </c>
      <c r="R30" s="229" t="str">
        <f>ifs($J30="",VLOOKUP($A30&amp;$D30,'VISIT DATA'!$A$2:$J100,7,FALSE), $J30="SWAB","OUTSA-RW",$J30="SWQU","OUTSA-SaQu", AND($H30="X",$I30="X",$J30="QUEST"),"OUT-UAQPre",$J30="QUEST","OUT-UAQ", $J30="Walk in","ColUATele")</f>
        <v>#N/A</v>
      </c>
      <c r="S30" s="285"/>
    </row>
    <row r="31">
      <c r="A31" s="285"/>
      <c r="B31" s="284" t="str">
        <f>IFS($A31=FALSE,"",$A31,VLOOKUP($A31,'PATIENT DATA (072721)'!A:C, 2, 0))</f>
        <v/>
      </c>
      <c r="C31" s="226" t="str">
        <f>IFS($A31=FALSE,"",$A31,VLOOKUP($A31,'PATIENT DATA (072721)'!A:C, 3, 0))</f>
        <v/>
      </c>
      <c r="D31" s="218"/>
      <c r="E31" s="221"/>
      <c r="F31" s="223" t="str">
        <f>VLOOKUP(A31&amp;D31,'VISIT DATA'!A:N,10,FALSE)</f>
        <v>#N/A</v>
      </c>
      <c r="G31" s="225"/>
      <c r="H31" s="224"/>
      <c r="I31" s="224"/>
      <c r="J31" s="225"/>
      <c r="K31" s="216" t="str">
        <f t="shared" si="1"/>
        <v>X</v>
      </c>
      <c r="L31" s="226" t="str">
        <f t="shared" si="2"/>
        <v>#N/A</v>
      </c>
      <c r="M31" s="227" t="str">
        <f t="shared" si="3"/>
        <v>#N/A</v>
      </c>
      <c r="N31" s="228" t="str">
        <f t="shared" si="4"/>
        <v>#N/A</v>
      </c>
      <c r="O31" s="220" t="str">
        <f t="shared" si="5"/>
        <v>#N/A</v>
      </c>
      <c r="P31" s="220" t="str">
        <f t="shared" si="6"/>
        <v>#N/A</v>
      </c>
      <c r="Q31" s="221">
        <f t="shared" si="7"/>
        <v>0</v>
      </c>
      <c r="R31" s="229" t="str">
        <f>ifs($J31="",VLOOKUP($A31&amp;$D31,'VISIT DATA'!$A$2:$J100,7,FALSE), $J31="SWAB","OUTSA-RW",$J31="SWQU","OUTSA-SaQu", AND($H31="X",$I31="X",$J31="QUEST"),"OUT-UAQPre",$J31="QUEST","OUT-UAQ", $J31="Walk in","ColUATele")</f>
        <v>#N/A</v>
      </c>
      <c r="S31" s="285"/>
    </row>
    <row r="32">
      <c r="A32" s="285"/>
      <c r="B32" s="284" t="str">
        <f>IFS($A32=FALSE,"",$A32,VLOOKUP($A32,'PATIENT DATA (072721)'!A:C, 2, 0))</f>
        <v/>
      </c>
      <c r="C32" s="226" t="str">
        <f>IFS($A32=FALSE,"",$A32,VLOOKUP($A32,'PATIENT DATA (072721)'!A:C, 3, 0))</f>
        <v/>
      </c>
      <c r="D32" s="218"/>
      <c r="E32" s="221"/>
      <c r="F32" s="223" t="str">
        <f>VLOOKUP(A32&amp;D32,'VISIT DATA'!A:N,10,FALSE)</f>
        <v>#N/A</v>
      </c>
      <c r="G32" s="224"/>
      <c r="H32" s="224"/>
      <c r="I32" s="224"/>
      <c r="J32" s="225"/>
      <c r="K32" s="216" t="str">
        <f t="shared" si="1"/>
        <v>X</v>
      </c>
      <c r="L32" s="226" t="str">
        <f t="shared" si="2"/>
        <v>#N/A</v>
      </c>
      <c r="M32" s="227" t="str">
        <f t="shared" si="3"/>
        <v>#N/A</v>
      </c>
      <c r="N32" s="228" t="str">
        <f t="shared" si="4"/>
        <v>#N/A</v>
      </c>
      <c r="O32" s="220" t="str">
        <f t="shared" si="5"/>
        <v>#N/A</v>
      </c>
      <c r="P32" s="220" t="str">
        <f t="shared" si="6"/>
        <v>#N/A</v>
      </c>
      <c r="Q32" s="221">
        <f t="shared" si="7"/>
        <v>0</v>
      </c>
      <c r="R32" s="229" t="str">
        <f>ifs($J32="",VLOOKUP($A32&amp;$D32,'VISIT DATA'!$A$2:$J100,7,FALSE), $J32="SWAB","OUTSA-RW",$J32="SWQU","OUTSA-SaQu", AND($H32="X",$I32="X",$J32="QUEST"),"OUT-UAQPre",$J32="QUEST","OUT-UAQ", $J32="Walk in","ColUATele")</f>
        <v>#N/A</v>
      </c>
      <c r="S32" s="285"/>
    </row>
    <row r="33">
      <c r="A33" s="285"/>
      <c r="B33" s="284" t="str">
        <f>IFS($A33=FALSE,"",$A33,VLOOKUP($A33,'PATIENT DATA (072721)'!A:C, 2, 0))</f>
        <v/>
      </c>
      <c r="C33" s="226" t="str">
        <f>IFS($A33=FALSE,"",$A33,VLOOKUP($A33,'PATIENT DATA (072721)'!A:C, 3, 0))</f>
        <v/>
      </c>
      <c r="D33" s="218"/>
      <c r="E33" s="221"/>
      <c r="F33" s="223" t="str">
        <f>VLOOKUP(A33&amp;D33,'VISIT DATA'!A:N,10,FALSE)</f>
        <v>#N/A</v>
      </c>
      <c r="G33" s="225"/>
      <c r="H33" s="224"/>
      <c r="I33" s="224"/>
      <c r="J33" s="225"/>
      <c r="K33" s="216" t="str">
        <f t="shared" si="1"/>
        <v>X</v>
      </c>
      <c r="L33" s="226" t="str">
        <f t="shared" si="2"/>
        <v>#N/A</v>
      </c>
      <c r="M33" s="227" t="str">
        <f t="shared" si="3"/>
        <v>#N/A</v>
      </c>
      <c r="N33" s="228" t="str">
        <f t="shared" si="4"/>
        <v>#N/A</v>
      </c>
      <c r="O33" s="220" t="str">
        <f t="shared" si="5"/>
        <v>#N/A</v>
      </c>
      <c r="P33" s="220" t="str">
        <f t="shared" si="6"/>
        <v>#N/A</v>
      </c>
      <c r="Q33" s="221">
        <f t="shared" si="7"/>
        <v>0</v>
      </c>
      <c r="R33" s="229" t="str">
        <f>ifs($J33="",VLOOKUP($A33&amp;$D33,'VISIT DATA'!$A$2:$J100,7,FALSE), $J33="SWAB","OUTSA-RW",$J33="SWQU","OUTSA-SaQu", AND($H33="X",$I33="X",$J33="QUEST"),"OUT-UAQPre",$J33="QUEST","OUT-UAQ", $J33="Walk in","ColUATele")</f>
        <v>#N/A</v>
      </c>
      <c r="S33" s="285"/>
    </row>
    <row r="34">
      <c r="A34" s="285"/>
      <c r="B34" s="284" t="str">
        <f>IFS($A34=FALSE,"",$A34,VLOOKUP($A34,'PATIENT DATA (072721)'!A:C, 2, 0))</f>
        <v/>
      </c>
      <c r="C34" s="226" t="str">
        <f>IFS($A34=FALSE,"",$A34,VLOOKUP($A34,'PATIENT DATA (072721)'!A:C, 3, 0))</f>
        <v/>
      </c>
      <c r="D34" s="218"/>
      <c r="E34" s="221"/>
      <c r="F34" s="223" t="str">
        <f>VLOOKUP(A34&amp;D34,'VISIT DATA'!A:N,10,FALSE)</f>
        <v>#N/A</v>
      </c>
      <c r="G34" s="225"/>
      <c r="H34" s="224"/>
      <c r="I34" s="224"/>
      <c r="J34" s="225"/>
      <c r="K34" s="216" t="str">
        <f t="shared" si="1"/>
        <v>X</v>
      </c>
      <c r="L34" s="226" t="str">
        <f t="shared" si="2"/>
        <v>#N/A</v>
      </c>
      <c r="M34" s="227" t="str">
        <f t="shared" si="3"/>
        <v>#N/A</v>
      </c>
      <c r="N34" s="228" t="str">
        <f t="shared" si="4"/>
        <v>#N/A</v>
      </c>
      <c r="O34" s="220" t="str">
        <f t="shared" si="5"/>
        <v>#N/A</v>
      </c>
      <c r="P34" s="220" t="str">
        <f t="shared" si="6"/>
        <v>#N/A</v>
      </c>
      <c r="Q34" s="221">
        <f t="shared" si="7"/>
        <v>0</v>
      </c>
      <c r="R34" s="229" t="str">
        <f>ifs($J34="",VLOOKUP($A34&amp;$D34,'VISIT DATA'!$A$2:$J100,7,FALSE), $J34="SWAB","OUTSA-RW",$J34="SWQU","OUTSA-SaQu", AND($H34="X",$I34="X",$J34="QUEST"),"OUT-UAQPre",$J34="QUEST","OUT-UAQ", $J34="Walk in","ColUATele")</f>
        <v>#N/A</v>
      </c>
      <c r="S34" s="285"/>
    </row>
    <row r="35">
      <c r="A35" s="285"/>
      <c r="B35" s="284" t="str">
        <f>IFS($A35=FALSE,"",$A35,VLOOKUP($A35,'PATIENT DATA (072721)'!A:C, 2, 0))</f>
        <v/>
      </c>
      <c r="C35" s="226" t="str">
        <f>IFS($A35=FALSE,"",$A35,VLOOKUP($A35,'PATIENT DATA (072721)'!A:C, 3, 0))</f>
        <v/>
      </c>
      <c r="D35" s="218"/>
      <c r="E35" s="221"/>
      <c r="F35" s="223" t="str">
        <f>VLOOKUP(A35&amp;D35,'VISIT DATA'!A:N,10,FALSE)</f>
        <v>#N/A</v>
      </c>
      <c r="G35" s="224"/>
      <c r="H35" s="224"/>
      <c r="I35" s="224"/>
      <c r="J35" s="224"/>
      <c r="K35" s="216" t="str">
        <f t="shared" si="1"/>
        <v>X</v>
      </c>
      <c r="L35" s="226" t="str">
        <f t="shared" si="2"/>
        <v>#N/A</v>
      </c>
      <c r="M35" s="227" t="str">
        <f t="shared" si="3"/>
        <v>#N/A</v>
      </c>
      <c r="N35" s="228" t="str">
        <f t="shared" si="4"/>
        <v>#N/A</v>
      </c>
      <c r="O35" s="220" t="str">
        <f t="shared" si="5"/>
        <v>#N/A</v>
      </c>
      <c r="P35" s="220" t="str">
        <f t="shared" si="6"/>
        <v>#N/A</v>
      </c>
      <c r="Q35" s="221">
        <f t="shared" si="7"/>
        <v>0</v>
      </c>
      <c r="R35" s="229" t="str">
        <f>ifs($J35="",VLOOKUP($A35&amp;$D35,'VISIT DATA'!$A$2:$J100,7,FALSE), $J35="SWAB","OUTSA-RW",$J35="SWQU","OUTSA-SaQu", AND($H35="X",$I35="X",$J35="QUEST"),"OUT-UAQPre",$J35="QUEST","OUT-UAQ", $J35="Walk in","ColUATele")</f>
        <v>#N/A</v>
      </c>
      <c r="S35" s="285"/>
    </row>
    <row r="36">
      <c r="A36" s="285"/>
      <c r="B36" s="284" t="str">
        <f>IFS($A36=FALSE,"",$A36,VLOOKUP($A36,'PATIENT DATA (072721)'!A:C, 2, 0))</f>
        <v/>
      </c>
      <c r="C36" s="226" t="str">
        <f>IFS($A36=FALSE,"",$A36,VLOOKUP($A36,'PATIENT DATA (072721)'!A:C, 3, 0))</f>
        <v/>
      </c>
      <c r="D36" s="218"/>
      <c r="E36" s="221"/>
      <c r="F36" s="223" t="str">
        <f>VLOOKUP(A36&amp;D36,'VISIT DATA'!A:N,10,FALSE)</f>
        <v>#N/A</v>
      </c>
      <c r="G36" s="225"/>
      <c r="H36" s="224"/>
      <c r="I36" s="224"/>
      <c r="J36" s="225"/>
      <c r="K36" s="216" t="str">
        <f t="shared" si="1"/>
        <v>X</v>
      </c>
      <c r="L36" s="226" t="str">
        <f t="shared" si="2"/>
        <v>#N/A</v>
      </c>
      <c r="M36" s="227" t="str">
        <f t="shared" si="3"/>
        <v>#N/A</v>
      </c>
      <c r="N36" s="228" t="str">
        <f t="shared" si="4"/>
        <v>#N/A</v>
      </c>
      <c r="O36" s="220" t="str">
        <f t="shared" si="5"/>
        <v>#N/A</v>
      </c>
      <c r="P36" s="220" t="str">
        <f t="shared" si="6"/>
        <v>#N/A</v>
      </c>
      <c r="Q36" s="221">
        <f t="shared" si="7"/>
        <v>0</v>
      </c>
      <c r="R36" s="229" t="str">
        <f>ifs($J36="",VLOOKUP($A36&amp;$D36,'VISIT DATA'!$A$2:$J100,7,FALSE), $J36="SWAB","OUTSA-RW",$J36="SWQU","OUTSA-SaQu", AND($H36="X",$I36="X",$J36="QUEST"),"OUT-UAQPre",$J36="QUEST","OUT-UAQ", $J36="Walk in","ColUATele")</f>
        <v>#N/A</v>
      </c>
      <c r="S36" s="285"/>
    </row>
    <row r="37">
      <c r="A37" s="285"/>
      <c r="B37" s="284" t="str">
        <f>IFS($A37=FALSE,"",$A37,VLOOKUP($A37,'PATIENT DATA (072721)'!A:C, 2, 0))</f>
        <v/>
      </c>
      <c r="C37" s="226" t="str">
        <f>IFS($A37=FALSE,"",$A37,VLOOKUP($A37,'PATIENT DATA (072721)'!A:C, 3, 0))</f>
        <v/>
      </c>
      <c r="D37" s="218"/>
      <c r="E37" s="221"/>
      <c r="F37" s="223" t="str">
        <f>VLOOKUP(A37&amp;D37,'VISIT DATA'!A:N,10,FALSE)</f>
        <v>#N/A</v>
      </c>
      <c r="G37" s="225"/>
      <c r="H37" s="224"/>
      <c r="I37" s="224"/>
      <c r="J37" s="225"/>
      <c r="K37" s="216" t="str">
        <f t="shared" si="1"/>
        <v>X</v>
      </c>
      <c r="L37" s="226" t="str">
        <f t="shared" si="2"/>
        <v>#N/A</v>
      </c>
      <c r="M37" s="227" t="str">
        <f t="shared" si="3"/>
        <v>#N/A</v>
      </c>
      <c r="N37" s="228" t="str">
        <f t="shared" si="4"/>
        <v>#N/A</v>
      </c>
      <c r="O37" s="220" t="str">
        <f t="shared" si="5"/>
        <v>#N/A</v>
      </c>
      <c r="P37" s="220" t="str">
        <f t="shared" si="6"/>
        <v>#N/A</v>
      </c>
      <c r="Q37" s="221">
        <f t="shared" si="7"/>
        <v>0</v>
      </c>
      <c r="R37" s="229" t="str">
        <f>ifs($J37="",VLOOKUP($A37&amp;$D37,'VISIT DATA'!$A$2:$J100,7,FALSE), $J37="SWAB","OUTSA-RW",$J37="SWQU","OUTSA-SaQu", AND($H37="X",$I37="X",$J37="QUEST"),"OUT-UAQPre",$J37="QUEST","OUT-UAQ", $J37="Walk in","ColUATele")</f>
        <v>#N/A</v>
      </c>
      <c r="S37" s="285"/>
    </row>
    <row r="38">
      <c r="A38" s="285"/>
      <c r="B38" s="284" t="str">
        <f>IFS($A38=FALSE,"",$A38,VLOOKUP($A38,'PATIENT DATA (072721)'!A:C, 2, 0))</f>
        <v/>
      </c>
      <c r="C38" s="226" t="str">
        <f>IFS($A38=FALSE,"",$A38,VLOOKUP($A38,'PATIENT DATA (072721)'!A:C, 3, 0))</f>
        <v/>
      </c>
      <c r="D38" s="218"/>
      <c r="E38" s="221"/>
      <c r="F38" s="223" t="str">
        <f>VLOOKUP(A38&amp;D38,'VISIT DATA'!A:N,10,FALSE)</f>
        <v>#N/A</v>
      </c>
      <c r="G38" s="225"/>
      <c r="H38" s="224"/>
      <c r="I38" s="224"/>
      <c r="J38" s="225"/>
      <c r="K38" s="216" t="str">
        <f t="shared" si="1"/>
        <v>X</v>
      </c>
      <c r="L38" s="226" t="str">
        <f t="shared" si="2"/>
        <v>#N/A</v>
      </c>
      <c r="M38" s="227" t="str">
        <f t="shared" si="3"/>
        <v>#N/A</v>
      </c>
      <c r="N38" s="228" t="str">
        <f t="shared" si="4"/>
        <v>#N/A</v>
      </c>
      <c r="O38" s="220" t="str">
        <f t="shared" si="5"/>
        <v>#N/A</v>
      </c>
      <c r="P38" s="220" t="str">
        <f t="shared" si="6"/>
        <v>#N/A</v>
      </c>
      <c r="Q38" s="221">
        <f t="shared" si="7"/>
        <v>0</v>
      </c>
      <c r="R38" s="229" t="str">
        <f>ifs($J38="",VLOOKUP($A38&amp;$D38,'VISIT DATA'!$A$2:$J100,7,FALSE), $J38="SWAB","OUTSA-RW",$J38="SWQU","OUTSA-SaQu", AND($H38="X",$I38="X",$J38="QUEST"),"OUT-UAQPre",$J38="QUEST","OUT-UAQ", $J38="Walk in","ColUATele")</f>
        <v>#N/A</v>
      </c>
      <c r="S38" s="285"/>
    </row>
    <row r="39">
      <c r="A39" s="285"/>
      <c r="B39" s="284" t="str">
        <f>IFS($A39=FALSE,"",$A39,VLOOKUP($A39,'PATIENT DATA (072721)'!A:C, 2, 0))</f>
        <v/>
      </c>
      <c r="C39" s="226" t="str">
        <f>IFS($A39=FALSE,"",$A39,VLOOKUP($A39,'PATIENT DATA (072721)'!A:C, 3, 0))</f>
        <v/>
      </c>
      <c r="D39" s="218"/>
      <c r="E39" s="221"/>
      <c r="F39" s="223" t="str">
        <f>VLOOKUP(A39&amp;D39,'VISIT DATA'!A:N,10,FALSE)</f>
        <v>#N/A</v>
      </c>
      <c r="G39" s="225"/>
      <c r="H39" s="224"/>
      <c r="I39" s="224"/>
      <c r="J39" s="225"/>
      <c r="K39" s="216" t="str">
        <f t="shared" si="1"/>
        <v>X</v>
      </c>
      <c r="L39" s="226" t="str">
        <f t="shared" si="2"/>
        <v>#N/A</v>
      </c>
      <c r="M39" s="227" t="str">
        <f t="shared" si="3"/>
        <v>#N/A</v>
      </c>
      <c r="N39" s="228" t="str">
        <f t="shared" si="4"/>
        <v>#N/A</v>
      </c>
      <c r="O39" s="220" t="str">
        <f t="shared" si="5"/>
        <v>#N/A</v>
      </c>
      <c r="P39" s="220" t="str">
        <f t="shared" si="6"/>
        <v>#N/A</v>
      </c>
      <c r="Q39" s="221">
        <f t="shared" si="7"/>
        <v>0</v>
      </c>
      <c r="R39" s="229" t="str">
        <f>ifs($J39="",VLOOKUP($A39&amp;$D39,'VISIT DATA'!$A$2:$J100,7,FALSE), $J39="SWAB","OUTSA-RW",$J39="SWQU","OUTSA-SaQu", AND($H39="X",$I39="X",$J39="QUEST"),"OUT-UAQPre",$J39="QUEST","OUT-UAQ", $J39="Walk in","ColUATele")</f>
        <v>#N/A</v>
      </c>
      <c r="S39" s="285"/>
    </row>
    <row r="40">
      <c r="A40" s="285"/>
      <c r="B40" s="284" t="str">
        <f>IFS($A40=FALSE,"",$A40,VLOOKUP($A40,'PATIENT DATA (072721)'!A:C, 2, 0))</f>
        <v/>
      </c>
      <c r="C40" s="226" t="str">
        <f>IFS($A40=FALSE,"",$A40,VLOOKUP($A40,'PATIENT DATA (072721)'!A:C, 3, 0))</f>
        <v/>
      </c>
      <c r="D40" s="218"/>
      <c r="E40" s="221"/>
      <c r="F40" s="223" t="str">
        <f>VLOOKUP(A40&amp;D40,'VISIT DATA'!A:N,10,FALSE)</f>
        <v>#N/A</v>
      </c>
      <c r="G40" s="224"/>
      <c r="H40" s="224"/>
      <c r="I40" s="224"/>
      <c r="J40" s="225"/>
      <c r="K40" s="216" t="str">
        <f t="shared" si="1"/>
        <v>X</v>
      </c>
      <c r="L40" s="226" t="str">
        <f t="shared" si="2"/>
        <v>#N/A</v>
      </c>
      <c r="M40" s="227" t="str">
        <f t="shared" si="3"/>
        <v>#N/A</v>
      </c>
      <c r="N40" s="228" t="str">
        <f t="shared" si="4"/>
        <v>#N/A</v>
      </c>
      <c r="O40" s="220" t="str">
        <f t="shared" si="5"/>
        <v>#N/A</v>
      </c>
      <c r="P40" s="220" t="str">
        <f t="shared" si="6"/>
        <v>#N/A</v>
      </c>
      <c r="Q40" s="221">
        <f t="shared" si="7"/>
        <v>0</v>
      </c>
      <c r="R40" s="229" t="str">
        <f>ifs($J40="",VLOOKUP($A40&amp;$D40,'VISIT DATA'!$A$2:$J100,7,FALSE), $J40="SWAB","OUTSA-RW",$J40="SWQU","OUTSA-SaQu", AND($H40="X",$I40="X",$J40="QUEST"),"OUT-UAQPre",$J40="QUEST","OUT-UAQ", $J40="Walk in","ColUATele")</f>
        <v>#N/A</v>
      </c>
      <c r="S40" s="285"/>
    </row>
    <row r="41">
      <c r="A41" s="285"/>
      <c r="B41" s="284" t="str">
        <f>IFS($A41=FALSE,"",$A41,VLOOKUP($A41,'PATIENT DATA (072721)'!A:C, 2, 0))</f>
        <v/>
      </c>
      <c r="C41" s="226" t="str">
        <f>IFS($A41=FALSE,"",$A41,VLOOKUP($A41,'PATIENT DATA (072721)'!A:C, 3, 0))</f>
        <v/>
      </c>
      <c r="D41" s="218"/>
      <c r="E41" s="221"/>
      <c r="F41" s="223" t="str">
        <f>VLOOKUP(A41&amp;D41,'VISIT DATA'!A:N,10,FALSE)</f>
        <v>#N/A</v>
      </c>
      <c r="G41" s="225"/>
      <c r="H41" s="224"/>
      <c r="I41" s="224"/>
      <c r="J41" s="225"/>
      <c r="K41" s="216" t="str">
        <f t="shared" si="1"/>
        <v>X</v>
      </c>
      <c r="L41" s="226" t="str">
        <f t="shared" si="2"/>
        <v>#N/A</v>
      </c>
      <c r="M41" s="227" t="str">
        <f t="shared" si="3"/>
        <v>#N/A</v>
      </c>
      <c r="N41" s="228" t="str">
        <f t="shared" si="4"/>
        <v>#N/A</v>
      </c>
      <c r="O41" s="220" t="str">
        <f t="shared" si="5"/>
        <v>#N/A</v>
      </c>
      <c r="P41" s="220" t="str">
        <f t="shared" si="6"/>
        <v>#N/A</v>
      </c>
      <c r="Q41" s="221">
        <f t="shared" si="7"/>
        <v>0</v>
      </c>
      <c r="R41" s="229" t="str">
        <f>ifs($J41="",VLOOKUP($A41&amp;$D41,'VISIT DATA'!$A$2:$J100,7,FALSE), $J41="SWAB","OUTSA-RW",$J41="SWQU","OUTSA-SaQu", AND($H41="X",$I41="X",$J41="QUEST"),"OUT-UAQPre",$J41="QUEST","OUT-UAQ", $J41="Walk in","ColUATele")</f>
        <v>#N/A</v>
      </c>
      <c r="S41" s="285"/>
    </row>
    <row r="42">
      <c r="A42" s="285"/>
      <c r="B42" s="284" t="str">
        <f>IFS($A42=FALSE,"",$A42,VLOOKUP($A42,'PATIENT DATA (072721)'!A:C, 2, 0))</f>
        <v/>
      </c>
      <c r="C42" s="226" t="str">
        <f>IFS($A42=FALSE,"",$A42,VLOOKUP($A42,'PATIENT DATA (072721)'!A:C, 3, 0))</f>
        <v/>
      </c>
      <c r="D42" s="218"/>
      <c r="E42" s="221"/>
      <c r="F42" s="223" t="str">
        <f>VLOOKUP(A42&amp;D42,'VISIT DATA'!A:N,10,FALSE)</f>
        <v>#N/A</v>
      </c>
      <c r="G42" s="225"/>
      <c r="H42" s="224"/>
      <c r="I42" s="224"/>
      <c r="J42" s="225"/>
      <c r="K42" s="216" t="str">
        <f t="shared" si="1"/>
        <v>X</v>
      </c>
      <c r="L42" s="226" t="str">
        <f t="shared" si="2"/>
        <v>#N/A</v>
      </c>
      <c r="M42" s="227" t="str">
        <f t="shared" si="3"/>
        <v>#N/A</v>
      </c>
      <c r="N42" s="228" t="str">
        <f t="shared" si="4"/>
        <v>#N/A</v>
      </c>
      <c r="O42" s="220" t="str">
        <f t="shared" si="5"/>
        <v>#N/A</v>
      </c>
      <c r="P42" s="220" t="str">
        <f t="shared" si="6"/>
        <v>#N/A</v>
      </c>
      <c r="Q42" s="221">
        <f t="shared" si="7"/>
        <v>0</v>
      </c>
      <c r="R42" s="229" t="str">
        <f>ifs($J42="",VLOOKUP($A42&amp;$D42,'VISIT DATA'!$A$2:$J100,7,FALSE), $J42="SWAB","OUTSA-RW",$J42="SWQU","OUTSA-SaQu", AND($H42="X",$I42="X",$J42="QUEST"),"OUT-UAQPre",$J42="QUEST","OUT-UAQ", $J42="Walk in","ColUATele")</f>
        <v>#N/A</v>
      </c>
      <c r="S42" s="285"/>
    </row>
    <row r="43">
      <c r="A43" s="285"/>
      <c r="B43" s="284" t="str">
        <f>IFS($A43=FALSE,"",$A43,VLOOKUP($A43,'PATIENT DATA (072721)'!A:C, 2, 0))</f>
        <v/>
      </c>
      <c r="C43" s="226" t="str">
        <f>IFS($A43=FALSE,"",$A43,VLOOKUP($A43,'PATIENT DATA (072721)'!A:C, 3, 0))</f>
        <v/>
      </c>
      <c r="D43" s="218"/>
      <c r="E43" s="221"/>
      <c r="F43" s="223" t="str">
        <f>VLOOKUP(A43&amp;D43,'VISIT DATA'!A:N,10,FALSE)</f>
        <v>#N/A</v>
      </c>
      <c r="G43" s="225"/>
      <c r="H43" s="224"/>
      <c r="I43" s="224"/>
      <c r="J43" s="225"/>
      <c r="K43" s="216" t="str">
        <f t="shared" si="1"/>
        <v>X</v>
      </c>
      <c r="L43" s="226" t="str">
        <f t="shared" si="2"/>
        <v>#N/A</v>
      </c>
      <c r="M43" s="227" t="str">
        <f t="shared" si="3"/>
        <v>#N/A</v>
      </c>
      <c r="N43" s="228" t="str">
        <f t="shared" si="4"/>
        <v>#N/A</v>
      </c>
      <c r="O43" s="220" t="str">
        <f t="shared" si="5"/>
        <v>#N/A</v>
      </c>
      <c r="P43" s="220" t="str">
        <f t="shared" si="6"/>
        <v>#N/A</v>
      </c>
      <c r="Q43" s="221">
        <f t="shared" si="7"/>
        <v>0</v>
      </c>
      <c r="R43" s="229" t="str">
        <f>ifs($J43="",VLOOKUP($A43&amp;$D43,'VISIT DATA'!$A$2:$J100,7,FALSE), $J43="SWAB","OUTSA-RW",$J43="SWQU","OUTSA-SaQu", AND($H43="X",$I43="X",$J43="QUEST"),"OUT-UAQPre",$J43="QUEST","OUT-UAQ", $J43="Walk in","ColUATele")</f>
        <v>#N/A</v>
      </c>
      <c r="S43" s="285"/>
    </row>
    <row r="44">
      <c r="A44" s="285"/>
      <c r="B44" s="284" t="str">
        <f>IFS($A44=FALSE,"",$A44,VLOOKUP($A44,'PATIENT DATA (072721)'!A:C, 2, 0))</f>
        <v/>
      </c>
      <c r="C44" s="226" t="str">
        <f>IFS($A44=FALSE,"",$A44,VLOOKUP($A44,'PATIENT DATA (072721)'!A:C, 3, 0))</f>
        <v/>
      </c>
      <c r="D44" s="218"/>
      <c r="E44" s="221"/>
      <c r="F44" s="223" t="str">
        <f>VLOOKUP(A44&amp;D44,'VISIT DATA'!A:N,10,FALSE)</f>
        <v>#N/A</v>
      </c>
      <c r="G44" s="224"/>
      <c r="H44" s="224"/>
      <c r="I44" s="224"/>
      <c r="J44" s="225"/>
      <c r="K44" s="216" t="str">
        <f t="shared" si="1"/>
        <v>X</v>
      </c>
      <c r="L44" s="226" t="str">
        <f t="shared" si="2"/>
        <v>#N/A</v>
      </c>
      <c r="M44" s="227" t="str">
        <f t="shared" si="3"/>
        <v>#N/A</v>
      </c>
      <c r="N44" s="228" t="str">
        <f t="shared" si="4"/>
        <v>#N/A</v>
      </c>
      <c r="O44" s="220" t="str">
        <f t="shared" si="5"/>
        <v>#N/A</v>
      </c>
      <c r="P44" s="220" t="str">
        <f t="shared" si="6"/>
        <v>#N/A</v>
      </c>
      <c r="Q44" s="221">
        <f t="shared" si="7"/>
        <v>0</v>
      </c>
      <c r="R44" s="229" t="str">
        <f>ifs($J44="",VLOOKUP($A44&amp;$D44,'VISIT DATA'!$A$2:$J100,7,FALSE), $J44="SWAB","OUTSA-RW",$J44="SWQU","OUTSA-SaQu", AND($H44="X",$I44="X",$J44="QUEST"),"OUT-UAQPre",$J44="QUEST","OUT-UAQ", $J44="Walk in","ColUATele")</f>
        <v>#N/A</v>
      </c>
      <c r="S44" s="285"/>
    </row>
    <row r="45">
      <c r="A45" s="285"/>
      <c r="B45" s="284" t="str">
        <f>IFS($A45=FALSE,"",$A45,VLOOKUP($A45,'PATIENT DATA (072721)'!A:C, 2, 0))</f>
        <v/>
      </c>
      <c r="C45" s="226" t="str">
        <f>IFS($A45=FALSE,"",$A45,VLOOKUP($A45,'PATIENT DATA (072721)'!A:C, 3, 0))</f>
        <v/>
      </c>
      <c r="D45" s="218"/>
      <c r="E45" s="221"/>
      <c r="F45" s="223" t="str">
        <f>VLOOKUP(A45&amp;D45,'VISIT DATA'!A:N,10,FALSE)</f>
        <v>#N/A</v>
      </c>
      <c r="G45" s="225"/>
      <c r="H45" s="224"/>
      <c r="I45" s="224"/>
      <c r="J45" s="225"/>
      <c r="K45" s="216" t="str">
        <f t="shared" si="1"/>
        <v>X</v>
      </c>
      <c r="L45" s="226" t="str">
        <f t="shared" si="2"/>
        <v>#N/A</v>
      </c>
      <c r="M45" s="227" t="str">
        <f t="shared" si="3"/>
        <v>#N/A</v>
      </c>
      <c r="N45" s="228" t="str">
        <f t="shared" si="4"/>
        <v>#N/A</v>
      </c>
      <c r="O45" s="220" t="str">
        <f t="shared" si="5"/>
        <v>#N/A</v>
      </c>
      <c r="P45" s="220" t="str">
        <f t="shared" si="6"/>
        <v>#N/A</v>
      </c>
      <c r="Q45" s="221">
        <f t="shared" si="7"/>
        <v>0</v>
      </c>
      <c r="R45" s="229" t="str">
        <f>ifs($J45="",VLOOKUP($A45&amp;$D45,'VISIT DATA'!$A$2:$J100,7,FALSE), $J45="SWAB","OUTSA-RW",$J45="SWQU","OUTSA-SaQu", AND($H45="X",$I45="X",$J45="QUEST"),"OUT-UAQPre",$J45="QUEST","OUT-UAQ", $J45="Walk in","ColUATele")</f>
        <v>#N/A</v>
      </c>
      <c r="S45" s="285"/>
    </row>
    <row r="46">
      <c r="A46" s="285"/>
      <c r="B46" s="284" t="str">
        <f>IFS($A46=FALSE,"",$A46,VLOOKUP($A46,'PATIENT DATA (072721)'!A:C, 2, 0))</f>
        <v/>
      </c>
      <c r="C46" s="226" t="str">
        <f>IFS($A46=FALSE,"",$A46,VLOOKUP($A46,'PATIENT DATA (072721)'!A:C, 3, 0))</f>
        <v/>
      </c>
      <c r="D46" s="218"/>
      <c r="E46" s="221"/>
      <c r="F46" s="223" t="str">
        <f>VLOOKUP(A46&amp;D46,'VISIT DATA'!A:N,10,FALSE)</f>
        <v>#N/A</v>
      </c>
      <c r="G46" s="224"/>
      <c r="H46" s="224"/>
      <c r="I46" s="224"/>
      <c r="J46" s="225"/>
      <c r="K46" s="216" t="str">
        <f t="shared" si="1"/>
        <v>X</v>
      </c>
      <c r="L46" s="226" t="str">
        <f t="shared" si="2"/>
        <v>#N/A</v>
      </c>
      <c r="M46" s="227" t="str">
        <f t="shared" si="3"/>
        <v>#N/A</v>
      </c>
      <c r="N46" s="228" t="str">
        <f t="shared" si="4"/>
        <v>#N/A</v>
      </c>
      <c r="O46" s="220" t="str">
        <f t="shared" si="5"/>
        <v>#N/A</v>
      </c>
      <c r="P46" s="220" t="str">
        <f t="shared" si="6"/>
        <v>#N/A</v>
      </c>
      <c r="Q46" s="221">
        <f t="shared" si="7"/>
        <v>0</v>
      </c>
      <c r="R46" s="229" t="str">
        <f>ifs($J46="",VLOOKUP($A46&amp;$D46,'VISIT DATA'!$A$2:$J100,7,FALSE), $J46="SWAB","OUTSA-RW",$J46="SWQU","OUTSA-SaQu", AND($H46="X",$I46="X",$J46="QUEST"),"OUT-UAQPre",$J46="QUEST","OUT-UAQ", $J46="Walk in","ColUATele")</f>
        <v>#N/A</v>
      </c>
      <c r="S46" s="285"/>
    </row>
    <row r="47">
      <c r="A47" s="285"/>
      <c r="B47" s="284" t="str">
        <f>IFS($A47=FALSE,"",$A47,VLOOKUP($A47,'PATIENT DATA (072721)'!A:C, 2, 0))</f>
        <v/>
      </c>
      <c r="C47" s="226" t="str">
        <f>IFS($A47=FALSE,"",$A47,VLOOKUP($A47,'PATIENT DATA (072721)'!A:C, 3, 0))</f>
        <v/>
      </c>
      <c r="D47" s="218"/>
      <c r="E47" s="221"/>
      <c r="F47" s="223" t="str">
        <f>VLOOKUP(A47&amp;D47,'VISIT DATA'!A:N,10,FALSE)</f>
        <v>#N/A</v>
      </c>
      <c r="G47" s="225"/>
      <c r="H47" s="224"/>
      <c r="I47" s="224"/>
      <c r="J47" s="225"/>
      <c r="K47" s="216" t="str">
        <f t="shared" si="1"/>
        <v>X</v>
      </c>
      <c r="L47" s="226" t="str">
        <f t="shared" si="2"/>
        <v>#N/A</v>
      </c>
      <c r="M47" s="227" t="str">
        <f t="shared" si="3"/>
        <v>#N/A</v>
      </c>
      <c r="N47" s="228" t="str">
        <f t="shared" si="4"/>
        <v>#N/A</v>
      </c>
      <c r="O47" s="220" t="str">
        <f t="shared" si="5"/>
        <v>#N/A</v>
      </c>
      <c r="P47" s="220" t="str">
        <f t="shared" si="6"/>
        <v>#N/A</v>
      </c>
      <c r="Q47" s="221">
        <f t="shared" si="7"/>
        <v>0</v>
      </c>
      <c r="R47" s="229" t="str">
        <f>ifs($J47="",VLOOKUP($A47&amp;$D47,'VISIT DATA'!$A$2:$J100,7,FALSE), $J47="SWAB","OUTSA-RW",$J47="SWQU","OUTSA-SaQu", AND($H47="X",$I47="X",$J47="QUEST"),"OUT-UAQPre",$J47="QUEST","OUT-UAQ", $J47="Walk in","ColUATele")</f>
        <v>#N/A</v>
      </c>
      <c r="S47" s="285"/>
    </row>
    <row r="48">
      <c r="A48" s="285"/>
      <c r="B48" s="284" t="str">
        <f>IFS($A48=FALSE,"",$A48,VLOOKUP($A48,'PATIENT DATA (072721)'!A:C, 2, 0))</f>
        <v/>
      </c>
      <c r="C48" s="226" t="str">
        <f>IFS($A48=FALSE,"",$A48,VLOOKUP($A48,'PATIENT DATA (072721)'!A:C, 3, 0))</f>
        <v/>
      </c>
      <c r="D48" s="218"/>
      <c r="E48" s="221"/>
      <c r="F48" s="223" t="str">
        <f>VLOOKUP(A48&amp;D48,'VISIT DATA'!A:N,10,FALSE)</f>
        <v>#N/A</v>
      </c>
      <c r="G48" s="225"/>
      <c r="H48" s="224"/>
      <c r="I48" s="224"/>
      <c r="J48" s="224"/>
      <c r="K48" s="216" t="str">
        <f t="shared" si="1"/>
        <v>X</v>
      </c>
      <c r="L48" s="226" t="str">
        <f t="shared" si="2"/>
        <v>#N/A</v>
      </c>
      <c r="M48" s="227" t="str">
        <f t="shared" si="3"/>
        <v>#N/A</v>
      </c>
      <c r="N48" s="228" t="str">
        <f t="shared" si="4"/>
        <v>#N/A</v>
      </c>
      <c r="O48" s="220" t="str">
        <f t="shared" si="5"/>
        <v>#N/A</v>
      </c>
      <c r="P48" s="220" t="str">
        <f t="shared" si="6"/>
        <v>#N/A</v>
      </c>
      <c r="Q48" s="221">
        <f t="shared" si="7"/>
        <v>0</v>
      </c>
      <c r="R48" s="229" t="str">
        <f>ifs($J48="",VLOOKUP($A48&amp;$D48,'VISIT DATA'!$A$2:$J100,7,FALSE), $J48="SWAB","OUTSA-RW",$J48="SWQU","OUTSA-SaQu", AND($H48="X",$I48="X",$J48="QUEST"),"OUT-UAQPre",$J48="QUEST","OUT-UAQ", $J48="Walk in","ColUATele")</f>
        <v>#N/A</v>
      </c>
      <c r="S48" s="285"/>
    </row>
    <row r="49">
      <c r="A49" s="285"/>
      <c r="B49" s="284" t="str">
        <f>IFS($A49=FALSE,"",$A49,VLOOKUP($A49,'PATIENT DATA (072721)'!A:C, 2, 0))</f>
        <v/>
      </c>
      <c r="C49" s="226" t="str">
        <f>IFS($A49=FALSE,"",$A49,VLOOKUP($A49,'PATIENT DATA (072721)'!A:C, 3, 0))</f>
        <v/>
      </c>
      <c r="D49" s="218"/>
      <c r="E49" s="221"/>
      <c r="F49" s="223" t="str">
        <f>VLOOKUP(A49&amp;D49,'VISIT DATA'!A:N,10,FALSE)</f>
        <v>#N/A</v>
      </c>
      <c r="G49" s="225"/>
      <c r="H49" s="224"/>
      <c r="I49" s="224"/>
      <c r="J49" s="225"/>
      <c r="K49" s="247" t="str">
        <f t="shared" si="1"/>
        <v>X</v>
      </c>
      <c r="L49" s="226" t="str">
        <f t="shared" si="2"/>
        <v>#N/A</v>
      </c>
      <c r="M49" s="227" t="str">
        <f t="shared" si="3"/>
        <v>#N/A</v>
      </c>
      <c r="N49" s="228" t="str">
        <f t="shared" si="4"/>
        <v>#N/A</v>
      </c>
      <c r="O49" s="220" t="str">
        <f t="shared" si="5"/>
        <v>#N/A</v>
      </c>
      <c r="P49" s="220" t="str">
        <f t="shared" si="6"/>
        <v>#N/A</v>
      </c>
      <c r="Q49" s="221">
        <f t="shared" si="7"/>
        <v>0</v>
      </c>
      <c r="R49" s="229" t="str">
        <f>ifs($J49="",VLOOKUP($A49&amp;$D49,'VISIT DATA'!$A$2:$J100,7,FALSE), $J49="SWAB","OUTSA-RW",$J49="SWQU","OUTSA-SaQu", AND($H49="X",$I49="X",$J49="QUEST"),"OUT-UAQPre",$J49="QUEST","OUT-UAQ", $J49="Walk in","ColUATele")</f>
        <v>#N/A</v>
      </c>
      <c r="S49" s="285"/>
    </row>
    <row r="50">
      <c r="A50" s="286"/>
      <c r="B50" s="287" t="str">
        <f>IFS($A50=FALSE,"",$A50,VLOOKUP($A50,'PATIENT DATA (072721)'!A:C, 2, 0))</f>
        <v/>
      </c>
      <c r="C50" s="251" t="str">
        <f>IFS($A50=FALSE,"",$A50,VLOOKUP($A50,'PATIENT DATA (072721)'!A:C, 3, 0))</f>
        <v/>
      </c>
      <c r="D50" s="252"/>
      <c r="E50" s="255" t="str">
        <f>ifs($A50="","",$A50, VLOOKUP($A50&amp;$D50, 'VISIT DATA'!$A:$O,13,0))</f>
        <v/>
      </c>
      <c r="F50" s="257" t="str">
        <f>VLOOKUP(A50&amp;D50,'VISIT DATA'!A:N,10,FALSE)</f>
        <v>#N/A</v>
      </c>
      <c r="G50" s="258"/>
      <c r="H50" s="259"/>
      <c r="I50" s="259"/>
      <c r="J50" s="258"/>
      <c r="K50" s="260" t="str">
        <f t="shared" si="1"/>
        <v>X</v>
      </c>
      <c r="L50" s="226" t="str">
        <f t="shared" si="2"/>
        <v>#N/A</v>
      </c>
      <c r="M50" s="227" t="str">
        <f t="shared" si="3"/>
        <v>#N/A</v>
      </c>
      <c r="N50" s="228" t="str">
        <f t="shared" si="4"/>
        <v>#N/A</v>
      </c>
      <c r="O50" s="220" t="str">
        <f t="shared" si="5"/>
        <v>#N/A</v>
      </c>
      <c r="P50" s="220" t="str">
        <f t="shared" si="6"/>
        <v>#N/A</v>
      </c>
      <c r="Q50" s="221">
        <f t="shared" si="7"/>
        <v>0</v>
      </c>
      <c r="R50" s="261" t="str">
        <f>ifs($J50="",VLOOKUP($A50&amp;$D50,'VISIT DATA'!$A$2:$J100,7,FALSE), $J50="SWAB","OUTSA-RW",$J50="SWQU","OUTSA-SaQu", AND($H50="X",$I50="X",$J50="QUEST"),"OUT-UAQPre",$J50="QUEST","OUT-UAQ", $J50="Walk in","ColUATele")</f>
        <v>#N/A</v>
      </c>
      <c r="S50" s="286"/>
    </row>
    <row r="51">
      <c r="A51" s="285"/>
      <c r="B51" s="284" t="str">
        <f>IFS($A51=FALSE,"",$A51,VLOOKUP($A51,'PATIENT DATA (072721)'!A:C, 2, 0))</f>
        <v/>
      </c>
      <c r="C51" s="226" t="str">
        <f>IFS($A51=FALSE,"",$A51,VLOOKUP($A51,'PATIENT DATA (072721)'!A:C, 3, 0))</f>
        <v/>
      </c>
      <c r="D51" s="218"/>
      <c r="E51" s="221" t="str">
        <f>ifs($A51="","",$A51, VLOOKUP($A51&amp;$D51, 'VISIT DATA'!$A:$O,13,0))</f>
        <v/>
      </c>
      <c r="F51" s="223" t="str">
        <f>VLOOKUP(A51&amp;D51,'VISIT DATA'!A:N,10,FALSE)</f>
        <v>#N/A</v>
      </c>
      <c r="G51" s="225"/>
      <c r="H51" s="224"/>
      <c r="I51" s="224"/>
      <c r="J51" s="225"/>
      <c r="K51" s="216" t="str">
        <f t="shared" si="1"/>
        <v>X</v>
      </c>
      <c r="L51" s="226" t="str">
        <f t="shared" si="2"/>
        <v>#N/A</v>
      </c>
      <c r="M51" s="227" t="str">
        <f t="shared" si="3"/>
        <v>#N/A</v>
      </c>
      <c r="N51" s="228" t="str">
        <f t="shared" si="4"/>
        <v>#N/A</v>
      </c>
      <c r="O51" s="220" t="str">
        <f t="shared" si="5"/>
        <v>#N/A</v>
      </c>
      <c r="P51" s="220" t="str">
        <f t="shared" si="6"/>
        <v>#N/A</v>
      </c>
      <c r="Q51" s="221">
        <f t="shared" si="7"/>
        <v>0</v>
      </c>
      <c r="R51" s="229" t="str">
        <f>ifs($J51="",VLOOKUP($A51&amp;$D51,'VISIT DATA'!$A$2:$J100,7,FALSE), $J51="SWAB","OUTSA-RW",$J51="SWQU","OUTSA-SaQu", AND($H51="X",$I51="X",$J51="QUEST"),"OUT-UAQPre",$J51="QUEST","OUT-UAQ", $J51="Walk in","ColUATele")</f>
        <v>#N/A</v>
      </c>
      <c r="S51" s="285"/>
    </row>
    <row r="52">
      <c r="A52" s="285"/>
      <c r="B52" s="284" t="str">
        <f>IFS($A52=FALSE,"",$A52,VLOOKUP($A52,'PATIENT DATA (072721)'!A:C, 2, 0))</f>
        <v/>
      </c>
      <c r="C52" s="226" t="str">
        <f>IFS($A52=FALSE,"",$A52,VLOOKUP($A52,'PATIENT DATA (072721)'!A:C, 3, 0))</f>
        <v/>
      </c>
      <c r="D52" s="218"/>
      <c r="E52" s="221" t="str">
        <f>ifs($A52="","",$A52, VLOOKUP($A52&amp;$D52, 'VISIT DATA'!$A:$O,13,0))</f>
        <v/>
      </c>
      <c r="F52" s="223" t="str">
        <f>VLOOKUP(A52&amp;D52,'VISIT DATA'!A:N,10,FALSE)</f>
        <v>#N/A</v>
      </c>
      <c r="G52" s="225"/>
      <c r="H52" s="224"/>
      <c r="I52" s="224"/>
      <c r="J52" s="225"/>
      <c r="K52" s="216" t="str">
        <f t="shared" si="1"/>
        <v>X</v>
      </c>
      <c r="L52" s="226" t="str">
        <f t="shared" si="2"/>
        <v>#N/A</v>
      </c>
      <c r="M52" s="227" t="str">
        <f t="shared" si="3"/>
        <v>#N/A</v>
      </c>
      <c r="N52" s="228" t="str">
        <f t="shared" si="4"/>
        <v>#N/A</v>
      </c>
      <c r="O52" s="220" t="str">
        <f t="shared" si="5"/>
        <v>#N/A</v>
      </c>
      <c r="P52" s="220" t="str">
        <f t="shared" si="6"/>
        <v>#N/A</v>
      </c>
      <c r="Q52" s="221">
        <f t="shared" si="7"/>
        <v>0</v>
      </c>
      <c r="R52" s="229" t="str">
        <f>ifs($J52="",VLOOKUP($A52&amp;$D52,'VISIT DATA'!$A$2:$J100,7,FALSE), $J52="SWAB","OUTSA-RW",$J52="SWQU","OUTSA-SaQu", AND($H52="X",$I52="X",$J52="QUEST"),"OUT-UAQPre",$J52="QUEST","OUT-UAQ", $J52="Walk in","ColUATele")</f>
        <v>#N/A</v>
      </c>
      <c r="S52" s="285"/>
    </row>
    <row r="53">
      <c r="A53" s="285"/>
      <c r="B53" s="284" t="str">
        <f>IFS($A53=FALSE,"",$A53,VLOOKUP($A53,'PATIENT DATA (072721)'!A:C, 2, 0))</f>
        <v/>
      </c>
      <c r="C53" s="226" t="str">
        <f>IFS($A53=FALSE,"",$A53,VLOOKUP($A53,'PATIENT DATA (072721)'!A:C, 3, 0))</f>
        <v/>
      </c>
      <c r="D53" s="218"/>
      <c r="E53" s="221" t="str">
        <f>ifs($A53="","",$A53, VLOOKUP($A53&amp;$D53, 'VISIT DATA'!$A:$O,13,0))</f>
        <v/>
      </c>
      <c r="F53" s="223" t="str">
        <f>VLOOKUP(A53&amp;D53,'VISIT DATA'!A:N,10,FALSE)</f>
        <v>#N/A</v>
      </c>
      <c r="G53" s="224"/>
      <c r="H53" s="224"/>
      <c r="I53" s="224"/>
      <c r="J53" s="225"/>
      <c r="K53" s="216" t="str">
        <f t="shared" si="1"/>
        <v>X</v>
      </c>
      <c r="L53" s="226" t="str">
        <f t="shared" si="2"/>
        <v>#N/A</v>
      </c>
      <c r="M53" s="227" t="str">
        <f t="shared" si="3"/>
        <v>#N/A</v>
      </c>
      <c r="N53" s="228" t="str">
        <f t="shared" si="4"/>
        <v>#N/A</v>
      </c>
      <c r="O53" s="220" t="str">
        <f t="shared" si="5"/>
        <v>#N/A</v>
      </c>
      <c r="P53" s="220" t="str">
        <f t="shared" si="6"/>
        <v>#N/A</v>
      </c>
      <c r="Q53" s="221">
        <f t="shared" si="7"/>
        <v>0</v>
      </c>
      <c r="R53" s="229" t="str">
        <f>ifs($J53="",VLOOKUP($A53&amp;$D53,'VISIT DATA'!$A$2:$J100,7,FALSE), $J53="SWAB","OUTSA-RW",$J53="SWQU","OUTSA-SaQu", AND($H53="X",$I53="X",$J53="QUEST"),"OUT-UAQPre",$J53="QUEST","OUT-UAQ", $J53="Walk in","ColUATele")</f>
        <v>#N/A</v>
      </c>
      <c r="S53" s="285"/>
    </row>
    <row r="54">
      <c r="A54" s="285"/>
      <c r="B54" s="284" t="str">
        <f>IFS($A54=FALSE,"",$A54,VLOOKUP($A54,'PATIENT DATA (072721)'!A:C, 2, 0))</f>
        <v/>
      </c>
      <c r="C54" s="226" t="str">
        <f>IFS($A54=FALSE,"",$A54,VLOOKUP($A54,'PATIENT DATA (072721)'!A:C, 3, 0))</f>
        <v/>
      </c>
      <c r="D54" s="218"/>
      <c r="E54" s="221" t="str">
        <f>ifs($A54="","",$A54, VLOOKUP($A54&amp;$D54, 'VISIT DATA'!$A:$O,13,0))</f>
        <v/>
      </c>
      <c r="F54" s="223" t="str">
        <f>VLOOKUP(A54&amp;D54,'VISIT DATA'!A:N,10,FALSE)</f>
        <v>#N/A</v>
      </c>
      <c r="G54" s="225"/>
      <c r="H54" s="224"/>
      <c r="I54" s="224"/>
      <c r="J54" s="225"/>
      <c r="K54" s="216" t="str">
        <f t="shared" si="1"/>
        <v>X</v>
      </c>
      <c r="L54" s="226" t="str">
        <f t="shared" si="2"/>
        <v>#N/A</v>
      </c>
      <c r="M54" s="227" t="str">
        <f t="shared" si="3"/>
        <v>#N/A</v>
      </c>
      <c r="N54" s="228" t="str">
        <f t="shared" si="4"/>
        <v>#N/A</v>
      </c>
      <c r="O54" s="220" t="str">
        <f t="shared" si="5"/>
        <v>#N/A</v>
      </c>
      <c r="P54" s="220" t="str">
        <f t="shared" si="6"/>
        <v>#N/A</v>
      </c>
      <c r="Q54" s="221">
        <f t="shared" si="7"/>
        <v>0</v>
      </c>
      <c r="R54" s="229" t="str">
        <f>ifs($J54="",VLOOKUP($A54&amp;$D54,'VISIT DATA'!$A$2:$J100,7,FALSE), $J54="SWAB","OUTSA-RW",$J54="SWQU","OUTSA-SaQu", AND($H54="X",$I54="X",$J54="QUEST"),"OUT-UAQPre",$J54="QUEST","OUT-UAQ", $J54="Walk in","ColUATele")</f>
        <v>#N/A</v>
      </c>
      <c r="S54" s="285"/>
    </row>
    <row r="55">
      <c r="A55" s="285"/>
      <c r="B55" s="284" t="str">
        <f>IFS($A55=FALSE,"",$A55,VLOOKUP($A55,'PATIENT DATA (072721)'!A:C, 2, 0))</f>
        <v/>
      </c>
      <c r="C55" s="226" t="str">
        <f>IFS($A55=FALSE,"",$A55,VLOOKUP($A55,'PATIENT DATA (072721)'!A:C, 3, 0))</f>
        <v/>
      </c>
      <c r="D55" s="218"/>
      <c r="E55" s="221" t="str">
        <f>ifs($A55="","",$A55, VLOOKUP($A55&amp;$D55, 'VISIT DATA'!$A:$O,13,0))</f>
        <v/>
      </c>
      <c r="F55" s="223" t="str">
        <f>VLOOKUP(A55&amp;D55,'VISIT DATA'!A:N,10,FALSE)</f>
        <v>#N/A</v>
      </c>
      <c r="G55" s="225"/>
      <c r="H55" s="224"/>
      <c r="I55" s="224"/>
      <c r="J55" s="225"/>
      <c r="K55" s="216" t="str">
        <f t="shared" si="1"/>
        <v>X</v>
      </c>
      <c r="L55" s="226" t="str">
        <f t="shared" si="2"/>
        <v>#N/A</v>
      </c>
      <c r="M55" s="227" t="str">
        <f t="shared" si="3"/>
        <v>#N/A</v>
      </c>
      <c r="N55" s="228" t="str">
        <f t="shared" si="4"/>
        <v>#N/A</v>
      </c>
      <c r="O55" s="220" t="str">
        <f t="shared" si="5"/>
        <v>#N/A</v>
      </c>
      <c r="P55" s="220" t="str">
        <f t="shared" si="6"/>
        <v>#N/A</v>
      </c>
      <c r="Q55" s="221">
        <f t="shared" si="7"/>
        <v>0</v>
      </c>
      <c r="R55" s="229" t="str">
        <f>ifs($J55="",VLOOKUP($A55&amp;$D55,'VISIT DATA'!$A$2:$J100,7,FALSE), $J55="SWAB","OUTSA-RW",$J55="SWQU","OUTSA-SaQu", AND($H55="X",$I55="X",$J55="QUEST"),"OUT-UAQPre",$J55="QUEST","OUT-UAQ", $J55="Walk in","ColUATele")</f>
        <v>#N/A</v>
      </c>
      <c r="S55" s="285"/>
    </row>
    <row r="56">
      <c r="A56" s="285"/>
      <c r="B56" s="284" t="str">
        <f>IFS($A56=FALSE,"",$A56,VLOOKUP($A56,'PATIENT DATA (072721)'!A:C, 2, 0))</f>
        <v/>
      </c>
      <c r="C56" s="226" t="str">
        <f>IFS($A56=FALSE,"",$A56,VLOOKUP($A56,'PATIENT DATA (072721)'!A:C, 3, 0))</f>
        <v/>
      </c>
      <c r="D56" s="218"/>
      <c r="E56" s="221" t="str">
        <f>ifs($A56="","",$A56, VLOOKUP($A56&amp;$D56, 'VISIT DATA'!$A:$O,13,0))</f>
        <v/>
      </c>
      <c r="F56" s="223" t="str">
        <f>VLOOKUP(A56&amp;D56,'VISIT DATA'!A:N,10,FALSE)</f>
        <v>#N/A</v>
      </c>
      <c r="G56" s="225"/>
      <c r="H56" s="224"/>
      <c r="I56" s="224"/>
      <c r="J56" s="225"/>
      <c r="K56" s="216" t="str">
        <f t="shared" si="1"/>
        <v>X</v>
      </c>
      <c r="L56" s="226" t="str">
        <f t="shared" si="2"/>
        <v>#N/A</v>
      </c>
      <c r="M56" s="227" t="str">
        <f t="shared" si="3"/>
        <v>#N/A</v>
      </c>
      <c r="N56" s="228" t="str">
        <f t="shared" si="4"/>
        <v>#N/A</v>
      </c>
      <c r="O56" s="220" t="str">
        <f t="shared" si="5"/>
        <v>#N/A</v>
      </c>
      <c r="P56" s="220" t="str">
        <f t="shared" si="6"/>
        <v>#N/A</v>
      </c>
      <c r="Q56" s="221">
        <f t="shared" si="7"/>
        <v>0</v>
      </c>
      <c r="R56" s="229" t="str">
        <f>ifs($J56="",VLOOKUP($A56&amp;$D56,'VISIT DATA'!$A$2:$J100,7,FALSE), $J56="SWAB","OUTSA-RW",$J56="SWQU","OUTSA-SaQu", AND($H56="X",$I56="X",$J56="QUEST"),"OUT-UAQPre",$J56="QUEST","OUT-UAQ", $J56="Walk in","ColUATele")</f>
        <v>#N/A</v>
      </c>
      <c r="S56" s="285"/>
    </row>
    <row r="57">
      <c r="A57" s="285"/>
      <c r="B57" s="284" t="str">
        <f>IFS($A57=FALSE,"",$A57,VLOOKUP($A57,'PATIENT DATA (072721)'!A:C, 2, 0))</f>
        <v/>
      </c>
      <c r="C57" s="226" t="str">
        <f>IFS($A57=FALSE,"",$A57,VLOOKUP($A57,'PATIENT DATA (072721)'!A:C, 3, 0))</f>
        <v/>
      </c>
      <c r="D57" s="218"/>
      <c r="E57" s="221" t="str">
        <f>ifs($A57="","",$A57, VLOOKUP($A57&amp;$D57, 'VISIT DATA'!$A:$O,13,0))</f>
        <v/>
      </c>
      <c r="F57" s="223" t="str">
        <f>VLOOKUP(A57&amp;D57,'VISIT DATA'!A:N,10,FALSE)</f>
        <v>#N/A</v>
      </c>
      <c r="G57" s="225"/>
      <c r="H57" s="224"/>
      <c r="I57" s="224"/>
      <c r="J57" s="225"/>
      <c r="K57" s="216" t="str">
        <f t="shared" si="1"/>
        <v>X</v>
      </c>
      <c r="L57" s="226" t="str">
        <f t="shared" si="2"/>
        <v>#N/A</v>
      </c>
      <c r="M57" s="227" t="str">
        <f t="shared" si="3"/>
        <v>#N/A</v>
      </c>
      <c r="N57" s="228" t="str">
        <f t="shared" si="4"/>
        <v>#N/A</v>
      </c>
      <c r="O57" s="220" t="str">
        <f t="shared" si="5"/>
        <v>#N/A</v>
      </c>
      <c r="P57" s="220" t="str">
        <f t="shared" si="6"/>
        <v>#N/A</v>
      </c>
      <c r="Q57" s="221">
        <f t="shared" si="7"/>
        <v>0</v>
      </c>
      <c r="R57" s="229" t="str">
        <f>ifs($J57="",VLOOKUP($A57&amp;$D57,'VISIT DATA'!$A$2:$J100,7,FALSE), $J57="SWAB","OUTSA-RW",$J57="SWQU","OUTSA-SaQu", AND($H57="X",$I57="X",$J57="QUEST"),"OUT-UAQPre",$J57="QUEST","OUT-UAQ", $J57="Walk in","ColUATele")</f>
        <v>#N/A</v>
      </c>
      <c r="S57" s="285"/>
    </row>
    <row r="58">
      <c r="A58" s="285"/>
      <c r="B58" s="284" t="str">
        <f>IFS($A58=FALSE,"",$A58,VLOOKUP($A58,'PATIENT DATA (072721)'!A:C, 2, 0))</f>
        <v/>
      </c>
      <c r="C58" s="226" t="str">
        <f>IFS($A58=FALSE,"",$A58,VLOOKUP($A58,'PATIENT DATA (072721)'!A:C, 3, 0))</f>
        <v/>
      </c>
      <c r="D58" s="218"/>
      <c r="E58" s="221" t="str">
        <f>ifs($A58="","",$A58, VLOOKUP($A58&amp;$D58, 'VISIT DATA'!$A:$O,13,0))</f>
        <v/>
      </c>
      <c r="F58" s="223" t="str">
        <f>VLOOKUP(A58&amp;D58,'VISIT DATA'!A:N,10,FALSE)</f>
        <v>#N/A</v>
      </c>
      <c r="G58" s="224"/>
      <c r="H58" s="224"/>
      <c r="I58" s="224"/>
      <c r="J58" s="225"/>
      <c r="K58" s="216" t="str">
        <f t="shared" si="1"/>
        <v>X</v>
      </c>
      <c r="L58" s="226" t="str">
        <f t="shared" si="2"/>
        <v>#N/A</v>
      </c>
      <c r="M58" s="227" t="str">
        <f t="shared" si="3"/>
        <v>#N/A</v>
      </c>
      <c r="N58" s="228" t="str">
        <f t="shared" si="4"/>
        <v>#N/A</v>
      </c>
      <c r="O58" s="220" t="str">
        <f t="shared" si="5"/>
        <v>#N/A</v>
      </c>
      <c r="P58" s="220" t="str">
        <f t="shared" si="6"/>
        <v>#N/A</v>
      </c>
      <c r="Q58" s="221">
        <f t="shared" si="7"/>
        <v>0</v>
      </c>
      <c r="R58" s="229" t="str">
        <f>ifs($J58="",VLOOKUP($A58&amp;$D58,'VISIT DATA'!$A$2:$J100,7,FALSE), $J58="SWAB","OUTSA-RW",$J58="SWQU","OUTSA-SaQu", AND($H58="X",$I58="X",$J58="QUEST"),"OUT-UAQPre",$J58="QUEST","OUT-UAQ", $J58="Walk in","ColUATele")</f>
        <v>#N/A</v>
      </c>
      <c r="S58" s="285"/>
    </row>
    <row r="59">
      <c r="A59" s="285"/>
      <c r="B59" s="284" t="str">
        <f>IFS($A59=FALSE,"",$A59,VLOOKUP($A59,'PATIENT DATA (072721)'!A:C, 2, 0))</f>
        <v/>
      </c>
      <c r="C59" s="226" t="str">
        <f>IFS($A59=FALSE,"",$A59,VLOOKUP($A59,'PATIENT DATA (072721)'!A:C, 3, 0))</f>
        <v/>
      </c>
      <c r="D59" s="218"/>
      <c r="E59" s="221" t="str">
        <f>ifs($A59="","",$A59, VLOOKUP($A59&amp;$D59, 'VISIT DATA'!$A:$O,13,0))</f>
        <v/>
      </c>
      <c r="F59" s="223" t="str">
        <f>VLOOKUP(A59&amp;D59,'VISIT DATA'!A:N,10,FALSE)</f>
        <v>#N/A</v>
      </c>
      <c r="G59" s="224"/>
      <c r="H59" s="224"/>
      <c r="I59" s="224"/>
      <c r="J59" s="225"/>
      <c r="K59" s="216" t="str">
        <f t="shared" si="1"/>
        <v>X</v>
      </c>
      <c r="L59" s="226" t="str">
        <f t="shared" si="2"/>
        <v>#N/A</v>
      </c>
      <c r="M59" s="227" t="str">
        <f t="shared" si="3"/>
        <v>#N/A</v>
      </c>
      <c r="N59" s="228" t="str">
        <f t="shared" si="4"/>
        <v>#N/A</v>
      </c>
      <c r="O59" s="220" t="str">
        <f t="shared" si="5"/>
        <v>#N/A</v>
      </c>
      <c r="P59" s="220" t="str">
        <f t="shared" si="6"/>
        <v>#N/A</v>
      </c>
      <c r="Q59" s="221">
        <f t="shared" si="7"/>
        <v>0</v>
      </c>
      <c r="R59" s="229" t="str">
        <f>ifs($J59="",VLOOKUP($A59&amp;$D59,'VISIT DATA'!$A$2:$J100,7,FALSE), $J59="SWAB","OUTSA-RW",$J59="SWQU","OUTSA-SaQu", AND($H59="X",$I59="X",$J59="QUEST"),"OUT-UAQPre",$J59="QUEST","OUT-UAQ", $J59="Walk in","ColUATele")</f>
        <v>#N/A</v>
      </c>
      <c r="S59" s="285"/>
    </row>
    <row r="60">
      <c r="A60" s="285"/>
      <c r="B60" s="284" t="str">
        <f>IFS($A60=FALSE,"",$A60,VLOOKUP($A60,'PATIENT DATA (072721)'!A:C, 2, 0))</f>
        <v/>
      </c>
      <c r="C60" s="226" t="str">
        <f>IFS($A60=FALSE,"",$A60,VLOOKUP($A60,'PATIENT DATA (072721)'!A:C, 3, 0))</f>
        <v/>
      </c>
      <c r="D60" s="218"/>
      <c r="E60" s="221" t="str">
        <f>ifs($A60="","",$A60, VLOOKUP($A60&amp;$D60, 'VISIT DATA'!$A:$O,13,0))</f>
        <v/>
      </c>
      <c r="F60" s="223" t="str">
        <f>VLOOKUP(A60&amp;D60,'VISIT DATA'!A:N,10,FALSE)</f>
        <v>#N/A</v>
      </c>
      <c r="G60" s="225"/>
      <c r="H60" s="224"/>
      <c r="I60" s="224"/>
      <c r="J60" s="225"/>
      <c r="K60" s="216" t="str">
        <f t="shared" si="1"/>
        <v>X</v>
      </c>
      <c r="L60" s="226" t="str">
        <f t="shared" si="2"/>
        <v>#N/A</v>
      </c>
      <c r="M60" s="227" t="str">
        <f t="shared" si="3"/>
        <v>#N/A</v>
      </c>
      <c r="N60" s="228" t="str">
        <f t="shared" si="4"/>
        <v>#N/A</v>
      </c>
      <c r="O60" s="220" t="str">
        <f t="shared" si="5"/>
        <v>#N/A</v>
      </c>
      <c r="P60" s="220" t="str">
        <f t="shared" si="6"/>
        <v>#N/A</v>
      </c>
      <c r="Q60" s="221">
        <f t="shared" si="7"/>
        <v>0</v>
      </c>
      <c r="R60" s="229" t="str">
        <f>ifs($J60="",VLOOKUP($A60&amp;$D60,'VISIT DATA'!$A$2:$J100,7,FALSE), $J60="SWAB","OUTSA-RW",$J60="SWQU","OUTSA-SaQu", AND($H60="X",$I60="X",$J60="QUEST"),"OUT-UAQPre",$J60="QUEST","OUT-UAQ", $J60="Walk in","ColUATele")</f>
        <v>#N/A</v>
      </c>
      <c r="S60" s="285"/>
    </row>
    <row r="61">
      <c r="A61" s="285"/>
      <c r="B61" s="284" t="str">
        <f>IFS($A61=FALSE,"",$A61,VLOOKUP($A61,'PATIENT DATA (072721)'!A:C, 2, 0))</f>
        <v/>
      </c>
      <c r="C61" s="226" t="str">
        <f>IFS($A61=FALSE,"",$A61,VLOOKUP($A61,'PATIENT DATA (072721)'!A:C, 3, 0))</f>
        <v/>
      </c>
      <c r="D61" s="218"/>
      <c r="E61" s="221" t="str">
        <f>ifs($A61="","",$A61, VLOOKUP($A61&amp;$D61, 'VISIT DATA'!$A:$O,13,0))</f>
        <v/>
      </c>
      <c r="F61" s="223" t="str">
        <f>VLOOKUP(A61&amp;D61,'VISIT DATA'!A:N,10,FALSE)</f>
        <v>#N/A</v>
      </c>
      <c r="G61" s="225"/>
      <c r="H61" s="224"/>
      <c r="I61" s="224"/>
      <c r="J61" s="225"/>
      <c r="K61" s="216" t="str">
        <f t="shared" si="1"/>
        <v>X</v>
      </c>
      <c r="L61" s="226" t="str">
        <f t="shared" si="2"/>
        <v>#N/A</v>
      </c>
      <c r="M61" s="227" t="str">
        <f t="shared" si="3"/>
        <v>#N/A</v>
      </c>
      <c r="N61" s="228" t="str">
        <f t="shared" si="4"/>
        <v>#N/A</v>
      </c>
      <c r="O61" s="220" t="str">
        <f t="shared" si="5"/>
        <v>#N/A</v>
      </c>
      <c r="P61" s="220" t="str">
        <f t="shared" si="6"/>
        <v>#N/A</v>
      </c>
      <c r="Q61" s="221">
        <f t="shared" si="7"/>
        <v>0</v>
      </c>
      <c r="R61" s="229" t="str">
        <f>ifs($J61="",VLOOKUP($A61&amp;$D61,'VISIT DATA'!$A$2:$J100,7,FALSE), $J61="SWAB","OUTSA-RW",$J61="SWQU","OUTSA-SaQu", AND($H61="X",$I61="X",$J61="QUEST"),"OUT-UAQPre",$J61="QUEST","OUT-UAQ", $J61="Walk in","ColUATele")</f>
        <v>#N/A</v>
      </c>
      <c r="S61" s="285"/>
    </row>
    <row r="62">
      <c r="A62" s="285"/>
      <c r="B62" s="284" t="str">
        <f>IFS($A62=FALSE,"",$A62,VLOOKUP($A62,'PATIENT DATA (072721)'!A:C, 2, 0))</f>
        <v/>
      </c>
      <c r="C62" s="226" t="str">
        <f>IFS($A62=FALSE,"",$A62,VLOOKUP($A62,'PATIENT DATA (072721)'!A:C, 3, 0))</f>
        <v/>
      </c>
      <c r="D62" s="218"/>
      <c r="E62" s="221" t="str">
        <f>ifs($A62="","",$A62, VLOOKUP($A62&amp;$D62, 'VISIT DATA'!$A:$O,13,0))</f>
        <v/>
      </c>
      <c r="F62" s="223" t="str">
        <f>VLOOKUP(A62&amp;D62,'VISIT DATA'!A:N,10,FALSE)</f>
        <v>#N/A</v>
      </c>
      <c r="G62" s="225"/>
      <c r="H62" s="224"/>
      <c r="I62" s="224"/>
      <c r="J62" s="225"/>
      <c r="K62" s="216" t="str">
        <f t="shared" si="1"/>
        <v>X</v>
      </c>
      <c r="L62" s="226" t="str">
        <f t="shared" si="2"/>
        <v>#N/A</v>
      </c>
      <c r="M62" s="227" t="str">
        <f t="shared" si="3"/>
        <v>#N/A</v>
      </c>
      <c r="N62" s="228" t="str">
        <f t="shared" si="4"/>
        <v>#N/A</v>
      </c>
      <c r="O62" s="220" t="str">
        <f t="shared" si="5"/>
        <v>#N/A</v>
      </c>
      <c r="P62" s="220" t="str">
        <f t="shared" si="6"/>
        <v>#N/A</v>
      </c>
      <c r="Q62" s="221">
        <f t="shared" si="7"/>
        <v>0</v>
      </c>
      <c r="R62" s="229" t="str">
        <f>ifs($J62="",VLOOKUP($A62&amp;$D62,'VISIT DATA'!$A$2:$J100,7,FALSE), $J62="SWAB","OUTSA-RW",$J62="SWQU","OUTSA-SaQu", AND($H62="X",$I62="X",$J62="QUEST"),"OUT-UAQPre",$J62="QUEST","OUT-UAQ", $J62="Walk in","ColUATele")</f>
        <v>#N/A</v>
      </c>
      <c r="S62" s="285"/>
    </row>
    <row r="63">
      <c r="A63" s="285"/>
      <c r="B63" s="284" t="str">
        <f>IFS($A63=FALSE,"",$A63,VLOOKUP($A63,'PATIENT DATA (072721)'!A:C, 2, 0))</f>
        <v/>
      </c>
      <c r="C63" s="226" t="str">
        <f>IFS($A63=FALSE,"",$A63,VLOOKUP($A63,'PATIENT DATA (072721)'!A:C, 3, 0))</f>
        <v/>
      </c>
      <c r="D63" s="218"/>
      <c r="E63" s="221" t="str">
        <f>ifs($A63="","",$A63, VLOOKUP($A63&amp;$D63, 'VISIT DATA'!$A:$O,13,0))</f>
        <v/>
      </c>
      <c r="F63" s="223" t="str">
        <f>VLOOKUP(A63&amp;D63,'VISIT DATA'!A:N,10,FALSE)</f>
        <v>#N/A</v>
      </c>
      <c r="G63" s="225"/>
      <c r="H63" s="224"/>
      <c r="I63" s="224"/>
      <c r="J63" s="225"/>
      <c r="K63" s="216" t="str">
        <f t="shared" si="1"/>
        <v>X</v>
      </c>
      <c r="L63" s="226" t="str">
        <f t="shared" si="2"/>
        <v>#N/A</v>
      </c>
      <c r="M63" s="227" t="str">
        <f t="shared" si="3"/>
        <v>#N/A</v>
      </c>
      <c r="N63" s="228" t="str">
        <f t="shared" si="4"/>
        <v>#N/A</v>
      </c>
      <c r="O63" s="220" t="str">
        <f t="shared" si="5"/>
        <v>#N/A</v>
      </c>
      <c r="P63" s="220" t="str">
        <f t="shared" si="6"/>
        <v>#N/A</v>
      </c>
      <c r="Q63" s="221">
        <f t="shared" si="7"/>
        <v>0</v>
      </c>
      <c r="R63" s="229" t="str">
        <f>ifs($J63="",VLOOKUP($A63&amp;$D63,'VISIT DATA'!$A$2:$J100,7,FALSE), $J63="SWAB","OUTSA-RW",$J63="SWQU","OUTSA-SaQu", AND($H63="X",$I63="X",$J63="QUEST"),"OUT-UAQPre",$J63="QUEST","OUT-UAQ", $J63="Walk in","ColUATele")</f>
        <v>#N/A</v>
      </c>
      <c r="S63" s="285"/>
    </row>
    <row r="64">
      <c r="A64" s="285"/>
      <c r="B64" s="284" t="str">
        <f>IFS($A64=FALSE,"",$A64,VLOOKUP($A64,'PATIENT DATA (072721)'!A:C, 2, 0))</f>
        <v/>
      </c>
      <c r="C64" s="226" t="str">
        <f>IFS($A64=FALSE,"",$A64,VLOOKUP($A64,'PATIENT DATA (072721)'!A:C, 3, 0))</f>
        <v/>
      </c>
      <c r="D64" s="218"/>
      <c r="E64" s="221" t="str">
        <f>ifs($A64="","",$A64, VLOOKUP($A64&amp;$D64, 'VISIT DATA'!$A:$O,13,0))</f>
        <v/>
      </c>
      <c r="F64" s="223" t="str">
        <f>VLOOKUP(A64&amp;D64,'VISIT DATA'!A:N,10,FALSE)</f>
        <v>#N/A</v>
      </c>
      <c r="G64" s="225"/>
      <c r="H64" s="224"/>
      <c r="I64" s="224"/>
      <c r="J64" s="225"/>
      <c r="K64" s="216" t="str">
        <f t="shared" si="1"/>
        <v>X</v>
      </c>
      <c r="L64" s="226" t="str">
        <f t="shared" si="2"/>
        <v>#N/A</v>
      </c>
      <c r="M64" s="227" t="str">
        <f t="shared" si="3"/>
        <v>#N/A</v>
      </c>
      <c r="N64" s="228" t="str">
        <f t="shared" si="4"/>
        <v>#N/A</v>
      </c>
      <c r="O64" s="220" t="str">
        <f t="shared" si="5"/>
        <v>#N/A</v>
      </c>
      <c r="P64" s="220" t="str">
        <f t="shared" si="6"/>
        <v>#N/A</v>
      </c>
      <c r="Q64" s="221">
        <f t="shared" si="7"/>
        <v>0</v>
      </c>
      <c r="R64" s="229" t="str">
        <f>ifs($J64="",VLOOKUP($A64&amp;$D64,'VISIT DATA'!$A$2:$J100,7,FALSE), $J64="SWAB","OUTSA-RW",$J64="SWQU","OUTSA-SaQu", AND($H64="X",$I64="X",$J64="QUEST"),"OUT-UAQPre",$J64="QUEST","OUT-UAQ", $J64="Walk in","ColUATele")</f>
        <v>#N/A</v>
      </c>
      <c r="S64" s="285"/>
    </row>
    <row r="65">
      <c r="A65" s="285"/>
      <c r="B65" s="284" t="str">
        <f>IFS($A65=FALSE,"",$A65,VLOOKUP($A65,'PATIENT DATA (072721)'!A:C, 2, 0))</f>
        <v/>
      </c>
      <c r="C65" s="226" t="str">
        <f>IFS($A65=FALSE,"",$A65,VLOOKUP($A65,'PATIENT DATA (072721)'!A:C, 3, 0))</f>
        <v/>
      </c>
      <c r="D65" s="218"/>
      <c r="E65" s="221" t="str">
        <f>ifs($A65="","",$A65, VLOOKUP($A65&amp;$D65, 'VISIT DATA'!$A:$O,13,0))</f>
        <v/>
      </c>
      <c r="F65" s="223" t="str">
        <f>VLOOKUP(A65&amp;D65,'VISIT DATA'!A:N,10,FALSE)</f>
        <v>#N/A</v>
      </c>
      <c r="G65" s="225"/>
      <c r="H65" s="224"/>
      <c r="I65" s="224"/>
      <c r="J65" s="225"/>
      <c r="K65" s="216" t="str">
        <f t="shared" si="1"/>
        <v>X</v>
      </c>
      <c r="L65" s="226" t="str">
        <f t="shared" si="2"/>
        <v>#N/A</v>
      </c>
      <c r="M65" s="227" t="str">
        <f t="shared" si="3"/>
        <v>#N/A</v>
      </c>
      <c r="N65" s="228" t="str">
        <f t="shared" si="4"/>
        <v>#N/A</v>
      </c>
      <c r="O65" s="220" t="str">
        <f t="shared" si="5"/>
        <v>#N/A</v>
      </c>
      <c r="P65" s="220" t="str">
        <f t="shared" si="6"/>
        <v>#N/A</v>
      </c>
      <c r="Q65" s="221">
        <f t="shared" si="7"/>
        <v>0</v>
      </c>
      <c r="R65" s="229" t="str">
        <f>ifs($J65="",VLOOKUP($A65&amp;$D65,'VISIT DATA'!$A$2:$J100,7,FALSE), $J65="SWAB","OUTSA-RW",$J65="SWQU","OUTSA-SaQu", AND($H65="X",$I65="X",$J65="QUEST"),"OUT-UAQPre",$J65="QUEST","OUT-UAQ", $J65="Walk in","ColUATele")</f>
        <v>#N/A</v>
      </c>
      <c r="S65" s="285"/>
    </row>
    <row r="66">
      <c r="A66" s="285"/>
      <c r="B66" s="284" t="str">
        <f>IFS($A66=FALSE,"",$A66,VLOOKUP($A66,'PATIENT DATA (072721)'!A:C, 2, 0))</f>
        <v/>
      </c>
      <c r="C66" s="226" t="str">
        <f>IFS($A66=FALSE,"",$A66,VLOOKUP($A66,'PATIENT DATA (072721)'!A:C, 3, 0))</f>
        <v/>
      </c>
      <c r="D66" s="218"/>
      <c r="E66" s="221" t="str">
        <f>ifs($A66="","",$A66, VLOOKUP($A66&amp;$D66, 'VISIT DATA'!$A:$O,13,0))</f>
        <v/>
      </c>
      <c r="F66" s="223" t="str">
        <f>VLOOKUP(A66&amp;D66,'VISIT DATA'!A:N,10,FALSE)</f>
        <v>#N/A</v>
      </c>
      <c r="G66" s="225"/>
      <c r="H66" s="224"/>
      <c r="I66" s="224"/>
      <c r="J66" s="225"/>
      <c r="K66" s="216" t="str">
        <f t="shared" si="1"/>
        <v>X</v>
      </c>
      <c r="L66" s="226" t="str">
        <f t="shared" si="2"/>
        <v>#N/A</v>
      </c>
      <c r="M66" s="227" t="str">
        <f t="shared" si="3"/>
        <v>#N/A</v>
      </c>
      <c r="N66" s="228" t="str">
        <f t="shared" si="4"/>
        <v>#N/A</v>
      </c>
      <c r="O66" s="220" t="str">
        <f t="shared" si="5"/>
        <v>#N/A</v>
      </c>
      <c r="P66" s="220" t="str">
        <f t="shared" si="6"/>
        <v>#N/A</v>
      </c>
      <c r="Q66" s="221">
        <f t="shared" si="7"/>
        <v>0</v>
      </c>
      <c r="R66" s="229" t="str">
        <f>ifs($J66="",VLOOKUP($A66&amp;$D66,'VISIT DATA'!$A$2:$J100,7,FALSE), $J66="SWAB","OUTSA-RW",$J66="SWQU","OUTSA-SaQu", AND($H66="X",$I66="X",$J66="QUEST"),"OUT-UAQPre",$J66="QUEST","OUT-UAQ", $J66="Walk in","ColUATele")</f>
        <v>#N/A</v>
      </c>
      <c r="S66" s="285"/>
    </row>
    <row r="67">
      <c r="A67" s="285"/>
      <c r="B67" s="284" t="str">
        <f>IFS($A67=FALSE,"",$A67,VLOOKUP($A67,'PATIENT DATA (072721)'!A:C, 2, 0))</f>
        <v/>
      </c>
      <c r="C67" s="226" t="str">
        <f>IFS($A67=FALSE,"",$A67,VLOOKUP($A67,'PATIENT DATA (072721)'!A:C, 3, 0))</f>
        <v/>
      </c>
      <c r="D67" s="218"/>
      <c r="E67" s="221" t="str">
        <f>ifs($A67="","",$A67, VLOOKUP($A67&amp;$D67, 'VISIT DATA'!$A:$O,13,0))</f>
        <v/>
      </c>
      <c r="F67" s="223" t="str">
        <f>VLOOKUP(A67&amp;D67,'VISIT DATA'!A:N,10,FALSE)</f>
        <v>#N/A</v>
      </c>
      <c r="G67" s="225"/>
      <c r="H67" s="224"/>
      <c r="I67" s="224"/>
      <c r="J67" s="225"/>
      <c r="K67" s="216" t="str">
        <f t="shared" si="1"/>
        <v>X</v>
      </c>
      <c r="L67" s="226" t="str">
        <f t="shared" si="2"/>
        <v>#N/A</v>
      </c>
      <c r="M67" s="227" t="str">
        <f t="shared" si="3"/>
        <v>#N/A</v>
      </c>
      <c r="N67" s="228" t="str">
        <f t="shared" si="4"/>
        <v>#N/A</v>
      </c>
      <c r="O67" s="220" t="str">
        <f t="shared" si="5"/>
        <v>#N/A</v>
      </c>
      <c r="P67" s="220" t="str">
        <f t="shared" si="6"/>
        <v>#N/A</v>
      </c>
      <c r="Q67" s="221">
        <f t="shared" si="7"/>
        <v>0</v>
      </c>
      <c r="R67" s="229" t="str">
        <f>ifs($J67="",VLOOKUP($A67&amp;$D67,'VISIT DATA'!$A$2:$J100,7,FALSE), $J67="SWAB","OUTSA-RW",$J67="SWQU","OUTSA-SaQu", AND($H67="X",$I67="X",$J67="QUEST"),"OUT-UAQPre",$J67="QUEST","OUT-UAQ", $J67="Walk in","ColUATele")</f>
        <v>#N/A</v>
      </c>
      <c r="S67" s="285"/>
    </row>
    <row r="68">
      <c r="A68" s="285"/>
      <c r="B68" s="284" t="str">
        <f>IFS($A68=FALSE,"",$A68,VLOOKUP($A68,'PATIENT DATA (072721)'!A:C, 2, 0))</f>
        <v/>
      </c>
      <c r="C68" s="226" t="str">
        <f>IFS($A68=FALSE,"",$A68,VLOOKUP($A68,'PATIENT DATA (072721)'!A:C, 3, 0))</f>
        <v/>
      </c>
      <c r="D68" s="218"/>
      <c r="E68" s="221" t="str">
        <f>ifs($A68="","",$A68, VLOOKUP($A68&amp;$D68, 'VISIT DATA'!$A:$O,13,0))</f>
        <v/>
      </c>
      <c r="F68" s="223" t="str">
        <f>VLOOKUP(A68&amp;D68,'VISIT DATA'!A:N,10,FALSE)</f>
        <v>#N/A</v>
      </c>
      <c r="G68" s="225"/>
      <c r="H68" s="224"/>
      <c r="I68" s="224"/>
      <c r="J68" s="225"/>
      <c r="K68" s="216" t="str">
        <f t="shared" si="1"/>
        <v>X</v>
      </c>
      <c r="L68" s="226" t="str">
        <f t="shared" si="2"/>
        <v>#N/A</v>
      </c>
      <c r="M68" s="227" t="str">
        <f t="shared" si="3"/>
        <v>#N/A</v>
      </c>
      <c r="N68" s="228" t="str">
        <f t="shared" si="4"/>
        <v>#N/A</v>
      </c>
      <c r="O68" s="220" t="str">
        <f t="shared" si="5"/>
        <v>#N/A</v>
      </c>
      <c r="P68" s="220" t="str">
        <f t="shared" si="6"/>
        <v>#N/A</v>
      </c>
      <c r="Q68" s="221">
        <f t="shared" si="7"/>
        <v>0</v>
      </c>
      <c r="R68" s="229" t="str">
        <f>ifs($J68="",VLOOKUP($A68&amp;$D68,'VISIT DATA'!$A$2:$J100,7,FALSE), $J68="SWAB","OUTSA-RW",$J68="SWQU","OUTSA-SaQu", AND($H68="X",$I68="X",$J68="QUEST"),"OUT-UAQPre",$J68="QUEST","OUT-UAQ", $J68="Walk in","ColUATele")</f>
        <v>#N/A</v>
      </c>
      <c r="S68" s="285"/>
    </row>
    <row r="69">
      <c r="A69" s="285"/>
      <c r="B69" s="284" t="str">
        <f>IFS($A69=FALSE,"",$A69,VLOOKUP($A69,'PATIENT DATA (072721)'!A:C, 2, 0))</f>
        <v/>
      </c>
      <c r="C69" s="226" t="str">
        <f>IFS($A69=FALSE,"",$A69,VLOOKUP($A69,'PATIENT DATA (072721)'!A:C, 3, 0))</f>
        <v/>
      </c>
      <c r="D69" s="218"/>
      <c r="E69" s="221" t="str">
        <f>ifs($A69="","",$A69, VLOOKUP($A69&amp;$D69, 'VISIT DATA'!$A:$O,13,0))</f>
        <v/>
      </c>
      <c r="F69" s="223" t="str">
        <f>VLOOKUP(A69&amp;D69,'VISIT DATA'!A:N,10,FALSE)</f>
        <v>#N/A</v>
      </c>
      <c r="G69" s="224"/>
      <c r="H69" s="224"/>
      <c r="I69" s="224"/>
      <c r="J69" s="225"/>
      <c r="K69" s="216" t="str">
        <f t="shared" si="1"/>
        <v>X</v>
      </c>
      <c r="L69" s="226" t="str">
        <f t="shared" si="2"/>
        <v>#N/A</v>
      </c>
      <c r="M69" s="227" t="str">
        <f t="shared" si="3"/>
        <v>#N/A</v>
      </c>
      <c r="N69" s="228" t="str">
        <f t="shared" si="4"/>
        <v>#N/A</v>
      </c>
      <c r="O69" s="220" t="str">
        <f t="shared" si="5"/>
        <v>#N/A</v>
      </c>
      <c r="P69" s="220" t="str">
        <f t="shared" si="6"/>
        <v>#N/A</v>
      </c>
      <c r="Q69" s="221">
        <f t="shared" si="7"/>
        <v>0</v>
      </c>
      <c r="R69" s="229" t="str">
        <f>ifs($J69="",VLOOKUP($A69&amp;$D69,'VISIT DATA'!$A$2:$J100,7,FALSE), $J69="SWAB","OUTSA-RW",$J69="SWQU","OUTSA-SaQu", AND($H69="X",$I69="X",$J69="QUEST"),"OUT-UAQPre",$J69="QUEST","OUT-UAQ", $J69="Walk in","ColUATele")</f>
        <v>#N/A</v>
      </c>
      <c r="S69" s="285"/>
    </row>
    <row r="70">
      <c r="A70" s="285"/>
      <c r="B70" s="284" t="str">
        <f>IFS($A70=FALSE,"",$A70,VLOOKUP($A70,'PATIENT DATA (072721)'!A:C, 2, 0))</f>
        <v/>
      </c>
      <c r="C70" s="226" t="str">
        <f>IFS($A70=FALSE,"",$A70,VLOOKUP($A70,'PATIENT DATA (072721)'!A:C, 3, 0))</f>
        <v/>
      </c>
      <c r="D70" s="218"/>
      <c r="E70" s="221" t="str">
        <f>ifs($A70="","",$A70, VLOOKUP($A70&amp;$D70, 'VISIT DATA'!$A:$O,13,0))</f>
        <v/>
      </c>
      <c r="F70" s="223" t="str">
        <f>VLOOKUP(A70&amp;D70,'VISIT DATA'!A:N,10,FALSE)</f>
        <v>#N/A</v>
      </c>
      <c r="G70" s="224"/>
      <c r="H70" s="224"/>
      <c r="I70" s="224"/>
      <c r="J70" s="225"/>
      <c r="K70" s="216" t="str">
        <f t="shared" si="1"/>
        <v>X</v>
      </c>
      <c r="L70" s="226" t="str">
        <f t="shared" si="2"/>
        <v>#N/A</v>
      </c>
      <c r="M70" s="227" t="str">
        <f t="shared" si="3"/>
        <v>#N/A</v>
      </c>
      <c r="N70" s="228" t="str">
        <f t="shared" si="4"/>
        <v>#N/A</v>
      </c>
      <c r="O70" s="220" t="str">
        <f t="shared" si="5"/>
        <v>#N/A</v>
      </c>
      <c r="P70" s="220" t="str">
        <f t="shared" si="6"/>
        <v>#N/A</v>
      </c>
      <c r="Q70" s="221">
        <f t="shared" si="7"/>
        <v>0</v>
      </c>
      <c r="R70" s="229" t="str">
        <f>ifs($J70="",VLOOKUP($A70&amp;$D70,'VISIT DATA'!$A$2:$J100,7,FALSE), $J70="SWAB","OUTSA-RW",$J70="SWQU","OUTSA-SaQu", AND($H70="X",$I70="X",$J70="QUEST"),"OUT-UAQPre",$J70="QUEST","OUT-UAQ", $J70="Walk in","ColUATele")</f>
        <v>#N/A</v>
      </c>
      <c r="S70" s="285"/>
    </row>
    <row r="71">
      <c r="A71" s="285"/>
      <c r="B71" s="284" t="str">
        <f>IFS($A71=FALSE,"",$A71,VLOOKUP($A71,'PATIENT DATA (072721)'!A:C, 2, 0))</f>
        <v/>
      </c>
      <c r="C71" s="226" t="str">
        <f>IFS($A71=FALSE,"",$A71,VLOOKUP($A71,'PATIENT DATA (072721)'!A:C, 3, 0))</f>
        <v/>
      </c>
      <c r="D71" s="218"/>
      <c r="E71" s="221" t="str">
        <f>ifs($A71="","",$A71, VLOOKUP($A71&amp;$D71, 'VISIT DATA'!$A:$O,13,0))</f>
        <v/>
      </c>
      <c r="F71" s="223" t="str">
        <f>VLOOKUP(A71&amp;D71,'VISIT DATA'!A:N,10,FALSE)</f>
        <v>#N/A</v>
      </c>
      <c r="G71" s="225"/>
      <c r="H71" s="224"/>
      <c r="I71" s="224"/>
      <c r="J71" s="225"/>
      <c r="K71" s="216" t="str">
        <f t="shared" si="1"/>
        <v>X</v>
      </c>
      <c r="L71" s="226" t="str">
        <f t="shared" si="2"/>
        <v>#N/A</v>
      </c>
      <c r="M71" s="227" t="str">
        <f t="shared" si="3"/>
        <v>#N/A</v>
      </c>
      <c r="N71" s="228" t="str">
        <f t="shared" si="4"/>
        <v>#N/A</v>
      </c>
      <c r="O71" s="220" t="str">
        <f t="shared" si="5"/>
        <v>#N/A</v>
      </c>
      <c r="P71" s="220" t="str">
        <f t="shared" si="6"/>
        <v>#N/A</v>
      </c>
      <c r="Q71" s="221">
        <f t="shared" si="7"/>
        <v>0</v>
      </c>
      <c r="R71" s="229" t="str">
        <f>ifs($J71="",VLOOKUP($A71&amp;$D71,'VISIT DATA'!$A$2:$J100,7,FALSE), $J71="SWAB","OUTSA-RW",$J71="SWQU","OUTSA-SaQu", AND($H71="X",$I71="X",$J71="QUEST"),"OUT-UAQPre",$J71="QUEST","OUT-UAQ", $J71="Walk in","ColUATele")</f>
        <v>#N/A</v>
      </c>
      <c r="S71" s="285"/>
    </row>
    <row r="72">
      <c r="A72" s="285"/>
      <c r="B72" s="284" t="str">
        <f>IFS($A72=FALSE,"",$A72,VLOOKUP($A72,'PATIENT DATA (072721)'!A:C, 2, 0))</f>
        <v/>
      </c>
      <c r="C72" s="226" t="str">
        <f>IFS($A72=FALSE,"",$A72,VLOOKUP($A72,'PATIENT DATA (072721)'!A:C, 3, 0))</f>
        <v/>
      </c>
      <c r="D72" s="218"/>
      <c r="E72" s="221" t="str">
        <f>ifs($A72="","",$A72, VLOOKUP($A72&amp;$D72, 'VISIT DATA'!$A:$O,13,0))</f>
        <v/>
      </c>
      <c r="F72" s="223" t="str">
        <f>VLOOKUP(A72&amp;D72,'VISIT DATA'!A:N,10,FALSE)</f>
        <v>#N/A</v>
      </c>
      <c r="G72" s="225"/>
      <c r="H72" s="224"/>
      <c r="I72" s="224"/>
      <c r="J72" s="225"/>
      <c r="K72" s="216" t="str">
        <f t="shared" si="1"/>
        <v>X</v>
      </c>
      <c r="L72" s="226" t="str">
        <f t="shared" si="2"/>
        <v>#N/A</v>
      </c>
      <c r="M72" s="227" t="str">
        <f t="shared" si="3"/>
        <v>#N/A</v>
      </c>
      <c r="N72" s="228" t="str">
        <f t="shared" si="4"/>
        <v>#N/A</v>
      </c>
      <c r="O72" s="220" t="str">
        <f t="shared" si="5"/>
        <v>#N/A</v>
      </c>
      <c r="P72" s="220" t="str">
        <f t="shared" si="6"/>
        <v>#N/A</v>
      </c>
      <c r="Q72" s="221">
        <f t="shared" si="7"/>
        <v>0</v>
      </c>
      <c r="R72" s="229" t="str">
        <f>ifs($J72="",VLOOKUP($A72&amp;$D72,'VISIT DATA'!$A$2:$J100,7,FALSE), $J72="SWAB","OUTSA-RW",$J72="SWQU","OUTSA-SaQu", AND($H72="X",$I72="X",$J72="QUEST"),"OUT-UAQPre",$J72="QUEST","OUT-UAQ", $J72="Walk in","ColUATele")</f>
        <v>#N/A</v>
      </c>
      <c r="S72" s="285"/>
    </row>
    <row r="73">
      <c r="A73" s="285"/>
      <c r="B73" s="284" t="str">
        <f>IFS($A73=FALSE,"",$A73,VLOOKUP($A73,'PATIENT DATA (072721)'!A:C, 2, 0))</f>
        <v/>
      </c>
      <c r="C73" s="226" t="str">
        <f>IFS($A73=FALSE,"",$A73,VLOOKUP($A73,'PATIENT DATA (072721)'!A:C, 3, 0))</f>
        <v/>
      </c>
      <c r="D73" s="218"/>
      <c r="E73" s="221" t="str">
        <f>ifs($A73="","",$A73, VLOOKUP($A73&amp;$D73, 'VISIT DATA'!$A:$O,13,0))</f>
        <v/>
      </c>
      <c r="F73" s="223" t="str">
        <f>VLOOKUP(A73&amp;D73,'VISIT DATA'!A:N,10,FALSE)</f>
        <v>#N/A</v>
      </c>
      <c r="G73" s="225"/>
      <c r="H73" s="224"/>
      <c r="I73" s="224"/>
      <c r="J73" s="225"/>
      <c r="K73" s="216" t="str">
        <f t="shared" si="1"/>
        <v>X</v>
      </c>
      <c r="L73" s="226" t="str">
        <f t="shared" si="2"/>
        <v>#N/A</v>
      </c>
      <c r="M73" s="227" t="str">
        <f t="shared" si="3"/>
        <v>#N/A</v>
      </c>
      <c r="N73" s="228" t="str">
        <f t="shared" si="4"/>
        <v>#N/A</v>
      </c>
      <c r="O73" s="220" t="str">
        <f t="shared" si="5"/>
        <v>#N/A</v>
      </c>
      <c r="P73" s="220" t="str">
        <f t="shared" si="6"/>
        <v>#N/A</v>
      </c>
      <c r="Q73" s="221">
        <f t="shared" si="7"/>
        <v>0</v>
      </c>
      <c r="R73" s="229" t="str">
        <f>ifs($J73="",VLOOKUP($A73&amp;$D73,'VISIT DATA'!$A$2:$J100,7,FALSE), $J73="SWAB","OUTSA-RW",$J73="SWQU","OUTSA-SaQu", AND($H73="X",$I73="X",$J73="QUEST"),"OUT-UAQPre",$J73="QUEST","OUT-UAQ", $J73="Walk in","ColUATele")</f>
        <v>#N/A</v>
      </c>
      <c r="S73" s="285"/>
    </row>
    <row r="74">
      <c r="A74" s="285"/>
      <c r="B74" s="284" t="str">
        <f>IFS($A74=FALSE,"",$A74,VLOOKUP($A74,'PATIENT DATA (072721)'!A:C, 2, 0))</f>
        <v/>
      </c>
      <c r="C74" s="226" t="str">
        <f>IFS($A74=FALSE,"",$A74,VLOOKUP($A74,'PATIENT DATA (072721)'!A:C, 3, 0))</f>
        <v/>
      </c>
      <c r="D74" s="218"/>
      <c r="E74" s="221" t="str">
        <f>ifs($A74="","",$A74, VLOOKUP($A74&amp;$D74, 'VISIT DATA'!$A:$O,13,0))</f>
        <v/>
      </c>
      <c r="F74" s="223" t="str">
        <f>VLOOKUP(A74&amp;D74,'VISIT DATA'!A:N,10,FALSE)</f>
        <v>#N/A</v>
      </c>
      <c r="G74" s="225"/>
      <c r="H74" s="224"/>
      <c r="I74" s="224"/>
      <c r="J74" s="225"/>
      <c r="K74" s="216" t="str">
        <f t="shared" si="1"/>
        <v>X</v>
      </c>
      <c r="L74" s="226" t="str">
        <f t="shared" si="2"/>
        <v>#N/A</v>
      </c>
      <c r="M74" s="227" t="str">
        <f t="shared" si="3"/>
        <v>#N/A</v>
      </c>
      <c r="N74" s="228" t="str">
        <f t="shared" si="4"/>
        <v>#N/A</v>
      </c>
      <c r="O74" s="220" t="str">
        <f t="shared" si="5"/>
        <v>#N/A</v>
      </c>
      <c r="P74" s="220" t="str">
        <f t="shared" si="6"/>
        <v>#N/A</v>
      </c>
      <c r="Q74" s="221">
        <f t="shared" si="7"/>
        <v>0</v>
      </c>
      <c r="R74" s="229" t="str">
        <f>ifs($J74="",VLOOKUP($A74&amp;$D74,'VISIT DATA'!$A$2:$J100,7,FALSE), $J74="SWAB","OUTSA-RW",$J74="SWQU","OUTSA-SaQu", AND($H74="X",$I74="X",$J74="QUEST"),"OUT-UAQPre",$J74="QUEST","OUT-UAQ", $J74="Walk in","ColUATele")</f>
        <v>#N/A</v>
      </c>
      <c r="S74" s="285"/>
    </row>
    <row r="75">
      <c r="A75" s="285"/>
      <c r="B75" s="284" t="str">
        <f>IFS($A75=FALSE,"",$A75,VLOOKUP($A75,'PATIENT DATA (072721)'!A:C, 2, 0))</f>
        <v/>
      </c>
      <c r="C75" s="226" t="str">
        <f>IFS($A75=FALSE,"",$A75,VLOOKUP($A75,'PATIENT DATA (072721)'!A:C, 3, 0))</f>
        <v/>
      </c>
      <c r="D75" s="218"/>
      <c r="E75" s="221" t="str">
        <f>ifs($A75="","",$A75, VLOOKUP($A75&amp;$D75, 'VISIT DATA'!$A:$O,13,0))</f>
        <v/>
      </c>
      <c r="F75" s="223" t="str">
        <f>VLOOKUP(A75&amp;D75,'VISIT DATA'!A:N,10,FALSE)</f>
        <v>#N/A</v>
      </c>
      <c r="G75" s="225"/>
      <c r="H75" s="224"/>
      <c r="I75" s="224"/>
      <c r="J75" s="225"/>
      <c r="K75" s="216" t="str">
        <f t="shared" si="1"/>
        <v>X</v>
      </c>
      <c r="L75" s="226" t="str">
        <f t="shared" si="2"/>
        <v>#N/A</v>
      </c>
      <c r="M75" s="227" t="str">
        <f t="shared" si="3"/>
        <v>#N/A</v>
      </c>
      <c r="N75" s="228" t="str">
        <f t="shared" si="4"/>
        <v>#N/A</v>
      </c>
      <c r="O75" s="220" t="str">
        <f t="shared" si="5"/>
        <v>#N/A</v>
      </c>
      <c r="P75" s="220" t="str">
        <f t="shared" si="6"/>
        <v>#N/A</v>
      </c>
      <c r="Q75" s="221">
        <f t="shared" si="7"/>
        <v>0</v>
      </c>
      <c r="R75" s="229" t="str">
        <f>ifs($J75="",VLOOKUP($A75&amp;$D75,'VISIT DATA'!$A$2:$J100,7,FALSE), $J75="SWAB","OUTSA-RW",$J75="SWQU","OUTSA-SaQu", AND($H75="X",$I75="X",$J75="QUEST"),"OUT-UAQPre",$J75="QUEST","OUT-UAQ", $J75="Walk in","ColUATele")</f>
        <v>#N/A</v>
      </c>
      <c r="S75" s="285"/>
    </row>
    <row r="76">
      <c r="A76" s="285"/>
      <c r="B76" s="284" t="str">
        <f>IFS($A76=FALSE,"",$A76,VLOOKUP($A76,'PATIENT DATA (072721)'!A:C, 2, 0))</f>
        <v/>
      </c>
      <c r="C76" s="226" t="str">
        <f>IFS($A76=FALSE,"",$A76,VLOOKUP($A76,'PATIENT DATA (072721)'!A:C, 3, 0))</f>
        <v/>
      </c>
      <c r="D76" s="218"/>
      <c r="E76" s="221" t="str">
        <f>ifs($A76="","",$A76, VLOOKUP($A76&amp;$D76, 'VISIT DATA'!$A:$O,13,0))</f>
        <v/>
      </c>
      <c r="F76" s="223" t="str">
        <f>VLOOKUP(A76&amp;D76,'VISIT DATA'!A:N,10,FALSE)</f>
        <v>#N/A</v>
      </c>
      <c r="G76" s="225"/>
      <c r="H76" s="224"/>
      <c r="I76" s="224"/>
      <c r="J76" s="225"/>
      <c r="K76" s="216" t="str">
        <f t="shared" si="1"/>
        <v>X</v>
      </c>
      <c r="L76" s="226" t="str">
        <f t="shared" si="2"/>
        <v>#N/A</v>
      </c>
      <c r="M76" s="227" t="str">
        <f t="shared" si="3"/>
        <v>#N/A</v>
      </c>
      <c r="N76" s="228" t="str">
        <f t="shared" si="4"/>
        <v>#N/A</v>
      </c>
      <c r="O76" s="220" t="str">
        <f t="shared" si="5"/>
        <v>#N/A</v>
      </c>
      <c r="P76" s="220" t="str">
        <f t="shared" si="6"/>
        <v>#N/A</v>
      </c>
      <c r="Q76" s="221">
        <f t="shared" si="7"/>
        <v>0</v>
      </c>
      <c r="R76" s="229" t="str">
        <f>ifs($J76="",VLOOKUP($A76&amp;$D76,'VISIT DATA'!$A$2:$J100,7,FALSE), $J76="SWAB","OUTSA-RW",$J76="SWQU","OUTSA-SaQu", AND($H76="X",$I76="X",$J76="QUEST"),"OUT-UAQPre",$J76="QUEST","OUT-UAQ", $J76="Walk in","ColUATele")</f>
        <v>#N/A</v>
      </c>
      <c r="S76" s="285"/>
    </row>
    <row r="77">
      <c r="A77" s="285"/>
      <c r="B77" s="284" t="str">
        <f>IFS($A77=FALSE,"",$A77,VLOOKUP($A77,'PATIENT DATA (072721)'!A:C, 2, 0))</f>
        <v/>
      </c>
      <c r="C77" s="226" t="str">
        <f>IFS($A77=FALSE,"",$A77,VLOOKUP($A77,'PATIENT DATA (072721)'!A:C, 3, 0))</f>
        <v/>
      </c>
      <c r="D77" s="218"/>
      <c r="E77" s="221" t="str">
        <f>ifs($A77="","",$A77, VLOOKUP($A77&amp;$D77, 'VISIT DATA'!$A:$O,13,0))</f>
        <v/>
      </c>
      <c r="F77" s="223" t="str">
        <f>VLOOKUP(A77&amp;D77,'VISIT DATA'!A:N,10,FALSE)</f>
        <v>#N/A</v>
      </c>
      <c r="G77" s="225"/>
      <c r="H77" s="224"/>
      <c r="I77" s="224"/>
      <c r="J77" s="225"/>
      <c r="K77" s="216" t="str">
        <f t="shared" si="1"/>
        <v>X</v>
      </c>
      <c r="L77" s="226" t="str">
        <f t="shared" si="2"/>
        <v>#N/A</v>
      </c>
      <c r="M77" s="227" t="str">
        <f t="shared" si="3"/>
        <v>#N/A</v>
      </c>
      <c r="N77" s="228" t="str">
        <f t="shared" si="4"/>
        <v>#N/A</v>
      </c>
      <c r="O77" s="220" t="str">
        <f t="shared" si="5"/>
        <v>#N/A</v>
      </c>
      <c r="P77" s="220" t="str">
        <f t="shared" si="6"/>
        <v>#N/A</v>
      </c>
      <c r="Q77" s="221">
        <f t="shared" si="7"/>
        <v>0</v>
      </c>
      <c r="R77" s="229" t="str">
        <f>ifs($J77="",VLOOKUP($A77&amp;$D77,'VISIT DATA'!$A$2:$J100,7,FALSE), $J77="SWAB","OUTSA-RW",$J77="SWQU","OUTSA-SaQu", AND($H77="X",$I77="X",$J77="QUEST"),"OUT-UAQPre",$J77="QUEST","OUT-UAQ", $J77="Walk in","ColUATele")</f>
        <v>#N/A</v>
      </c>
      <c r="S77" s="285"/>
    </row>
    <row r="78">
      <c r="A78" s="285"/>
      <c r="B78" s="284" t="str">
        <f>IFS($A78=FALSE,"",$A78,VLOOKUP($A78,'PATIENT DATA (072721)'!A:C, 2, 0))</f>
        <v/>
      </c>
      <c r="C78" s="226" t="str">
        <f>IFS($A78=FALSE,"",$A78,VLOOKUP($A78,'PATIENT DATA (072721)'!A:C, 3, 0))</f>
        <v/>
      </c>
      <c r="D78" s="218"/>
      <c r="E78" s="221" t="str">
        <f>ifs($A78="","",$A78, VLOOKUP($A78&amp;$D78, 'VISIT DATA'!$A:$O,13,0))</f>
        <v/>
      </c>
      <c r="F78" s="223" t="str">
        <f>VLOOKUP(A78&amp;D78,'VISIT DATA'!A:N,10,FALSE)</f>
        <v>#N/A</v>
      </c>
      <c r="G78" s="225"/>
      <c r="H78" s="224"/>
      <c r="I78" s="224"/>
      <c r="J78" s="225"/>
      <c r="K78" s="216" t="str">
        <f t="shared" si="1"/>
        <v>X</v>
      </c>
      <c r="L78" s="226" t="str">
        <f t="shared" si="2"/>
        <v>#N/A</v>
      </c>
      <c r="M78" s="227" t="str">
        <f t="shared" si="3"/>
        <v>#N/A</v>
      </c>
      <c r="N78" s="228" t="str">
        <f t="shared" si="4"/>
        <v>#N/A</v>
      </c>
      <c r="O78" s="220" t="str">
        <f t="shared" si="5"/>
        <v>#N/A</v>
      </c>
      <c r="P78" s="220" t="str">
        <f t="shared" si="6"/>
        <v>#N/A</v>
      </c>
      <c r="Q78" s="221">
        <f t="shared" si="7"/>
        <v>0</v>
      </c>
      <c r="R78" s="229" t="str">
        <f>ifs($J78="",VLOOKUP($A78&amp;$D78,'VISIT DATA'!$A$2:$J100,7,FALSE), $J78="SWAB","OUTSA-RW",$J78="SWQU","OUTSA-SaQu", AND($H78="X",$I78="X",$J78="QUEST"),"OUT-UAQPre",$J78="QUEST","OUT-UAQ", $J78="Walk in","ColUATele")</f>
        <v>#N/A</v>
      </c>
      <c r="S78" s="285"/>
    </row>
    <row r="79">
      <c r="A79" s="285"/>
      <c r="B79" s="284" t="str">
        <f>IFS($A79=FALSE,"",$A79,VLOOKUP($A79,'PATIENT DATA (072721)'!A:C, 2, 0))</f>
        <v/>
      </c>
      <c r="C79" s="226" t="str">
        <f>IFS($A79=FALSE,"",$A79,VLOOKUP($A79,'PATIENT DATA (072721)'!A:C, 3, 0))</f>
        <v/>
      </c>
      <c r="D79" s="218"/>
      <c r="E79" s="221" t="str">
        <f>ifs($A79="","",$A79, VLOOKUP($A79&amp;$D79, 'VISIT DATA'!$A:$O,13,0))</f>
        <v/>
      </c>
      <c r="F79" s="223" t="str">
        <f>VLOOKUP(A79&amp;D79,'VISIT DATA'!A:N,10,FALSE)</f>
        <v>#N/A</v>
      </c>
      <c r="G79" s="225"/>
      <c r="H79" s="224"/>
      <c r="I79" s="224"/>
      <c r="J79" s="225"/>
      <c r="K79" s="216" t="str">
        <f t="shared" si="1"/>
        <v>X</v>
      </c>
      <c r="L79" s="226" t="str">
        <f t="shared" si="2"/>
        <v>#N/A</v>
      </c>
      <c r="M79" s="227" t="str">
        <f t="shared" si="3"/>
        <v>#N/A</v>
      </c>
      <c r="N79" s="228" t="str">
        <f t="shared" si="4"/>
        <v>#N/A</v>
      </c>
      <c r="O79" s="220" t="str">
        <f t="shared" si="5"/>
        <v>#N/A</v>
      </c>
      <c r="P79" s="220" t="str">
        <f t="shared" si="6"/>
        <v>#N/A</v>
      </c>
      <c r="Q79" s="221">
        <f t="shared" si="7"/>
        <v>0</v>
      </c>
      <c r="R79" s="229" t="str">
        <f>ifs($J79="",VLOOKUP($A79&amp;$D79,'VISIT DATA'!$A$2:$J100,7,FALSE), $J79="SWAB","OUTSA-RW",$J79="SWQU","OUTSA-SaQu", AND($H79="X",$I79="X",$J79="QUEST"),"OUT-UAQPre",$J79="QUEST","OUT-UAQ", $J79="Walk in","ColUATele")</f>
        <v>#N/A</v>
      </c>
      <c r="S79" s="285"/>
    </row>
    <row r="80">
      <c r="A80" s="285"/>
      <c r="B80" s="284" t="str">
        <f>IFS($A80=FALSE,"",$A80,VLOOKUP($A80,'PATIENT DATA (072721)'!A:C, 2, 0))</f>
        <v/>
      </c>
      <c r="C80" s="226" t="str">
        <f>IFS($A80=FALSE,"",$A80,VLOOKUP($A80,'PATIENT DATA (072721)'!A:C, 3, 0))</f>
        <v/>
      </c>
      <c r="D80" s="218"/>
      <c r="E80" s="221" t="str">
        <f>ifs($A80="","",$A80, VLOOKUP($A80&amp;$D80, 'VISIT DATA'!$A:$O,13,0))</f>
        <v/>
      </c>
      <c r="F80" s="223" t="str">
        <f>VLOOKUP(A80&amp;D80,'VISIT DATA'!A:N,10,FALSE)</f>
        <v>#N/A</v>
      </c>
      <c r="G80" s="225"/>
      <c r="H80" s="224"/>
      <c r="I80" s="224"/>
      <c r="J80" s="225"/>
      <c r="K80" s="216" t="str">
        <f t="shared" si="1"/>
        <v>X</v>
      </c>
      <c r="L80" s="226" t="str">
        <f t="shared" si="2"/>
        <v>#N/A</v>
      </c>
      <c r="M80" s="227" t="str">
        <f t="shared" si="3"/>
        <v>#N/A</v>
      </c>
      <c r="N80" s="228" t="str">
        <f t="shared" si="4"/>
        <v>#N/A</v>
      </c>
      <c r="O80" s="220" t="str">
        <f t="shared" si="5"/>
        <v>#N/A</v>
      </c>
      <c r="P80" s="220" t="str">
        <f t="shared" si="6"/>
        <v>#N/A</v>
      </c>
      <c r="Q80" s="221">
        <f t="shared" si="7"/>
        <v>0</v>
      </c>
      <c r="R80" s="229" t="str">
        <f>ifs($J80="",VLOOKUP($A80&amp;$D80,'VISIT DATA'!$A$2:$J100,7,FALSE), $J80="SWAB","OUTSA-RW",$J80="SWQU","OUTSA-SaQu", AND($H80="X",$I80="X",$J80="QUEST"),"OUT-UAQPre",$J80="QUEST","OUT-UAQ", $J80="Walk in","ColUATele")</f>
        <v>#N/A</v>
      </c>
      <c r="S80" s="285"/>
    </row>
    <row r="81">
      <c r="A81" s="285"/>
      <c r="B81" s="284" t="str">
        <f>IFS($A81=FALSE,"",$A81,VLOOKUP($A81,'PATIENT DATA (072721)'!A:C, 2, 0))</f>
        <v/>
      </c>
      <c r="C81" s="226" t="str">
        <f>IFS($A81=FALSE,"",$A81,VLOOKUP($A81,'PATIENT DATA (072721)'!A:C, 3, 0))</f>
        <v/>
      </c>
      <c r="D81" s="218"/>
      <c r="E81" s="221" t="str">
        <f>ifs($A81="","",$A81, VLOOKUP($A81&amp;$D81, 'VISIT DATA'!$A:$O,13,0))</f>
        <v/>
      </c>
      <c r="F81" s="223" t="str">
        <f>VLOOKUP(A81&amp;D81,'VISIT DATA'!A:N,10,FALSE)</f>
        <v>#N/A</v>
      </c>
      <c r="G81" s="225"/>
      <c r="H81" s="224"/>
      <c r="I81" s="224"/>
      <c r="J81" s="225"/>
      <c r="K81" s="216" t="str">
        <f t="shared" si="1"/>
        <v>X</v>
      </c>
      <c r="L81" s="226" t="str">
        <f t="shared" si="2"/>
        <v>#N/A</v>
      </c>
      <c r="M81" s="227" t="str">
        <f t="shared" si="3"/>
        <v>#N/A</v>
      </c>
      <c r="N81" s="228" t="str">
        <f t="shared" si="4"/>
        <v>#N/A</v>
      </c>
      <c r="O81" s="220" t="str">
        <f t="shared" si="5"/>
        <v>#N/A</v>
      </c>
      <c r="P81" s="220" t="str">
        <f t="shared" si="6"/>
        <v>#N/A</v>
      </c>
      <c r="Q81" s="221">
        <f t="shared" si="7"/>
        <v>0</v>
      </c>
      <c r="R81" s="229" t="str">
        <f>ifs($J81="",VLOOKUP($A81&amp;$D81,'VISIT DATA'!$A$2:$J100,7,FALSE), $J81="SWAB","OUTSA-RW",$J81="SWQU","OUTSA-SaQu", AND($H81="X",$I81="X",$J81="QUEST"),"OUT-UAQPre",$J81="QUEST","OUT-UAQ", $J81="Walk in","ColUATele")</f>
        <v>#N/A</v>
      </c>
      <c r="S81" s="285"/>
    </row>
    <row r="82">
      <c r="A82" s="285"/>
      <c r="B82" s="284" t="str">
        <f>IFS($A82=FALSE,"",$A82,VLOOKUP($A82,'PATIENT DATA (072721)'!A:C, 2, 0))</f>
        <v/>
      </c>
      <c r="C82" s="226" t="str">
        <f>IFS($A82=FALSE,"",$A82,VLOOKUP($A82,'PATIENT DATA (072721)'!A:C, 3, 0))</f>
        <v/>
      </c>
      <c r="D82" s="218"/>
      <c r="E82" s="221" t="str">
        <f>ifs($A82="","",$A82, VLOOKUP($A82&amp;$D82, 'VISIT DATA'!$A:$O,13,0))</f>
        <v/>
      </c>
      <c r="F82" s="223" t="str">
        <f>VLOOKUP(A82&amp;D82,'VISIT DATA'!A:N,10,FALSE)</f>
        <v>#N/A</v>
      </c>
      <c r="G82" s="225"/>
      <c r="H82" s="224"/>
      <c r="I82" s="224"/>
      <c r="J82" s="225"/>
      <c r="K82" s="216" t="str">
        <f t="shared" si="1"/>
        <v>X</v>
      </c>
      <c r="L82" s="226" t="str">
        <f t="shared" si="2"/>
        <v>#N/A</v>
      </c>
      <c r="M82" s="227" t="str">
        <f t="shared" si="3"/>
        <v>#N/A</v>
      </c>
      <c r="N82" s="228" t="str">
        <f t="shared" si="4"/>
        <v>#N/A</v>
      </c>
      <c r="O82" s="220" t="str">
        <f t="shared" si="5"/>
        <v>#N/A</v>
      </c>
      <c r="P82" s="220" t="str">
        <f t="shared" si="6"/>
        <v>#N/A</v>
      </c>
      <c r="Q82" s="221">
        <f t="shared" si="7"/>
        <v>0</v>
      </c>
      <c r="R82" s="229" t="str">
        <f>ifs($J82="",VLOOKUP($A82&amp;$D82,'VISIT DATA'!$A$2:$J100,7,FALSE), $J82="SWAB","OUTSA-RW",$J82="SWQU","OUTSA-SaQu", AND($H82="X",$I82="X",$J82="QUEST"),"OUT-UAQPre",$J82="QUEST","OUT-UAQ", $J82="Walk in","ColUATele")</f>
        <v>#N/A</v>
      </c>
      <c r="S82" s="285"/>
    </row>
    <row r="83">
      <c r="A83" s="285"/>
      <c r="B83" s="284" t="str">
        <f>IFS($A83=FALSE,"",$A83,VLOOKUP($A83,'PATIENT DATA (072721)'!A:C, 2, 0))</f>
        <v/>
      </c>
      <c r="C83" s="226" t="str">
        <f>IFS($A83=FALSE,"",$A83,VLOOKUP($A83,'PATIENT DATA (072721)'!A:C, 3, 0))</f>
        <v/>
      </c>
      <c r="D83" s="218"/>
      <c r="E83" s="221" t="str">
        <f>ifs($A83="","",$A83, VLOOKUP($A83&amp;$D83, 'VISIT DATA'!$A:$O,13,0))</f>
        <v/>
      </c>
      <c r="F83" s="223" t="str">
        <f>VLOOKUP(A83&amp;D83,'VISIT DATA'!A:N,10,FALSE)</f>
        <v>#N/A</v>
      </c>
      <c r="G83" s="225"/>
      <c r="H83" s="224"/>
      <c r="I83" s="224"/>
      <c r="J83" s="225"/>
      <c r="K83" s="216" t="str">
        <f t="shared" si="1"/>
        <v>X</v>
      </c>
      <c r="L83" s="226" t="str">
        <f t="shared" si="2"/>
        <v>#N/A</v>
      </c>
      <c r="M83" s="227" t="str">
        <f t="shared" si="3"/>
        <v>#N/A</v>
      </c>
      <c r="N83" s="228" t="str">
        <f t="shared" si="4"/>
        <v>#N/A</v>
      </c>
      <c r="O83" s="220" t="str">
        <f t="shared" si="5"/>
        <v>#N/A</v>
      </c>
      <c r="P83" s="220" t="str">
        <f t="shared" si="6"/>
        <v>#N/A</v>
      </c>
      <c r="Q83" s="221">
        <f t="shared" si="7"/>
        <v>0</v>
      </c>
      <c r="R83" s="229" t="str">
        <f>ifs($J83="",VLOOKUP($A83&amp;$D83,'VISIT DATA'!$A$2:$J100,7,FALSE), $J83="SWAB","OUTSA-RW",$J83="SWQU","OUTSA-SaQu", AND($H83="X",$I83="X",$J83="QUEST"),"OUT-UAQPre",$J83="QUEST","OUT-UAQ", $J83="Walk in","ColUATele")</f>
        <v>#N/A</v>
      </c>
      <c r="S83" s="285"/>
    </row>
    <row r="84">
      <c r="A84" s="285"/>
      <c r="B84" s="284" t="str">
        <f>IFS($A84=FALSE,"",$A84,VLOOKUP($A84,'PATIENT DATA (072721)'!A:C, 2, 0))</f>
        <v/>
      </c>
      <c r="C84" s="226" t="str">
        <f>IFS($A84=FALSE,"",$A84,VLOOKUP($A84,'PATIENT DATA (072721)'!A:C, 3, 0))</f>
        <v/>
      </c>
      <c r="D84" s="218"/>
      <c r="E84" s="221" t="str">
        <f>ifs($A84="","",$A84, VLOOKUP($A84&amp;$D84, 'VISIT DATA'!$A:$O,13,0))</f>
        <v/>
      </c>
      <c r="F84" s="223" t="str">
        <f>VLOOKUP(A84&amp;D84,'VISIT DATA'!A:N,10,FALSE)</f>
        <v>#N/A</v>
      </c>
      <c r="G84" s="225"/>
      <c r="H84" s="224"/>
      <c r="I84" s="224"/>
      <c r="J84" s="225"/>
      <c r="K84" s="216" t="str">
        <f t="shared" si="1"/>
        <v>X</v>
      </c>
      <c r="L84" s="226" t="str">
        <f t="shared" si="2"/>
        <v>#N/A</v>
      </c>
      <c r="M84" s="227" t="str">
        <f t="shared" si="3"/>
        <v>#N/A</v>
      </c>
      <c r="N84" s="228" t="str">
        <f t="shared" si="4"/>
        <v>#N/A</v>
      </c>
      <c r="O84" s="220" t="str">
        <f t="shared" si="5"/>
        <v>#N/A</v>
      </c>
      <c r="P84" s="220" t="str">
        <f t="shared" si="6"/>
        <v>#N/A</v>
      </c>
      <c r="Q84" s="221">
        <f t="shared" si="7"/>
        <v>0</v>
      </c>
      <c r="R84" s="229" t="str">
        <f>ifs($J84="",VLOOKUP($A84&amp;$D84,'VISIT DATA'!$A$2:$J100,7,FALSE), $J84="SWAB","OUTSA-RW",$J84="SWQU","OUTSA-SaQu", AND($H84="X",$I84="X",$J84="QUEST"),"OUT-UAQPre",$J84="QUEST","OUT-UAQ", $J84="Walk in","ColUATele")</f>
        <v>#N/A</v>
      </c>
      <c r="S84" s="285"/>
    </row>
    <row r="85">
      <c r="A85" s="285"/>
      <c r="B85" s="284" t="str">
        <f>IFS($A85=FALSE,"",$A85,VLOOKUP($A85,'PATIENT DATA (072721)'!A:C, 2, 0))</f>
        <v/>
      </c>
      <c r="C85" s="226" t="str">
        <f>IFS($A85=FALSE,"",$A85,VLOOKUP($A85,'PATIENT DATA (072721)'!A:C, 3, 0))</f>
        <v/>
      </c>
      <c r="D85" s="218"/>
      <c r="E85" s="221" t="str">
        <f>ifs($A85="","",$A85, VLOOKUP($A85&amp;$D85, 'VISIT DATA'!$A:$O,13,0))</f>
        <v/>
      </c>
      <c r="F85" s="223" t="str">
        <f>VLOOKUP(A85&amp;D85,'VISIT DATA'!A:N,10,FALSE)</f>
        <v>#N/A</v>
      </c>
      <c r="G85" s="225"/>
      <c r="H85" s="224"/>
      <c r="I85" s="224"/>
      <c r="J85" s="225"/>
      <c r="K85" s="216" t="str">
        <f t="shared" si="1"/>
        <v>X</v>
      </c>
      <c r="L85" s="226" t="str">
        <f t="shared" si="2"/>
        <v>#N/A</v>
      </c>
      <c r="M85" s="227" t="str">
        <f t="shared" si="3"/>
        <v>#N/A</v>
      </c>
      <c r="N85" s="228" t="str">
        <f t="shared" si="4"/>
        <v>#N/A</v>
      </c>
      <c r="O85" s="220" t="str">
        <f t="shared" si="5"/>
        <v>#N/A</v>
      </c>
      <c r="P85" s="220" t="str">
        <f t="shared" si="6"/>
        <v>#N/A</v>
      </c>
      <c r="Q85" s="221">
        <f t="shared" si="7"/>
        <v>0</v>
      </c>
      <c r="R85" s="229" t="str">
        <f>ifs($J85="",VLOOKUP($A85&amp;$D85,'VISIT DATA'!$A$2:$J100,7,FALSE), $J85="SWAB","OUTSA-RW",$J85="SWQU","OUTSA-SaQu", AND($H85="X",$I85="X",$J85="QUEST"),"OUT-UAQPre",$J85="QUEST","OUT-UAQ", $J85="Walk in","ColUATele")</f>
        <v>#N/A</v>
      </c>
      <c r="S85" s="285"/>
    </row>
    <row r="86">
      <c r="A86" s="285"/>
      <c r="B86" s="284" t="str">
        <f>IFS($A86=FALSE,"",$A86,VLOOKUP($A86,'PATIENT DATA (072721)'!A:C, 2, 0))</f>
        <v/>
      </c>
      <c r="C86" s="226" t="str">
        <f>IFS($A86=FALSE,"",$A86,VLOOKUP($A86,'PATIENT DATA (072721)'!A:C, 3, 0))</f>
        <v/>
      </c>
      <c r="D86" s="218"/>
      <c r="E86" s="221" t="str">
        <f>ifs($A86="","",$A86, VLOOKUP($A86&amp;$D86, 'VISIT DATA'!$A:$O,13,0))</f>
        <v/>
      </c>
      <c r="F86" s="223" t="str">
        <f>VLOOKUP(A86&amp;D86,'VISIT DATA'!A:N,10,FALSE)</f>
        <v>#N/A</v>
      </c>
      <c r="G86" s="225"/>
      <c r="H86" s="224"/>
      <c r="I86" s="224"/>
      <c r="J86" s="225"/>
      <c r="K86" s="216" t="str">
        <f t="shared" si="1"/>
        <v>X</v>
      </c>
      <c r="L86" s="226" t="str">
        <f t="shared" si="2"/>
        <v>#N/A</v>
      </c>
      <c r="M86" s="227" t="str">
        <f t="shared" si="3"/>
        <v>#N/A</v>
      </c>
      <c r="N86" s="228" t="str">
        <f t="shared" si="4"/>
        <v>#N/A</v>
      </c>
      <c r="O86" s="220" t="str">
        <f t="shared" si="5"/>
        <v>#N/A</v>
      </c>
      <c r="P86" s="220" t="str">
        <f t="shared" si="6"/>
        <v>#N/A</v>
      </c>
      <c r="Q86" s="221">
        <f t="shared" si="7"/>
        <v>0</v>
      </c>
      <c r="R86" s="229" t="str">
        <f>ifs($J86="",VLOOKUP($A86&amp;$D86,'VISIT DATA'!$A$2:$J100,7,FALSE), $J86="SWAB","OUTSA-RW",$J86="SWQU","OUTSA-SaQu", AND($H86="X",$I86="X",$J86="QUEST"),"OUT-UAQPre",$J86="QUEST","OUT-UAQ", $J86="Walk in","ColUATele")</f>
        <v>#N/A</v>
      </c>
      <c r="S86" s="285"/>
    </row>
    <row r="87">
      <c r="A87" s="285"/>
      <c r="B87" s="284" t="str">
        <f>IFS($A87=FALSE,"",$A87,VLOOKUP($A87,'PATIENT DATA (072721)'!A:C, 2, 0))</f>
        <v/>
      </c>
      <c r="C87" s="226" t="str">
        <f>IFS($A87=FALSE,"",$A87,VLOOKUP($A87,'PATIENT DATA (072721)'!A:C, 3, 0))</f>
        <v/>
      </c>
      <c r="D87" s="218"/>
      <c r="E87" s="221" t="str">
        <f>ifs($A87="","",$A87, VLOOKUP($A87&amp;$D87, 'VISIT DATA'!$A:$O,13,0))</f>
        <v/>
      </c>
      <c r="F87" s="223" t="str">
        <f>VLOOKUP(A87&amp;D87,'VISIT DATA'!A:N,10,FALSE)</f>
        <v>#N/A</v>
      </c>
      <c r="G87" s="225"/>
      <c r="H87" s="224"/>
      <c r="I87" s="224"/>
      <c r="J87" s="225"/>
      <c r="K87" s="216" t="str">
        <f t="shared" si="1"/>
        <v>X</v>
      </c>
      <c r="L87" s="226" t="str">
        <f t="shared" si="2"/>
        <v>#N/A</v>
      </c>
      <c r="M87" s="227" t="str">
        <f t="shared" si="3"/>
        <v>#N/A</v>
      </c>
      <c r="N87" s="228" t="str">
        <f t="shared" si="4"/>
        <v>#N/A</v>
      </c>
      <c r="O87" s="220" t="str">
        <f t="shared" si="5"/>
        <v>#N/A</v>
      </c>
      <c r="P87" s="220" t="str">
        <f t="shared" si="6"/>
        <v>#N/A</v>
      </c>
      <c r="Q87" s="221">
        <f t="shared" si="7"/>
        <v>0</v>
      </c>
      <c r="R87" s="229" t="str">
        <f>ifs($J87="",VLOOKUP($A87&amp;$D87,'VISIT DATA'!$A$2:$J100,7,FALSE), $J87="SWAB","OUTSA-RW",$J87="SWQU","OUTSA-SaQu", AND($H87="X",$I87="X",$J87="QUEST"),"OUT-UAQPre",$J87="QUEST","OUT-UAQ", $J87="Walk in","ColUATele")</f>
        <v>#N/A</v>
      </c>
      <c r="S87" s="285"/>
    </row>
    <row r="88">
      <c r="A88" s="285"/>
      <c r="B88" s="284" t="str">
        <f>IFS($A88=FALSE,"",$A88,VLOOKUP($A88,'PATIENT DATA (072721)'!A:C, 2, 0))</f>
        <v/>
      </c>
      <c r="C88" s="226" t="str">
        <f>IFS($A88=FALSE,"",$A88,VLOOKUP($A88,'PATIENT DATA (072721)'!A:C, 3, 0))</f>
        <v/>
      </c>
      <c r="D88" s="218"/>
      <c r="E88" s="221" t="str">
        <f>ifs($A88="","",$A88, VLOOKUP($A88&amp;$D88, 'VISIT DATA'!$A:$O,13,0))</f>
        <v/>
      </c>
      <c r="F88" s="223" t="str">
        <f>VLOOKUP(A88&amp;D88,'VISIT DATA'!A:N,10,FALSE)</f>
        <v>#N/A</v>
      </c>
      <c r="G88" s="225"/>
      <c r="H88" s="224"/>
      <c r="I88" s="224"/>
      <c r="J88" s="225"/>
      <c r="K88" s="216" t="str">
        <f t="shared" si="1"/>
        <v>X</v>
      </c>
      <c r="L88" s="226" t="str">
        <f t="shared" si="2"/>
        <v>#N/A</v>
      </c>
      <c r="M88" s="227" t="str">
        <f t="shared" si="3"/>
        <v>#N/A</v>
      </c>
      <c r="N88" s="228" t="str">
        <f t="shared" si="4"/>
        <v>#N/A</v>
      </c>
      <c r="O88" s="220" t="str">
        <f t="shared" si="5"/>
        <v>#N/A</v>
      </c>
      <c r="P88" s="220" t="str">
        <f t="shared" si="6"/>
        <v>#N/A</v>
      </c>
      <c r="Q88" s="221">
        <f t="shared" si="7"/>
        <v>0</v>
      </c>
      <c r="R88" s="229" t="str">
        <f>ifs($J88="",VLOOKUP($A88&amp;$D88,'VISIT DATA'!$A$2:$J100,7,FALSE), $J88="SWAB","OUTSA-RW",$J88="SWQU","OUTSA-SaQu", AND($H88="X",$I88="X",$J88="QUEST"),"OUT-UAQPre",$J88="QUEST","OUT-UAQ", $J88="Walk in","ColUATele")</f>
        <v>#N/A</v>
      </c>
      <c r="S88" s="285"/>
    </row>
    <row r="89">
      <c r="A89" s="285"/>
      <c r="B89" s="284" t="str">
        <f>IFS($A89=FALSE,"",$A89,VLOOKUP($A89,'PATIENT DATA (072721)'!A:C, 2, 0))</f>
        <v/>
      </c>
      <c r="C89" s="226" t="str">
        <f>IFS($A89=FALSE,"",$A89,VLOOKUP($A89,'PATIENT DATA (072721)'!A:C, 3, 0))</f>
        <v/>
      </c>
      <c r="D89" s="218"/>
      <c r="E89" s="221" t="str">
        <f>ifs($A89="","",$A89, VLOOKUP($A89&amp;$D89, 'VISIT DATA'!$A:$O,13,0))</f>
        <v/>
      </c>
      <c r="F89" s="223" t="str">
        <f>VLOOKUP(A89&amp;D89,'VISIT DATA'!A:N,10,FALSE)</f>
        <v>#N/A</v>
      </c>
      <c r="G89" s="225"/>
      <c r="H89" s="224"/>
      <c r="I89" s="224"/>
      <c r="J89" s="225"/>
      <c r="K89" s="216" t="str">
        <f t="shared" si="1"/>
        <v>X</v>
      </c>
      <c r="L89" s="226" t="str">
        <f t="shared" si="2"/>
        <v>#N/A</v>
      </c>
      <c r="M89" s="227" t="str">
        <f t="shared" si="3"/>
        <v>#N/A</v>
      </c>
      <c r="N89" s="228" t="str">
        <f t="shared" si="4"/>
        <v>#N/A</v>
      </c>
      <c r="O89" s="220" t="str">
        <f t="shared" si="5"/>
        <v>#N/A</v>
      </c>
      <c r="P89" s="220" t="str">
        <f t="shared" si="6"/>
        <v>#N/A</v>
      </c>
      <c r="Q89" s="221">
        <f t="shared" si="7"/>
        <v>0</v>
      </c>
      <c r="R89" s="229" t="str">
        <f>ifs($J89="",VLOOKUP($A89&amp;$D89,'VISIT DATA'!$A$2:$J100,7,FALSE), $J89="SWAB","OUTSA-RW",$J89="SWQU","OUTSA-SaQu", AND($H89="X",$I89="X",$J89="QUEST"),"OUT-UAQPre",$J89="QUEST","OUT-UAQ", $J89="Walk in","ColUATele")</f>
        <v>#N/A</v>
      </c>
      <c r="S89" s="285"/>
    </row>
    <row r="90">
      <c r="A90" s="285"/>
      <c r="B90" s="284" t="str">
        <f>IFS($A90=FALSE,"",$A90,VLOOKUP($A90,'PATIENT DATA (072721)'!A:C, 2, 0))</f>
        <v/>
      </c>
      <c r="C90" s="226" t="str">
        <f>IFS($A90=FALSE,"",$A90,VLOOKUP($A90,'PATIENT DATA (072721)'!A:C, 3, 0))</f>
        <v/>
      </c>
      <c r="D90" s="218"/>
      <c r="E90" s="221" t="str">
        <f>ifs($A90="","",$A90, VLOOKUP($A90&amp;$D90, 'VISIT DATA'!$A:$O,13,0))</f>
        <v/>
      </c>
      <c r="F90" s="223" t="str">
        <f>VLOOKUP(A90&amp;D90,'VISIT DATA'!A:N,10,FALSE)</f>
        <v>#N/A</v>
      </c>
      <c r="G90" s="225"/>
      <c r="H90" s="224"/>
      <c r="I90" s="224"/>
      <c r="J90" s="225"/>
      <c r="K90" s="216" t="str">
        <f t="shared" si="1"/>
        <v>X</v>
      </c>
      <c r="L90" s="226" t="str">
        <f t="shared" si="2"/>
        <v>#N/A</v>
      </c>
      <c r="M90" s="227" t="str">
        <f t="shared" si="3"/>
        <v>#N/A</v>
      </c>
      <c r="N90" s="228" t="str">
        <f t="shared" si="4"/>
        <v>#N/A</v>
      </c>
      <c r="O90" s="220" t="str">
        <f t="shared" si="5"/>
        <v>#N/A</v>
      </c>
      <c r="P90" s="220" t="str">
        <f t="shared" si="6"/>
        <v>#N/A</v>
      </c>
      <c r="Q90" s="221">
        <f t="shared" si="7"/>
        <v>0</v>
      </c>
      <c r="R90" s="229" t="str">
        <f>ifs($J90="",VLOOKUP($A90&amp;$D90,'VISIT DATA'!$A$2:$J100,7,FALSE), $J90="SWAB","OUTSA-RW",$J90="SWQU","OUTSA-SaQu", AND($H90="X",$I90="X",$J90="QUEST"),"OUT-UAQPre",$J90="QUEST","OUT-UAQ", $J90="Walk in","ColUATele")</f>
        <v>#N/A</v>
      </c>
      <c r="S90" s="285"/>
    </row>
    <row r="91">
      <c r="A91" s="285"/>
      <c r="B91" s="284" t="str">
        <f>IFS($A91=FALSE,"",$A91,VLOOKUP($A91,'PATIENT DATA (072721)'!A:C, 2, 0))</f>
        <v/>
      </c>
      <c r="C91" s="226" t="str">
        <f>IFS($A91=FALSE,"",$A91,VLOOKUP($A91,'PATIENT DATA (072721)'!A:C, 3, 0))</f>
        <v/>
      </c>
      <c r="D91" s="218"/>
      <c r="E91" s="221" t="str">
        <f>ifs($A91="","",$A91, VLOOKUP($A91&amp;$D91, 'VISIT DATA'!$A:$O,13,0))</f>
        <v/>
      </c>
      <c r="F91" s="223" t="str">
        <f>VLOOKUP(A91&amp;D91,'VISIT DATA'!A:N,10,FALSE)</f>
        <v>#N/A</v>
      </c>
      <c r="G91" s="225"/>
      <c r="H91" s="224"/>
      <c r="I91" s="224"/>
      <c r="J91" s="225"/>
      <c r="K91" s="216" t="str">
        <f t="shared" si="1"/>
        <v>X</v>
      </c>
      <c r="L91" s="226" t="str">
        <f t="shared" si="2"/>
        <v>#N/A</v>
      </c>
      <c r="M91" s="227" t="str">
        <f t="shared" si="3"/>
        <v>#N/A</v>
      </c>
      <c r="N91" s="228" t="str">
        <f t="shared" si="4"/>
        <v>#N/A</v>
      </c>
      <c r="O91" s="220" t="str">
        <f t="shared" si="5"/>
        <v>#N/A</v>
      </c>
      <c r="P91" s="220" t="str">
        <f t="shared" si="6"/>
        <v>#N/A</v>
      </c>
      <c r="Q91" s="221">
        <f t="shared" si="7"/>
        <v>0</v>
      </c>
      <c r="R91" s="229" t="str">
        <f>ifs($J91="",VLOOKUP($A91&amp;$D91,'VISIT DATA'!$A$2:$J100,7,FALSE), $J91="SWAB","OUTSA-RW",$J91="SWQU","OUTSA-SaQu", AND($H91="X",$I91="X",$J91="QUEST"),"OUT-UAQPre",$J91="QUEST","OUT-UAQ", $J91="Walk in","ColUATele")</f>
        <v>#N/A</v>
      </c>
      <c r="S91" s="285"/>
    </row>
    <row r="92">
      <c r="A92" s="285"/>
      <c r="B92" s="284" t="str">
        <f>IFS($A92=FALSE,"",$A92,VLOOKUP($A92,'PATIENT DATA (072721)'!A:C, 2, 0))</f>
        <v/>
      </c>
      <c r="C92" s="226" t="str">
        <f>IFS($A92=FALSE,"",$A92,VLOOKUP($A92,'PATIENT DATA (072721)'!A:C, 3, 0))</f>
        <v/>
      </c>
      <c r="D92" s="218"/>
      <c r="E92" s="221" t="str">
        <f>ifs($A92="","",$A92, VLOOKUP($A92&amp;$D92, 'VISIT DATA'!$A:$O,13,0))</f>
        <v/>
      </c>
      <c r="F92" s="223" t="str">
        <f>VLOOKUP(A92&amp;D92,'VISIT DATA'!A:N,10,FALSE)</f>
        <v>#N/A</v>
      </c>
      <c r="G92" s="225"/>
      <c r="H92" s="224"/>
      <c r="I92" s="224"/>
      <c r="J92" s="225"/>
      <c r="K92" s="216" t="str">
        <f t="shared" si="1"/>
        <v>X</v>
      </c>
      <c r="L92" s="226" t="str">
        <f t="shared" si="2"/>
        <v>#N/A</v>
      </c>
      <c r="M92" s="227" t="str">
        <f t="shared" si="3"/>
        <v>#N/A</v>
      </c>
      <c r="N92" s="228" t="str">
        <f t="shared" si="4"/>
        <v>#N/A</v>
      </c>
      <c r="O92" s="220" t="str">
        <f t="shared" si="5"/>
        <v>#N/A</v>
      </c>
      <c r="P92" s="220" t="str">
        <f t="shared" si="6"/>
        <v>#N/A</v>
      </c>
      <c r="Q92" s="221">
        <f t="shared" si="7"/>
        <v>0</v>
      </c>
      <c r="R92" s="229" t="str">
        <f>ifs($J92="",VLOOKUP($A92&amp;$D92,'VISIT DATA'!$A$2:$J100,7,FALSE), $J92="SWAB","OUTSA-RW",$J92="SWQU","OUTSA-SaQu", AND($H92="X",$I92="X",$J92="QUEST"),"OUT-UAQPre",$J92="QUEST","OUT-UAQ", $J92="Walk in","ColUATele")</f>
        <v>#N/A</v>
      </c>
      <c r="S92" s="285"/>
    </row>
    <row r="93">
      <c r="A93" s="285"/>
      <c r="B93" s="284" t="str">
        <f>IFS($A93=FALSE,"",$A93,VLOOKUP($A93,'PATIENT DATA (072721)'!A:C, 2, 0))</f>
        <v/>
      </c>
      <c r="C93" s="226" t="str">
        <f>IFS($A93=FALSE,"",$A93,VLOOKUP($A93,'PATIENT DATA (072721)'!A:C, 3, 0))</f>
        <v/>
      </c>
      <c r="D93" s="218"/>
      <c r="E93" s="221" t="str">
        <f>ifs($A93="","",$A93, VLOOKUP($A93&amp;$D93, 'VISIT DATA'!$A:$O,13,0))</f>
        <v/>
      </c>
      <c r="F93" s="223" t="str">
        <f>VLOOKUP(A93&amp;D93,'VISIT DATA'!A:N,10,FALSE)</f>
        <v>#N/A</v>
      </c>
      <c r="G93" s="225"/>
      <c r="H93" s="224"/>
      <c r="I93" s="224"/>
      <c r="J93" s="225"/>
      <c r="K93" s="216" t="str">
        <f t="shared" si="1"/>
        <v>X</v>
      </c>
      <c r="L93" s="226" t="str">
        <f t="shared" si="2"/>
        <v>#N/A</v>
      </c>
      <c r="M93" s="227" t="str">
        <f t="shared" si="3"/>
        <v>#N/A</v>
      </c>
      <c r="N93" s="228" t="str">
        <f t="shared" si="4"/>
        <v>#N/A</v>
      </c>
      <c r="O93" s="220" t="str">
        <f t="shared" si="5"/>
        <v>#N/A</v>
      </c>
      <c r="P93" s="220" t="str">
        <f t="shared" si="6"/>
        <v>#N/A</v>
      </c>
      <c r="Q93" s="221">
        <f t="shared" si="7"/>
        <v>0</v>
      </c>
      <c r="R93" s="229" t="str">
        <f>ifs($J93="",VLOOKUP($A93&amp;$D93,'VISIT DATA'!$A$2:$J100,7,FALSE), $J93="SWAB","OUTSA-RW",$J93="SWQU","OUTSA-SaQu", AND($H93="X",$I93="X",$J93="QUEST"),"OUT-UAQPre",$J93="QUEST","OUT-UAQ", $J93="Walk in","ColUATele")</f>
        <v>#N/A</v>
      </c>
      <c r="S93" s="285"/>
    </row>
    <row r="94">
      <c r="A94" s="285"/>
      <c r="B94" s="284" t="str">
        <f>IFS($A94=FALSE,"",$A94,VLOOKUP($A94,'PATIENT DATA (072721)'!A:C, 2, 0))</f>
        <v/>
      </c>
      <c r="C94" s="226" t="str">
        <f>IFS($A94=FALSE,"",$A94,VLOOKUP($A94,'PATIENT DATA (072721)'!A:C, 3, 0))</f>
        <v/>
      </c>
      <c r="D94" s="218"/>
      <c r="E94" s="221" t="str">
        <f>ifs($A94="","",$A94, VLOOKUP($A94&amp;$D94, 'VISIT DATA'!$A:$O,13,0))</f>
        <v/>
      </c>
      <c r="F94" s="223" t="str">
        <f>VLOOKUP(A94&amp;D94,'VISIT DATA'!A:N,10,FALSE)</f>
        <v>#N/A</v>
      </c>
      <c r="G94" s="225"/>
      <c r="H94" s="224"/>
      <c r="I94" s="224"/>
      <c r="J94" s="225"/>
      <c r="K94" s="216" t="str">
        <f t="shared" si="1"/>
        <v>X</v>
      </c>
      <c r="L94" s="226" t="str">
        <f t="shared" si="2"/>
        <v>#N/A</v>
      </c>
      <c r="M94" s="227" t="str">
        <f t="shared" si="3"/>
        <v>#N/A</v>
      </c>
      <c r="N94" s="228" t="str">
        <f t="shared" si="4"/>
        <v>#N/A</v>
      </c>
      <c r="O94" s="220" t="str">
        <f t="shared" si="5"/>
        <v>#N/A</v>
      </c>
      <c r="P94" s="220" t="str">
        <f t="shared" si="6"/>
        <v>#N/A</v>
      </c>
      <c r="Q94" s="221">
        <f t="shared" si="7"/>
        <v>0</v>
      </c>
      <c r="R94" s="229" t="str">
        <f>ifs($J94="",VLOOKUP($A94&amp;$D94,'VISIT DATA'!$A$2:$J100,7,FALSE), $J94="SWAB","OUTSA-RW",$J94="SWQU","OUTSA-SaQu", AND($H94="X",$I94="X",$J94="QUEST"),"OUT-UAQPre",$J94="QUEST","OUT-UAQ", $J94="Walk in","ColUATele")</f>
        <v>#N/A</v>
      </c>
      <c r="S94" s="285"/>
    </row>
    <row r="95">
      <c r="A95" s="285"/>
      <c r="B95" s="284" t="str">
        <f>IFS($A95=FALSE,"",$A95,VLOOKUP($A95,'PATIENT DATA (072721)'!A:C, 2, 0))</f>
        <v/>
      </c>
      <c r="C95" s="226" t="str">
        <f>IFS($A95=FALSE,"",$A95,VLOOKUP($A95,'PATIENT DATA (072721)'!A:C, 3, 0))</f>
        <v/>
      </c>
      <c r="D95" s="218"/>
      <c r="E95" s="221" t="str">
        <f>ifs($A95="","",$A95, VLOOKUP($A95&amp;$D95, 'VISIT DATA'!$A:$O,13,0))</f>
        <v/>
      </c>
      <c r="F95" s="223" t="str">
        <f>VLOOKUP(A95&amp;D95,'VISIT DATA'!A:N,10,FALSE)</f>
        <v>#N/A</v>
      </c>
      <c r="G95" s="225"/>
      <c r="H95" s="224"/>
      <c r="I95" s="224"/>
      <c r="J95" s="225"/>
      <c r="K95" s="216" t="str">
        <f t="shared" si="1"/>
        <v>X</v>
      </c>
      <c r="L95" s="226" t="str">
        <f t="shared" si="2"/>
        <v>#N/A</v>
      </c>
      <c r="M95" s="227" t="str">
        <f t="shared" si="3"/>
        <v>#N/A</v>
      </c>
      <c r="N95" s="228" t="str">
        <f t="shared" si="4"/>
        <v>#N/A</v>
      </c>
      <c r="O95" s="220" t="str">
        <f t="shared" si="5"/>
        <v>#N/A</v>
      </c>
      <c r="P95" s="220" t="str">
        <f t="shared" si="6"/>
        <v>#N/A</v>
      </c>
      <c r="Q95" s="221">
        <f t="shared" si="7"/>
        <v>0</v>
      </c>
      <c r="R95" s="229" t="str">
        <f>ifs($J95="",VLOOKUP($A95&amp;$D95,'VISIT DATA'!$A$2:$J100,7,FALSE), $J95="SWAB","OUTSA-RW",$J95="SWQU","OUTSA-SaQu", AND($H95="X",$I95="X",$J95="QUEST"),"OUT-UAQPre",$J95="QUEST","OUT-UAQ", $J95="Walk in","ColUATele")</f>
        <v>#N/A</v>
      </c>
      <c r="S95" s="285"/>
    </row>
    <row r="96">
      <c r="A96" s="285"/>
      <c r="B96" s="284" t="str">
        <f>IFS($A96=FALSE,"",$A96,VLOOKUP($A96,'PATIENT DATA (072721)'!A:C, 2, 0))</f>
        <v/>
      </c>
      <c r="C96" s="226" t="str">
        <f>IFS($A96=FALSE,"",$A96,VLOOKUP($A96,'PATIENT DATA (072721)'!A:C, 3, 0))</f>
        <v/>
      </c>
      <c r="D96" s="218"/>
      <c r="E96" s="221" t="str">
        <f>ifs($A96="","",$A96, VLOOKUP($A96&amp;$D96, 'VISIT DATA'!$A:$O,13,0))</f>
        <v/>
      </c>
      <c r="F96" s="223" t="str">
        <f>VLOOKUP(A96&amp;D96,'VISIT DATA'!A:N,10,FALSE)</f>
        <v>#N/A</v>
      </c>
      <c r="G96" s="225"/>
      <c r="H96" s="224"/>
      <c r="I96" s="224"/>
      <c r="J96" s="225"/>
      <c r="K96" s="216" t="str">
        <f t="shared" si="1"/>
        <v>X</v>
      </c>
      <c r="L96" s="226" t="str">
        <f t="shared" si="2"/>
        <v>#N/A</v>
      </c>
      <c r="M96" s="227" t="str">
        <f t="shared" si="3"/>
        <v>#N/A</v>
      </c>
      <c r="N96" s="228" t="str">
        <f t="shared" si="4"/>
        <v>#N/A</v>
      </c>
      <c r="O96" s="220" t="str">
        <f t="shared" si="5"/>
        <v>#N/A</v>
      </c>
      <c r="P96" s="220" t="str">
        <f t="shared" si="6"/>
        <v>#N/A</v>
      </c>
      <c r="Q96" s="221">
        <f t="shared" si="7"/>
        <v>0</v>
      </c>
      <c r="R96" s="229" t="str">
        <f>ifs($J96="",VLOOKUP($A96&amp;$D96,'VISIT DATA'!$A$2:$J100,7,FALSE), $J96="SWAB","OUTSA-RW",$J96="SWQU","OUTSA-SaQu", AND($H96="X",$I96="X",$J96="QUEST"),"OUT-UAQPre",$J96="QUEST","OUT-UAQ", $J96="Walk in","ColUATele")</f>
        <v>#N/A</v>
      </c>
      <c r="S96" s="285"/>
    </row>
    <row r="97">
      <c r="A97" s="285"/>
      <c r="B97" s="284" t="str">
        <f>IFS($A97=FALSE,"",$A97,VLOOKUP($A97,'PATIENT DATA (072721)'!A:C, 2, 0))</f>
        <v/>
      </c>
      <c r="C97" s="226" t="str">
        <f>IFS($A97=FALSE,"",$A97,VLOOKUP($A97,'PATIENT DATA (072721)'!A:C, 3, 0))</f>
        <v/>
      </c>
      <c r="D97" s="218"/>
      <c r="E97" s="221" t="str">
        <f>ifs($A97="","",$A97, VLOOKUP($A97&amp;$D97, 'VISIT DATA'!$A:$O,13,0))</f>
        <v/>
      </c>
      <c r="F97" s="223" t="str">
        <f>VLOOKUP(A97&amp;D97,'VISIT DATA'!A:N,10,FALSE)</f>
        <v>#N/A</v>
      </c>
      <c r="G97" s="225"/>
      <c r="H97" s="224"/>
      <c r="I97" s="224"/>
      <c r="J97" s="225"/>
      <c r="K97" s="216" t="str">
        <f t="shared" si="1"/>
        <v>X</v>
      </c>
      <c r="L97" s="226" t="str">
        <f t="shared" si="2"/>
        <v>#N/A</v>
      </c>
      <c r="M97" s="227" t="str">
        <f t="shared" si="3"/>
        <v>#N/A</v>
      </c>
      <c r="N97" s="228" t="str">
        <f t="shared" si="4"/>
        <v>#N/A</v>
      </c>
      <c r="O97" s="220" t="str">
        <f t="shared" si="5"/>
        <v>#N/A</v>
      </c>
      <c r="P97" s="220" t="str">
        <f t="shared" si="6"/>
        <v>#N/A</v>
      </c>
      <c r="Q97" s="221">
        <f t="shared" si="7"/>
        <v>0</v>
      </c>
      <c r="R97" s="229" t="str">
        <f>ifs($J97="",VLOOKUP($A97&amp;$D97,'VISIT DATA'!$A$2:$J100,7,FALSE), $J97="SWAB","OUTSA-RW",$J97="SWQU","OUTSA-SaQu", AND($H97="X",$I97="X",$J97="QUEST"),"OUT-UAQPre",$J97="QUEST","OUT-UAQ", $J97="Walk in","ColUATele")</f>
        <v>#N/A</v>
      </c>
      <c r="S97" s="285"/>
    </row>
    <row r="98">
      <c r="A98" s="285"/>
      <c r="B98" s="284" t="str">
        <f>IFS($A98=FALSE,"",$A98,VLOOKUP($A98,'PATIENT DATA (072721)'!A:C, 2, 0))</f>
        <v/>
      </c>
      <c r="C98" s="226" t="str">
        <f>IFS($A98=FALSE,"",$A98,VLOOKUP($A98,'PATIENT DATA (072721)'!A:C, 3, 0))</f>
        <v/>
      </c>
      <c r="D98" s="218"/>
      <c r="E98" s="221" t="str">
        <f>ifs($A98="","",$A98, VLOOKUP($A98&amp;$D98, 'VISIT DATA'!$A:$O,13,0))</f>
        <v/>
      </c>
      <c r="F98" s="223" t="str">
        <f>VLOOKUP(A98&amp;D98,'VISIT DATA'!A:N,10,FALSE)</f>
        <v>#N/A</v>
      </c>
      <c r="G98" s="225"/>
      <c r="H98" s="224"/>
      <c r="I98" s="224"/>
      <c r="J98" s="225"/>
      <c r="K98" s="216" t="str">
        <f t="shared" si="1"/>
        <v>X</v>
      </c>
      <c r="L98" s="226" t="str">
        <f t="shared" si="2"/>
        <v>#N/A</v>
      </c>
      <c r="M98" s="227" t="str">
        <f t="shared" si="3"/>
        <v>#N/A</v>
      </c>
      <c r="N98" s="228" t="str">
        <f t="shared" si="4"/>
        <v>#N/A</v>
      </c>
      <c r="O98" s="220" t="str">
        <f t="shared" si="5"/>
        <v>#N/A</v>
      </c>
      <c r="P98" s="220" t="str">
        <f t="shared" si="6"/>
        <v>#N/A</v>
      </c>
      <c r="Q98" s="221">
        <f t="shared" si="7"/>
        <v>0</v>
      </c>
      <c r="R98" s="229" t="str">
        <f>ifs($J98="",VLOOKUP($A98&amp;$D98,'VISIT DATA'!$A$2:$J100,7,FALSE), $J98="SWAB","OUTSA-RW",$J98="SWQU","OUTSA-SaQu", AND($H98="X",$I98="X",$J98="QUEST"),"OUT-UAQPre",$J98="QUEST","OUT-UAQ", $J98="Walk in","ColUATele")</f>
        <v>#N/A</v>
      </c>
      <c r="S98" s="285"/>
    </row>
    <row r="99">
      <c r="A99" s="285"/>
      <c r="B99" s="284" t="str">
        <f>IFS($A99=FALSE,"",$A99,VLOOKUP($A99,'PATIENT DATA (072721)'!A:C, 2, 0))</f>
        <v/>
      </c>
      <c r="C99" s="226" t="str">
        <f>IFS($A99=FALSE,"",$A99,VLOOKUP($A99,'PATIENT DATA (072721)'!A:C, 3, 0))</f>
        <v/>
      </c>
      <c r="D99" s="218"/>
      <c r="E99" s="221" t="str">
        <f>ifs($A99="","",$A99, VLOOKUP($A99&amp;$D99, 'VISIT DATA'!$A:$O,13,0))</f>
        <v/>
      </c>
      <c r="F99" s="223" t="str">
        <f>VLOOKUP(A99&amp;D99,'VISIT DATA'!A:N,10,FALSE)</f>
        <v>#N/A</v>
      </c>
      <c r="G99" s="225"/>
      <c r="H99" s="224"/>
      <c r="I99" s="224"/>
      <c r="J99" s="225"/>
      <c r="K99" s="216" t="str">
        <f t="shared" si="1"/>
        <v>X</v>
      </c>
      <c r="L99" s="226" t="str">
        <f t="shared" si="2"/>
        <v>#N/A</v>
      </c>
      <c r="M99" s="227" t="str">
        <f t="shared" si="3"/>
        <v>#N/A</v>
      </c>
      <c r="N99" s="228" t="str">
        <f t="shared" si="4"/>
        <v>#N/A</v>
      </c>
      <c r="O99" s="220" t="str">
        <f t="shared" si="5"/>
        <v>#N/A</v>
      </c>
      <c r="P99" s="220" t="str">
        <f t="shared" si="6"/>
        <v>#N/A</v>
      </c>
      <c r="Q99" s="221">
        <f t="shared" si="7"/>
        <v>0</v>
      </c>
      <c r="R99" s="229" t="str">
        <f>ifs($J99="",VLOOKUP($A99&amp;$D99,'VISIT DATA'!$A$2:$J100,7,FALSE), $J99="SWAB","OUTSA-RW",$J99="SWQU","OUTSA-SaQu", AND($H99="X",$I99="X",$J99="QUEST"),"OUT-UAQPre",$J99="QUEST","OUT-UAQ", $J99="Walk in","ColUATele")</f>
        <v>#N/A</v>
      </c>
      <c r="S99" s="285"/>
    </row>
    <row r="100">
      <c r="A100" s="232"/>
      <c r="B100" s="288"/>
      <c r="C100" s="232"/>
      <c r="D100" s="263"/>
      <c r="E100" s="235"/>
      <c r="F100" s="232"/>
      <c r="G100" s="236" t="s">
        <v>6333</v>
      </c>
      <c r="H100" s="237">
        <f>COUNTIFS(G1:H80, "X")</f>
        <v>0</v>
      </c>
      <c r="I100" s="236" t="s">
        <v>6334</v>
      </c>
      <c r="J100" s="237">
        <f>COUNTIFS(I1:I80, "X")</f>
        <v>0</v>
      </c>
      <c r="K100" s="238"/>
      <c r="L100" s="238"/>
      <c r="M100" s="238"/>
      <c r="N100" s="238"/>
      <c r="O100" s="238"/>
      <c r="P100" s="238"/>
      <c r="Q100" s="238"/>
      <c r="R100" s="239"/>
      <c r="S100" s="232"/>
    </row>
  </sheetData>
  <customSheetViews>
    <customSheetView guid="{20F5F3BA-172D-4727-943D-E296FD1F3EFA}" filter="1" showAutoFilter="1">
      <autoFilter ref="$B$1:$R$100"/>
    </customSheetView>
  </customSheetViews>
  <conditionalFormatting sqref="A1:S100">
    <cfRule type="expression" dxfId="5" priority="1">
      <formula>#REF!="ERROR"</formula>
    </cfRule>
  </conditionalFormatting>
  <conditionalFormatting sqref="A1:S99">
    <cfRule type="expression" dxfId="5" priority="2">
      <formula>#REF!="NO MATCH"</formula>
    </cfRule>
  </conditionalFormatting>
  <conditionalFormatting sqref="K2:K99">
    <cfRule type="containsText" dxfId="5" priority="3" operator="containsText" text="X">
      <formula>NOT(ISERROR(SEARCH(("X"),(K2))))</formula>
    </cfRule>
  </conditionalFormatting>
  <conditionalFormatting sqref="A1:S99">
    <cfRule type="expression" dxfId="4" priority="4">
      <formula>#REF!="Repeat"</formula>
    </cfRule>
  </conditionalFormatting>
  <conditionalFormatting sqref="R2:R99">
    <cfRule type="expression" dxfId="10" priority="5">
      <formula>$J2="QUEST"</formula>
    </cfRule>
  </conditionalFormatting>
  <conditionalFormatting sqref="K2:K99">
    <cfRule type="containsText" dxfId="10" priority="6" operator="containsText" text="✓">
      <formula>NOT(ISERROR(SEARCH(("✓"),(K2))))</formula>
    </cfRule>
  </conditionalFormatting>
  <conditionalFormatting sqref="A1:Q99 S1:S99">
    <cfRule type="expression" dxfId="20" priority="7">
      <formula>$F1="MOLINA DUAL COMPLETE NEW MEXICO"</formula>
    </cfRule>
  </conditionalFormatting>
  <conditionalFormatting sqref="A1:Q99 S1:S99">
    <cfRule type="expression" dxfId="20" priority="8">
      <formula>$F1="MOLINA DUAL COMPLETE TEXAS"</formula>
    </cfRule>
  </conditionalFormatting>
  <conditionalFormatting sqref="A1:Q99 S1:S99">
    <cfRule type="expression" dxfId="20" priority="9">
      <formula>$F1="MOLINA MARKETPLACE TEXAS"</formula>
    </cfRule>
  </conditionalFormatting>
  <conditionalFormatting sqref="G1:G99">
    <cfRule type="containsText" dxfId="6" priority="10" operator="containsText" text="x">
      <formula>NOT(ISERROR(SEARCH(("x"),(G1))))</formula>
    </cfRule>
  </conditionalFormatting>
  <conditionalFormatting sqref="I1:I99">
    <cfRule type="containsText" dxfId="21" priority="11" operator="containsText" text="X">
      <formula>NOT(ISERROR(SEARCH(("X"),(I1))))</formula>
    </cfRule>
  </conditionalFormatting>
  <conditionalFormatting sqref="H1:H99">
    <cfRule type="containsText" dxfId="22" priority="12" operator="containsText" text="X">
      <formula>NOT(ISERROR(SEARCH(("X"),(H1))))</formula>
    </cfRule>
  </conditionalFormatting>
  <conditionalFormatting sqref="K1:K99">
    <cfRule type="containsBlanks" dxfId="23" priority="13">
      <formula>LEN(TRIM(K1))=0</formula>
    </cfRule>
  </conditionalFormatting>
  <conditionalFormatting sqref="F1:F99 J1:K1">
    <cfRule type="containsText" dxfId="24" priority="14" operator="containsText" text="Molina">
      <formula>NOT(ISERROR(SEARCH(("Molina"),(F1))))</formula>
    </cfRule>
  </conditionalFormatting>
  <conditionalFormatting sqref="G1:I99">
    <cfRule type="containsBlanks" dxfId="25" priority="15">
      <formula>LEN(TRIM(G1))=0</formula>
    </cfRule>
  </conditionalFormatting>
  <conditionalFormatting sqref="K1:K99 A2:J99 L2:S99">
    <cfRule type="expression" dxfId="10" priority="16">
      <formula>$J1="SWAB"</formula>
    </cfRule>
  </conditionalFormatting>
  <conditionalFormatting sqref="F1:F99">
    <cfRule type="containsText" dxfId="5" priority="17" operator="containsText" text="Self Pay">
      <formula>NOT(ISERROR(SEARCH(("Self Pay"),(F1))))</formula>
    </cfRule>
  </conditionalFormatting>
  <conditionalFormatting sqref="F1:F99">
    <cfRule type="containsText" dxfId="5" priority="18" operator="containsText" text="Self-Pay">
      <formula>NOT(ISERROR(SEARCH(("Self-Pay"),(F1))))</formula>
    </cfRule>
  </conditionalFormatting>
  <conditionalFormatting sqref="F1:F99">
    <cfRule type="containsText" dxfId="5" priority="19" operator="containsText" text="Third Party">
      <formula>NOT(ISERROR(SEARCH(("Third Party"),(F1))))</formula>
    </cfRule>
  </conditionalFormatting>
  <conditionalFormatting sqref="A1:Q99 S1:S99">
    <cfRule type="expression" dxfId="26" priority="20">
      <formula>$F1="SUPERIOR HEALTH PLAN"</formula>
    </cfRule>
  </conditionalFormatting>
  <conditionalFormatting sqref="A1:Q99 S1:S99">
    <cfRule type="expression" dxfId="26" priority="21">
      <formula>$F1="AMBETTER - SUPERIOR"</formula>
    </cfRule>
  </conditionalFormatting>
  <conditionalFormatting sqref="A1:Q99 S1:S99">
    <cfRule type="expression" dxfId="19" priority="22">
      <formula>$F1="Wellmed - Humana"</formula>
    </cfRule>
  </conditionalFormatting>
  <conditionalFormatting sqref="A1:Q99 S1:S99">
    <cfRule type="expression" dxfId="19" priority="23">
      <formula>$F1="WELLMED - AARP MEDICARE COMPLETE"</formula>
    </cfRule>
  </conditionalFormatting>
  <conditionalFormatting sqref="A1:Q99 S1:S99">
    <cfRule type="expression" dxfId="19" priority="24">
      <formula>$F1="WELLMED - AMERIVANTAGE"</formula>
    </cfRule>
  </conditionalFormatting>
  <conditionalFormatting sqref="A1:Q99 S1:S99">
    <cfRule type="expression" dxfId="19" priority="25">
      <formula>$F1="WELLMED - CIGNA HEALTHSPRING"</formula>
    </cfRule>
  </conditionalFormatting>
  <conditionalFormatting sqref="A1:Q99 S1:S99">
    <cfRule type="expression" dxfId="19" priority="26">
      <formula>$F1="WELLMED - UHC CHRONIC COMPLETE HMO C-SNP"</formula>
    </cfRule>
  </conditionalFormatting>
  <conditionalFormatting sqref="A1:Q99 S1:S99">
    <cfRule type="expression" dxfId="19" priority="27">
      <formula>$F1="WELLMED - UHC DUAL COMPLETE HMO SNP"</formula>
    </cfRule>
  </conditionalFormatting>
  <conditionalFormatting sqref="A1:Q99 S1:S99">
    <cfRule type="expression" dxfId="19" priority="28">
      <formula>$F1="WELLMED - UHC DUAL COMPLETE SNP"</formula>
    </cfRule>
  </conditionalFormatting>
  <conditionalFormatting sqref="A1:Q99 S1:S99">
    <cfRule type="expression" dxfId="20" priority="29">
      <formula>$F1="MOLINA DUAL COMPLETE NEW MEXICO"</formula>
    </cfRule>
  </conditionalFormatting>
  <conditionalFormatting sqref="A1:Q99 S1:S99">
    <cfRule type="expression" dxfId="20" priority="30">
      <formula>$F1="MOLINA DUAL COMPLETE TEXAS"</formula>
    </cfRule>
  </conditionalFormatting>
  <conditionalFormatting sqref="A1:Q99 S1:S99">
    <cfRule type="expression" dxfId="20" priority="31">
      <formula>$F1="MOLINA MARKETPLACE TEXAS"</formula>
    </cfRule>
  </conditionalFormatting>
  <conditionalFormatting sqref="A1:Q99 S1:S99">
    <cfRule type="expression" dxfId="20" priority="32">
      <formula>$F1="MOLINA MEDICAID TEXAS"</formula>
    </cfRule>
  </conditionalFormatting>
  <conditionalFormatting sqref="A1:Q99 S1:S99">
    <cfRule type="expression" dxfId="27" priority="33">
      <formula>$F1="HUMANA OPEN ACCESS PLAN"</formula>
    </cfRule>
  </conditionalFormatting>
  <conditionalFormatting sqref="A1:Q99 S1:S99">
    <cfRule type="expression" dxfId="28" priority="34">
      <formula>$F1="HUMANA CHOICE CARE"</formula>
    </cfRule>
  </conditionalFormatting>
  <conditionalFormatting sqref="R1:R99">
    <cfRule type="expression" dxfId="11" priority="35">
      <formula>$R1="UA"</formula>
    </cfRule>
  </conditionalFormatting>
  <conditionalFormatting sqref="R1:R99">
    <cfRule type="expression" dxfId="12" priority="36">
      <formula>$R1="OUTUA-PrRW"</formula>
    </cfRule>
  </conditionalFormatting>
  <conditionalFormatting sqref="R1:R99">
    <cfRule type="expression" dxfId="12" priority="37">
      <formula>$R1="OUT-UAQPre"</formula>
    </cfRule>
  </conditionalFormatting>
  <conditionalFormatting sqref="R1:R99">
    <cfRule type="expression" dxfId="13" priority="38">
      <formula>$R1="UA-Prelim"</formula>
    </cfRule>
  </conditionalFormatting>
  <conditionalFormatting sqref="R1:R99">
    <cfRule type="expression" dxfId="6" priority="39">
      <formula>$R1="UA-NWPT"</formula>
    </cfRule>
  </conditionalFormatting>
  <conditionalFormatting sqref="J1:J100 K1:K99">
    <cfRule type="expression" dxfId="5" priority="40">
      <formula>$K1="X"</formula>
    </cfRule>
  </conditionalFormatting>
  <conditionalFormatting sqref="R1:R99">
    <cfRule type="expression" dxfId="10" priority="41">
      <formula>$R1="OUT-UAQ"</formula>
    </cfRule>
  </conditionalFormatting>
  <conditionalFormatting sqref="R1:R99">
    <cfRule type="expression" dxfId="10" priority="42">
      <formula>$R1="OUTUA-FURW"</formula>
    </cfRule>
  </conditionalFormatting>
  <conditionalFormatting sqref="R1:R99">
    <cfRule type="expression" dxfId="14" priority="43">
      <formula>$R1="OUTSA-SaQu"</formula>
    </cfRule>
  </conditionalFormatting>
  <conditionalFormatting sqref="R1:R99">
    <cfRule type="expression" dxfId="14" priority="44">
      <formula>$R1="OUTSA-RW"</formula>
    </cfRule>
  </conditionalFormatting>
  <dataValidations>
    <dataValidation type="list" allowBlank="1" showErrorMessage="1" sqref="E2:E99">
      <formula1>"CH,DA,DC,DM,FA,LM"</formula1>
    </dataValidation>
    <dataValidation type="custom" allowBlank="1" showDropDown="1" showInputMessage="1" showErrorMessage="1" prompt="CAPITALS" sqref="B1:B99">
      <formula1>ISERROR(SEARCH((exact(upper(A:J),A:J)),(B1)))</formula1>
    </dataValidation>
    <dataValidation type="custom" allowBlank="1" showDropDown="1" showInputMessage="1" showErrorMessage="1" prompt="CAPITALS" sqref="A1:A99">
      <formula1>ISERROR(SEARCH((exact(upper(A:K),A:K)),(A1)))</formula1>
    </dataValidation>
    <dataValidation type="list" allowBlank="1" showErrorMessage="1" sqref="F2:F99">
      <formula1>Data!$A$2:$A100</formula1>
    </dataValidation>
    <dataValidation type="list" allowBlank="1" showErrorMessage="1" sqref="G2:I99">
      <formula1>"X"</formula1>
    </dataValidation>
    <dataValidation type="list" allowBlank="1" showInputMessage="1" showErrorMessage="1" prompt="Click and enter a value from range 'Insurance Data'!C2:C608" sqref="D2:D99">
      <formula1>Data!$C:$C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0.86"/>
    <col customWidth="1" min="2" max="2" width="9.29"/>
    <col customWidth="1" min="3" max="3" width="2.14"/>
    <col customWidth="1" min="4" max="4" width="9.71"/>
    <col customWidth="1" min="5" max="5" width="10.71"/>
    <col customWidth="1" min="6" max="6" width="11.57"/>
    <col customWidth="1" min="7" max="7" width="8.43"/>
    <col customWidth="1" min="8" max="8" width="8.29"/>
    <col customWidth="1" min="9" max="9" width="12.71"/>
    <col customWidth="1" min="10" max="10" width="41.14"/>
    <col customWidth="1" min="11" max="11" width="8.29"/>
    <col customWidth="1" min="12" max="12" width="8.57"/>
    <col customWidth="1" min="13" max="13" width="7.57"/>
    <col customWidth="1" min="14" max="14" width="7.0"/>
    <col customWidth="1" min="15" max="15" width="2.14"/>
    <col customWidth="1" hidden="1" min="16" max="20" width="12.57"/>
    <col customWidth="1" hidden="1" min="21" max="21" width="2.14"/>
    <col customWidth="1" min="22" max="22" width="14.86"/>
    <col customWidth="1" hidden="1" min="23" max="24" width="34.57"/>
    <col customWidth="1" hidden="1" min="25" max="25" width="12.14"/>
    <col customWidth="1" hidden="1" min="26" max="26" width="1.57"/>
    <col customWidth="1" min="27" max="27" width="9.57"/>
  </cols>
  <sheetData>
    <row r="1">
      <c r="A1" s="204" t="s">
        <v>24</v>
      </c>
      <c r="B1" s="205" t="s">
        <v>6237</v>
      </c>
      <c r="C1" s="206"/>
      <c r="D1" s="207" t="s">
        <v>25</v>
      </c>
      <c r="E1" s="207" t="s">
        <v>21</v>
      </c>
      <c r="F1" s="208" t="s">
        <v>6077</v>
      </c>
      <c r="G1" s="208" t="s">
        <v>6318</v>
      </c>
      <c r="H1" s="209" t="s">
        <v>2</v>
      </c>
      <c r="I1" s="209" t="s">
        <v>6206</v>
      </c>
      <c r="J1" s="209" t="s">
        <v>6135</v>
      </c>
      <c r="K1" s="208" t="s">
        <v>6238</v>
      </c>
      <c r="L1" s="208" t="s">
        <v>6239</v>
      </c>
      <c r="M1" s="208" t="s">
        <v>6240</v>
      </c>
      <c r="N1" s="210" t="s">
        <v>7</v>
      </c>
      <c r="O1" s="206"/>
      <c r="P1" s="207" t="s">
        <v>6188</v>
      </c>
      <c r="Q1" s="208" t="s">
        <v>6319</v>
      </c>
      <c r="R1" s="208" t="s">
        <v>6132</v>
      </c>
      <c r="S1" s="208" t="s">
        <v>6134</v>
      </c>
      <c r="T1" s="208" t="s">
        <v>6147</v>
      </c>
      <c r="U1" s="211"/>
      <c r="V1" s="212" t="s">
        <v>6320</v>
      </c>
      <c r="W1" s="207"/>
      <c r="X1" s="209"/>
      <c r="Y1" s="208" t="s">
        <v>6321</v>
      </c>
      <c r="Z1" s="213"/>
      <c r="AA1" s="241"/>
    </row>
    <row r="2">
      <c r="A2" s="214" t="s">
        <v>1522</v>
      </c>
      <c r="B2" s="215">
        <v>12538.0</v>
      </c>
      <c r="C2" s="216" t="s">
        <v>6322</v>
      </c>
      <c r="D2" s="217">
        <v>18832.0</v>
      </c>
      <c r="E2" s="218">
        <v>44564.0</v>
      </c>
      <c r="F2" s="219">
        <v>0.3333333333333333</v>
      </c>
      <c r="G2" s="220" t="s">
        <v>6328</v>
      </c>
      <c r="H2" s="221" t="s">
        <v>12</v>
      </c>
      <c r="I2" s="222" t="s">
        <v>6212</v>
      </c>
      <c r="J2" s="223" t="s">
        <v>6199</v>
      </c>
      <c r="K2" s="224"/>
      <c r="L2" s="224" t="s">
        <v>6242</v>
      </c>
      <c r="M2" s="224"/>
      <c r="N2" s="225"/>
      <c r="O2" s="216" t="s">
        <v>6322</v>
      </c>
      <c r="P2" s="226" t="e">
        <v>#VALUE!</v>
      </c>
      <c r="Q2" s="227" t="e">
        <v>#VALUE!</v>
      </c>
      <c r="R2" s="228" t="e">
        <v>#VALUE!</v>
      </c>
      <c r="S2" s="220" t="e">
        <v>#VALUE!</v>
      </c>
      <c r="T2" s="220" t="e">
        <v>#VALUE!</v>
      </c>
      <c r="U2" s="221">
        <v>0.0</v>
      </c>
      <c r="V2" s="229" t="s">
        <v>5</v>
      </c>
      <c r="W2" s="24" t="s">
        <v>6329</v>
      </c>
      <c r="X2" s="222" t="s">
        <v>6329</v>
      </c>
      <c r="Y2" s="222" t="s">
        <v>6327</v>
      </c>
      <c r="Z2" s="224" t="s">
        <v>6325</v>
      </c>
      <c r="AA2" s="243"/>
    </row>
    <row r="3">
      <c r="A3" s="214" t="s">
        <v>3956</v>
      </c>
      <c r="B3" s="215">
        <v>15575.0</v>
      </c>
      <c r="C3" s="216" t="s">
        <v>6322</v>
      </c>
      <c r="D3" s="217">
        <v>25072.0</v>
      </c>
      <c r="E3" s="218">
        <v>44564.0</v>
      </c>
      <c r="F3" s="219">
        <v>0.3541666666666667</v>
      </c>
      <c r="G3" s="220" t="s">
        <v>6323</v>
      </c>
      <c r="H3" s="221" t="s">
        <v>12</v>
      </c>
      <c r="I3" s="222" t="s">
        <v>6212</v>
      </c>
      <c r="J3" s="223" t="s">
        <v>6082</v>
      </c>
      <c r="K3" s="224"/>
      <c r="L3" s="224" t="s">
        <v>6242</v>
      </c>
      <c r="M3" s="224"/>
      <c r="N3" s="225"/>
      <c r="O3" s="216" t="s">
        <v>6322</v>
      </c>
      <c r="P3" s="226" t="e">
        <v>#VALUE!</v>
      </c>
      <c r="Q3" s="227" t="e">
        <v>#VALUE!</v>
      </c>
      <c r="R3" s="228" t="e">
        <v>#VALUE!</v>
      </c>
      <c r="S3" s="220" t="e">
        <v>#VALUE!</v>
      </c>
      <c r="T3" s="220" t="e">
        <v>#VALUE!</v>
      </c>
      <c r="U3" s="221">
        <v>0.0</v>
      </c>
      <c r="V3" s="229" t="s">
        <v>5</v>
      </c>
      <c r="W3" s="24" t="s">
        <v>6329</v>
      </c>
      <c r="X3" s="222" t="s">
        <v>6329</v>
      </c>
      <c r="Y3" s="222" t="s">
        <v>6327</v>
      </c>
      <c r="Z3" s="224" t="s">
        <v>6325</v>
      </c>
      <c r="AA3" s="243"/>
    </row>
    <row r="4">
      <c r="A4" s="214" t="s">
        <v>3140</v>
      </c>
      <c r="B4" s="215">
        <v>14600.0</v>
      </c>
      <c r="C4" s="216" t="s">
        <v>6322</v>
      </c>
      <c r="D4" s="217">
        <v>18872.0</v>
      </c>
      <c r="E4" s="218">
        <v>44564.0</v>
      </c>
      <c r="F4" s="219">
        <v>0.3333333333333333</v>
      </c>
      <c r="G4" s="220" t="s">
        <v>6323</v>
      </c>
      <c r="H4" s="221" t="s">
        <v>14</v>
      </c>
      <c r="I4" s="222" t="s">
        <v>6219</v>
      </c>
      <c r="J4" s="223" t="s">
        <v>6137</v>
      </c>
      <c r="K4" s="224"/>
      <c r="L4" s="224" t="s">
        <v>6242</v>
      </c>
      <c r="M4" s="224"/>
      <c r="N4" s="225"/>
      <c r="O4" s="216" t="s">
        <v>6322</v>
      </c>
      <c r="P4" s="226" t="e">
        <v>#VALUE!</v>
      </c>
      <c r="Q4" s="227" t="e">
        <v>#VALUE!</v>
      </c>
      <c r="R4" s="228" t="e">
        <v>#VALUE!</v>
      </c>
      <c r="S4" s="220" t="e">
        <v>#VALUE!</v>
      </c>
      <c r="T4" s="220" t="e">
        <v>#VALUE!</v>
      </c>
      <c r="U4" s="221">
        <v>0.0</v>
      </c>
      <c r="V4" s="229" t="s">
        <v>5</v>
      </c>
      <c r="W4" s="24" t="s">
        <v>6329</v>
      </c>
      <c r="X4" s="222" t="s">
        <v>6329</v>
      </c>
      <c r="Y4" s="222" t="s">
        <v>6327</v>
      </c>
      <c r="Z4" s="224" t="s">
        <v>6325</v>
      </c>
      <c r="AA4" s="243"/>
    </row>
    <row r="5">
      <c r="A5" s="214" t="s">
        <v>4167</v>
      </c>
      <c r="B5" s="215">
        <v>15807.0</v>
      </c>
      <c r="C5" s="216" t="s">
        <v>6322</v>
      </c>
      <c r="D5" s="217">
        <v>22632.0</v>
      </c>
      <c r="E5" s="218">
        <v>44564.0</v>
      </c>
      <c r="F5" s="219">
        <v>0.3541666666666667</v>
      </c>
      <c r="G5" s="220" t="s">
        <v>6328</v>
      </c>
      <c r="H5" s="221" t="s">
        <v>14</v>
      </c>
      <c r="I5" s="222" t="s">
        <v>6219</v>
      </c>
      <c r="J5" s="223" t="s">
        <v>6186</v>
      </c>
      <c r="K5" s="224"/>
      <c r="L5" s="224" t="s">
        <v>6242</v>
      </c>
      <c r="M5" s="224"/>
      <c r="N5" s="225"/>
      <c r="O5" s="216" t="s">
        <v>6322</v>
      </c>
      <c r="P5" s="226" t="e">
        <v>#VALUE!</v>
      </c>
      <c r="Q5" s="227" t="e">
        <v>#VALUE!</v>
      </c>
      <c r="R5" s="228" t="e">
        <v>#VALUE!</v>
      </c>
      <c r="S5" s="220" t="e">
        <v>#VALUE!</v>
      </c>
      <c r="T5" s="220" t="e">
        <v>#VALUE!</v>
      </c>
      <c r="U5" s="221">
        <v>0.0</v>
      </c>
      <c r="V5" s="229" t="s">
        <v>5</v>
      </c>
      <c r="W5" s="24" t="s">
        <v>6329</v>
      </c>
      <c r="X5" s="222" t="s">
        <v>6329</v>
      </c>
      <c r="Y5" s="222" t="s">
        <v>6327</v>
      </c>
      <c r="Z5" s="224" t="s">
        <v>6325</v>
      </c>
      <c r="AA5" s="243"/>
    </row>
    <row r="6">
      <c r="A6" s="214" t="s">
        <v>1051</v>
      </c>
      <c r="B6" s="215">
        <v>11670.0</v>
      </c>
      <c r="C6" s="216" t="s">
        <v>6322</v>
      </c>
      <c r="D6" s="217">
        <v>20486.0</v>
      </c>
      <c r="E6" s="218">
        <v>44564.0</v>
      </c>
      <c r="F6" s="219">
        <v>0.3645833333333333</v>
      </c>
      <c r="G6" s="220" t="s">
        <v>6323</v>
      </c>
      <c r="H6" s="221" t="s">
        <v>14</v>
      </c>
      <c r="I6" s="222" t="s">
        <v>6222</v>
      </c>
      <c r="J6" s="223" t="s">
        <v>6196</v>
      </c>
      <c r="K6" s="224"/>
      <c r="L6" s="224" t="s">
        <v>6242</v>
      </c>
      <c r="M6" s="224"/>
      <c r="N6" s="225"/>
      <c r="O6" s="216" t="s">
        <v>6322</v>
      </c>
      <c r="P6" s="226" t="s">
        <v>6242</v>
      </c>
      <c r="Q6" s="227" t="e">
        <v>#VALUE!</v>
      </c>
      <c r="R6" s="228" t="e">
        <v>#VALUE!</v>
      </c>
      <c r="S6" s="220" t="e">
        <v>#VALUE!</v>
      </c>
      <c r="T6" s="220" t="e">
        <v>#VALUE!</v>
      </c>
      <c r="U6" s="221">
        <v>1.0</v>
      </c>
      <c r="V6" s="229" t="s">
        <v>6216</v>
      </c>
      <c r="W6" s="24" t="s">
        <v>6324</v>
      </c>
      <c r="X6" s="222" t="s">
        <v>6324</v>
      </c>
      <c r="Y6" s="222" t="s">
        <v>6327</v>
      </c>
      <c r="Z6" s="224" t="s">
        <v>6325</v>
      </c>
      <c r="AA6" s="243"/>
    </row>
    <row r="7">
      <c r="A7" s="214" t="s">
        <v>4967</v>
      </c>
      <c r="B7" s="215">
        <v>16796.0</v>
      </c>
      <c r="C7" s="216" t="s">
        <v>6322</v>
      </c>
      <c r="D7" s="217">
        <v>12606.0</v>
      </c>
      <c r="E7" s="218">
        <v>44564.0</v>
      </c>
      <c r="F7" s="219">
        <v>0.375</v>
      </c>
      <c r="G7" s="220" t="s">
        <v>6323</v>
      </c>
      <c r="H7" s="221" t="s">
        <v>13</v>
      </c>
      <c r="I7" s="222" t="s">
        <v>6221</v>
      </c>
      <c r="J7" s="223" t="s">
        <v>6137</v>
      </c>
      <c r="K7" s="224"/>
      <c r="L7" s="224" t="s">
        <v>6242</v>
      </c>
      <c r="M7" s="224"/>
      <c r="N7" s="225"/>
      <c r="O7" s="216" t="s">
        <v>6322</v>
      </c>
      <c r="P7" s="226" t="e">
        <v>#VALUE!</v>
      </c>
      <c r="Q7" s="227" t="e">
        <v>#VALUE!</v>
      </c>
      <c r="R7" s="228" t="e">
        <v>#VALUE!</v>
      </c>
      <c r="S7" s="220" t="e">
        <v>#VALUE!</v>
      </c>
      <c r="T7" s="220" t="e">
        <v>#VALUE!</v>
      </c>
      <c r="U7" s="221">
        <v>0.0</v>
      </c>
      <c r="V7" s="229" t="s">
        <v>5</v>
      </c>
      <c r="W7" s="24" t="s">
        <v>6329</v>
      </c>
      <c r="X7" s="222" t="s">
        <v>6329</v>
      </c>
      <c r="Y7" s="222" t="s">
        <v>6327</v>
      </c>
      <c r="Z7" s="224" t="s">
        <v>6325</v>
      </c>
      <c r="AA7" s="243"/>
    </row>
    <row r="8">
      <c r="A8" s="214" t="s">
        <v>178</v>
      </c>
      <c r="B8" s="215">
        <v>9473.0</v>
      </c>
      <c r="C8" s="216" t="s">
        <v>6322</v>
      </c>
      <c r="D8" s="217">
        <v>17984.0</v>
      </c>
      <c r="E8" s="218">
        <v>44564.0</v>
      </c>
      <c r="F8" s="219">
        <v>0.3645833333333333</v>
      </c>
      <c r="G8" s="220" t="s">
        <v>6328</v>
      </c>
      <c r="H8" s="221" t="s">
        <v>14</v>
      </c>
      <c r="I8" s="222" t="s">
        <v>6219</v>
      </c>
      <c r="J8" s="223" t="s">
        <v>6196</v>
      </c>
      <c r="K8" s="224"/>
      <c r="L8" s="224" t="s">
        <v>6242</v>
      </c>
      <c r="M8" s="224"/>
      <c r="N8" s="225"/>
      <c r="O8" s="216" t="s">
        <v>6322</v>
      </c>
      <c r="P8" s="226" t="s">
        <v>6242</v>
      </c>
      <c r="Q8" s="227" t="e">
        <v>#VALUE!</v>
      </c>
      <c r="R8" s="228" t="e">
        <v>#VALUE!</v>
      </c>
      <c r="S8" s="220" t="e">
        <v>#VALUE!</v>
      </c>
      <c r="T8" s="220" t="e">
        <v>#VALUE!</v>
      </c>
      <c r="U8" s="221">
        <v>1.0</v>
      </c>
      <c r="V8" s="229" t="s">
        <v>6216</v>
      </c>
      <c r="W8" s="24" t="s">
        <v>6324</v>
      </c>
      <c r="X8" s="222" t="s">
        <v>6324</v>
      </c>
      <c r="Y8" s="222" t="s">
        <v>6327</v>
      </c>
      <c r="Z8" s="224" t="s">
        <v>6325</v>
      </c>
      <c r="AA8" s="243"/>
    </row>
    <row r="9">
      <c r="A9" s="214" t="s">
        <v>3638</v>
      </c>
      <c r="B9" s="215">
        <v>15198.0</v>
      </c>
      <c r="C9" s="216" t="s">
        <v>6322</v>
      </c>
      <c r="D9" s="217">
        <v>21482.0</v>
      </c>
      <c r="E9" s="218">
        <v>44564.0</v>
      </c>
      <c r="F9" s="219">
        <v>0.375</v>
      </c>
      <c r="G9" s="220" t="s">
        <v>6323</v>
      </c>
      <c r="H9" s="221" t="s">
        <v>14</v>
      </c>
      <c r="I9" s="222" t="s">
        <v>6222</v>
      </c>
      <c r="J9" s="223" t="s">
        <v>6192</v>
      </c>
      <c r="K9" s="224"/>
      <c r="L9" s="224" t="s">
        <v>6242</v>
      </c>
      <c r="M9" s="224" t="s">
        <v>6242</v>
      </c>
      <c r="N9" s="225"/>
      <c r="O9" s="216" t="s">
        <v>6322</v>
      </c>
      <c r="P9" s="226" t="s">
        <v>6242</v>
      </c>
      <c r="Q9" s="227" t="e">
        <v>#VALUE!</v>
      </c>
      <c r="R9" s="228" t="e">
        <v>#VALUE!</v>
      </c>
      <c r="S9" s="220" t="e">
        <v>#VALUE!</v>
      </c>
      <c r="T9" s="220" t="e">
        <v>#VALUE!</v>
      </c>
      <c r="U9" s="221">
        <v>1.0</v>
      </c>
      <c r="V9" s="229" t="s">
        <v>6220</v>
      </c>
      <c r="W9" s="24" t="s">
        <v>6330</v>
      </c>
      <c r="X9" s="222" t="s">
        <v>6330</v>
      </c>
      <c r="Y9" s="222" t="s">
        <v>6327</v>
      </c>
      <c r="Z9" s="224" t="s">
        <v>6325</v>
      </c>
      <c r="AA9" s="245" t="s">
        <v>6358</v>
      </c>
    </row>
    <row r="10">
      <c r="A10" s="214" t="s">
        <v>5364</v>
      </c>
      <c r="B10" s="215">
        <v>17294.0</v>
      </c>
      <c r="C10" s="216" t="s">
        <v>6322</v>
      </c>
      <c r="D10" s="217">
        <v>28685.0</v>
      </c>
      <c r="E10" s="218">
        <v>44564.0</v>
      </c>
      <c r="F10" s="219">
        <v>0.3645833333333333</v>
      </c>
      <c r="G10" s="220" t="s">
        <v>6328</v>
      </c>
      <c r="H10" s="221" t="s">
        <v>13</v>
      </c>
      <c r="I10" s="222" t="s">
        <v>6212</v>
      </c>
      <c r="J10" s="223" t="s">
        <v>6082</v>
      </c>
      <c r="K10" s="224" t="s">
        <v>6242</v>
      </c>
      <c r="L10" s="224"/>
      <c r="M10" s="224"/>
      <c r="N10" s="225"/>
      <c r="O10" s="216" t="s">
        <v>6322</v>
      </c>
      <c r="P10" s="226" t="e">
        <v>#VALUE!</v>
      </c>
      <c r="Q10" s="227" t="e">
        <v>#VALUE!</v>
      </c>
      <c r="R10" s="228" t="e">
        <v>#VALUE!</v>
      </c>
      <c r="S10" s="220" t="e">
        <v>#VALUE!</v>
      </c>
      <c r="T10" s="220" t="e">
        <v>#VALUE!</v>
      </c>
      <c r="U10" s="221">
        <v>0.0</v>
      </c>
      <c r="V10" s="229" t="s">
        <v>6213</v>
      </c>
      <c r="W10" s="24" t="s">
        <v>6331</v>
      </c>
      <c r="X10" s="222" t="s">
        <v>6331</v>
      </c>
      <c r="Y10" s="222" t="s">
        <v>6327</v>
      </c>
      <c r="Z10" s="224" t="s">
        <v>6325</v>
      </c>
      <c r="AA10" s="243"/>
    </row>
    <row r="11">
      <c r="A11" s="214" t="s">
        <v>325</v>
      </c>
      <c r="B11" s="215">
        <v>9861.0</v>
      </c>
      <c r="C11" s="216" t="s">
        <v>6322</v>
      </c>
      <c r="D11" s="217">
        <v>22756.0</v>
      </c>
      <c r="E11" s="218">
        <v>44564.0</v>
      </c>
      <c r="F11" s="219">
        <v>0.375</v>
      </c>
      <c r="G11" s="220" t="s">
        <v>6323</v>
      </c>
      <c r="H11" s="221" t="s">
        <v>14</v>
      </c>
      <c r="I11" s="222" t="s">
        <v>6219</v>
      </c>
      <c r="J11" s="223" t="s">
        <v>6082</v>
      </c>
      <c r="K11" s="224"/>
      <c r="L11" s="224" t="s">
        <v>6242</v>
      </c>
      <c r="M11" s="224"/>
      <c r="N11" s="225"/>
      <c r="O11" s="216" t="s">
        <v>6322</v>
      </c>
      <c r="P11" s="226" t="e">
        <v>#VALUE!</v>
      </c>
      <c r="Q11" s="227" t="e">
        <v>#VALUE!</v>
      </c>
      <c r="R11" s="228" t="e">
        <v>#VALUE!</v>
      </c>
      <c r="S11" s="220" t="e">
        <v>#VALUE!</v>
      </c>
      <c r="T11" s="220" t="e">
        <v>#VALUE!</v>
      </c>
      <c r="U11" s="221">
        <v>0.0</v>
      </c>
      <c r="V11" s="229" t="s">
        <v>5</v>
      </c>
      <c r="W11" s="24" t="s">
        <v>6329</v>
      </c>
      <c r="X11" s="222" t="s">
        <v>6329</v>
      </c>
      <c r="Y11" s="222" t="s">
        <v>6327</v>
      </c>
      <c r="Z11" s="224" t="s">
        <v>6325</v>
      </c>
      <c r="AA11" s="243"/>
    </row>
    <row r="12">
      <c r="A12" s="214" t="s">
        <v>5928</v>
      </c>
      <c r="B12" s="215">
        <v>17733.0</v>
      </c>
      <c r="C12" s="216" t="s">
        <v>6322</v>
      </c>
      <c r="D12" s="217">
        <v>22321.0</v>
      </c>
      <c r="E12" s="218">
        <v>44564.0</v>
      </c>
      <c r="F12" s="219">
        <v>0.34375</v>
      </c>
      <c r="G12" s="220" t="s">
        <v>6328</v>
      </c>
      <c r="H12" s="221" t="s">
        <v>13</v>
      </c>
      <c r="I12" s="222" t="s">
        <v>6212</v>
      </c>
      <c r="J12" s="223" t="s">
        <v>6202</v>
      </c>
      <c r="K12" s="224" t="s">
        <v>6242</v>
      </c>
      <c r="L12" s="224"/>
      <c r="M12" s="224"/>
      <c r="N12" s="224"/>
      <c r="O12" s="216" t="s">
        <v>6322</v>
      </c>
      <c r="P12" s="226" t="e">
        <v>#VALUE!</v>
      </c>
      <c r="Q12" s="227" t="e">
        <v>#VALUE!</v>
      </c>
      <c r="R12" s="228" t="e">
        <v>#VALUE!</v>
      </c>
      <c r="S12" s="220" t="e">
        <v>#VALUE!</v>
      </c>
      <c r="T12" s="220" t="e">
        <v>#VALUE!</v>
      </c>
      <c r="U12" s="221">
        <v>0.0</v>
      </c>
      <c r="V12" s="229" t="s">
        <v>6213</v>
      </c>
      <c r="W12" s="24" t="s">
        <v>6331</v>
      </c>
      <c r="X12" s="222" t="s">
        <v>6331</v>
      </c>
      <c r="Y12" s="222" t="s">
        <v>6327</v>
      </c>
      <c r="Z12" s="224" t="s">
        <v>6325</v>
      </c>
      <c r="AA12" s="243"/>
    </row>
    <row r="13">
      <c r="A13" s="214" t="s">
        <v>4382</v>
      </c>
      <c r="B13" s="215">
        <v>16051.0</v>
      </c>
      <c r="C13" s="216" t="s">
        <v>6322</v>
      </c>
      <c r="D13" s="217">
        <v>24194.0</v>
      </c>
      <c r="E13" s="218">
        <v>44564.0</v>
      </c>
      <c r="F13" s="219">
        <v>0.3958333333333333</v>
      </c>
      <c r="G13" s="220" t="s">
        <v>6328</v>
      </c>
      <c r="H13" s="221" t="s">
        <v>14</v>
      </c>
      <c r="I13" s="222" t="s">
        <v>6219</v>
      </c>
      <c r="J13" s="223" t="s">
        <v>6199</v>
      </c>
      <c r="K13" s="225"/>
      <c r="L13" s="224" t="s">
        <v>6242</v>
      </c>
      <c r="M13" s="224" t="s">
        <v>6242</v>
      </c>
      <c r="N13" s="225"/>
      <c r="O13" s="216" t="s">
        <v>6322</v>
      </c>
      <c r="P13" s="226" t="e">
        <v>#VALUE!</v>
      </c>
      <c r="Q13" s="227" t="e">
        <v>#VALUE!</v>
      </c>
      <c r="R13" s="228" t="e">
        <v>#VALUE!</v>
      </c>
      <c r="S13" s="220" t="e">
        <v>#VALUE!</v>
      </c>
      <c r="T13" s="220" t="e">
        <v>#VALUE!</v>
      </c>
      <c r="U13" s="221">
        <v>0.0</v>
      </c>
      <c r="V13" s="229" t="s">
        <v>6215</v>
      </c>
      <c r="W13" s="24" t="s">
        <v>6326</v>
      </c>
      <c r="X13" s="222" t="s">
        <v>6326</v>
      </c>
      <c r="Y13" s="222" t="s">
        <v>6327</v>
      </c>
      <c r="Z13" s="224" t="s">
        <v>6325</v>
      </c>
      <c r="AA13" s="244"/>
    </row>
    <row r="14">
      <c r="A14" s="214" t="s">
        <v>4070</v>
      </c>
      <c r="B14" s="215">
        <v>15702.0</v>
      </c>
      <c r="C14" s="216" t="s">
        <v>6322</v>
      </c>
      <c r="D14" s="217">
        <v>25899.0</v>
      </c>
      <c r="E14" s="218">
        <v>44564.0</v>
      </c>
      <c r="F14" s="219">
        <v>0.3958333333333333</v>
      </c>
      <c r="G14" s="220" t="s">
        <v>6323</v>
      </c>
      <c r="H14" s="221" t="s">
        <v>14</v>
      </c>
      <c r="I14" s="222" t="s">
        <v>6222</v>
      </c>
      <c r="J14" s="223" t="s">
        <v>6124</v>
      </c>
      <c r="K14" s="224"/>
      <c r="L14" s="224" t="s">
        <v>6242</v>
      </c>
      <c r="M14" s="224"/>
      <c r="N14" s="225"/>
      <c r="O14" s="216" t="s">
        <v>6322</v>
      </c>
      <c r="P14" s="226" t="e">
        <v>#VALUE!</v>
      </c>
      <c r="Q14" s="227" t="e">
        <v>#VALUE!</v>
      </c>
      <c r="R14" s="228" t="e">
        <v>#VALUE!</v>
      </c>
      <c r="S14" s="220" t="e">
        <v>#VALUE!</v>
      </c>
      <c r="T14" s="220" t="e">
        <v>#VALUE!</v>
      </c>
      <c r="U14" s="221">
        <v>0.0</v>
      </c>
      <c r="V14" s="229" t="s">
        <v>5</v>
      </c>
      <c r="W14" s="24" t="s">
        <v>6329</v>
      </c>
      <c r="X14" s="222" t="s">
        <v>6329</v>
      </c>
      <c r="Y14" s="222" t="s">
        <v>6327</v>
      </c>
      <c r="Z14" s="224" t="s">
        <v>6325</v>
      </c>
      <c r="AA14" s="244"/>
    </row>
    <row r="15">
      <c r="A15" s="214" t="s">
        <v>2865</v>
      </c>
      <c r="B15" s="215">
        <v>14263.0</v>
      </c>
      <c r="C15" s="216" t="s">
        <v>6322</v>
      </c>
      <c r="D15" s="217">
        <v>23301.0</v>
      </c>
      <c r="E15" s="218">
        <v>44564.0</v>
      </c>
      <c r="F15" s="219">
        <v>0.40625</v>
      </c>
      <c r="G15" s="220" t="s">
        <v>6328</v>
      </c>
      <c r="H15" s="221" t="s">
        <v>14</v>
      </c>
      <c r="I15" s="222" t="s">
        <v>6222</v>
      </c>
      <c r="J15" s="223" t="s">
        <v>6095</v>
      </c>
      <c r="K15" s="224"/>
      <c r="L15" s="224" t="s">
        <v>6242</v>
      </c>
      <c r="M15" s="224"/>
      <c r="N15" s="225"/>
      <c r="O15" s="216" t="s">
        <v>6322</v>
      </c>
      <c r="P15" s="226" t="e">
        <v>#VALUE!</v>
      </c>
      <c r="Q15" s="227" t="e">
        <v>#VALUE!</v>
      </c>
      <c r="R15" s="228" t="e">
        <v>#VALUE!</v>
      </c>
      <c r="S15" s="220" t="e">
        <v>#VALUE!</v>
      </c>
      <c r="T15" s="220" t="e">
        <v>#VALUE!</v>
      </c>
      <c r="U15" s="221">
        <v>0.0</v>
      </c>
      <c r="V15" s="229" t="s">
        <v>5</v>
      </c>
      <c r="W15" s="24" t="s">
        <v>6329</v>
      </c>
      <c r="X15" s="222" t="s">
        <v>6329</v>
      </c>
      <c r="Y15" s="222" t="s">
        <v>6327</v>
      </c>
      <c r="Z15" s="224" t="s">
        <v>6325</v>
      </c>
      <c r="AA15" s="244"/>
    </row>
    <row r="16">
      <c r="A16" s="214" t="s">
        <v>246</v>
      </c>
      <c r="B16" s="215">
        <v>9651.0</v>
      </c>
      <c r="C16" s="216" t="s">
        <v>6322</v>
      </c>
      <c r="D16" s="217">
        <v>22812.0</v>
      </c>
      <c r="E16" s="218">
        <v>44564.0</v>
      </c>
      <c r="F16" s="219">
        <v>0.4270833333333333</v>
      </c>
      <c r="G16" s="220" t="s">
        <v>6323</v>
      </c>
      <c r="H16" s="221" t="s">
        <v>14</v>
      </c>
      <c r="I16" s="222" t="s">
        <v>6222</v>
      </c>
      <c r="J16" s="223" t="s">
        <v>6192</v>
      </c>
      <c r="K16" s="224"/>
      <c r="L16" s="224" t="s">
        <v>6242</v>
      </c>
      <c r="M16" s="224"/>
      <c r="N16" s="224"/>
      <c r="O16" s="216" t="s">
        <v>6322</v>
      </c>
      <c r="P16" s="226" t="s">
        <v>6242</v>
      </c>
      <c r="Q16" s="227" t="e">
        <v>#VALUE!</v>
      </c>
      <c r="R16" s="228" t="e">
        <v>#VALUE!</v>
      </c>
      <c r="S16" s="220" t="e">
        <v>#VALUE!</v>
      </c>
      <c r="T16" s="220" t="e">
        <v>#VALUE!</v>
      </c>
      <c r="U16" s="221">
        <v>1.0</v>
      </c>
      <c r="V16" s="229" t="s">
        <v>6216</v>
      </c>
      <c r="W16" s="24" t="s">
        <v>6324</v>
      </c>
      <c r="X16" s="222" t="s">
        <v>6324</v>
      </c>
      <c r="Y16" s="222" t="s">
        <v>6327</v>
      </c>
      <c r="Z16" s="224" t="s">
        <v>6325</v>
      </c>
      <c r="AA16" s="245"/>
    </row>
    <row r="17">
      <c r="A17" s="214" t="s">
        <v>2664</v>
      </c>
      <c r="B17" s="215">
        <v>14001.0</v>
      </c>
      <c r="C17" s="216" t="s">
        <v>6322</v>
      </c>
      <c r="D17" s="217">
        <v>25773.0</v>
      </c>
      <c r="E17" s="218">
        <v>44564.0</v>
      </c>
      <c r="F17" s="219">
        <v>0.3958333333333333</v>
      </c>
      <c r="G17" s="220" t="s">
        <v>6323</v>
      </c>
      <c r="H17" s="221" t="s">
        <v>14</v>
      </c>
      <c r="I17" s="222" t="s">
        <v>6222</v>
      </c>
      <c r="J17" s="223" t="s">
        <v>6142</v>
      </c>
      <c r="K17" s="224"/>
      <c r="L17" s="224" t="s">
        <v>6242</v>
      </c>
      <c r="M17" s="224"/>
      <c r="N17" s="224"/>
      <c r="O17" s="216" t="s">
        <v>6322</v>
      </c>
      <c r="P17" s="226" t="e">
        <v>#VALUE!</v>
      </c>
      <c r="Q17" s="227" t="s">
        <v>6242</v>
      </c>
      <c r="R17" s="228" t="e">
        <v>#VALUE!</v>
      </c>
      <c r="S17" s="220" t="e">
        <v>#VALUE!</v>
      </c>
      <c r="T17" s="220" t="e">
        <v>#VALUE!</v>
      </c>
      <c r="U17" s="221">
        <v>1.0</v>
      </c>
      <c r="V17" s="229" t="s">
        <v>6216</v>
      </c>
      <c r="W17" s="24" t="s">
        <v>6324</v>
      </c>
      <c r="X17" s="222" t="s">
        <v>6324</v>
      </c>
      <c r="Y17" s="222" t="s">
        <v>6327</v>
      </c>
      <c r="Z17" s="224" t="s">
        <v>6325</v>
      </c>
      <c r="AA17" s="244"/>
    </row>
    <row r="18">
      <c r="A18" s="214" t="s">
        <v>331</v>
      </c>
      <c r="B18" s="215">
        <v>9878.0</v>
      </c>
      <c r="C18" s="216" t="s">
        <v>6322</v>
      </c>
      <c r="D18" s="217">
        <v>26966.0</v>
      </c>
      <c r="E18" s="218">
        <v>44564.0</v>
      </c>
      <c r="F18" s="219">
        <v>0.4583333333333333</v>
      </c>
      <c r="G18" s="220" t="s">
        <v>6323</v>
      </c>
      <c r="H18" s="221" t="s">
        <v>14</v>
      </c>
      <c r="I18" s="222" t="s">
        <v>6222</v>
      </c>
      <c r="J18" s="223" t="s">
        <v>6126</v>
      </c>
      <c r="K18" s="224"/>
      <c r="L18" s="224" t="s">
        <v>6242</v>
      </c>
      <c r="M18" s="224"/>
      <c r="N18" s="225"/>
      <c r="O18" s="216" t="s">
        <v>6322</v>
      </c>
      <c r="P18" s="226" t="e">
        <v>#VALUE!</v>
      </c>
      <c r="Q18" s="227" t="e">
        <v>#VALUE!</v>
      </c>
      <c r="R18" s="228" t="e">
        <v>#VALUE!</v>
      </c>
      <c r="S18" s="220" t="e">
        <v>#VALUE!</v>
      </c>
      <c r="T18" s="220" t="e">
        <v>#VALUE!</v>
      </c>
      <c r="U18" s="221">
        <v>0.0</v>
      </c>
      <c r="V18" s="229" t="s">
        <v>5</v>
      </c>
      <c r="W18" s="24" t="s">
        <v>6329</v>
      </c>
      <c r="X18" s="222" t="s">
        <v>6329</v>
      </c>
      <c r="Y18" s="222" t="s">
        <v>6327</v>
      </c>
      <c r="Z18" s="224" t="s">
        <v>6325</v>
      </c>
      <c r="AA18" s="244"/>
    </row>
    <row r="19">
      <c r="A19" s="214" t="s">
        <v>5937</v>
      </c>
      <c r="B19" s="215">
        <v>17799.0</v>
      </c>
      <c r="C19" s="216" t="s">
        <v>6322</v>
      </c>
      <c r="D19" s="217">
        <v>24580.0</v>
      </c>
      <c r="E19" s="218">
        <v>44564.0</v>
      </c>
      <c r="F19" s="219">
        <v>0.46875</v>
      </c>
      <c r="G19" s="220" t="s">
        <v>6323</v>
      </c>
      <c r="H19" s="221" t="s">
        <v>12</v>
      </c>
      <c r="I19" s="222" t="s">
        <v>6212</v>
      </c>
      <c r="J19" s="223" t="s">
        <v>6082</v>
      </c>
      <c r="K19" s="224" t="s">
        <v>6242</v>
      </c>
      <c r="L19" s="224"/>
      <c r="M19" s="224"/>
      <c r="N19" s="224"/>
      <c r="O19" s="216" t="s">
        <v>6322</v>
      </c>
      <c r="P19" s="226" t="e">
        <v>#VALUE!</v>
      </c>
      <c r="Q19" s="227" t="e">
        <v>#VALUE!</v>
      </c>
      <c r="R19" s="228" t="e">
        <v>#VALUE!</v>
      </c>
      <c r="S19" s="220" t="e">
        <v>#VALUE!</v>
      </c>
      <c r="T19" s="220" t="e">
        <v>#VALUE!</v>
      </c>
      <c r="U19" s="221">
        <v>0.0</v>
      </c>
      <c r="V19" s="229" t="s">
        <v>6213</v>
      </c>
      <c r="W19" s="24" t="s">
        <v>6331</v>
      </c>
      <c r="X19" s="222" t="s">
        <v>6331</v>
      </c>
      <c r="Y19" s="222" t="s">
        <v>6327</v>
      </c>
      <c r="Z19" s="224" t="s">
        <v>6325</v>
      </c>
      <c r="AA19" s="244"/>
    </row>
    <row r="20">
      <c r="A20" s="214" t="s">
        <v>1084</v>
      </c>
      <c r="B20" s="215">
        <v>11736.0</v>
      </c>
      <c r="C20" s="216" t="s">
        <v>6322</v>
      </c>
      <c r="D20" s="217">
        <v>21851.0</v>
      </c>
      <c r="E20" s="218">
        <v>44564.0</v>
      </c>
      <c r="F20" s="219">
        <v>0.46875</v>
      </c>
      <c r="G20" s="220" t="s">
        <v>6323</v>
      </c>
      <c r="H20" s="221" t="s">
        <v>14</v>
      </c>
      <c r="I20" s="222" t="s">
        <v>6222</v>
      </c>
      <c r="J20" s="223" t="s">
        <v>6091</v>
      </c>
      <c r="K20" s="224"/>
      <c r="L20" s="224" t="s">
        <v>6242</v>
      </c>
      <c r="M20" s="224"/>
      <c r="N20" s="225"/>
      <c r="O20" s="216" t="s">
        <v>6322</v>
      </c>
      <c r="P20" s="226" t="e">
        <v>#VALUE!</v>
      </c>
      <c r="Q20" s="227" t="e">
        <v>#VALUE!</v>
      </c>
      <c r="R20" s="228" t="e">
        <v>#VALUE!</v>
      </c>
      <c r="S20" s="220" t="e">
        <v>#VALUE!</v>
      </c>
      <c r="T20" s="220" t="e">
        <v>#VALUE!</v>
      </c>
      <c r="U20" s="221">
        <v>0.0</v>
      </c>
      <c r="V20" s="229" t="s">
        <v>5</v>
      </c>
      <c r="W20" s="24" t="s">
        <v>6329</v>
      </c>
      <c r="X20" s="222" t="s">
        <v>6329</v>
      </c>
      <c r="Y20" s="222" t="s">
        <v>6327</v>
      </c>
      <c r="Z20" s="224" t="s">
        <v>6325</v>
      </c>
      <c r="AA20" s="244"/>
    </row>
    <row r="21">
      <c r="A21" s="214" t="s">
        <v>2793</v>
      </c>
      <c r="B21" s="215">
        <v>14167.0</v>
      </c>
      <c r="C21" s="216" t="s">
        <v>6322</v>
      </c>
      <c r="D21" s="217">
        <v>30502.0</v>
      </c>
      <c r="E21" s="218">
        <v>44564.0</v>
      </c>
      <c r="F21" s="219">
        <v>0.4791666666666667</v>
      </c>
      <c r="G21" s="220" t="s">
        <v>6328</v>
      </c>
      <c r="H21" s="221" t="s">
        <v>14</v>
      </c>
      <c r="I21" s="222" t="s">
        <v>6222</v>
      </c>
      <c r="J21" s="223" t="s">
        <v>6199</v>
      </c>
      <c r="K21" s="224"/>
      <c r="L21" s="224" t="s">
        <v>6242</v>
      </c>
      <c r="M21" s="224"/>
      <c r="N21" s="225"/>
      <c r="O21" s="216" t="s">
        <v>6322</v>
      </c>
      <c r="P21" s="226" t="e">
        <v>#VALUE!</v>
      </c>
      <c r="Q21" s="227" t="e">
        <v>#VALUE!</v>
      </c>
      <c r="R21" s="228" t="e">
        <v>#VALUE!</v>
      </c>
      <c r="S21" s="220" t="e">
        <v>#VALUE!</v>
      </c>
      <c r="T21" s="220" t="e">
        <v>#VALUE!</v>
      </c>
      <c r="U21" s="221">
        <v>0.0</v>
      </c>
      <c r="V21" s="229" t="e">
        <v>#N/A</v>
      </c>
      <c r="W21" s="24" t="e">
        <v>#N/A</v>
      </c>
      <c r="X21" s="222" t="s">
        <v>6329</v>
      </c>
      <c r="Y21" s="222" t="e">
        <v>#N/A</v>
      </c>
      <c r="Z21" s="224" t="s">
        <v>6325</v>
      </c>
      <c r="AA21" s="244"/>
    </row>
    <row r="22">
      <c r="A22" s="214" t="s">
        <v>312</v>
      </c>
      <c r="B22" s="215">
        <v>9838.0</v>
      </c>
      <c r="C22" s="216" t="s">
        <v>6322</v>
      </c>
      <c r="D22" s="217">
        <v>27927.0</v>
      </c>
      <c r="E22" s="218">
        <v>44564.0</v>
      </c>
      <c r="F22" s="219">
        <v>0.46875</v>
      </c>
      <c r="G22" s="220" t="s">
        <v>6323</v>
      </c>
      <c r="H22" s="221" t="s">
        <v>12</v>
      </c>
      <c r="I22" s="222" t="s">
        <v>6221</v>
      </c>
      <c r="J22" s="223" t="s">
        <v>6137</v>
      </c>
      <c r="K22" s="224"/>
      <c r="L22" s="224" t="s">
        <v>6242</v>
      </c>
      <c r="M22" s="224" t="s">
        <v>6242</v>
      </c>
      <c r="N22" s="225"/>
      <c r="O22" s="216" t="s">
        <v>6322</v>
      </c>
      <c r="P22" s="226" t="e">
        <v>#VALUE!</v>
      </c>
      <c r="Q22" s="227" t="e">
        <v>#VALUE!</v>
      </c>
      <c r="R22" s="228" t="e">
        <v>#VALUE!</v>
      </c>
      <c r="S22" s="220" t="e">
        <v>#VALUE!</v>
      </c>
      <c r="T22" s="220" t="e">
        <v>#VALUE!</v>
      </c>
      <c r="U22" s="221">
        <v>0.0</v>
      </c>
      <c r="V22" s="229" t="s">
        <v>6215</v>
      </c>
      <c r="W22" s="24" t="s">
        <v>6326</v>
      </c>
      <c r="X22" s="222" t="s">
        <v>6326</v>
      </c>
      <c r="Y22" s="222" t="s">
        <v>6327</v>
      </c>
      <c r="Z22" s="224" t="s">
        <v>6325</v>
      </c>
      <c r="AA22" s="244"/>
    </row>
    <row r="23">
      <c r="A23" s="214" t="s">
        <v>410</v>
      </c>
      <c r="B23" s="215">
        <v>10094.0</v>
      </c>
      <c r="C23" s="216" t="s">
        <v>6322</v>
      </c>
      <c r="D23" s="217">
        <v>24190.0</v>
      </c>
      <c r="E23" s="218">
        <v>44564.0</v>
      </c>
      <c r="F23" s="219">
        <v>0.4791666666666667</v>
      </c>
      <c r="G23" s="220" t="s">
        <v>6323</v>
      </c>
      <c r="H23" s="221" t="s">
        <v>14</v>
      </c>
      <c r="I23" s="222" t="s">
        <v>6219</v>
      </c>
      <c r="J23" s="223" t="s">
        <v>6095</v>
      </c>
      <c r="K23" s="225"/>
      <c r="L23" s="224" t="s">
        <v>6242</v>
      </c>
      <c r="M23" s="224"/>
      <c r="N23" s="225"/>
      <c r="O23" s="216" t="s">
        <v>6322</v>
      </c>
      <c r="P23" s="226" t="e">
        <v>#VALUE!</v>
      </c>
      <c r="Q23" s="227" t="e">
        <v>#VALUE!</v>
      </c>
      <c r="R23" s="228" t="e">
        <v>#VALUE!</v>
      </c>
      <c r="S23" s="220" t="e">
        <v>#VALUE!</v>
      </c>
      <c r="T23" s="220" t="e">
        <v>#VALUE!</v>
      </c>
      <c r="U23" s="221">
        <v>0.0</v>
      </c>
      <c r="V23" s="229" t="s">
        <v>5</v>
      </c>
      <c r="W23" s="24" t="s">
        <v>6329</v>
      </c>
      <c r="X23" s="222" t="s">
        <v>6329</v>
      </c>
      <c r="Y23" s="222" t="s">
        <v>6327</v>
      </c>
      <c r="Z23" s="224" t="s">
        <v>6325</v>
      </c>
      <c r="AA23" s="244"/>
    </row>
    <row r="24">
      <c r="A24" s="214" t="s">
        <v>4625</v>
      </c>
      <c r="B24" s="215">
        <v>16350.0</v>
      </c>
      <c r="C24" s="216" t="s">
        <v>6322</v>
      </c>
      <c r="D24" s="217">
        <v>22243.0</v>
      </c>
      <c r="E24" s="218">
        <v>44564.0</v>
      </c>
      <c r="F24" s="219">
        <v>0.4791666666666667</v>
      </c>
      <c r="G24" s="220" t="s">
        <v>6328</v>
      </c>
      <c r="H24" s="221" t="s">
        <v>14</v>
      </c>
      <c r="I24" s="222" t="s">
        <v>6222</v>
      </c>
      <c r="J24" s="223" t="s">
        <v>6117</v>
      </c>
      <c r="K24" s="224"/>
      <c r="L24" s="224" t="s">
        <v>6242</v>
      </c>
      <c r="M24" s="224"/>
      <c r="N24" s="225"/>
      <c r="O24" s="216" t="s">
        <v>6322</v>
      </c>
      <c r="P24" s="226" t="e">
        <v>#VALUE!</v>
      </c>
      <c r="Q24" s="227" t="e">
        <v>#VALUE!</v>
      </c>
      <c r="R24" s="228" t="e">
        <v>#VALUE!</v>
      </c>
      <c r="S24" s="220" t="e">
        <v>#VALUE!</v>
      </c>
      <c r="T24" s="220" t="e">
        <v>#VALUE!</v>
      </c>
      <c r="U24" s="221">
        <v>0.0</v>
      </c>
      <c r="V24" s="229" t="s">
        <v>5</v>
      </c>
      <c r="W24" s="24" t="s">
        <v>6329</v>
      </c>
      <c r="X24" s="222" t="s">
        <v>6329</v>
      </c>
      <c r="Y24" s="222" t="s">
        <v>6327</v>
      </c>
      <c r="Z24" s="224" t="s">
        <v>6325</v>
      </c>
      <c r="AA24" s="244"/>
    </row>
    <row r="25">
      <c r="A25" s="214" t="s">
        <v>5391</v>
      </c>
      <c r="B25" s="215">
        <v>17334.0</v>
      </c>
      <c r="C25" s="216" t="s">
        <v>6322</v>
      </c>
      <c r="D25" s="217">
        <v>25243.0</v>
      </c>
      <c r="E25" s="218">
        <v>44564.0</v>
      </c>
      <c r="F25" s="219">
        <v>0.4895833333333333</v>
      </c>
      <c r="G25" s="220" t="s">
        <v>6328</v>
      </c>
      <c r="H25" s="221" t="s">
        <v>14</v>
      </c>
      <c r="I25" s="222" t="s">
        <v>6219</v>
      </c>
      <c r="J25" s="223" t="s">
        <v>6192</v>
      </c>
      <c r="K25" s="224"/>
      <c r="L25" s="224" t="s">
        <v>6242</v>
      </c>
      <c r="M25" s="224" t="s">
        <v>6242</v>
      </c>
      <c r="N25" s="224"/>
      <c r="O25" s="216" t="s">
        <v>6322</v>
      </c>
      <c r="P25" s="226" t="s">
        <v>6242</v>
      </c>
      <c r="Q25" s="227" t="e">
        <v>#VALUE!</v>
      </c>
      <c r="R25" s="228" t="e">
        <v>#VALUE!</v>
      </c>
      <c r="S25" s="220" t="e">
        <v>#VALUE!</v>
      </c>
      <c r="T25" s="220" t="e">
        <v>#VALUE!</v>
      </c>
      <c r="U25" s="221">
        <v>1.0</v>
      </c>
      <c r="V25" s="229" t="s">
        <v>6220</v>
      </c>
      <c r="W25" s="24" t="s">
        <v>6330</v>
      </c>
      <c r="X25" s="222" t="s">
        <v>6330</v>
      </c>
      <c r="Y25" s="222" t="s">
        <v>6327</v>
      </c>
      <c r="Z25" s="224" t="s">
        <v>6325</v>
      </c>
      <c r="AA25" s="245"/>
    </row>
    <row r="26">
      <c r="A26" s="214" t="s">
        <v>591</v>
      </c>
      <c r="B26" s="215">
        <v>10573.0</v>
      </c>
      <c r="C26" s="216" t="s">
        <v>6322</v>
      </c>
      <c r="D26" s="217">
        <v>23562.0</v>
      </c>
      <c r="E26" s="218">
        <v>44564.0</v>
      </c>
      <c r="F26" s="219">
        <v>0.5</v>
      </c>
      <c r="G26" s="220" t="s">
        <v>6323</v>
      </c>
      <c r="H26" s="221" t="s">
        <v>14</v>
      </c>
      <c r="I26" s="222" t="s">
        <v>6222</v>
      </c>
      <c r="J26" s="223" t="s">
        <v>6199</v>
      </c>
      <c r="K26" s="224"/>
      <c r="L26" s="224" t="s">
        <v>6242</v>
      </c>
      <c r="M26" s="224" t="s">
        <v>6242</v>
      </c>
      <c r="N26" s="225"/>
      <c r="O26" s="216" t="s">
        <v>6322</v>
      </c>
      <c r="P26" s="226" t="e">
        <v>#VALUE!</v>
      </c>
      <c r="Q26" s="227" t="e">
        <v>#VALUE!</v>
      </c>
      <c r="R26" s="228" t="e">
        <v>#VALUE!</v>
      </c>
      <c r="S26" s="220" t="e">
        <v>#VALUE!</v>
      </c>
      <c r="T26" s="220" t="e">
        <v>#VALUE!</v>
      </c>
      <c r="U26" s="221">
        <v>0.0</v>
      </c>
      <c r="V26" s="229" t="s">
        <v>6215</v>
      </c>
      <c r="W26" s="24" t="s">
        <v>6326</v>
      </c>
      <c r="X26" s="222" t="s">
        <v>6326</v>
      </c>
      <c r="Y26" s="222" t="s">
        <v>6327</v>
      </c>
      <c r="Z26" s="224" t="s">
        <v>6325</v>
      </c>
      <c r="AA26" s="244"/>
    </row>
    <row r="27">
      <c r="A27" s="214" t="s">
        <v>619</v>
      </c>
      <c r="B27" s="215">
        <v>10634.0</v>
      </c>
      <c r="C27" s="216" t="s">
        <v>6322</v>
      </c>
      <c r="D27" s="217">
        <v>14961.0</v>
      </c>
      <c r="E27" s="218">
        <v>44564.0</v>
      </c>
      <c r="F27" s="219">
        <v>0.5</v>
      </c>
      <c r="G27" s="220" t="s">
        <v>6323</v>
      </c>
      <c r="H27" s="221" t="s">
        <v>14</v>
      </c>
      <c r="I27" s="222" t="s">
        <v>6222</v>
      </c>
      <c r="J27" s="223" t="s">
        <v>6137</v>
      </c>
      <c r="K27" s="224"/>
      <c r="L27" s="224" t="s">
        <v>6242</v>
      </c>
      <c r="M27" s="224"/>
      <c r="N27" s="225"/>
      <c r="O27" s="216" t="s">
        <v>6322</v>
      </c>
      <c r="P27" s="226" t="e">
        <v>#VALUE!</v>
      </c>
      <c r="Q27" s="227" t="e">
        <v>#VALUE!</v>
      </c>
      <c r="R27" s="228" t="e">
        <v>#VALUE!</v>
      </c>
      <c r="S27" s="220" t="e">
        <v>#VALUE!</v>
      </c>
      <c r="T27" s="220" t="e">
        <v>#VALUE!</v>
      </c>
      <c r="U27" s="221">
        <v>0.0</v>
      </c>
      <c r="V27" s="229" t="s">
        <v>5</v>
      </c>
      <c r="W27" s="24" t="s">
        <v>6329</v>
      </c>
      <c r="X27" s="222" t="s">
        <v>6329</v>
      </c>
      <c r="Y27" s="222" t="s">
        <v>6327</v>
      </c>
      <c r="Z27" s="224" t="s">
        <v>6325</v>
      </c>
      <c r="AA27" s="244"/>
    </row>
    <row r="28">
      <c r="A28" s="214" t="s">
        <v>1638</v>
      </c>
      <c r="B28" s="215">
        <v>12697.0</v>
      </c>
      <c r="C28" s="216" t="s">
        <v>6322</v>
      </c>
      <c r="D28" s="217">
        <v>30536.0</v>
      </c>
      <c r="E28" s="218">
        <v>44564.0</v>
      </c>
      <c r="F28" s="219">
        <v>0.5104166666666666</v>
      </c>
      <c r="G28" s="220" t="s">
        <v>6328</v>
      </c>
      <c r="H28" s="221" t="s">
        <v>14</v>
      </c>
      <c r="I28" s="222" t="s">
        <v>6219</v>
      </c>
      <c r="J28" s="223" t="s">
        <v>6084</v>
      </c>
      <c r="K28" s="224"/>
      <c r="L28" s="224" t="s">
        <v>6242</v>
      </c>
      <c r="M28" s="224" t="s">
        <v>6242</v>
      </c>
      <c r="N28" s="224"/>
      <c r="O28" s="216" t="s">
        <v>6322</v>
      </c>
      <c r="P28" s="226" t="e">
        <v>#VALUE!</v>
      </c>
      <c r="Q28" s="227" t="e">
        <v>#VALUE!</v>
      </c>
      <c r="R28" s="228" t="e">
        <v>#VALUE!</v>
      </c>
      <c r="S28" s="220" t="e">
        <v>#VALUE!</v>
      </c>
      <c r="T28" s="220" t="e">
        <v>#VALUE!</v>
      </c>
      <c r="U28" s="221">
        <v>0.0</v>
      </c>
      <c r="V28" s="229" t="s">
        <v>6215</v>
      </c>
      <c r="W28" s="24" t="s">
        <v>6326</v>
      </c>
      <c r="X28" s="222" t="s">
        <v>6326</v>
      </c>
      <c r="Y28" s="222" t="s">
        <v>6327</v>
      </c>
      <c r="Z28" s="224" t="s">
        <v>6325</v>
      </c>
      <c r="AA28" s="245"/>
    </row>
    <row r="29">
      <c r="A29" s="214" t="s">
        <v>2976</v>
      </c>
      <c r="B29" s="215">
        <v>14392.0</v>
      </c>
      <c r="C29" s="230" t="s">
        <v>6322</v>
      </c>
      <c r="D29" s="217">
        <v>21549.0</v>
      </c>
      <c r="E29" s="218">
        <v>44564.0</v>
      </c>
      <c r="F29" s="219">
        <v>0.53125</v>
      </c>
      <c r="G29" s="231" t="s">
        <v>6323</v>
      </c>
      <c r="H29" s="221" t="s">
        <v>14</v>
      </c>
      <c r="I29" s="222" t="s">
        <v>6219</v>
      </c>
      <c r="J29" s="223" t="s">
        <v>6083</v>
      </c>
      <c r="K29" s="224"/>
      <c r="L29" s="224" t="s">
        <v>6242</v>
      </c>
      <c r="M29" s="224" t="s">
        <v>6242</v>
      </c>
      <c r="N29" s="224"/>
      <c r="O29" s="216" t="s">
        <v>6322</v>
      </c>
      <c r="P29" s="226" t="e">
        <v>#VALUE!</v>
      </c>
      <c r="Q29" s="227" t="e">
        <v>#VALUE!</v>
      </c>
      <c r="R29" s="228" t="e">
        <v>#VALUE!</v>
      </c>
      <c r="S29" s="220" t="e">
        <v>#VALUE!</v>
      </c>
      <c r="T29" s="220" t="e">
        <v>#VALUE!</v>
      </c>
      <c r="U29" s="221">
        <v>0.0</v>
      </c>
      <c r="V29" s="229" t="s">
        <v>6215</v>
      </c>
      <c r="W29" s="24" t="s">
        <v>6326</v>
      </c>
      <c r="X29" s="222" t="s">
        <v>6326</v>
      </c>
      <c r="Y29" s="222" t="s">
        <v>6327</v>
      </c>
      <c r="Z29" s="224" t="s">
        <v>6325</v>
      </c>
      <c r="AA29" s="245" t="s">
        <v>6359</v>
      </c>
    </row>
    <row r="30">
      <c r="A30" s="214" t="s">
        <v>1285</v>
      </c>
      <c r="B30" s="215">
        <v>12124.0</v>
      </c>
      <c r="C30" s="230" t="s">
        <v>6322</v>
      </c>
      <c r="D30" s="217">
        <v>13850.0</v>
      </c>
      <c r="E30" s="218">
        <v>44564.0</v>
      </c>
      <c r="F30" s="219">
        <v>0.5729166666666666</v>
      </c>
      <c r="G30" s="231" t="s">
        <v>6323</v>
      </c>
      <c r="H30" s="221" t="s">
        <v>14</v>
      </c>
      <c r="I30" s="222" t="s">
        <v>6222</v>
      </c>
      <c r="J30" s="223" t="s">
        <v>6094</v>
      </c>
      <c r="K30" s="225"/>
      <c r="L30" s="224" t="s">
        <v>6242</v>
      </c>
      <c r="M30" s="224" t="s">
        <v>6242</v>
      </c>
      <c r="N30" s="225"/>
      <c r="O30" s="216" t="s">
        <v>6322</v>
      </c>
      <c r="P30" s="226" t="e">
        <v>#VALUE!</v>
      </c>
      <c r="Q30" s="227" t="e">
        <v>#VALUE!</v>
      </c>
      <c r="R30" s="228" t="e">
        <v>#VALUE!</v>
      </c>
      <c r="S30" s="220" t="e">
        <v>#VALUE!</v>
      </c>
      <c r="T30" s="220" t="e">
        <v>#VALUE!</v>
      </c>
      <c r="U30" s="221">
        <v>0.0</v>
      </c>
      <c r="V30" s="229" t="s">
        <v>6215</v>
      </c>
      <c r="W30" s="24" t="s">
        <v>6326</v>
      </c>
      <c r="X30" s="222" t="s">
        <v>6326</v>
      </c>
      <c r="Y30" s="222" t="s">
        <v>6327</v>
      </c>
      <c r="Z30" s="224" t="s">
        <v>6325</v>
      </c>
      <c r="AA30" s="244"/>
    </row>
    <row r="31">
      <c r="A31" s="214" t="s">
        <v>3728</v>
      </c>
      <c r="B31" s="215">
        <v>15307.0</v>
      </c>
      <c r="C31" s="230" t="s">
        <v>6322</v>
      </c>
      <c r="D31" s="217">
        <v>21690.0</v>
      </c>
      <c r="E31" s="218">
        <v>44564.0</v>
      </c>
      <c r="F31" s="219">
        <v>0.5729166666666666</v>
      </c>
      <c r="G31" s="231" t="s">
        <v>6323</v>
      </c>
      <c r="H31" s="221" t="s">
        <v>14</v>
      </c>
      <c r="I31" s="222" t="s">
        <v>6219</v>
      </c>
      <c r="J31" s="223" t="s">
        <v>6196</v>
      </c>
      <c r="K31" s="224"/>
      <c r="L31" s="224" t="s">
        <v>6242</v>
      </c>
      <c r="M31" s="224"/>
      <c r="N31" s="225"/>
      <c r="O31" s="216" t="s">
        <v>6322</v>
      </c>
      <c r="P31" s="226" t="s">
        <v>6242</v>
      </c>
      <c r="Q31" s="227" t="e">
        <v>#VALUE!</v>
      </c>
      <c r="R31" s="228" t="e">
        <v>#VALUE!</v>
      </c>
      <c r="S31" s="220" t="e">
        <v>#VALUE!</v>
      </c>
      <c r="T31" s="220" t="e">
        <v>#VALUE!</v>
      </c>
      <c r="U31" s="221">
        <v>1.0</v>
      </c>
      <c r="V31" s="229" t="s">
        <v>6216</v>
      </c>
      <c r="W31" s="24" t="s">
        <v>6324</v>
      </c>
      <c r="X31" s="222" t="s">
        <v>6324</v>
      </c>
      <c r="Y31" s="222" t="s">
        <v>6327</v>
      </c>
      <c r="Z31" s="224" t="s">
        <v>6325</v>
      </c>
      <c r="AA31" s="244"/>
    </row>
    <row r="32">
      <c r="A32" s="214" t="s">
        <v>524</v>
      </c>
      <c r="B32" s="215">
        <v>10380.0</v>
      </c>
      <c r="C32" s="230" t="s">
        <v>6322</v>
      </c>
      <c r="D32" s="217">
        <v>17576.0</v>
      </c>
      <c r="E32" s="218">
        <v>44564.0</v>
      </c>
      <c r="F32" s="219">
        <v>0.5833333333333334</v>
      </c>
      <c r="G32" s="231" t="s">
        <v>6328</v>
      </c>
      <c r="H32" s="221" t="s">
        <v>14</v>
      </c>
      <c r="I32" s="222" t="s">
        <v>6222</v>
      </c>
      <c r="J32" s="223" t="s">
        <v>6199</v>
      </c>
      <c r="K32" s="225"/>
      <c r="L32" s="224" t="s">
        <v>6242</v>
      </c>
      <c r="M32" s="224"/>
      <c r="N32" s="225"/>
      <c r="O32" s="216" t="s">
        <v>6322</v>
      </c>
      <c r="P32" s="226" t="e">
        <v>#VALUE!</v>
      </c>
      <c r="Q32" s="227" t="e">
        <v>#VALUE!</v>
      </c>
      <c r="R32" s="228" t="e">
        <v>#VALUE!</v>
      </c>
      <c r="S32" s="220" t="e">
        <v>#VALUE!</v>
      </c>
      <c r="T32" s="220" t="e">
        <v>#VALUE!</v>
      </c>
      <c r="U32" s="221">
        <v>0.0</v>
      </c>
      <c r="V32" s="229" t="s">
        <v>5</v>
      </c>
      <c r="W32" s="24" t="s">
        <v>6329</v>
      </c>
      <c r="X32" s="222" t="s">
        <v>6329</v>
      </c>
      <c r="Y32" s="222" t="s">
        <v>6327</v>
      </c>
      <c r="Z32" s="224" t="s">
        <v>6325</v>
      </c>
      <c r="AA32" s="244"/>
    </row>
    <row r="33">
      <c r="A33" s="214" t="s">
        <v>2078</v>
      </c>
      <c r="B33" s="215">
        <v>13234.0</v>
      </c>
      <c r="C33" s="230" t="s">
        <v>6322</v>
      </c>
      <c r="D33" s="217">
        <v>17399.0</v>
      </c>
      <c r="E33" s="218">
        <v>44564.0</v>
      </c>
      <c r="F33" s="219">
        <v>0.5833333333333334</v>
      </c>
      <c r="G33" s="231" t="s">
        <v>6328</v>
      </c>
      <c r="H33" s="221" t="s">
        <v>14</v>
      </c>
      <c r="I33" s="222" t="s">
        <v>6219</v>
      </c>
      <c r="J33" s="223" t="s">
        <v>6187</v>
      </c>
      <c r="K33" s="225"/>
      <c r="L33" s="224" t="s">
        <v>6242</v>
      </c>
      <c r="M33" s="224" t="s">
        <v>6242</v>
      </c>
      <c r="N33" s="224"/>
      <c r="O33" s="216" t="s">
        <v>6322</v>
      </c>
      <c r="P33" s="226" t="e">
        <v>#VALUE!</v>
      </c>
      <c r="Q33" s="227" t="e">
        <v>#VALUE!</v>
      </c>
      <c r="R33" s="228" t="e">
        <v>#VALUE!</v>
      </c>
      <c r="S33" s="220" t="e">
        <v>#VALUE!</v>
      </c>
      <c r="T33" s="220" t="e">
        <v>#VALUE!</v>
      </c>
      <c r="U33" s="221">
        <v>0.0</v>
      </c>
      <c r="V33" s="229" t="s">
        <v>6215</v>
      </c>
      <c r="W33" s="24" t="s">
        <v>6326</v>
      </c>
      <c r="X33" s="222" t="s">
        <v>6326</v>
      </c>
      <c r="Y33" s="222" t="s">
        <v>6327</v>
      </c>
      <c r="Z33" s="224" t="s">
        <v>6325</v>
      </c>
      <c r="AA33" s="244"/>
    </row>
    <row r="34">
      <c r="A34" s="214" t="s">
        <v>2106</v>
      </c>
      <c r="B34" s="215">
        <v>13273.0</v>
      </c>
      <c r="C34" s="230" t="s">
        <v>6322</v>
      </c>
      <c r="D34" s="217">
        <v>30146.0</v>
      </c>
      <c r="E34" s="218">
        <v>44564.0</v>
      </c>
      <c r="F34" s="219">
        <v>0.5833333333333334</v>
      </c>
      <c r="G34" s="231" t="s">
        <v>6328</v>
      </c>
      <c r="H34" s="221" t="s">
        <v>14</v>
      </c>
      <c r="I34" s="222" t="s">
        <v>6219</v>
      </c>
      <c r="J34" s="223" t="s">
        <v>6154</v>
      </c>
      <c r="K34" s="224"/>
      <c r="L34" s="224" t="s">
        <v>6242</v>
      </c>
      <c r="M34" s="224" t="s">
        <v>6242</v>
      </c>
      <c r="N34" s="224"/>
      <c r="O34" s="216" t="s">
        <v>6322</v>
      </c>
      <c r="P34" s="226" t="e">
        <v>#VALUE!</v>
      </c>
      <c r="Q34" s="227" t="e">
        <v>#VALUE!</v>
      </c>
      <c r="R34" s="228" t="e">
        <v>#VALUE!</v>
      </c>
      <c r="S34" s="220" t="e">
        <v>#VALUE!</v>
      </c>
      <c r="T34" s="220" t="e">
        <v>#VALUE!</v>
      </c>
      <c r="U34" s="221">
        <v>0.0</v>
      </c>
      <c r="V34" s="229" t="s">
        <v>6215</v>
      </c>
      <c r="W34" s="24" t="s">
        <v>6326</v>
      </c>
      <c r="X34" s="222" t="s">
        <v>6326</v>
      </c>
      <c r="Y34" s="222" t="s">
        <v>6327</v>
      </c>
      <c r="Z34" s="224" t="s">
        <v>6325</v>
      </c>
      <c r="AA34" s="244"/>
    </row>
    <row r="35">
      <c r="A35" s="214" t="s">
        <v>455</v>
      </c>
      <c r="B35" s="215">
        <v>10204.0</v>
      </c>
      <c r="C35" s="230" t="s">
        <v>6322</v>
      </c>
      <c r="D35" s="217">
        <v>30612.0</v>
      </c>
      <c r="E35" s="218">
        <v>44564.0</v>
      </c>
      <c r="F35" s="219">
        <v>0.5833333333333334</v>
      </c>
      <c r="G35" s="231" t="s">
        <v>6328</v>
      </c>
      <c r="H35" s="221" t="s">
        <v>14</v>
      </c>
      <c r="I35" s="222" t="s">
        <v>6222</v>
      </c>
      <c r="J35" s="223" t="s">
        <v>6091</v>
      </c>
      <c r="K35" s="225"/>
      <c r="L35" s="224" t="s">
        <v>6242</v>
      </c>
      <c r="M35" s="224"/>
      <c r="N35" s="225"/>
      <c r="O35" s="216" t="s">
        <v>6322</v>
      </c>
      <c r="P35" s="226" t="e">
        <v>#VALUE!</v>
      </c>
      <c r="Q35" s="227" t="e">
        <v>#VALUE!</v>
      </c>
      <c r="R35" s="228" t="e">
        <v>#VALUE!</v>
      </c>
      <c r="S35" s="220" t="e">
        <v>#VALUE!</v>
      </c>
      <c r="T35" s="220" t="e">
        <v>#VALUE!</v>
      </c>
      <c r="U35" s="221">
        <v>0.0</v>
      </c>
      <c r="V35" s="229" t="s">
        <v>5</v>
      </c>
      <c r="W35" s="24" t="s">
        <v>6329</v>
      </c>
      <c r="X35" s="222" t="s">
        <v>6329</v>
      </c>
      <c r="Y35" s="222" t="s">
        <v>6327</v>
      </c>
      <c r="Z35" s="224" t="s">
        <v>6325</v>
      </c>
      <c r="AA35" s="244"/>
    </row>
    <row r="36">
      <c r="A36" s="214" t="s">
        <v>5771</v>
      </c>
      <c r="B36" s="215">
        <v>17730.0</v>
      </c>
      <c r="C36" s="230" t="s">
        <v>6322</v>
      </c>
      <c r="D36" s="217">
        <v>20478.0</v>
      </c>
      <c r="E36" s="218">
        <v>44564.0</v>
      </c>
      <c r="F36" s="219">
        <v>0.6041666666666666</v>
      </c>
      <c r="G36" s="231" t="s">
        <v>6323</v>
      </c>
      <c r="H36" s="221" t="s">
        <v>13</v>
      </c>
      <c r="I36" s="222" t="s">
        <v>6212</v>
      </c>
      <c r="J36" s="223" t="s">
        <v>6161</v>
      </c>
      <c r="K36" s="224" t="s">
        <v>6242</v>
      </c>
      <c r="L36" s="224"/>
      <c r="M36" s="224"/>
      <c r="N36" s="225"/>
      <c r="O36" s="216" t="s">
        <v>6322</v>
      </c>
      <c r="P36" s="226" t="e">
        <v>#VALUE!</v>
      </c>
      <c r="Q36" s="227" t="e">
        <v>#VALUE!</v>
      </c>
      <c r="R36" s="228" t="e">
        <v>#VALUE!</v>
      </c>
      <c r="S36" s="220" t="e">
        <v>#VALUE!</v>
      </c>
      <c r="T36" s="220" t="e">
        <v>#VALUE!</v>
      </c>
      <c r="U36" s="221">
        <v>0.0</v>
      </c>
      <c r="V36" s="229" t="s">
        <v>6213</v>
      </c>
      <c r="W36" s="24" t="s">
        <v>6331</v>
      </c>
      <c r="X36" s="222" t="s">
        <v>6331</v>
      </c>
      <c r="Y36" s="222" t="s">
        <v>6327</v>
      </c>
      <c r="Z36" s="224" t="s">
        <v>6325</v>
      </c>
      <c r="AA36" s="244"/>
    </row>
    <row r="37">
      <c r="A37" s="214" t="s">
        <v>5746</v>
      </c>
      <c r="B37" s="215">
        <v>17575.0</v>
      </c>
      <c r="C37" s="230" t="s">
        <v>6322</v>
      </c>
      <c r="D37" s="217">
        <v>30266.0</v>
      </c>
      <c r="E37" s="218">
        <v>44564.0</v>
      </c>
      <c r="F37" s="219">
        <v>0.6041666666666666</v>
      </c>
      <c r="G37" s="231" t="s">
        <v>6323</v>
      </c>
      <c r="H37" s="221" t="s">
        <v>14</v>
      </c>
      <c r="I37" s="222" t="s">
        <v>6222</v>
      </c>
      <c r="J37" s="223" t="s">
        <v>6154</v>
      </c>
      <c r="K37" s="225"/>
      <c r="L37" s="224" t="s">
        <v>6242</v>
      </c>
      <c r="M37" s="224" t="s">
        <v>6242</v>
      </c>
      <c r="N37" s="225"/>
      <c r="O37" s="216" t="s">
        <v>6322</v>
      </c>
      <c r="P37" s="226" t="e">
        <v>#VALUE!</v>
      </c>
      <c r="Q37" s="227" t="e">
        <v>#VALUE!</v>
      </c>
      <c r="R37" s="228" t="e">
        <v>#VALUE!</v>
      </c>
      <c r="S37" s="220" t="e">
        <v>#VALUE!</v>
      </c>
      <c r="T37" s="220" t="e">
        <v>#VALUE!</v>
      </c>
      <c r="U37" s="221">
        <v>0.0</v>
      </c>
      <c r="V37" s="229" t="s">
        <v>6215</v>
      </c>
      <c r="W37" s="24" t="s">
        <v>6326</v>
      </c>
      <c r="X37" s="222" t="s">
        <v>6326</v>
      </c>
      <c r="Y37" s="222" t="s">
        <v>6327</v>
      </c>
      <c r="Z37" s="224" t="s">
        <v>6325</v>
      </c>
      <c r="AA37" s="244"/>
    </row>
    <row r="38">
      <c r="A38" s="214" t="s">
        <v>5929</v>
      </c>
      <c r="B38" s="215">
        <v>17744.0</v>
      </c>
      <c r="C38" s="230" t="s">
        <v>6322</v>
      </c>
      <c r="D38" s="217">
        <v>25802.0</v>
      </c>
      <c r="E38" s="218">
        <v>44564.0</v>
      </c>
      <c r="F38" s="219">
        <v>0.3958333333333333</v>
      </c>
      <c r="G38" s="231" t="s">
        <v>6328</v>
      </c>
      <c r="H38" s="221" t="s">
        <v>13</v>
      </c>
      <c r="I38" s="222" t="s">
        <v>6212</v>
      </c>
      <c r="J38" s="223" t="s">
        <v>6142</v>
      </c>
      <c r="K38" s="224" t="s">
        <v>6242</v>
      </c>
      <c r="L38" s="224"/>
      <c r="M38" s="224"/>
      <c r="N38" s="225"/>
      <c r="O38" s="216" t="s">
        <v>6322</v>
      </c>
      <c r="P38" s="226" t="e">
        <v>#VALUE!</v>
      </c>
      <c r="Q38" s="227" t="s">
        <v>6242</v>
      </c>
      <c r="R38" s="228" t="e">
        <v>#VALUE!</v>
      </c>
      <c r="S38" s="220" t="e">
        <v>#VALUE!</v>
      </c>
      <c r="T38" s="220" t="e">
        <v>#VALUE!</v>
      </c>
      <c r="U38" s="221">
        <v>1.0</v>
      </c>
      <c r="V38" s="229" t="s">
        <v>6214</v>
      </c>
      <c r="W38" s="24" t="s">
        <v>6332</v>
      </c>
      <c r="X38" s="222" t="s">
        <v>6332</v>
      </c>
      <c r="Y38" s="222" t="s">
        <v>6327</v>
      </c>
      <c r="Z38" s="224" t="s">
        <v>6325</v>
      </c>
      <c r="AA38" s="244"/>
    </row>
    <row r="39">
      <c r="A39" s="214" t="s">
        <v>73</v>
      </c>
      <c r="B39" s="215">
        <v>9199.0</v>
      </c>
      <c r="C39" s="216" t="s">
        <v>6322</v>
      </c>
      <c r="D39" s="217">
        <v>17981.0</v>
      </c>
      <c r="E39" s="218">
        <v>44564.0</v>
      </c>
      <c r="F39" s="219">
        <v>0.40625</v>
      </c>
      <c r="G39" s="220" t="s">
        <v>6323</v>
      </c>
      <c r="H39" s="221" t="s">
        <v>13</v>
      </c>
      <c r="I39" s="222" t="s">
        <v>6221</v>
      </c>
      <c r="J39" s="223" t="s">
        <v>6137</v>
      </c>
      <c r="K39" s="225"/>
      <c r="L39" s="224" t="s">
        <v>6242</v>
      </c>
      <c r="M39" s="224"/>
      <c r="N39" s="225"/>
      <c r="O39" s="216" t="s">
        <v>6322</v>
      </c>
      <c r="P39" s="226" t="e">
        <v>#VALUE!</v>
      </c>
      <c r="Q39" s="227" t="e">
        <v>#VALUE!</v>
      </c>
      <c r="R39" s="228" t="e">
        <v>#VALUE!</v>
      </c>
      <c r="S39" s="220" t="e">
        <v>#VALUE!</v>
      </c>
      <c r="T39" s="220" t="e">
        <v>#VALUE!</v>
      </c>
      <c r="U39" s="221">
        <v>0.0</v>
      </c>
      <c r="V39" s="229" t="s">
        <v>5</v>
      </c>
      <c r="W39" s="24" t="s">
        <v>6329</v>
      </c>
      <c r="X39" s="222" t="s">
        <v>6329</v>
      </c>
      <c r="Y39" s="222" t="s">
        <v>6327</v>
      </c>
      <c r="Z39" s="224" t="s">
        <v>6325</v>
      </c>
      <c r="AA39" s="245" t="s">
        <v>6358</v>
      </c>
    </row>
    <row r="40">
      <c r="A40" s="214" t="s">
        <v>2565</v>
      </c>
      <c r="B40" s="215">
        <v>13863.0</v>
      </c>
      <c r="C40" s="216" t="s">
        <v>6322</v>
      </c>
      <c r="D40" s="217">
        <v>29842.0</v>
      </c>
      <c r="E40" s="218">
        <v>44564.0</v>
      </c>
      <c r="F40" s="219">
        <v>0.4166666666666667</v>
      </c>
      <c r="G40" s="220" t="s">
        <v>6328</v>
      </c>
      <c r="H40" s="221" t="s">
        <v>13</v>
      </c>
      <c r="I40" s="222" t="s">
        <v>6212</v>
      </c>
      <c r="J40" s="223" t="s">
        <v>6174</v>
      </c>
      <c r="K40" s="225"/>
      <c r="L40" s="224" t="s">
        <v>6242</v>
      </c>
      <c r="M40" s="224" t="s">
        <v>6242</v>
      </c>
      <c r="N40" s="225"/>
      <c r="O40" s="216" t="s">
        <v>6322</v>
      </c>
      <c r="P40" s="226" t="e">
        <v>#VALUE!</v>
      </c>
      <c r="Q40" s="227" t="e">
        <v>#VALUE!</v>
      </c>
      <c r="R40" s="228" t="e">
        <v>#VALUE!</v>
      </c>
      <c r="S40" s="220" t="e">
        <v>#VALUE!</v>
      </c>
      <c r="T40" s="220" t="e">
        <v>#VALUE!</v>
      </c>
      <c r="U40" s="221">
        <v>0.0</v>
      </c>
      <c r="V40" s="229" t="s">
        <v>6215</v>
      </c>
      <c r="W40" s="24" t="s">
        <v>6326</v>
      </c>
      <c r="X40" s="222" t="s">
        <v>6326</v>
      </c>
      <c r="Y40" s="222" t="s">
        <v>6327</v>
      </c>
      <c r="Z40" s="224" t="s">
        <v>6325</v>
      </c>
      <c r="AA40" s="244"/>
    </row>
    <row r="41">
      <c r="A41" s="214" t="s">
        <v>5934</v>
      </c>
      <c r="B41" s="215">
        <v>17379.0</v>
      </c>
      <c r="C41" s="216" t="s">
        <v>6322</v>
      </c>
      <c r="D41" s="217">
        <v>25124.0</v>
      </c>
      <c r="E41" s="218">
        <v>44564.0</v>
      </c>
      <c r="F41" s="219">
        <v>0.4166666666666667</v>
      </c>
      <c r="G41" s="220" t="s">
        <v>6328</v>
      </c>
      <c r="H41" s="221" t="s">
        <v>13</v>
      </c>
      <c r="I41" s="222" t="s">
        <v>6212</v>
      </c>
      <c r="J41" s="223" t="s">
        <v>6199</v>
      </c>
      <c r="K41" s="224" t="s">
        <v>6242</v>
      </c>
      <c r="L41" s="224"/>
      <c r="M41" s="224"/>
      <c r="N41" s="225"/>
      <c r="O41" s="216" t="s">
        <v>6322</v>
      </c>
      <c r="P41" s="226" t="e">
        <v>#VALUE!</v>
      </c>
      <c r="Q41" s="227" t="e">
        <v>#VALUE!</v>
      </c>
      <c r="R41" s="228" t="e">
        <v>#VALUE!</v>
      </c>
      <c r="S41" s="220" t="e">
        <v>#VALUE!</v>
      </c>
      <c r="T41" s="220" t="e">
        <v>#VALUE!</v>
      </c>
      <c r="U41" s="221">
        <v>0.0</v>
      </c>
      <c r="V41" s="229" t="s">
        <v>6213</v>
      </c>
      <c r="W41" s="24" t="s">
        <v>6331</v>
      </c>
      <c r="X41" s="222" t="s">
        <v>6331</v>
      </c>
      <c r="Y41" s="222" t="s">
        <v>6327</v>
      </c>
      <c r="Z41" s="224" t="s">
        <v>6325</v>
      </c>
      <c r="AA41" s="244"/>
    </row>
    <row r="42">
      <c r="A42" s="214" t="s">
        <v>2693</v>
      </c>
      <c r="B42" s="215">
        <v>14035.0</v>
      </c>
      <c r="C42" s="216" t="s">
        <v>6322</v>
      </c>
      <c r="D42" s="217">
        <v>22362.0</v>
      </c>
      <c r="E42" s="218">
        <v>44564.0</v>
      </c>
      <c r="F42" s="219">
        <v>0.4270833333333333</v>
      </c>
      <c r="G42" s="220" t="s">
        <v>6323</v>
      </c>
      <c r="H42" s="221" t="s">
        <v>13</v>
      </c>
      <c r="I42" s="222" t="s">
        <v>6212</v>
      </c>
      <c r="J42" s="223" t="s">
        <v>6189</v>
      </c>
      <c r="K42" s="224"/>
      <c r="L42" s="224" t="s">
        <v>6242</v>
      </c>
      <c r="M42" s="224"/>
      <c r="N42" s="225"/>
      <c r="O42" s="216" t="s">
        <v>6322</v>
      </c>
      <c r="P42" s="226" t="s">
        <v>6242</v>
      </c>
      <c r="Q42" s="227" t="e">
        <v>#VALUE!</v>
      </c>
      <c r="R42" s="228" t="e">
        <v>#VALUE!</v>
      </c>
      <c r="S42" s="220" t="e">
        <v>#VALUE!</v>
      </c>
      <c r="T42" s="220" t="e">
        <v>#VALUE!</v>
      </c>
      <c r="U42" s="221">
        <v>1.0</v>
      </c>
      <c r="V42" s="229" t="s">
        <v>6216</v>
      </c>
      <c r="W42" s="24" t="s">
        <v>6324</v>
      </c>
      <c r="X42" s="222" t="s">
        <v>6324</v>
      </c>
      <c r="Y42" s="222" t="s">
        <v>6327</v>
      </c>
      <c r="Z42" s="224" t="s">
        <v>6325</v>
      </c>
      <c r="AA42" s="244"/>
    </row>
    <row r="43">
      <c r="A43" s="214" t="s">
        <v>5936</v>
      </c>
      <c r="B43" s="215">
        <v>17658.0</v>
      </c>
      <c r="C43" s="216" t="s">
        <v>6322</v>
      </c>
      <c r="D43" s="217">
        <v>22123.0</v>
      </c>
      <c r="E43" s="218">
        <v>44564.0</v>
      </c>
      <c r="F43" s="219">
        <v>0.46875</v>
      </c>
      <c r="G43" s="220" t="s">
        <v>6323</v>
      </c>
      <c r="H43" s="221" t="s">
        <v>13</v>
      </c>
      <c r="I43" s="222" t="s">
        <v>6212</v>
      </c>
      <c r="J43" s="223" t="s">
        <v>6099</v>
      </c>
      <c r="K43" s="224" t="s">
        <v>6242</v>
      </c>
      <c r="L43" s="224"/>
      <c r="M43" s="224"/>
      <c r="N43" s="225"/>
      <c r="O43" s="216" t="s">
        <v>6322</v>
      </c>
      <c r="P43" s="226" t="e">
        <v>#VALUE!</v>
      </c>
      <c r="Q43" s="227" t="e">
        <v>#VALUE!</v>
      </c>
      <c r="R43" s="228" t="e">
        <v>#VALUE!</v>
      </c>
      <c r="S43" s="220" t="e">
        <v>#VALUE!</v>
      </c>
      <c r="T43" s="220" t="e">
        <v>#VALUE!</v>
      </c>
      <c r="U43" s="221">
        <v>0.0</v>
      </c>
      <c r="V43" s="229" t="s">
        <v>6213</v>
      </c>
      <c r="W43" s="24" t="s">
        <v>6331</v>
      </c>
      <c r="X43" s="222" t="s">
        <v>6331</v>
      </c>
      <c r="Y43" s="222" t="s">
        <v>6327</v>
      </c>
      <c r="Z43" s="224" t="s">
        <v>6325</v>
      </c>
      <c r="AA43" s="244"/>
    </row>
    <row r="44">
      <c r="A44" s="214" t="s">
        <v>1881</v>
      </c>
      <c r="B44" s="215">
        <v>12990.0</v>
      </c>
      <c r="C44" s="230" t="s">
        <v>6322</v>
      </c>
      <c r="D44" s="217">
        <v>23448.0</v>
      </c>
      <c r="E44" s="218">
        <v>44564.0</v>
      </c>
      <c r="F44" s="219">
        <v>0.4791666666666667</v>
      </c>
      <c r="G44" s="220" t="s">
        <v>6328</v>
      </c>
      <c r="H44" s="221" t="s">
        <v>13</v>
      </c>
      <c r="I44" s="222" t="s">
        <v>6212</v>
      </c>
      <c r="J44" s="223" t="s">
        <v>6199</v>
      </c>
      <c r="K44" s="225"/>
      <c r="L44" s="224" t="s">
        <v>6242</v>
      </c>
      <c r="M44" s="224"/>
      <c r="N44" s="225"/>
      <c r="O44" s="216" t="s">
        <v>6322</v>
      </c>
      <c r="P44" s="226" t="e">
        <v>#VALUE!</v>
      </c>
      <c r="Q44" s="227" t="e">
        <v>#VALUE!</v>
      </c>
      <c r="R44" s="228" t="e">
        <v>#VALUE!</v>
      </c>
      <c r="S44" s="220" t="e">
        <v>#VALUE!</v>
      </c>
      <c r="T44" s="220" t="e">
        <v>#VALUE!</v>
      </c>
      <c r="U44" s="221">
        <v>0.0</v>
      </c>
      <c r="V44" s="229" t="s">
        <v>5</v>
      </c>
      <c r="W44" s="24" t="s">
        <v>6329</v>
      </c>
      <c r="X44" s="222" t="s">
        <v>6329</v>
      </c>
      <c r="Y44" s="222" t="s">
        <v>6327</v>
      </c>
      <c r="Z44" s="224" t="s">
        <v>6325</v>
      </c>
      <c r="AA44" s="244"/>
    </row>
    <row r="45">
      <c r="A45" s="214" t="s">
        <v>4869</v>
      </c>
      <c r="B45" s="289">
        <v>16675.0</v>
      </c>
      <c r="C45" s="230" t="s">
        <v>6322</v>
      </c>
      <c r="D45" s="290">
        <v>11940.0</v>
      </c>
      <c r="E45" s="291">
        <v>44564.0</v>
      </c>
      <c r="F45" s="292">
        <v>0.625</v>
      </c>
      <c r="G45" s="293" t="s">
        <v>6323</v>
      </c>
      <c r="H45" s="294" t="s">
        <v>12</v>
      </c>
      <c r="I45" s="222" t="s">
        <v>6221</v>
      </c>
      <c r="J45" s="295" t="s">
        <v>6137</v>
      </c>
      <c r="K45" s="296"/>
      <c r="L45" s="296" t="s">
        <v>6242</v>
      </c>
      <c r="M45" s="296"/>
      <c r="N45" s="296"/>
      <c r="O45" s="216" t="s">
        <v>6322</v>
      </c>
      <c r="P45" s="226" t="e">
        <v>#VALUE!</v>
      </c>
      <c r="Q45" s="227" t="e">
        <v>#VALUE!</v>
      </c>
      <c r="R45" s="228" t="e">
        <v>#VALUE!</v>
      </c>
      <c r="S45" s="220" t="e">
        <v>#VALUE!</v>
      </c>
      <c r="T45" s="220" t="e">
        <v>#VALUE!</v>
      </c>
      <c r="U45" s="221">
        <v>0.0</v>
      </c>
      <c r="V45" s="229" t="s">
        <v>5</v>
      </c>
      <c r="W45" s="24" t="s">
        <v>6329</v>
      </c>
      <c r="X45" s="222" t="s">
        <v>6329</v>
      </c>
      <c r="Y45" s="222" t="s">
        <v>6327</v>
      </c>
      <c r="Z45" s="224" t="s">
        <v>6325</v>
      </c>
      <c r="AA45" s="244"/>
    </row>
    <row r="46">
      <c r="A46" s="214" t="s">
        <v>5941</v>
      </c>
      <c r="B46" s="289">
        <v>17823.0</v>
      </c>
      <c r="C46" s="230" t="s">
        <v>6322</v>
      </c>
      <c r="D46" s="290">
        <v>26239.0</v>
      </c>
      <c r="E46" s="291">
        <v>44564.0</v>
      </c>
      <c r="F46" s="292">
        <v>0.65625</v>
      </c>
      <c r="G46" s="293" t="s">
        <v>6328</v>
      </c>
      <c r="H46" s="294" t="s">
        <v>13</v>
      </c>
      <c r="I46" s="222" t="s">
        <v>6212</v>
      </c>
      <c r="J46" s="295" t="s">
        <v>6082</v>
      </c>
      <c r="K46" s="296" t="s">
        <v>6242</v>
      </c>
      <c r="L46" s="296"/>
      <c r="M46" s="296"/>
      <c r="N46" s="296"/>
      <c r="O46" s="216" t="s">
        <v>6322</v>
      </c>
      <c r="P46" s="226" t="e">
        <v>#VALUE!</v>
      </c>
      <c r="Q46" s="227" t="e">
        <v>#VALUE!</v>
      </c>
      <c r="R46" s="228" t="e">
        <v>#VALUE!</v>
      </c>
      <c r="S46" s="220" t="e">
        <v>#VALUE!</v>
      </c>
      <c r="T46" s="220" t="e">
        <v>#VALUE!</v>
      </c>
      <c r="U46" s="221">
        <v>0.0</v>
      </c>
      <c r="V46" s="229" t="e">
        <v>#N/A</v>
      </c>
      <c r="W46" s="24" t="e">
        <v>#N/A</v>
      </c>
      <c r="X46" s="222" t="s">
        <v>6331</v>
      </c>
      <c r="Y46" s="222" t="e">
        <v>#N/A</v>
      </c>
      <c r="Z46" s="224" t="s">
        <v>6325</v>
      </c>
      <c r="AA46" s="244"/>
    </row>
    <row r="47">
      <c r="A47" s="214" t="s">
        <v>125</v>
      </c>
      <c r="B47" s="289">
        <v>9271.0</v>
      </c>
      <c r="C47" s="230" t="s">
        <v>6322</v>
      </c>
      <c r="D47" s="290">
        <v>24708.0</v>
      </c>
      <c r="E47" s="291">
        <v>44564.0</v>
      </c>
      <c r="F47" s="292">
        <v>0.65625</v>
      </c>
      <c r="G47" s="293" t="s">
        <v>6323</v>
      </c>
      <c r="H47" s="294" t="s">
        <v>13</v>
      </c>
      <c r="I47" s="222" t="s">
        <v>6212</v>
      </c>
      <c r="J47" s="295" t="s">
        <v>6137</v>
      </c>
      <c r="K47" s="296"/>
      <c r="L47" s="296" t="s">
        <v>6242</v>
      </c>
      <c r="M47" s="296"/>
      <c r="N47" s="296"/>
      <c r="O47" s="216" t="s">
        <v>6322</v>
      </c>
      <c r="P47" s="226" t="e">
        <v>#VALUE!</v>
      </c>
      <c r="Q47" s="227" t="e">
        <v>#VALUE!</v>
      </c>
      <c r="R47" s="228" t="e">
        <v>#VALUE!</v>
      </c>
      <c r="S47" s="220" t="e">
        <v>#VALUE!</v>
      </c>
      <c r="T47" s="220" t="e">
        <v>#VALUE!</v>
      </c>
      <c r="U47" s="221">
        <v>0.0</v>
      </c>
      <c r="V47" s="229" t="s">
        <v>5</v>
      </c>
      <c r="W47" s="24" t="s">
        <v>6329</v>
      </c>
      <c r="X47" s="222" t="s">
        <v>6329</v>
      </c>
      <c r="Y47" s="222" t="s">
        <v>6327</v>
      </c>
      <c r="Z47" s="224" t="s">
        <v>6325</v>
      </c>
      <c r="AA47" s="244"/>
    </row>
    <row r="48">
      <c r="A48" s="214" t="s">
        <v>5446</v>
      </c>
      <c r="B48" s="289">
        <v>17403.0</v>
      </c>
      <c r="C48" s="230" t="s">
        <v>6322</v>
      </c>
      <c r="D48" s="290">
        <v>26246.0</v>
      </c>
      <c r="E48" s="291">
        <v>44564.0</v>
      </c>
      <c r="F48" s="292">
        <v>0.65625</v>
      </c>
      <c r="G48" s="293" t="s">
        <v>6323</v>
      </c>
      <c r="H48" s="294" t="s">
        <v>13</v>
      </c>
      <c r="I48" s="222" t="s">
        <v>6212</v>
      </c>
      <c r="J48" s="295" t="s">
        <v>6160</v>
      </c>
      <c r="K48" s="296" t="s">
        <v>6242</v>
      </c>
      <c r="L48" s="296"/>
      <c r="M48" s="296"/>
      <c r="N48" s="296"/>
      <c r="O48" s="216" t="s">
        <v>6322</v>
      </c>
      <c r="P48" s="226" t="e">
        <v>#VALUE!</v>
      </c>
      <c r="Q48" s="227" t="e">
        <v>#VALUE!</v>
      </c>
      <c r="R48" s="228" t="e">
        <v>#VALUE!</v>
      </c>
      <c r="S48" s="220" t="e">
        <v>#VALUE!</v>
      </c>
      <c r="T48" s="220" t="e">
        <v>#VALUE!</v>
      </c>
      <c r="U48" s="221">
        <v>0.0</v>
      </c>
      <c r="V48" s="229" t="s">
        <v>6213</v>
      </c>
      <c r="W48" s="24" t="s">
        <v>6331</v>
      </c>
      <c r="X48" s="222" t="s">
        <v>6331</v>
      </c>
      <c r="Y48" s="222" t="s">
        <v>6327</v>
      </c>
      <c r="Z48" s="224" t="s">
        <v>6325</v>
      </c>
      <c r="AA48" s="244"/>
    </row>
    <row r="49">
      <c r="A49" s="214" t="s">
        <v>5925</v>
      </c>
      <c r="B49" s="289">
        <v>17694.0</v>
      </c>
      <c r="C49" s="230" t="s">
        <v>6322</v>
      </c>
      <c r="D49" s="290">
        <v>23052.0</v>
      </c>
      <c r="E49" s="291">
        <v>44564.0</v>
      </c>
      <c r="F49" s="292">
        <v>0.65625</v>
      </c>
      <c r="G49" s="293" t="s">
        <v>6323</v>
      </c>
      <c r="H49" s="294" t="s">
        <v>13</v>
      </c>
      <c r="I49" s="222" t="s">
        <v>6212</v>
      </c>
      <c r="J49" s="295" t="s">
        <v>6130</v>
      </c>
      <c r="K49" s="296" t="s">
        <v>6242</v>
      </c>
      <c r="L49" s="296"/>
      <c r="M49" s="296"/>
      <c r="N49" s="296"/>
      <c r="O49" s="216" t="s">
        <v>6322</v>
      </c>
      <c r="P49" s="226" t="e">
        <v>#VALUE!</v>
      </c>
      <c r="Q49" s="227" t="e">
        <v>#VALUE!</v>
      </c>
      <c r="R49" s="228" t="e">
        <v>#VALUE!</v>
      </c>
      <c r="S49" s="220" t="e">
        <v>#VALUE!</v>
      </c>
      <c r="T49" s="220" t="e">
        <v>#VALUE!</v>
      </c>
      <c r="U49" s="221">
        <v>0.0</v>
      </c>
      <c r="V49" s="229" t="s">
        <v>6213</v>
      </c>
      <c r="W49" s="24" t="s">
        <v>6331</v>
      </c>
      <c r="X49" s="222" t="s">
        <v>6331</v>
      </c>
      <c r="Y49" s="222" t="s">
        <v>6327</v>
      </c>
      <c r="Z49" s="224" t="s">
        <v>6325</v>
      </c>
      <c r="AA49" s="244"/>
    </row>
    <row r="50">
      <c r="A50" s="214" t="s">
        <v>4875</v>
      </c>
      <c r="B50" s="289">
        <v>16682.0</v>
      </c>
      <c r="C50" s="230" t="s">
        <v>6322</v>
      </c>
      <c r="D50" s="290">
        <v>20068.0</v>
      </c>
      <c r="E50" s="291">
        <v>44564.0</v>
      </c>
      <c r="F50" s="292">
        <v>0.65625</v>
      </c>
      <c r="G50" s="293" t="s">
        <v>6323</v>
      </c>
      <c r="H50" s="294" t="s">
        <v>13</v>
      </c>
      <c r="I50" s="222" t="s">
        <v>6221</v>
      </c>
      <c r="J50" s="295" t="s">
        <v>6194</v>
      </c>
      <c r="K50" s="296"/>
      <c r="L50" s="296" t="s">
        <v>6242</v>
      </c>
      <c r="M50" s="296"/>
      <c r="N50" s="296"/>
      <c r="O50" s="216" t="s">
        <v>6322</v>
      </c>
      <c r="P50" s="226" t="s">
        <v>6242</v>
      </c>
      <c r="Q50" s="227" t="e">
        <v>#VALUE!</v>
      </c>
      <c r="R50" s="228" t="e">
        <v>#VALUE!</v>
      </c>
      <c r="S50" s="220" t="e">
        <v>#VALUE!</v>
      </c>
      <c r="T50" s="220" t="e">
        <v>#VALUE!</v>
      </c>
      <c r="U50" s="221">
        <v>1.0</v>
      </c>
      <c r="V50" s="229" t="s">
        <v>6216</v>
      </c>
      <c r="W50" s="24" t="s">
        <v>6324</v>
      </c>
      <c r="X50" s="222" t="s">
        <v>6324</v>
      </c>
      <c r="Y50" s="222" t="s">
        <v>6327</v>
      </c>
      <c r="Z50" s="224" t="s">
        <v>6325</v>
      </c>
      <c r="AA50" s="244"/>
    </row>
    <row r="51">
      <c r="A51" s="214" t="s">
        <v>247</v>
      </c>
      <c r="B51" s="289">
        <v>9652.0</v>
      </c>
      <c r="C51" s="230" t="s">
        <v>6322</v>
      </c>
      <c r="D51" s="290">
        <v>18328.0</v>
      </c>
      <c r="E51" s="291">
        <v>44564.0</v>
      </c>
      <c r="F51" s="292">
        <v>0.65625</v>
      </c>
      <c r="G51" s="293" t="s">
        <v>6328</v>
      </c>
      <c r="H51" s="294" t="s">
        <v>14</v>
      </c>
      <c r="I51" s="222" t="s">
        <v>6222</v>
      </c>
      <c r="J51" s="295" t="s">
        <v>6199</v>
      </c>
      <c r="K51" s="296"/>
      <c r="L51" s="296" t="s">
        <v>6242</v>
      </c>
      <c r="M51" s="296"/>
      <c r="N51" s="296"/>
      <c r="O51" s="216" t="s">
        <v>6322</v>
      </c>
      <c r="P51" s="226" t="e">
        <v>#VALUE!</v>
      </c>
      <c r="Q51" s="227" t="e">
        <v>#VALUE!</v>
      </c>
      <c r="R51" s="228" t="e">
        <v>#VALUE!</v>
      </c>
      <c r="S51" s="220" t="e">
        <v>#VALUE!</v>
      </c>
      <c r="T51" s="220" t="e">
        <v>#VALUE!</v>
      </c>
      <c r="U51" s="221">
        <v>0.0</v>
      </c>
      <c r="V51" s="229" t="s">
        <v>5</v>
      </c>
      <c r="W51" s="24" t="s">
        <v>6329</v>
      </c>
      <c r="X51" s="222" t="s">
        <v>6329</v>
      </c>
      <c r="Y51" s="222" t="s">
        <v>6327</v>
      </c>
      <c r="Z51" s="224" t="s">
        <v>6325</v>
      </c>
      <c r="AA51" s="244"/>
    </row>
    <row r="52">
      <c r="A52" s="214" t="s">
        <v>4371</v>
      </c>
      <c r="B52" s="289">
        <v>16037.0</v>
      </c>
      <c r="C52" s="230" t="s">
        <v>6322</v>
      </c>
      <c r="D52" s="290">
        <v>16788.0</v>
      </c>
      <c r="E52" s="291">
        <v>44564.0</v>
      </c>
      <c r="F52" s="292">
        <v>0.65625</v>
      </c>
      <c r="G52" s="293" t="s">
        <v>6328</v>
      </c>
      <c r="H52" s="294" t="s">
        <v>13</v>
      </c>
      <c r="I52" s="222" t="s">
        <v>6212</v>
      </c>
      <c r="J52" s="295" t="s">
        <v>6174</v>
      </c>
      <c r="K52" s="296"/>
      <c r="L52" s="296" t="s">
        <v>6242</v>
      </c>
      <c r="M52" s="296"/>
      <c r="N52" s="296"/>
      <c r="O52" s="216" t="s">
        <v>6322</v>
      </c>
      <c r="P52" s="226" t="e">
        <v>#VALUE!</v>
      </c>
      <c r="Q52" s="227" t="e">
        <v>#VALUE!</v>
      </c>
      <c r="R52" s="228" t="e">
        <v>#VALUE!</v>
      </c>
      <c r="S52" s="220" t="e">
        <v>#VALUE!</v>
      </c>
      <c r="T52" s="220" t="e">
        <v>#VALUE!</v>
      </c>
      <c r="U52" s="221">
        <v>0.0</v>
      </c>
      <c r="V52" s="229" t="s">
        <v>5</v>
      </c>
      <c r="W52" s="24" t="s">
        <v>6329</v>
      </c>
      <c r="X52" s="222" t="s">
        <v>6329</v>
      </c>
      <c r="Y52" s="222" t="s">
        <v>6327</v>
      </c>
      <c r="Z52" s="224" t="s">
        <v>6325</v>
      </c>
      <c r="AA52" s="244"/>
    </row>
    <row r="53">
      <c r="A53" s="214" t="s">
        <v>4136</v>
      </c>
      <c r="B53" s="289">
        <v>15772.0</v>
      </c>
      <c r="C53" s="230" t="s">
        <v>6322</v>
      </c>
      <c r="D53" s="290">
        <v>24343.0</v>
      </c>
      <c r="E53" s="291">
        <v>44564.0</v>
      </c>
      <c r="F53" s="292">
        <v>0.65625</v>
      </c>
      <c r="G53" s="293" t="s">
        <v>6323</v>
      </c>
      <c r="H53" s="294" t="s">
        <v>14</v>
      </c>
      <c r="I53" s="222" t="s">
        <v>6219</v>
      </c>
      <c r="J53" s="295" t="s">
        <v>6193</v>
      </c>
      <c r="K53" s="296"/>
      <c r="L53" s="296" t="s">
        <v>6242</v>
      </c>
      <c r="M53" s="296" t="s">
        <v>6242</v>
      </c>
      <c r="N53" s="296"/>
      <c r="O53" s="216" t="s">
        <v>6322</v>
      </c>
      <c r="P53" s="226" t="s">
        <v>6242</v>
      </c>
      <c r="Q53" s="227" t="e">
        <v>#VALUE!</v>
      </c>
      <c r="R53" s="228" t="e">
        <v>#VALUE!</v>
      </c>
      <c r="S53" s="220" t="e">
        <v>#VALUE!</v>
      </c>
      <c r="T53" s="220" t="e">
        <v>#VALUE!</v>
      </c>
      <c r="U53" s="221">
        <v>1.0</v>
      </c>
      <c r="V53" s="229" t="s">
        <v>6220</v>
      </c>
      <c r="W53" s="24" t="s">
        <v>6330</v>
      </c>
      <c r="X53" s="222" t="s">
        <v>6330</v>
      </c>
      <c r="Y53" s="222" t="s">
        <v>6327</v>
      </c>
      <c r="Z53" s="224" t="s">
        <v>6325</v>
      </c>
      <c r="AA53" s="244"/>
    </row>
    <row r="54">
      <c r="A54" s="214" t="s">
        <v>425</v>
      </c>
      <c r="B54" s="289">
        <v>10141.0</v>
      </c>
      <c r="C54" s="230" t="s">
        <v>6322</v>
      </c>
      <c r="D54" s="290">
        <v>23797.0</v>
      </c>
      <c r="E54" s="291">
        <v>44564.0</v>
      </c>
      <c r="F54" s="292">
        <v>0.65625</v>
      </c>
      <c r="G54" s="293" t="s">
        <v>6323</v>
      </c>
      <c r="H54" s="294" t="s">
        <v>13</v>
      </c>
      <c r="I54" s="222" t="s">
        <v>6221</v>
      </c>
      <c r="J54" s="295" t="s">
        <v>6190</v>
      </c>
      <c r="K54" s="296"/>
      <c r="L54" s="296" t="s">
        <v>6242</v>
      </c>
      <c r="M54" s="296"/>
      <c r="N54" s="296"/>
      <c r="O54" s="216" t="s">
        <v>6322</v>
      </c>
      <c r="P54" s="226" t="s">
        <v>6242</v>
      </c>
      <c r="Q54" s="227" t="e">
        <v>#VALUE!</v>
      </c>
      <c r="R54" s="228" t="e">
        <v>#VALUE!</v>
      </c>
      <c r="S54" s="220" t="e">
        <v>#VALUE!</v>
      </c>
      <c r="T54" s="220" t="e">
        <v>#VALUE!</v>
      </c>
      <c r="U54" s="221">
        <v>1.0</v>
      </c>
      <c r="V54" s="229" t="s">
        <v>6216</v>
      </c>
      <c r="W54" s="24" t="s">
        <v>6324</v>
      </c>
      <c r="X54" s="222" t="s">
        <v>6324</v>
      </c>
      <c r="Y54" s="222" t="s">
        <v>6327</v>
      </c>
      <c r="Z54" s="224" t="s">
        <v>6325</v>
      </c>
      <c r="AA54" s="244"/>
    </row>
    <row r="55">
      <c r="A55" s="214" t="s">
        <v>227</v>
      </c>
      <c r="B55" s="289">
        <v>9593.0</v>
      </c>
      <c r="C55" s="230" t="s">
        <v>6322</v>
      </c>
      <c r="D55" s="290">
        <v>23217.0</v>
      </c>
      <c r="E55" s="291">
        <v>44564.0</v>
      </c>
      <c r="F55" s="292">
        <v>0.65625</v>
      </c>
      <c r="G55" s="293" t="s">
        <v>6328</v>
      </c>
      <c r="H55" s="294" t="s">
        <v>14</v>
      </c>
      <c r="I55" s="222" t="s">
        <v>6222</v>
      </c>
      <c r="J55" s="295" t="s">
        <v>6199</v>
      </c>
      <c r="K55" s="296"/>
      <c r="L55" s="296" t="s">
        <v>6242</v>
      </c>
      <c r="M55" s="296"/>
      <c r="N55" s="296"/>
      <c r="O55" s="216" t="s">
        <v>6322</v>
      </c>
      <c r="P55" s="226" t="e">
        <v>#VALUE!</v>
      </c>
      <c r="Q55" s="227" t="e">
        <v>#VALUE!</v>
      </c>
      <c r="R55" s="228" t="e">
        <v>#VALUE!</v>
      </c>
      <c r="S55" s="220" t="e">
        <v>#VALUE!</v>
      </c>
      <c r="T55" s="220" t="e">
        <v>#VALUE!</v>
      </c>
      <c r="U55" s="221">
        <v>0.0</v>
      </c>
      <c r="V55" s="229" t="s">
        <v>5</v>
      </c>
      <c r="W55" s="24" t="s">
        <v>6329</v>
      </c>
      <c r="X55" s="222" t="s">
        <v>6329</v>
      </c>
      <c r="Y55" s="222" t="s">
        <v>6327</v>
      </c>
      <c r="Z55" s="224" t="s">
        <v>6325</v>
      </c>
      <c r="AA55" s="244"/>
    </row>
    <row r="56">
      <c r="A56" s="214" t="s">
        <v>3005</v>
      </c>
      <c r="B56" s="289">
        <v>14434.0</v>
      </c>
      <c r="C56" s="230" t="s">
        <v>6322</v>
      </c>
      <c r="D56" s="290">
        <v>22526.0</v>
      </c>
      <c r="E56" s="291">
        <v>44564.0</v>
      </c>
      <c r="F56" s="292">
        <v>0.65625</v>
      </c>
      <c r="G56" s="293" t="s">
        <v>6323</v>
      </c>
      <c r="H56" s="294" t="s">
        <v>14</v>
      </c>
      <c r="I56" s="222" t="s">
        <v>6219</v>
      </c>
      <c r="J56" s="295" t="s">
        <v>6130</v>
      </c>
      <c r="K56" s="296"/>
      <c r="L56" s="296" t="s">
        <v>6242</v>
      </c>
      <c r="M56" s="296"/>
      <c r="N56" s="296"/>
      <c r="O56" s="216" t="s">
        <v>6322</v>
      </c>
      <c r="P56" s="226" t="e">
        <v>#VALUE!</v>
      </c>
      <c r="Q56" s="227" t="e">
        <v>#VALUE!</v>
      </c>
      <c r="R56" s="228" t="e">
        <v>#VALUE!</v>
      </c>
      <c r="S56" s="220" t="e">
        <v>#VALUE!</v>
      </c>
      <c r="T56" s="220" t="e">
        <v>#VALUE!</v>
      </c>
      <c r="U56" s="221">
        <v>0.0</v>
      </c>
      <c r="V56" s="229" t="s">
        <v>5</v>
      </c>
      <c r="W56" s="24" t="s">
        <v>6329</v>
      </c>
      <c r="X56" s="222" t="s">
        <v>6329</v>
      </c>
      <c r="Y56" s="222" t="s">
        <v>6327</v>
      </c>
      <c r="Z56" s="224" t="s">
        <v>6325</v>
      </c>
      <c r="AA56" s="244"/>
    </row>
    <row r="57">
      <c r="A57" s="214" t="s">
        <v>3754</v>
      </c>
      <c r="B57" s="289">
        <v>15340.0</v>
      </c>
      <c r="C57" s="230" t="s">
        <v>6322</v>
      </c>
      <c r="D57" s="290">
        <v>20218.0</v>
      </c>
      <c r="E57" s="291">
        <v>44564.0</v>
      </c>
      <c r="F57" s="292">
        <v>0.65625</v>
      </c>
      <c r="G57" s="293" t="s">
        <v>6328</v>
      </c>
      <c r="H57" s="294" t="s">
        <v>14</v>
      </c>
      <c r="I57" s="222" t="s">
        <v>6219</v>
      </c>
      <c r="J57" s="295" t="s">
        <v>6190</v>
      </c>
      <c r="K57" s="296"/>
      <c r="L57" s="296" t="s">
        <v>6242</v>
      </c>
      <c r="M57" s="296" t="s">
        <v>6242</v>
      </c>
      <c r="N57" s="296"/>
      <c r="O57" s="216" t="s">
        <v>6322</v>
      </c>
      <c r="P57" s="226" t="s">
        <v>6242</v>
      </c>
      <c r="Q57" s="227" t="e">
        <v>#VALUE!</v>
      </c>
      <c r="R57" s="228" t="e">
        <v>#VALUE!</v>
      </c>
      <c r="S57" s="220" t="e">
        <v>#VALUE!</v>
      </c>
      <c r="T57" s="220" t="e">
        <v>#VALUE!</v>
      </c>
      <c r="U57" s="221">
        <v>1.0</v>
      </c>
      <c r="V57" s="229" t="s">
        <v>6220</v>
      </c>
      <c r="W57" s="24" t="s">
        <v>6330</v>
      </c>
      <c r="X57" s="222" t="s">
        <v>6330</v>
      </c>
      <c r="Y57" s="222" t="s">
        <v>6327</v>
      </c>
      <c r="Z57" s="224" t="s">
        <v>6325</v>
      </c>
      <c r="AA57" s="244"/>
    </row>
    <row r="58">
      <c r="A58" s="214" t="s">
        <v>2232</v>
      </c>
      <c r="B58" s="289">
        <v>13442.0</v>
      </c>
      <c r="C58" s="230" t="s">
        <v>6322</v>
      </c>
      <c r="D58" s="290">
        <v>19087.0</v>
      </c>
      <c r="E58" s="291">
        <v>44564.0</v>
      </c>
      <c r="F58" s="292">
        <v>0.65625</v>
      </c>
      <c r="G58" s="293" t="s">
        <v>6328</v>
      </c>
      <c r="H58" s="294" t="s">
        <v>14</v>
      </c>
      <c r="I58" s="222" t="s">
        <v>6219</v>
      </c>
      <c r="J58" s="295" t="s">
        <v>6199</v>
      </c>
      <c r="K58" s="296"/>
      <c r="L58" s="296" t="s">
        <v>6242</v>
      </c>
      <c r="M58" s="296" t="s">
        <v>6242</v>
      </c>
      <c r="N58" s="296"/>
      <c r="O58" s="216" t="s">
        <v>6322</v>
      </c>
      <c r="P58" s="226" t="e">
        <v>#VALUE!</v>
      </c>
      <c r="Q58" s="227" t="e">
        <v>#VALUE!</v>
      </c>
      <c r="R58" s="228" t="e">
        <v>#VALUE!</v>
      </c>
      <c r="S58" s="220" t="e">
        <v>#VALUE!</v>
      </c>
      <c r="T58" s="220" t="e">
        <v>#VALUE!</v>
      </c>
      <c r="U58" s="221">
        <v>0.0</v>
      </c>
      <c r="V58" s="229" t="s">
        <v>6215</v>
      </c>
      <c r="W58" s="24" t="s">
        <v>6326</v>
      </c>
      <c r="X58" s="222" t="s">
        <v>6326</v>
      </c>
      <c r="Y58" s="222" t="s">
        <v>6327</v>
      </c>
      <c r="Z58" s="224" t="s">
        <v>6325</v>
      </c>
      <c r="AA58" s="244"/>
    </row>
    <row r="59">
      <c r="A59" s="214" t="s">
        <v>1366</v>
      </c>
      <c r="B59" s="289">
        <v>12287.0</v>
      </c>
      <c r="C59" s="230" t="s">
        <v>6322</v>
      </c>
      <c r="D59" s="290">
        <v>26721.0</v>
      </c>
      <c r="E59" s="291">
        <v>44564.0</v>
      </c>
      <c r="F59" s="292">
        <v>0.6145833333333334</v>
      </c>
      <c r="G59" s="293" t="s">
        <v>6323</v>
      </c>
      <c r="H59" s="294" t="s">
        <v>14</v>
      </c>
      <c r="I59" s="222" t="s">
        <v>6222</v>
      </c>
      <c r="J59" s="295" t="s">
        <v>6196</v>
      </c>
      <c r="K59" s="296"/>
      <c r="L59" s="296" t="s">
        <v>6242</v>
      </c>
      <c r="M59" s="296"/>
      <c r="N59" s="296"/>
      <c r="O59" s="216" t="s">
        <v>6322</v>
      </c>
      <c r="P59" s="226" t="s">
        <v>6242</v>
      </c>
      <c r="Q59" s="227" t="e">
        <v>#VALUE!</v>
      </c>
      <c r="R59" s="228" t="e">
        <v>#VALUE!</v>
      </c>
      <c r="S59" s="220" t="e">
        <v>#VALUE!</v>
      </c>
      <c r="T59" s="220" t="e">
        <v>#VALUE!</v>
      </c>
      <c r="U59" s="221">
        <v>1.0</v>
      </c>
      <c r="V59" s="229" t="s">
        <v>5</v>
      </c>
      <c r="W59" s="229" t="s">
        <v>5</v>
      </c>
      <c r="X59" s="229" t="s">
        <v>5</v>
      </c>
      <c r="Y59" s="229" t="s">
        <v>5</v>
      </c>
      <c r="Z59" s="229" t="s">
        <v>5</v>
      </c>
      <c r="AA59" s="244"/>
    </row>
    <row r="60">
      <c r="A60" s="214" t="s">
        <v>5933</v>
      </c>
      <c r="B60" s="289">
        <v>17678.0</v>
      </c>
      <c r="C60" s="230" t="s">
        <v>6322</v>
      </c>
      <c r="D60" s="290">
        <v>16948.0</v>
      </c>
      <c r="E60" s="291">
        <v>44564.0</v>
      </c>
      <c r="F60" s="292">
        <v>0.6458333333333334</v>
      </c>
      <c r="G60" s="293" t="s">
        <v>6328</v>
      </c>
      <c r="H60" s="294" t="s">
        <v>13</v>
      </c>
      <c r="I60" s="297" t="s">
        <v>6212</v>
      </c>
      <c r="J60" s="295" t="s">
        <v>6199</v>
      </c>
      <c r="K60" s="296" t="s">
        <v>6242</v>
      </c>
      <c r="L60" s="296"/>
      <c r="M60" s="296"/>
      <c r="N60" s="296"/>
      <c r="O60" s="216" t="s">
        <v>6322</v>
      </c>
      <c r="P60" s="298"/>
      <c r="Q60" s="299"/>
      <c r="R60" s="300"/>
      <c r="S60" s="293"/>
      <c r="T60" s="293"/>
      <c r="U60" s="294"/>
      <c r="V60" s="229" t="s">
        <v>6213</v>
      </c>
      <c r="W60" s="301"/>
      <c r="X60" s="297"/>
      <c r="Y60" s="297"/>
      <c r="Z60" s="296"/>
      <c r="AA60" s="244"/>
    </row>
    <row r="61">
      <c r="A61" s="214" t="s">
        <v>5940</v>
      </c>
      <c r="B61" s="289">
        <v>17814.0</v>
      </c>
      <c r="C61" s="230" t="s">
        <v>6322</v>
      </c>
      <c r="D61" s="290">
        <v>27895.0</v>
      </c>
      <c r="E61" s="291">
        <v>44564.0</v>
      </c>
      <c r="F61" s="292">
        <v>0.6458333333333334</v>
      </c>
      <c r="G61" s="293" t="s">
        <v>6328</v>
      </c>
      <c r="H61" s="294" t="s">
        <v>13</v>
      </c>
      <c r="I61" s="297" t="s">
        <v>6212</v>
      </c>
      <c r="J61" s="295" t="s">
        <v>6101</v>
      </c>
      <c r="K61" s="296" t="s">
        <v>6242</v>
      </c>
      <c r="L61" s="296"/>
      <c r="M61" s="296"/>
      <c r="N61" s="296"/>
      <c r="O61" s="216" t="s">
        <v>6322</v>
      </c>
      <c r="P61" s="298"/>
      <c r="Q61" s="299"/>
      <c r="R61" s="300"/>
      <c r="S61" s="293"/>
      <c r="T61" s="293"/>
      <c r="U61" s="294"/>
      <c r="V61" s="229" t="s">
        <v>6213</v>
      </c>
      <c r="W61" s="301"/>
      <c r="X61" s="297"/>
      <c r="Y61" s="297"/>
      <c r="Z61" s="296"/>
      <c r="AA61" s="244"/>
    </row>
    <row r="62">
      <c r="A62" s="214" t="s">
        <v>5939</v>
      </c>
      <c r="B62" s="289">
        <v>17812.0</v>
      </c>
      <c r="C62" s="230" t="s">
        <v>6322</v>
      </c>
      <c r="D62" s="290">
        <v>21219.0</v>
      </c>
      <c r="E62" s="291">
        <v>44564.0</v>
      </c>
      <c r="F62" s="292">
        <v>0.65625</v>
      </c>
      <c r="G62" s="293" t="s">
        <v>6323</v>
      </c>
      <c r="H62" s="294" t="s">
        <v>13</v>
      </c>
      <c r="I62" s="297" t="s">
        <v>6212</v>
      </c>
      <c r="J62" s="295" t="s">
        <v>6089</v>
      </c>
      <c r="K62" s="296" t="s">
        <v>6242</v>
      </c>
      <c r="L62" s="296"/>
      <c r="M62" s="296"/>
      <c r="N62" s="296"/>
      <c r="O62" s="216" t="s">
        <v>6322</v>
      </c>
      <c r="P62" s="298"/>
      <c r="Q62" s="299"/>
      <c r="R62" s="300"/>
      <c r="S62" s="293"/>
      <c r="T62" s="293"/>
      <c r="U62" s="294"/>
      <c r="V62" s="229" t="s">
        <v>6213</v>
      </c>
      <c r="W62" s="301"/>
      <c r="X62" s="297"/>
      <c r="Y62" s="297"/>
      <c r="Z62" s="296"/>
      <c r="AA62" s="244"/>
    </row>
    <row r="63">
      <c r="A63" s="214" t="s">
        <v>2764</v>
      </c>
      <c r="B63" s="289">
        <v>14125.0</v>
      </c>
      <c r="C63" s="230" t="s">
        <v>6322</v>
      </c>
      <c r="D63" s="290">
        <v>20213.0</v>
      </c>
      <c r="E63" s="291">
        <v>44564.0</v>
      </c>
      <c r="F63" s="292">
        <v>0.65625</v>
      </c>
      <c r="G63" s="293" t="s">
        <v>6323</v>
      </c>
      <c r="H63" s="294" t="s">
        <v>13</v>
      </c>
      <c r="I63" s="297" t="s">
        <v>6221</v>
      </c>
      <c r="J63" s="295" t="s">
        <v>6192</v>
      </c>
      <c r="K63" s="296"/>
      <c r="L63" s="296" t="s">
        <v>6242</v>
      </c>
      <c r="M63" s="296"/>
      <c r="N63" s="296"/>
      <c r="O63" s="216" t="s">
        <v>6322</v>
      </c>
      <c r="P63" s="298"/>
      <c r="Q63" s="299"/>
      <c r="R63" s="300"/>
      <c r="S63" s="293"/>
      <c r="T63" s="293"/>
      <c r="U63" s="294"/>
      <c r="V63" s="229" t="s">
        <v>6216</v>
      </c>
      <c r="W63" s="301"/>
      <c r="X63" s="297"/>
      <c r="Y63" s="297"/>
      <c r="Z63" s="296"/>
      <c r="AA63" s="244"/>
    </row>
    <row r="64">
      <c r="A64" s="214" t="s">
        <v>4041</v>
      </c>
      <c r="B64" s="289">
        <v>15670.0</v>
      </c>
      <c r="C64" s="230" t="s">
        <v>6322</v>
      </c>
      <c r="D64" s="290">
        <v>19901.0</v>
      </c>
      <c r="E64" s="291">
        <v>44564.0</v>
      </c>
      <c r="F64" s="292">
        <v>0.65625</v>
      </c>
      <c r="G64" s="293" t="s">
        <v>6328</v>
      </c>
      <c r="H64" s="294" t="s">
        <v>13</v>
      </c>
      <c r="I64" s="297" t="s">
        <v>6221</v>
      </c>
      <c r="J64" s="295" t="s">
        <v>6190</v>
      </c>
      <c r="K64" s="296"/>
      <c r="L64" s="296" t="s">
        <v>6242</v>
      </c>
      <c r="M64" s="296"/>
      <c r="N64" s="296"/>
      <c r="O64" s="216" t="s">
        <v>6322</v>
      </c>
      <c r="P64" s="298"/>
      <c r="Q64" s="299"/>
      <c r="R64" s="300"/>
      <c r="S64" s="293"/>
      <c r="T64" s="293"/>
      <c r="U64" s="294"/>
      <c r="V64" s="229" t="s">
        <v>6216</v>
      </c>
      <c r="W64" s="301"/>
      <c r="X64" s="297"/>
      <c r="Y64" s="297"/>
      <c r="Z64" s="296"/>
      <c r="AA64" s="244"/>
    </row>
    <row r="65" ht="18.75" customHeight="1">
      <c r="A65" s="214" t="s">
        <v>4697</v>
      </c>
      <c r="B65" s="215">
        <v>16449.0</v>
      </c>
      <c r="C65" s="247" t="s">
        <v>6322</v>
      </c>
      <c r="D65" s="217">
        <v>23434.0</v>
      </c>
      <c r="E65" s="218">
        <v>44564.0</v>
      </c>
      <c r="F65" s="219">
        <v>0.6145833333333334</v>
      </c>
      <c r="G65" s="220" t="s">
        <v>6328</v>
      </c>
      <c r="H65" s="221" t="s">
        <v>14</v>
      </c>
      <c r="I65" s="222" t="s">
        <v>6219</v>
      </c>
      <c r="J65" s="223" t="s">
        <v>6189</v>
      </c>
      <c r="K65" s="225"/>
      <c r="L65" s="224" t="s">
        <v>6242</v>
      </c>
      <c r="M65" s="224"/>
      <c r="N65" s="225"/>
      <c r="O65" s="247" t="s">
        <v>6322</v>
      </c>
      <c r="P65" s="226" t="s">
        <v>6242</v>
      </c>
      <c r="Q65" s="227" t="e">
        <v>#VALUE!</v>
      </c>
      <c r="R65" s="228" t="e">
        <v>#VALUE!</v>
      </c>
      <c r="S65" s="220" t="e">
        <v>#VALUE!</v>
      </c>
      <c r="T65" s="220" t="e">
        <v>#VALUE!</v>
      </c>
      <c r="U65" s="221">
        <v>1.0</v>
      </c>
      <c r="V65" s="229" t="s">
        <v>6216</v>
      </c>
      <c r="W65" s="24" t="s">
        <v>6324</v>
      </c>
      <c r="X65" s="222" t="s">
        <v>6324</v>
      </c>
      <c r="Y65" s="222" t="s">
        <v>6327</v>
      </c>
      <c r="Z65" s="224" t="s">
        <v>6325</v>
      </c>
      <c r="AA65" s="244"/>
    </row>
    <row r="66">
      <c r="A66" s="248" t="str">
        <f>IFS($B66=FALSE,"",$B66,VLOOKUP($B66,'PATIENT DATA (072721)'!A:C, 2, 0))</f>
        <v>HUIZAR, ROSA E</v>
      </c>
      <c r="B66" s="249">
        <v>9592.0</v>
      </c>
      <c r="C66" s="250" t="str">
        <f>IF(COUNTIF('PATIENT DATA (072721)'!A:A, B66)=0, "X","✓")</f>
        <v>✓</v>
      </c>
      <c r="D66" s="302">
        <f>IFS($B66=FALSE,"",$B66,VLOOKUP($B66,'PATIENT DATA (072721)'!A:C, 3, 0))</f>
        <v>20695</v>
      </c>
      <c r="E66" s="252">
        <v>44564.0</v>
      </c>
      <c r="F66" s="253">
        <f>ifs($B66="","",$B66, VLOOKUP($B66&amp;$E66, 'VISIT DATA'!A:O,3,0))</f>
        <v>0.34375</v>
      </c>
      <c r="G66" s="254" t="s">
        <v>6323</v>
      </c>
      <c r="H66" s="255" t="str">
        <f>ifs($B66="","",$B66, VLOOKUP($B66&amp;$E66, 'VISIT DATA'!$A:$O,13,0))</f>
        <v>CH</v>
      </c>
      <c r="I66" s="256" t="str">
        <f>VLOOKUP($B66&amp;$E66,'VISIT DATA'!A:J, 9, FALSE)</f>
        <v>MARTINEZ</v>
      </c>
      <c r="J66" s="257" t="str">
        <f>VLOOKUP(B66&amp;E66,'VISIT DATA'!A:N,10,FALSE)</f>
        <v>WELLMED - UHC DUAL COMPLETE HMO SNP</v>
      </c>
      <c r="K66" s="258"/>
      <c r="L66" s="259" t="s">
        <v>6242</v>
      </c>
      <c r="M66" s="259"/>
      <c r="N66" s="258"/>
      <c r="O66" s="260" t="str">
        <f t="shared" ref="O66:O115" si="1">IF(OR(K66 = "x",L66 = "x",M66 = "x"),"✓", "X")</f>
        <v>✓</v>
      </c>
      <c r="P66" s="251" t="str">
        <f t="shared" ref="P66:P115" si="2">ifs(SEARCH($P$1,$J66)&gt;=1,"X")</f>
        <v>X</v>
      </c>
      <c r="Q66" s="303" t="str">
        <f t="shared" ref="Q66:Q115" si="3">ifs(SEARCH($Q$1,$J66)&gt;=1,"X")</f>
        <v>#VALUE!</v>
      </c>
      <c r="R66" s="304" t="str">
        <f t="shared" ref="R66:R115" si="4">ifs(SEARCH($R$1,$J66)&gt;=1,"X")</f>
        <v>#VALUE!</v>
      </c>
      <c r="S66" s="305" t="str">
        <f t="shared" ref="S66:S115" si="5">ifs(SEARCH($S$1,$J66)&gt;=1,"X")</f>
        <v>#VALUE!</v>
      </c>
      <c r="T66" s="305" t="str">
        <f t="shared" ref="T66:T115" si="6">ifs(SEARCH($T$1,$J66)&gt;=1,"X")</f>
        <v>#VALUE!</v>
      </c>
      <c r="U66" s="255">
        <f t="shared" ref="U66:U115" si="7">countif($P66:$T66,"X")</f>
        <v>1</v>
      </c>
      <c r="V66" s="261" t="str">
        <f>ifs($N66="",VLOOKUP($B66&amp;$E66,'VISIT DATA'!$A$2:$J116,7,FALSE), $N66="SWAB","OUTSA-RW",$N66="SWQU","OUTSA-SaQu", AND($L66="X",$M66="X",$N66="QUEST"),"OUT-UAQPre",$N66="QUEST","OUT-UAQ", $N66="Walk in","ColUATele")</f>
        <v>OUTUA-FURW</v>
      </c>
      <c r="W66" s="306" t="str">
        <f t="shared" ref="W66:W115" si="8">ifs($V66="UA-NWPT","UA-NWPT : UA New Patient",$V66="UA","UA : Urine Analysis In House",$V66="UA-Prelim","UA-Prelim : Preliminary UA Test",$V66="OUT-UAQ","OUT-UAQ : Quest Out UA",$V66="OUT-UAQPre", "OUT-UAQPre : OUT UA Prelim Quest",$V66="OUTSA-SaQu","OUTSA-SaQu : Saliva Out Quest",$V66="ColUATele","Collected Telemed",$V66="OUTUA-PrRW", "OUTUA-PrRW : OUT UA Prelimin Redwood",$V66="OUTUA-FURW", "OUTUA-FURW : OUT UA FU Redwood",$V66="OUTUA-NWRW", "OUTUA-NWRW : OUT UA New Redwood",$V66="OUTSA-RW", "OUTSA-RW : OUT Saliva Redwood")</f>
        <v>OUTUA-FURW : OUT UA FU Redwood</v>
      </c>
      <c r="X66" s="307" t="str">
        <f t="shared" ref="X66:X115" si="9">ifs($B66="","",and($K66="X",$L66="X",$M66="X",$N66="SWAB"), "ERROR",and($K66="X",$L66="X",$N66="SWAB"), "ERROR", and($L66="X",$N66="SWAB"), "OUTSA-RW : OUT Saliva Redwood", and($K66="X",$M66="X", $N66="SWAB"),"ERROR", and($M66="X",$N66="SWAB"), "OUTSA-RW : OUT Saliva Redwood", and($K66="X",$N66="SWAB"),"OUTSA-RW : OUT Saliva Redwood",and($K66="X",$L66="X"),"ERROR", and($K66="X",$M66="X"),"ERROR",and($M66="X",$U66=1), "OUTUA-PrRW : OUT UA Prelimin Redwood", and($K66="X",$U66=1), "OUTUA-NWRW : OUT UA New Redwood", and($L66="X",$U66=1), "OUTUA-FURW : OUT UA FU Redwood", and($L66="X",$M66="X",$U66=1), "OUTUA-PrRW : OUT UA Prelimin Redwood", $K66="X","UA-NWPT : UA New Patient", and($L66="X",$M66="X"),"UA-Prelim : Preliminary UA Test",and($L66="X",$N66="SWAB"),"OUTSA-RW : OUT Saliva Redwood",$L66="X","UA : Urine Analysis In House",$M66="X","UA-Prelim : Preliminary UA Test")</f>
        <v>OUTUA-FURW : OUT UA FU Redwood</v>
      </c>
      <c r="Y66" s="307" t="str">
        <f t="shared" ref="Y66:Y115" si="10">IFS($B66="","",X66=W66,"MATCH",X66&lt;&gt;W66,"NO MATCH")</f>
        <v>MATCH</v>
      </c>
      <c r="Z66" s="259" t="str">
        <f t="shared" ref="Z66:Z115" si="11">IF((countif($B$2:$B116,$B66)&gt;1),"Repeat"," ")</f>
        <v> </v>
      </c>
      <c r="AA66" s="244"/>
    </row>
    <row r="67" hidden="1">
      <c r="A67" s="214" t="str">
        <f>IFS($B67=FALSE,"",$B67,VLOOKUP($B67,'PATIENT DATA (072721)'!A:C, 2, 0))</f>
        <v/>
      </c>
      <c r="B67" s="215"/>
      <c r="C67" s="230" t="str">
        <f>IF(COUNTIF('PATIENT DATA (072721)'!A:A, B67)=0, "X","✓")</f>
        <v>X</v>
      </c>
      <c r="D67" s="217" t="str">
        <f>IFS($B67=FALSE,"",$B67,VLOOKUP($B67,'PATIENT DATA (072721)'!A:C, 3, 0))</f>
        <v/>
      </c>
      <c r="E67" s="218"/>
      <c r="F67" s="219" t="str">
        <f>ifs($B67="","",$B67, VLOOKUP($B67&amp;$E67, 'VISIT DATA'!A:O,3,0))</f>
        <v/>
      </c>
      <c r="G67" s="231"/>
      <c r="H67" s="221" t="str">
        <f>ifs($B67="","",$B67, VLOOKUP($B67&amp;$E67, 'VISIT DATA'!$A:$O,13,0))</f>
        <v/>
      </c>
      <c r="I67" s="262" t="str">
        <f>VLOOKUP($B67&amp;$E67,'VISIT DATA'!A:J, 9, FALSE)</f>
        <v>#N/A</v>
      </c>
      <c r="J67" s="223" t="str">
        <f>VLOOKUP(B67&amp;E67,'VISIT DATA'!A:N,10,FALSE)</f>
        <v>#N/A</v>
      </c>
      <c r="K67" s="225"/>
      <c r="L67" s="224"/>
      <c r="M67" s="224"/>
      <c r="N67" s="225"/>
      <c r="O67" s="216" t="str">
        <f t="shared" si="1"/>
        <v>X</v>
      </c>
      <c r="P67" s="226" t="str">
        <f t="shared" si="2"/>
        <v>#N/A</v>
      </c>
      <c r="Q67" s="227" t="str">
        <f t="shared" si="3"/>
        <v>#N/A</v>
      </c>
      <c r="R67" s="228" t="str">
        <f t="shared" si="4"/>
        <v>#N/A</v>
      </c>
      <c r="S67" s="220" t="str">
        <f t="shared" si="5"/>
        <v>#N/A</v>
      </c>
      <c r="T67" s="220" t="str">
        <f t="shared" si="6"/>
        <v>#N/A</v>
      </c>
      <c r="U67" s="221">
        <f t="shared" si="7"/>
        <v>0</v>
      </c>
      <c r="V67" s="229" t="str">
        <f>ifs($N67="",VLOOKUP($B67&amp;$E67,'VISIT DATA'!$A$2:$J116,7,FALSE), $N67="SWAB","OUTSA-RW",$N67="SWQU","OUTSA-SaQu", AND($L67="X",$M67="X",$N67="QUEST"),"OUT-UAQPre",$N67="QUEST","OUT-UAQ", $N67="Walk in","ColUATele")</f>
        <v>#N/A</v>
      </c>
      <c r="W67" s="24" t="str">
        <f t="shared" si="8"/>
        <v>#N/A</v>
      </c>
      <c r="X67" s="222" t="str">
        <f t="shared" si="9"/>
        <v/>
      </c>
      <c r="Y67" s="222" t="str">
        <f t="shared" si="10"/>
        <v/>
      </c>
      <c r="Z67" s="224" t="str">
        <f t="shared" si="11"/>
        <v> </v>
      </c>
      <c r="AA67" s="244"/>
    </row>
    <row r="68" hidden="1">
      <c r="A68" s="214" t="str">
        <f>IFS($B68=FALSE,"",$B68,VLOOKUP($B68,'PATIENT DATA (072721)'!A:C, 2, 0))</f>
        <v/>
      </c>
      <c r="B68" s="215"/>
      <c r="C68" s="230" t="str">
        <f>IF(COUNTIF('PATIENT DATA (072721)'!A:A, B68)=0, "X","✓")</f>
        <v>X</v>
      </c>
      <c r="D68" s="217" t="str">
        <f>IFS($B68=FALSE,"",$B68,VLOOKUP($B68,'PATIENT DATA (072721)'!A:C, 3, 0))</f>
        <v/>
      </c>
      <c r="E68" s="218"/>
      <c r="F68" s="219" t="str">
        <f>ifs($B68="","",$B68, VLOOKUP($B68&amp;$E68, 'VISIT DATA'!A:O,3,0))</f>
        <v/>
      </c>
      <c r="G68" s="231"/>
      <c r="H68" s="221" t="str">
        <f>ifs($B68="","",$B68, VLOOKUP($B68&amp;$E68, 'VISIT DATA'!$A:$O,13,0))</f>
        <v/>
      </c>
      <c r="I68" s="262" t="str">
        <f>VLOOKUP($B68&amp;$E68,'VISIT DATA'!A:J, 9, FALSE)</f>
        <v>#N/A</v>
      </c>
      <c r="J68" s="223" t="str">
        <f>VLOOKUP(B68&amp;E68,'VISIT DATA'!A:N,10,FALSE)</f>
        <v>#N/A</v>
      </c>
      <c r="K68" s="225"/>
      <c r="L68" s="224"/>
      <c r="M68" s="224"/>
      <c r="N68" s="225"/>
      <c r="O68" s="216" t="str">
        <f t="shared" si="1"/>
        <v>X</v>
      </c>
      <c r="P68" s="226" t="str">
        <f t="shared" si="2"/>
        <v>#N/A</v>
      </c>
      <c r="Q68" s="227" t="str">
        <f t="shared" si="3"/>
        <v>#N/A</v>
      </c>
      <c r="R68" s="228" t="str">
        <f t="shared" si="4"/>
        <v>#N/A</v>
      </c>
      <c r="S68" s="220" t="str">
        <f t="shared" si="5"/>
        <v>#N/A</v>
      </c>
      <c r="T68" s="220" t="str">
        <f t="shared" si="6"/>
        <v>#N/A</v>
      </c>
      <c r="U68" s="221">
        <f t="shared" si="7"/>
        <v>0</v>
      </c>
      <c r="V68" s="229" t="str">
        <f>ifs($N68="",VLOOKUP($B68&amp;$E68,'VISIT DATA'!$A$2:$J116,7,FALSE), $N68="SWAB","OUTSA-RW",$N68="SWQU","OUTSA-SaQu", AND($L68="X",$M68="X",$N68="QUEST"),"OUT-UAQPre",$N68="QUEST","OUT-UAQ", $N68="Walk in","ColUATele")</f>
        <v>#N/A</v>
      </c>
      <c r="W68" s="24" t="str">
        <f t="shared" si="8"/>
        <v>#N/A</v>
      </c>
      <c r="X68" s="222" t="str">
        <f t="shared" si="9"/>
        <v/>
      </c>
      <c r="Y68" s="222" t="str">
        <f t="shared" si="10"/>
        <v/>
      </c>
      <c r="Z68" s="224" t="str">
        <f t="shared" si="11"/>
        <v> </v>
      </c>
      <c r="AA68" s="244"/>
    </row>
    <row r="69" hidden="1">
      <c r="A69" s="214" t="str">
        <f>IFS($B69=FALSE,"",$B69,VLOOKUP($B69,'PATIENT DATA (072721)'!A:C, 2, 0))</f>
        <v/>
      </c>
      <c r="B69" s="215"/>
      <c r="C69" s="230" t="str">
        <f>IF(COUNTIF('PATIENT DATA (072721)'!A:A, B69)=0, "X","✓")</f>
        <v>X</v>
      </c>
      <c r="D69" s="217" t="str">
        <f>IFS($B69=FALSE,"",$B69,VLOOKUP($B69,'PATIENT DATA (072721)'!A:C, 3, 0))</f>
        <v/>
      </c>
      <c r="E69" s="218"/>
      <c r="F69" s="219" t="str">
        <f>ifs($B69="","",$B69, VLOOKUP($B69&amp;$E69, 'VISIT DATA'!A:O,3,0))</f>
        <v/>
      </c>
      <c r="G69" s="231"/>
      <c r="H69" s="221" t="str">
        <f>ifs($B69="","",$B69, VLOOKUP($B69&amp;$E69, 'VISIT DATA'!$A:$O,13,0))</f>
        <v/>
      </c>
      <c r="I69" s="262" t="str">
        <f>VLOOKUP($B69&amp;$E69,'VISIT DATA'!A:J, 9, FALSE)</f>
        <v>#N/A</v>
      </c>
      <c r="J69" s="223" t="str">
        <f>VLOOKUP(B69&amp;E69,'VISIT DATA'!A:N,10,FALSE)</f>
        <v>#N/A</v>
      </c>
      <c r="K69" s="224"/>
      <c r="L69" s="224"/>
      <c r="M69" s="224"/>
      <c r="N69" s="225"/>
      <c r="O69" s="216" t="str">
        <f t="shared" si="1"/>
        <v>X</v>
      </c>
      <c r="P69" s="226" t="str">
        <f t="shared" si="2"/>
        <v>#N/A</v>
      </c>
      <c r="Q69" s="227" t="str">
        <f t="shared" si="3"/>
        <v>#N/A</v>
      </c>
      <c r="R69" s="228" t="str">
        <f t="shared" si="4"/>
        <v>#N/A</v>
      </c>
      <c r="S69" s="220" t="str">
        <f t="shared" si="5"/>
        <v>#N/A</v>
      </c>
      <c r="T69" s="220" t="str">
        <f t="shared" si="6"/>
        <v>#N/A</v>
      </c>
      <c r="U69" s="221">
        <f t="shared" si="7"/>
        <v>0</v>
      </c>
      <c r="V69" s="229" t="str">
        <f>ifs($N69="",VLOOKUP($B69&amp;$E69,'VISIT DATA'!$A$2:$J116,7,FALSE), $N69="SWAB","OUTSA-RW",$N69="SWQU","OUTSA-SaQu", AND($L69="X",$M69="X",$N69="QUEST"),"OUT-UAQPre",$N69="QUEST","OUT-UAQ", $N69="Walk in","ColUATele")</f>
        <v>#N/A</v>
      </c>
      <c r="W69" s="24" t="str">
        <f t="shared" si="8"/>
        <v>#N/A</v>
      </c>
      <c r="X69" s="222" t="str">
        <f t="shared" si="9"/>
        <v/>
      </c>
      <c r="Y69" s="222" t="str">
        <f t="shared" si="10"/>
        <v/>
      </c>
      <c r="Z69" s="224" t="str">
        <f t="shared" si="11"/>
        <v> </v>
      </c>
      <c r="AA69" s="244"/>
    </row>
    <row r="70" hidden="1">
      <c r="A70" s="214" t="str">
        <f>IFS($B70=FALSE,"",$B70,VLOOKUP($B70,'PATIENT DATA (072721)'!A:C, 2, 0))</f>
        <v/>
      </c>
      <c r="B70" s="215"/>
      <c r="C70" s="230" t="str">
        <f>IF(COUNTIF('PATIENT DATA (072721)'!A:A, B70)=0, "X","✓")</f>
        <v>X</v>
      </c>
      <c r="D70" s="217" t="str">
        <f>IFS($B70=FALSE,"",$B70,VLOOKUP($B70,'PATIENT DATA (072721)'!A:C, 3, 0))</f>
        <v/>
      </c>
      <c r="E70" s="218"/>
      <c r="F70" s="219" t="str">
        <f>ifs($B70="","",$B70, VLOOKUP($B70&amp;$E70, 'VISIT DATA'!A:O,3,0))</f>
        <v/>
      </c>
      <c r="G70" s="231"/>
      <c r="H70" s="221" t="str">
        <f>ifs($B70="","",$B70, VLOOKUP($B70&amp;$E70, 'VISIT DATA'!$A:$O,13,0))</f>
        <v/>
      </c>
      <c r="I70" s="262" t="str">
        <f>VLOOKUP($B70&amp;$E70,'VISIT DATA'!A:J, 9, FALSE)</f>
        <v>#N/A</v>
      </c>
      <c r="J70" s="223" t="str">
        <f>VLOOKUP(B70&amp;E70,'VISIT DATA'!A:N,10,FALSE)</f>
        <v>#N/A</v>
      </c>
      <c r="K70" s="225"/>
      <c r="L70" s="224"/>
      <c r="M70" s="224"/>
      <c r="N70" s="225"/>
      <c r="O70" s="216" t="str">
        <f t="shared" si="1"/>
        <v>X</v>
      </c>
      <c r="P70" s="226" t="str">
        <f t="shared" si="2"/>
        <v>#N/A</v>
      </c>
      <c r="Q70" s="227" t="str">
        <f t="shared" si="3"/>
        <v>#N/A</v>
      </c>
      <c r="R70" s="228" t="str">
        <f t="shared" si="4"/>
        <v>#N/A</v>
      </c>
      <c r="S70" s="220" t="str">
        <f t="shared" si="5"/>
        <v>#N/A</v>
      </c>
      <c r="T70" s="220" t="str">
        <f t="shared" si="6"/>
        <v>#N/A</v>
      </c>
      <c r="U70" s="221">
        <f t="shared" si="7"/>
        <v>0</v>
      </c>
      <c r="V70" s="229" t="str">
        <f>ifs($N70="",VLOOKUP($B70&amp;$E70,'VISIT DATA'!$A$2:$J116,7,FALSE), $N70="SWAB","OUTSA-RW",$N70="SWQU","OUTSA-SaQu", AND($L70="X",$M70="X",$N70="QUEST"),"OUT-UAQPre",$N70="QUEST","OUT-UAQ", $N70="Walk in","ColUATele")</f>
        <v>#N/A</v>
      </c>
      <c r="W70" s="24" t="str">
        <f t="shared" si="8"/>
        <v>#N/A</v>
      </c>
      <c r="X70" s="222" t="str">
        <f t="shared" si="9"/>
        <v/>
      </c>
      <c r="Y70" s="222" t="str">
        <f t="shared" si="10"/>
        <v/>
      </c>
      <c r="Z70" s="224" t="str">
        <f t="shared" si="11"/>
        <v> </v>
      </c>
      <c r="AA70" s="244"/>
    </row>
    <row r="71" hidden="1">
      <c r="A71" s="214" t="str">
        <f>IFS($B71=FALSE,"",$B71,VLOOKUP($B71,'PATIENT DATA (072721)'!A:C, 2, 0))</f>
        <v/>
      </c>
      <c r="B71" s="215"/>
      <c r="C71" s="230" t="str">
        <f>IF(COUNTIF('PATIENT DATA (072721)'!A:A, B71)=0, "X","✓")</f>
        <v>X</v>
      </c>
      <c r="D71" s="217" t="str">
        <f>IFS($B71=FALSE,"",$B71,VLOOKUP($B71,'PATIENT DATA (072721)'!A:C, 3, 0))</f>
        <v/>
      </c>
      <c r="E71" s="218"/>
      <c r="F71" s="219" t="str">
        <f>ifs($B71="","",$B71, VLOOKUP($B71&amp;$E71, 'VISIT DATA'!A:O,3,0))</f>
        <v/>
      </c>
      <c r="G71" s="231"/>
      <c r="H71" s="221" t="str">
        <f>ifs($B71="","",$B71, VLOOKUP($B71&amp;$E71, 'VISIT DATA'!$A:$O,13,0))</f>
        <v/>
      </c>
      <c r="I71" s="262" t="str">
        <f>VLOOKUP($B71&amp;$E71,'VISIT DATA'!A:J, 9, FALSE)</f>
        <v>#N/A</v>
      </c>
      <c r="J71" s="223" t="str">
        <f>VLOOKUP(B71&amp;E71,'VISIT DATA'!A:N,10,FALSE)</f>
        <v>#N/A</v>
      </c>
      <c r="K71" s="225"/>
      <c r="L71" s="224"/>
      <c r="M71" s="224"/>
      <c r="N71" s="225"/>
      <c r="O71" s="216" t="str">
        <f t="shared" si="1"/>
        <v>X</v>
      </c>
      <c r="P71" s="226" t="str">
        <f t="shared" si="2"/>
        <v>#N/A</v>
      </c>
      <c r="Q71" s="227" t="str">
        <f t="shared" si="3"/>
        <v>#N/A</v>
      </c>
      <c r="R71" s="228" t="str">
        <f t="shared" si="4"/>
        <v>#N/A</v>
      </c>
      <c r="S71" s="220" t="str">
        <f t="shared" si="5"/>
        <v>#N/A</v>
      </c>
      <c r="T71" s="220" t="str">
        <f t="shared" si="6"/>
        <v>#N/A</v>
      </c>
      <c r="U71" s="221">
        <f t="shared" si="7"/>
        <v>0</v>
      </c>
      <c r="V71" s="229" t="str">
        <f>ifs($N71="",VLOOKUP($B71&amp;$E71,'VISIT DATA'!$A$2:$J116,7,FALSE), $N71="SWAB","OUTSA-RW",$N71="SWQU","OUTSA-SaQu", AND($L71="X",$M71="X",$N71="QUEST"),"OUT-UAQPre",$N71="QUEST","OUT-UAQ", $N71="Walk in","ColUATele")</f>
        <v>#N/A</v>
      </c>
      <c r="W71" s="24" t="str">
        <f t="shared" si="8"/>
        <v>#N/A</v>
      </c>
      <c r="X71" s="222" t="str">
        <f t="shared" si="9"/>
        <v/>
      </c>
      <c r="Y71" s="222" t="str">
        <f t="shared" si="10"/>
        <v/>
      </c>
      <c r="Z71" s="224" t="str">
        <f t="shared" si="11"/>
        <v> </v>
      </c>
      <c r="AA71" s="244"/>
    </row>
    <row r="72" hidden="1">
      <c r="A72" s="214" t="str">
        <f>IFS($B72=FALSE,"",$B72,VLOOKUP($B72,'PATIENT DATA (072721)'!A:C, 2, 0))</f>
        <v/>
      </c>
      <c r="B72" s="215"/>
      <c r="C72" s="230" t="str">
        <f>IF(COUNTIF('PATIENT DATA (072721)'!A:A, B72)=0, "X","✓")</f>
        <v>X</v>
      </c>
      <c r="D72" s="217" t="str">
        <f>IFS($B72=FALSE,"",$B72,VLOOKUP($B72,'PATIENT DATA (072721)'!A:C, 3, 0))</f>
        <v/>
      </c>
      <c r="E72" s="218"/>
      <c r="F72" s="219" t="str">
        <f>ifs($B72="","",$B72, VLOOKUP($B72&amp;$E72, 'VISIT DATA'!A:O,3,0))</f>
        <v/>
      </c>
      <c r="G72" s="231"/>
      <c r="H72" s="221" t="str">
        <f>ifs($B72="","",$B72, VLOOKUP($B72&amp;$E72, 'VISIT DATA'!$A:$O,13,0))</f>
        <v/>
      </c>
      <c r="I72" s="262" t="str">
        <f>VLOOKUP($B72&amp;$E72,'VISIT DATA'!A:J, 9, FALSE)</f>
        <v>#N/A</v>
      </c>
      <c r="J72" s="223" t="str">
        <f>VLOOKUP(B72&amp;E72,'VISIT DATA'!A:N,10,FALSE)</f>
        <v>#N/A</v>
      </c>
      <c r="K72" s="225"/>
      <c r="L72" s="224"/>
      <c r="M72" s="224"/>
      <c r="N72" s="225"/>
      <c r="O72" s="216" t="str">
        <f t="shared" si="1"/>
        <v>X</v>
      </c>
      <c r="P72" s="226" t="str">
        <f t="shared" si="2"/>
        <v>#N/A</v>
      </c>
      <c r="Q72" s="227" t="str">
        <f t="shared" si="3"/>
        <v>#N/A</v>
      </c>
      <c r="R72" s="228" t="str">
        <f t="shared" si="4"/>
        <v>#N/A</v>
      </c>
      <c r="S72" s="220" t="str">
        <f t="shared" si="5"/>
        <v>#N/A</v>
      </c>
      <c r="T72" s="220" t="str">
        <f t="shared" si="6"/>
        <v>#N/A</v>
      </c>
      <c r="U72" s="221">
        <f t="shared" si="7"/>
        <v>0</v>
      </c>
      <c r="V72" s="229" t="str">
        <f>ifs($N72="",VLOOKUP($B72&amp;$E72,'VISIT DATA'!$A$2:$J116,7,FALSE), $N72="SWAB","OUTSA-RW",$N72="SWQU","OUTSA-SaQu", AND($L72="X",$M72="X",$N72="QUEST"),"OUT-UAQPre",$N72="QUEST","OUT-UAQ", $N72="Walk in","ColUATele")</f>
        <v>#N/A</v>
      </c>
      <c r="W72" s="24" t="str">
        <f t="shared" si="8"/>
        <v>#N/A</v>
      </c>
      <c r="X72" s="222" t="str">
        <f t="shared" si="9"/>
        <v/>
      </c>
      <c r="Y72" s="222" t="str">
        <f t="shared" si="10"/>
        <v/>
      </c>
      <c r="Z72" s="224" t="str">
        <f t="shared" si="11"/>
        <v> </v>
      </c>
      <c r="AA72" s="244"/>
    </row>
    <row r="73" hidden="1">
      <c r="A73" s="214" t="str">
        <f>IFS($B73=FALSE,"",$B73,VLOOKUP($B73,'PATIENT DATA (072721)'!A:C, 2, 0))</f>
        <v/>
      </c>
      <c r="B73" s="215"/>
      <c r="C73" s="230" t="str">
        <f>IF(COUNTIF('PATIENT DATA (072721)'!A:A, B73)=0, "X","✓")</f>
        <v>X</v>
      </c>
      <c r="D73" s="217" t="str">
        <f>IFS($B73=FALSE,"",$B73,VLOOKUP($B73,'PATIENT DATA (072721)'!A:C, 3, 0))</f>
        <v/>
      </c>
      <c r="E73" s="218"/>
      <c r="F73" s="219" t="str">
        <f>ifs($B73="","",$B73, VLOOKUP($B73&amp;$E73, 'VISIT DATA'!A:O,3,0))</f>
        <v/>
      </c>
      <c r="G73" s="231"/>
      <c r="H73" s="221" t="str">
        <f>ifs($B73="","",$B73, VLOOKUP($B73&amp;$E73, 'VISIT DATA'!$A:$O,13,0))</f>
        <v/>
      </c>
      <c r="I73" s="262" t="str">
        <f>VLOOKUP($B73&amp;$E73,'VISIT DATA'!A:J, 9, FALSE)</f>
        <v>#N/A</v>
      </c>
      <c r="J73" s="223" t="str">
        <f>VLOOKUP(B73&amp;E73,'VISIT DATA'!A:N,10,FALSE)</f>
        <v>#N/A</v>
      </c>
      <c r="K73" s="225"/>
      <c r="L73" s="224"/>
      <c r="M73" s="224"/>
      <c r="N73" s="225"/>
      <c r="O73" s="216" t="str">
        <f t="shared" si="1"/>
        <v>X</v>
      </c>
      <c r="P73" s="226" t="str">
        <f t="shared" si="2"/>
        <v>#N/A</v>
      </c>
      <c r="Q73" s="227" t="str">
        <f t="shared" si="3"/>
        <v>#N/A</v>
      </c>
      <c r="R73" s="228" t="str">
        <f t="shared" si="4"/>
        <v>#N/A</v>
      </c>
      <c r="S73" s="220" t="str">
        <f t="shared" si="5"/>
        <v>#N/A</v>
      </c>
      <c r="T73" s="220" t="str">
        <f t="shared" si="6"/>
        <v>#N/A</v>
      </c>
      <c r="U73" s="221">
        <f t="shared" si="7"/>
        <v>0</v>
      </c>
      <c r="V73" s="229" t="str">
        <f>ifs($N73="",VLOOKUP($B73&amp;$E73,'VISIT DATA'!$A$2:$J116,7,FALSE), $N73="SWAB","OUTSA-RW",$N73="SWQU","OUTSA-SaQu", AND($L73="X",$M73="X",$N73="QUEST"),"OUT-UAQPre",$N73="QUEST","OUT-UAQ", $N73="Walk in","ColUATele")</f>
        <v>#N/A</v>
      </c>
      <c r="W73" s="24" t="str">
        <f t="shared" si="8"/>
        <v>#N/A</v>
      </c>
      <c r="X73" s="222" t="str">
        <f t="shared" si="9"/>
        <v/>
      </c>
      <c r="Y73" s="222" t="str">
        <f t="shared" si="10"/>
        <v/>
      </c>
      <c r="Z73" s="224" t="str">
        <f t="shared" si="11"/>
        <v> </v>
      </c>
      <c r="AA73" s="244"/>
    </row>
    <row r="74" hidden="1">
      <c r="A74" s="214" t="str">
        <f>IFS($B74=FALSE,"",$B74,VLOOKUP($B74,'PATIENT DATA (072721)'!A:C, 2, 0))</f>
        <v/>
      </c>
      <c r="B74" s="215"/>
      <c r="C74" s="230" t="str">
        <f>IF(COUNTIF('PATIENT DATA (072721)'!A:A, B74)=0, "X","✓")</f>
        <v>X</v>
      </c>
      <c r="D74" s="217" t="str">
        <f>IFS($B74=FALSE,"",$B74,VLOOKUP($B74,'PATIENT DATA (072721)'!A:C, 3, 0))</f>
        <v/>
      </c>
      <c r="E74" s="218"/>
      <c r="F74" s="219" t="str">
        <f>ifs($B74="","",$B74, VLOOKUP($B74&amp;$E74, 'VISIT DATA'!A:O,3,0))</f>
        <v/>
      </c>
      <c r="G74" s="231"/>
      <c r="H74" s="221" t="str">
        <f>ifs($B74="","",$B74, VLOOKUP($B74&amp;$E74, 'VISIT DATA'!$A:$O,13,0))</f>
        <v/>
      </c>
      <c r="I74" s="262" t="str">
        <f>VLOOKUP($B74&amp;$E74,'VISIT DATA'!A:J, 9, FALSE)</f>
        <v>#N/A</v>
      </c>
      <c r="J74" s="223" t="str">
        <f>VLOOKUP(B74&amp;E74,'VISIT DATA'!A:N,10,FALSE)</f>
        <v>#N/A</v>
      </c>
      <c r="K74" s="224"/>
      <c r="L74" s="224"/>
      <c r="M74" s="224"/>
      <c r="N74" s="225"/>
      <c r="O74" s="216" t="str">
        <f t="shared" si="1"/>
        <v>X</v>
      </c>
      <c r="P74" s="226" t="str">
        <f t="shared" si="2"/>
        <v>#N/A</v>
      </c>
      <c r="Q74" s="227" t="str">
        <f t="shared" si="3"/>
        <v>#N/A</v>
      </c>
      <c r="R74" s="228" t="str">
        <f t="shared" si="4"/>
        <v>#N/A</v>
      </c>
      <c r="S74" s="220" t="str">
        <f t="shared" si="5"/>
        <v>#N/A</v>
      </c>
      <c r="T74" s="220" t="str">
        <f t="shared" si="6"/>
        <v>#N/A</v>
      </c>
      <c r="U74" s="221">
        <f t="shared" si="7"/>
        <v>0</v>
      </c>
      <c r="V74" s="229" t="str">
        <f>ifs($N74="",VLOOKUP($B74&amp;$E74,'VISIT DATA'!$A$2:$J116,7,FALSE), $N74="SWAB","OUTSA-RW",$N74="SWQU","OUTSA-SaQu", AND($L74="X",$M74="X",$N74="QUEST"),"OUT-UAQPre",$N74="QUEST","OUT-UAQ", $N74="Walk in","ColUATele")</f>
        <v>#N/A</v>
      </c>
      <c r="W74" s="24" t="str">
        <f t="shared" si="8"/>
        <v>#N/A</v>
      </c>
      <c r="X74" s="222" t="str">
        <f t="shared" si="9"/>
        <v/>
      </c>
      <c r="Y74" s="222" t="str">
        <f t="shared" si="10"/>
        <v/>
      </c>
      <c r="Z74" s="224" t="str">
        <f t="shared" si="11"/>
        <v> </v>
      </c>
      <c r="AA74" s="245"/>
    </row>
    <row r="75" hidden="1">
      <c r="A75" s="214" t="str">
        <f>IFS($B75=FALSE,"",$B75,VLOOKUP($B75,'PATIENT DATA (072721)'!A:C, 2, 0))</f>
        <v/>
      </c>
      <c r="B75" s="215"/>
      <c r="C75" s="230" t="str">
        <f>IF(COUNTIF('PATIENT DATA (072721)'!A:A, B75)=0, "X","✓")</f>
        <v>X</v>
      </c>
      <c r="D75" s="217" t="str">
        <f>IFS($B75=FALSE,"",$B75,VLOOKUP($B75,'PATIENT DATA (072721)'!A:C, 3, 0))</f>
        <v/>
      </c>
      <c r="E75" s="218"/>
      <c r="F75" s="219" t="str">
        <f>ifs($B75="","",$B75, VLOOKUP($B75&amp;$E75, 'VISIT DATA'!A:O,3,0))</f>
        <v/>
      </c>
      <c r="G75" s="231"/>
      <c r="H75" s="221" t="str">
        <f>ifs($B75="","",$B75, VLOOKUP($B75&amp;$E75, 'VISIT DATA'!$A:$O,13,0))</f>
        <v/>
      </c>
      <c r="I75" s="262" t="str">
        <f>VLOOKUP($B75&amp;$E75,'VISIT DATA'!A:J, 9, FALSE)</f>
        <v>#N/A</v>
      </c>
      <c r="J75" s="223" t="str">
        <f>VLOOKUP(B75&amp;E75,'VISIT DATA'!A:N,10,FALSE)</f>
        <v>#N/A</v>
      </c>
      <c r="K75" s="224"/>
      <c r="L75" s="224"/>
      <c r="M75" s="224"/>
      <c r="N75" s="225"/>
      <c r="O75" s="216" t="str">
        <f t="shared" si="1"/>
        <v>X</v>
      </c>
      <c r="P75" s="226" t="str">
        <f t="shared" si="2"/>
        <v>#N/A</v>
      </c>
      <c r="Q75" s="227" t="str">
        <f t="shared" si="3"/>
        <v>#N/A</v>
      </c>
      <c r="R75" s="228" t="str">
        <f t="shared" si="4"/>
        <v>#N/A</v>
      </c>
      <c r="S75" s="220" t="str">
        <f t="shared" si="5"/>
        <v>#N/A</v>
      </c>
      <c r="T75" s="220" t="str">
        <f t="shared" si="6"/>
        <v>#N/A</v>
      </c>
      <c r="U75" s="221">
        <f t="shared" si="7"/>
        <v>0</v>
      </c>
      <c r="V75" s="229" t="str">
        <f>ifs($N75="",VLOOKUP($B75&amp;$E75,'VISIT DATA'!$A$2:$J116,7,FALSE), $N75="SWAB","OUTSA-RW",$N75="SWQU","OUTSA-SaQu", AND($L75="X",$M75="X",$N75="QUEST"),"OUT-UAQPre",$N75="QUEST","OUT-UAQ", $N75="Walk in","ColUATele")</f>
        <v>#N/A</v>
      </c>
      <c r="W75" s="24" t="str">
        <f t="shared" si="8"/>
        <v>#N/A</v>
      </c>
      <c r="X75" s="222" t="str">
        <f t="shared" si="9"/>
        <v/>
      </c>
      <c r="Y75" s="222" t="str">
        <f t="shared" si="10"/>
        <v/>
      </c>
      <c r="Z75" s="224" t="str">
        <f t="shared" si="11"/>
        <v> </v>
      </c>
      <c r="AA75" s="244"/>
    </row>
    <row r="76" hidden="1">
      <c r="A76" s="214" t="str">
        <f>IFS($B76=FALSE,"",$B76,VLOOKUP($B76,'PATIENT DATA (072721)'!A:C, 2, 0))</f>
        <v/>
      </c>
      <c r="B76" s="215"/>
      <c r="C76" s="230" t="str">
        <f>IF(COUNTIF('PATIENT DATA (072721)'!A:A, B76)=0, "X","✓")</f>
        <v>X</v>
      </c>
      <c r="D76" s="217" t="str">
        <f>IFS($B76=FALSE,"",$B76,VLOOKUP($B76,'PATIENT DATA (072721)'!A:C, 3, 0))</f>
        <v/>
      </c>
      <c r="E76" s="218"/>
      <c r="F76" s="219" t="str">
        <f>ifs($B76="","",$B76, VLOOKUP($B76&amp;$E76, 'VISIT DATA'!A:O,3,0))</f>
        <v/>
      </c>
      <c r="G76" s="231"/>
      <c r="H76" s="221" t="str">
        <f>ifs($B76="","",$B76, VLOOKUP($B76&amp;$E76, 'VISIT DATA'!$A:$O,13,0))</f>
        <v/>
      </c>
      <c r="I76" s="262" t="str">
        <f>VLOOKUP($B76&amp;$E76,'VISIT DATA'!A:J, 9, FALSE)</f>
        <v>#N/A</v>
      </c>
      <c r="J76" s="223" t="str">
        <f>VLOOKUP(B76&amp;E76,'VISIT DATA'!A:N,10,FALSE)</f>
        <v>#N/A</v>
      </c>
      <c r="K76" s="225"/>
      <c r="L76" s="224"/>
      <c r="M76" s="224"/>
      <c r="N76" s="225"/>
      <c r="O76" s="216" t="str">
        <f t="shared" si="1"/>
        <v>X</v>
      </c>
      <c r="P76" s="226" t="str">
        <f t="shared" si="2"/>
        <v>#N/A</v>
      </c>
      <c r="Q76" s="227" t="str">
        <f t="shared" si="3"/>
        <v>#N/A</v>
      </c>
      <c r="R76" s="228" t="str">
        <f t="shared" si="4"/>
        <v>#N/A</v>
      </c>
      <c r="S76" s="220" t="str">
        <f t="shared" si="5"/>
        <v>#N/A</v>
      </c>
      <c r="T76" s="220" t="str">
        <f t="shared" si="6"/>
        <v>#N/A</v>
      </c>
      <c r="U76" s="221">
        <f t="shared" si="7"/>
        <v>0</v>
      </c>
      <c r="V76" s="229" t="str">
        <f>ifs($N76="",VLOOKUP($B76&amp;$E76,'VISIT DATA'!$A$2:$J116,7,FALSE), $N76="SWAB","OUTSA-RW",$N76="SWQU","OUTSA-SaQu", AND($L76="X",$M76="X",$N76="QUEST"),"OUT-UAQPre",$N76="QUEST","OUT-UAQ", $N76="Walk in","ColUATele")</f>
        <v>#N/A</v>
      </c>
      <c r="W76" s="24" t="str">
        <f t="shared" si="8"/>
        <v>#N/A</v>
      </c>
      <c r="X76" s="222" t="str">
        <f t="shared" si="9"/>
        <v/>
      </c>
      <c r="Y76" s="222" t="str">
        <f t="shared" si="10"/>
        <v/>
      </c>
      <c r="Z76" s="224" t="str">
        <f t="shared" si="11"/>
        <v> </v>
      </c>
      <c r="AA76" s="244"/>
    </row>
    <row r="77" hidden="1">
      <c r="A77" s="214" t="str">
        <f>IFS($B77=FALSE,"",$B77,VLOOKUP($B77,'PATIENT DATA (072721)'!A:C, 2, 0))</f>
        <v/>
      </c>
      <c r="B77" s="215"/>
      <c r="C77" s="230" t="str">
        <f>IF(COUNTIF('PATIENT DATA (072721)'!A:A, B77)=0, "X","✓")</f>
        <v>X</v>
      </c>
      <c r="D77" s="217" t="str">
        <f>IFS($B77=FALSE,"",$B77,VLOOKUP($B77,'PATIENT DATA (072721)'!A:C, 3, 0))</f>
        <v/>
      </c>
      <c r="E77" s="218"/>
      <c r="F77" s="219" t="str">
        <f>ifs($B77="","",$B77, VLOOKUP($B77&amp;$E77, 'VISIT DATA'!A:O,3,0))</f>
        <v/>
      </c>
      <c r="G77" s="231"/>
      <c r="H77" s="221" t="str">
        <f>ifs($B77="","",$B77, VLOOKUP($B77&amp;$E77, 'VISIT DATA'!$A:$O,13,0))</f>
        <v/>
      </c>
      <c r="I77" s="262" t="str">
        <f>VLOOKUP($B77&amp;$E77,'VISIT DATA'!A:J, 9, FALSE)</f>
        <v>#N/A</v>
      </c>
      <c r="J77" s="223" t="str">
        <f>VLOOKUP(B77&amp;E77,'VISIT DATA'!A:N,10,FALSE)</f>
        <v>#N/A</v>
      </c>
      <c r="K77" s="225"/>
      <c r="L77" s="224"/>
      <c r="M77" s="224"/>
      <c r="N77" s="225"/>
      <c r="O77" s="216" t="str">
        <f t="shared" si="1"/>
        <v>X</v>
      </c>
      <c r="P77" s="226" t="str">
        <f t="shared" si="2"/>
        <v>#N/A</v>
      </c>
      <c r="Q77" s="227" t="str">
        <f t="shared" si="3"/>
        <v>#N/A</v>
      </c>
      <c r="R77" s="228" t="str">
        <f t="shared" si="4"/>
        <v>#N/A</v>
      </c>
      <c r="S77" s="220" t="str">
        <f t="shared" si="5"/>
        <v>#N/A</v>
      </c>
      <c r="T77" s="220" t="str">
        <f t="shared" si="6"/>
        <v>#N/A</v>
      </c>
      <c r="U77" s="221">
        <f t="shared" si="7"/>
        <v>0</v>
      </c>
      <c r="V77" s="229" t="str">
        <f>ifs($N77="",VLOOKUP($B77&amp;$E77,'VISIT DATA'!$A$2:$J116,7,FALSE), $N77="SWAB","OUTSA-RW",$N77="SWQU","OUTSA-SaQu", AND($L77="X",$M77="X",$N77="QUEST"),"OUT-UAQPre",$N77="QUEST","OUT-UAQ", $N77="Walk in","ColUATele")</f>
        <v>#N/A</v>
      </c>
      <c r="W77" s="24" t="str">
        <f t="shared" si="8"/>
        <v>#N/A</v>
      </c>
      <c r="X77" s="222" t="str">
        <f t="shared" si="9"/>
        <v/>
      </c>
      <c r="Y77" s="222" t="str">
        <f t="shared" si="10"/>
        <v/>
      </c>
      <c r="Z77" s="224" t="str">
        <f t="shared" si="11"/>
        <v> </v>
      </c>
      <c r="AA77" s="244"/>
    </row>
    <row r="78" hidden="1">
      <c r="A78" s="214" t="str">
        <f>IFS($B78=FALSE,"",$B78,VLOOKUP($B78,'PATIENT DATA (072721)'!A:C, 2, 0))</f>
        <v/>
      </c>
      <c r="B78" s="215"/>
      <c r="C78" s="230" t="str">
        <f>IF(COUNTIF('PATIENT DATA (072721)'!A:A, B78)=0, "X","✓")</f>
        <v>X</v>
      </c>
      <c r="D78" s="217" t="str">
        <f>IFS($B78=FALSE,"",$B78,VLOOKUP($B78,'PATIENT DATA (072721)'!A:C, 3, 0))</f>
        <v/>
      </c>
      <c r="E78" s="218"/>
      <c r="F78" s="219" t="str">
        <f>ifs($B78="","",$B78, VLOOKUP($B78&amp;$E78, 'VISIT DATA'!A:O,3,0))</f>
        <v/>
      </c>
      <c r="G78" s="231"/>
      <c r="H78" s="221" t="str">
        <f>ifs($B78="","",$B78, VLOOKUP($B78&amp;$E78, 'VISIT DATA'!$A:$O,13,0))</f>
        <v/>
      </c>
      <c r="I78" s="262" t="str">
        <f>VLOOKUP($B78&amp;$E78,'VISIT DATA'!A:J, 9, FALSE)</f>
        <v>#N/A</v>
      </c>
      <c r="J78" s="223" t="str">
        <f>VLOOKUP(B78&amp;E78,'VISIT DATA'!A:N,10,FALSE)</f>
        <v>#N/A</v>
      </c>
      <c r="K78" s="225"/>
      <c r="L78" s="224"/>
      <c r="M78" s="224"/>
      <c r="N78" s="225"/>
      <c r="O78" s="216" t="str">
        <f t="shared" si="1"/>
        <v>X</v>
      </c>
      <c r="P78" s="226" t="str">
        <f t="shared" si="2"/>
        <v>#N/A</v>
      </c>
      <c r="Q78" s="227" t="str">
        <f t="shared" si="3"/>
        <v>#N/A</v>
      </c>
      <c r="R78" s="228" t="str">
        <f t="shared" si="4"/>
        <v>#N/A</v>
      </c>
      <c r="S78" s="220" t="str">
        <f t="shared" si="5"/>
        <v>#N/A</v>
      </c>
      <c r="T78" s="220" t="str">
        <f t="shared" si="6"/>
        <v>#N/A</v>
      </c>
      <c r="U78" s="221">
        <f t="shared" si="7"/>
        <v>0</v>
      </c>
      <c r="V78" s="229" t="str">
        <f>ifs($N78="",VLOOKUP($B78&amp;$E78,'VISIT DATA'!$A$2:$J116,7,FALSE), $N78="SWAB","OUTSA-RW",$N78="SWQU","OUTSA-SaQu", AND($L78="X",$M78="X",$N78="QUEST"),"OUT-UAQPre",$N78="QUEST","OUT-UAQ", $N78="Walk in","ColUATele")</f>
        <v>#N/A</v>
      </c>
      <c r="W78" s="24" t="str">
        <f t="shared" si="8"/>
        <v>#N/A</v>
      </c>
      <c r="X78" s="222" t="str">
        <f t="shared" si="9"/>
        <v/>
      </c>
      <c r="Y78" s="222" t="str">
        <f t="shared" si="10"/>
        <v/>
      </c>
      <c r="Z78" s="224" t="str">
        <f t="shared" si="11"/>
        <v> </v>
      </c>
      <c r="AA78" s="245"/>
    </row>
    <row r="79" hidden="1">
      <c r="A79" s="214" t="str">
        <f>IFS($B79=FALSE,"",$B79,VLOOKUP($B79,'PATIENT DATA (072721)'!A:C, 2, 0))</f>
        <v/>
      </c>
      <c r="B79" s="215"/>
      <c r="C79" s="230" t="str">
        <f>IF(COUNTIF('PATIENT DATA (072721)'!A:A, B79)=0, "X","✓")</f>
        <v>X</v>
      </c>
      <c r="D79" s="217" t="str">
        <f>IFS($B79=FALSE,"",$B79,VLOOKUP($B79,'PATIENT DATA (072721)'!A:C, 3, 0))</f>
        <v/>
      </c>
      <c r="E79" s="218"/>
      <c r="F79" s="219" t="str">
        <f>ifs($B79="","",$B79, VLOOKUP($B79&amp;$E79, 'VISIT DATA'!A:O,3,0))</f>
        <v/>
      </c>
      <c r="G79" s="231"/>
      <c r="H79" s="221" t="str">
        <f>ifs($B79="","",$B79, VLOOKUP($B79&amp;$E79, 'VISIT DATA'!$A:$O,13,0))</f>
        <v/>
      </c>
      <c r="I79" s="262" t="str">
        <f>VLOOKUP($B79&amp;$E79,'VISIT DATA'!A:J, 9, FALSE)</f>
        <v>#N/A</v>
      </c>
      <c r="J79" s="223" t="str">
        <f>VLOOKUP(B79&amp;E79,'VISIT DATA'!A:N,10,FALSE)</f>
        <v>#N/A</v>
      </c>
      <c r="K79" s="225"/>
      <c r="L79" s="224"/>
      <c r="M79" s="224"/>
      <c r="N79" s="225"/>
      <c r="O79" s="216" t="str">
        <f t="shared" si="1"/>
        <v>X</v>
      </c>
      <c r="P79" s="226" t="str">
        <f t="shared" si="2"/>
        <v>#N/A</v>
      </c>
      <c r="Q79" s="227" t="str">
        <f t="shared" si="3"/>
        <v>#N/A</v>
      </c>
      <c r="R79" s="228" t="str">
        <f t="shared" si="4"/>
        <v>#N/A</v>
      </c>
      <c r="S79" s="220" t="str">
        <f t="shared" si="5"/>
        <v>#N/A</v>
      </c>
      <c r="T79" s="220" t="str">
        <f t="shared" si="6"/>
        <v>#N/A</v>
      </c>
      <c r="U79" s="221">
        <f t="shared" si="7"/>
        <v>0</v>
      </c>
      <c r="V79" s="229" t="str">
        <f>ifs($N79="",VLOOKUP($B79&amp;$E79,'VISIT DATA'!$A$2:$J116,7,FALSE), $N79="SWAB","OUTSA-RW",$N79="SWQU","OUTSA-SaQu", AND($L79="X",$M79="X",$N79="QUEST"),"OUT-UAQPre",$N79="QUEST","OUT-UAQ", $N79="Walk in","ColUATele")</f>
        <v>#N/A</v>
      </c>
      <c r="W79" s="24" t="str">
        <f t="shared" si="8"/>
        <v>#N/A</v>
      </c>
      <c r="X79" s="222" t="str">
        <f t="shared" si="9"/>
        <v/>
      </c>
      <c r="Y79" s="222" t="str">
        <f t="shared" si="10"/>
        <v/>
      </c>
      <c r="Z79" s="224" t="str">
        <f t="shared" si="11"/>
        <v> </v>
      </c>
      <c r="AA79" s="244"/>
    </row>
    <row r="80" hidden="1">
      <c r="A80" s="214" t="str">
        <f>IFS($B80=FALSE,"",$B80,VLOOKUP($B80,'PATIENT DATA (072721)'!A:C, 2, 0))</f>
        <v/>
      </c>
      <c r="B80" s="215"/>
      <c r="C80" s="230" t="str">
        <f>IF(COUNTIF('PATIENT DATA (072721)'!A:A, B80)=0, "X","✓")</f>
        <v>X</v>
      </c>
      <c r="D80" s="217" t="str">
        <f>IFS($B80=FALSE,"",$B80,VLOOKUP($B80,'PATIENT DATA (072721)'!A:C, 3, 0))</f>
        <v/>
      </c>
      <c r="E80" s="218"/>
      <c r="F80" s="219" t="str">
        <f>ifs($B80="","",$B80, VLOOKUP($B80&amp;$E80, 'VISIT DATA'!A:O,3,0))</f>
        <v/>
      </c>
      <c r="G80" s="231"/>
      <c r="H80" s="221" t="str">
        <f>ifs($B80="","",$B80, VLOOKUP($B80&amp;$E80, 'VISIT DATA'!$A:$O,13,0))</f>
        <v/>
      </c>
      <c r="I80" s="262" t="str">
        <f>VLOOKUP($B80&amp;$E80,'VISIT DATA'!A:J, 9, FALSE)</f>
        <v>#N/A</v>
      </c>
      <c r="J80" s="223" t="str">
        <f>VLOOKUP(B80&amp;E80,'VISIT DATA'!A:N,10,FALSE)</f>
        <v>#N/A</v>
      </c>
      <c r="K80" s="225"/>
      <c r="L80" s="224"/>
      <c r="M80" s="224"/>
      <c r="N80" s="225"/>
      <c r="O80" s="216" t="str">
        <f t="shared" si="1"/>
        <v>X</v>
      </c>
      <c r="P80" s="226" t="str">
        <f t="shared" si="2"/>
        <v>#N/A</v>
      </c>
      <c r="Q80" s="227" t="str">
        <f t="shared" si="3"/>
        <v>#N/A</v>
      </c>
      <c r="R80" s="228" t="str">
        <f t="shared" si="4"/>
        <v>#N/A</v>
      </c>
      <c r="S80" s="220" t="str">
        <f t="shared" si="5"/>
        <v>#N/A</v>
      </c>
      <c r="T80" s="220" t="str">
        <f t="shared" si="6"/>
        <v>#N/A</v>
      </c>
      <c r="U80" s="221">
        <f t="shared" si="7"/>
        <v>0</v>
      </c>
      <c r="V80" s="229" t="str">
        <f>ifs($N80="",VLOOKUP($B80&amp;$E80,'VISIT DATA'!$A$2:$J116,7,FALSE), $N80="SWAB","OUTSA-RW",$N80="SWQU","OUTSA-SaQu", AND($L80="X",$M80="X",$N80="QUEST"),"OUT-UAQPre",$N80="QUEST","OUT-UAQ", $N80="Walk in","ColUATele")</f>
        <v>#N/A</v>
      </c>
      <c r="W80" s="24" t="str">
        <f t="shared" si="8"/>
        <v>#N/A</v>
      </c>
      <c r="X80" s="222" t="str">
        <f t="shared" si="9"/>
        <v/>
      </c>
      <c r="Y80" s="222" t="str">
        <f t="shared" si="10"/>
        <v/>
      </c>
      <c r="Z80" s="224" t="str">
        <f t="shared" si="11"/>
        <v> </v>
      </c>
      <c r="AA80" s="244"/>
    </row>
    <row r="81" hidden="1">
      <c r="A81" s="214" t="str">
        <f>IFS($B81=FALSE,"",$B81,VLOOKUP($B81,'PATIENT DATA (072721)'!A:C, 2, 0))</f>
        <v/>
      </c>
      <c r="B81" s="215"/>
      <c r="C81" s="230" t="str">
        <f>IF(COUNTIF('PATIENT DATA (072721)'!A:A, B81)=0, "X","✓")</f>
        <v>X</v>
      </c>
      <c r="D81" s="217" t="str">
        <f>IFS($B81=FALSE,"",$B81,VLOOKUP($B81,'PATIENT DATA (072721)'!A:C, 3, 0))</f>
        <v/>
      </c>
      <c r="E81" s="218"/>
      <c r="F81" s="219" t="str">
        <f>ifs($B81="","",$B81, VLOOKUP($B81&amp;$E81, 'VISIT DATA'!A:O,3,0))</f>
        <v/>
      </c>
      <c r="G81" s="231"/>
      <c r="H81" s="221" t="str">
        <f>ifs($B81="","",$B81, VLOOKUP($B81&amp;$E81, 'VISIT DATA'!$A:$O,13,0))</f>
        <v/>
      </c>
      <c r="I81" s="262" t="str">
        <f>VLOOKUP($B81&amp;$E81,'VISIT DATA'!A:J, 9, FALSE)</f>
        <v>#N/A</v>
      </c>
      <c r="J81" s="223" t="str">
        <f>VLOOKUP(B81&amp;E81,'VISIT DATA'!A:N,10,FALSE)</f>
        <v>#N/A</v>
      </c>
      <c r="K81" s="225"/>
      <c r="L81" s="224"/>
      <c r="M81" s="224"/>
      <c r="N81" s="225"/>
      <c r="O81" s="216" t="str">
        <f t="shared" si="1"/>
        <v>X</v>
      </c>
      <c r="P81" s="226" t="str">
        <f t="shared" si="2"/>
        <v>#N/A</v>
      </c>
      <c r="Q81" s="227" t="str">
        <f t="shared" si="3"/>
        <v>#N/A</v>
      </c>
      <c r="R81" s="228" t="str">
        <f t="shared" si="4"/>
        <v>#N/A</v>
      </c>
      <c r="S81" s="220" t="str">
        <f t="shared" si="5"/>
        <v>#N/A</v>
      </c>
      <c r="T81" s="220" t="str">
        <f t="shared" si="6"/>
        <v>#N/A</v>
      </c>
      <c r="U81" s="221">
        <f t="shared" si="7"/>
        <v>0</v>
      </c>
      <c r="V81" s="229" t="str">
        <f>ifs($N81="",VLOOKUP($B81&amp;$E81,'VISIT DATA'!$A$2:$J116,7,FALSE), $N81="SWAB","OUTSA-RW",$N81="SWQU","OUTSA-SaQu", AND($L81="X",$M81="X",$N81="QUEST"),"OUT-UAQPre",$N81="QUEST","OUT-UAQ", $N81="Walk in","ColUATele")</f>
        <v>#N/A</v>
      </c>
      <c r="W81" s="24" t="str">
        <f t="shared" si="8"/>
        <v>#N/A</v>
      </c>
      <c r="X81" s="222" t="str">
        <f t="shared" si="9"/>
        <v/>
      </c>
      <c r="Y81" s="222" t="str">
        <f t="shared" si="10"/>
        <v/>
      </c>
      <c r="Z81" s="224" t="str">
        <f t="shared" si="11"/>
        <v> </v>
      </c>
      <c r="AA81" s="244"/>
    </row>
    <row r="82" hidden="1">
      <c r="A82" s="214" t="str">
        <f>IFS($B82=FALSE,"",$B82,VLOOKUP($B82,'PATIENT DATA (072721)'!A:C, 2, 0))</f>
        <v/>
      </c>
      <c r="B82" s="215"/>
      <c r="C82" s="230" t="str">
        <f>IF(COUNTIF('PATIENT DATA (072721)'!A:A, B82)=0, "X","✓")</f>
        <v>X</v>
      </c>
      <c r="D82" s="217" t="str">
        <f>IFS($B82=FALSE,"",$B82,VLOOKUP($B82,'PATIENT DATA (072721)'!A:C, 3, 0))</f>
        <v/>
      </c>
      <c r="E82" s="218"/>
      <c r="F82" s="219" t="str">
        <f>ifs($B82="","",$B82, VLOOKUP($B82&amp;$E82, 'VISIT DATA'!A:O,3,0))</f>
        <v/>
      </c>
      <c r="G82" s="231"/>
      <c r="H82" s="221" t="str">
        <f>ifs($B82="","",$B82, VLOOKUP($B82&amp;$E82, 'VISIT DATA'!$A:$O,13,0))</f>
        <v/>
      </c>
      <c r="I82" s="262" t="str">
        <f>VLOOKUP($B82&amp;$E82,'VISIT DATA'!A:J, 9, FALSE)</f>
        <v>#N/A</v>
      </c>
      <c r="J82" s="223" t="str">
        <f>VLOOKUP(B82&amp;E82,'VISIT DATA'!A:N,10,FALSE)</f>
        <v>#N/A</v>
      </c>
      <c r="K82" s="225"/>
      <c r="L82" s="224"/>
      <c r="M82" s="224"/>
      <c r="N82" s="225"/>
      <c r="O82" s="216" t="str">
        <f t="shared" si="1"/>
        <v>X</v>
      </c>
      <c r="P82" s="226" t="str">
        <f t="shared" si="2"/>
        <v>#N/A</v>
      </c>
      <c r="Q82" s="227" t="str">
        <f t="shared" si="3"/>
        <v>#N/A</v>
      </c>
      <c r="R82" s="228" t="str">
        <f t="shared" si="4"/>
        <v>#N/A</v>
      </c>
      <c r="S82" s="220" t="str">
        <f t="shared" si="5"/>
        <v>#N/A</v>
      </c>
      <c r="T82" s="220" t="str">
        <f t="shared" si="6"/>
        <v>#N/A</v>
      </c>
      <c r="U82" s="221">
        <f t="shared" si="7"/>
        <v>0</v>
      </c>
      <c r="V82" s="229" t="str">
        <f>ifs($N82="",VLOOKUP($B82&amp;$E82,'VISIT DATA'!$A$2:$J116,7,FALSE), $N82="SWAB","OUTSA-RW",$N82="SWQU","OUTSA-SaQu", AND($L82="X",$M82="X",$N82="QUEST"),"OUT-UAQPre",$N82="QUEST","OUT-UAQ", $N82="Walk in","ColUATele")</f>
        <v>#N/A</v>
      </c>
      <c r="W82" s="24" t="str">
        <f t="shared" si="8"/>
        <v>#N/A</v>
      </c>
      <c r="X82" s="222" t="str">
        <f t="shared" si="9"/>
        <v/>
      </c>
      <c r="Y82" s="222" t="str">
        <f t="shared" si="10"/>
        <v/>
      </c>
      <c r="Z82" s="224" t="str">
        <f t="shared" si="11"/>
        <v> </v>
      </c>
      <c r="AA82" s="244"/>
    </row>
    <row r="83" hidden="1">
      <c r="A83" s="214" t="str">
        <f>IFS($B83=FALSE,"",$B83,VLOOKUP($B83,'PATIENT DATA (072721)'!A:C, 2, 0))</f>
        <v/>
      </c>
      <c r="B83" s="215"/>
      <c r="C83" s="230" t="str">
        <f>IF(COUNTIF('PATIENT DATA (072721)'!A:A, B83)=0, "X","✓")</f>
        <v>X</v>
      </c>
      <c r="D83" s="217" t="str">
        <f>IFS($B83=FALSE,"",$B83,VLOOKUP($B83,'PATIENT DATA (072721)'!A:C, 3, 0))</f>
        <v/>
      </c>
      <c r="E83" s="218"/>
      <c r="F83" s="219" t="str">
        <f>ifs($B83="","",$B83, VLOOKUP($B83&amp;$E83, 'VISIT DATA'!A:O,3,0))</f>
        <v/>
      </c>
      <c r="G83" s="231"/>
      <c r="H83" s="221" t="str">
        <f>ifs($B83="","",$B83, VLOOKUP($B83&amp;$E83, 'VISIT DATA'!$A:$O,13,0))</f>
        <v/>
      </c>
      <c r="I83" s="262" t="str">
        <f>VLOOKUP($B83&amp;$E83,'VISIT DATA'!A:J, 9, FALSE)</f>
        <v>#N/A</v>
      </c>
      <c r="J83" s="223" t="str">
        <f>VLOOKUP(B83&amp;E83,'VISIT DATA'!A:N,10,FALSE)</f>
        <v>#N/A</v>
      </c>
      <c r="K83" s="225"/>
      <c r="L83" s="224"/>
      <c r="M83" s="224"/>
      <c r="N83" s="225"/>
      <c r="O83" s="216" t="str">
        <f t="shared" si="1"/>
        <v>X</v>
      </c>
      <c r="P83" s="226" t="str">
        <f t="shared" si="2"/>
        <v>#N/A</v>
      </c>
      <c r="Q83" s="227" t="str">
        <f t="shared" si="3"/>
        <v>#N/A</v>
      </c>
      <c r="R83" s="228" t="str">
        <f t="shared" si="4"/>
        <v>#N/A</v>
      </c>
      <c r="S83" s="220" t="str">
        <f t="shared" si="5"/>
        <v>#N/A</v>
      </c>
      <c r="T83" s="220" t="str">
        <f t="shared" si="6"/>
        <v>#N/A</v>
      </c>
      <c r="U83" s="221">
        <f t="shared" si="7"/>
        <v>0</v>
      </c>
      <c r="V83" s="229" t="str">
        <f>ifs($N83="",VLOOKUP($B83&amp;$E83,'VISIT DATA'!$A$2:$J116,7,FALSE), $N83="SWAB","OUTSA-RW",$N83="SWQU","OUTSA-SaQu", AND($L83="X",$M83="X",$N83="QUEST"),"OUT-UAQPre",$N83="QUEST","OUT-UAQ", $N83="Walk in","ColUATele")</f>
        <v>#N/A</v>
      </c>
      <c r="W83" s="24" t="str">
        <f t="shared" si="8"/>
        <v>#N/A</v>
      </c>
      <c r="X83" s="222" t="str">
        <f t="shared" si="9"/>
        <v/>
      </c>
      <c r="Y83" s="222" t="str">
        <f t="shared" si="10"/>
        <v/>
      </c>
      <c r="Z83" s="224" t="str">
        <f t="shared" si="11"/>
        <v> </v>
      </c>
      <c r="AA83" s="244"/>
    </row>
    <row r="84" hidden="1">
      <c r="A84" s="214" t="str">
        <f>IFS($B84=FALSE,"",$B84,VLOOKUP($B84,'PATIENT DATA (072721)'!A:C, 2, 0))</f>
        <v/>
      </c>
      <c r="B84" s="215"/>
      <c r="C84" s="230" t="str">
        <f>IF(COUNTIF('PATIENT DATA (072721)'!A:A, B84)=0, "X","✓")</f>
        <v>X</v>
      </c>
      <c r="D84" s="217" t="str">
        <f>IFS($B84=FALSE,"",$B84,VLOOKUP($B84,'PATIENT DATA (072721)'!A:C, 3, 0))</f>
        <v/>
      </c>
      <c r="E84" s="218"/>
      <c r="F84" s="219" t="str">
        <f>ifs($B84="","",$B84, VLOOKUP($B84&amp;$E84, 'VISIT DATA'!A:O,3,0))</f>
        <v/>
      </c>
      <c r="G84" s="231"/>
      <c r="H84" s="221" t="str">
        <f>ifs($B84="","",$B84, VLOOKUP($B84&amp;$E84, 'VISIT DATA'!$A:$O,13,0))</f>
        <v/>
      </c>
      <c r="I84" s="262" t="str">
        <f>VLOOKUP($B84&amp;$E84,'VISIT DATA'!A:J, 9, FALSE)</f>
        <v>#N/A</v>
      </c>
      <c r="J84" s="223" t="str">
        <f>VLOOKUP(B84&amp;E84,'VISIT DATA'!A:N,10,FALSE)</f>
        <v>#N/A</v>
      </c>
      <c r="K84" s="225"/>
      <c r="L84" s="224"/>
      <c r="M84" s="224"/>
      <c r="N84" s="225"/>
      <c r="O84" s="216" t="str">
        <f t="shared" si="1"/>
        <v>X</v>
      </c>
      <c r="P84" s="226" t="str">
        <f t="shared" si="2"/>
        <v>#N/A</v>
      </c>
      <c r="Q84" s="227" t="str">
        <f t="shared" si="3"/>
        <v>#N/A</v>
      </c>
      <c r="R84" s="228" t="str">
        <f t="shared" si="4"/>
        <v>#N/A</v>
      </c>
      <c r="S84" s="220" t="str">
        <f t="shared" si="5"/>
        <v>#N/A</v>
      </c>
      <c r="T84" s="220" t="str">
        <f t="shared" si="6"/>
        <v>#N/A</v>
      </c>
      <c r="U84" s="221">
        <f t="shared" si="7"/>
        <v>0</v>
      </c>
      <c r="V84" s="229" t="str">
        <f>ifs($N84="",VLOOKUP($B84&amp;$E84,'VISIT DATA'!$A$2:$J116,7,FALSE), $N84="SWAB","OUTSA-RW",$N84="SWQU","OUTSA-SaQu", AND($L84="X",$M84="X",$N84="QUEST"),"OUT-UAQPre",$N84="QUEST","OUT-UAQ", $N84="Walk in","ColUATele")</f>
        <v>#N/A</v>
      </c>
      <c r="W84" s="24" t="str">
        <f t="shared" si="8"/>
        <v>#N/A</v>
      </c>
      <c r="X84" s="222" t="str">
        <f t="shared" si="9"/>
        <v/>
      </c>
      <c r="Y84" s="222" t="str">
        <f t="shared" si="10"/>
        <v/>
      </c>
      <c r="Z84" s="224" t="str">
        <f t="shared" si="11"/>
        <v> </v>
      </c>
      <c r="AA84" s="244"/>
    </row>
    <row r="85" hidden="1">
      <c r="A85" s="214" t="str">
        <f>IFS($B85=FALSE,"",$B85,VLOOKUP($B85,'PATIENT DATA (072721)'!A:C, 2, 0))</f>
        <v/>
      </c>
      <c r="B85" s="215"/>
      <c r="C85" s="230" t="str">
        <f>IF(COUNTIF('PATIENT DATA (072721)'!A:A, B85)=0, "X","✓")</f>
        <v>X</v>
      </c>
      <c r="D85" s="217" t="str">
        <f>IFS($B85=FALSE,"",$B85,VLOOKUP($B85,'PATIENT DATA (072721)'!A:C, 3, 0))</f>
        <v/>
      </c>
      <c r="E85" s="218"/>
      <c r="F85" s="219" t="str">
        <f>ifs($B85="","",$B85, VLOOKUP($B85&amp;$E85, 'VISIT DATA'!A:O,3,0))</f>
        <v/>
      </c>
      <c r="G85" s="231"/>
      <c r="H85" s="221" t="str">
        <f>ifs($B85="","",$B85, VLOOKUP($B85&amp;$E85, 'VISIT DATA'!$A:$O,13,0))</f>
        <v/>
      </c>
      <c r="I85" s="262" t="str">
        <f>VLOOKUP($B85&amp;$E85,'VISIT DATA'!A:J, 9, FALSE)</f>
        <v>#N/A</v>
      </c>
      <c r="J85" s="223" t="str">
        <f>VLOOKUP(B85&amp;E85,'VISIT DATA'!A:N,10,FALSE)</f>
        <v>#N/A</v>
      </c>
      <c r="K85" s="224"/>
      <c r="L85" s="224"/>
      <c r="M85" s="224"/>
      <c r="N85" s="225"/>
      <c r="O85" s="216" t="str">
        <f t="shared" si="1"/>
        <v>X</v>
      </c>
      <c r="P85" s="226" t="str">
        <f t="shared" si="2"/>
        <v>#N/A</v>
      </c>
      <c r="Q85" s="227" t="str">
        <f t="shared" si="3"/>
        <v>#N/A</v>
      </c>
      <c r="R85" s="228" t="str">
        <f t="shared" si="4"/>
        <v>#N/A</v>
      </c>
      <c r="S85" s="220" t="str">
        <f t="shared" si="5"/>
        <v>#N/A</v>
      </c>
      <c r="T85" s="220" t="str">
        <f t="shared" si="6"/>
        <v>#N/A</v>
      </c>
      <c r="U85" s="221">
        <f t="shared" si="7"/>
        <v>0</v>
      </c>
      <c r="V85" s="229" t="str">
        <f>ifs($N85="",VLOOKUP($B85&amp;$E85,'VISIT DATA'!$A$2:$J116,7,FALSE), $N85="SWAB","OUTSA-RW",$N85="SWQU","OUTSA-SaQu", AND($L85="X",$M85="X",$N85="QUEST"),"OUT-UAQPre",$N85="QUEST","OUT-UAQ", $N85="Walk in","ColUATele")</f>
        <v>#N/A</v>
      </c>
      <c r="W85" s="24" t="str">
        <f t="shared" si="8"/>
        <v>#N/A</v>
      </c>
      <c r="X85" s="222" t="str">
        <f t="shared" si="9"/>
        <v/>
      </c>
      <c r="Y85" s="222" t="str">
        <f t="shared" si="10"/>
        <v/>
      </c>
      <c r="Z85" s="224" t="str">
        <f t="shared" si="11"/>
        <v> </v>
      </c>
      <c r="AA85" s="244"/>
    </row>
    <row r="86" hidden="1">
      <c r="A86" s="214" t="str">
        <f>IFS($B86=FALSE,"",$B86,VLOOKUP($B86,'PATIENT DATA (072721)'!A:C, 2, 0))</f>
        <v/>
      </c>
      <c r="B86" s="215"/>
      <c r="C86" s="230" t="str">
        <f>IF(COUNTIF('PATIENT DATA (072721)'!A:A, B86)=0, "X","✓")</f>
        <v>X</v>
      </c>
      <c r="D86" s="217" t="str">
        <f>IFS($B86=FALSE,"",$B86,VLOOKUP($B86,'PATIENT DATA (072721)'!A:C, 3, 0))</f>
        <v/>
      </c>
      <c r="E86" s="218"/>
      <c r="F86" s="219" t="str">
        <f>ifs($B86="","",$B86, VLOOKUP($B86&amp;$E86, 'VISIT DATA'!A:O,3,0))</f>
        <v/>
      </c>
      <c r="G86" s="231"/>
      <c r="H86" s="221" t="str">
        <f>ifs($B86="","",$B86, VLOOKUP($B86&amp;$E86, 'VISIT DATA'!$A:$O,13,0))</f>
        <v/>
      </c>
      <c r="I86" s="262" t="str">
        <f>VLOOKUP($B86&amp;$E86,'VISIT DATA'!A:J, 9, FALSE)</f>
        <v>#N/A</v>
      </c>
      <c r="J86" s="223" t="str">
        <f>VLOOKUP(B86&amp;E86,'VISIT DATA'!A:N,10,FALSE)</f>
        <v>#N/A</v>
      </c>
      <c r="K86" s="224"/>
      <c r="L86" s="224"/>
      <c r="M86" s="224"/>
      <c r="N86" s="225"/>
      <c r="O86" s="216" t="str">
        <f t="shared" si="1"/>
        <v>X</v>
      </c>
      <c r="P86" s="226" t="str">
        <f t="shared" si="2"/>
        <v>#N/A</v>
      </c>
      <c r="Q86" s="227" t="str">
        <f t="shared" si="3"/>
        <v>#N/A</v>
      </c>
      <c r="R86" s="228" t="str">
        <f t="shared" si="4"/>
        <v>#N/A</v>
      </c>
      <c r="S86" s="220" t="str">
        <f t="shared" si="5"/>
        <v>#N/A</v>
      </c>
      <c r="T86" s="220" t="str">
        <f t="shared" si="6"/>
        <v>#N/A</v>
      </c>
      <c r="U86" s="221">
        <f t="shared" si="7"/>
        <v>0</v>
      </c>
      <c r="V86" s="229" t="str">
        <f>ifs($N86="",VLOOKUP($B86&amp;$E86,'VISIT DATA'!$A$2:$J116,7,FALSE), $N86="SWAB","OUTSA-RW",$N86="SWQU","OUTSA-SaQu", AND($L86="X",$M86="X",$N86="QUEST"),"OUT-UAQPre",$N86="QUEST","OUT-UAQ", $N86="Walk in","ColUATele")</f>
        <v>#N/A</v>
      </c>
      <c r="W86" s="24" t="str">
        <f t="shared" si="8"/>
        <v>#N/A</v>
      </c>
      <c r="X86" s="222" t="str">
        <f t="shared" si="9"/>
        <v/>
      </c>
      <c r="Y86" s="222" t="str">
        <f t="shared" si="10"/>
        <v/>
      </c>
      <c r="Z86" s="224" t="str">
        <f t="shared" si="11"/>
        <v> </v>
      </c>
      <c r="AA86" s="244"/>
    </row>
    <row r="87" hidden="1">
      <c r="A87" s="214" t="str">
        <f>IFS($B87=FALSE,"",$B87,VLOOKUP($B87,'PATIENT DATA (072721)'!A:C, 2, 0))</f>
        <v/>
      </c>
      <c r="B87" s="215"/>
      <c r="C87" s="230" t="str">
        <f>IF(COUNTIF('PATIENT DATA (072721)'!A:A, B87)=0, "X","✓")</f>
        <v>X</v>
      </c>
      <c r="D87" s="217" t="str">
        <f>IFS($B87=FALSE,"",$B87,VLOOKUP($B87,'PATIENT DATA (072721)'!A:C, 3, 0))</f>
        <v/>
      </c>
      <c r="E87" s="218"/>
      <c r="F87" s="219" t="str">
        <f>ifs($B87="","",$B87, VLOOKUP($B87&amp;$E87, 'VISIT DATA'!A:O,3,0))</f>
        <v/>
      </c>
      <c r="G87" s="231"/>
      <c r="H87" s="221" t="str">
        <f>ifs($B87="","",$B87, VLOOKUP($B87&amp;$E87, 'VISIT DATA'!$A:$O,13,0))</f>
        <v/>
      </c>
      <c r="I87" s="262" t="str">
        <f>VLOOKUP($B87&amp;$E87,'VISIT DATA'!A:J, 9, FALSE)</f>
        <v>#N/A</v>
      </c>
      <c r="J87" s="223" t="str">
        <f>VLOOKUP(B87&amp;E87,'VISIT DATA'!A:N,10,FALSE)</f>
        <v>#N/A</v>
      </c>
      <c r="K87" s="225"/>
      <c r="L87" s="224"/>
      <c r="M87" s="224"/>
      <c r="N87" s="225"/>
      <c r="O87" s="216" t="str">
        <f t="shared" si="1"/>
        <v>X</v>
      </c>
      <c r="P87" s="226" t="str">
        <f t="shared" si="2"/>
        <v>#N/A</v>
      </c>
      <c r="Q87" s="227" t="str">
        <f t="shared" si="3"/>
        <v>#N/A</v>
      </c>
      <c r="R87" s="228" t="str">
        <f t="shared" si="4"/>
        <v>#N/A</v>
      </c>
      <c r="S87" s="220" t="str">
        <f t="shared" si="5"/>
        <v>#N/A</v>
      </c>
      <c r="T87" s="220" t="str">
        <f t="shared" si="6"/>
        <v>#N/A</v>
      </c>
      <c r="U87" s="221">
        <f t="shared" si="7"/>
        <v>0</v>
      </c>
      <c r="V87" s="229" t="str">
        <f>ifs($N87="",VLOOKUP($B87&amp;$E87,'VISIT DATA'!$A$2:$J116,7,FALSE), $N87="SWAB","OUTSA-RW",$N87="SWQU","OUTSA-SaQu", AND($L87="X",$M87="X",$N87="QUEST"),"OUT-UAQPre",$N87="QUEST","OUT-UAQ", $N87="Walk in","ColUATele")</f>
        <v>#N/A</v>
      </c>
      <c r="W87" s="24" t="str">
        <f t="shared" si="8"/>
        <v>#N/A</v>
      </c>
      <c r="X87" s="222" t="str">
        <f t="shared" si="9"/>
        <v/>
      </c>
      <c r="Y87" s="222" t="str">
        <f t="shared" si="10"/>
        <v/>
      </c>
      <c r="Z87" s="224" t="str">
        <f t="shared" si="11"/>
        <v> </v>
      </c>
      <c r="AA87" s="244"/>
    </row>
    <row r="88" hidden="1">
      <c r="A88" s="214" t="str">
        <f>IFS($B88=FALSE,"",$B88,VLOOKUP($B88,'PATIENT DATA (072721)'!A:C, 2, 0))</f>
        <v/>
      </c>
      <c r="B88" s="215"/>
      <c r="C88" s="230" t="str">
        <f>IF(COUNTIF('PATIENT DATA (072721)'!A:A, B88)=0, "X","✓")</f>
        <v>X</v>
      </c>
      <c r="D88" s="217" t="str">
        <f>IFS($B88=FALSE,"",$B88,VLOOKUP($B88,'PATIENT DATA (072721)'!A:C, 3, 0))</f>
        <v/>
      </c>
      <c r="E88" s="218"/>
      <c r="F88" s="219" t="str">
        <f>ifs($B88="","",$B88, VLOOKUP($B88&amp;$E88, 'VISIT DATA'!A:O,3,0))</f>
        <v/>
      </c>
      <c r="G88" s="231"/>
      <c r="H88" s="221" t="str">
        <f>ifs($B88="","",$B88, VLOOKUP($B88&amp;$E88, 'VISIT DATA'!$A:$O,13,0))</f>
        <v/>
      </c>
      <c r="I88" s="262" t="str">
        <f>VLOOKUP($B88&amp;$E88,'VISIT DATA'!A:J, 9, FALSE)</f>
        <v>#N/A</v>
      </c>
      <c r="J88" s="223" t="str">
        <f>VLOOKUP(B88&amp;E88,'VISIT DATA'!A:N,10,FALSE)</f>
        <v>#N/A</v>
      </c>
      <c r="K88" s="225"/>
      <c r="L88" s="224"/>
      <c r="M88" s="224"/>
      <c r="N88" s="225"/>
      <c r="O88" s="216" t="str">
        <f t="shared" si="1"/>
        <v>X</v>
      </c>
      <c r="P88" s="226" t="str">
        <f t="shared" si="2"/>
        <v>#N/A</v>
      </c>
      <c r="Q88" s="227" t="str">
        <f t="shared" si="3"/>
        <v>#N/A</v>
      </c>
      <c r="R88" s="228" t="str">
        <f t="shared" si="4"/>
        <v>#N/A</v>
      </c>
      <c r="S88" s="220" t="str">
        <f t="shared" si="5"/>
        <v>#N/A</v>
      </c>
      <c r="T88" s="220" t="str">
        <f t="shared" si="6"/>
        <v>#N/A</v>
      </c>
      <c r="U88" s="221">
        <f t="shared" si="7"/>
        <v>0</v>
      </c>
      <c r="V88" s="229" t="str">
        <f>ifs($N88="",VLOOKUP($B88&amp;$E88,'VISIT DATA'!$A$2:$J116,7,FALSE), $N88="SWAB","OUTSA-RW",$N88="SWQU","OUTSA-SaQu", AND($L88="X",$M88="X",$N88="QUEST"),"OUT-UAQPre",$N88="QUEST","OUT-UAQ", $N88="Walk in","ColUATele")</f>
        <v>#N/A</v>
      </c>
      <c r="W88" s="24" t="str">
        <f t="shared" si="8"/>
        <v>#N/A</v>
      </c>
      <c r="X88" s="222" t="str">
        <f t="shared" si="9"/>
        <v/>
      </c>
      <c r="Y88" s="222" t="str">
        <f t="shared" si="10"/>
        <v/>
      </c>
      <c r="Z88" s="224" t="str">
        <f t="shared" si="11"/>
        <v> </v>
      </c>
      <c r="AA88" s="244"/>
    </row>
    <row r="89" hidden="1">
      <c r="A89" s="214" t="str">
        <f>IFS($B89=FALSE,"",$B89,VLOOKUP($B89,'PATIENT DATA (072721)'!A:C, 2, 0))</f>
        <v/>
      </c>
      <c r="B89" s="289"/>
      <c r="C89" s="230" t="str">
        <f>IF(COUNTIF('PATIENT DATA (072721)'!A:A, B89)=0, "X","✓")</f>
        <v>X</v>
      </c>
      <c r="D89" s="217" t="str">
        <f>IFS($B89=FALSE,"",$B89,VLOOKUP($B89,'PATIENT DATA (072721)'!A:C, 3, 0))</f>
        <v/>
      </c>
      <c r="E89" s="218"/>
      <c r="F89" s="219" t="str">
        <f>ifs($B89="","",$B89, VLOOKUP($B89&amp;$E89, 'VISIT DATA'!A:O,3,0))</f>
        <v/>
      </c>
      <c r="G89" s="231"/>
      <c r="H89" s="221" t="str">
        <f>ifs($B89="","",$B89, VLOOKUP($B89&amp;$E89, 'VISIT DATA'!$A:$O,13,0))</f>
        <v/>
      </c>
      <c r="I89" s="262" t="str">
        <f>VLOOKUP($B89&amp;$E89,'VISIT DATA'!A:J, 9, FALSE)</f>
        <v>#N/A</v>
      </c>
      <c r="J89" s="223" t="str">
        <f>VLOOKUP(B89&amp;E89,'VISIT DATA'!A:N,10,FALSE)</f>
        <v>#N/A</v>
      </c>
      <c r="K89" s="225"/>
      <c r="L89" s="224"/>
      <c r="M89" s="224"/>
      <c r="N89" s="225"/>
      <c r="O89" s="216" t="str">
        <f t="shared" si="1"/>
        <v>X</v>
      </c>
      <c r="P89" s="226" t="str">
        <f t="shared" si="2"/>
        <v>#N/A</v>
      </c>
      <c r="Q89" s="227" t="str">
        <f t="shared" si="3"/>
        <v>#N/A</v>
      </c>
      <c r="R89" s="228" t="str">
        <f t="shared" si="4"/>
        <v>#N/A</v>
      </c>
      <c r="S89" s="220" t="str">
        <f t="shared" si="5"/>
        <v>#N/A</v>
      </c>
      <c r="T89" s="220" t="str">
        <f t="shared" si="6"/>
        <v>#N/A</v>
      </c>
      <c r="U89" s="221">
        <f t="shared" si="7"/>
        <v>0</v>
      </c>
      <c r="V89" s="229" t="str">
        <f>ifs($N89="",VLOOKUP($B89&amp;$E89,'VISIT DATA'!$A$2:$J116,7,FALSE), $N89="SWAB","OUTSA-RW",$N89="SWQU","OUTSA-SaQu", AND($L89="X",$M89="X",$N89="QUEST"),"OUT-UAQPre",$N89="QUEST","OUT-UAQ", $N89="Walk in","ColUATele")</f>
        <v>#N/A</v>
      </c>
      <c r="W89" s="24" t="str">
        <f t="shared" si="8"/>
        <v>#N/A</v>
      </c>
      <c r="X89" s="222" t="str">
        <f t="shared" si="9"/>
        <v/>
      </c>
      <c r="Y89" s="222" t="str">
        <f t="shared" si="10"/>
        <v/>
      </c>
      <c r="Z89" s="224" t="str">
        <f t="shared" si="11"/>
        <v> </v>
      </c>
      <c r="AA89" s="244"/>
    </row>
    <row r="90" hidden="1">
      <c r="A90" s="214" t="str">
        <f>IFS($B90=FALSE,"",$B90,VLOOKUP($B90,'PATIENT DATA (072721)'!A:C, 2, 0))</f>
        <v/>
      </c>
      <c r="B90" s="215"/>
      <c r="C90" s="230" t="str">
        <f>IF(COUNTIF('PATIENT DATA (072721)'!A:A, B90)=0, "X","✓")</f>
        <v>X</v>
      </c>
      <c r="D90" s="217" t="str">
        <f>IFS($B90=FALSE,"",$B90,VLOOKUP($B90,'PATIENT DATA (072721)'!A:C, 3, 0))</f>
        <v/>
      </c>
      <c r="E90" s="218"/>
      <c r="F90" s="219" t="str">
        <f>ifs($B90="","",$B90, VLOOKUP($B90&amp;$E90, 'VISIT DATA'!A:O,3,0))</f>
        <v/>
      </c>
      <c r="G90" s="231"/>
      <c r="H90" s="221" t="str">
        <f>ifs($B90="","",$B90, VLOOKUP($B90&amp;$E90, 'VISIT DATA'!$A:$O,13,0))</f>
        <v/>
      </c>
      <c r="I90" s="262" t="str">
        <f>VLOOKUP($B90&amp;$E90,'VISIT DATA'!A:J, 9, FALSE)</f>
        <v>#N/A</v>
      </c>
      <c r="J90" s="223" t="str">
        <f>VLOOKUP(B90&amp;E90,'VISIT DATA'!A:N,10,FALSE)</f>
        <v>#N/A</v>
      </c>
      <c r="K90" s="225"/>
      <c r="L90" s="224"/>
      <c r="M90" s="224"/>
      <c r="N90" s="225"/>
      <c r="O90" s="216" t="str">
        <f t="shared" si="1"/>
        <v>X</v>
      </c>
      <c r="P90" s="226" t="str">
        <f t="shared" si="2"/>
        <v>#N/A</v>
      </c>
      <c r="Q90" s="227" t="str">
        <f t="shared" si="3"/>
        <v>#N/A</v>
      </c>
      <c r="R90" s="228" t="str">
        <f t="shared" si="4"/>
        <v>#N/A</v>
      </c>
      <c r="S90" s="220" t="str">
        <f t="shared" si="5"/>
        <v>#N/A</v>
      </c>
      <c r="T90" s="220" t="str">
        <f t="shared" si="6"/>
        <v>#N/A</v>
      </c>
      <c r="U90" s="221">
        <f t="shared" si="7"/>
        <v>0</v>
      </c>
      <c r="V90" s="229" t="str">
        <f>ifs($N90="",VLOOKUP($B90&amp;$E90,'VISIT DATA'!$A$2:$J116,7,FALSE), $N90="SWAB","OUTSA-RW",$N90="SWQU","OUTSA-SaQu", AND($L90="X",$M90="X",$N90="QUEST"),"OUT-UAQPre",$N90="QUEST","OUT-UAQ", $N90="Walk in","ColUATele")</f>
        <v>#N/A</v>
      </c>
      <c r="W90" s="24" t="str">
        <f t="shared" si="8"/>
        <v>#N/A</v>
      </c>
      <c r="X90" s="222" t="str">
        <f t="shared" si="9"/>
        <v/>
      </c>
      <c r="Y90" s="222" t="str">
        <f t="shared" si="10"/>
        <v/>
      </c>
      <c r="Z90" s="224" t="str">
        <f t="shared" si="11"/>
        <v> </v>
      </c>
      <c r="AA90" s="244"/>
    </row>
    <row r="91" hidden="1">
      <c r="A91" s="214" t="str">
        <f>IFS($B91=FALSE,"",$B91,VLOOKUP($B91,'PATIENT DATA (072721)'!A:C, 2, 0))</f>
        <v/>
      </c>
      <c r="B91" s="215"/>
      <c r="C91" s="230" t="str">
        <f>IF(COUNTIF('PATIENT DATA (072721)'!A:A, B91)=0, "X","✓")</f>
        <v>X</v>
      </c>
      <c r="D91" s="217" t="str">
        <f>IFS($B91=FALSE,"",$B91,VLOOKUP($B91,'PATIENT DATA (072721)'!A:C, 3, 0))</f>
        <v/>
      </c>
      <c r="E91" s="218"/>
      <c r="F91" s="219" t="str">
        <f>ifs($B91="","",$B91, VLOOKUP($B91&amp;$E91, 'VISIT DATA'!A:O,3,0))</f>
        <v/>
      </c>
      <c r="G91" s="231"/>
      <c r="H91" s="221" t="str">
        <f>ifs($B91="","",$B91, VLOOKUP($B91&amp;$E91, 'VISIT DATA'!$A:$O,13,0))</f>
        <v/>
      </c>
      <c r="I91" s="262" t="str">
        <f>VLOOKUP($B91&amp;$E91,'VISIT DATA'!A:J, 9, FALSE)</f>
        <v>#N/A</v>
      </c>
      <c r="J91" s="223" t="str">
        <f>VLOOKUP(B91&amp;E91,'VISIT DATA'!A:N,10,FALSE)</f>
        <v>#N/A</v>
      </c>
      <c r="K91" s="225"/>
      <c r="L91" s="224"/>
      <c r="M91" s="224"/>
      <c r="N91" s="225"/>
      <c r="O91" s="216" t="str">
        <f t="shared" si="1"/>
        <v>X</v>
      </c>
      <c r="P91" s="226" t="str">
        <f t="shared" si="2"/>
        <v>#N/A</v>
      </c>
      <c r="Q91" s="227" t="str">
        <f t="shared" si="3"/>
        <v>#N/A</v>
      </c>
      <c r="R91" s="228" t="str">
        <f t="shared" si="4"/>
        <v>#N/A</v>
      </c>
      <c r="S91" s="220" t="str">
        <f t="shared" si="5"/>
        <v>#N/A</v>
      </c>
      <c r="T91" s="220" t="str">
        <f t="shared" si="6"/>
        <v>#N/A</v>
      </c>
      <c r="U91" s="221">
        <f t="shared" si="7"/>
        <v>0</v>
      </c>
      <c r="V91" s="229" t="str">
        <f>ifs($N91="",VLOOKUP($B91&amp;$E91,'VISIT DATA'!$A$2:$J116,7,FALSE), $N91="SWAB","OUTSA-RW",$N91="SWQU","OUTSA-SaQu", AND($L91="X",$M91="X",$N91="QUEST"),"OUT-UAQPre",$N91="QUEST","OUT-UAQ", $N91="Walk in","ColUATele")</f>
        <v>#N/A</v>
      </c>
      <c r="W91" s="24" t="str">
        <f t="shared" si="8"/>
        <v>#N/A</v>
      </c>
      <c r="X91" s="222" t="str">
        <f t="shared" si="9"/>
        <v/>
      </c>
      <c r="Y91" s="222" t="str">
        <f t="shared" si="10"/>
        <v/>
      </c>
      <c r="Z91" s="224" t="str">
        <f t="shared" si="11"/>
        <v> </v>
      </c>
      <c r="AA91" s="244"/>
    </row>
    <row r="92" hidden="1">
      <c r="A92" s="214" t="str">
        <f>IFS($B92=FALSE,"",$B92,VLOOKUP($B92,'PATIENT DATA (072721)'!A:C, 2, 0))</f>
        <v/>
      </c>
      <c r="B92" s="215"/>
      <c r="C92" s="230" t="str">
        <f>IF(COUNTIF('PATIENT DATA (072721)'!A:A, B92)=0, "X","✓")</f>
        <v>X</v>
      </c>
      <c r="D92" s="217" t="str">
        <f>IFS($B92=FALSE,"",$B92,VLOOKUP($B92,'PATIENT DATA (072721)'!A:C, 3, 0))</f>
        <v/>
      </c>
      <c r="E92" s="218"/>
      <c r="F92" s="219" t="str">
        <f>ifs($B92="","",$B92, VLOOKUP($B92&amp;$E92, 'VISIT DATA'!A:O,3,0))</f>
        <v/>
      </c>
      <c r="G92" s="231"/>
      <c r="H92" s="221" t="str">
        <f>ifs($B92="","",$B92, VLOOKUP($B92&amp;$E92, 'VISIT DATA'!$A:$O,13,0))</f>
        <v/>
      </c>
      <c r="I92" s="262" t="str">
        <f>VLOOKUP($B92&amp;$E92,'VISIT DATA'!A:J, 9, FALSE)</f>
        <v>#N/A</v>
      </c>
      <c r="J92" s="223" t="str">
        <f>VLOOKUP(B92&amp;E92,'VISIT DATA'!A:N,10,FALSE)</f>
        <v>#N/A</v>
      </c>
      <c r="K92" s="225"/>
      <c r="L92" s="224"/>
      <c r="M92" s="224"/>
      <c r="N92" s="225"/>
      <c r="O92" s="216" t="str">
        <f t="shared" si="1"/>
        <v>X</v>
      </c>
      <c r="P92" s="226" t="str">
        <f t="shared" si="2"/>
        <v>#N/A</v>
      </c>
      <c r="Q92" s="227" t="str">
        <f t="shared" si="3"/>
        <v>#N/A</v>
      </c>
      <c r="R92" s="228" t="str">
        <f t="shared" si="4"/>
        <v>#N/A</v>
      </c>
      <c r="S92" s="220" t="str">
        <f t="shared" si="5"/>
        <v>#N/A</v>
      </c>
      <c r="T92" s="220" t="str">
        <f t="shared" si="6"/>
        <v>#N/A</v>
      </c>
      <c r="U92" s="221">
        <f t="shared" si="7"/>
        <v>0</v>
      </c>
      <c r="V92" s="229" t="str">
        <f>ifs($N92="",VLOOKUP($B92&amp;$E92,'VISIT DATA'!$A$2:$J116,7,FALSE), $N92="SWAB","OUTSA-RW",$N92="SWQU","OUTSA-SaQu", AND($L92="X",$M92="X",$N92="QUEST"),"OUT-UAQPre",$N92="QUEST","OUT-UAQ", $N92="Walk in","ColUATele")</f>
        <v>#N/A</v>
      </c>
      <c r="W92" s="24" t="str">
        <f t="shared" si="8"/>
        <v>#N/A</v>
      </c>
      <c r="X92" s="222" t="str">
        <f t="shared" si="9"/>
        <v/>
      </c>
      <c r="Y92" s="222" t="str">
        <f t="shared" si="10"/>
        <v/>
      </c>
      <c r="Z92" s="224" t="str">
        <f t="shared" si="11"/>
        <v> </v>
      </c>
      <c r="AA92" s="244"/>
    </row>
    <row r="93" hidden="1">
      <c r="A93" s="214" t="str">
        <f>IFS($B93=FALSE,"",$B93,VLOOKUP($B93,'PATIENT DATA (072721)'!A:C, 2, 0))</f>
        <v/>
      </c>
      <c r="B93" s="215"/>
      <c r="C93" s="230" t="str">
        <f>IF(COUNTIF('PATIENT DATA (072721)'!A:A, B93)=0, "X","✓")</f>
        <v>X</v>
      </c>
      <c r="D93" s="217" t="str">
        <f>IFS($B93=FALSE,"",$B93,VLOOKUP($B93,'PATIENT DATA (072721)'!A:C, 3, 0))</f>
        <v/>
      </c>
      <c r="E93" s="218"/>
      <c r="F93" s="219" t="str">
        <f>ifs($B93="","",$B93, VLOOKUP($B93&amp;$E93, 'VISIT DATA'!A:O,3,0))</f>
        <v/>
      </c>
      <c r="G93" s="231"/>
      <c r="H93" s="221" t="str">
        <f>ifs($B93="","",$B93, VLOOKUP($B93&amp;$E93, 'VISIT DATA'!$A:$O,13,0))</f>
        <v/>
      </c>
      <c r="I93" s="262" t="str">
        <f>VLOOKUP($B93&amp;$E93,'VISIT DATA'!A:J, 9, FALSE)</f>
        <v>#N/A</v>
      </c>
      <c r="J93" s="223" t="str">
        <f>VLOOKUP(B93&amp;E93,'VISIT DATA'!A:N,10,FALSE)</f>
        <v>#N/A</v>
      </c>
      <c r="K93" s="225"/>
      <c r="L93" s="224"/>
      <c r="M93" s="224"/>
      <c r="N93" s="225"/>
      <c r="O93" s="216" t="str">
        <f t="shared" si="1"/>
        <v>X</v>
      </c>
      <c r="P93" s="226" t="str">
        <f t="shared" si="2"/>
        <v>#N/A</v>
      </c>
      <c r="Q93" s="227" t="str">
        <f t="shared" si="3"/>
        <v>#N/A</v>
      </c>
      <c r="R93" s="228" t="str">
        <f t="shared" si="4"/>
        <v>#N/A</v>
      </c>
      <c r="S93" s="220" t="str">
        <f t="shared" si="5"/>
        <v>#N/A</v>
      </c>
      <c r="T93" s="220" t="str">
        <f t="shared" si="6"/>
        <v>#N/A</v>
      </c>
      <c r="U93" s="221">
        <f t="shared" si="7"/>
        <v>0</v>
      </c>
      <c r="V93" s="229" t="str">
        <f>ifs($N93="",VLOOKUP($B93&amp;$E93,'VISIT DATA'!$A$2:$J116,7,FALSE), $N93="SWAB","OUTSA-RW",$N93="SWQU","OUTSA-SaQu", AND($L93="X",$M93="X",$N93="QUEST"),"OUT-UAQPre",$N93="QUEST","OUT-UAQ", $N93="Walk in","ColUATele")</f>
        <v>#N/A</v>
      </c>
      <c r="W93" s="24" t="str">
        <f t="shared" si="8"/>
        <v>#N/A</v>
      </c>
      <c r="X93" s="222" t="str">
        <f t="shared" si="9"/>
        <v/>
      </c>
      <c r="Y93" s="222" t="str">
        <f t="shared" si="10"/>
        <v/>
      </c>
      <c r="Z93" s="224" t="str">
        <f t="shared" si="11"/>
        <v> </v>
      </c>
      <c r="AA93" s="244"/>
    </row>
    <row r="94" hidden="1">
      <c r="A94" s="214" t="str">
        <f>IFS($B94=FALSE,"",$B94,VLOOKUP($B94,'PATIENT DATA (072721)'!A:C, 2, 0))</f>
        <v/>
      </c>
      <c r="B94" s="215"/>
      <c r="C94" s="230" t="str">
        <f>IF(COUNTIF('PATIENT DATA (072721)'!A:A, B94)=0, "X","✓")</f>
        <v>X</v>
      </c>
      <c r="D94" s="217" t="str">
        <f>IFS($B94=FALSE,"",$B94,VLOOKUP($B94,'PATIENT DATA (072721)'!A:C, 3, 0))</f>
        <v/>
      </c>
      <c r="E94" s="218"/>
      <c r="F94" s="219" t="str">
        <f>ifs($B94="","",$B94, VLOOKUP($B94&amp;$E94, 'VISIT DATA'!A:O,3,0))</f>
        <v/>
      </c>
      <c r="G94" s="231"/>
      <c r="H94" s="221" t="str">
        <f>ifs($B94="","",$B94, VLOOKUP($B94&amp;$E94, 'VISIT DATA'!$A:$O,13,0))</f>
        <v/>
      </c>
      <c r="I94" s="262" t="str">
        <f>VLOOKUP($B94&amp;$E94,'VISIT DATA'!A:J, 9, FALSE)</f>
        <v>#N/A</v>
      </c>
      <c r="J94" s="223" t="str">
        <f>VLOOKUP(B94&amp;E94,'VISIT DATA'!A:N,10,FALSE)</f>
        <v>#N/A</v>
      </c>
      <c r="K94" s="225"/>
      <c r="L94" s="224"/>
      <c r="M94" s="224"/>
      <c r="N94" s="225"/>
      <c r="O94" s="216" t="str">
        <f t="shared" si="1"/>
        <v>X</v>
      </c>
      <c r="P94" s="226" t="str">
        <f t="shared" si="2"/>
        <v>#N/A</v>
      </c>
      <c r="Q94" s="227" t="str">
        <f t="shared" si="3"/>
        <v>#N/A</v>
      </c>
      <c r="R94" s="228" t="str">
        <f t="shared" si="4"/>
        <v>#N/A</v>
      </c>
      <c r="S94" s="220" t="str">
        <f t="shared" si="5"/>
        <v>#N/A</v>
      </c>
      <c r="T94" s="220" t="str">
        <f t="shared" si="6"/>
        <v>#N/A</v>
      </c>
      <c r="U94" s="221">
        <f t="shared" si="7"/>
        <v>0</v>
      </c>
      <c r="V94" s="229" t="str">
        <f>ifs($N94="",VLOOKUP($B94&amp;$E94,'VISIT DATA'!$A$2:$J116,7,FALSE), $N94="SWAB","OUTSA-RW",$N94="SWQU","OUTSA-SaQu", AND($L94="X",$M94="X",$N94="QUEST"),"OUT-UAQPre",$N94="QUEST","OUT-UAQ", $N94="Walk in","ColUATele")</f>
        <v>#N/A</v>
      </c>
      <c r="W94" s="24" t="str">
        <f t="shared" si="8"/>
        <v>#N/A</v>
      </c>
      <c r="X94" s="222" t="str">
        <f t="shared" si="9"/>
        <v/>
      </c>
      <c r="Y94" s="222" t="str">
        <f t="shared" si="10"/>
        <v/>
      </c>
      <c r="Z94" s="224" t="str">
        <f t="shared" si="11"/>
        <v> </v>
      </c>
      <c r="AA94" s="244"/>
    </row>
    <row r="95" hidden="1">
      <c r="A95" s="214" t="str">
        <f>IFS($B95=FALSE,"",$B95,VLOOKUP($B95,'PATIENT DATA (072721)'!A:C, 2, 0))</f>
        <v/>
      </c>
      <c r="B95" s="215"/>
      <c r="C95" s="230" t="str">
        <f>IF(COUNTIF('PATIENT DATA (072721)'!A:A, B95)=0, "X","✓")</f>
        <v>X</v>
      </c>
      <c r="D95" s="217" t="str">
        <f>IFS($B95=FALSE,"",$B95,VLOOKUP($B95,'PATIENT DATA (072721)'!A:C, 3, 0))</f>
        <v/>
      </c>
      <c r="E95" s="218"/>
      <c r="F95" s="219" t="str">
        <f>ifs($B95="","",$B95, VLOOKUP($B95&amp;$E95, 'VISIT DATA'!A:O,3,0))</f>
        <v/>
      </c>
      <c r="G95" s="231"/>
      <c r="H95" s="221" t="str">
        <f>ifs($B95="","",$B95, VLOOKUP($B95&amp;$E95, 'VISIT DATA'!$A:$O,13,0))</f>
        <v/>
      </c>
      <c r="I95" s="262" t="str">
        <f>VLOOKUP($B95&amp;$E95,'VISIT DATA'!A:J, 9, FALSE)</f>
        <v>#N/A</v>
      </c>
      <c r="J95" s="223" t="str">
        <f>VLOOKUP(B95&amp;E95,'VISIT DATA'!A:N,10,FALSE)</f>
        <v>#N/A</v>
      </c>
      <c r="K95" s="225"/>
      <c r="L95" s="224"/>
      <c r="M95" s="224"/>
      <c r="N95" s="225"/>
      <c r="O95" s="216" t="str">
        <f t="shared" si="1"/>
        <v>X</v>
      </c>
      <c r="P95" s="226" t="str">
        <f t="shared" si="2"/>
        <v>#N/A</v>
      </c>
      <c r="Q95" s="227" t="str">
        <f t="shared" si="3"/>
        <v>#N/A</v>
      </c>
      <c r="R95" s="228" t="str">
        <f t="shared" si="4"/>
        <v>#N/A</v>
      </c>
      <c r="S95" s="220" t="str">
        <f t="shared" si="5"/>
        <v>#N/A</v>
      </c>
      <c r="T95" s="220" t="str">
        <f t="shared" si="6"/>
        <v>#N/A</v>
      </c>
      <c r="U95" s="221">
        <f t="shared" si="7"/>
        <v>0</v>
      </c>
      <c r="V95" s="229" t="str">
        <f>ifs($N95="",VLOOKUP($B95&amp;$E95,'VISIT DATA'!$A$2:$J116,7,FALSE), $N95="SWAB","OUTSA-RW",$N95="SWQU","OUTSA-SaQu", AND($L95="X",$M95="X",$N95="QUEST"),"OUT-UAQPre",$N95="QUEST","OUT-UAQ", $N95="Walk in","ColUATele")</f>
        <v>#N/A</v>
      </c>
      <c r="W95" s="24" t="str">
        <f t="shared" si="8"/>
        <v>#N/A</v>
      </c>
      <c r="X95" s="222" t="str">
        <f t="shared" si="9"/>
        <v/>
      </c>
      <c r="Y95" s="222" t="str">
        <f t="shared" si="10"/>
        <v/>
      </c>
      <c r="Z95" s="224" t="str">
        <f t="shared" si="11"/>
        <v> </v>
      </c>
      <c r="AA95" s="244"/>
    </row>
    <row r="96" hidden="1">
      <c r="A96" s="214" t="str">
        <f>IFS($B96=FALSE,"",$B96,VLOOKUP($B96,'PATIENT DATA (072721)'!A:C, 2, 0))</f>
        <v/>
      </c>
      <c r="B96" s="215"/>
      <c r="C96" s="230" t="str">
        <f>IF(COUNTIF('PATIENT DATA (072721)'!A:A, B96)=0, "X","✓")</f>
        <v>X</v>
      </c>
      <c r="D96" s="217" t="str">
        <f>IFS($B96=FALSE,"",$B96,VLOOKUP($B96,'PATIENT DATA (072721)'!A:C, 3, 0))</f>
        <v/>
      </c>
      <c r="E96" s="218"/>
      <c r="F96" s="219" t="str">
        <f>ifs($B96="","",$B96, VLOOKUP($B96&amp;$E96, 'VISIT DATA'!A:O,3,0))</f>
        <v/>
      </c>
      <c r="G96" s="231"/>
      <c r="H96" s="221" t="str">
        <f>ifs($B96="","",$B96, VLOOKUP($B96&amp;$E96, 'VISIT DATA'!$A:$O,13,0))</f>
        <v/>
      </c>
      <c r="I96" s="262" t="str">
        <f>VLOOKUP($B96&amp;$E96,'VISIT DATA'!A:J, 9, FALSE)</f>
        <v>#N/A</v>
      </c>
      <c r="J96" s="223" t="str">
        <f>VLOOKUP(B96&amp;E96,'VISIT DATA'!A:N,10,FALSE)</f>
        <v>#N/A</v>
      </c>
      <c r="K96" s="225"/>
      <c r="L96" s="224"/>
      <c r="M96" s="224"/>
      <c r="N96" s="225"/>
      <c r="O96" s="216" t="str">
        <f t="shared" si="1"/>
        <v>X</v>
      </c>
      <c r="P96" s="226" t="str">
        <f t="shared" si="2"/>
        <v>#N/A</v>
      </c>
      <c r="Q96" s="227" t="str">
        <f t="shared" si="3"/>
        <v>#N/A</v>
      </c>
      <c r="R96" s="228" t="str">
        <f t="shared" si="4"/>
        <v>#N/A</v>
      </c>
      <c r="S96" s="220" t="str">
        <f t="shared" si="5"/>
        <v>#N/A</v>
      </c>
      <c r="T96" s="220" t="str">
        <f t="shared" si="6"/>
        <v>#N/A</v>
      </c>
      <c r="U96" s="221">
        <f t="shared" si="7"/>
        <v>0</v>
      </c>
      <c r="V96" s="229" t="str">
        <f>ifs($N96="",VLOOKUP($B96&amp;$E96,'VISIT DATA'!$A$2:$J116,7,FALSE), $N96="SWAB","OUTSA-RW",$N96="SWQU","OUTSA-SaQu", AND($L96="X",$M96="X",$N96="QUEST"),"OUT-UAQPre",$N96="QUEST","OUT-UAQ", $N96="Walk in","ColUATele")</f>
        <v>#N/A</v>
      </c>
      <c r="W96" s="24" t="str">
        <f t="shared" si="8"/>
        <v>#N/A</v>
      </c>
      <c r="X96" s="222" t="str">
        <f t="shared" si="9"/>
        <v/>
      </c>
      <c r="Y96" s="222" t="str">
        <f t="shared" si="10"/>
        <v/>
      </c>
      <c r="Z96" s="224" t="str">
        <f t="shared" si="11"/>
        <v> </v>
      </c>
      <c r="AA96" s="244"/>
    </row>
    <row r="97" hidden="1">
      <c r="A97" s="214" t="str">
        <f>IFS($B97=FALSE,"",$B97,VLOOKUP($B97,'PATIENT DATA (072721)'!A:C, 2, 0))</f>
        <v/>
      </c>
      <c r="B97" s="215"/>
      <c r="C97" s="230" t="str">
        <f>IF(COUNTIF('PATIENT DATA (072721)'!A:A, B97)=0, "X","✓")</f>
        <v>X</v>
      </c>
      <c r="D97" s="217" t="str">
        <f>IFS($B97=FALSE,"",$B97,VLOOKUP($B97,'PATIENT DATA (072721)'!A:C, 3, 0))</f>
        <v/>
      </c>
      <c r="E97" s="218"/>
      <c r="F97" s="219" t="str">
        <f>ifs($B97="","",$B97, VLOOKUP($B97&amp;$E97, 'VISIT DATA'!A:O,3,0))</f>
        <v/>
      </c>
      <c r="G97" s="231"/>
      <c r="H97" s="221" t="str">
        <f>ifs($B97="","",$B97, VLOOKUP($B97&amp;$E97, 'VISIT DATA'!$A:$O,13,0))</f>
        <v/>
      </c>
      <c r="I97" s="262" t="str">
        <f>VLOOKUP($B97&amp;$E97,'VISIT DATA'!A:J, 9, FALSE)</f>
        <v>#N/A</v>
      </c>
      <c r="J97" s="223" t="str">
        <f>VLOOKUP(B97&amp;E97,'VISIT DATA'!A:N,10,FALSE)</f>
        <v>#N/A</v>
      </c>
      <c r="K97" s="225"/>
      <c r="L97" s="224"/>
      <c r="M97" s="224"/>
      <c r="N97" s="225"/>
      <c r="O97" s="216" t="str">
        <f t="shared" si="1"/>
        <v>X</v>
      </c>
      <c r="P97" s="226" t="str">
        <f t="shared" si="2"/>
        <v>#N/A</v>
      </c>
      <c r="Q97" s="227" t="str">
        <f t="shared" si="3"/>
        <v>#N/A</v>
      </c>
      <c r="R97" s="228" t="str">
        <f t="shared" si="4"/>
        <v>#N/A</v>
      </c>
      <c r="S97" s="220" t="str">
        <f t="shared" si="5"/>
        <v>#N/A</v>
      </c>
      <c r="T97" s="220" t="str">
        <f t="shared" si="6"/>
        <v>#N/A</v>
      </c>
      <c r="U97" s="221">
        <f t="shared" si="7"/>
        <v>0</v>
      </c>
      <c r="V97" s="229" t="str">
        <f>ifs($N97="",VLOOKUP($B97&amp;$E97,'VISIT DATA'!$A$2:$J116,7,FALSE), $N97="SWAB","OUTSA-RW",$N97="SWQU","OUTSA-SaQu", AND($L97="X",$M97="X",$N97="QUEST"),"OUT-UAQPre",$N97="QUEST","OUT-UAQ", $N97="Walk in","ColUATele")</f>
        <v>#N/A</v>
      </c>
      <c r="W97" s="24" t="str">
        <f t="shared" si="8"/>
        <v>#N/A</v>
      </c>
      <c r="X97" s="222" t="str">
        <f t="shared" si="9"/>
        <v/>
      </c>
      <c r="Y97" s="222" t="str">
        <f t="shared" si="10"/>
        <v/>
      </c>
      <c r="Z97" s="224" t="str">
        <f t="shared" si="11"/>
        <v> </v>
      </c>
      <c r="AA97" s="244"/>
    </row>
    <row r="98" hidden="1">
      <c r="A98" s="214" t="str">
        <f>IFS($B98=FALSE,"",$B98,VLOOKUP($B98,'PATIENT DATA (072721)'!A:C, 2, 0))</f>
        <v/>
      </c>
      <c r="B98" s="215"/>
      <c r="C98" s="230" t="str">
        <f>IF(COUNTIF('PATIENT DATA (072721)'!A:A, B98)=0, "X","✓")</f>
        <v>X</v>
      </c>
      <c r="D98" s="217" t="str">
        <f>IFS($B98=FALSE,"",$B98,VLOOKUP($B98,'PATIENT DATA (072721)'!A:C, 3, 0))</f>
        <v/>
      </c>
      <c r="E98" s="218"/>
      <c r="F98" s="219" t="str">
        <f>ifs($B98="","",$B98, VLOOKUP($B98&amp;$E98, 'VISIT DATA'!A:O,3,0))</f>
        <v/>
      </c>
      <c r="G98" s="231"/>
      <c r="H98" s="221" t="str">
        <f>ifs($B98="","",$B98, VLOOKUP($B98&amp;$E98, 'VISIT DATA'!$A:$O,13,0))</f>
        <v/>
      </c>
      <c r="I98" s="262" t="str">
        <f>VLOOKUP($B98&amp;$E98,'VISIT DATA'!A:J, 9, FALSE)</f>
        <v>#N/A</v>
      </c>
      <c r="J98" s="223" t="str">
        <f>VLOOKUP(B98&amp;E98,'VISIT DATA'!A:N,10,FALSE)</f>
        <v>#N/A</v>
      </c>
      <c r="K98" s="225"/>
      <c r="L98" s="224"/>
      <c r="M98" s="224"/>
      <c r="N98" s="225"/>
      <c r="O98" s="216" t="str">
        <f t="shared" si="1"/>
        <v>X</v>
      </c>
      <c r="P98" s="226" t="str">
        <f t="shared" si="2"/>
        <v>#N/A</v>
      </c>
      <c r="Q98" s="227" t="str">
        <f t="shared" si="3"/>
        <v>#N/A</v>
      </c>
      <c r="R98" s="228" t="str">
        <f t="shared" si="4"/>
        <v>#N/A</v>
      </c>
      <c r="S98" s="220" t="str">
        <f t="shared" si="5"/>
        <v>#N/A</v>
      </c>
      <c r="T98" s="220" t="str">
        <f t="shared" si="6"/>
        <v>#N/A</v>
      </c>
      <c r="U98" s="221">
        <f t="shared" si="7"/>
        <v>0</v>
      </c>
      <c r="V98" s="229" t="str">
        <f>ifs($N98="",VLOOKUP($B98&amp;$E98,'VISIT DATA'!$A$2:$J116,7,FALSE), $N98="SWAB","OUTSA-RW",$N98="SWQU","OUTSA-SaQu", AND($L98="X",$M98="X",$N98="QUEST"),"OUT-UAQPre",$N98="QUEST","OUT-UAQ", $N98="Walk in","ColUATele")</f>
        <v>#N/A</v>
      </c>
      <c r="W98" s="24" t="str">
        <f t="shared" si="8"/>
        <v>#N/A</v>
      </c>
      <c r="X98" s="222" t="str">
        <f t="shared" si="9"/>
        <v/>
      </c>
      <c r="Y98" s="222" t="str">
        <f t="shared" si="10"/>
        <v/>
      </c>
      <c r="Z98" s="224" t="str">
        <f t="shared" si="11"/>
        <v> </v>
      </c>
      <c r="AA98" s="244"/>
    </row>
    <row r="99" hidden="1">
      <c r="A99" s="214" t="str">
        <f>IFS($B99=FALSE,"",$B99,VLOOKUP($B99,'PATIENT DATA (072721)'!A:C, 2, 0))</f>
        <v/>
      </c>
      <c r="B99" s="215"/>
      <c r="C99" s="230" t="str">
        <f>IF(COUNTIF('PATIENT DATA (072721)'!A:A, B99)=0, "X","✓")</f>
        <v>X</v>
      </c>
      <c r="D99" s="217" t="str">
        <f>IFS($B99=FALSE,"",$B99,VLOOKUP($B99,'PATIENT DATA (072721)'!A:C, 3, 0))</f>
        <v/>
      </c>
      <c r="E99" s="218"/>
      <c r="F99" s="219" t="str">
        <f>ifs($B99="","",$B99, VLOOKUP($B99&amp;$E99, 'VISIT DATA'!A:O,3,0))</f>
        <v/>
      </c>
      <c r="G99" s="231"/>
      <c r="H99" s="221" t="str">
        <f>ifs($B99="","",$B99, VLOOKUP($B99&amp;$E99, 'VISIT DATA'!$A:$O,13,0))</f>
        <v/>
      </c>
      <c r="I99" s="262" t="str">
        <f>VLOOKUP($B99&amp;$E99,'VISIT DATA'!A:J, 9, FALSE)</f>
        <v>#N/A</v>
      </c>
      <c r="J99" s="223" t="str">
        <f>VLOOKUP(B99&amp;E99,'VISIT DATA'!A:N,10,FALSE)</f>
        <v>#N/A</v>
      </c>
      <c r="K99" s="225"/>
      <c r="L99" s="224"/>
      <c r="M99" s="224"/>
      <c r="N99" s="225"/>
      <c r="O99" s="216" t="str">
        <f t="shared" si="1"/>
        <v>X</v>
      </c>
      <c r="P99" s="226" t="str">
        <f t="shared" si="2"/>
        <v>#N/A</v>
      </c>
      <c r="Q99" s="227" t="str">
        <f t="shared" si="3"/>
        <v>#N/A</v>
      </c>
      <c r="R99" s="228" t="str">
        <f t="shared" si="4"/>
        <v>#N/A</v>
      </c>
      <c r="S99" s="220" t="str">
        <f t="shared" si="5"/>
        <v>#N/A</v>
      </c>
      <c r="T99" s="220" t="str">
        <f t="shared" si="6"/>
        <v>#N/A</v>
      </c>
      <c r="U99" s="221">
        <f t="shared" si="7"/>
        <v>0</v>
      </c>
      <c r="V99" s="229" t="str">
        <f>ifs($N99="",VLOOKUP($B99&amp;$E99,'VISIT DATA'!$A$2:$J116,7,FALSE), $N99="SWAB","OUTSA-RW",$N99="SWQU","OUTSA-SaQu", AND($L99="X",$M99="X",$N99="QUEST"),"OUT-UAQPre",$N99="QUEST","OUT-UAQ", $N99="Walk in","ColUATele")</f>
        <v>#N/A</v>
      </c>
      <c r="W99" s="24" t="str">
        <f t="shared" si="8"/>
        <v>#N/A</v>
      </c>
      <c r="X99" s="222" t="str">
        <f t="shared" si="9"/>
        <v/>
      </c>
      <c r="Y99" s="222" t="str">
        <f t="shared" si="10"/>
        <v/>
      </c>
      <c r="Z99" s="224" t="str">
        <f t="shared" si="11"/>
        <v> </v>
      </c>
      <c r="AA99" s="244"/>
    </row>
    <row r="100" hidden="1">
      <c r="A100" s="214" t="str">
        <f>IFS($B100=FALSE,"",$B100,VLOOKUP($B100,'PATIENT DATA (072721)'!A:C, 2, 0))</f>
        <v/>
      </c>
      <c r="B100" s="215"/>
      <c r="C100" s="230" t="str">
        <f>IF(COUNTIF('PATIENT DATA (072721)'!A:A, B100)=0, "X","✓")</f>
        <v>X</v>
      </c>
      <c r="D100" s="217" t="str">
        <f>IFS($B100=FALSE,"",$B100,VLOOKUP($B100,'PATIENT DATA (072721)'!A:C, 3, 0))</f>
        <v/>
      </c>
      <c r="E100" s="218"/>
      <c r="F100" s="219" t="str">
        <f>ifs($B100="","",$B100, VLOOKUP($B100&amp;$E100, 'VISIT DATA'!A:O,3,0))</f>
        <v/>
      </c>
      <c r="G100" s="231"/>
      <c r="H100" s="221" t="str">
        <f>ifs($B100="","",$B100, VLOOKUP($B100&amp;$E100, 'VISIT DATA'!$A:$O,13,0))</f>
        <v/>
      </c>
      <c r="I100" s="262" t="str">
        <f>VLOOKUP($B100&amp;$E100,'VISIT DATA'!A:J, 9, FALSE)</f>
        <v>#N/A</v>
      </c>
      <c r="J100" s="223" t="str">
        <f>VLOOKUP(B100&amp;E100,'VISIT DATA'!A:N,10,FALSE)</f>
        <v>#N/A</v>
      </c>
      <c r="K100" s="225"/>
      <c r="L100" s="224"/>
      <c r="M100" s="224"/>
      <c r="N100" s="225"/>
      <c r="O100" s="216" t="str">
        <f t="shared" si="1"/>
        <v>X</v>
      </c>
      <c r="P100" s="226" t="str">
        <f t="shared" si="2"/>
        <v>#N/A</v>
      </c>
      <c r="Q100" s="227" t="str">
        <f t="shared" si="3"/>
        <v>#N/A</v>
      </c>
      <c r="R100" s="228" t="str">
        <f t="shared" si="4"/>
        <v>#N/A</v>
      </c>
      <c r="S100" s="220" t="str">
        <f t="shared" si="5"/>
        <v>#N/A</v>
      </c>
      <c r="T100" s="220" t="str">
        <f t="shared" si="6"/>
        <v>#N/A</v>
      </c>
      <c r="U100" s="221">
        <f t="shared" si="7"/>
        <v>0</v>
      </c>
      <c r="V100" s="229" t="str">
        <f>ifs($N100="",VLOOKUP($B100&amp;$E100,'VISIT DATA'!$A$2:$J116,7,FALSE), $N100="SWAB","OUTSA-RW",$N100="SWQU","OUTSA-SaQu", AND($L100="X",$M100="X",$N100="QUEST"),"OUT-UAQPre",$N100="QUEST","OUT-UAQ", $N100="Walk in","ColUATele")</f>
        <v>#N/A</v>
      </c>
      <c r="W100" s="24" t="str">
        <f t="shared" si="8"/>
        <v>#N/A</v>
      </c>
      <c r="X100" s="222" t="str">
        <f t="shared" si="9"/>
        <v/>
      </c>
      <c r="Y100" s="222" t="str">
        <f t="shared" si="10"/>
        <v/>
      </c>
      <c r="Z100" s="224" t="str">
        <f t="shared" si="11"/>
        <v> </v>
      </c>
      <c r="AA100" s="244"/>
    </row>
    <row r="101" hidden="1">
      <c r="A101" s="214" t="str">
        <f>IFS($B101=FALSE,"",$B101,VLOOKUP($B101,'PATIENT DATA (072721)'!A:C, 2, 0))</f>
        <v/>
      </c>
      <c r="B101" s="215"/>
      <c r="C101" s="230" t="str">
        <f>IF(COUNTIF('PATIENT DATA (072721)'!A:A, B101)=0, "X","✓")</f>
        <v>X</v>
      </c>
      <c r="D101" s="217" t="str">
        <f>IFS($B101=FALSE,"",$B101,VLOOKUP($B101,'PATIENT DATA (072721)'!A:C, 3, 0))</f>
        <v/>
      </c>
      <c r="E101" s="218"/>
      <c r="F101" s="219" t="str">
        <f>ifs($B101="","",$B101, VLOOKUP($B101&amp;$E101, 'VISIT DATA'!A:O,3,0))</f>
        <v/>
      </c>
      <c r="G101" s="231"/>
      <c r="H101" s="221" t="str">
        <f>ifs($B101="","",$B101, VLOOKUP($B101&amp;$E101, 'VISIT DATA'!$A:$O,13,0))</f>
        <v/>
      </c>
      <c r="I101" s="262" t="str">
        <f>VLOOKUP($B101&amp;$E101,'VISIT DATA'!A:J, 9, FALSE)</f>
        <v>#N/A</v>
      </c>
      <c r="J101" s="223" t="str">
        <f>VLOOKUP(B101&amp;E101,'VISIT DATA'!A:N,10,FALSE)</f>
        <v>#N/A</v>
      </c>
      <c r="K101" s="225"/>
      <c r="L101" s="224"/>
      <c r="M101" s="224"/>
      <c r="N101" s="225"/>
      <c r="O101" s="216" t="str">
        <f t="shared" si="1"/>
        <v>X</v>
      </c>
      <c r="P101" s="226" t="str">
        <f t="shared" si="2"/>
        <v>#N/A</v>
      </c>
      <c r="Q101" s="227" t="str">
        <f t="shared" si="3"/>
        <v>#N/A</v>
      </c>
      <c r="R101" s="228" t="str">
        <f t="shared" si="4"/>
        <v>#N/A</v>
      </c>
      <c r="S101" s="220" t="str">
        <f t="shared" si="5"/>
        <v>#N/A</v>
      </c>
      <c r="T101" s="220" t="str">
        <f t="shared" si="6"/>
        <v>#N/A</v>
      </c>
      <c r="U101" s="221">
        <f t="shared" si="7"/>
        <v>0</v>
      </c>
      <c r="V101" s="229" t="str">
        <f>ifs($N101="",VLOOKUP($B101&amp;$E101,'VISIT DATA'!$A$2:$J116,7,FALSE), $N101="SWAB","OUTSA-RW",$N101="SWQU","OUTSA-SaQu", AND($L101="X",$M101="X",$N101="QUEST"),"OUT-UAQPre",$N101="QUEST","OUT-UAQ", $N101="Walk in","ColUATele")</f>
        <v>#N/A</v>
      </c>
      <c r="W101" s="24" t="str">
        <f t="shared" si="8"/>
        <v>#N/A</v>
      </c>
      <c r="X101" s="222" t="str">
        <f t="shared" si="9"/>
        <v/>
      </c>
      <c r="Y101" s="222" t="str">
        <f t="shared" si="10"/>
        <v/>
      </c>
      <c r="Z101" s="224" t="str">
        <f t="shared" si="11"/>
        <v> </v>
      </c>
      <c r="AA101" s="244"/>
    </row>
    <row r="102" hidden="1">
      <c r="A102" s="214" t="str">
        <f>IFS($B102=FALSE,"",$B102,VLOOKUP($B102,'PATIENT DATA (072721)'!A:C, 2, 0))</f>
        <v/>
      </c>
      <c r="B102" s="215"/>
      <c r="C102" s="230" t="str">
        <f>IF(COUNTIF('PATIENT DATA (072721)'!A:A, B102)=0, "X","✓")</f>
        <v>X</v>
      </c>
      <c r="D102" s="217" t="str">
        <f>IFS($B102=FALSE,"",$B102,VLOOKUP($B102,'PATIENT DATA (072721)'!A:C, 3, 0))</f>
        <v/>
      </c>
      <c r="E102" s="218"/>
      <c r="F102" s="219" t="str">
        <f>ifs($B102="","",$B102, VLOOKUP($B102&amp;$E102, 'VISIT DATA'!A:O,3,0))</f>
        <v/>
      </c>
      <c r="G102" s="231"/>
      <c r="H102" s="221" t="str">
        <f>ifs($B102="","",$B102, VLOOKUP($B102&amp;$E102, 'VISIT DATA'!$A:$O,13,0))</f>
        <v/>
      </c>
      <c r="I102" s="262" t="str">
        <f>VLOOKUP($B102&amp;$E102,'VISIT DATA'!A:J, 9, FALSE)</f>
        <v>#N/A</v>
      </c>
      <c r="J102" s="223" t="str">
        <f>VLOOKUP(B102&amp;E102,'VISIT DATA'!A:N,10,FALSE)</f>
        <v>#N/A</v>
      </c>
      <c r="K102" s="225"/>
      <c r="L102" s="224"/>
      <c r="M102" s="224"/>
      <c r="N102" s="225"/>
      <c r="O102" s="216" t="str">
        <f t="shared" si="1"/>
        <v>X</v>
      </c>
      <c r="P102" s="226" t="str">
        <f t="shared" si="2"/>
        <v>#N/A</v>
      </c>
      <c r="Q102" s="227" t="str">
        <f t="shared" si="3"/>
        <v>#N/A</v>
      </c>
      <c r="R102" s="228" t="str">
        <f t="shared" si="4"/>
        <v>#N/A</v>
      </c>
      <c r="S102" s="220" t="str">
        <f t="shared" si="5"/>
        <v>#N/A</v>
      </c>
      <c r="T102" s="220" t="str">
        <f t="shared" si="6"/>
        <v>#N/A</v>
      </c>
      <c r="U102" s="221">
        <f t="shared" si="7"/>
        <v>0</v>
      </c>
      <c r="V102" s="229" t="str">
        <f>ifs($N102="",VLOOKUP($B102&amp;$E102,'VISIT DATA'!$A$2:$J116,7,FALSE), $N102="SWAB","OUTSA-RW",$N102="SWQU","OUTSA-SaQu", AND($L102="X",$M102="X",$N102="QUEST"),"OUT-UAQPre",$N102="QUEST","OUT-UAQ", $N102="Walk in","ColUATele")</f>
        <v>#N/A</v>
      </c>
      <c r="W102" s="24" t="str">
        <f t="shared" si="8"/>
        <v>#N/A</v>
      </c>
      <c r="X102" s="222" t="str">
        <f t="shared" si="9"/>
        <v/>
      </c>
      <c r="Y102" s="222" t="str">
        <f t="shared" si="10"/>
        <v/>
      </c>
      <c r="Z102" s="224" t="str">
        <f t="shared" si="11"/>
        <v> </v>
      </c>
      <c r="AA102" s="244"/>
    </row>
    <row r="103" hidden="1">
      <c r="A103" s="214" t="str">
        <f>IFS($B103=FALSE,"",$B103,VLOOKUP($B103,'PATIENT DATA (072721)'!A:C, 2, 0))</f>
        <v/>
      </c>
      <c r="B103" s="215"/>
      <c r="C103" s="230" t="str">
        <f>IF(COUNTIF('PATIENT DATA (072721)'!A:A, B103)=0, "X","✓")</f>
        <v>X</v>
      </c>
      <c r="D103" s="217" t="str">
        <f>IFS($B103=FALSE,"",$B103,VLOOKUP($B103,'PATIENT DATA (072721)'!A:C, 3, 0))</f>
        <v/>
      </c>
      <c r="E103" s="218"/>
      <c r="F103" s="219" t="str">
        <f>ifs($B103="","",$B103, VLOOKUP($B103&amp;$E103, 'VISIT DATA'!A:O,3,0))</f>
        <v/>
      </c>
      <c r="G103" s="231"/>
      <c r="H103" s="221" t="str">
        <f>ifs($B103="","",$B103, VLOOKUP($B103&amp;$E103, 'VISIT DATA'!$A:$O,13,0))</f>
        <v/>
      </c>
      <c r="I103" s="262" t="str">
        <f>VLOOKUP($B103&amp;$E103,'VISIT DATA'!A:J, 9, FALSE)</f>
        <v>#N/A</v>
      </c>
      <c r="J103" s="223" t="str">
        <f>VLOOKUP(B103&amp;E103,'VISIT DATA'!A:N,10,FALSE)</f>
        <v>#N/A</v>
      </c>
      <c r="K103" s="225"/>
      <c r="L103" s="224"/>
      <c r="M103" s="224"/>
      <c r="N103" s="225"/>
      <c r="O103" s="216" t="str">
        <f t="shared" si="1"/>
        <v>X</v>
      </c>
      <c r="P103" s="226" t="str">
        <f t="shared" si="2"/>
        <v>#N/A</v>
      </c>
      <c r="Q103" s="227" t="str">
        <f t="shared" si="3"/>
        <v>#N/A</v>
      </c>
      <c r="R103" s="228" t="str">
        <f t="shared" si="4"/>
        <v>#N/A</v>
      </c>
      <c r="S103" s="220" t="str">
        <f t="shared" si="5"/>
        <v>#N/A</v>
      </c>
      <c r="T103" s="220" t="str">
        <f t="shared" si="6"/>
        <v>#N/A</v>
      </c>
      <c r="U103" s="221">
        <f t="shared" si="7"/>
        <v>0</v>
      </c>
      <c r="V103" s="229" t="str">
        <f>ifs($N103="",VLOOKUP($B103&amp;$E103,'VISIT DATA'!$A$2:$J116,7,FALSE), $N103="SWAB","OUTSA-RW",$N103="SWQU","OUTSA-SaQu", AND($L103="X",$M103="X",$N103="QUEST"),"OUT-UAQPre",$N103="QUEST","OUT-UAQ", $N103="Walk in","ColUATele")</f>
        <v>#N/A</v>
      </c>
      <c r="W103" s="24" t="str">
        <f t="shared" si="8"/>
        <v>#N/A</v>
      </c>
      <c r="X103" s="222" t="str">
        <f t="shared" si="9"/>
        <v/>
      </c>
      <c r="Y103" s="222" t="str">
        <f t="shared" si="10"/>
        <v/>
      </c>
      <c r="Z103" s="224" t="str">
        <f t="shared" si="11"/>
        <v> </v>
      </c>
      <c r="AA103" s="244"/>
    </row>
    <row r="104" hidden="1">
      <c r="A104" s="214" t="str">
        <f>IFS($B104=FALSE,"",$B104,VLOOKUP($B104,'PATIENT DATA (072721)'!A:C, 2, 0))</f>
        <v/>
      </c>
      <c r="B104" s="215"/>
      <c r="C104" s="230" t="str">
        <f>IF(COUNTIF('PATIENT DATA (072721)'!A:A, B104)=0, "X","✓")</f>
        <v>X</v>
      </c>
      <c r="D104" s="217" t="str">
        <f>IFS($B104=FALSE,"",$B104,VLOOKUP($B104,'PATIENT DATA (072721)'!A:C, 3, 0))</f>
        <v/>
      </c>
      <c r="E104" s="218"/>
      <c r="F104" s="219" t="str">
        <f>ifs($B104="","",$B104, VLOOKUP($B104&amp;$E104, 'VISIT DATA'!A:O,3,0))</f>
        <v/>
      </c>
      <c r="G104" s="231"/>
      <c r="H104" s="221" t="str">
        <f>ifs($B104="","",$B104, VLOOKUP($B104&amp;$E104, 'VISIT DATA'!$A:$O,13,0))</f>
        <v/>
      </c>
      <c r="I104" s="262" t="str">
        <f>VLOOKUP($B104&amp;$E104,'VISIT DATA'!A:J, 9, FALSE)</f>
        <v>#N/A</v>
      </c>
      <c r="J104" s="223" t="str">
        <f>VLOOKUP(B104&amp;E104,'VISIT DATA'!A:N,10,FALSE)</f>
        <v>#N/A</v>
      </c>
      <c r="K104" s="225"/>
      <c r="L104" s="224"/>
      <c r="M104" s="224"/>
      <c r="N104" s="225"/>
      <c r="O104" s="216" t="str">
        <f t="shared" si="1"/>
        <v>X</v>
      </c>
      <c r="P104" s="226" t="str">
        <f t="shared" si="2"/>
        <v>#N/A</v>
      </c>
      <c r="Q104" s="227" t="str">
        <f t="shared" si="3"/>
        <v>#N/A</v>
      </c>
      <c r="R104" s="228" t="str">
        <f t="shared" si="4"/>
        <v>#N/A</v>
      </c>
      <c r="S104" s="220" t="str">
        <f t="shared" si="5"/>
        <v>#N/A</v>
      </c>
      <c r="T104" s="220" t="str">
        <f t="shared" si="6"/>
        <v>#N/A</v>
      </c>
      <c r="U104" s="221">
        <f t="shared" si="7"/>
        <v>0</v>
      </c>
      <c r="V104" s="229" t="str">
        <f>ifs($N104="",VLOOKUP($B104&amp;$E104,'VISIT DATA'!$A$2:$J116,7,FALSE), $N104="SWAB","OUTSA-RW",$N104="SWQU","OUTSA-SaQu", AND($L104="X",$M104="X",$N104="QUEST"),"OUT-UAQPre",$N104="QUEST","OUT-UAQ", $N104="Walk in","ColUATele")</f>
        <v>#N/A</v>
      </c>
      <c r="W104" s="24" t="str">
        <f t="shared" si="8"/>
        <v>#N/A</v>
      </c>
      <c r="X104" s="222" t="str">
        <f t="shared" si="9"/>
        <v/>
      </c>
      <c r="Y104" s="222" t="str">
        <f t="shared" si="10"/>
        <v/>
      </c>
      <c r="Z104" s="224" t="str">
        <f t="shared" si="11"/>
        <v> </v>
      </c>
      <c r="AA104" s="244"/>
    </row>
    <row r="105" hidden="1">
      <c r="A105" s="214" t="str">
        <f>IFS($B105=FALSE,"",$B105,VLOOKUP($B105,'PATIENT DATA (072721)'!A:C, 2, 0))</f>
        <v/>
      </c>
      <c r="B105" s="215"/>
      <c r="C105" s="230" t="str">
        <f>IF(COUNTIF('PATIENT DATA (072721)'!A:A, B105)=0, "X","✓")</f>
        <v>X</v>
      </c>
      <c r="D105" s="217" t="str">
        <f>IFS($B105=FALSE,"",$B105,VLOOKUP($B105,'PATIENT DATA (072721)'!A:C, 3, 0))</f>
        <v/>
      </c>
      <c r="E105" s="218"/>
      <c r="F105" s="219" t="str">
        <f>ifs($B105="","",$B105, VLOOKUP($B105&amp;$E105, 'VISIT DATA'!A:O,3,0))</f>
        <v/>
      </c>
      <c r="G105" s="231"/>
      <c r="H105" s="221" t="str">
        <f>ifs($B105="","",$B105, VLOOKUP($B105&amp;$E105, 'VISIT DATA'!$A:$O,13,0))</f>
        <v/>
      </c>
      <c r="I105" s="262" t="str">
        <f>VLOOKUP($B105&amp;$E105,'VISIT DATA'!A:J, 9, FALSE)</f>
        <v>#N/A</v>
      </c>
      <c r="J105" s="223" t="str">
        <f>VLOOKUP(B105&amp;E105,'VISIT DATA'!A:N,10,FALSE)</f>
        <v>#N/A</v>
      </c>
      <c r="K105" s="225"/>
      <c r="L105" s="224"/>
      <c r="M105" s="224"/>
      <c r="N105" s="225"/>
      <c r="O105" s="216" t="str">
        <f t="shared" si="1"/>
        <v>X</v>
      </c>
      <c r="P105" s="226" t="str">
        <f t="shared" si="2"/>
        <v>#N/A</v>
      </c>
      <c r="Q105" s="227" t="str">
        <f t="shared" si="3"/>
        <v>#N/A</v>
      </c>
      <c r="R105" s="228" t="str">
        <f t="shared" si="4"/>
        <v>#N/A</v>
      </c>
      <c r="S105" s="220" t="str">
        <f t="shared" si="5"/>
        <v>#N/A</v>
      </c>
      <c r="T105" s="220" t="str">
        <f t="shared" si="6"/>
        <v>#N/A</v>
      </c>
      <c r="U105" s="221">
        <f t="shared" si="7"/>
        <v>0</v>
      </c>
      <c r="V105" s="229" t="str">
        <f>ifs($N105="",VLOOKUP($B105&amp;$E105,'VISIT DATA'!$A$2:$J116,7,FALSE), $N105="SWAB","OUTSA-RW",$N105="SWQU","OUTSA-SaQu", AND($L105="X",$M105="X",$N105="QUEST"),"OUT-UAQPre",$N105="QUEST","OUT-UAQ", $N105="Walk in","ColUATele")</f>
        <v>#N/A</v>
      </c>
      <c r="W105" s="24" t="str">
        <f t="shared" si="8"/>
        <v>#N/A</v>
      </c>
      <c r="X105" s="222" t="str">
        <f t="shared" si="9"/>
        <v/>
      </c>
      <c r="Y105" s="222" t="str">
        <f t="shared" si="10"/>
        <v/>
      </c>
      <c r="Z105" s="224" t="str">
        <f t="shared" si="11"/>
        <v> </v>
      </c>
      <c r="AA105" s="244"/>
    </row>
    <row r="106" hidden="1">
      <c r="A106" s="214" t="str">
        <f>IFS($B106=FALSE,"",$B106,VLOOKUP($B106,'PATIENT DATA (072721)'!A:C, 2, 0))</f>
        <v/>
      </c>
      <c r="B106" s="215"/>
      <c r="C106" s="230" t="str">
        <f>IF(COUNTIF('PATIENT DATA (072721)'!A:A, B106)=0, "X","✓")</f>
        <v>X</v>
      </c>
      <c r="D106" s="217" t="str">
        <f>IFS($B106=FALSE,"",$B106,VLOOKUP($B106,'PATIENT DATA (072721)'!A:C, 3, 0))</f>
        <v/>
      </c>
      <c r="E106" s="218"/>
      <c r="F106" s="219" t="str">
        <f>ifs($B106="","",$B106, VLOOKUP($B106&amp;$E106, 'VISIT DATA'!A:O,3,0))</f>
        <v/>
      </c>
      <c r="G106" s="231"/>
      <c r="H106" s="221" t="str">
        <f>ifs($B106="","",$B106, VLOOKUP($B106&amp;$E106, 'VISIT DATA'!$A:$O,13,0))</f>
        <v/>
      </c>
      <c r="I106" s="262" t="str">
        <f>VLOOKUP($B106&amp;$E106,'VISIT DATA'!A:J, 9, FALSE)</f>
        <v>#N/A</v>
      </c>
      <c r="J106" s="223" t="str">
        <f>VLOOKUP(B106&amp;E106,'VISIT DATA'!A:N,10,FALSE)</f>
        <v>#N/A</v>
      </c>
      <c r="K106" s="225"/>
      <c r="L106" s="224"/>
      <c r="M106" s="224"/>
      <c r="N106" s="225"/>
      <c r="O106" s="216" t="str">
        <f t="shared" si="1"/>
        <v>X</v>
      </c>
      <c r="P106" s="226" t="str">
        <f t="shared" si="2"/>
        <v>#N/A</v>
      </c>
      <c r="Q106" s="227" t="str">
        <f t="shared" si="3"/>
        <v>#N/A</v>
      </c>
      <c r="R106" s="228" t="str">
        <f t="shared" si="4"/>
        <v>#N/A</v>
      </c>
      <c r="S106" s="220" t="str">
        <f t="shared" si="5"/>
        <v>#N/A</v>
      </c>
      <c r="T106" s="220" t="str">
        <f t="shared" si="6"/>
        <v>#N/A</v>
      </c>
      <c r="U106" s="221">
        <f t="shared" si="7"/>
        <v>0</v>
      </c>
      <c r="V106" s="229" t="str">
        <f>ifs($N106="",VLOOKUP($B106&amp;$E106,'VISIT DATA'!$A$2:$J116,7,FALSE), $N106="SWAB","OUTSA-RW",$N106="SWQU","OUTSA-SaQu", AND($L106="X",$M106="X",$N106="QUEST"),"OUT-UAQPre",$N106="QUEST","OUT-UAQ", $N106="Walk in","ColUATele")</f>
        <v>#N/A</v>
      </c>
      <c r="W106" s="24" t="str">
        <f t="shared" si="8"/>
        <v>#N/A</v>
      </c>
      <c r="X106" s="222" t="str">
        <f t="shared" si="9"/>
        <v/>
      </c>
      <c r="Y106" s="222" t="str">
        <f t="shared" si="10"/>
        <v/>
      </c>
      <c r="Z106" s="224" t="str">
        <f t="shared" si="11"/>
        <v> </v>
      </c>
      <c r="AA106" s="244"/>
    </row>
    <row r="107" hidden="1">
      <c r="A107" s="214" t="str">
        <f>IFS($B107=FALSE,"",$B107,VLOOKUP($B107,'PATIENT DATA (072721)'!A:C, 2, 0))</f>
        <v/>
      </c>
      <c r="B107" s="215"/>
      <c r="C107" s="230" t="str">
        <f>IF(COUNTIF('PATIENT DATA (072721)'!A:A, B107)=0, "X","✓")</f>
        <v>X</v>
      </c>
      <c r="D107" s="217" t="str">
        <f>IFS($B107=FALSE,"",$B107,VLOOKUP($B107,'PATIENT DATA (072721)'!A:C, 3, 0))</f>
        <v/>
      </c>
      <c r="E107" s="218"/>
      <c r="F107" s="219" t="str">
        <f>ifs($B107="","",$B107, VLOOKUP($B107&amp;$E107, 'VISIT DATA'!A:O,3,0))</f>
        <v/>
      </c>
      <c r="G107" s="231"/>
      <c r="H107" s="221" t="str">
        <f>ifs($B107="","",$B107, VLOOKUP($B107&amp;$E107, 'VISIT DATA'!$A:$O,13,0))</f>
        <v/>
      </c>
      <c r="I107" s="262" t="str">
        <f>VLOOKUP($B107&amp;$E107,'VISIT DATA'!A:J, 9, FALSE)</f>
        <v>#N/A</v>
      </c>
      <c r="J107" s="223" t="str">
        <f>VLOOKUP(B107&amp;E107,'VISIT DATA'!A:N,10,FALSE)</f>
        <v>#N/A</v>
      </c>
      <c r="K107" s="225"/>
      <c r="L107" s="224"/>
      <c r="M107" s="224"/>
      <c r="N107" s="225"/>
      <c r="O107" s="216" t="str">
        <f t="shared" si="1"/>
        <v>X</v>
      </c>
      <c r="P107" s="226" t="str">
        <f t="shared" si="2"/>
        <v>#N/A</v>
      </c>
      <c r="Q107" s="227" t="str">
        <f t="shared" si="3"/>
        <v>#N/A</v>
      </c>
      <c r="R107" s="228" t="str">
        <f t="shared" si="4"/>
        <v>#N/A</v>
      </c>
      <c r="S107" s="220" t="str">
        <f t="shared" si="5"/>
        <v>#N/A</v>
      </c>
      <c r="T107" s="220" t="str">
        <f t="shared" si="6"/>
        <v>#N/A</v>
      </c>
      <c r="U107" s="221">
        <f t="shared" si="7"/>
        <v>0</v>
      </c>
      <c r="V107" s="229" t="str">
        <f>ifs($N107="",VLOOKUP($B107&amp;$E107,'VISIT DATA'!$A$2:$J116,7,FALSE), $N107="SWAB","OUTSA-RW",$N107="SWQU","OUTSA-SaQu", AND($L107="X",$M107="X",$N107="QUEST"),"OUT-UAQPre",$N107="QUEST","OUT-UAQ", $N107="Walk in","ColUATele")</f>
        <v>#N/A</v>
      </c>
      <c r="W107" s="24" t="str">
        <f t="shared" si="8"/>
        <v>#N/A</v>
      </c>
      <c r="X107" s="222" t="str">
        <f t="shared" si="9"/>
        <v/>
      </c>
      <c r="Y107" s="222" t="str">
        <f t="shared" si="10"/>
        <v/>
      </c>
      <c r="Z107" s="224" t="str">
        <f t="shared" si="11"/>
        <v> </v>
      </c>
      <c r="AA107" s="244"/>
    </row>
    <row r="108" hidden="1">
      <c r="A108" s="214" t="str">
        <f>IFS($B108=FALSE,"",$B108,VLOOKUP($B108,'PATIENT DATA (072721)'!A:C, 2, 0))</f>
        <v/>
      </c>
      <c r="B108" s="215"/>
      <c r="C108" s="230" t="str">
        <f>IF(COUNTIF('PATIENT DATA (072721)'!A:A, B108)=0, "X","✓")</f>
        <v>X</v>
      </c>
      <c r="D108" s="217" t="str">
        <f>IFS($B108=FALSE,"",$B108,VLOOKUP($B108,'PATIENT DATA (072721)'!A:C, 3, 0))</f>
        <v/>
      </c>
      <c r="E108" s="218"/>
      <c r="F108" s="219" t="str">
        <f>ifs($B108="","",$B108, VLOOKUP($B108&amp;$E108, 'VISIT DATA'!A:O,3,0))</f>
        <v/>
      </c>
      <c r="G108" s="231"/>
      <c r="H108" s="221" t="str">
        <f>ifs($B108="","",$B108, VLOOKUP($B108&amp;$E108, 'VISIT DATA'!$A:$O,13,0))</f>
        <v/>
      </c>
      <c r="I108" s="262" t="str">
        <f>VLOOKUP($B108&amp;$E108,'VISIT DATA'!A:J, 9, FALSE)</f>
        <v>#N/A</v>
      </c>
      <c r="J108" s="223" t="str">
        <f>VLOOKUP(B108&amp;E108,'VISIT DATA'!A:N,10,FALSE)</f>
        <v>#N/A</v>
      </c>
      <c r="K108" s="225"/>
      <c r="L108" s="224"/>
      <c r="M108" s="224"/>
      <c r="N108" s="225"/>
      <c r="O108" s="216" t="str">
        <f t="shared" si="1"/>
        <v>X</v>
      </c>
      <c r="P108" s="226" t="str">
        <f t="shared" si="2"/>
        <v>#N/A</v>
      </c>
      <c r="Q108" s="227" t="str">
        <f t="shared" si="3"/>
        <v>#N/A</v>
      </c>
      <c r="R108" s="228" t="str">
        <f t="shared" si="4"/>
        <v>#N/A</v>
      </c>
      <c r="S108" s="220" t="str">
        <f t="shared" si="5"/>
        <v>#N/A</v>
      </c>
      <c r="T108" s="220" t="str">
        <f t="shared" si="6"/>
        <v>#N/A</v>
      </c>
      <c r="U108" s="221">
        <f t="shared" si="7"/>
        <v>0</v>
      </c>
      <c r="V108" s="229" t="str">
        <f>ifs($N108="",VLOOKUP($B108&amp;$E108,'VISIT DATA'!$A$2:$J116,7,FALSE), $N108="SWAB","OUTSA-RW",$N108="SWQU","OUTSA-SaQu", AND($L108="X",$M108="X",$N108="QUEST"),"OUT-UAQPre",$N108="QUEST","OUT-UAQ", $N108="Walk in","ColUATele")</f>
        <v>#N/A</v>
      </c>
      <c r="W108" s="24" t="str">
        <f t="shared" si="8"/>
        <v>#N/A</v>
      </c>
      <c r="X108" s="222" t="str">
        <f t="shared" si="9"/>
        <v/>
      </c>
      <c r="Y108" s="222" t="str">
        <f t="shared" si="10"/>
        <v/>
      </c>
      <c r="Z108" s="224" t="str">
        <f t="shared" si="11"/>
        <v> </v>
      </c>
      <c r="AA108" s="244"/>
    </row>
    <row r="109" hidden="1">
      <c r="A109" s="214" t="str">
        <f>IFS($B109=FALSE,"",$B109,VLOOKUP($B109,'PATIENT DATA (072721)'!A:C, 2, 0))</f>
        <v/>
      </c>
      <c r="B109" s="215"/>
      <c r="C109" s="230" t="str">
        <f>IF(COUNTIF('PATIENT DATA (072721)'!A:A, B109)=0, "X","✓")</f>
        <v>X</v>
      </c>
      <c r="D109" s="217" t="str">
        <f>IFS($B109=FALSE,"",$B109,VLOOKUP($B109,'PATIENT DATA (072721)'!A:C, 3, 0))</f>
        <v/>
      </c>
      <c r="E109" s="218"/>
      <c r="F109" s="219" t="str">
        <f>ifs($B109="","",$B109, VLOOKUP($B109&amp;$E109, 'VISIT DATA'!A:O,3,0))</f>
        <v/>
      </c>
      <c r="G109" s="231"/>
      <c r="H109" s="221" t="str">
        <f>ifs($B109="","",$B109, VLOOKUP($B109&amp;$E109, 'VISIT DATA'!$A:$O,13,0))</f>
        <v/>
      </c>
      <c r="I109" s="262" t="str">
        <f>VLOOKUP($B109&amp;$E109,'VISIT DATA'!A:J, 9, FALSE)</f>
        <v>#N/A</v>
      </c>
      <c r="J109" s="223" t="str">
        <f>VLOOKUP(B109&amp;E109,'VISIT DATA'!A:N,10,FALSE)</f>
        <v>#N/A</v>
      </c>
      <c r="K109" s="225"/>
      <c r="L109" s="224"/>
      <c r="M109" s="224"/>
      <c r="N109" s="225"/>
      <c r="O109" s="216" t="str">
        <f t="shared" si="1"/>
        <v>X</v>
      </c>
      <c r="P109" s="226" t="str">
        <f t="shared" si="2"/>
        <v>#N/A</v>
      </c>
      <c r="Q109" s="227" t="str">
        <f t="shared" si="3"/>
        <v>#N/A</v>
      </c>
      <c r="R109" s="228" t="str">
        <f t="shared" si="4"/>
        <v>#N/A</v>
      </c>
      <c r="S109" s="220" t="str">
        <f t="shared" si="5"/>
        <v>#N/A</v>
      </c>
      <c r="T109" s="220" t="str">
        <f t="shared" si="6"/>
        <v>#N/A</v>
      </c>
      <c r="U109" s="221">
        <f t="shared" si="7"/>
        <v>0</v>
      </c>
      <c r="V109" s="229" t="str">
        <f>ifs($N109="",VLOOKUP($B109&amp;$E109,'VISIT DATA'!$A$2:$J116,7,FALSE), $N109="SWAB","OUTSA-RW",$N109="SWQU","OUTSA-SaQu", AND($L109="X",$M109="X",$N109="QUEST"),"OUT-UAQPre",$N109="QUEST","OUT-UAQ", $N109="Walk in","ColUATele")</f>
        <v>#N/A</v>
      </c>
      <c r="W109" s="24" t="str">
        <f t="shared" si="8"/>
        <v>#N/A</v>
      </c>
      <c r="X109" s="222" t="str">
        <f t="shared" si="9"/>
        <v/>
      </c>
      <c r="Y109" s="222" t="str">
        <f t="shared" si="10"/>
        <v/>
      </c>
      <c r="Z109" s="224" t="str">
        <f t="shared" si="11"/>
        <v> </v>
      </c>
      <c r="AA109" s="244"/>
    </row>
    <row r="110" hidden="1">
      <c r="A110" s="214" t="str">
        <f>IFS($B110=FALSE,"",$B110,VLOOKUP($B110,'PATIENT DATA (072721)'!A:C, 2, 0))</f>
        <v/>
      </c>
      <c r="B110" s="215"/>
      <c r="C110" s="230" t="str">
        <f>IF(COUNTIF('PATIENT DATA (072721)'!A:A, B110)=0, "X","✓")</f>
        <v>X</v>
      </c>
      <c r="D110" s="217" t="str">
        <f>IFS($B110=FALSE,"",$B110,VLOOKUP($B110,'PATIENT DATA (072721)'!A:C, 3, 0))</f>
        <v/>
      </c>
      <c r="E110" s="218"/>
      <c r="F110" s="219" t="str">
        <f>ifs($B110="","",$B110, VLOOKUP($B110&amp;$E110, 'VISIT DATA'!A:O,3,0))</f>
        <v/>
      </c>
      <c r="G110" s="231"/>
      <c r="H110" s="221" t="str">
        <f>ifs($B110="","",$B110, VLOOKUP($B110&amp;$E110, 'VISIT DATA'!$A:$O,13,0))</f>
        <v/>
      </c>
      <c r="I110" s="262" t="str">
        <f>VLOOKUP($B110&amp;$E110,'VISIT DATA'!A:J, 9, FALSE)</f>
        <v>#N/A</v>
      </c>
      <c r="J110" s="223" t="str">
        <f>VLOOKUP(B110&amp;E110,'VISIT DATA'!A:N,10,FALSE)</f>
        <v>#N/A</v>
      </c>
      <c r="K110" s="225"/>
      <c r="L110" s="224"/>
      <c r="M110" s="224"/>
      <c r="N110" s="225"/>
      <c r="O110" s="216" t="str">
        <f t="shared" si="1"/>
        <v>X</v>
      </c>
      <c r="P110" s="226" t="str">
        <f t="shared" si="2"/>
        <v>#N/A</v>
      </c>
      <c r="Q110" s="227" t="str">
        <f t="shared" si="3"/>
        <v>#N/A</v>
      </c>
      <c r="R110" s="228" t="str">
        <f t="shared" si="4"/>
        <v>#N/A</v>
      </c>
      <c r="S110" s="220" t="str">
        <f t="shared" si="5"/>
        <v>#N/A</v>
      </c>
      <c r="T110" s="220" t="str">
        <f t="shared" si="6"/>
        <v>#N/A</v>
      </c>
      <c r="U110" s="221">
        <f t="shared" si="7"/>
        <v>0</v>
      </c>
      <c r="V110" s="229" t="str">
        <f>ifs($N110="",VLOOKUP($B110&amp;$E110,'VISIT DATA'!$A$2:$J116,7,FALSE), $N110="SWAB","OUTSA-RW",$N110="SWQU","OUTSA-SaQu", AND($L110="X",$M110="X",$N110="QUEST"),"OUT-UAQPre",$N110="QUEST","OUT-UAQ", $N110="Walk in","ColUATele")</f>
        <v>#N/A</v>
      </c>
      <c r="W110" s="24" t="str">
        <f t="shared" si="8"/>
        <v>#N/A</v>
      </c>
      <c r="X110" s="222" t="str">
        <f t="shared" si="9"/>
        <v/>
      </c>
      <c r="Y110" s="222" t="str">
        <f t="shared" si="10"/>
        <v/>
      </c>
      <c r="Z110" s="224" t="str">
        <f t="shared" si="11"/>
        <v> </v>
      </c>
      <c r="AA110" s="244"/>
    </row>
    <row r="111" hidden="1">
      <c r="A111" s="214" t="str">
        <f>IFS($B111=FALSE,"",$B111,VLOOKUP($B111,'PATIENT DATA (072721)'!A:C, 2, 0))</f>
        <v/>
      </c>
      <c r="B111" s="215"/>
      <c r="C111" s="230" t="str">
        <f>IF(COUNTIF('PATIENT DATA (072721)'!A:A, B111)=0, "X","✓")</f>
        <v>X</v>
      </c>
      <c r="D111" s="217" t="str">
        <f>IFS($B111=FALSE,"",$B111,VLOOKUP($B111,'PATIENT DATA (072721)'!A:C, 3, 0))</f>
        <v/>
      </c>
      <c r="E111" s="218"/>
      <c r="F111" s="219" t="str">
        <f>ifs($B111="","",$B111, VLOOKUP($B111&amp;$E111, 'VISIT DATA'!A:O,3,0))</f>
        <v/>
      </c>
      <c r="G111" s="231"/>
      <c r="H111" s="221" t="str">
        <f>ifs($B111="","",$B111, VLOOKUP($B111&amp;$E111, 'VISIT DATA'!$A:$O,13,0))</f>
        <v/>
      </c>
      <c r="I111" s="262" t="str">
        <f>VLOOKUP($B111&amp;$E111,'VISIT DATA'!A:J, 9, FALSE)</f>
        <v>#N/A</v>
      </c>
      <c r="J111" s="223" t="str">
        <f>VLOOKUP(B111&amp;E111,'VISIT DATA'!A:N,10,FALSE)</f>
        <v>#N/A</v>
      </c>
      <c r="K111" s="225"/>
      <c r="L111" s="224"/>
      <c r="M111" s="224"/>
      <c r="N111" s="225"/>
      <c r="O111" s="216" t="str">
        <f t="shared" si="1"/>
        <v>X</v>
      </c>
      <c r="P111" s="226" t="str">
        <f t="shared" si="2"/>
        <v>#N/A</v>
      </c>
      <c r="Q111" s="227" t="str">
        <f t="shared" si="3"/>
        <v>#N/A</v>
      </c>
      <c r="R111" s="228" t="str">
        <f t="shared" si="4"/>
        <v>#N/A</v>
      </c>
      <c r="S111" s="220" t="str">
        <f t="shared" si="5"/>
        <v>#N/A</v>
      </c>
      <c r="T111" s="220" t="str">
        <f t="shared" si="6"/>
        <v>#N/A</v>
      </c>
      <c r="U111" s="221">
        <f t="shared" si="7"/>
        <v>0</v>
      </c>
      <c r="V111" s="229" t="str">
        <f>ifs($N111="",VLOOKUP($B111&amp;$E111,'VISIT DATA'!$A$2:$J116,7,FALSE), $N111="SWAB","OUTSA-RW",$N111="SWQU","OUTSA-SaQu", AND($L111="X",$M111="X",$N111="QUEST"),"OUT-UAQPre",$N111="QUEST","OUT-UAQ", $N111="Walk in","ColUATele")</f>
        <v>#N/A</v>
      </c>
      <c r="W111" s="24" t="str">
        <f t="shared" si="8"/>
        <v>#N/A</v>
      </c>
      <c r="X111" s="222" t="str">
        <f t="shared" si="9"/>
        <v/>
      </c>
      <c r="Y111" s="222" t="str">
        <f t="shared" si="10"/>
        <v/>
      </c>
      <c r="Z111" s="224" t="str">
        <f t="shared" si="11"/>
        <v> </v>
      </c>
      <c r="AA111" s="244"/>
    </row>
    <row r="112" hidden="1">
      <c r="A112" s="214" t="str">
        <f>IFS($B112=FALSE,"",$B112,VLOOKUP($B112,'PATIENT DATA (072721)'!A:C, 2, 0))</f>
        <v/>
      </c>
      <c r="B112" s="215"/>
      <c r="C112" s="230" t="str">
        <f>IF(COUNTIF('PATIENT DATA (072721)'!A:A, B112)=0, "X","✓")</f>
        <v>X</v>
      </c>
      <c r="D112" s="217" t="str">
        <f>IFS($B112=FALSE,"",$B112,VLOOKUP($B112,'PATIENT DATA (072721)'!A:C, 3, 0))</f>
        <v/>
      </c>
      <c r="E112" s="218"/>
      <c r="F112" s="219" t="str">
        <f>ifs($B112="","",$B112, VLOOKUP($B112&amp;$E112, 'VISIT DATA'!A:O,3,0))</f>
        <v/>
      </c>
      <c r="G112" s="231"/>
      <c r="H112" s="221" t="str">
        <f>ifs($B112="","",$B112, VLOOKUP($B112&amp;$E112, 'VISIT DATA'!$A:$O,13,0))</f>
        <v/>
      </c>
      <c r="I112" s="262" t="str">
        <f>VLOOKUP($B112&amp;$E112,'VISIT DATA'!A:J, 9, FALSE)</f>
        <v>#N/A</v>
      </c>
      <c r="J112" s="223" t="str">
        <f>VLOOKUP(B112&amp;E112,'VISIT DATA'!A:N,10,FALSE)</f>
        <v>#N/A</v>
      </c>
      <c r="K112" s="225"/>
      <c r="L112" s="224"/>
      <c r="M112" s="224"/>
      <c r="N112" s="225"/>
      <c r="O112" s="216" t="str">
        <f t="shared" si="1"/>
        <v>X</v>
      </c>
      <c r="P112" s="226" t="str">
        <f t="shared" si="2"/>
        <v>#N/A</v>
      </c>
      <c r="Q112" s="227" t="str">
        <f t="shared" si="3"/>
        <v>#N/A</v>
      </c>
      <c r="R112" s="228" t="str">
        <f t="shared" si="4"/>
        <v>#N/A</v>
      </c>
      <c r="S112" s="220" t="str">
        <f t="shared" si="5"/>
        <v>#N/A</v>
      </c>
      <c r="T112" s="220" t="str">
        <f t="shared" si="6"/>
        <v>#N/A</v>
      </c>
      <c r="U112" s="221">
        <f t="shared" si="7"/>
        <v>0</v>
      </c>
      <c r="V112" s="229" t="str">
        <f>ifs($N112="",VLOOKUP($B112&amp;$E112,'VISIT DATA'!$A$2:$J116,7,FALSE), $N112="SWAB","OUTSA-RW",$N112="SWQU","OUTSA-SaQu", AND($L112="X",$M112="X",$N112="QUEST"),"OUT-UAQPre",$N112="QUEST","OUT-UAQ", $N112="Walk in","ColUATele")</f>
        <v>#N/A</v>
      </c>
      <c r="W112" s="24" t="str">
        <f t="shared" si="8"/>
        <v>#N/A</v>
      </c>
      <c r="X112" s="222" t="str">
        <f t="shared" si="9"/>
        <v/>
      </c>
      <c r="Y112" s="222" t="str">
        <f t="shared" si="10"/>
        <v/>
      </c>
      <c r="Z112" s="224" t="str">
        <f t="shared" si="11"/>
        <v> </v>
      </c>
      <c r="AA112" s="244"/>
    </row>
    <row r="113" hidden="1">
      <c r="A113" s="214" t="str">
        <f>IFS($B113=FALSE,"",$B113,VLOOKUP($B113,'PATIENT DATA (072721)'!A:C, 2, 0))</f>
        <v/>
      </c>
      <c r="B113" s="215"/>
      <c r="C113" s="230" t="str">
        <f>IF(COUNTIF('PATIENT DATA (072721)'!A:A, B113)=0, "X","✓")</f>
        <v>X</v>
      </c>
      <c r="D113" s="217" t="str">
        <f>IFS($B113=FALSE,"",$B113,VLOOKUP($B113,'PATIENT DATA (072721)'!A:C, 3, 0))</f>
        <v/>
      </c>
      <c r="E113" s="218"/>
      <c r="F113" s="219" t="str">
        <f>ifs($B113="","",$B113, VLOOKUP($B113&amp;$E113, 'VISIT DATA'!A:O,3,0))</f>
        <v/>
      </c>
      <c r="G113" s="231"/>
      <c r="H113" s="221" t="str">
        <f>ifs($B113="","",$B113, VLOOKUP($B113&amp;$E113, 'VISIT DATA'!$A:$O,13,0))</f>
        <v/>
      </c>
      <c r="I113" s="262" t="str">
        <f>VLOOKUP($B113&amp;$E113,'VISIT DATA'!A:J, 9, FALSE)</f>
        <v>#N/A</v>
      </c>
      <c r="J113" s="223" t="str">
        <f>VLOOKUP(B113&amp;E113,'VISIT DATA'!A:N,10,FALSE)</f>
        <v>#N/A</v>
      </c>
      <c r="K113" s="225"/>
      <c r="L113" s="224"/>
      <c r="M113" s="224"/>
      <c r="N113" s="225"/>
      <c r="O113" s="216" t="str">
        <f t="shared" si="1"/>
        <v>X</v>
      </c>
      <c r="P113" s="226" t="str">
        <f t="shared" si="2"/>
        <v>#N/A</v>
      </c>
      <c r="Q113" s="227" t="str">
        <f t="shared" si="3"/>
        <v>#N/A</v>
      </c>
      <c r="R113" s="228" t="str">
        <f t="shared" si="4"/>
        <v>#N/A</v>
      </c>
      <c r="S113" s="220" t="str">
        <f t="shared" si="5"/>
        <v>#N/A</v>
      </c>
      <c r="T113" s="220" t="str">
        <f t="shared" si="6"/>
        <v>#N/A</v>
      </c>
      <c r="U113" s="221">
        <f t="shared" si="7"/>
        <v>0</v>
      </c>
      <c r="V113" s="229" t="str">
        <f>ifs($N113="",VLOOKUP($B113&amp;$E113,'VISIT DATA'!$A$2:$J116,7,FALSE), $N113="SWAB","OUTSA-RW",$N113="SWQU","OUTSA-SaQu", AND($L113="X",$M113="X",$N113="QUEST"),"OUT-UAQPre",$N113="QUEST","OUT-UAQ", $N113="Walk in","ColUATele")</f>
        <v>#N/A</v>
      </c>
      <c r="W113" s="24" t="str">
        <f t="shared" si="8"/>
        <v>#N/A</v>
      </c>
      <c r="X113" s="222" t="str">
        <f t="shared" si="9"/>
        <v/>
      </c>
      <c r="Y113" s="222" t="str">
        <f t="shared" si="10"/>
        <v/>
      </c>
      <c r="Z113" s="224" t="str">
        <f t="shared" si="11"/>
        <v> </v>
      </c>
      <c r="AA113" s="244"/>
    </row>
    <row r="114" hidden="1">
      <c r="A114" s="214" t="str">
        <f>IFS($B114=FALSE,"",$B114,VLOOKUP($B114,'PATIENT DATA (072721)'!A:C, 2, 0))</f>
        <v/>
      </c>
      <c r="B114" s="215"/>
      <c r="C114" s="230" t="str">
        <f>IF(COUNTIF('PATIENT DATA (072721)'!A:A, B114)=0, "X","✓")</f>
        <v>X</v>
      </c>
      <c r="D114" s="217" t="str">
        <f>IFS($B114=FALSE,"",$B114,VLOOKUP($B114,'PATIENT DATA (072721)'!A:C, 3, 0))</f>
        <v/>
      </c>
      <c r="E114" s="218"/>
      <c r="F114" s="219" t="str">
        <f>ifs($B114="","",$B114, VLOOKUP($B114&amp;$E114, 'VISIT DATA'!A:O,3,0))</f>
        <v/>
      </c>
      <c r="G114" s="231"/>
      <c r="H114" s="221" t="str">
        <f>ifs($B114="","",$B114, VLOOKUP($B114&amp;$E114, 'VISIT DATA'!$A:$O,13,0))</f>
        <v/>
      </c>
      <c r="I114" s="262" t="str">
        <f>VLOOKUP($B114&amp;$E114,'VISIT DATA'!A:J, 9, FALSE)</f>
        <v>#N/A</v>
      </c>
      <c r="J114" s="223" t="str">
        <f>VLOOKUP(B114&amp;E114,'VISIT DATA'!A:N,10,FALSE)</f>
        <v>#N/A</v>
      </c>
      <c r="K114" s="225"/>
      <c r="L114" s="224"/>
      <c r="M114" s="224"/>
      <c r="N114" s="225"/>
      <c r="O114" s="216" t="str">
        <f t="shared" si="1"/>
        <v>X</v>
      </c>
      <c r="P114" s="226" t="str">
        <f t="shared" si="2"/>
        <v>#N/A</v>
      </c>
      <c r="Q114" s="227" t="str">
        <f t="shared" si="3"/>
        <v>#N/A</v>
      </c>
      <c r="R114" s="228" t="str">
        <f t="shared" si="4"/>
        <v>#N/A</v>
      </c>
      <c r="S114" s="220" t="str">
        <f t="shared" si="5"/>
        <v>#N/A</v>
      </c>
      <c r="T114" s="220" t="str">
        <f t="shared" si="6"/>
        <v>#N/A</v>
      </c>
      <c r="U114" s="221">
        <f t="shared" si="7"/>
        <v>0</v>
      </c>
      <c r="V114" s="229" t="str">
        <f>ifs($N114="",VLOOKUP($B114&amp;$E114,'VISIT DATA'!$A$2:$J116,7,FALSE), $N114="SWAB","OUTSA-RW",$N114="SWQU","OUTSA-SaQu", AND($L114="X",$M114="X",$N114="QUEST"),"OUT-UAQPre",$N114="QUEST","OUT-UAQ", $N114="Walk in","ColUATele")</f>
        <v>#N/A</v>
      </c>
      <c r="W114" s="24" t="str">
        <f t="shared" si="8"/>
        <v>#N/A</v>
      </c>
      <c r="X114" s="222" t="str">
        <f t="shared" si="9"/>
        <v/>
      </c>
      <c r="Y114" s="222" t="str">
        <f t="shared" si="10"/>
        <v/>
      </c>
      <c r="Z114" s="224" t="str">
        <f t="shared" si="11"/>
        <v> </v>
      </c>
      <c r="AA114" s="244"/>
    </row>
    <row r="115" hidden="1">
      <c r="A115" s="214" t="str">
        <f>IFS($B115=FALSE,"",$B115,VLOOKUP($B115,'PATIENT DATA (072721)'!A:C, 2, 0))</f>
        <v/>
      </c>
      <c r="B115" s="215"/>
      <c r="C115" s="230" t="str">
        <f>IF(COUNTIF('PATIENT DATA (072721)'!A:A, B115)=0, "X","✓")</f>
        <v>X</v>
      </c>
      <c r="D115" s="217" t="str">
        <f>IFS($B115=FALSE,"",$B115,VLOOKUP($B115,'PATIENT DATA (072721)'!A:C, 3, 0))</f>
        <v/>
      </c>
      <c r="E115" s="218"/>
      <c r="F115" s="219" t="str">
        <f>ifs($B115="","",$B115, VLOOKUP($B115&amp;$E115, 'VISIT DATA'!A:O,3,0))</f>
        <v/>
      </c>
      <c r="G115" s="231"/>
      <c r="H115" s="221" t="str">
        <f>ifs($B115="","",$B115, VLOOKUP($B115&amp;$E115, 'VISIT DATA'!$A:$O,13,0))</f>
        <v/>
      </c>
      <c r="I115" s="262" t="str">
        <f>VLOOKUP($B115&amp;$E115,'VISIT DATA'!A:J, 9, FALSE)</f>
        <v>#N/A</v>
      </c>
      <c r="J115" s="223" t="str">
        <f>VLOOKUP(B115&amp;E115,'VISIT DATA'!A:N,10,FALSE)</f>
        <v>#N/A</v>
      </c>
      <c r="K115" s="225"/>
      <c r="L115" s="224"/>
      <c r="M115" s="224"/>
      <c r="N115" s="225"/>
      <c r="O115" s="216" t="str">
        <f t="shared" si="1"/>
        <v>X</v>
      </c>
      <c r="P115" s="226" t="str">
        <f t="shared" si="2"/>
        <v>#N/A</v>
      </c>
      <c r="Q115" s="227" t="str">
        <f t="shared" si="3"/>
        <v>#N/A</v>
      </c>
      <c r="R115" s="228" t="str">
        <f t="shared" si="4"/>
        <v>#N/A</v>
      </c>
      <c r="S115" s="220" t="str">
        <f t="shared" si="5"/>
        <v>#N/A</v>
      </c>
      <c r="T115" s="220" t="str">
        <f t="shared" si="6"/>
        <v>#N/A</v>
      </c>
      <c r="U115" s="221">
        <f t="shared" si="7"/>
        <v>0</v>
      </c>
      <c r="V115" s="229" t="str">
        <f>ifs($N115="",VLOOKUP($B115&amp;$E115,'VISIT DATA'!$A$2:$J116,7,FALSE), $N115="SWAB","OUTSA-RW",$N115="SWQU","OUTSA-SaQu", AND($L115="X",$M115="X",$N115="QUEST"),"OUT-UAQPre",$N115="QUEST","OUT-UAQ", $N115="Walk in","ColUATele")</f>
        <v>#N/A</v>
      </c>
      <c r="W115" s="24" t="str">
        <f t="shared" si="8"/>
        <v>#N/A</v>
      </c>
      <c r="X115" s="222" t="str">
        <f t="shared" si="9"/>
        <v/>
      </c>
      <c r="Y115" s="222" t="str">
        <f t="shared" si="10"/>
        <v/>
      </c>
      <c r="Z115" s="224" t="str">
        <f t="shared" si="11"/>
        <v> </v>
      </c>
      <c r="AA115" s="244"/>
    </row>
    <row r="116">
      <c r="A116" s="232"/>
      <c r="B116" s="232"/>
      <c r="C116" s="232"/>
      <c r="D116" s="233"/>
      <c r="E116" s="263"/>
      <c r="F116" s="234"/>
      <c r="G116" s="232"/>
      <c r="H116" s="235"/>
      <c r="I116" s="232"/>
      <c r="J116" s="232"/>
      <c r="K116" s="236" t="s">
        <v>6333</v>
      </c>
      <c r="L116" s="237">
        <v>64.0</v>
      </c>
      <c r="M116" s="236" t="s">
        <v>6334</v>
      </c>
      <c r="N116" s="237">
        <v>15.0</v>
      </c>
      <c r="O116" s="238"/>
      <c r="P116" s="238"/>
      <c r="Q116" s="238"/>
      <c r="R116" s="238"/>
      <c r="S116" s="238"/>
      <c r="T116" s="238"/>
      <c r="U116" s="238"/>
      <c r="V116" s="239"/>
      <c r="W116" s="238"/>
      <c r="X116" s="238"/>
      <c r="Y116" s="238"/>
      <c r="Z116" s="238"/>
      <c r="AA116" s="238"/>
    </row>
  </sheetData>
  <autoFilter ref="$A$1:$AA$116">
    <filterColumn colId="14">
      <filters blank="1">
        <filter val="✓"/>
      </filters>
    </filterColumn>
  </autoFilter>
  <customSheetViews>
    <customSheetView guid="{20F5F3BA-172D-4727-943D-E296FD1F3EFA}" filter="1" showAutoFilter="1">
      <autoFilter ref="$A$1:$AA$116"/>
    </customSheetView>
  </customSheetViews>
  <conditionalFormatting sqref="A1:X116 Y59:Z59">
    <cfRule type="expression" dxfId="5" priority="1">
      <formula>$X1="ERROR"</formula>
    </cfRule>
  </conditionalFormatting>
  <conditionalFormatting sqref="A1:Z115">
    <cfRule type="expression" dxfId="5" priority="2">
      <formula>$Y1="NO MATCH"</formula>
    </cfRule>
  </conditionalFormatting>
  <conditionalFormatting sqref="C2:C115 O2:O115">
    <cfRule type="containsText" dxfId="5" priority="3" operator="containsText" text="X">
      <formula>NOT(ISERROR(SEARCH(("X"),(C2))))</formula>
    </cfRule>
  </conditionalFormatting>
  <conditionalFormatting sqref="A1:Z115">
    <cfRule type="expression" dxfId="4" priority="4">
      <formula>$Z1="Repeat"</formula>
    </cfRule>
  </conditionalFormatting>
  <conditionalFormatting sqref="V2:V115 W59:Z59">
    <cfRule type="expression" dxfId="10" priority="5">
      <formula>$N2="QUEST"</formula>
    </cfRule>
  </conditionalFormatting>
  <conditionalFormatting sqref="C2:C115 O2:O115">
    <cfRule type="containsText" dxfId="10" priority="6" operator="containsText" text="✓">
      <formula>NOT(ISERROR(SEARCH(("✓"),(C2))))</formula>
    </cfRule>
  </conditionalFormatting>
  <conditionalFormatting sqref="A1:U115">
    <cfRule type="expression" dxfId="20" priority="7">
      <formula>$J1="MOLINA DUAL COMPLETE NEW MEXICO"</formula>
    </cfRule>
  </conditionalFormatting>
  <conditionalFormatting sqref="A1:U115">
    <cfRule type="expression" dxfId="20" priority="8">
      <formula>$J1="MOLINA DUAL COMPLETE TEXAS"</formula>
    </cfRule>
  </conditionalFormatting>
  <conditionalFormatting sqref="A1:U115">
    <cfRule type="expression" dxfId="20" priority="9">
      <formula>$J1="MOLINA MARKETPLACE TEXAS"</formula>
    </cfRule>
  </conditionalFormatting>
  <conditionalFormatting sqref="K1:K115">
    <cfRule type="containsText" dxfId="6" priority="10" operator="containsText" text="x">
      <formula>NOT(ISERROR(SEARCH(("x"),(K1))))</formula>
    </cfRule>
  </conditionalFormatting>
  <conditionalFormatting sqref="M1:M115">
    <cfRule type="containsText" dxfId="21" priority="11" operator="containsText" text="X">
      <formula>NOT(ISERROR(SEARCH(("X"),(M1))))</formula>
    </cfRule>
  </conditionalFormatting>
  <conditionalFormatting sqref="L1:L115">
    <cfRule type="containsText" dxfId="22" priority="12" operator="containsText" text="X">
      <formula>NOT(ISERROR(SEARCH(("X"),(L1))))</formula>
    </cfRule>
  </conditionalFormatting>
  <conditionalFormatting sqref="C1:C115 O1:O115">
    <cfRule type="containsBlanks" dxfId="23" priority="13">
      <formula>LEN(TRIM(C1))=0</formula>
    </cfRule>
  </conditionalFormatting>
  <conditionalFormatting sqref="J1:J115 N1:O1 Z1">
    <cfRule type="containsText" dxfId="24" priority="14" operator="containsText" text="Molina">
      <formula>NOT(ISERROR(SEARCH(("Molina"),(J1))))</formula>
    </cfRule>
  </conditionalFormatting>
  <conditionalFormatting sqref="K1:M115">
    <cfRule type="containsBlanks" dxfId="25" priority="15">
      <formula>LEN(TRIM(K1))=0</formula>
    </cfRule>
  </conditionalFormatting>
  <conditionalFormatting sqref="O1:O115 A2:N115 P2:Z115">
    <cfRule type="expression" dxfId="10" priority="16">
      <formula>$N1="SWAB"</formula>
    </cfRule>
  </conditionalFormatting>
  <conditionalFormatting sqref="J1:J115">
    <cfRule type="containsText" dxfId="5" priority="17" operator="containsText" text="Self Pay">
      <formula>NOT(ISERROR(SEARCH(("Self Pay"),(J1))))</formula>
    </cfRule>
  </conditionalFormatting>
  <conditionalFormatting sqref="J1:J115">
    <cfRule type="containsText" dxfId="5" priority="18" operator="containsText" text="Self-Pay">
      <formula>NOT(ISERROR(SEARCH(("Self-Pay"),(J1))))</formula>
    </cfRule>
  </conditionalFormatting>
  <conditionalFormatting sqref="J1:J115">
    <cfRule type="containsText" dxfId="5" priority="19" operator="containsText" text="Third Party">
      <formula>NOT(ISERROR(SEARCH(("Third Party"),(J1))))</formula>
    </cfRule>
  </conditionalFormatting>
  <conditionalFormatting sqref="A1:U115">
    <cfRule type="expression" dxfId="26" priority="20">
      <formula>$J1="SUPERIOR HEALTH PLAN"</formula>
    </cfRule>
  </conditionalFormatting>
  <conditionalFormatting sqref="A1:U115">
    <cfRule type="expression" dxfId="26" priority="21">
      <formula>$J1="AMBETTER - SUPERIOR"</formula>
    </cfRule>
  </conditionalFormatting>
  <conditionalFormatting sqref="A1:U115">
    <cfRule type="expression" dxfId="19" priority="22">
      <formula>$J1="Wellmed - Humana"</formula>
    </cfRule>
  </conditionalFormatting>
  <conditionalFormatting sqref="A1:U115">
    <cfRule type="expression" dxfId="19" priority="23">
      <formula>$J1="WELLMED - AARP MEDICARE COMPLETE"</formula>
    </cfRule>
  </conditionalFormatting>
  <conditionalFormatting sqref="A1:U115">
    <cfRule type="expression" dxfId="19" priority="24">
      <formula>$J1="WELLMED - AMERIVANTAGE"</formula>
    </cfRule>
  </conditionalFormatting>
  <conditionalFormatting sqref="A1:U115">
    <cfRule type="expression" dxfId="19" priority="25">
      <formula>$J1="WELLMED - CIGNA HEALTHSPRING"</formula>
    </cfRule>
  </conditionalFormatting>
  <conditionalFormatting sqref="A1:U115">
    <cfRule type="expression" dxfId="19" priority="26">
      <formula>$J1="WELLMED - UHC CHRONIC COMPLETE HMO C-SNP"</formula>
    </cfRule>
  </conditionalFormatting>
  <conditionalFormatting sqref="A1:U115">
    <cfRule type="expression" dxfId="19" priority="27">
      <formula>$J1="WELLMED - UHC DUAL COMPLETE HMO SNP"</formula>
    </cfRule>
  </conditionalFormatting>
  <conditionalFormatting sqref="A1:U115">
    <cfRule type="expression" dxfId="19" priority="28">
      <formula>$J1="WELLMED - UHC DUAL COMPLETE SNP"</formula>
    </cfRule>
  </conditionalFormatting>
  <conditionalFormatting sqref="A1:U115">
    <cfRule type="expression" dxfId="20" priority="29">
      <formula>$J1="MOLINA DUAL COMPLETE NEW MEXICO"</formula>
    </cfRule>
  </conditionalFormatting>
  <conditionalFormatting sqref="A1:U115">
    <cfRule type="expression" dxfId="20" priority="30">
      <formula>$J1="MOLINA DUAL COMPLETE TEXAS"</formula>
    </cfRule>
  </conditionalFormatting>
  <conditionalFormatting sqref="A1:U115">
    <cfRule type="expression" dxfId="20" priority="31">
      <formula>$J1="MOLINA MARKETPLACE TEXAS"</formula>
    </cfRule>
  </conditionalFormatting>
  <conditionalFormatting sqref="A1:U115">
    <cfRule type="expression" dxfId="20" priority="32">
      <formula>$J1="MOLINA MEDICAID TEXAS"</formula>
    </cfRule>
  </conditionalFormatting>
  <conditionalFormatting sqref="A1:U115">
    <cfRule type="expression" dxfId="27" priority="33">
      <formula>$J1="HUMANA OPEN ACCESS PLAN"</formula>
    </cfRule>
  </conditionalFormatting>
  <conditionalFormatting sqref="A1:U115">
    <cfRule type="expression" dxfId="28" priority="34">
      <formula>$J1="HUMANA CHOICE CARE"</formula>
    </cfRule>
  </conditionalFormatting>
  <conditionalFormatting sqref="V1:W115 X59:Z59">
    <cfRule type="expression" dxfId="11" priority="35">
      <formula>$V1="UA"</formula>
    </cfRule>
  </conditionalFormatting>
  <conditionalFormatting sqref="V1:W115 X59:Z59">
    <cfRule type="expression" dxfId="12" priority="36">
      <formula>$V1="OUTUA-PrRW"</formula>
    </cfRule>
  </conditionalFormatting>
  <conditionalFormatting sqref="V1:W115 X59:Z59">
    <cfRule type="expression" dxfId="12" priority="37">
      <formula>$V1="OUT-UAQPre"</formula>
    </cfRule>
  </conditionalFormatting>
  <conditionalFormatting sqref="V1:W115 X59:Z59">
    <cfRule type="expression" dxfId="13" priority="38">
      <formula>$V1="UA-Prelim"</formula>
    </cfRule>
  </conditionalFormatting>
  <conditionalFormatting sqref="V1:W115 X59:Z59">
    <cfRule type="expression" dxfId="6" priority="39">
      <formula>$V1="UA-NWPT"</formula>
    </cfRule>
  </conditionalFormatting>
  <conditionalFormatting sqref="N1:N116 O1:O115">
    <cfRule type="expression" dxfId="5" priority="40">
      <formula>$O1="X"</formula>
    </cfRule>
  </conditionalFormatting>
  <conditionalFormatting sqref="V1:W115 X59:Z59">
    <cfRule type="expression" dxfId="10" priority="41">
      <formula>$V1="OUT-UAQ"</formula>
    </cfRule>
  </conditionalFormatting>
  <conditionalFormatting sqref="V1:W115 X59:Z59">
    <cfRule type="expression" dxfId="10" priority="42">
      <formula>$V1="OUTUA-FURW"</formula>
    </cfRule>
  </conditionalFormatting>
  <conditionalFormatting sqref="V1:W115 X59:Z59">
    <cfRule type="expression" dxfId="14" priority="43">
      <formula>$V1="OUTSA-SaQu"</formula>
    </cfRule>
  </conditionalFormatting>
  <conditionalFormatting sqref="V1:W115 X59:Z59">
    <cfRule type="expression" dxfId="14" priority="44">
      <formula>$V1="OUTSA-RW"</formula>
    </cfRule>
  </conditionalFormatting>
  <dataValidations>
    <dataValidation type="list" allowBlank="1" showErrorMessage="1" sqref="H2:H115">
      <formula1>"CH,DA,DC,DM,FA,LM"</formula1>
    </dataValidation>
    <dataValidation type="list" allowBlank="1" showErrorMessage="1" sqref="J2:J115">
      <formula1>Data!$A$2:$A116</formula1>
    </dataValidation>
    <dataValidation type="custom" allowBlank="1" showDropDown="1" showInputMessage="1" showErrorMessage="1" prompt="CAPITALS" sqref="A1:A115">
      <formula1>ISERROR(SEARCH((exact(upper(B:N),B:N)),(A1)))</formula1>
    </dataValidation>
    <dataValidation type="list" allowBlank="1" showErrorMessage="1" sqref="F2:F115">
      <formula1>Data!$B$1:$B$44</formula1>
    </dataValidation>
    <dataValidation type="custom" allowBlank="1" showDropDown="1" showInputMessage="1" showErrorMessage="1" prompt="CAPITALS" sqref="B1:B115">
      <formula1>ISERROR(SEARCH((exact(upper(B:O),B:O)),(B1)))</formula1>
    </dataValidation>
    <dataValidation type="list" allowBlank="1" showErrorMessage="1" sqref="G2:G115">
      <formula1>"F,M"</formula1>
    </dataValidation>
    <dataValidation type="list" allowBlank="1" showErrorMessage="1" sqref="K2:M115">
      <formula1>"X"</formula1>
    </dataValidation>
    <dataValidation type="list" allowBlank="1" showInputMessage="1" showErrorMessage="1" prompt="Click and enter a value from range 'Insurance Data'!C2:C608" sqref="E2:E115">
      <formula1>Data!$C:$C</formula1>
    </dataValidation>
    <dataValidation type="list" allowBlank="1" showErrorMessage="1" sqref="I2:I115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28.29"/>
    <col customWidth="1" min="2" max="2" width="9.29"/>
    <col customWidth="1" min="3" max="4" width="7.86"/>
    <col customWidth="1" min="5" max="5" width="8.43"/>
    <col customWidth="1" min="6" max="6" width="7.43"/>
    <col customWidth="1" min="7" max="7" width="11.14"/>
    <col customWidth="1" min="8" max="8" width="13.0"/>
    <col customWidth="1" min="9" max="9" width="43.57"/>
    <col customWidth="1" min="10" max="10" width="8.0"/>
    <col customWidth="1" min="11" max="11" width="6.71"/>
    <col customWidth="1" min="12" max="12" width="7.57"/>
    <col customWidth="1" min="13" max="13" width="9.86"/>
  </cols>
  <sheetData>
    <row r="1">
      <c r="A1" s="204" t="s">
        <v>24</v>
      </c>
      <c r="B1" s="205" t="s">
        <v>6237</v>
      </c>
      <c r="C1" s="308" t="s">
        <v>25</v>
      </c>
      <c r="D1" s="207" t="s">
        <v>21</v>
      </c>
      <c r="E1" s="208" t="s">
        <v>6077</v>
      </c>
      <c r="F1" s="208" t="s">
        <v>6318</v>
      </c>
      <c r="G1" s="209" t="s">
        <v>2</v>
      </c>
      <c r="H1" s="209" t="s">
        <v>6206</v>
      </c>
      <c r="I1" s="209" t="s">
        <v>6135</v>
      </c>
      <c r="J1" s="208" t="s">
        <v>6238</v>
      </c>
      <c r="K1" s="208" t="s">
        <v>6239</v>
      </c>
      <c r="L1" s="208" t="s">
        <v>6240</v>
      </c>
      <c r="M1" s="210" t="s">
        <v>7</v>
      </c>
    </row>
    <row r="2">
      <c r="A2" s="214" t="s">
        <v>4450</v>
      </c>
      <c r="B2" s="215">
        <v>16128.0</v>
      </c>
      <c r="C2" s="309">
        <v>16663.0</v>
      </c>
      <c r="D2" s="218">
        <v>44567.0</v>
      </c>
      <c r="E2" s="219">
        <v>0.34375</v>
      </c>
      <c r="F2" s="220" t="s">
        <v>6328</v>
      </c>
      <c r="G2" s="221" t="s">
        <v>12</v>
      </c>
      <c r="H2" s="222" t="s">
        <v>6212</v>
      </c>
      <c r="I2" s="223" t="s">
        <v>6187</v>
      </c>
      <c r="J2" s="242"/>
      <c r="K2" s="224" t="s">
        <v>6242</v>
      </c>
      <c r="L2" s="224" t="s">
        <v>6242</v>
      </c>
      <c r="M2" s="225"/>
    </row>
    <row r="3">
      <c r="A3" s="214" t="s">
        <v>1196</v>
      </c>
      <c r="B3" s="215">
        <v>11940.0</v>
      </c>
      <c r="C3" s="309">
        <v>20958.0</v>
      </c>
      <c r="D3" s="218">
        <v>44567.0</v>
      </c>
      <c r="E3" s="219">
        <v>0.3333333333333333</v>
      </c>
      <c r="F3" s="220" t="s">
        <v>6328</v>
      </c>
      <c r="G3" s="221" t="s">
        <v>14</v>
      </c>
      <c r="H3" s="222" t="s">
        <v>6222</v>
      </c>
      <c r="I3" s="223" t="s">
        <v>6089</v>
      </c>
      <c r="J3" s="224"/>
      <c r="K3" s="224" t="s">
        <v>6242</v>
      </c>
      <c r="L3" s="224"/>
      <c r="M3" s="225"/>
    </row>
    <row r="4">
      <c r="A4" s="214" t="s">
        <v>1011</v>
      </c>
      <c r="B4" s="215">
        <v>11568.0</v>
      </c>
      <c r="C4" s="309">
        <v>18906.0</v>
      </c>
      <c r="D4" s="218">
        <v>44567.0</v>
      </c>
      <c r="E4" s="219">
        <v>0.34375</v>
      </c>
      <c r="F4" s="220" t="s">
        <v>6328</v>
      </c>
      <c r="G4" s="221" t="s">
        <v>14</v>
      </c>
      <c r="H4" s="222" t="s">
        <v>6222</v>
      </c>
      <c r="I4" s="223" t="s">
        <v>6196</v>
      </c>
      <c r="J4" s="242"/>
      <c r="K4" s="224" t="s">
        <v>6242</v>
      </c>
      <c r="L4" s="224"/>
      <c r="M4" s="225"/>
    </row>
    <row r="5">
      <c r="A5" s="214" t="s">
        <v>564</v>
      </c>
      <c r="B5" s="215">
        <v>10479.0</v>
      </c>
      <c r="C5" s="309">
        <v>19822.0</v>
      </c>
      <c r="D5" s="218">
        <v>44567.0</v>
      </c>
      <c r="E5" s="219">
        <v>0.3541666666666667</v>
      </c>
      <c r="F5" s="220" t="s">
        <v>6328</v>
      </c>
      <c r="G5" s="221" t="s">
        <v>14</v>
      </c>
      <c r="H5" s="222" t="s">
        <v>6222</v>
      </c>
      <c r="I5" s="223" t="s">
        <v>6195</v>
      </c>
      <c r="J5" s="224"/>
      <c r="K5" s="224" t="s">
        <v>6242</v>
      </c>
      <c r="L5" s="224"/>
      <c r="M5" s="225"/>
    </row>
    <row r="6">
      <c r="A6" s="214" t="s">
        <v>339</v>
      </c>
      <c r="B6" s="215">
        <v>9909.0</v>
      </c>
      <c r="C6" s="309">
        <v>22143.0</v>
      </c>
      <c r="D6" s="218">
        <v>44567.0</v>
      </c>
      <c r="E6" s="219">
        <v>0.3541666666666667</v>
      </c>
      <c r="F6" s="220" t="s">
        <v>6323</v>
      </c>
      <c r="G6" s="221" t="s">
        <v>14</v>
      </c>
      <c r="H6" s="222" t="s">
        <v>6222</v>
      </c>
      <c r="I6" s="223" t="s">
        <v>6189</v>
      </c>
      <c r="J6" s="242"/>
      <c r="K6" s="224" t="s">
        <v>6242</v>
      </c>
      <c r="L6" s="224"/>
      <c r="M6" s="225"/>
    </row>
    <row r="7">
      <c r="A7" s="214" t="s">
        <v>1436</v>
      </c>
      <c r="B7" s="215">
        <v>12397.0</v>
      </c>
      <c r="C7" s="309">
        <v>24151.0</v>
      </c>
      <c r="D7" s="218">
        <v>44567.0</v>
      </c>
      <c r="E7" s="219">
        <v>0.3541666666666667</v>
      </c>
      <c r="F7" s="220" t="s">
        <v>6328</v>
      </c>
      <c r="G7" s="221" t="s">
        <v>15</v>
      </c>
      <c r="H7" s="222" t="s">
        <v>6219</v>
      </c>
      <c r="I7" s="223" t="s">
        <v>6091</v>
      </c>
      <c r="J7" s="242"/>
      <c r="K7" s="224" t="s">
        <v>6242</v>
      </c>
      <c r="L7" s="224" t="s">
        <v>6242</v>
      </c>
      <c r="M7" s="225"/>
    </row>
    <row r="8">
      <c r="A8" s="214" t="s">
        <v>3607</v>
      </c>
      <c r="B8" s="215">
        <v>15160.0</v>
      </c>
      <c r="C8" s="309">
        <v>29365.0</v>
      </c>
      <c r="D8" s="218">
        <v>44567.0</v>
      </c>
      <c r="E8" s="219">
        <v>0.3541666666666667</v>
      </c>
      <c r="F8" s="220" t="s">
        <v>6323</v>
      </c>
      <c r="G8" s="221" t="s">
        <v>15</v>
      </c>
      <c r="H8" s="222" t="s">
        <v>6219</v>
      </c>
      <c r="I8" s="223" t="s">
        <v>6148</v>
      </c>
      <c r="J8" s="242"/>
      <c r="K8" s="224" t="s">
        <v>6242</v>
      </c>
      <c r="L8" s="224"/>
      <c r="M8" s="225"/>
    </row>
    <row r="9">
      <c r="A9" s="214" t="s">
        <v>4559</v>
      </c>
      <c r="B9" s="215">
        <v>16260.0</v>
      </c>
      <c r="C9" s="309">
        <v>17025.0</v>
      </c>
      <c r="D9" s="218">
        <v>44567.0</v>
      </c>
      <c r="E9" s="219">
        <v>0.3854166666666667</v>
      </c>
      <c r="F9" s="220" t="s">
        <v>6323</v>
      </c>
      <c r="G9" s="221" t="s">
        <v>12</v>
      </c>
      <c r="H9" s="222" t="s">
        <v>6212</v>
      </c>
      <c r="I9" s="223" t="s">
        <v>6137</v>
      </c>
      <c r="J9" s="242"/>
      <c r="K9" s="224" t="s">
        <v>6242</v>
      </c>
      <c r="L9" s="224"/>
      <c r="M9" s="225"/>
    </row>
    <row r="10">
      <c r="A10" s="214" t="s">
        <v>718</v>
      </c>
      <c r="B10" s="215">
        <v>10903.0</v>
      </c>
      <c r="C10" s="309">
        <v>22992.0</v>
      </c>
      <c r="D10" s="218">
        <v>44567.0</v>
      </c>
      <c r="E10" s="219">
        <v>0.375</v>
      </c>
      <c r="F10" s="220" t="s">
        <v>6328</v>
      </c>
      <c r="G10" s="221" t="s">
        <v>14</v>
      </c>
      <c r="H10" s="222" t="s">
        <v>6222</v>
      </c>
      <c r="I10" s="223" t="s">
        <v>6094</v>
      </c>
      <c r="J10" s="242"/>
      <c r="K10" s="224" t="s">
        <v>6242</v>
      </c>
      <c r="L10" s="224"/>
      <c r="M10" s="224"/>
    </row>
    <row r="11">
      <c r="A11" s="214" t="s">
        <v>1331</v>
      </c>
      <c r="B11" s="215">
        <v>12224.0</v>
      </c>
      <c r="C11" s="309">
        <v>28683.0</v>
      </c>
      <c r="D11" s="218">
        <v>44567.0</v>
      </c>
      <c r="E11" s="219">
        <v>0.3854166666666667</v>
      </c>
      <c r="F11" s="220" t="s">
        <v>6328</v>
      </c>
      <c r="G11" s="221" t="s">
        <v>14</v>
      </c>
      <c r="H11" s="222" t="s">
        <v>6222</v>
      </c>
      <c r="I11" s="223" t="s">
        <v>6154</v>
      </c>
      <c r="J11" s="242"/>
      <c r="K11" s="224" t="s">
        <v>6242</v>
      </c>
      <c r="L11" s="224"/>
      <c r="M11" s="225"/>
    </row>
    <row r="12">
      <c r="A12" s="214" t="s">
        <v>4623</v>
      </c>
      <c r="B12" s="215">
        <v>16348.0</v>
      </c>
      <c r="C12" s="309">
        <v>15288.0</v>
      </c>
      <c r="D12" s="218">
        <v>44567.0</v>
      </c>
      <c r="E12" s="219">
        <v>0.3854166666666667</v>
      </c>
      <c r="F12" s="220" t="s">
        <v>6323</v>
      </c>
      <c r="G12" s="221" t="s">
        <v>12</v>
      </c>
      <c r="H12" s="222" t="s">
        <v>6212</v>
      </c>
      <c r="I12" s="223" t="s">
        <v>6094</v>
      </c>
      <c r="J12" s="242"/>
      <c r="K12" s="224" t="s">
        <v>6242</v>
      </c>
      <c r="L12" s="224" t="s">
        <v>6242</v>
      </c>
      <c r="M12" s="225"/>
    </row>
    <row r="13">
      <c r="A13" s="214" t="s">
        <v>4963</v>
      </c>
      <c r="B13" s="215">
        <v>16792.0</v>
      </c>
      <c r="C13" s="309">
        <v>13375.0</v>
      </c>
      <c r="D13" s="218">
        <v>44567.0</v>
      </c>
      <c r="E13" s="219">
        <v>0.3854166666666667</v>
      </c>
      <c r="F13" s="220" t="s">
        <v>6323</v>
      </c>
      <c r="G13" s="221" t="s">
        <v>12</v>
      </c>
      <c r="H13" s="222" t="s">
        <v>6212</v>
      </c>
      <c r="I13" s="223" t="s">
        <v>6196</v>
      </c>
      <c r="J13" s="242"/>
      <c r="K13" s="224" t="s">
        <v>6242</v>
      </c>
      <c r="L13" s="224"/>
      <c r="M13" s="225"/>
    </row>
    <row r="14">
      <c r="A14" s="214" t="s">
        <v>587</v>
      </c>
      <c r="B14" s="215">
        <v>10525.0</v>
      </c>
      <c r="C14" s="309">
        <v>21713.0</v>
      </c>
      <c r="D14" s="218">
        <v>44567.0</v>
      </c>
      <c r="E14" s="219">
        <v>0.3854166666666667</v>
      </c>
      <c r="F14" s="220" t="s">
        <v>6328</v>
      </c>
      <c r="G14" s="221" t="s">
        <v>14</v>
      </c>
      <c r="H14" s="222" t="s">
        <v>6222</v>
      </c>
      <c r="I14" s="223" t="s">
        <v>6199</v>
      </c>
      <c r="J14" s="225"/>
      <c r="K14" s="224" t="s">
        <v>6242</v>
      </c>
      <c r="L14" s="224" t="s">
        <v>6242</v>
      </c>
      <c r="M14" s="225"/>
    </row>
    <row r="15">
      <c r="A15" s="214" t="s">
        <v>2237</v>
      </c>
      <c r="B15" s="215">
        <v>13447.0</v>
      </c>
      <c r="C15" s="309">
        <v>24516.0</v>
      </c>
      <c r="D15" s="218">
        <v>44567.0</v>
      </c>
      <c r="E15" s="219">
        <v>0.3854166666666667</v>
      </c>
      <c r="F15" s="220" t="s">
        <v>6323</v>
      </c>
      <c r="G15" s="221" t="s">
        <v>15</v>
      </c>
      <c r="H15" s="222" t="s">
        <v>6219</v>
      </c>
      <c r="I15" s="223" t="s">
        <v>6119</v>
      </c>
      <c r="J15" s="225"/>
      <c r="K15" s="224" t="s">
        <v>6242</v>
      </c>
      <c r="L15" s="224"/>
      <c r="M15" s="225"/>
    </row>
    <row r="16">
      <c r="A16" s="214" t="s">
        <v>3327</v>
      </c>
      <c r="B16" s="215">
        <v>14821.0</v>
      </c>
      <c r="C16" s="309">
        <v>21380.0</v>
      </c>
      <c r="D16" s="218">
        <v>44567.0</v>
      </c>
      <c r="E16" s="219">
        <v>0.3958333333333333</v>
      </c>
      <c r="F16" s="220" t="s">
        <v>6323</v>
      </c>
      <c r="G16" s="221" t="s">
        <v>12</v>
      </c>
      <c r="H16" s="222" t="s">
        <v>6212</v>
      </c>
      <c r="I16" s="223" t="s">
        <v>6084</v>
      </c>
      <c r="J16" s="224"/>
      <c r="K16" s="224" t="s">
        <v>6242</v>
      </c>
      <c r="L16" s="224" t="s">
        <v>6242</v>
      </c>
      <c r="M16" s="225"/>
    </row>
    <row r="17">
      <c r="A17" s="214" t="s">
        <v>534</v>
      </c>
      <c r="B17" s="215">
        <v>10407.0</v>
      </c>
      <c r="C17" s="309">
        <v>21435.0</v>
      </c>
      <c r="D17" s="218">
        <v>44567.0</v>
      </c>
      <c r="E17" s="219">
        <v>0.4166666666666667</v>
      </c>
      <c r="F17" s="220" t="s">
        <v>6323</v>
      </c>
      <c r="G17" s="221" t="s">
        <v>15</v>
      </c>
      <c r="H17" s="222" t="s">
        <v>6219</v>
      </c>
      <c r="I17" s="223" t="s">
        <v>6223</v>
      </c>
      <c r="J17" s="225"/>
      <c r="K17" s="224" t="s">
        <v>6242</v>
      </c>
      <c r="L17" s="224"/>
      <c r="M17" s="224"/>
    </row>
    <row r="18">
      <c r="A18" s="214" t="s">
        <v>3541</v>
      </c>
      <c r="B18" s="215">
        <v>15081.0</v>
      </c>
      <c r="C18" s="309">
        <v>22789.0</v>
      </c>
      <c r="D18" s="218">
        <v>44567.0</v>
      </c>
      <c r="E18" s="219">
        <v>0.3958333333333333</v>
      </c>
      <c r="F18" s="220" t="s">
        <v>6328</v>
      </c>
      <c r="G18" s="221" t="s">
        <v>15</v>
      </c>
      <c r="H18" s="222" t="s">
        <v>6219</v>
      </c>
      <c r="I18" s="223" t="s">
        <v>6130</v>
      </c>
      <c r="J18" s="224"/>
      <c r="K18" s="224" t="s">
        <v>6242</v>
      </c>
      <c r="L18" s="224"/>
      <c r="M18" s="224"/>
    </row>
    <row r="19">
      <c r="A19" s="214" t="s">
        <v>4377</v>
      </c>
      <c r="B19" s="215">
        <v>16046.0</v>
      </c>
      <c r="C19" s="309">
        <v>18837.0</v>
      </c>
      <c r="D19" s="218">
        <v>44567.0</v>
      </c>
      <c r="E19" s="219">
        <v>0.4166666666666667</v>
      </c>
      <c r="F19" s="220" t="s">
        <v>6328</v>
      </c>
      <c r="G19" s="221" t="s">
        <v>14</v>
      </c>
      <c r="H19" s="222" t="s">
        <v>6222</v>
      </c>
      <c r="I19" s="223" t="s">
        <v>6192</v>
      </c>
      <c r="J19" s="225"/>
      <c r="K19" s="224" t="s">
        <v>6242</v>
      </c>
      <c r="L19" s="224" t="s">
        <v>6242</v>
      </c>
      <c r="M19" s="225"/>
    </row>
    <row r="20">
      <c r="A20" s="214" t="s">
        <v>321</v>
      </c>
      <c r="B20" s="215">
        <v>9854.0</v>
      </c>
      <c r="C20" s="309">
        <v>21614.0</v>
      </c>
      <c r="D20" s="218">
        <v>44567.0</v>
      </c>
      <c r="E20" s="219">
        <v>0.4375</v>
      </c>
      <c r="F20" s="220" t="s">
        <v>6328</v>
      </c>
      <c r="G20" s="221" t="s">
        <v>14</v>
      </c>
      <c r="H20" s="222" t="s">
        <v>6222</v>
      </c>
      <c r="I20" s="223" t="s">
        <v>6137</v>
      </c>
      <c r="J20" s="225"/>
      <c r="K20" s="224" t="s">
        <v>6242</v>
      </c>
      <c r="L20" s="224"/>
      <c r="M20" s="224"/>
    </row>
    <row r="21">
      <c r="A21" s="214" t="s">
        <v>5630</v>
      </c>
      <c r="B21" s="215">
        <v>17713.0</v>
      </c>
      <c r="C21" s="309">
        <v>21325.0</v>
      </c>
      <c r="D21" s="218">
        <v>44567.0</v>
      </c>
      <c r="E21" s="219">
        <v>0.4166666666666667</v>
      </c>
      <c r="F21" s="220" t="s">
        <v>6328</v>
      </c>
      <c r="G21" s="221" t="s">
        <v>12</v>
      </c>
      <c r="H21" s="222" t="s">
        <v>6212</v>
      </c>
      <c r="I21" s="223" t="s">
        <v>6082</v>
      </c>
      <c r="J21" s="224"/>
      <c r="K21" s="224" t="s">
        <v>6242</v>
      </c>
      <c r="L21" s="224" t="s">
        <v>6242</v>
      </c>
      <c r="M21" s="225"/>
    </row>
    <row r="22">
      <c r="A22" s="214" t="s">
        <v>320</v>
      </c>
      <c r="B22" s="215">
        <v>9853.0</v>
      </c>
      <c r="C22" s="309">
        <v>23125.0</v>
      </c>
      <c r="D22" s="218">
        <v>44567.0</v>
      </c>
      <c r="E22" s="219">
        <v>0.46875</v>
      </c>
      <c r="F22" s="220" t="s">
        <v>6323</v>
      </c>
      <c r="G22" s="221" t="s">
        <v>13</v>
      </c>
      <c r="H22" s="222" t="s">
        <v>6212</v>
      </c>
      <c r="I22" s="223" t="s">
        <v>6158</v>
      </c>
      <c r="J22" s="225"/>
      <c r="K22" s="224" t="s">
        <v>6242</v>
      </c>
      <c r="L22" s="224"/>
      <c r="M22" s="225"/>
    </row>
    <row r="23">
      <c r="A23" s="214" t="s">
        <v>936</v>
      </c>
      <c r="B23" s="215">
        <v>11391.0</v>
      </c>
      <c r="C23" s="309">
        <v>21293.0</v>
      </c>
      <c r="D23" s="218">
        <v>44567.0</v>
      </c>
      <c r="E23" s="219">
        <v>0.4375</v>
      </c>
      <c r="F23" s="220" t="s">
        <v>6323</v>
      </c>
      <c r="G23" s="221" t="s">
        <v>14</v>
      </c>
      <c r="H23" s="222" t="s">
        <v>6222</v>
      </c>
      <c r="I23" s="223" t="s">
        <v>6095</v>
      </c>
      <c r="J23" s="225"/>
      <c r="K23" s="224" t="s">
        <v>6242</v>
      </c>
      <c r="L23" s="224"/>
      <c r="M23" s="225"/>
    </row>
    <row r="24">
      <c r="A24" s="214" t="s">
        <v>1477</v>
      </c>
      <c r="B24" s="215">
        <v>12464.0</v>
      </c>
      <c r="C24" s="309">
        <v>16294.0</v>
      </c>
      <c r="D24" s="218">
        <v>44567.0</v>
      </c>
      <c r="E24" s="219">
        <v>0.4375</v>
      </c>
      <c r="F24" s="220" t="s">
        <v>6323</v>
      </c>
      <c r="G24" s="221" t="s">
        <v>13</v>
      </c>
      <c r="H24" s="222" t="s">
        <v>6212</v>
      </c>
      <c r="I24" s="223" t="s">
        <v>6196</v>
      </c>
      <c r="J24" s="225"/>
      <c r="K24" s="224" t="s">
        <v>6242</v>
      </c>
      <c r="L24" s="224"/>
      <c r="M24" s="225"/>
    </row>
    <row r="25">
      <c r="A25" s="214" t="s">
        <v>4166</v>
      </c>
      <c r="B25" s="215">
        <v>15806.0</v>
      </c>
      <c r="C25" s="309">
        <v>18664.0</v>
      </c>
      <c r="D25" s="218">
        <v>44567.0</v>
      </c>
      <c r="E25" s="219">
        <v>0.4479166666666667</v>
      </c>
      <c r="F25" s="220" t="s">
        <v>6323</v>
      </c>
      <c r="G25" s="221" t="s">
        <v>13</v>
      </c>
      <c r="H25" s="222" t="s">
        <v>6212</v>
      </c>
      <c r="I25" s="223" t="s">
        <v>6137</v>
      </c>
      <c r="J25" s="224"/>
      <c r="K25" s="224" t="s">
        <v>6242</v>
      </c>
      <c r="L25" s="224" t="s">
        <v>6242</v>
      </c>
      <c r="M25" s="225"/>
    </row>
    <row r="26">
      <c r="A26" s="214" t="s">
        <v>5403</v>
      </c>
      <c r="B26" s="215">
        <v>17350.0</v>
      </c>
      <c r="C26" s="309">
        <v>14746.0</v>
      </c>
      <c r="D26" s="218">
        <v>44567.0</v>
      </c>
      <c r="E26" s="219">
        <v>0.4270833333333333</v>
      </c>
      <c r="F26" s="220" t="s">
        <v>6323</v>
      </c>
      <c r="G26" s="221" t="s">
        <v>12</v>
      </c>
      <c r="H26" s="222" t="s">
        <v>6212</v>
      </c>
      <c r="I26" s="223" t="s">
        <v>6194</v>
      </c>
      <c r="J26" s="224"/>
      <c r="K26" s="224" t="s">
        <v>6242</v>
      </c>
      <c r="L26" s="224" t="s">
        <v>6242</v>
      </c>
      <c r="M26" s="224"/>
    </row>
    <row r="27">
      <c r="A27" s="214" t="s">
        <v>5138</v>
      </c>
      <c r="B27" s="215">
        <v>17017.0</v>
      </c>
      <c r="C27" s="309">
        <v>29428.0</v>
      </c>
      <c r="D27" s="218">
        <v>44567.0</v>
      </c>
      <c r="E27" s="219">
        <v>0.4479166666666667</v>
      </c>
      <c r="F27" s="220" t="s">
        <v>6328</v>
      </c>
      <c r="G27" s="221" t="s">
        <v>12</v>
      </c>
      <c r="H27" s="222" t="s">
        <v>6212</v>
      </c>
      <c r="I27" s="223" t="s">
        <v>6082</v>
      </c>
      <c r="J27" s="224"/>
      <c r="K27" s="224" t="s">
        <v>6242</v>
      </c>
      <c r="L27" s="224"/>
      <c r="M27" s="225"/>
    </row>
    <row r="28">
      <c r="A28" s="214" t="s">
        <v>4933</v>
      </c>
      <c r="B28" s="215">
        <v>16758.0</v>
      </c>
      <c r="C28" s="309">
        <v>19768.0</v>
      </c>
      <c r="D28" s="218">
        <v>44567.0</v>
      </c>
      <c r="E28" s="219">
        <v>0.46875</v>
      </c>
      <c r="F28" s="220" t="s">
        <v>6323</v>
      </c>
      <c r="G28" s="221" t="s">
        <v>12</v>
      </c>
      <c r="H28" s="222" t="s">
        <v>6212</v>
      </c>
      <c r="I28" s="223" t="s">
        <v>6193</v>
      </c>
      <c r="J28" s="224"/>
      <c r="K28" s="224" t="s">
        <v>6242</v>
      </c>
      <c r="L28" s="224"/>
      <c r="M28" s="225"/>
    </row>
    <row r="29">
      <c r="A29" s="214" t="s">
        <v>2730</v>
      </c>
      <c r="B29" s="215">
        <v>14085.0</v>
      </c>
      <c r="C29" s="309">
        <v>15888.0</v>
      </c>
      <c r="D29" s="218">
        <v>44567.0</v>
      </c>
      <c r="E29" s="219">
        <v>0.4583333333333333</v>
      </c>
      <c r="F29" s="220" t="s">
        <v>6323</v>
      </c>
      <c r="G29" s="221" t="s">
        <v>14</v>
      </c>
      <c r="H29" s="222" t="s">
        <v>6222</v>
      </c>
      <c r="I29" s="223" t="s">
        <v>6083</v>
      </c>
      <c r="J29" s="224"/>
      <c r="K29" s="224" t="s">
        <v>6242</v>
      </c>
      <c r="L29" s="224"/>
      <c r="M29" s="224"/>
    </row>
    <row r="30">
      <c r="A30" s="214" t="s">
        <v>449</v>
      </c>
      <c r="B30" s="215">
        <v>10185.0</v>
      </c>
      <c r="C30" s="309">
        <v>24575.0</v>
      </c>
      <c r="D30" s="218">
        <v>44567.0</v>
      </c>
      <c r="E30" s="219">
        <v>0.4583333333333333</v>
      </c>
      <c r="F30" s="231" t="s">
        <v>6323</v>
      </c>
      <c r="G30" s="221" t="s">
        <v>14</v>
      </c>
      <c r="H30" s="222" t="s">
        <v>6222</v>
      </c>
      <c r="I30" s="223" t="s">
        <v>6094</v>
      </c>
      <c r="J30" s="224"/>
      <c r="K30" s="224" t="s">
        <v>6242</v>
      </c>
      <c r="L30" s="224"/>
      <c r="M30" s="225"/>
    </row>
    <row r="31">
      <c r="A31" s="214" t="s">
        <v>1702</v>
      </c>
      <c r="B31" s="215">
        <v>12778.0</v>
      </c>
      <c r="C31" s="309">
        <v>24069.0</v>
      </c>
      <c r="D31" s="218">
        <v>44567.0</v>
      </c>
      <c r="E31" s="219">
        <v>0.4895833333333333</v>
      </c>
      <c r="F31" s="231" t="s">
        <v>6323</v>
      </c>
      <c r="G31" s="221" t="s">
        <v>12</v>
      </c>
      <c r="H31" s="222" t="s">
        <v>6212</v>
      </c>
      <c r="I31" s="223" t="s">
        <v>6196</v>
      </c>
      <c r="J31" s="225"/>
      <c r="K31" s="224" t="s">
        <v>6242</v>
      </c>
      <c r="L31" s="224" t="s">
        <v>6242</v>
      </c>
      <c r="M31" s="225"/>
    </row>
    <row r="32">
      <c r="A32" s="310" t="s">
        <v>6360</v>
      </c>
      <c r="B32" s="215">
        <v>13950.0</v>
      </c>
      <c r="C32" s="309">
        <v>21926.0</v>
      </c>
      <c r="D32" s="218">
        <v>44567.0</v>
      </c>
      <c r="E32" s="219">
        <v>0.07291666666666667</v>
      </c>
      <c r="F32" s="231" t="s">
        <v>6344</v>
      </c>
      <c r="G32" s="221" t="s">
        <v>6361</v>
      </c>
      <c r="H32" s="222" t="s">
        <v>6212</v>
      </c>
      <c r="I32" s="223" t="s">
        <v>6362</v>
      </c>
      <c r="J32" s="224"/>
      <c r="K32" s="224" t="s">
        <v>6341</v>
      </c>
      <c r="L32" s="224"/>
      <c r="M32" s="225"/>
    </row>
    <row r="33">
      <c r="A33" s="310" t="s">
        <v>532</v>
      </c>
      <c r="B33" s="215">
        <v>10399.0</v>
      </c>
      <c r="C33" s="309">
        <v>29259.0</v>
      </c>
      <c r="D33" s="218">
        <v>44567.0</v>
      </c>
      <c r="E33" s="219">
        <v>0.5625</v>
      </c>
      <c r="F33" s="231" t="s">
        <v>6328</v>
      </c>
      <c r="G33" s="221" t="s">
        <v>14</v>
      </c>
      <c r="H33" s="222" t="s">
        <v>6222</v>
      </c>
      <c r="I33" s="223" t="s">
        <v>6363</v>
      </c>
      <c r="J33" s="225"/>
      <c r="K33" s="224" t="s">
        <v>6242</v>
      </c>
      <c r="L33" s="224"/>
      <c r="M33" s="225"/>
    </row>
    <row r="34">
      <c r="A34" s="310" t="s">
        <v>6364</v>
      </c>
      <c r="B34" s="215">
        <v>14729.0</v>
      </c>
      <c r="C34" s="309">
        <v>30461.0</v>
      </c>
      <c r="D34" s="218">
        <v>44567.0</v>
      </c>
      <c r="E34" s="219">
        <v>0.5729166666666666</v>
      </c>
      <c r="F34" s="231" t="s">
        <v>6323</v>
      </c>
      <c r="G34" s="221" t="s">
        <v>14</v>
      </c>
      <c r="H34" s="222" t="s">
        <v>6222</v>
      </c>
      <c r="I34" s="223" t="s">
        <v>6154</v>
      </c>
      <c r="J34" s="225"/>
      <c r="K34" s="224" t="s">
        <v>6242</v>
      </c>
      <c r="L34" s="224"/>
      <c r="M34" s="225"/>
    </row>
    <row r="35">
      <c r="A35" s="310" t="s">
        <v>4481</v>
      </c>
      <c r="B35" s="215">
        <v>16166.0</v>
      </c>
      <c r="C35" s="309">
        <v>21767.0</v>
      </c>
      <c r="D35" s="218">
        <v>44567.0</v>
      </c>
      <c r="E35" s="219">
        <v>0.5798611111111112</v>
      </c>
      <c r="F35" s="231" t="s">
        <v>6323</v>
      </c>
      <c r="G35" s="221" t="s">
        <v>15</v>
      </c>
      <c r="H35" s="222" t="s">
        <v>6219</v>
      </c>
      <c r="I35" s="223" t="s">
        <v>6186</v>
      </c>
      <c r="J35" s="224"/>
      <c r="K35" s="224" t="s">
        <v>6242</v>
      </c>
      <c r="L35" s="224"/>
      <c r="M35" s="224"/>
    </row>
    <row r="36">
      <c r="A36" s="310" t="s">
        <v>6365</v>
      </c>
      <c r="B36" s="215">
        <v>12638.0</v>
      </c>
      <c r="C36" s="309">
        <v>25617.0</v>
      </c>
      <c r="D36" s="218">
        <v>44567.0</v>
      </c>
      <c r="E36" s="219">
        <v>0.08333333333333333</v>
      </c>
      <c r="F36" s="231" t="s">
        <v>6328</v>
      </c>
      <c r="G36" s="221" t="s">
        <v>6342</v>
      </c>
      <c r="H36" s="222" t="s">
        <v>6212</v>
      </c>
      <c r="I36" s="223" t="s">
        <v>6366</v>
      </c>
      <c r="J36" s="225"/>
      <c r="K36" s="224" t="s">
        <v>6341</v>
      </c>
      <c r="L36" s="224"/>
      <c r="M36" s="225"/>
    </row>
    <row r="37">
      <c r="A37" s="310" t="s">
        <v>527</v>
      </c>
      <c r="B37" s="215">
        <v>10392.0</v>
      </c>
      <c r="C37" s="309">
        <v>31105.0</v>
      </c>
      <c r="D37" s="218">
        <v>44567.0</v>
      </c>
      <c r="E37" s="219">
        <v>0.5833333333333334</v>
      </c>
      <c r="F37" s="231" t="s">
        <v>6328</v>
      </c>
      <c r="G37" s="221" t="s">
        <v>14</v>
      </c>
      <c r="H37" s="222" t="s">
        <v>6222</v>
      </c>
      <c r="I37" s="223" t="s">
        <v>6137</v>
      </c>
      <c r="J37" s="225"/>
      <c r="K37" s="224" t="s">
        <v>6242</v>
      </c>
      <c r="L37" s="224"/>
      <c r="M37" s="224"/>
    </row>
    <row r="38">
      <c r="A38" s="310" t="s">
        <v>4482</v>
      </c>
      <c r="B38" s="215">
        <v>16167.0</v>
      </c>
      <c r="C38" s="309">
        <v>19877.0</v>
      </c>
      <c r="D38" s="218">
        <v>44567.0</v>
      </c>
      <c r="E38" s="219">
        <v>0.5625</v>
      </c>
      <c r="F38" s="231" t="s">
        <v>6328</v>
      </c>
      <c r="G38" s="221" t="s">
        <v>15</v>
      </c>
      <c r="H38" s="222" t="s">
        <v>6219</v>
      </c>
      <c r="I38" s="223" t="s">
        <v>6186</v>
      </c>
      <c r="J38" s="225"/>
      <c r="K38" s="224" t="s">
        <v>6242</v>
      </c>
      <c r="L38" s="224"/>
      <c r="M38" s="225"/>
    </row>
    <row r="39">
      <c r="A39" s="310" t="s">
        <v>6367</v>
      </c>
      <c r="B39" s="215">
        <v>16609.0</v>
      </c>
      <c r="C39" s="309">
        <v>19761.0</v>
      </c>
      <c r="D39" s="218">
        <v>44567.0</v>
      </c>
      <c r="E39" s="219">
        <v>0.0798611111111111</v>
      </c>
      <c r="F39" s="231" t="s">
        <v>6328</v>
      </c>
      <c r="G39" s="221" t="s">
        <v>12</v>
      </c>
      <c r="H39" s="222" t="s">
        <v>6212</v>
      </c>
      <c r="I39" s="223" t="s">
        <v>6082</v>
      </c>
      <c r="J39" s="225"/>
      <c r="K39" s="224" t="s">
        <v>6242</v>
      </c>
      <c r="L39" s="224"/>
      <c r="M39" s="225"/>
    </row>
    <row r="40">
      <c r="A40" s="310" t="s">
        <v>6368</v>
      </c>
      <c r="B40" s="215">
        <v>10516.0</v>
      </c>
      <c r="C40" s="309">
        <v>25305.0</v>
      </c>
      <c r="D40" s="218">
        <v>44567.0</v>
      </c>
      <c r="E40" s="219">
        <v>0.08611111111111111</v>
      </c>
      <c r="F40" s="231" t="s">
        <v>6323</v>
      </c>
      <c r="G40" s="221" t="s">
        <v>13</v>
      </c>
      <c r="H40" s="222" t="s">
        <v>6212</v>
      </c>
      <c r="I40" s="223" t="s">
        <v>6369</v>
      </c>
      <c r="J40" s="224"/>
      <c r="K40" s="224" t="s">
        <v>6242</v>
      </c>
      <c r="L40" s="224"/>
      <c r="M40" s="225"/>
    </row>
    <row r="41">
      <c r="A41" s="310" t="s">
        <v>6370</v>
      </c>
      <c r="B41" s="215">
        <v>9892.0</v>
      </c>
      <c r="C41" s="309">
        <v>24543.0</v>
      </c>
      <c r="D41" s="218">
        <v>44567.0</v>
      </c>
      <c r="E41" s="219">
        <v>0.11180555555555556</v>
      </c>
      <c r="F41" s="220" t="s">
        <v>6323</v>
      </c>
      <c r="G41" s="221" t="s">
        <v>6342</v>
      </c>
      <c r="H41" s="222" t="s">
        <v>6212</v>
      </c>
      <c r="I41" s="223" t="s">
        <v>6371</v>
      </c>
      <c r="J41" s="225"/>
      <c r="K41" s="224" t="s">
        <v>6341</v>
      </c>
      <c r="L41" s="224" t="s">
        <v>6341</v>
      </c>
      <c r="M41" s="225"/>
    </row>
    <row r="42">
      <c r="A42" s="310" t="s">
        <v>6372</v>
      </c>
      <c r="B42" s="215">
        <v>10015.0</v>
      </c>
      <c r="C42" s="309">
        <v>20741.0</v>
      </c>
      <c r="D42" s="218">
        <v>44567.0</v>
      </c>
      <c r="E42" s="219">
        <v>0.11319444444444444</v>
      </c>
      <c r="F42" s="220" t="s">
        <v>6323</v>
      </c>
      <c r="G42" s="221" t="s">
        <v>6342</v>
      </c>
      <c r="H42" s="222" t="s">
        <v>6212</v>
      </c>
      <c r="I42" s="223" t="s">
        <v>6373</v>
      </c>
      <c r="J42" s="225"/>
      <c r="K42" s="224" t="s">
        <v>6341</v>
      </c>
      <c r="L42" s="224"/>
      <c r="M42" s="225"/>
    </row>
    <row r="43">
      <c r="A43" s="310" t="s">
        <v>6374</v>
      </c>
      <c r="B43" s="215">
        <v>13331.0</v>
      </c>
      <c r="C43" s="309">
        <v>17613.0</v>
      </c>
      <c r="D43" s="218">
        <v>44567.0</v>
      </c>
      <c r="E43" s="219">
        <v>0.6263888888888889</v>
      </c>
      <c r="F43" s="220" t="s">
        <v>6328</v>
      </c>
      <c r="G43" s="221" t="s">
        <v>15</v>
      </c>
      <c r="H43" s="222" t="s">
        <v>6219</v>
      </c>
      <c r="I43" s="223" t="s">
        <v>6095</v>
      </c>
      <c r="J43" s="225"/>
      <c r="K43" s="224" t="s">
        <v>6242</v>
      </c>
      <c r="L43" s="224" t="s">
        <v>6242</v>
      </c>
      <c r="M43" s="225"/>
    </row>
    <row r="44">
      <c r="A44" s="310" t="s">
        <v>6375</v>
      </c>
      <c r="B44" s="215">
        <v>10632.0</v>
      </c>
      <c r="C44" s="309">
        <v>22528.0</v>
      </c>
      <c r="D44" s="218">
        <v>44567.0</v>
      </c>
      <c r="E44" s="219">
        <v>0.6291666666666667</v>
      </c>
      <c r="F44" s="220" t="s">
        <v>6323</v>
      </c>
      <c r="G44" s="221" t="s">
        <v>15</v>
      </c>
      <c r="H44" s="222" t="s">
        <v>6219</v>
      </c>
      <c r="I44" s="223" t="s">
        <v>6142</v>
      </c>
      <c r="J44" s="224"/>
      <c r="K44" s="224" t="s">
        <v>6242</v>
      </c>
      <c r="L44" s="224" t="s">
        <v>6242</v>
      </c>
      <c r="M44" s="225"/>
    </row>
    <row r="45">
      <c r="A45" s="310" t="s">
        <v>3844</v>
      </c>
      <c r="B45" s="215">
        <v>15450.0</v>
      </c>
      <c r="C45" s="309">
        <v>15506.0</v>
      </c>
      <c r="D45" s="218">
        <v>44567.0</v>
      </c>
      <c r="E45" s="219">
        <v>0.6354166666666666</v>
      </c>
      <c r="F45" s="220" t="s">
        <v>6323</v>
      </c>
      <c r="G45" s="221" t="s">
        <v>14</v>
      </c>
      <c r="H45" s="222" t="s">
        <v>6222</v>
      </c>
      <c r="I45" s="223" t="s">
        <v>6196</v>
      </c>
      <c r="J45" s="225"/>
      <c r="K45" s="224"/>
      <c r="L45" s="224"/>
      <c r="M45" s="225"/>
    </row>
    <row r="46">
      <c r="A46" s="310" t="s">
        <v>6376</v>
      </c>
      <c r="B46" s="215">
        <v>13446.0</v>
      </c>
      <c r="C46" s="309">
        <v>22265.0</v>
      </c>
      <c r="D46" s="218">
        <v>44567.0</v>
      </c>
      <c r="E46" s="219">
        <v>0.6451388888888889</v>
      </c>
      <c r="F46" s="220" t="s">
        <v>6323</v>
      </c>
      <c r="G46" s="221" t="s">
        <v>15</v>
      </c>
      <c r="H46" s="222" t="s">
        <v>6219</v>
      </c>
      <c r="I46" s="223" t="s">
        <v>6142</v>
      </c>
      <c r="J46" s="224"/>
      <c r="K46" s="224" t="s">
        <v>6242</v>
      </c>
      <c r="L46" s="224" t="s">
        <v>6242</v>
      </c>
      <c r="M46" s="225"/>
    </row>
    <row r="47">
      <c r="A47" s="310" t="s">
        <v>2316</v>
      </c>
      <c r="B47" s="215">
        <v>13544.0</v>
      </c>
      <c r="C47" s="309">
        <v>27937.0</v>
      </c>
      <c r="D47" s="218">
        <v>44567.0</v>
      </c>
      <c r="E47" s="219">
        <v>0.6465277777777778</v>
      </c>
      <c r="F47" s="220" t="s">
        <v>6323</v>
      </c>
      <c r="G47" s="221" t="s">
        <v>15</v>
      </c>
      <c r="H47" s="222" t="s">
        <v>6219</v>
      </c>
      <c r="I47" s="223" t="s">
        <v>6117</v>
      </c>
      <c r="J47" s="225"/>
      <c r="K47" s="224" t="s">
        <v>6242</v>
      </c>
      <c r="L47" s="224"/>
      <c r="M47" s="225"/>
    </row>
    <row r="48">
      <c r="A48" s="310" t="s">
        <v>3686</v>
      </c>
      <c r="B48" s="215">
        <v>15253.0</v>
      </c>
      <c r="C48" s="309">
        <v>24706.0</v>
      </c>
      <c r="D48" s="218">
        <v>44567.0</v>
      </c>
      <c r="E48" s="219">
        <v>0.6520833333333333</v>
      </c>
      <c r="F48" s="220" t="s">
        <v>6323</v>
      </c>
      <c r="G48" s="221" t="s">
        <v>15</v>
      </c>
      <c r="H48" s="222" t="s">
        <v>6219</v>
      </c>
      <c r="I48" s="223" t="s">
        <v>6084</v>
      </c>
      <c r="J48" s="225"/>
      <c r="K48" s="224" t="s">
        <v>6242</v>
      </c>
      <c r="L48" s="224" t="s">
        <v>6242</v>
      </c>
      <c r="M48" s="224"/>
    </row>
    <row r="49">
      <c r="A49" s="310" t="s">
        <v>4750</v>
      </c>
      <c r="B49" s="215">
        <v>16515.0</v>
      </c>
      <c r="C49" s="309">
        <v>17317.0</v>
      </c>
      <c r="D49" s="218">
        <v>44567.0</v>
      </c>
      <c r="E49" s="219">
        <v>0.65625</v>
      </c>
      <c r="F49" s="220" t="s">
        <v>6323</v>
      </c>
      <c r="G49" s="221" t="s">
        <v>14</v>
      </c>
      <c r="H49" s="222" t="s">
        <v>6222</v>
      </c>
      <c r="I49" s="223" t="s">
        <v>6094</v>
      </c>
      <c r="J49" s="225"/>
      <c r="K49" s="224" t="s">
        <v>6242</v>
      </c>
      <c r="L49" s="224"/>
      <c r="M49" s="225"/>
    </row>
    <row r="50">
      <c r="A50" s="311" t="s">
        <v>3871</v>
      </c>
      <c r="B50" s="249">
        <v>15479.0</v>
      </c>
      <c r="C50" s="312">
        <v>28397.0</v>
      </c>
      <c r="D50" s="252">
        <v>44567.0</v>
      </c>
      <c r="E50" s="219">
        <v>0.6694444444444444</v>
      </c>
      <c r="F50" s="254" t="s">
        <v>6323</v>
      </c>
      <c r="G50" s="255" t="s">
        <v>15</v>
      </c>
      <c r="H50" s="256" t="s">
        <v>6219</v>
      </c>
      <c r="I50" s="257" t="s">
        <v>6377</v>
      </c>
      <c r="J50" s="258"/>
      <c r="K50" s="259" t="s">
        <v>6242</v>
      </c>
      <c r="L50" s="259" t="s">
        <v>6242</v>
      </c>
      <c r="M50" s="258"/>
    </row>
    <row r="51">
      <c r="A51" s="310" t="s">
        <v>6378</v>
      </c>
      <c r="B51" s="215">
        <v>9337.0</v>
      </c>
      <c r="C51" s="309">
        <v>17297.0</v>
      </c>
      <c r="D51" s="218">
        <v>44567.0</v>
      </c>
      <c r="E51" s="219">
        <v>0.6666666666666666</v>
      </c>
      <c r="F51" s="231" t="s">
        <v>6323</v>
      </c>
      <c r="G51" s="221" t="s">
        <v>14</v>
      </c>
      <c r="H51" s="262" t="s">
        <v>6222</v>
      </c>
      <c r="I51" s="223" t="s">
        <v>6189</v>
      </c>
      <c r="J51" s="225"/>
      <c r="K51" s="224" t="s">
        <v>6242</v>
      </c>
      <c r="L51" s="224"/>
      <c r="M51" s="225"/>
    </row>
    <row r="52">
      <c r="A52" s="310" t="s">
        <v>537</v>
      </c>
      <c r="B52" s="215">
        <v>10415.0</v>
      </c>
      <c r="C52" s="309">
        <v>25164.0</v>
      </c>
      <c r="D52" s="218">
        <v>44567.0</v>
      </c>
      <c r="E52" s="219">
        <v>0.6666666666666666</v>
      </c>
      <c r="F52" s="231" t="s">
        <v>6323</v>
      </c>
      <c r="G52" s="221" t="s">
        <v>14</v>
      </c>
      <c r="H52" s="262" t="s">
        <v>6222</v>
      </c>
      <c r="I52" s="223" t="s">
        <v>6137</v>
      </c>
      <c r="J52" s="225"/>
      <c r="K52" s="224" t="s">
        <v>6242</v>
      </c>
      <c r="L52" s="224"/>
      <c r="M52" s="225"/>
    </row>
    <row r="53">
      <c r="A53" s="214"/>
      <c r="B53" s="215"/>
      <c r="C53" s="309"/>
      <c r="D53" s="218"/>
      <c r="E53" s="219"/>
      <c r="F53" s="231"/>
      <c r="G53" s="221"/>
      <c r="H53" s="262"/>
      <c r="I53" s="223"/>
      <c r="J53" s="224"/>
      <c r="K53" s="224"/>
      <c r="L53" s="224"/>
      <c r="M53" s="225"/>
    </row>
    <row r="54">
      <c r="A54" s="214"/>
      <c r="B54" s="215"/>
      <c r="C54" s="309"/>
      <c r="D54" s="218"/>
      <c r="E54" s="219"/>
      <c r="F54" s="231"/>
      <c r="G54" s="221"/>
      <c r="H54" s="262"/>
      <c r="I54" s="223"/>
      <c r="J54" s="225"/>
      <c r="K54" s="224"/>
      <c r="L54" s="224"/>
      <c r="M54" s="225"/>
    </row>
    <row r="55">
      <c r="A55" s="214"/>
      <c r="B55" s="215"/>
      <c r="C55" s="309"/>
      <c r="D55" s="218"/>
      <c r="E55" s="219"/>
      <c r="F55" s="231"/>
      <c r="G55" s="221"/>
      <c r="H55" s="262"/>
      <c r="I55" s="223"/>
      <c r="J55" s="225"/>
      <c r="K55" s="224"/>
      <c r="L55" s="224"/>
      <c r="M55" s="225"/>
    </row>
    <row r="56">
      <c r="A56" s="214"/>
      <c r="B56" s="215"/>
      <c r="C56" s="309"/>
      <c r="D56" s="218"/>
      <c r="E56" s="219"/>
      <c r="F56" s="231"/>
      <c r="G56" s="221"/>
      <c r="H56" s="262"/>
      <c r="I56" s="223"/>
      <c r="J56" s="225"/>
      <c r="K56" s="224"/>
      <c r="L56" s="224"/>
      <c r="M56" s="225"/>
    </row>
    <row r="57">
      <c r="A57" s="214"/>
      <c r="B57" s="215"/>
      <c r="C57" s="309"/>
      <c r="D57" s="218"/>
      <c r="E57" s="219"/>
      <c r="F57" s="231"/>
      <c r="G57" s="221"/>
      <c r="H57" s="262"/>
      <c r="I57" s="223"/>
      <c r="J57" s="225"/>
      <c r="K57" s="224"/>
      <c r="L57" s="224"/>
      <c r="M57" s="225"/>
    </row>
    <row r="58">
      <c r="A58" s="214"/>
      <c r="B58" s="215"/>
      <c r="C58" s="309"/>
      <c r="D58" s="218"/>
      <c r="E58" s="219"/>
      <c r="F58" s="231"/>
      <c r="G58" s="221"/>
      <c r="H58" s="262"/>
      <c r="I58" s="223"/>
      <c r="J58" s="224"/>
      <c r="K58" s="224"/>
      <c r="L58" s="224"/>
      <c r="M58" s="225"/>
    </row>
    <row r="59">
      <c r="A59" s="214"/>
      <c r="B59" s="215"/>
      <c r="C59" s="309"/>
      <c r="D59" s="218"/>
      <c r="E59" s="219"/>
      <c r="F59" s="231"/>
      <c r="G59" s="221"/>
      <c r="H59" s="262"/>
      <c r="I59" s="223"/>
      <c r="J59" s="224"/>
      <c r="K59" s="224"/>
      <c r="L59" s="224"/>
      <c r="M59" s="225"/>
    </row>
    <row r="60">
      <c r="A60" s="214"/>
      <c r="B60" s="215"/>
      <c r="C60" s="309"/>
      <c r="D60" s="218"/>
      <c r="E60" s="219"/>
      <c r="F60" s="231"/>
      <c r="G60" s="221"/>
      <c r="H60" s="262"/>
      <c r="I60" s="223"/>
      <c r="J60" s="225"/>
      <c r="K60" s="224"/>
      <c r="L60" s="224"/>
      <c r="M60" s="225"/>
    </row>
    <row r="61">
      <c r="A61" s="214"/>
      <c r="B61" s="215"/>
      <c r="C61" s="309"/>
      <c r="D61" s="218"/>
      <c r="E61" s="219"/>
      <c r="F61" s="231"/>
      <c r="G61" s="221"/>
      <c r="H61" s="262"/>
      <c r="I61" s="223"/>
      <c r="J61" s="225"/>
      <c r="K61" s="224"/>
      <c r="L61" s="224"/>
      <c r="M61" s="225"/>
    </row>
    <row r="62">
      <c r="A62" s="214"/>
      <c r="B62" s="215"/>
      <c r="C62" s="309"/>
      <c r="D62" s="218"/>
      <c r="E62" s="219"/>
      <c r="F62" s="231"/>
      <c r="G62" s="221"/>
      <c r="H62" s="262"/>
      <c r="I62" s="223"/>
      <c r="J62" s="225"/>
      <c r="K62" s="224"/>
      <c r="L62" s="224"/>
      <c r="M62" s="225"/>
    </row>
    <row r="63">
      <c r="A63" s="214"/>
      <c r="B63" s="215"/>
      <c r="C63" s="309"/>
      <c r="D63" s="218"/>
      <c r="E63" s="219"/>
      <c r="F63" s="231"/>
      <c r="G63" s="221"/>
      <c r="H63" s="262"/>
      <c r="I63" s="223"/>
      <c r="J63" s="225"/>
      <c r="K63" s="224"/>
      <c r="L63" s="224"/>
      <c r="M63" s="225"/>
    </row>
    <row r="64">
      <c r="A64" s="214"/>
      <c r="B64" s="215"/>
      <c r="C64" s="309"/>
      <c r="D64" s="218"/>
      <c r="E64" s="219"/>
      <c r="F64" s="231"/>
      <c r="G64" s="221"/>
      <c r="H64" s="262"/>
      <c r="I64" s="223"/>
      <c r="J64" s="225"/>
      <c r="K64" s="224"/>
      <c r="L64" s="224"/>
      <c r="M64" s="225"/>
    </row>
    <row r="65">
      <c r="A65" s="214"/>
      <c r="B65" s="215"/>
      <c r="C65" s="309"/>
      <c r="D65" s="218"/>
      <c r="E65" s="219"/>
      <c r="F65" s="231"/>
      <c r="G65" s="221"/>
      <c r="H65" s="262"/>
      <c r="I65" s="223"/>
      <c r="J65" s="225"/>
      <c r="K65" s="224"/>
      <c r="L65" s="224"/>
      <c r="M65" s="225"/>
    </row>
    <row r="66">
      <c r="A66" s="214"/>
      <c r="B66" s="215"/>
      <c r="C66" s="309"/>
      <c r="D66" s="218"/>
      <c r="E66" s="219"/>
      <c r="F66" s="231"/>
      <c r="G66" s="221"/>
      <c r="H66" s="262"/>
      <c r="I66" s="223"/>
      <c r="J66" s="225"/>
      <c r="K66" s="224"/>
      <c r="L66" s="224"/>
      <c r="M66" s="225"/>
    </row>
    <row r="67">
      <c r="A67" s="214"/>
      <c r="B67" s="215"/>
      <c r="C67" s="309"/>
      <c r="D67" s="218"/>
      <c r="E67" s="219"/>
      <c r="F67" s="231"/>
      <c r="G67" s="221"/>
      <c r="H67" s="262"/>
      <c r="I67" s="223"/>
      <c r="J67" s="225"/>
      <c r="K67" s="224"/>
      <c r="L67" s="224"/>
      <c r="M67" s="225"/>
    </row>
    <row r="68">
      <c r="A68" s="214"/>
      <c r="B68" s="215"/>
      <c r="C68" s="309"/>
      <c r="D68" s="218"/>
      <c r="E68" s="219"/>
      <c r="F68" s="231"/>
      <c r="G68" s="221"/>
      <c r="H68" s="262"/>
      <c r="I68" s="223"/>
      <c r="J68" s="225"/>
      <c r="K68" s="224"/>
      <c r="L68" s="224"/>
      <c r="M68" s="225"/>
    </row>
    <row r="69">
      <c r="A69" s="214"/>
      <c r="B69" s="215"/>
      <c r="C69" s="309"/>
      <c r="D69" s="218"/>
      <c r="E69" s="219"/>
      <c r="F69" s="231"/>
      <c r="G69" s="221"/>
      <c r="H69" s="262"/>
      <c r="I69" s="223"/>
      <c r="J69" s="224"/>
      <c r="K69" s="224"/>
      <c r="L69" s="224"/>
      <c r="M69" s="225"/>
    </row>
    <row r="70">
      <c r="A70" s="214"/>
      <c r="B70" s="215"/>
      <c r="C70" s="309"/>
      <c r="D70" s="218"/>
      <c r="E70" s="219"/>
      <c r="F70" s="231"/>
      <c r="G70" s="221"/>
      <c r="H70" s="262"/>
      <c r="I70" s="223"/>
      <c r="J70" s="224"/>
      <c r="K70" s="224"/>
      <c r="L70" s="224"/>
      <c r="M70" s="225"/>
    </row>
    <row r="71">
      <c r="A71" s="214"/>
      <c r="B71" s="215"/>
      <c r="C71" s="309"/>
      <c r="D71" s="218"/>
      <c r="E71" s="219"/>
      <c r="F71" s="231"/>
      <c r="G71" s="221"/>
      <c r="H71" s="262"/>
      <c r="I71" s="223"/>
      <c r="J71" s="225"/>
      <c r="K71" s="224"/>
      <c r="L71" s="224"/>
      <c r="M71" s="225"/>
    </row>
    <row r="72">
      <c r="A72" s="214"/>
      <c r="B72" s="215"/>
      <c r="C72" s="309"/>
      <c r="D72" s="218"/>
      <c r="E72" s="219"/>
      <c r="F72" s="231"/>
      <c r="G72" s="221"/>
      <c r="H72" s="262"/>
      <c r="I72" s="223"/>
      <c r="J72" s="225"/>
      <c r="K72" s="224"/>
      <c r="L72" s="224"/>
      <c r="M72" s="225"/>
    </row>
    <row r="73">
      <c r="A73" s="214"/>
      <c r="B73" s="215"/>
      <c r="C73" s="309"/>
      <c r="D73" s="218"/>
      <c r="E73" s="219"/>
      <c r="F73" s="231"/>
      <c r="G73" s="221"/>
      <c r="H73" s="262"/>
      <c r="I73" s="223"/>
      <c r="J73" s="225"/>
      <c r="K73" s="224"/>
      <c r="L73" s="224"/>
      <c r="M73" s="225"/>
    </row>
    <row r="74">
      <c r="A74" s="214"/>
      <c r="B74" s="215"/>
      <c r="C74" s="309"/>
      <c r="D74" s="218"/>
      <c r="E74" s="219"/>
      <c r="F74" s="231"/>
      <c r="G74" s="221"/>
      <c r="H74" s="262"/>
      <c r="I74" s="223"/>
      <c r="J74" s="225"/>
      <c r="K74" s="224"/>
      <c r="L74" s="224"/>
      <c r="M74" s="225"/>
    </row>
    <row r="75">
      <c r="A75" s="214"/>
      <c r="B75" s="215"/>
      <c r="C75" s="309"/>
      <c r="D75" s="218"/>
      <c r="E75" s="219"/>
      <c r="F75" s="231"/>
      <c r="G75" s="221"/>
      <c r="H75" s="262"/>
      <c r="I75" s="223"/>
      <c r="J75" s="225"/>
      <c r="K75" s="224"/>
      <c r="L75" s="224"/>
      <c r="M75" s="225"/>
    </row>
    <row r="76">
      <c r="A76" s="214"/>
      <c r="B76" s="215"/>
      <c r="C76" s="309"/>
      <c r="D76" s="218"/>
      <c r="E76" s="219"/>
      <c r="F76" s="231"/>
      <c r="G76" s="221"/>
      <c r="H76" s="262"/>
      <c r="I76" s="223"/>
      <c r="J76" s="225"/>
      <c r="K76" s="224"/>
      <c r="L76" s="224"/>
      <c r="M76" s="225"/>
    </row>
    <row r="77">
      <c r="A77" s="214"/>
      <c r="B77" s="215"/>
      <c r="C77" s="309"/>
      <c r="D77" s="218"/>
      <c r="E77" s="219"/>
      <c r="F77" s="231"/>
      <c r="G77" s="221"/>
      <c r="H77" s="262"/>
      <c r="I77" s="223"/>
      <c r="J77" s="225"/>
      <c r="K77" s="224"/>
      <c r="L77" s="224"/>
      <c r="M77" s="225"/>
    </row>
    <row r="78">
      <c r="A78" s="214"/>
      <c r="B78" s="215"/>
      <c r="C78" s="309"/>
      <c r="D78" s="218"/>
      <c r="E78" s="219"/>
      <c r="F78" s="231"/>
      <c r="G78" s="221"/>
      <c r="H78" s="262"/>
      <c r="I78" s="223"/>
      <c r="J78" s="225"/>
      <c r="K78" s="224"/>
      <c r="L78" s="224"/>
      <c r="M78" s="225"/>
    </row>
    <row r="79">
      <c r="A79" s="214"/>
      <c r="B79" s="215"/>
      <c r="C79" s="309"/>
      <c r="D79" s="218"/>
      <c r="E79" s="219"/>
      <c r="F79" s="231"/>
      <c r="G79" s="221"/>
      <c r="H79" s="262"/>
      <c r="I79" s="223"/>
      <c r="J79" s="225"/>
      <c r="K79" s="224"/>
      <c r="L79" s="224"/>
      <c r="M79" s="225"/>
    </row>
    <row r="80">
      <c r="A80" s="214"/>
      <c r="B80" s="215"/>
      <c r="C80" s="309"/>
      <c r="D80" s="218"/>
      <c r="E80" s="219"/>
      <c r="F80" s="231"/>
      <c r="G80" s="221"/>
      <c r="H80" s="262"/>
      <c r="I80" s="223"/>
      <c r="J80" s="225"/>
      <c r="K80" s="224"/>
      <c r="L80" s="224"/>
      <c r="M80" s="225"/>
    </row>
    <row r="81">
      <c r="A81" s="214"/>
      <c r="B81" s="215"/>
      <c r="C81" s="309"/>
      <c r="D81" s="218"/>
      <c r="E81" s="219"/>
      <c r="F81" s="231"/>
      <c r="G81" s="221"/>
      <c r="H81" s="262"/>
      <c r="I81" s="223"/>
      <c r="J81" s="225"/>
      <c r="K81" s="224"/>
      <c r="L81" s="224"/>
      <c r="M81" s="225"/>
    </row>
    <row r="82">
      <c r="A82" s="214"/>
      <c r="B82" s="215"/>
      <c r="C82" s="309"/>
      <c r="D82" s="218"/>
      <c r="E82" s="219"/>
      <c r="F82" s="231"/>
      <c r="G82" s="221"/>
      <c r="H82" s="262"/>
      <c r="I82" s="223"/>
      <c r="J82" s="225"/>
      <c r="K82" s="224"/>
      <c r="L82" s="224"/>
      <c r="M82" s="225"/>
    </row>
    <row r="83">
      <c r="A83" s="214"/>
      <c r="B83" s="215"/>
      <c r="C83" s="309"/>
      <c r="D83" s="218"/>
      <c r="E83" s="219"/>
      <c r="F83" s="231"/>
      <c r="G83" s="221"/>
      <c r="H83" s="262"/>
      <c r="I83" s="223"/>
      <c r="J83" s="225"/>
      <c r="K83" s="224"/>
      <c r="L83" s="224"/>
      <c r="M83" s="225"/>
    </row>
    <row r="84">
      <c r="A84" s="214"/>
      <c r="B84" s="215"/>
      <c r="C84" s="309"/>
      <c r="D84" s="218"/>
      <c r="E84" s="219"/>
      <c r="F84" s="231"/>
      <c r="G84" s="221"/>
      <c r="H84" s="262"/>
      <c r="I84" s="223"/>
      <c r="J84" s="225"/>
      <c r="K84" s="224"/>
      <c r="L84" s="224"/>
      <c r="M84" s="225"/>
    </row>
    <row r="85">
      <c r="A85" s="214"/>
      <c r="B85" s="215"/>
      <c r="C85" s="309"/>
      <c r="D85" s="218"/>
      <c r="E85" s="219"/>
      <c r="F85" s="231"/>
      <c r="G85" s="221"/>
      <c r="H85" s="262"/>
      <c r="I85" s="223"/>
      <c r="J85" s="225"/>
      <c r="K85" s="224"/>
      <c r="L85" s="224"/>
      <c r="M85" s="225"/>
    </row>
    <row r="86">
      <c r="A86" s="214"/>
      <c r="B86" s="215"/>
      <c r="C86" s="309"/>
      <c r="D86" s="218"/>
      <c r="E86" s="219"/>
      <c r="F86" s="231"/>
      <c r="G86" s="221"/>
      <c r="H86" s="262"/>
      <c r="I86" s="223"/>
      <c r="J86" s="225"/>
      <c r="K86" s="224"/>
      <c r="L86" s="224"/>
      <c r="M86" s="225"/>
    </row>
    <row r="87">
      <c r="A87" s="214"/>
      <c r="B87" s="215"/>
      <c r="C87" s="309"/>
      <c r="D87" s="218"/>
      <c r="E87" s="219"/>
      <c r="F87" s="231"/>
      <c r="G87" s="221"/>
      <c r="H87" s="262"/>
      <c r="I87" s="223"/>
      <c r="J87" s="225"/>
      <c r="K87" s="224"/>
      <c r="L87" s="224"/>
      <c r="M87" s="225"/>
    </row>
    <row r="88">
      <c r="A88" s="214"/>
      <c r="B88" s="215"/>
      <c r="C88" s="309"/>
      <c r="D88" s="218"/>
      <c r="E88" s="219"/>
      <c r="F88" s="231"/>
      <c r="G88" s="221"/>
      <c r="H88" s="262"/>
      <c r="I88" s="223"/>
      <c r="J88" s="225"/>
      <c r="K88" s="224"/>
      <c r="L88" s="224"/>
      <c r="M88" s="225"/>
    </row>
    <row r="89">
      <c r="A89" s="214"/>
      <c r="B89" s="215"/>
      <c r="C89" s="309"/>
      <c r="D89" s="218"/>
      <c r="E89" s="219"/>
      <c r="F89" s="231"/>
      <c r="G89" s="221"/>
      <c r="H89" s="262"/>
      <c r="I89" s="223"/>
      <c r="J89" s="225"/>
      <c r="K89" s="224"/>
      <c r="L89" s="224"/>
      <c r="M89" s="225"/>
    </row>
    <row r="90">
      <c r="A90" s="214"/>
      <c r="B90" s="215"/>
      <c r="C90" s="309"/>
      <c r="D90" s="218"/>
      <c r="E90" s="219"/>
      <c r="F90" s="231"/>
      <c r="G90" s="221"/>
      <c r="H90" s="262"/>
      <c r="I90" s="223"/>
      <c r="J90" s="225"/>
      <c r="K90" s="224"/>
      <c r="L90" s="224"/>
      <c r="M90" s="225"/>
    </row>
    <row r="91">
      <c r="A91" s="214"/>
      <c r="B91" s="215"/>
      <c r="C91" s="309"/>
      <c r="D91" s="218"/>
      <c r="E91" s="219"/>
      <c r="F91" s="231"/>
      <c r="G91" s="221"/>
      <c r="H91" s="262"/>
      <c r="I91" s="223"/>
      <c r="J91" s="225"/>
      <c r="K91" s="224"/>
      <c r="L91" s="224"/>
      <c r="M91" s="225"/>
    </row>
    <row r="92">
      <c r="A92" s="214"/>
      <c r="B92" s="215"/>
      <c r="C92" s="309"/>
      <c r="D92" s="218"/>
      <c r="E92" s="219"/>
      <c r="F92" s="231"/>
      <c r="G92" s="221"/>
      <c r="H92" s="262"/>
      <c r="I92" s="223"/>
      <c r="J92" s="225"/>
      <c r="K92" s="224"/>
      <c r="L92" s="224"/>
      <c r="M92" s="225"/>
    </row>
    <row r="93">
      <c r="A93" s="214"/>
      <c r="B93" s="215"/>
      <c r="C93" s="309"/>
      <c r="D93" s="218"/>
      <c r="E93" s="219"/>
      <c r="F93" s="231"/>
      <c r="G93" s="221"/>
      <c r="H93" s="262"/>
      <c r="I93" s="223"/>
      <c r="J93" s="225"/>
      <c r="K93" s="224"/>
      <c r="L93" s="224"/>
      <c r="M93" s="225"/>
    </row>
    <row r="94">
      <c r="A94" s="214"/>
      <c r="B94" s="215"/>
      <c r="C94" s="309"/>
      <c r="D94" s="218"/>
      <c r="E94" s="219"/>
      <c r="F94" s="231"/>
      <c r="G94" s="221"/>
      <c r="H94" s="262"/>
      <c r="I94" s="223"/>
      <c r="J94" s="225"/>
      <c r="K94" s="224"/>
      <c r="L94" s="224"/>
      <c r="M94" s="225"/>
    </row>
    <row r="95">
      <c r="A95" s="214"/>
      <c r="B95" s="215"/>
      <c r="C95" s="309"/>
      <c r="D95" s="218"/>
      <c r="E95" s="219"/>
      <c r="F95" s="231"/>
      <c r="G95" s="221"/>
      <c r="H95" s="262"/>
      <c r="I95" s="223"/>
      <c r="J95" s="225"/>
      <c r="K95" s="224"/>
      <c r="L95" s="224"/>
      <c r="M95" s="225"/>
    </row>
    <row r="96">
      <c r="A96" s="214"/>
      <c r="B96" s="215"/>
      <c r="C96" s="309"/>
      <c r="D96" s="218"/>
      <c r="E96" s="219"/>
      <c r="F96" s="231"/>
      <c r="G96" s="221"/>
      <c r="H96" s="262"/>
      <c r="I96" s="223"/>
      <c r="J96" s="225"/>
      <c r="K96" s="224"/>
      <c r="L96" s="224"/>
      <c r="M96" s="225"/>
    </row>
    <row r="97">
      <c r="A97" s="214"/>
      <c r="B97" s="215"/>
      <c r="C97" s="309"/>
      <c r="D97" s="218"/>
      <c r="E97" s="219"/>
      <c r="F97" s="231"/>
      <c r="G97" s="221"/>
      <c r="H97" s="262"/>
      <c r="I97" s="223"/>
      <c r="J97" s="225"/>
      <c r="K97" s="224"/>
      <c r="L97" s="224"/>
      <c r="M97" s="225"/>
    </row>
    <row r="98">
      <c r="A98" s="214"/>
      <c r="B98" s="215"/>
      <c r="C98" s="309"/>
      <c r="D98" s="218"/>
      <c r="E98" s="219"/>
      <c r="F98" s="231"/>
      <c r="G98" s="221"/>
      <c r="H98" s="262"/>
      <c r="I98" s="223"/>
      <c r="J98" s="225"/>
      <c r="K98" s="224"/>
      <c r="L98" s="224"/>
      <c r="M98" s="225"/>
    </row>
    <row r="99">
      <c r="A99" s="214"/>
      <c r="B99" s="215"/>
      <c r="C99" s="309"/>
      <c r="D99" s="218"/>
      <c r="E99" s="219"/>
      <c r="F99" s="231"/>
      <c r="G99" s="221"/>
      <c r="H99" s="262"/>
      <c r="I99" s="223"/>
      <c r="J99" s="225"/>
      <c r="K99" s="224"/>
      <c r="L99" s="224"/>
      <c r="M99" s="225"/>
    </row>
    <row r="100">
      <c r="A100" s="232"/>
      <c r="B100" s="232"/>
      <c r="C100" s="313"/>
      <c r="D100" s="263"/>
      <c r="E100" s="234"/>
      <c r="F100" s="232"/>
      <c r="G100" s="235"/>
      <c r="H100" s="232"/>
      <c r="I100" s="232"/>
      <c r="J100" s="236" t="s">
        <v>6333</v>
      </c>
      <c r="K100" s="237">
        <v>41.0</v>
      </c>
      <c r="L100" s="236" t="s">
        <v>6334</v>
      </c>
      <c r="M100" s="237">
        <v>11.0</v>
      </c>
    </row>
  </sheetData>
  <customSheetViews>
    <customSheetView guid="{20F5F3BA-172D-4727-943D-E296FD1F3EFA}" filter="1" showAutoFilter="1">
      <autoFilter ref="$A$1:$M$100"/>
    </customSheetView>
  </customSheetViews>
  <conditionalFormatting sqref="A1:M100">
    <cfRule type="expression" dxfId="5" priority="1">
      <formula>#REF!="ERROR"</formula>
    </cfRule>
  </conditionalFormatting>
  <conditionalFormatting sqref="A1:M99">
    <cfRule type="expression" dxfId="5" priority="2">
      <formula>#REF!="NO MATCH"</formula>
    </cfRule>
  </conditionalFormatting>
  <conditionalFormatting sqref="A1:M99">
    <cfRule type="expression" dxfId="4" priority="3">
      <formula>#REF!="Repeat"</formula>
    </cfRule>
  </conditionalFormatting>
  <conditionalFormatting sqref="A1:M99">
    <cfRule type="expression" dxfId="20" priority="4">
      <formula>$I1="MOLINA DUAL COMPLETE NEW MEXICO"</formula>
    </cfRule>
  </conditionalFormatting>
  <conditionalFormatting sqref="A1:M99">
    <cfRule type="expression" dxfId="20" priority="5">
      <formula>$I1="MOLINA DUAL COMPLETE TEXAS"</formula>
    </cfRule>
  </conditionalFormatting>
  <conditionalFormatting sqref="A1:M99">
    <cfRule type="expression" dxfId="20" priority="6">
      <formula>$I1="MOLINA MARKETPLACE TEXAS"</formula>
    </cfRule>
  </conditionalFormatting>
  <conditionalFormatting sqref="J1:J99">
    <cfRule type="containsText" dxfId="6" priority="7" operator="containsText" text="x">
      <formula>NOT(ISERROR(SEARCH(("x"),(J1))))</formula>
    </cfRule>
  </conditionalFormatting>
  <conditionalFormatting sqref="L1:L99">
    <cfRule type="containsText" dxfId="21" priority="8" operator="containsText" text="X">
      <formula>NOT(ISERROR(SEARCH(("X"),(L1))))</formula>
    </cfRule>
  </conditionalFormatting>
  <conditionalFormatting sqref="K1:K99">
    <cfRule type="containsText" dxfId="22" priority="9" operator="containsText" text="X">
      <formula>NOT(ISERROR(SEARCH(("X"),(K1))))</formula>
    </cfRule>
  </conditionalFormatting>
  <conditionalFormatting sqref="I1:I99 M1">
    <cfRule type="containsText" dxfId="24" priority="10" operator="containsText" text="Molina">
      <formula>NOT(ISERROR(SEARCH(("Molina"),(I1))))</formula>
    </cfRule>
  </conditionalFormatting>
  <conditionalFormatting sqref="J1:L99">
    <cfRule type="containsBlanks" dxfId="25" priority="11">
      <formula>LEN(TRIM(J1))=0</formula>
    </cfRule>
  </conditionalFormatting>
  <conditionalFormatting sqref="A2:M99">
    <cfRule type="expression" dxfId="10" priority="12">
      <formula>$M2="SWAB"</formula>
    </cfRule>
  </conditionalFormatting>
  <conditionalFormatting sqref="I1:I99">
    <cfRule type="containsText" dxfId="5" priority="13" operator="containsText" text="Self Pay">
      <formula>NOT(ISERROR(SEARCH(("Self Pay"),(I1))))</formula>
    </cfRule>
  </conditionalFormatting>
  <conditionalFormatting sqref="I1:I99">
    <cfRule type="containsText" dxfId="5" priority="14" operator="containsText" text="Self-Pay">
      <formula>NOT(ISERROR(SEARCH(("Self-Pay"),(I1))))</formula>
    </cfRule>
  </conditionalFormatting>
  <conditionalFormatting sqref="I1:I99">
    <cfRule type="containsText" dxfId="5" priority="15" operator="containsText" text="Third Party">
      <formula>NOT(ISERROR(SEARCH(("Third Party"),(I1))))</formula>
    </cfRule>
  </conditionalFormatting>
  <conditionalFormatting sqref="A1:M99">
    <cfRule type="expression" dxfId="26" priority="16">
      <formula>$I1="SUPERIOR HEALTH PLAN"</formula>
    </cfRule>
  </conditionalFormatting>
  <conditionalFormatting sqref="A1:M99">
    <cfRule type="expression" dxfId="26" priority="17">
      <formula>$I1="AMBETTER - SUPERIOR"</formula>
    </cfRule>
  </conditionalFormatting>
  <conditionalFormatting sqref="A1:M99">
    <cfRule type="expression" dxfId="19" priority="18">
      <formula>$I1="Wellmed - Humana"</formula>
    </cfRule>
  </conditionalFormatting>
  <conditionalFormatting sqref="A1:M99">
    <cfRule type="expression" dxfId="19" priority="19">
      <formula>$I1="WELLMED - AARP MEDICARE COMPLETE"</formula>
    </cfRule>
  </conditionalFormatting>
  <conditionalFormatting sqref="A1:M99">
    <cfRule type="expression" dxfId="19" priority="20">
      <formula>$I1="WELLMED - AMERIVANTAGE"</formula>
    </cfRule>
  </conditionalFormatting>
  <conditionalFormatting sqref="A1:M99">
    <cfRule type="expression" dxfId="19" priority="21">
      <formula>$I1="WELLMED - CIGNA HEALTHSPRING"</formula>
    </cfRule>
  </conditionalFormatting>
  <conditionalFormatting sqref="A1:M99">
    <cfRule type="expression" dxfId="19" priority="22">
      <formula>$I1="WELLMED - UHC CHRONIC COMPLETE HMO C-SNP"</formula>
    </cfRule>
  </conditionalFormatting>
  <conditionalFormatting sqref="A1:M99">
    <cfRule type="expression" dxfId="19" priority="23">
      <formula>$I1="WELLMED - UHC DUAL COMPLETE HMO SNP"</formula>
    </cfRule>
  </conditionalFormatting>
  <conditionalFormatting sqref="A1:M99">
    <cfRule type="expression" dxfId="19" priority="24">
      <formula>$I1="WELLMED - UHC DUAL COMPLETE SNP"</formula>
    </cfRule>
  </conditionalFormatting>
  <conditionalFormatting sqref="A1:M99">
    <cfRule type="expression" dxfId="20" priority="25">
      <formula>$I1="MOLINA DUAL COMPLETE NEW MEXICO"</formula>
    </cfRule>
  </conditionalFormatting>
  <conditionalFormatting sqref="A1:M99">
    <cfRule type="expression" dxfId="20" priority="26">
      <formula>$I1="MOLINA DUAL COMPLETE TEXAS"</formula>
    </cfRule>
  </conditionalFormatting>
  <conditionalFormatting sqref="A1:M99">
    <cfRule type="expression" dxfId="20" priority="27">
      <formula>$I1="MOLINA MARKETPLACE TEXAS"</formula>
    </cfRule>
  </conditionalFormatting>
  <conditionalFormatting sqref="A1:M99">
    <cfRule type="expression" dxfId="20" priority="28">
      <formula>$I1="MOLINA MEDICAID TEXAS"</formula>
    </cfRule>
  </conditionalFormatting>
  <conditionalFormatting sqref="A1:M99">
    <cfRule type="expression" dxfId="27" priority="29">
      <formula>$I1="HUMANA OPEN ACCESS PLAN"</formula>
    </cfRule>
  </conditionalFormatting>
  <conditionalFormatting sqref="A1:M99">
    <cfRule type="expression" dxfId="28" priority="30">
      <formula>$I1="HUMANA CHOICE CARE"</formula>
    </cfRule>
  </conditionalFormatting>
  <conditionalFormatting sqref="M1:M100">
    <cfRule type="expression" dxfId="5" priority="31">
      <formula>#REF!="X"</formula>
    </cfRule>
  </conditionalFormatting>
  <dataValidations>
    <dataValidation type="custom" allowBlank="1" showDropDown="1" showInputMessage="1" showErrorMessage="1" prompt="CAPITALS" sqref="B1:B99">
      <formula1>ISERROR(SEARCH((exact(upper(B:M),B:M)),(B1)))</formula1>
    </dataValidation>
    <dataValidation type="custom" allowBlank="1" showDropDown="1" showInputMessage="1" showErrorMessage="1" prompt="CAPITALS" sqref="A1:A99">
      <formula1>ISERROR(SEARCH((exact(upper(B:M),B:M)),(A1)))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0.86"/>
    <col customWidth="1" min="2" max="2" width="6.43"/>
    <col customWidth="1" min="3" max="3" width="2.43"/>
    <col customWidth="1" min="4" max="4" width="9.71"/>
    <col customWidth="1" min="5" max="5" width="10.71"/>
    <col customWidth="1" min="6" max="6" width="16.0"/>
    <col customWidth="1" min="7" max="7" width="8.43"/>
    <col customWidth="1" min="8" max="8" width="8.86"/>
    <col customWidth="1" min="9" max="9" width="12.71"/>
    <col customWidth="1" min="10" max="10" width="46.43"/>
    <col customWidth="1" hidden="1" min="11" max="11" width="8.29"/>
    <col customWidth="1" hidden="1" min="12" max="12" width="8.57"/>
    <col customWidth="1" hidden="1" min="13" max="13" width="7.57"/>
    <col customWidth="1" hidden="1" min="14" max="14" width="7.0"/>
    <col customWidth="1" hidden="1" min="15" max="15" width="2.14"/>
    <col customWidth="1" hidden="1" min="16" max="20" width="12.57"/>
    <col customWidth="1" hidden="1" min="21" max="21" width="2.14"/>
    <col customWidth="1" min="22" max="22" width="14.86"/>
    <col customWidth="1" hidden="1" min="23" max="24" width="34.57"/>
    <col customWidth="1" hidden="1" min="25" max="25" width="12.14"/>
    <col customWidth="1" hidden="1" min="26" max="26" width="1.57"/>
    <col customWidth="1" min="27" max="27" width="9.57"/>
  </cols>
  <sheetData>
    <row r="1">
      <c r="A1" s="314" t="s">
        <v>24</v>
      </c>
      <c r="B1" s="314" t="s">
        <v>6237</v>
      </c>
      <c r="C1" s="314"/>
      <c r="D1" s="314" t="s">
        <v>25</v>
      </c>
      <c r="E1" s="314"/>
      <c r="F1" s="315" t="s">
        <v>6335</v>
      </c>
      <c r="G1" s="314" t="s">
        <v>6336</v>
      </c>
      <c r="H1" s="314" t="s">
        <v>2</v>
      </c>
      <c r="I1" s="314" t="s">
        <v>6206</v>
      </c>
      <c r="J1" s="314" t="s">
        <v>6135</v>
      </c>
      <c r="K1" s="314" t="s">
        <v>6337</v>
      </c>
      <c r="L1" s="314" t="s">
        <v>6338</v>
      </c>
      <c r="M1" s="314" t="s">
        <v>6339</v>
      </c>
      <c r="N1" s="314" t="s">
        <v>7</v>
      </c>
      <c r="O1" s="314"/>
      <c r="P1" s="314" t="s">
        <v>6188</v>
      </c>
      <c r="Q1" s="314" t="s">
        <v>6319</v>
      </c>
      <c r="R1" s="314" t="s">
        <v>6132</v>
      </c>
      <c r="S1" s="314" t="s">
        <v>6134</v>
      </c>
      <c r="T1" s="314" t="s">
        <v>6147</v>
      </c>
      <c r="U1" s="314"/>
      <c r="V1" s="314" t="s">
        <v>6320</v>
      </c>
      <c r="W1" s="314"/>
      <c r="X1" s="314"/>
      <c r="Y1" s="314" t="s">
        <v>6321</v>
      </c>
      <c r="Z1" s="314"/>
      <c r="AA1" s="316"/>
    </row>
    <row r="2">
      <c r="A2" s="314" t="str">
        <f>IFS($B2=FALSE,"",$B2,VLOOKUP($B2,'PATIENT DATA (072721)'!A:C, 2, 0))</f>
        <v>AUSTIN, ANDY L</v>
      </c>
      <c r="B2" s="314">
        <v>12538.0</v>
      </c>
      <c r="C2" s="316" t="str">
        <f>IF(COUNTIF('PATIENT DATA (072721)'!A:A, B2)=0, "X","✓")</f>
        <v>✓</v>
      </c>
      <c r="D2" s="317">
        <f>IFS($B2=FALSE,"",$B2,VLOOKUP($B2,'PATIENT DATA (072721)'!A:C, 3, 0))</f>
        <v>18832</v>
      </c>
      <c r="E2" s="318">
        <v>44564.0</v>
      </c>
      <c r="F2" s="315">
        <f>ifs($B2="","",$B2, VLOOKUP($B2&amp;$E2, 'VISIT DATA'!A:O,3,0))</f>
        <v>0.3229166667</v>
      </c>
      <c r="G2" s="314"/>
      <c r="H2" s="314"/>
      <c r="I2" s="314" t="str">
        <f>VLOOKUP($B2&amp;$E2,'VISIT DATA'!A:J, 9, FALSE)</f>
        <v>LOPEZ</v>
      </c>
      <c r="J2" s="314" t="str">
        <f>VLOOKUP(B2&amp;E2,'VISIT DATA'!A:N,10,FALSE)</f>
        <v>WPS VA - COMMUNITY CARE</v>
      </c>
      <c r="K2" s="314"/>
      <c r="L2" s="314"/>
      <c r="M2" s="314"/>
      <c r="N2" s="316"/>
      <c r="O2" s="316" t="str">
        <f t="shared" ref="O2:O243" si="1">IF(OR(K2 = "x",L2 = "x",M2 = "x"),"✓", "X")</f>
        <v>X</v>
      </c>
      <c r="P2" s="317" t="str">
        <f t="shared" ref="P2:P243" si="2">ifs(SEARCH($P$1,$J2)&gt;=1,"X")</f>
        <v>#VALUE!</v>
      </c>
      <c r="Q2" s="317" t="str">
        <f t="shared" ref="Q2:Q243" si="3">ifs(SEARCH($Q$1,$J2)&gt;=1,"X")</f>
        <v>#VALUE!</v>
      </c>
      <c r="R2" s="319" t="str">
        <f t="shared" ref="R2:R243" si="4">ifs(SEARCH($R$1,$J2)&gt;=1,"X")</f>
        <v>#VALUE!</v>
      </c>
      <c r="S2" s="314" t="str">
        <f t="shared" ref="S2:S243" si="5">ifs(SEARCH($S$1,$J2)&gt;=1,"X")</f>
        <v>#VALUE!</v>
      </c>
      <c r="T2" s="314" t="str">
        <f t="shared" ref="T2:T243" si="6">ifs(SEARCH($T$1,$J2)&gt;=1,"X")</f>
        <v>#VALUE!</v>
      </c>
      <c r="U2" s="314">
        <f t="shared" ref="U2:U243" si="7">countif($P2:$T2,"X")</f>
        <v>0</v>
      </c>
      <c r="V2" s="314" t="str">
        <f>ifs($N2="",VLOOKUP($B2&amp;$E2,'VISIT DATA'!$A$2:$J244,7,FALSE), $N2="SWAB","OUTSA-RW",$N2="SWQU","OUTSA-SaQu", AND($L2="X",$M2="X",$N2="QUEST"),"OUT-UAQPre",$N2="QUEST","OUT-UAQ", $N2="Walk in","ColUATele")</f>
        <v>UA</v>
      </c>
      <c r="W2" s="314" t="str">
        <f t="shared" ref="W2:W243" si="8">ifs($V2="UA-NWPT","UA-NWPT : UA New Patient",$V2="UA","UA : Urine Analysis In House",$V2="UA-Prelim","UA-Prelim : Preliminary UA Test",$V2="OUT-UAQ","OUT-UAQ : Quest Out UA",$V2="OUT-UAQPre", "OUT-UAQPre : OUT UA Prelim Quest",$V2="OUTSA-SaQu","OUTSA-SaQu : Saliva Out Quest",$V2="ColUATele","Collected Telemed",$V2="OUTUA-PrRW", "OUTUA-PrRW : OUT UA Prelimin Redwood",$V2="OUTUA-FURW", "OUTUA-FURW : OUT UA FU Redwood",$V2="OUTUA-NWRW", "OUTUA-NWRW : OUT UA New Redwood",$V2="OUTSA-RW", "OUTSA-RW : OUT Saliva Redwood")</f>
        <v>UA : Urine Analysis In House</v>
      </c>
      <c r="X2" s="314" t="str">
        <f t="shared" ref="X2:X243" si="9">ifs($B2="","",and($K2="X",$L2="X",$M2="X",$N2="SWAB"), "ERROR",and($K2="X",$L2="X",$N2="SWAB"), "ERROR", and($L2="X",$N2="SWAB"), "OUTSA-RW : OUT Saliva Redwood", and($K2="X",$M2="X", $N2="SWAB"),"ERROR", and($M2="X",$N2="SWAB"), "OUTSA-RW : OUT Saliva Redwood", and($K2="X",$N2="SWAB"),"OUTSA-RW : OUT Saliva Redwood",and($K2="X",$L2="X"),"ERROR", and($K2="X",$M2="X"),"ERROR",and($M2="X",$U2=1), "OUTUA-PrRW : OUT UA Prelimin Redwood", and($K2="X",$U2=1), "OUTUA-NWRW : OUT UA New Redwood", and($L2="X",$U2=1), "OUTUA-FURW : OUT UA FU Redwood", and($L2="X",$M2="X",$U2=1), "OUTUA-PrRW : OUT UA Prelimin Redwood", $K2="X","UA-NWPT : UA New Patient", and($L2="X",$M2="X"),"UA-Prelim : Preliminary UA Test",and($L2="X",$N2="SWAB"),"OUTSA-RW : OUT Saliva Redwood",$L2="X","UA : Urine Analysis In House",$M2="X","UA-Prelim : Preliminary UA Test")</f>
        <v>#N/A</v>
      </c>
      <c r="Y2" s="314" t="str">
        <f t="shared" ref="Y2:Y243" si="10">IFS($B2="","",X2=W2,"MATCH",X2&lt;&gt;W2,"NO MATCH")</f>
        <v>#N/A</v>
      </c>
      <c r="Z2" s="314" t="str">
        <f t="shared" ref="Z2:Z243" si="11">IF((countif($B$2:$B244,$B2)&gt;1),"Repeat"," ")</f>
        <v> </v>
      </c>
      <c r="AA2" s="316"/>
    </row>
    <row r="3">
      <c r="A3" s="314" t="str">
        <f>IFS($B3=FALSE,"",$B3,VLOOKUP($B3,'PATIENT DATA (072721)'!A:C, 2, 0))</f>
        <v>DOWNEY, COLLEEN M</v>
      </c>
      <c r="B3" s="314">
        <v>15575.0</v>
      </c>
      <c r="C3" s="316" t="str">
        <f>IF(COUNTIF('PATIENT DATA (072721)'!A:A, B3)=0, "X","✓")</f>
        <v>✓</v>
      </c>
      <c r="D3" s="317">
        <f>IFS($B3=FALSE,"",$B3,VLOOKUP($B3,'PATIENT DATA (072721)'!A:C, 3, 0))</f>
        <v>25072</v>
      </c>
      <c r="E3" s="318">
        <v>44564.0</v>
      </c>
      <c r="F3" s="315">
        <f>ifs($B3="","",$B3, VLOOKUP($B3&amp;$E3, 'VISIT DATA'!A:O,3,0))</f>
        <v>0.3645833333</v>
      </c>
      <c r="G3" s="314"/>
      <c r="H3" s="314"/>
      <c r="I3" s="314" t="str">
        <f>VLOOKUP($B3&amp;$E3,'VISIT DATA'!A:J, 9, FALSE)</f>
        <v>LOPEZ</v>
      </c>
      <c r="J3" s="314" t="str">
        <f>VLOOKUP(B3&amp;E3,'VISIT DATA'!A:N,10,FALSE)</f>
        <v>AETNA</v>
      </c>
      <c r="K3" s="314"/>
      <c r="L3" s="314"/>
      <c r="M3" s="314"/>
      <c r="N3" s="316"/>
      <c r="O3" s="316" t="str">
        <f t="shared" si="1"/>
        <v>X</v>
      </c>
      <c r="P3" s="317" t="str">
        <f t="shared" si="2"/>
        <v>#VALUE!</v>
      </c>
      <c r="Q3" s="317" t="str">
        <f t="shared" si="3"/>
        <v>#VALUE!</v>
      </c>
      <c r="R3" s="319" t="str">
        <f t="shared" si="4"/>
        <v>#VALUE!</v>
      </c>
      <c r="S3" s="314" t="str">
        <f t="shared" si="5"/>
        <v>#VALUE!</v>
      </c>
      <c r="T3" s="314" t="str">
        <f t="shared" si="6"/>
        <v>#VALUE!</v>
      </c>
      <c r="U3" s="314">
        <f t="shared" si="7"/>
        <v>0</v>
      </c>
      <c r="V3" s="314" t="str">
        <f>ifs($N3="",VLOOKUP($B3&amp;$E3,'VISIT DATA'!$A$2:$J244,7,FALSE), $N3="SWAB","OUTSA-RW",$N3="SWQU","OUTSA-SaQu", AND($L3="X",$M3="X",$N3="QUEST"),"OUT-UAQPre",$N3="QUEST","OUT-UAQ", $N3="Walk in","ColUATele")</f>
        <v>UA</v>
      </c>
      <c r="W3" s="314" t="str">
        <f t="shared" si="8"/>
        <v>UA : Urine Analysis In House</v>
      </c>
      <c r="X3" s="314" t="str">
        <f t="shared" si="9"/>
        <v>#N/A</v>
      </c>
      <c r="Y3" s="314" t="str">
        <f t="shared" si="10"/>
        <v>#N/A</v>
      </c>
      <c r="Z3" s="314" t="str">
        <f t="shared" si="11"/>
        <v> </v>
      </c>
      <c r="AA3" s="316"/>
    </row>
    <row r="4">
      <c r="A4" s="314" t="str">
        <f>IFS($B4=FALSE,"",$B4,VLOOKUP($B4,'PATIENT DATA (072721)'!A:C, 2, 0))</f>
        <v>WHITE, JENNICE L</v>
      </c>
      <c r="B4" s="314">
        <v>14600.0</v>
      </c>
      <c r="C4" s="316" t="str">
        <f>IF(COUNTIF('PATIENT DATA (072721)'!A:A, B4)=0, "X","✓")</f>
        <v>✓</v>
      </c>
      <c r="D4" s="317">
        <f>IFS($B4=FALSE,"",$B4,VLOOKUP($B4,'PATIENT DATA (072721)'!A:C, 3, 0))</f>
        <v>18872</v>
      </c>
      <c r="E4" s="318">
        <v>44564.0</v>
      </c>
      <c r="F4" s="315">
        <f>ifs($B4="","",$B4, VLOOKUP($B4&amp;$E4, 'VISIT DATA'!A:O,3,0))</f>
        <v>0.3333333333</v>
      </c>
      <c r="G4" s="314"/>
      <c r="H4" s="314"/>
      <c r="I4" s="314" t="str">
        <f>VLOOKUP($B4&amp;$E4,'VISIT DATA'!A:J, 9, FALSE)</f>
        <v>MARTINEZ</v>
      </c>
      <c r="J4" s="314" t="str">
        <f>VLOOKUP(B4&amp;E4,'VISIT DATA'!A:N,10,FALSE)</f>
        <v>MEDICARE TEXAS</v>
      </c>
      <c r="K4" s="314"/>
      <c r="L4" s="314"/>
      <c r="M4" s="314"/>
      <c r="N4" s="316"/>
      <c r="O4" s="316" t="str">
        <f t="shared" si="1"/>
        <v>X</v>
      </c>
      <c r="P4" s="317" t="str">
        <f t="shared" si="2"/>
        <v>#VALUE!</v>
      </c>
      <c r="Q4" s="317" t="str">
        <f t="shared" si="3"/>
        <v>#VALUE!</v>
      </c>
      <c r="R4" s="319" t="str">
        <f t="shared" si="4"/>
        <v>#VALUE!</v>
      </c>
      <c r="S4" s="314" t="str">
        <f t="shared" si="5"/>
        <v>#VALUE!</v>
      </c>
      <c r="T4" s="314" t="str">
        <f t="shared" si="6"/>
        <v>#VALUE!</v>
      </c>
      <c r="U4" s="314">
        <f t="shared" si="7"/>
        <v>0</v>
      </c>
      <c r="V4" s="314" t="str">
        <f>ifs($N4="",VLOOKUP($B4&amp;$E4,'VISIT DATA'!$A$2:$J244,7,FALSE), $N4="SWAB","OUTSA-RW",$N4="SWQU","OUTSA-SaQu", AND($L4="X",$M4="X",$N4="QUEST"),"OUT-UAQPre",$N4="QUEST","OUT-UAQ", $N4="Walk in","ColUATele")</f>
        <v>UA</v>
      </c>
      <c r="W4" s="314" t="str">
        <f t="shared" si="8"/>
        <v>UA : Urine Analysis In House</v>
      </c>
      <c r="X4" s="314" t="str">
        <f t="shared" si="9"/>
        <v>#N/A</v>
      </c>
      <c r="Y4" s="314" t="str">
        <f t="shared" si="10"/>
        <v>#N/A</v>
      </c>
      <c r="Z4" s="314" t="str">
        <f t="shared" si="11"/>
        <v> </v>
      </c>
      <c r="AA4" s="316"/>
    </row>
    <row r="5">
      <c r="A5" s="314" t="str">
        <f>IFS($B5=FALSE,"",$B5,VLOOKUP($B5,'PATIENT DATA (072721)'!A:C, 2, 0))</f>
        <v>ACEVEDO, SALVADOR</v>
      </c>
      <c r="B5" s="314">
        <v>15807.0</v>
      </c>
      <c r="C5" s="316" t="str">
        <f>IF(COUNTIF('PATIENT DATA (072721)'!A:A, B5)=0, "X","✓")</f>
        <v>✓</v>
      </c>
      <c r="D5" s="317">
        <f>IFS($B5=FALSE,"",$B5,VLOOKUP($B5,'PATIENT DATA (072721)'!A:C, 3, 0))</f>
        <v>22632</v>
      </c>
      <c r="E5" s="318">
        <v>44564.0</v>
      </c>
      <c r="F5" s="315">
        <f>ifs($B5="","",$B5, VLOOKUP($B5&amp;$E5, 'VISIT DATA'!A:O,3,0))</f>
        <v>0.3541666667</v>
      </c>
      <c r="G5" s="314"/>
      <c r="H5" s="314"/>
      <c r="I5" s="314" t="str">
        <f>VLOOKUP($B5&amp;$E5,'VISIT DATA'!A:J, 9, FALSE)</f>
        <v>MARTINEZ</v>
      </c>
      <c r="J5" s="314" t="str">
        <f>VLOOKUP(B5&amp;E5,'VISIT DATA'!A:N,10,FALSE)</f>
        <v>WELLCARE OF TEXAS</v>
      </c>
      <c r="K5" s="314"/>
      <c r="L5" s="314"/>
      <c r="M5" s="314"/>
      <c r="N5" s="316"/>
      <c r="O5" s="316" t="str">
        <f t="shared" si="1"/>
        <v>X</v>
      </c>
      <c r="P5" s="317" t="str">
        <f t="shared" si="2"/>
        <v>#VALUE!</v>
      </c>
      <c r="Q5" s="317" t="str">
        <f t="shared" si="3"/>
        <v>#VALUE!</v>
      </c>
      <c r="R5" s="319" t="str">
        <f t="shared" si="4"/>
        <v>#VALUE!</v>
      </c>
      <c r="S5" s="314" t="str">
        <f t="shared" si="5"/>
        <v>#VALUE!</v>
      </c>
      <c r="T5" s="314" t="str">
        <f t="shared" si="6"/>
        <v>#VALUE!</v>
      </c>
      <c r="U5" s="314">
        <f t="shared" si="7"/>
        <v>0</v>
      </c>
      <c r="V5" s="314" t="str">
        <f>ifs($N5="",VLOOKUP($B5&amp;$E5,'VISIT DATA'!$A$2:$J244,7,FALSE), $N5="SWAB","OUTSA-RW",$N5="SWQU","OUTSA-SaQu", AND($L5="X",$M5="X",$N5="QUEST"),"OUT-UAQPre",$N5="QUEST","OUT-UAQ", $N5="Walk in","ColUATele")</f>
        <v>UA</v>
      </c>
      <c r="W5" s="314" t="str">
        <f t="shared" si="8"/>
        <v>UA : Urine Analysis In House</v>
      </c>
      <c r="X5" s="314" t="str">
        <f t="shared" si="9"/>
        <v>#N/A</v>
      </c>
      <c r="Y5" s="314" t="str">
        <f t="shared" si="10"/>
        <v>#N/A</v>
      </c>
      <c r="Z5" s="314" t="str">
        <f t="shared" si="11"/>
        <v> </v>
      </c>
      <c r="AA5" s="316"/>
    </row>
    <row r="6">
      <c r="A6" s="314" t="str">
        <f>IFS($B6=FALSE,"",$B6,VLOOKUP($B6,'PATIENT DATA (072721)'!A:C, 2, 0))</f>
        <v>SOLIZ, MARTHA</v>
      </c>
      <c r="B6" s="314">
        <v>11670.0</v>
      </c>
      <c r="C6" s="316" t="str">
        <f>IF(COUNTIF('PATIENT DATA (072721)'!A:A, B6)=0, "X","✓")</f>
        <v>✓</v>
      </c>
      <c r="D6" s="317">
        <f>IFS($B6=FALSE,"",$B6,VLOOKUP($B6,'PATIENT DATA (072721)'!A:C, 3, 0))</f>
        <v>20486</v>
      </c>
      <c r="E6" s="318">
        <v>44564.0</v>
      </c>
      <c r="F6" s="315">
        <f>ifs($B6="","",$B6, VLOOKUP($B6&amp;$E6, 'VISIT DATA'!A:O,3,0))</f>
        <v>0.3645833333</v>
      </c>
      <c r="G6" s="314"/>
      <c r="H6" s="314"/>
      <c r="I6" s="314" t="str">
        <f>VLOOKUP($B6&amp;$E6,'VISIT DATA'!A:J, 9, FALSE)</f>
        <v>TORRES</v>
      </c>
      <c r="J6" s="314" t="str">
        <f>VLOOKUP(B6&amp;E6,'VISIT DATA'!A:N,10,FALSE)</f>
        <v>WELLMED - UHC DUAL COMPLETE SNP</v>
      </c>
      <c r="K6" s="314"/>
      <c r="L6" s="314"/>
      <c r="M6" s="314"/>
      <c r="N6" s="316"/>
      <c r="O6" s="316" t="str">
        <f t="shared" si="1"/>
        <v>X</v>
      </c>
      <c r="P6" s="317" t="str">
        <f t="shared" si="2"/>
        <v>X</v>
      </c>
      <c r="Q6" s="317" t="str">
        <f t="shared" si="3"/>
        <v>#VALUE!</v>
      </c>
      <c r="R6" s="319" t="str">
        <f t="shared" si="4"/>
        <v>#VALUE!</v>
      </c>
      <c r="S6" s="314" t="str">
        <f t="shared" si="5"/>
        <v>#VALUE!</v>
      </c>
      <c r="T6" s="314" t="str">
        <f t="shared" si="6"/>
        <v>#VALUE!</v>
      </c>
      <c r="U6" s="314">
        <f t="shared" si="7"/>
        <v>1</v>
      </c>
      <c r="V6" s="314" t="str">
        <f>ifs($N6="",VLOOKUP($B6&amp;$E6,'VISIT DATA'!$A$2:$J244,7,FALSE), $N6="SWAB","OUTSA-RW",$N6="SWQU","OUTSA-SaQu", AND($L6="X",$M6="X",$N6="QUEST"),"OUT-UAQPre",$N6="QUEST","OUT-UAQ", $N6="Walk in","ColUATele")</f>
        <v>OUTUA-FURW</v>
      </c>
      <c r="W6" s="314" t="str">
        <f t="shared" si="8"/>
        <v>OUTUA-FURW : OUT UA FU Redwood</v>
      </c>
      <c r="X6" s="314" t="str">
        <f t="shared" si="9"/>
        <v>#N/A</v>
      </c>
      <c r="Y6" s="314" t="str">
        <f t="shared" si="10"/>
        <v>#N/A</v>
      </c>
      <c r="Z6" s="314" t="str">
        <f t="shared" si="11"/>
        <v> </v>
      </c>
      <c r="AA6" s="316"/>
    </row>
    <row r="7">
      <c r="A7" s="314" t="str">
        <f>IFS($B7=FALSE,"",$B7,VLOOKUP($B7,'PATIENT DATA (072721)'!A:C, 2, 0))</f>
        <v>RODRIGUEZ, PAULA</v>
      </c>
      <c r="B7" s="314">
        <v>16796.0</v>
      </c>
      <c r="C7" s="316" t="str">
        <f>IF(COUNTIF('PATIENT DATA (072721)'!A:A, B7)=0, "X","✓")</f>
        <v>✓</v>
      </c>
      <c r="D7" s="317">
        <f>IFS($B7=FALSE,"",$B7,VLOOKUP($B7,'PATIENT DATA (072721)'!A:C, 3, 0))</f>
        <v>12606</v>
      </c>
      <c r="E7" s="318">
        <v>44564.0</v>
      </c>
      <c r="F7" s="315">
        <f>ifs($B7="","",$B7, VLOOKUP($B7&amp;$E7, 'VISIT DATA'!A:O,3,0))</f>
        <v>0.375</v>
      </c>
      <c r="G7" s="314"/>
      <c r="H7" s="314"/>
      <c r="I7" s="314" t="str">
        <f>VLOOKUP($B7&amp;$E7,'VISIT DATA'!A:J, 9, FALSE)</f>
        <v>THOMAS</v>
      </c>
      <c r="J7" s="314" t="str">
        <f>VLOOKUP(B7&amp;E7,'VISIT DATA'!A:N,10,FALSE)</f>
        <v>MEDICARE TEXAS</v>
      </c>
      <c r="K7" s="314"/>
      <c r="L7" s="314"/>
      <c r="M7" s="314"/>
      <c r="N7" s="316"/>
      <c r="O7" s="316" t="str">
        <f t="shared" si="1"/>
        <v>X</v>
      </c>
      <c r="P7" s="317" t="str">
        <f t="shared" si="2"/>
        <v>#VALUE!</v>
      </c>
      <c r="Q7" s="317" t="str">
        <f t="shared" si="3"/>
        <v>#VALUE!</v>
      </c>
      <c r="R7" s="319" t="str">
        <f t="shared" si="4"/>
        <v>#VALUE!</v>
      </c>
      <c r="S7" s="314" t="str">
        <f t="shared" si="5"/>
        <v>#VALUE!</v>
      </c>
      <c r="T7" s="314" t="str">
        <f t="shared" si="6"/>
        <v>#VALUE!</v>
      </c>
      <c r="U7" s="314">
        <f t="shared" si="7"/>
        <v>0</v>
      </c>
      <c r="V7" s="314" t="str">
        <f>ifs($N7="",VLOOKUP($B7&amp;$E7,'VISIT DATA'!$A$2:$J244,7,FALSE), $N7="SWAB","OUTSA-RW",$N7="SWQU","OUTSA-SaQu", AND($L7="X",$M7="X",$N7="QUEST"),"OUT-UAQPre",$N7="QUEST","OUT-UAQ", $N7="Walk in","ColUATele")</f>
        <v>UA</v>
      </c>
      <c r="W7" s="314" t="str">
        <f t="shared" si="8"/>
        <v>UA : Urine Analysis In House</v>
      </c>
      <c r="X7" s="314" t="str">
        <f t="shared" si="9"/>
        <v>#N/A</v>
      </c>
      <c r="Y7" s="314" t="str">
        <f t="shared" si="10"/>
        <v>#N/A</v>
      </c>
      <c r="Z7" s="314" t="str">
        <f t="shared" si="11"/>
        <v> </v>
      </c>
      <c r="AA7" s="316"/>
    </row>
    <row r="8">
      <c r="A8" s="314" t="str">
        <f>IFS($B8=FALSE,"",$B8,VLOOKUP($B8,'PATIENT DATA (072721)'!A:C, 2, 0))</f>
        <v>VELIZ PACHECO, MANUEL</v>
      </c>
      <c r="B8" s="314">
        <v>9473.0</v>
      </c>
      <c r="C8" s="316" t="str">
        <f>IF(COUNTIF('PATIENT DATA (072721)'!A:A, B8)=0, "X","✓")</f>
        <v>✓</v>
      </c>
      <c r="D8" s="317">
        <f>IFS($B8=FALSE,"",$B8,VLOOKUP($B8,'PATIENT DATA (072721)'!A:C, 3, 0))</f>
        <v>17984</v>
      </c>
      <c r="E8" s="318">
        <v>44564.0</v>
      </c>
      <c r="F8" s="315">
        <f>ifs($B8="","",$B8, VLOOKUP($B8&amp;$E8, 'VISIT DATA'!A:O,3,0))</f>
        <v>0.3645833333</v>
      </c>
      <c r="G8" s="314"/>
      <c r="H8" s="314"/>
      <c r="I8" s="314" t="str">
        <f>VLOOKUP($B8&amp;$E8,'VISIT DATA'!A:J, 9, FALSE)</f>
        <v>MARTINEZ</v>
      </c>
      <c r="J8" s="314" t="str">
        <f>VLOOKUP(B8&amp;E8,'VISIT DATA'!A:N,10,FALSE)</f>
        <v>WELLMED - UHC DUAL COMPLETE SNP</v>
      </c>
      <c r="K8" s="314"/>
      <c r="L8" s="314"/>
      <c r="M8" s="314"/>
      <c r="N8" s="316"/>
      <c r="O8" s="316" t="str">
        <f t="shared" si="1"/>
        <v>X</v>
      </c>
      <c r="P8" s="317" t="str">
        <f t="shared" si="2"/>
        <v>X</v>
      </c>
      <c r="Q8" s="317" t="str">
        <f t="shared" si="3"/>
        <v>#VALUE!</v>
      </c>
      <c r="R8" s="319" t="str">
        <f t="shared" si="4"/>
        <v>#VALUE!</v>
      </c>
      <c r="S8" s="314" t="str">
        <f t="shared" si="5"/>
        <v>#VALUE!</v>
      </c>
      <c r="T8" s="314" t="str">
        <f t="shared" si="6"/>
        <v>#VALUE!</v>
      </c>
      <c r="U8" s="314">
        <f t="shared" si="7"/>
        <v>1</v>
      </c>
      <c r="V8" s="314" t="str">
        <f>ifs($N8="",VLOOKUP($B8&amp;$E8,'VISIT DATA'!$A$2:$J244,7,FALSE), $N8="SWAB","OUTSA-RW",$N8="SWQU","OUTSA-SaQu", AND($L8="X",$M8="X",$N8="QUEST"),"OUT-UAQPre",$N8="QUEST","OUT-UAQ", $N8="Walk in","ColUATele")</f>
        <v>OUTUA-FURW</v>
      </c>
      <c r="W8" s="314" t="str">
        <f t="shared" si="8"/>
        <v>OUTUA-FURW : OUT UA FU Redwood</v>
      </c>
      <c r="X8" s="314" t="str">
        <f t="shared" si="9"/>
        <v>#N/A</v>
      </c>
      <c r="Y8" s="314" t="str">
        <f t="shared" si="10"/>
        <v>#N/A</v>
      </c>
      <c r="Z8" s="314" t="str">
        <f t="shared" si="11"/>
        <v> </v>
      </c>
      <c r="AA8" s="316"/>
    </row>
    <row r="9">
      <c r="A9" s="314" t="str">
        <f>IFS($B9=FALSE,"",$B9,VLOOKUP($B9,'PATIENT DATA (072721)'!A:C, 2, 0))</f>
        <v>JAYME, RAFAELA</v>
      </c>
      <c r="B9" s="314">
        <v>15198.0</v>
      </c>
      <c r="C9" s="316" t="str">
        <f>IF(COUNTIF('PATIENT DATA (072721)'!A:A, B9)=0, "X","✓")</f>
        <v>✓</v>
      </c>
      <c r="D9" s="317">
        <f>IFS($B9=FALSE,"",$B9,VLOOKUP($B9,'PATIENT DATA (072721)'!A:C, 3, 0))</f>
        <v>21482</v>
      </c>
      <c r="E9" s="318">
        <v>44564.0</v>
      </c>
      <c r="F9" s="315">
        <f>ifs($B9="","",$B9, VLOOKUP($B9&amp;$E9, 'VISIT DATA'!A:O,3,0))</f>
        <v>0.375</v>
      </c>
      <c r="G9" s="314"/>
      <c r="H9" s="314"/>
      <c r="I9" s="314" t="str">
        <f>VLOOKUP($B9&amp;$E9,'VISIT DATA'!A:J, 9, FALSE)</f>
        <v>TORRES</v>
      </c>
      <c r="J9" s="314" t="str">
        <f>VLOOKUP(B9&amp;E9,'VISIT DATA'!A:N,10,FALSE)</f>
        <v>WELLMED - CIGNA HEALTHSPRING</v>
      </c>
      <c r="K9" s="314"/>
      <c r="L9" s="314"/>
      <c r="M9" s="314"/>
      <c r="N9" s="316"/>
      <c r="O9" s="316" t="str">
        <f t="shared" si="1"/>
        <v>X</v>
      </c>
      <c r="P9" s="317" t="str">
        <f t="shared" si="2"/>
        <v>X</v>
      </c>
      <c r="Q9" s="317" t="str">
        <f t="shared" si="3"/>
        <v>#VALUE!</v>
      </c>
      <c r="R9" s="319" t="str">
        <f t="shared" si="4"/>
        <v>#VALUE!</v>
      </c>
      <c r="S9" s="314" t="str">
        <f t="shared" si="5"/>
        <v>#VALUE!</v>
      </c>
      <c r="T9" s="314" t="str">
        <f t="shared" si="6"/>
        <v>#VALUE!</v>
      </c>
      <c r="U9" s="314">
        <f t="shared" si="7"/>
        <v>1</v>
      </c>
      <c r="V9" s="314" t="str">
        <f>ifs($N9="",VLOOKUP($B9&amp;$E9,'VISIT DATA'!$A$2:$J244,7,FALSE), $N9="SWAB","OUTSA-RW",$N9="SWQU","OUTSA-SaQu", AND($L9="X",$M9="X",$N9="QUEST"),"OUT-UAQPre",$N9="QUEST","OUT-UAQ", $N9="Walk in","ColUATele")</f>
        <v>OUTUA-PrRW</v>
      </c>
      <c r="W9" s="314" t="str">
        <f t="shared" si="8"/>
        <v>OUTUA-PrRW : OUT UA Prelimin Redwood</v>
      </c>
      <c r="X9" s="314" t="str">
        <f t="shared" si="9"/>
        <v>#N/A</v>
      </c>
      <c r="Y9" s="314" t="str">
        <f t="shared" si="10"/>
        <v>#N/A</v>
      </c>
      <c r="Z9" s="314" t="str">
        <f t="shared" si="11"/>
        <v> </v>
      </c>
      <c r="AA9" s="316"/>
    </row>
    <row r="10">
      <c r="A10" s="314" t="str">
        <f>IFS($B10=FALSE,"",$B10,VLOOKUP($B10,'PATIENT DATA (072721)'!A:C, 2, 0))</f>
        <v>MORENO, GABRIEL A</v>
      </c>
      <c r="B10" s="314">
        <v>17294.0</v>
      </c>
      <c r="C10" s="316" t="str">
        <f>IF(COUNTIF('PATIENT DATA (072721)'!A:A, B10)=0, "X","✓")</f>
        <v>✓</v>
      </c>
      <c r="D10" s="317">
        <f>IFS($B10=FALSE,"",$B10,VLOOKUP($B10,'PATIENT DATA (072721)'!A:C, 3, 0))</f>
        <v>28685</v>
      </c>
      <c r="E10" s="318">
        <v>44564.0</v>
      </c>
      <c r="F10" s="315">
        <f>ifs($B10="","",$B10, VLOOKUP($B10&amp;$E10, 'VISIT DATA'!A:O,3,0))</f>
        <v>0.3645833333</v>
      </c>
      <c r="G10" s="314"/>
      <c r="H10" s="314"/>
      <c r="I10" s="314" t="str">
        <f>VLOOKUP($B10&amp;$E10,'VISIT DATA'!A:J, 9, FALSE)</f>
        <v>LOPEZ</v>
      </c>
      <c r="J10" s="314" t="str">
        <f>VLOOKUP(B10&amp;E10,'VISIT DATA'!A:N,10,FALSE)</f>
        <v>AETNA</v>
      </c>
      <c r="K10" s="314"/>
      <c r="L10" s="314"/>
      <c r="M10" s="314"/>
      <c r="N10" s="316"/>
      <c r="O10" s="316" t="str">
        <f t="shared" si="1"/>
        <v>X</v>
      </c>
      <c r="P10" s="317" t="str">
        <f t="shared" si="2"/>
        <v>#VALUE!</v>
      </c>
      <c r="Q10" s="317" t="str">
        <f t="shared" si="3"/>
        <v>#VALUE!</v>
      </c>
      <c r="R10" s="319" t="str">
        <f t="shared" si="4"/>
        <v>#VALUE!</v>
      </c>
      <c r="S10" s="314" t="str">
        <f t="shared" si="5"/>
        <v>#VALUE!</v>
      </c>
      <c r="T10" s="314" t="str">
        <f t="shared" si="6"/>
        <v>#VALUE!</v>
      </c>
      <c r="U10" s="314">
        <f t="shared" si="7"/>
        <v>0</v>
      </c>
      <c r="V10" s="314" t="str">
        <f>ifs($N10="",VLOOKUP($B10&amp;$E10,'VISIT DATA'!$A$2:$J244,7,FALSE), $N10="SWAB","OUTSA-RW",$N10="SWQU","OUTSA-SaQu", AND($L10="X",$M10="X",$N10="QUEST"),"OUT-UAQPre",$N10="QUEST","OUT-UAQ", $N10="Walk in","ColUATele")</f>
        <v>UA-NWPT</v>
      </c>
      <c r="W10" s="314" t="str">
        <f t="shared" si="8"/>
        <v>UA-NWPT : UA New Patient</v>
      </c>
      <c r="X10" s="314" t="str">
        <f t="shared" si="9"/>
        <v>#N/A</v>
      </c>
      <c r="Y10" s="314" t="str">
        <f t="shared" si="10"/>
        <v>#N/A</v>
      </c>
      <c r="Z10" s="314" t="str">
        <f t="shared" si="11"/>
        <v> </v>
      </c>
      <c r="AA10" s="316"/>
    </row>
    <row r="11">
      <c r="A11" s="314" t="str">
        <f>IFS($B11=FALSE,"",$B11,VLOOKUP($B11,'PATIENT DATA (072721)'!A:C, 2, 0))</f>
        <v>ORTEGA, YVONNE</v>
      </c>
      <c r="B11" s="314">
        <v>9861.0</v>
      </c>
      <c r="C11" s="316" t="str">
        <f>IF(COUNTIF('PATIENT DATA (072721)'!A:A, B11)=0, "X","✓")</f>
        <v>✓</v>
      </c>
      <c r="D11" s="317">
        <f>IFS($B11=FALSE,"",$B11,VLOOKUP($B11,'PATIENT DATA (072721)'!A:C, 3, 0))</f>
        <v>22756</v>
      </c>
      <c r="E11" s="318">
        <v>44564.0</v>
      </c>
      <c r="F11" s="315">
        <f>ifs($B11="","",$B11, VLOOKUP($B11&amp;$E11, 'VISIT DATA'!A:O,3,0))</f>
        <v>0.375</v>
      </c>
      <c r="G11" s="314"/>
      <c r="H11" s="314"/>
      <c r="I11" s="314" t="str">
        <f>VLOOKUP($B11&amp;$E11,'VISIT DATA'!A:J, 9, FALSE)</f>
        <v>MARTINEZ</v>
      </c>
      <c r="J11" s="314" t="str">
        <f>VLOOKUP(B11&amp;E11,'VISIT DATA'!A:N,10,FALSE)</f>
        <v>AETNA</v>
      </c>
      <c r="K11" s="314"/>
      <c r="L11" s="314"/>
      <c r="M11" s="314"/>
      <c r="N11" s="316"/>
      <c r="O11" s="316" t="str">
        <f t="shared" si="1"/>
        <v>X</v>
      </c>
      <c r="P11" s="317" t="str">
        <f t="shared" si="2"/>
        <v>#VALUE!</v>
      </c>
      <c r="Q11" s="317" t="str">
        <f t="shared" si="3"/>
        <v>#VALUE!</v>
      </c>
      <c r="R11" s="319" t="str">
        <f t="shared" si="4"/>
        <v>#VALUE!</v>
      </c>
      <c r="S11" s="314" t="str">
        <f t="shared" si="5"/>
        <v>#VALUE!</v>
      </c>
      <c r="T11" s="314" t="str">
        <f t="shared" si="6"/>
        <v>#VALUE!</v>
      </c>
      <c r="U11" s="314">
        <f t="shared" si="7"/>
        <v>0</v>
      </c>
      <c r="V11" s="314" t="str">
        <f>ifs($N11="",VLOOKUP($B11&amp;$E11,'VISIT DATA'!$A$2:$J244,7,FALSE), $N11="SWAB","OUTSA-RW",$N11="SWQU","OUTSA-SaQu", AND($L11="X",$M11="X",$N11="QUEST"),"OUT-UAQPre",$N11="QUEST","OUT-UAQ", $N11="Walk in","ColUATele")</f>
        <v>UA</v>
      </c>
      <c r="W11" s="314" t="str">
        <f t="shared" si="8"/>
        <v>UA : Urine Analysis In House</v>
      </c>
      <c r="X11" s="314" t="str">
        <f t="shared" si="9"/>
        <v>#N/A</v>
      </c>
      <c r="Y11" s="314" t="str">
        <f t="shared" si="10"/>
        <v>#N/A</v>
      </c>
      <c r="Z11" s="314" t="str">
        <f t="shared" si="11"/>
        <v> </v>
      </c>
      <c r="AA11" s="316"/>
    </row>
    <row r="12">
      <c r="A12" s="314" t="str">
        <f>IFS($B12=FALSE,"",$B12,VLOOKUP($B12,'PATIENT DATA (072721)'!A:C, 2, 0))</f>
        <v>MATTHEWS, REGINALD</v>
      </c>
      <c r="B12" s="314">
        <v>17733.0</v>
      </c>
      <c r="C12" s="316" t="str">
        <f>IF(COUNTIF('PATIENT DATA (072721)'!A:A, B12)=0, "X","✓")</f>
        <v>✓</v>
      </c>
      <c r="D12" s="317">
        <f>IFS($B12=FALSE,"",$B12,VLOOKUP($B12,'PATIENT DATA (072721)'!A:C, 3, 0))</f>
        <v>22321</v>
      </c>
      <c r="E12" s="318">
        <v>44564.0</v>
      </c>
      <c r="F12" s="315">
        <f>ifs($B12="","",$B12, VLOOKUP($B12&amp;$E12, 'VISIT DATA'!A:O,3,0))</f>
        <v>0.34375</v>
      </c>
      <c r="G12" s="314"/>
      <c r="H12" s="314"/>
      <c r="I12" s="314" t="str">
        <f>VLOOKUP($B12&amp;$E12,'VISIT DATA'!A:J, 9, FALSE)</f>
        <v>LOPEZ</v>
      </c>
      <c r="J12" s="314" t="str">
        <f>VLOOKUP(B12&amp;E12,'VISIT DATA'!A:N,10,FALSE)</f>
        <v>UNITED HEALTH CARE CHOICEPLUS</v>
      </c>
      <c r="K12" s="314"/>
      <c r="L12" s="314"/>
      <c r="M12" s="314"/>
      <c r="N12" s="316"/>
      <c r="O12" s="316" t="str">
        <f t="shared" si="1"/>
        <v>X</v>
      </c>
      <c r="P12" s="317" t="str">
        <f t="shared" si="2"/>
        <v>#VALUE!</v>
      </c>
      <c r="Q12" s="317" t="str">
        <f t="shared" si="3"/>
        <v>#VALUE!</v>
      </c>
      <c r="R12" s="319" t="str">
        <f t="shared" si="4"/>
        <v>#VALUE!</v>
      </c>
      <c r="S12" s="314" t="str">
        <f t="shared" si="5"/>
        <v>#VALUE!</v>
      </c>
      <c r="T12" s="314" t="str">
        <f t="shared" si="6"/>
        <v>#VALUE!</v>
      </c>
      <c r="U12" s="314">
        <f t="shared" si="7"/>
        <v>0</v>
      </c>
      <c r="V12" s="314" t="str">
        <f>ifs($N12="",VLOOKUP($B12&amp;$E12,'VISIT DATA'!$A$2:$J244,7,FALSE), $N12="SWAB","OUTSA-RW",$N12="SWQU","OUTSA-SaQu", AND($L12="X",$M12="X",$N12="QUEST"),"OUT-UAQPre",$N12="QUEST","OUT-UAQ", $N12="Walk in","ColUATele")</f>
        <v>UA-NWPT</v>
      </c>
      <c r="W12" s="314" t="str">
        <f t="shared" si="8"/>
        <v>UA-NWPT : UA New Patient</v>
      </c>
      <c r="X12" s="314" t="str">
        <f t="shared" si="9"/>
        <v>#N/A</v>
      </c>
      <c r="Y12" s="314" t="str">
        <f t="shared" si="10"/>
        <v>#N/A</v>
      </c>
      <c r="Z12" s="314" t="str">
        <f t="shared" si="11"/>
        <v> </v>
      </c>
      <c r="AA12" s="316"/>
    </row>
    <row r="13">
      <c r="A13" s="314" t="str">
        <f>IFS($B13=FALSE,"",$B13,VLOOKUP($B13,'PATIENT DATA (072721)'!A:C, 2, 0))</f>
        <v>LUNA, RONALD</v>
      </c>
      <c r="B13" s="314">
        <v>16051.0</v>
      </c>
      <c r="C13" s="316" t="str">
        <f>IF(COUNTIF('PATIENT DATA (072721)'!A:A, B13)=0, "X","✓")</f>
        <v>✓</v>
      </c>
      <c r="D13" s="317">
        <f>IFS($B13=FALSE,"",$B13,VLOOKUP($B13,'PATIENT DATA (072721)'!A:C, 3, 0))</f>
        <v>24194</v>
      </c>
      <c r="E13" s="318">
        <v>44564.0</v>
      </c>
      <c r="F13" s="315">
        <f>ifs($B13="","",$B13, VLOOKUP($B13&amp;$E13, 'VISIT DATA'!A:O,3,0))</f>
        <v>0.3958333333</v>
      </c>
      <c r="G13" s="314"/>
      <c r="H13" s="314"/>
      <c r="I13" s="314" t="str">
        <f>VLOOKUP($B13&amp;$E13,'VISIT DATA'!A:J, 9, FALSE)</f>
        <v>MARTINEZ</v>
      </c>
      <c r="J13" s="314" t="str">
        <f>VLOOKUP(B13&amp;E13,'VISIT DATA'!A:N,10,FALSE)</f>
        <v>WPS VA - COMMUNITY CARE</v>
      </c>
      <c r="K13" s="314"/>
      <c r="L13" s="314"/>
      <c r="M13" s="314"/>
      <c r="N13" s="316"/>
      <c r="O13" s="316" t="str">
        <f t="shared" si="1"/>
        <v>X</v>
      </c>
      <c r="P13" s="317" t="str">
        <f t="shared" si="2"/>
        <v>#VALUE!</v>
      </c>
      <c r="Q13" s="317" t="str">
        <f t="shared" si="3"/>
        <v>#VALUE!</v>
      </c>
      <c r="R13" s="319" t="str">
        <f t="shared" si="4"/>
        <v>#VALUE!</v>
      </c>
      <c r="S13" s="314" t="str">
        <f t="shared" si="5"/>
        <v>#VALUE!</v>
      </c>
      <c r="T13" s="314" t="str">
        <f t="shared" si="6"/>
        <v>#VALUE!</v>
      </c>
      <c r="U13" s="314">
        <f t="shared" si="7"/>
        <v>0</v>
      </c>
      <c r="V13" s="314" t="str">
        <f>ifs($N13="",VLOOKUP($B13&amp;$E13,'VISIT DATA'!$A$2:$J244,7,FALSE), $N13="SWAB","OUTSA-RW",$N13="SWQU","OUTSA-SaQu", AND($L13="X",$M13="X",$N13="QUEST"),"OUT-UAQPre",$N13="QUEST","OUT-UAQ", $N13="Walk in","ColUATele")</f>
        <v>UA-Prelim</v>
      </c>
      <c r="W13" s="314" t="str">
        <f t="shared" si="8"/>
        <v>UA-Prelim : Preliminary UA Test</v>
      </c>
      <c r="X13" s="314" t="str">
        <f t="shared" si="9"/>
        <v>#N/A</v>
      </c>
      <c r="Y13" s="314" t="str">
        <f t="shared" si="10"/>
        <v>#N/A</v>
      </c>
      <c r="Z13" s="314" t="str">
        <f t="shared" si="11"/>
        <v> </v>
      </c>
      <c r="AA13" s="316"/>
    </row>
    <row r="14">
      <c r="A14" s="314" t="str">
        <f>IFS($B14=FALSE,"",$B14,VLOOKUP($B14,'PATIENT DATA (072721)'!A:C, 2, 0))</f>
        <v>RUEDAS, ELKE J</v>
      </c>
      <c r="B14" s="314">
        <v>15702.0</v>
      </c>
      <c r="C14" s="316" t="str">
        <f>IF(COUNTIF('PATIENT DATA (072721)'!A:A, B14)=0, "X","✓")</f>
        <v>✓</v>
      </c>
      <c r="D14" s="317">
        <f>IFS($B14=FALSE,"",$B14,VLOOKUP($B14,'PATIENT DATA (072721)'!A:C, 3, 0))</f>
        <v>25899</v>
      </c>
      <c r="E14" s="318">
        <v>44564.0</v>
      </c>
      <c r="F14" s="315">
        <f>ifs($B14="","",$B14, VLOOKUP($B14&amp;$E14, 'VISIT DATA'!A:O,3,0))</f>
        <v>0.3958333333</v>
      </c>
      <c r="G14" s="314"/>
      <c r="H14" s="314"/>
      <c r="I14" s="314" t="str">
        <f>VLOOKUP($B14&amp;$E14,'VISIT DATA'!A:J, 9, FALSE)</f>
        <v>TORRES</v>
      </c>
      <c r="J14" s="314" t="str">
        <f>VLOOKUP(B14&amp;E14,'VISIT DATA'!A:N,10,FALSE)</f>
        <v>CIGNA OPEN ACCESS PLAN (OAP)</v>
      </c>
      <c r="K14" s="316"/>
      <c r="L14" s="314"/>
      <c r="M14" s="314"/>
      <c r="N14" s="316"/>
      <c r="O14" s="316" t="str">
        <f t="shared" si="1"/>
        <v>X</v>
      </c>
      <c r="P14" s="317" t="str">
        <f t="shared" si="2"/>
        <v>#VALUE!</v>
      </c>
      <c r="Q14" s="317" t="str">
        <f t="shared" si="3"/>
        <v>#VALUE!</v>
      </c>
      <c r="R14" s="319" t="str">
        <f t="shared" si="4"/>
        <v>#VALUE!</v>
      </c>
      <c r="S14" s="314" t="str">
        <f t="shared" si="5"/>
        <v>#VALUE!</v>
      </c>
      <c r="T14" s="314" t="str">
        <f t="shared" si="6"/>
        <v>#VALUE!</v>
      </c>
      <c r="U14" s="314">
        <f t="shared" si="7"/>
        <v>0</v>
      </c>
      <c r="V14" s="314" t="str">
        <f>ifs($N14="",VLOOKUP($B14&amp;$E14,'VISIT DATA'!$A$2:$J244,7,FALSE), $N14="SWAB","OUTSA-RW",$N14="SWQU","OUTSA-SaQu", AND($L14="X",$M14="X",$N14="QUEST"),"OUT-UAQPre",$N14="QUEST","OUT-UAQ", $N14="Walk in","ColUATele")</f>
        <v>UA</v>
      </c>
      <c r="W14" s="314" t="str">
        <f t="shared" si="8"/>
        <v>UA : Urine Analysis In House</v>
      </c>
      <c r="X14" s="314" t="str">
        <f t="shared" si="9"/>
        <v>#N/A</v>
      </c>
      <c r="Y14" s="314" t="str">
        <f t="shared" si="10"/>
        <v>#N/A</v>
      </c>
      <c r="Z14" s="314" t="str">
        <f t="shared" si="11"/>
        <v> </v>
      </c>
      <c r="AA14" s="316"/>
    </row>
    <row r="15">
      <c r="A15" s="314" t="str">
        <f>IFS($B15=FALSE,"",$B15,VLOOKUP($B15,'PATIENT DATA (072721)'!A:C, 2, 0))</f>
        <v>CRUZ, ROBERT L</v>
      </c>
      <c r="B15" s="314">
        <v>14263.0</v>
      </c>
      <c r="C15" s="316" t="str">
        <f>IF(COUNTIF('PATIENT DATA (072721)'!A:A, B15)=0, "X","✓")</f>
        <v>✓</v>
      </c>
      <c r="D15" s="317">
        <f>IFS($B15=FALSE,"",$B15,VLOOKUP($B15,'PATIENT DATA (072721)'!A:C, 3, 0))</f>
        <v>23301</v>
      </c>
      <c r="E15" s="318">
        <v>44564.0</v>
      </c>
      <c r="F15" s="315">
        <f>ifs($B15="","",$B15, VLOOKUP($B15&amp;$E15, 'VISIT DATA'!A:O,3,0))</f>
        <v>0.40625</v>
      </c>
      <c r="G15" s="314"/>
      <c r="H15" s="314"/>
      <c r="I15" s="314" t="str">
        <f>VLOOKUP($B15&amp;$E15,'VISIT DATA'!A:J, 9, FALSE)</f>
        <v>TORRES</v>
      </c>
      <c r="J15" s="314" t="str">
        <f>VLOOKUP(B15&amp;E15,'VISIT DATA'!A:N,10,FALSE)</f>
        <v>HUMANA MEDICARE PPO</v>
      </c>
      <c r="K15" s="316"/>
      <c r="L15" s="314"/>
      <c r="M15" s="314"/>
      <c r="N15" s="316"/>
      <c r="O15" s="316" t="str">
        <f t="shared" si="1"/>
        <v>X</v>
      </c>
      <c r="P15" s="317" t="str">
        <f t="shared" si="2"/>
        <v>#VALUE!</v>
      </c>
      <c r="Q15" s="317" t="str">
        <f t="shared" si="3"/>
        <v>#VALUE!</v>
      </c>
      <c r="R15" s="319" t="str">
        <f t="shared" si="4"/>
        <v>#VALUE!</v>
      </c>
      <c r="S15" s="314" t="str">
        <f t="shared" si="5"/>
        <v>#VALUE!</v>
      </c>
      <c r="T15" s="314" t="str">
        <f t="shared" si="6"/>
        <v>#VALUE!</v>
      </c>
      <c r="U15" s="314">
        <f t="shared" si="7"/>
        <v>0</v>
      </c>
      <c r="V15" s="314" t="str">
        <f>ifs($N15="",VLOOKUP($B15&amp;$E15,'VISIT DATA'!$A$2:$J244,7,FALSE), $N15="SWAB","OUTSA-RW",$N15="SWQU","OUTSA-SaQu", AND($L15="X",$M15="X",$N15="QUEST"),"OUT-UAQPre",$N15="QUEST","OUT-UAQ", $N15="Walk in","ColUATele")</f>
        <v>UA</v>
      </c>
      <c r="W15" s="314" t="str">
        <f t="shared" si="8"/>
        <v>UA : Urine Analysis In House</v>
      </c>
      <c r="X15" s="314" t="str">
        <f t="shared" si="9"/>
        <v>#N/A</v>
      </c>
      <c r="Y15" s="314" t="str">
        <f t="shared" si="10"/>
        <v>#N/A</v>
      </c>
      <c r="Z15" s="314" t="str">
        <f t="shared" si="11"/>
        <v> </v>
      </c>
      <c r="AA15" s="316"/>
    </row>
    <row r="16">
      <c r="A16" s="314" t="str">
        <f>IFS($B16=FALSE,"",$B16,VLOOKUP($B16,'PATIENT DATA (072721)'!A:C, 2, 0))</f>
        <v>SAUCEDO, MARIA D</v>
      </c>
      <c r="B16" s="314">
        <v>9651.0</v>
      </c>
      <c r="C16" s="316" t="str">
        <f>IF(COUNTIF('PATIENT DATA (072721)'!A:A, B16)=0, "X","✓")</f>
        <v>✓</v>
      </c>
      <c r="D16" s="317">
        <f>IFS($B16=FALSE,"",$B16,VLOOKUP($B16,'PATIENT DATA (072721)'!A:C, 3, 0))</f>
        <v>22812</v>
      </c>
      <c r="E16" s="318">
        <v>44564.0</v>
      </c>
      <c r="F16" s="315">
        <f>ifs($B16="","",$B16, VLOOKUP($B16&amp;$E16, 'VISIT DATA'!A:O,3,0))</f>
        <v>0.4270833333</v>
      </c>
      <c r="G16" s="314"/>
      <c r="H16" s="314"/>
      <c r="I16" s="314" t="str">
        <f>VLOOKUP($B16&amp;$E16,'VISIT DATA'!A:J, 9, FALSE)</f>
        <v>TORRES</v>
      </c>
      <c r="J16" s="314" t="str">
        <f>VLOOKUP(B16&amp;E16,'VISIT DATA'!A:N,10,FALSE)</f>
        <v>WELLMED - CIGNA HEALTHSPRING</v>
      </c>
      <c r="K16" s="314"/>
      <c r="L16" s="314"/>
      <c r="M16" s="314"/>
      <c r="N16" s="316"/>
      <c r="O16" s="316" t="str">
        <f t="shared" si="1"/>
        <v>X</v>
      </c>
      <c r="P16" s="317" t="str">
        <f t="shared" si="2"/>
        <v>X</v>
      </c>
      <c r="Q16" s="317" t="str">
        <f t="shared" si="3"/>
        <v>#VALUE!</v>
      </c>
      <c r="R16" s="319" t="str">
        <f t="shared" si="4"/>
        <v>#VALUE!</v>
      </c>
      <c r="S16" s="314" t="str">
        <f t="shared" si="5"/>
        <v>#VALUE!</v>
      </c>
      <c r="T16" s="314" t="str">
        <f t="shared" si="6"/>
        <v>#VALUE!</v>
      </c>
      <c r="U16" s="314">
        <f t="shared" si="7"/>
        <v>1</v>
      </c>
      <c r="V16" s="314" t="str">
        <f>ifs($N16="",VLOOKUP($B16&amp;$E16,'VISIT DATA'!$A$2:$J244,7,FALSE), $N16="SWAB","OUTSA-RW",$N16="SWQU","OUTSA-SaQu", AND($L16="X",$M16="X",$N16="QUEST"),"OUT-UAQPre",$N16="QUEST","OUT-UAQ", $N16="Walk in","ColUATele")</f>
        <v>OUTUA-FURW</v>
      </c>
      <c r="W16" s="314" t="str">
        <f t="shared" si="8"/>
        <v>OUTUA-FURW : OUT UA FU Redwood</v>
      </c>
      <c r="X16" s="314" t="str">
        <f t="shared" si="9"/>
        <v>#N/A</v>
      </c>
      <c r="Y16" s="314" t="str">
        <f t="shared" si="10"/>
        <v>#N/A</v>
      </c>
      <c r="Z16" s="314" t="str">
        <f t="shared" si="11"/>
        <v> </v>
      </c>
      <c r="AA16" s="316"/>
    </row>
    <row r="17">
      <c r="A17" s="314" t="str">
        <f>IFS($B17=FALSE,"",$B17,VLOOKUP($B17,'PATIENT DATA (072721)'!A:C, 2, 0))</f>
        <v>MARSHALL, CRISTINA</v>
      </c>
      <c r="B17" s="314">
        <v>14001.0</v>
      </c>
      <c r="C17" s="316" t="str">
        <f>IF(COUNTIF('PATIENT DATA (072721)'!A:A, B17)=0, "X","✓")</f>
        <v>✓</v>
      </c>
      <c r="D17" s="317">
        <f>IFS($B17=FALSE,"",$B17,VLOOKUP($B17,'PATIENT DATA (072721)'!A:C, 3, 0))</f>
        <v>25773</v>
      </c>
      <c r="E17" s="318">
        <v>44564.0</v>
      </c>
      <c r="F17" s="315">
        <f>ifs($B17="","",$B17, VLOOKUP($B17&amp;$E17, 'VISIT DATA'!A:O,3,0))</f>
        <v>0.3958333333</v>
      </c>
      <c r="G17" s="314"/>
      <c r="H17" s="314"/>
      <c r="I17" s="314" t="str">
        <f>VLOOKUP($B17&amp;$E17,'VISIT DATA'!A:J, 9, FALSE)</f>
        <v>TORRES</v>
      </c>
      <c r="J17" s="314" t="str">
        <f>VLOOKUP(B17&amp;E17,'VISIT DATA'!A:N,10,FALSE)</f>
        <v>MOLINA MEDICAID TEXAS</v>
      </c>
      <c r="K17" s="316"/>
      <c r="L17" s="314"/>
      <c r="M17" s="314"/>
      <c r="N17" s="314"/>
      <c r="O17" s="316" t="str">
        <f t="shared" si="1"/>
        <v>X</v>
      </c>
      <c r="P17" s="317" t="str">
        <f t="shared" si="2"/>
        <v>#VALUE!</v>
      </c>
      <c r="Q17" s="317" t="str">
        <f t="shared" si="3"/>
        <v>X</v>
      </c>
      <c r="R17" s="319" t="str">
        <f t="shared" si="4"/>
        <v>#VALUE!</v>
      </c>
      <c r="S17" s="314" t="str">
        <f t="shared" si="5"/>
        <v>#VALUE!</v>
      </c>
      <c r="T17" s="314" t="str">
        <f t="shared" si="6"/>
        <v>#VALUE!</v>
      </c>
      <c r="U17" s="314">
        <f t="shared" si="7"/>
        <v>1</v>
      </c>
      <c r="V17" s="314" t="str">
        <f>ifs($N17="",VLOOKUP($B17&amp;$E17,'VISIT DATA'!$A$2:$J244,7,FALSE), $N17="SWAB","OUTSA-RW",$N17="SWQU","OUTSA-SaQu", AND($L17="X",$M17="X",$N17="QUEST"),"OUT-UAQPre",$N17="QUEST","OUT-UAQ", $N17="Walk in","ColUATele")</f>
        <v>OUTUA-FURW</v>
      </c>
      <c r="W17" s="314" t="str">
        <f t="shared" si="8"/>
        <v>OUTUA-FURW : OUT UA FU Redwood</v>
      </c>
      <c r="X17" s="314" t="str">
        <f t="shared" si="9"/>
        <v>#N/A</v>
      </c>
      <c r="Y17" s="314" t="str">
        <f t="shared" si="10"/>
        <v>#N/A</v>
      </c>
      <c r="Z17" s="314" t="str">
        <f t="shared" si="11"/>
        <v> </v>
      </c>
      <c r="AA17" s="314"/>
    </row>
    <row r="18">
      <c r="A18" s="314" t="str">
        <f>IFS($B18=FALSE,"",$B18,VLOOKUP($B18,'PATIENT DATA (072721)'!A:C, 2, 0))</f>
        <v>FRAIRE, IRENE</v>
      </c>
      <c r="B18" s="314">
        <v>9878.0</v>
      </c>
      <c r="C18" s="316" t="str">
        <f>IF(COUNTIF('PATIENT DATA (072721)'!A:A, B18)=0, "X","✓")</f>
        <v>✓</v>
      </c>
      <c r="D18" s="317">
        <f>IFS($B18=FALSE,"",$B18,VLOOKUP($B18,'PATIENT DATA (072721)'!A:C, 3, 0))</f>
        <v>26966</v>
      </c>
      <c r="E18" s="318">
        <v>44564.0</v>
      </c>
      <c r="F18" s="315">
        <f>ifs($B18="","",$B18, VLOOKUP($B18&amp;$E18, 'VISIT DATA'!A:O,3,0))</f>
        <v>0.40625</v>
      </c>
      <c r="G18" s="314"/>
      <c r="H18" s="314"/>
      <c r="I18" s="314" t="str">
        <f>VLOOKUP($B18&amp;$E18,'VISIT DATA'!A:J, 9, FALSE)</f>
        <v>TORRES</v>
      </c>
      <c r="J18" s="314" t="str">
        <f>VLOOKUP(B18&amp;E18,'VISIT DATA'!A:N,10,FALSE)</f>
        <v>EL PASO HEALTH PLAN</v>
      </c>
      <c r="K18" s="314"/>
      <c r="L18" s="314"/>
      <c r="M18" s="314"/>
      <c r="N18" s="314"/>
      <c r="O18" s="316" t="str">
        <f t="shared" si="1"/>
        <v>X</v>
      </c>
      <c r="P18" s="317" t="str">
        <f t="shared" si="2"/>
        <v>#VALUE!</v>
      </c>
      <c r="Q18" s="317" t="str">
        <f t="shared" si="3"/>
        <v>#VALUE!</v>
      </c>
      <c r="R18" s="319" t="str">
        <f t="shared" si="4"/>
        <v>#VALUE!</v>
      </c>
      <c r="S18" s="314" t="str">
        <f t="shared" si="5"/>
        <v>#VALUE!</v>
      </c>
      <c r="T18" s="314" t="str">
        <f t="shared" si="6"/>
        <v>#VALUE!</v>
      </c>
      <c r="U18" s="314">
        <f t="shared" si="7"/>
        <v>0</v>
      </c>
      <c r="V18" s="314" t="str">
        <f>ifs($N18="",VLOOKUP($B18&amp;$E18,'VISIT DATA'!$A$2:$J244,7,FALSE), $N18="SWAB","OUTSA-RW",$N18="SWQU","OUTSA-SaQu", AND($L18="X",$M18="X",$N18="QUEST"),"OUT-UAQPre",$N18="QUEST","OUT-UAQ", $N18="Walk in","ColUATele")</f>
        <v>UA</v>
      </c>
      <c r="W18" s="314" t="str">
        <f t="shared" si="8"/>
        <v>UA : Urine Analysis In House</v>
      </c>
      <c r="X18" s="314" t="str">
        <f t="shared" si="9"/>
        <v>#N/A</v>
      </c>
      <c r="Y18" s="314" t="str">
        <f t="shared" si="10"/>
        <v>#N/A</v>
      </c>
      <c r="Z18" s="314" t="str">
        <f t="shared" si="11"/>
        <v> </v>
      </c>
      <c r="AA18" s="316"/>
    </row>
    <row r="19">
      <c r="A19" s="314" t="str">
        <f>IFS($B19=FALSE,"",$B19,VLOOKUP($B19,'PATIENT DATA (072721)'!A:C, 2, 0))</f>
        <v>ANCHONDO, BLANCA L</v>
      </c>
      <c r="B19" s="314">
        <v>17799.0</v>
      </c>
      <c r="C19" s="316" t="str">
        <f>IF(COUNTIF('PATIENT DATA (072721)'!A:A, B19)=0, "X","✓")</f>
        <v>✓</v>
      </c>
      <c r="D19" s="317">
        <f>IFS($B19=FALSE,"",$B19,VLOOKUP($B19,'PATIENT DATA (072721)'!A:C, 3, 0))</f>
        <v>24580</v>
      </c>
      <c r="E19" s="318">
        <v>44564.0</v>
      </c>
      <c r="F19" s="315">
        <f>ifs($B19="","",$B19, VLOOKUP($B19&amp;$E19, 'VISIT DATA'!A:O,3,0))</f>
        <v>0.4479166667</v>
      </c>
      <c r="G19" s="314"/>
      <c r="H19" s="314"/>
      <c r="I19" s="314" t="str">
        <f>VLOOKUP($B19&amp;$E19,'VISIT DATA'!A:J, 9, FALSE)</f>
        <v>LOPEZ</v>
      </c>
      <c r="J19" s="314" t="str">
        <f>VLOOKUP(B19&amp;E19,'VISIT DATA'!A:N,10,FALSE)</f>
        <v>AETNA</v>
      </c>
      <c r="K19" s="316"/>
      <c r="L19" s="314"/>
      <c r="M19" s="314"/>
      <c r="N19" s="316"/>
      <c r="O19" s="316" t="str">
        <f t="shared" si="1"/>
        <v>X</v>
      </c>
      <c r="P19" s="317" t="str">
        <f t="shared" si="2"/>
        <v>#VALUE!</v>
      </c>
      <c r="Q19" s="317" t="str">
        <f t="shared" si="3"/>
        <v>#VALUE!</v>
      </c>
      <c r="R19" s="319" t="str">
        <f t="shared" si="4"/>
        <v>#VALUE!</v>
      </c>
      <c r="S19" s="314" t="str">
        <f t="shared" si="5"/>
        <v>#VALUE!</v>
      </c>
      <c r="T19" s="314" t="str">
        <f t="shared" si="6"/>
        <v>#VALUE!</v>
      </c>
      <c r="U19" s="314">
        <f t="shared" si="7"/>
        <v>0</v>
      </c>
      <c r="V19" s="314" t="str">
        <f>ifs($N19="",VLOOKUP($B19&amp;$E19,'VISIT DATA'!$A$2:$J244,7,FALSE), $N19="SWAB","OUTSA-RW",$N19="SWQU","OUTSA-SaQu", AND($L19="X",$M19="X",$N19="QUEST"),"OUT-UAQPre",$N19="QUEST","OUT-UAQ", $N19="Walk in","ColUATele")</f>
        <v>UA-NWPT</v>
      </c>
      <c r="W19" s="314" t="str">
        <f t="shared" si="8"/>
        <v>UA-NWPT : UA New Patient</v>
      </c>
      <c r="X19" s="314" t="str">
        <f t="shared" si="9"/>
        <v>#N/A</v>
      </c>
      <c r="Y19" s="314" t="str">
        <f t="shared" si="10"/>
        <v>#N/A</v>
      </c>
      <c r="Z19" s="314" t="str">
        <f t="shared" si="11"/>
        <v> </v>
      </c>
      <c r="AA19" s="316"/>
    </row>
    <row r="20">
      <c r="A20" s="314" t="str">
        <f>IFS($B20=FALSE,"",$B20,VLOOKUP($B20,'PATIENT DATA (072721)'!A:C, 2, 0))</f>
        <v>SMITH, CYNTHIA</v>
      </c>
      <c r="B20" s="314">
        <v>11736.0</v>
      </c>
      <c r="C20" s="316" t="str">
        <f>IF(COUNTIF('PATIENT DATA (072721)'!A:A, B20)=0, "X","✓")</f>
        <v>✓</v>
      </c>
      <c r="D20" s="317">
        <f>IFS($B20=FALSE,"",$B20,VLOOKUP($B20,'PATIENT DATA (072721)'!A:C, 3, 0))</f>
        <v>21851</v>
      </c>
      <c r="E20" s="318">
        <v>44564.0</v>
      </c>
      <c r="F20" s="315">
        <f>ifs($B20="","",$B20, VLOOKUP($B20&amp;$E20, 'VISIT DATA'!A:O,3,0))</f>
        <v>0.3854166667</v>
      </c>
      <c r="G20" s="314"/>
      <c r="H20" s="314"/>
      <c r="I20" s="314" t="str">
        <f>VLOOKUP($B20&amp;$E20,'VISIT DATA'!A:J, 9, FALSE)</f>
        <v>TORRES</v>
      </c>
      <c r="J20" s="314" t="str">
        <f>VLOOKUP(B20&amp;E20,'VISIT DATA'!A:N,10,FALSE)</f>
        <v>AMERIGROUP</v>
      </c>
      <c r="K20" s="316"/>
      <c r="L20" s="314"/>
      <c r="M20" s="314"/>
      <c r="N20" s="314"/>
      <c r="O20" s="316" t="str">
        <f t="shared" si="1"/>
        <v>X</v>
      </c>
      <c r="P20" s="317" t="str">
        <f t="shared" si="2"/>
        <v>#VALUE!</v>
      </c>
      <c r="Q20" s="317" t="str">
        <f t="shared" si="3"/>
        <v>#VALUE!</v>
      </c>
      <c r="R20" s="319" t="str">
        <f t="shared" si="4"/>
        <v>#VALUE!</v>
      </c>
      <c r="S20" s="314" t="str">
        <f t="shared" si="5"/>
        <v>#VALUE!</v>
      </c>
      <c r="T20" s="314" t="str">
        <f t="shared" si="6"/>
        <v>#VALUE!</v>
      </c>
      <c r="U20" s="314">
        <f t="shared" si="7"/>
        <v>0</v>
      </c>
      <c r="V20" s="314" t="str">
        <f>ifs($N20="",VLOOKUP($B20&amp;$E20,'VISIT DATA'!$A$2:$J244,7,FALSE), $N20="SWAB","OUTSA-RW",$N20="SWQU","OUTSA-SaQu", AND($L20="X",$M20="X",$N20="QUEST"),"OUT-UAQPre",$N20="QUEST","OUT-UAQ", $N20="Walk in","ColUATele")</f>
        <v>UA</v>
      </c>
      <c r="W20" s="314" t="str">
        <f t="shared" si="8"/>
        <v>UA : Urine Analysis In House</v>
      </c>
      <c r="X20" s="314" t="str">
        <f t="shared" si="9"/>
        <v>#N/A</v>
      </c>
      <c r="Y20" s="314" t="str">
        <f t="shared" si="10"/>
        <v>#N/A</v>
      </c>
      <c r="Z20" s="314" t="str">
        <f t="shared" si="11"/>
        <v> </v>
      </c>
      <c r="AA20" s="316"/>
    </row>
    <row r="21">
      <c r="A21" s="314" t="str">
        <f>IFS($B21=FALSE,"",$B21,VLOOKUP($B21,'PATIENT DATA (072721)'!A:C, 2, 0))</f>
        <v>RANGEL, NICHOLAS CHRISTOPHER</v>
      </c>
      <c r="B21" s="314">
        <v>14167.0</v>
      </c>
      <c r="C21" s="316" t="str">
        <f>IF(COUNTIF('PATIENT DATA (072721)'!A:A, B21)=0, "X","✓")</f>
        <v>✓</v>
      </c>
      <c r="D21" s="317">
        <f>IFS($B21=FALSE,"",$B21,VLOOKUP($B21,'PATIENT DATA (072721)'!A:C, 3, 0))</f>
        <v>30502</v>
      </c>
      <c r="E21" s="318">
        <v>44564.0</v>
      </c>
      <c r="F21" s="315" t="str">
        <f>ifs($B21="","",$B21, VLOOKUP($B21&amp;$E21, 'VISIT DATA'!A:O,3,0))</f>
        <v>#N/A</v>
      </c>
      <c r="G21" s="314"/>
      <c r="H21" s="314"/>
      <c r="I21" s="314" t="str">
        <f>VLOOKUP($B21&amp;$E21,'VISIT DATA'!A:J, 9, FALSE)</f>
        <v>#N/A</v>
      </c>
      <c r="J21" s="314" t="str">
        <f>VLOOKUP(B21&amp;E21,'VISIT DATA'!A:N,10,FALSE)</f>
        <v>#N/A</v>
      </c>
      <c r="K21" s="316"/>
      <c r="L21" s="314"/>
      <c r="M21" s="314"/>
      <c r="N21" s="316"/>
      <c r="O21" s="316" t="str">
        <f t="shared" si="1"/>
        <v>X</v>
      </c>
      <c r="P21" s="317" t="str">
        <f t="shared" si="2"/>
        <v>#N/A</v>
      </c>
      <c r="Q21" s="317" t="str">
        <f t="shared" si="3"/>
        <v>#N/A</v>
      </c>
      <c r="R21" s="319" t="str">
        <f t="shared" si="4"/>
        <v>#N/A</v>
      </c>
      <c r="S21" s="314" t="str">
        <f t="shared" si="5"/>
        <v>#N/A</v>
      </c>
      <c r="T21" s="314" t="str">
        <f t="shared" si="6"/>
        <v>#N/A</v>
      </c>
      <c r="U21" s="314">
        <f t="shared" si="7"/>
        <v>0</v>
      </c>
      <c r="V21" s="314" t="str">
        <f>ifs($N21="",VLOOKUP($B21&amp;$E21,'VISIT DATA'!$A$2:$J244,7,FALSE), $N21="SWAB","OUTSA-RW",$N21="SWQU","OUTSA-SaQu", AND($L21="X",$M21="X",$N21="QUEST"),"OUT-UAQPre",$N21="QUEST","OUT-UAQ", $N21="Walk in","ColUATele")</f>
        <v>#N/A</v>
      </c>
      <c r="W21" s="314" t="str">
        <f t="shared" si="8"/>
        <v>#N/A</v>
      </c>
      <c r="X21" s="314" t="str">
        <f t="shared" si="9"/>
        <v>#N/A</v>
      </c>
      <c r="Y21" s="314" t="str">
        <f t="shared" si="10"/>
        <v>#N/A</v>
      </c>
      <c r="Z21" s="314" t="str">
        <f t="shared" si="11"/>
        <v> </v>
      </c>
      <c r="AA21" s="316"/>
    </row>
    <row r="22">
      <c r="A22" s="314" t="str">
        <f>IFS($B22=FALSE,"",$B22,VLOOKUP($B22,'PATIENT DATA (072721)'!A:C, 2, 0))</f>
        <v>GUTIERREZ, SUJEI</v>
      </c>
      <c r="B22" s="314">
        <v>9838.0</v>
      </c>
      <c r="C22" s="316" t="str">
        <f>IF(COUNTIF('PATIENT DATA (072721)'!A:A, B22)=0, "X","✓")</f>
        <v>✓</v>
      </c>
      <c r="D22" s="317">
        <f>IFS($B22=FALSE,"",$B22,VLOOKUP($B22,'PATIENT DATA (072721)'!A:C, 3, 0))</f>
        <v>27927</v>
      </c>
      <c r="E22" s="318">
        <v>44564.0</v>
      </c>
      <c r="F22" s="315">
        <f>ifs($B22="","",$B22, VLOOKUP($B22&amp;$E22, 'VISIT DATA'!A:O,3,0))</f>
        <v>0.4583333333</v>
      </c>
      <c r="G22" s="314"/>
      <c r="H22" s="314"/>
      <c r="I22" s="314" t="str">
        <f>VLOOKUP($B22&amp;$E22,'VISIT DATA'!A:J, 9, FALSE)</f>
        <v>THOMAS</v>
      </c>
      <c r="J22" s="314" t="str">
        <f>VLOOKUP(B22&amp;E22,'VISIT DATA'!A:N,10,FALSE)</f>
        <v>MEDICARE TEXAS</v>
      </c>
      <c r="K22" s="316"/>
      <c r="L22" s="314"/>
      <c r="M22" s="314"/>
      <c r="N22" s="316"/>
      <c r="O22" s="316" t="str">
        <f t="shared" si="1"/>
        <v>X</v>
      </c>
      <c r="P22" s="317" t="str">
        <f t="shared" si="2"/>
        <v>#VALUE!</v>
      </c>
      <c r="Q22" s="317" t="str">
        <f t="shared" si="3"/>
        <v>#VALUE!</v>
      </c>
      <c r="R22" s="319" t="str">
        <f t="shared" si="4"/>
        <v>#VALUE!</v>
      </c>
      <c r="S22" s="314" t="str">
        <f t="shared" si="5"/>
        <v>#VALUE!</v>
      </c>
      <c r="T22" s="314" t="str">
        <f t="shared" si="6"/>
        <v>#VALUE!</v>
      </c>
      <c r="U22" s="314">
        <f t="shared" si="7"/>
        <v>0</v>
      </c>
      <c r="V22" s="314" t="str">
        <f>ifs($N22="",VLOOKUP($B22&amp;$E22,'VISIT DATA'!$A$2:$J244,7,FALSE), $N22="SWAB","OUTSA-RW",$N22="SWQU","OUTSA-SaQu", AND($L22="X",$M22="X",$N22="QUEST"),"OUT-UAQPre",$N22="QUEST","OUT-UAQ", $N22="Walk in","ColUATele")</f>
        <v>UA-Prelim</v>
      </c>
      <c r="W22" s="314" t="str">
        <f t="shared" si="8"/>
        <v>UA-Prelim : Preliminary UA Test</v>
      </c>
      <c r="X22" s="314" t="str">
        <f t="shared" si="9"/>
        <v>#N/A</v>
      </c>
      <c r="Y22" s="314" t="str">
        <f t="shared" si="10"/>
        <v>#N/A</v>
      </c>
      <c r="Z22" s="314" t="str">
        <f t="shared" si="11"/>
        <v> </v>
      </c>
      <c r="AA22" s="316"/>
    </row>
    <row r="23">
      <c r="A23" s="314" t="str">
        <f>IFS($B23=FALSE,"",$B23,VLOOKUP($B23,'PATIENT DATA (072721)'!A:C, 2, 0))</f>
        <v>MORALES, CHRISTINE</v>
      </c>
      <c r="B23" s="314">
        <v>10094.0</v>
      </c>
      <c r="C23" s="316" t="str">
        <f>IF(COUNTIF('PATIENT DATA (072721)'!A:A, B23)=0, "X","✓")</f>
        <v>✓</v>
      </c>
      <c r="D23" s="317">
        <f>IFS($B23=FALSE,"",$B23,VLOOKUP($B23,'PATIENT DATA (072721)'!A:C, 3, 0))</f>
        <v>24190</v>
      </c>
      <c r="E23" s="318">
        <v>44564.0</v>
      </c>
      <c r="F23" s="315">
        <f>ifs($B23="","",$B23, VLOOKUP($B23&amp;$E23, 'VISIT DATA'!A:O,3,0))</f>
        <v>0.4270833333</v>
      </c>
      <c r="G23" s="314"/>
      <c r="H23" s="314"/>
      <c r="I23" s="314" t="str">
        <f>VLOOKUP($B23&amp;$E23,'VISIT DATA'!A:J, 9, FALSE)</f>
        <v>MARTINEZ</v>
      </c>
      <c r="J23" s="314" t="str">
        <f>VLOOKUP(B23&amp;E23,'VISIT DATA'!A:N,10,FALSE)</f>
        <v>HUMANA MEDICARE PPO</v>
      </c>
      <c r="K23" s="316"/>
      <c r="L23" s="314"/>
      <c r="M23" s="314"/>
      <c r="N23" s="316"/>
      <c r="O23" s="316" t="str">
        <f t="shared" si="1"/>
        <v>X</v>
      </c>
      <c r="P23" s="317" t="str">
        <f t="shared" si="2"/>
        <v>#VALUE!</v>
      </c>
      <c r="Q23" s="317" t="str">
        <f t="shared" si="3"/>
        <v>#VALUE!</v>
      </c>
      <c r="R23" s="319" t="str">
        <f t="shared" si="4"/>
        <v>#VALUE!</v>
      </c>
      <c r="S23" s="314" t="str">
        <f t="shared" si="5"/>
        <v>#VALUE!</v>
      </c>
      <c r="T23" s="314" t="str">
        <f t="shared" si="6"/>
        <v>#VALUE!</v>
      </c>
      <c r="U23" s="314">
        <f t="shared" si="7"/>
        <v>0</v>
      </c>
      <c r="V23" s="314" t="str">
        <f>ifs($N23="",VLOOKUP($B23&amp;$E23,'VISIT DATA'!$A$2:$J244,7,FALSE), $N23="SWAB","OUTSA-RW",$N23="SWQU","OUTSA-SaQu", AND($L23="X",$M23="X",$N23="QUEST"),"OUT-UAQPre",$N23="QUEST","OUT-UAQ", $N23="Walk in","ColUATele")</f>
        <v>UA</v>
      </c>
      <c r="W23" s="314" t="str">
        <f t="shared" si="8"/>
        <v>UA : Urine Analysis In House</v>
      </c>
      <c r="X23" s="314" t="str">
        <f t="shared" si="9"/>
        <v>#N/A</v>
      </c>
      <c r="Y23" s="314" t="str">
        <f t="shared" si="10"/>
        <v>#N/A</v>
      </c>
      <c r="Z23" s="314" t="str">
        <f t="shared" si="11"/>
        <v> </v>
      </c>
      <c r="AA23" s="316"/>
    </row>
    <row r="24">
      <c r="A24" s="314" t="str">
        <f>IFS($B24=FALSE,"",$B24,VLOOKUP($B24,'PATIENT DATA (072721)'!A:C, 2, 0))</f>
        <v>HOPPER, WAYNE</v>
      </c>
      <c r="B24" s="314">
        <v>16350.0</v>
      </c>
      <c r="C24" s="316" t="str">
        <f>IF(COUNTIF('PATIENT DATA (072721)'!A:A, B24)=0, "X","✓")</f>
        <v>✓</v>
      </c>
      <c r="D24" s="317">
        <f>IFS($B24=FALSE,"",$B24,VLOOKUP($B24,'PATIENT DATA (072721)'!A:C, 3, 0))</f>
        <v>22243</v>
      </c>
      <c r="E24" s="318">
        <v>44564.0</v>
      </c>
      <c r="F24" s="315">
        <f>ifs($B24="","",$B24, VLOOKUP($B24&amp;$E24, 'VISIT DATA'!A:O,3,0))</f>
        <v>0.4479166667</v>
      </c>
      <c r="G24" s="314"/>
      <c r="H24" s="314"/>
      <c r="I24" s="314" t="str">
        <f>VLOOKUP($B24&amp;$E24,'VISIT DATA'!A:J, 9, FALSE)</f>
        <v>TORRES</v>
      </c>
      <c r="J24" s="314" t="str">
        <f>VLOOKUP(B24&amp;E24,'VISIT DATA'!A:N,10,FALSE)</f>
        <v>BCBSTX PPO</v>
      </c>
      <c r="K24" s="316"/>
      <c r="L24" s="314"/>
      <c r="M24" s="314"/>
      <c r="N24" s="316"/>
      <c r="O24" s="316" t="str">
        <f t="shared" si="1"/>
        <v>X</v>
      </c>
      <c r="P24" s="317" t="str">
        <f t="shared" si="2"/>
        <v>#VALUE!</v>
      </c>
      <c r="Q24" s="317" t="str">
        <f t="shared" si="3"/>
        <v>#VALUE!</v>
      </c>
      <c r="R24" s="319" t="str">
        <f t="shared" si="4"/>
        <v>#VALUE!</v>
      </c>
      <c r="S24" s="314" t="str">
        <f t="shared" si="5"/>
        <v>#VALUE!</v>
      </c>
      <c r="T24" s="314" t="str">
        <f t="shared" si="6"/>
        <v>#VALUE!</v>
      </c>
      <c r="U24" s="314">
        <f t="shared" si="7"/>
        <v>0</v>
      </c>
      <c r="V24" s="314" t="str">
        <f>ifs($N24="",VLOOKUP($B24&amp;$E24,'VISIT DATA'!$A$2:$J244,7,FALSE), $N24="SWAB","OUTSA-RW",$N24="SWQU","OUTSA-SaQu", AND($L24="X",$M24="X",$N24="QUEST"),"OUT-UAQPre",$N24="QUEST","OUT-UAQ", $N24="Walk in","ColUATele")</f>
        <v>UA</v>
      </c>
      <c r="W24" s="314" t="str">
        <f t="shared" si="8"/>
        <v>UA : Urine Analysis In House</v>
      </c>
      <c r="X24" s="314" t="str">
        <f t="shared" si="9"/>
        <v>#N/A</v>
      </c>
      <c r="Y24" s="314" t="str">
        <f t="shared" si="10"/>
        <v>#N/A</v>
      </c>
      <c r="Z24" s="314" t="str">
        <f t="shared" si="11"/>
        <v> </v>
      </c>
      <c r="AA24" s="316"/>
    </row>
    <row r="25">
      <c r="A25" s="314" t="str">
        <f>IFS($B25=FALSE,"",$B25,VLOOKUP($B25,'PATIENT DATA (072721)'!A:C, 2, 0))</f>
        <v>QUINTERO, FRANCISCO G</v>
      </c>
      <c r="B25" s="314">
        <v>17334.0</v>
      </c>
      <c r="C25" s="316" t="str">
        <f>IF(COUNTIF('PATIENT DATA (072721)'!A:A, B25)=0, "X","✓")</f>
        <v>✓</v>
      </c>
      <c r="D25" s="317">
        <f>IFS($B25=FALSE,"",$B25,VLOOKUP($B25,'PATIENT DATA (072721)'!A:C, 3, 0))</f>
        <v>25243</v>
      </c>
      <c r="E25" s="318">
        <v>44564.0</v>
      </c>
      <c r="F25" s="315">
        <f>ifs($B25="","",$B25, VLOOKUP($B25&amp;$E25, 'VISIT DATA'!A:O,3,0))</f>
        <v>0.4479166667</v>
      </c>
      <c r="G25" s="314"/>
      <c r="H25" s="314"/>
      <c r="I25" s="314" t="str">
        <f>VLOOKUP($B25&amp;$E25,'VISIT DATA'!A:J, 9, FALSE)</f>
        <v>MARTINEZ</v>
      </c>
      <c r="J25" s="314" t="str">
        <f>VLOOKUP(B25&amp;E25,'VISIT DATA'!A:N,10,FALSE)</f>
        <v>WELLMED - CIGNA HEALTHSPRING</v>
      </c>
      <c r="K25" s="314"/>
      <c r="L25" s="314"/>
      <c r="M25" s="314"/>
      <c r="N25" s="316"/>
      <c r="O25" s="316" t="str">
        <f t="shared" si="1"/>
        <v>X</v>
      </c>
      <c r="P25" s="317" t="str">
        <f t="shared" si="2"/>
        <v>X</v>
      </c>
      <c r="Q25" s="317" t="str">
        <f t="shared" si="3"/>
        <v>#VALUE!</v>
      </c>
      <c r="R25" s="319" t="str">
        <f t="shared" si="4"/>
        <v>#VALUE!</v>
      </c>
      <c r="S25" s="314" t="str">
        <f t="shared" si="5"/>
        <v>#VALUE!</v>
      </c>
      <c r="T25" s="314" t="str">
        <f t="shared" si="6"/>
        <v>#VALUE!</v>
      </c>
      <c r="U25" s="314">
        <f t="shared" si="7"/>
        <v>1</v>
      </c>
      <c r="V25" s="314" t="str">
        <f>ifs($N25="",VLOOKUP($B25&amp;$E25,'VISIT DATA'!$A$2:$J244,7,FALSE), $N25="SWAB","OUTSA-RW",$N25="SWQU","OUTSA-SaQu", AND($L25="X",$M25="X",$N25="QUEST"),"OUT-UAQPre",$N25="QUEST","OUT-UAQ", $N25="Walk in","ColUATele")</f>
        <v>OUTUA-PrRW</v>
      </c>
      <c r="W25" s="314" t="str">
        <f t="shared" si="8"/>
        <v>OUTUA-PrRW : OUT UA Prelimin Redwood</v>
      </c>
      <c r="X25" s="314" t="str">
        <f t="shared" si="9"/>
        <v>#N/A</v>
      </c>
      <c r="Y25" s="314" t="str">
        <f t="shared" si="10"/>
        <v>#N/A</v>
      </c>
      <c r="Z25" s="314" t="str">
        <f t="shared" si="11"/>
        <v> </v>
      </c>
      <c r="AA25" s="316"/>
    </row>
    <row r="26">
      <c r="A26" s="314" t="str">
        <f>IFS($B26=FALSE,"",$B26,VLOOKUP($B26,'PATIENT DATA (072721)'!A:C, 2, 0))</f>
        <v>PACHECO, CAROLINA</v>
      </c>
      <c r="B26" s="314">
        <v>10573.0</v>
      </c>
      <c r="C26" s="316" t="str">
        <f>IF(COUNTIF('PATIENT DATA (072721)'!A:A, B26)=0, "X","✓")</f>
        <v>✓</v>
      </c>
      <c r="D26" s="317">
        <f>IFS($B26=FALSE,"",$B26,VLOOKUP($B26,'PATIENT DATA (072721)'!A:C, 3, 0))</f>
        <v>23562</v>
      </c>
      <c r="E26" s="318">
        <v>44564.0</v>
      </c>
      <c r="F26" s="315">
        <f>ifs($B26="","",$B26, VLOOKUP($B26&amp;$E26, 'VISIT DATA'!A:O,3,0))</f>
        <v>0.4583333333</v>
      </c>
      <c r="G26" s="314"/>
      <c r="H26" s="314"/>
      <c r="I26" s="314" t="str">
        <f>VLOOKUP($B26&amp;$E26,'VISIT DATA'!A:J, 9, FALSE)</f>
        <v>TORRES</v>
      </c>
      <c r="J26" s="314" t="str">
        <f>VLOOKUP(B26&amp;E26,'VISIT DATA'!A:N,10,FALSE)</f>
        <v>WPS VA - COMMUNITY CARE</v>
      </c>
      <c r="K26" s="314"/>
      <c r="L26" s="314"/>
      <c r="M26" s="314"/>
      <c r="N26" s="314"/>
      <c r="O26" s="316" t="str">
        <f t="shared" si="1"/>
        <v>X</v>
      </c>
      <c r="P26" s="317" t="str">
        <f t="shared" si="2"/>
        <v>#VALUE!</v>
      </c>
      <c r="Q26" s="317" t="str">
        <f t="shared" si="3"/>
        <v>#VALUE!</v>
      </c>
      <c r="R26" s="319" t="str">
        <f t="shared" si="4"/>
        <v>#VALUE!</v>
      </c>
      <c r="S26" s="314" t="str">
        <f t="shared" si="5"/>
        <v>#VALUE!</v>
      </c>
      <c r="T26" s="314" t="str">
        <f t="shared" si="6"/>
        <v>#VALUE!</v>
      </c>
      <c r="U26" s="314">
        <f t="shared" si="7"/>
        <v>0</v>
      </c>
      <c r="V26" s="314" t="str">
        <f>ifs($N26="",VLOOKUP($B26&amp;$E26,'VISIT DATA'!$A$2:$J244,7,FALSE), $N26="SWAB","OUTSA-RW",$N26="SWQU","OUTSA-SaQu", AND($L26="X",$M26="X",$N26="QUEST"),"OUT-UAQPre",$N26="QUEST","OUT-UAQ", $N26="Walk in","ColUATele")</f>
        <v>UA-Prelim</v>
      </c>
      <c r="W26" s="314" t="str">
        <f t="shared" si="8"/>
        <v>UA-Prelim : Preliminary UA Test</v>
      </c>
      <c r="X26" s="314" t="str">
        <f t="shared" si="9"/>
        <v>#N/A</v>
      </c>
      <c r="Y26" s="314" t="str">
        <f t="shared" si="10"/>
        <v>#N/A</v>
      </c>
      <c r="Z26" s="314" t="str">
        <f t="shared" si="11"/>
        <v> </v>
      </c>
      <c r="AA26" s="314"/>
    </row>
    <row r="27">
      <c r="A27" s="314" t="str">
        <f>IFS($B27=FALSE,"",$B27,VLOOKUP($B27,'PATIENT DATA (072721)'!A:C, 2, 0))</f>
        <v>HERRERA, MARIA DE JESUS</v>
      </c>
      <c r="B27" s="314">
        <v>10634.0</v>
      </c>
      <c r="C27" s="316" t="str">
        <f>IF(COUNTIF('PATIENT DATA (072721)'!A:A, B27)=0, "X","✓")</f>
        <v>✓</v>
      </c>
      <c r="D27" s="317">
        <f>IFS($B27=FALSE,"",$B27,VLOOKUP($B27,'PATIENT DATA (072721)'!A:C, 3, 0))</f>
        <v>14961</v>
      </c>
      <c r="E27" s="318">
        <v>44564.0</v>
      </c>
      <c r="F27" s="315">
        <f>ifs($B27="","",$B27, VLOOKUP($B27&amp;$E27, 'VISIT DATA'!A:O,3,0))</f>
        <v>0.46875</v>
      </c>
      <c r="G27" s="314"/>
      <c r="H27" s="314"/>
      <c r="I27" s="314" t="str">
        <f>VLOOKUP($B27&amp;$E27,'VISIT DATA'!A:J, 9, FALSE)</f>
        <v>TORRES</v>
      </c>
      <c r="J27" s="314" t="str">
        <f>VLOOKUP(B27&amp;E27,'VISIT DATA'!A:N,10,FALSE)</f>
        <v>MEDICARE TEXAS</v>
      </c>
      <c r="K27" s="314"/>
      <c r="L27" s="314"/>
      <c r="M27" s="314"/>
      <c r="N27" s="316"/>
      <c r="O27" s="316" t="str">
        <f t="shared" si="1"/>
        <v>X</v>
      </c>
      <c r="P27" s="317" t="str">
        <f t="shared" si="2"/>
        <v>#VALUE!</v>
      </c>
      <c r="Q27" s="317" t="str">
        <f t="shared" si="3"/>
        <v>#VALUE!</v>
      </c>
      <c r="R27" s="319" t="str">
        <f t="shared" si="4"/>
        <v>#VALUE!</v>
      </c>
      <c r="S27" s="314" t="str">
        <f t="shared" si="5"/>
        <v>#VALUE!</v>
      </c>
      <c r="T27" s="314" t="str">
        <f t="shared" si="6"/>
        <v>#VALUE!</v>
      </c>
      <c r="U27" s="314">
        <f t="shared" si="7"/>
        <v>0</v>
      </c>
      <c r="V27" s="314" t="str">
        <f>ifs($N27="",VLOOKUP($B27&amp;$E27,'VISIT DATA'!$A$2:$J244,7,FALSE), $N27="SWAB","OUTSA-RW",$N27="SWQU","OUTSA-SaQu", AND($L27="X",$M27="X",$N27="QUEST"),"OUT-UAQPre",$N27="QUEST","OUT-UAQ", $N27="Walk in","ColUATele")</f>
        <v>UA</v>
      </c>
      <c r="W27" s="314" t="str">
        <f t="shared" si="8"/>
        <v>UA : Urine Analysis In House</v>
      </c>
      <c r="X27" s="314" t="str">
        <f t="shared" si="9"/>
        <v>#N/A</v>
      </c>
      <c r="Y27" s="314" t="str">
        <f t="shared" si="10"/>
        <v>#N/A</v>
      </c>
      <c r="Z27" s="314" t="str">
        <f t="shared" si="11"/>
        <v> </v>
      </c>
      <c r="AA27" s="316"/>
    </row>
    <row r="28">
      <c r="A28" s="314" t="str">
        <f>IFS($B28=FALSE,"",$B28,VLOOKUP($B28,'PATIENT DATA (072721)'!A:C, 2, 0))</f>
        <v>CRESPO, GABRIEL</v>
      </c>
      <c r="B28" s="314">
        <v>12697.0</v>
      </c>
      <c r="C28" s="316" t="str">
        <f>IF(COUNTIF('PATIENT DATA (072721)'!A:A, B28)=0, "X","✓")</f>
        <v>✓</v>
      </c>
      <c r="D28" s="317">
        <f>IFS($B28=FALSE,"",$B28,VLOOKUP($B28,'PATIENT DATA (072721)'!A:C, 3, 0))</f>
        <v>30536</v>
      </c>
      <c r="E28" s="318">
        <v>44564.0</v>
      </c>
      <c r="F28" s="315">
        <f>ifs($B28="","",$B28, VLOOKUP($B28&amp;$E28, 'VISIT DATA'!A:O,3,0))</f>
        <v>0.4583333333</v>
      </c>
      <c r="G28" s="314"/>
      <c r="H28" s="314"/>
      <c r="I28" s="314" t="str">
        <f>VLOOKUP($B28&amp;$E28,'VISIT DATA'!A:J, 9, FALSE)</f>
        <v>MARTINEZ</v>
      </c>
      <c r="J28" s="314" t="str">
        <f>VLOOKUP(B28&amp;E28,'VISIT DATA'!A:N,10,FALSE)</f>
        <v>AMERIVANTAGE DUAL</v>
      </c>
      <c r="K28" s="314"/>
      <c r="L28" s="314"/>
      <c r="M28" s="314"/>
      <c r="N28" s="316"/>
      <c r="O28" s="316" t="str">
        <f t="shared" si="1"/>
        <v>X</v>
      </c>
      <c r="P28" s="317" t="str">
        <f t="shared" si="2"/>
        <v>#VALUE!</v>
      </c>
      <c r="Q28" s="317" t="str">
        <f t="shared" si="3"/>
        <v>#VALUE!</v>
      </c>
      <c r="R28" s="319" t="str">
        <f t="shared" si="4"/>
        <v>#VALUE!</v>
      </c>
      <c r="S28" s="314" t="str">
        <f t="shared" si="5"/>
        <v>#VALUE!</v>
      </c>
      <c r="T28" s="314" t="str">
        <f t="shared" si="6"/>
        <v>#VALUE!</v>
      </c>
      <c r="U28" s="314">
        <f t="shared" si="7"/>
        <v>0</v>
      </c>
      <c r="V28" s="314" t="str">
        <f>ifs($N28="",VLOOKUP($B28&amp;$E28,'VISIT DATA'!$A$2:$J244,7,FALSE), $N28="SWAB","OUTSA-RW",$N28="SWQU","OUTSA-SaQu", AND($L28="X",$M28="X",$N28="QUEST"),"OUT-UAQPre",$N28="QUEST","OUT-UAQ", $N28="Walk in","ColUATele")</f>
        <v>UA-Prelim</v>
      </c>
      <c r="W28" s="314" t="str">
        <f t="shared" si="8"/>
        <v>UA-Prelim : Preliminary UA Test</v>
      </c>
      <c r="X28" s="314" t="str">
        <f t="shared" si="9"/>
        <v>#N/A</v>
      </c>
      <c r="Y28" s="314" t="str">
        <f t="shared" si="10"/>
        <v>#N/A</v>
      </c>
      <c r="Z28" s="314" t="str">
        <f t="shared" si="11"/>
        <v> </v>
      </c>
      <c r="AA28" s="316"/>
    </row>
    <row r="29">
      <c r="A29" s="314" t="str">
        <f>IFS($B29=FALSE,"",$B29,VLOOKUP($B29,'PATIENT DATA (072721)'!A:C, 2, 0))</f>
        <v>SONNIER, STACY C</v>
      </c>
      <c r="B29" s="314">
        <v>14392.0</v>
      </c>
      <c r="C29" s="316" t="str">
        <f>IF(COUNTIF('PATIENT DATA (072721)'!A:A, B29)=0, "X","✓")</f>
        <v>✓</v>
      </c>
      <c r="D29" s="317">
        <f>IFS($B29=FALSE,"",$B29,VLOOKUP($B29,'PATIENT DATA (072721)'!A:C, 3, 0))</f>
        <v>21549</v>
      </c>
      <c r="E29" s="318">
        <v>44564.0</v>
      </c>
      <c r="F29" s="315">
        <f>ifs($B29="","",$B29, VLOOKUP($B29&amp;$E29, 'VISIT DATA'!A:O,3,0))</f>
        <v>0.4583333333</v>
      </c>
      <c r="G29" s="314"/>
      <c r="H29" s="314"/>
      <c r="I29" s="314" t="str">
        <f>VLOOKUP($B29&amp;$E29,'VISIT DATA'!A:J, 9, FALSE)</f>
        <v>MARTINEZ</v>
      </c>
      <c r="J29" s="314" t="str">
        <f>VLOOKUP(B29&amp;E29,'VISIT DATA'!A:N,10,FALSE)</f>
        <v>AMERIVANTAGE</v>
      </c>
      <c r="K29" s="314"/>
      <c r="L29" s="314"/>
      <c r="M29" s="314"/>
      <c r="N29" s="314"/>
      <c r="O29" s="316" t="str">
        <f t="shared" si="1"/>
        <v>X</v>
      </c>
      <c r="P29" s="317" t="str">
        <f t="shared" si="2"/>
        <v>#VALUE!</v>
      </c>
      <c r="Q29" s="317" t="str">
        <f t="shared" si="3"/>
        <v>#VALUE!</v>
      </c>
      <c r="R29" s="319" t="str">
        <f t="shared" si="4"/>
        <v>#VALUE!</v>
      </c>
      <c r="S29" s="314" t="str">
        <f t="shared" si="5"/>
        <v>#VALUE!</v>
      </c>
      <c r="T29" s="314" t="str">
        <f t="shared" si="6"/>
        <v>#VALUE!</v>
      </c>
      <c r="U29" s="314">
        <f t="shared" si="7"/>
        <v>0</v>
      </c>
      <c r="V29" s="314" t="str">
        <f>ifs($N29="",VLOOKUP($B29&amp;$E29,'VISIT DATA'!$A$2:$J244,7,FALSE), $N29="SWAB","OUTSA-RW",$N29="SWQU","OUTSA-SaQu", AND($L29="X",$M29="X",$N29="QUEST"),"OUT-UAQPre",$N29="QUEST","OUT-UAQ", $N29="Walk in","ColUATele")</f>
        <v>UA-Prelim</v>
      </c>
      <c r="W29" s="314" t="str">
        <f t="shared" si="8"/>
        <v>UA-Prelim : Preliminary UA Test</v>
      </c>
      <c r="X29" s="314" t="str">
        <f t="shared" si="9"/>
        <v>#N/A</v>
      </c>
      <c r="Y29" s="314" t="str">
        <f t="shared" si="10"/>
        <v>#N/A</v>
      </c>
      <c r="Z29" s="314" t="str">
        <f t="shared" si="11"/>
        <v> </v>
      </c>
      <c r="AA29" s="314"/>
    </row>
    <row r="30">
      <c r="A30" s="314" t="str">
        <f>IFS($B30=FALSE,"",$B30,VLOOKUP($B30,'PATIENT DATA (072721)'!A:C, 2, 0))</f>
        <v>ACOSTA, TERESA P</v>
      </c>
      <c r="B30" s="314">
        <v>12124.0</v>
      </c>
      <c r="C30" s="316" t="str">
        <f>IF(COUNTIF('PATIENT DATA (072721)'!A:A, B30)=0, "X","✓")</f>
        <v>✓</v>
      </c>
      <c r="D30" s="317">
        <f>IFS($B30=FALSE,"",$B30,VLOOKUP($B30,'PATIENT DATA (072721)'!A:C, 3, 0))</f>
        <v>13850</v>
      </c>
      <c r="E30" s="318">
        <v>44564.0</v>
      </c>
      <c r="F30" s="315">
        <f>ifs($B30="","",$B30, VLOOKUP($B30&amp;$E30, 'VISIT DATA'!A:O,3,0))</f>
        <v>0.5520833333</v>
      </c>
      <c r="G30" s="314"/>
      <c r="H30" s="314"/>
      <c r="I30" s="314" t="str">
        <f>VLOOKUP($B30&amp;$E30,'VISIT DATA'!A:J, 9, FALSE)</f>
        <v>TORRES</v>
      </c>
      <c r="J30" s="314" t="str">
        <f>VLOOKUP(B30&amp;E30,'VISIT DATA'!A:N,10,FALSE)</f>
        <v>HUMANA GOLD PLUS HMO</v>
      </c>
      <c r="K30" s="314"/>
      <c r="L30" s="314"/>
      <c r="M30" s="314"/>
      <c r="N30" s="316"/>
      <c r="O30" s="316" t="str">
        <f t="shared" si="1"/>
        <v>X</v>
      </c>
      <c r="P30" s="317" t="str">
        <f t="shared" si="2"/>
        <v>#VALUE!</v>
      </c>
      <c r="Q30" s="317" t="str">
        <f t="shared" si="3"/>
        <v>#VALUE!</v>
      </c>
      <c r="R30" s="319" t="str">
        <f t="shared" si="4"/>
        <v>#VALUE!</v>
      </c>
      <c r="S30" s="314" t="str">
        <f t="shared" si="5"/>
        <v>#VALUE!</v>
      </c>
      <c r="T30" s="314" t="str">
        <f t="shared" si="6"/>
        <v>#VALUE!</v>
      </c>
      <c r="U30" s="314">
        <f t="shared" si="7"/>
        <v>0</v>
      </c>
      <c r="V30" s="314" t="str">
        <f>ifs($N30="",VLOOKUP($B30&amp;$E30,'VISIT DATA'!$A$2:$J244,7,FALSE), $N30="SWAB","OUTSA-RW",$N30="SWQU","OUTSA-SaQu", AND($L30="X",$M30="X",$N30="QUEST"),"OUT-UAQPre",$N30="QUEST","OUT-UAQ", $N30="Walk in","ColUATele")</f>
        <v>UA-Prelim</v>
      </c>
      <c r="W30" s="314" t="str">
        <f t="shared" si="8"/>
        <v>UA-Prelim : Preliminary UA Test</v>
      </c>
      <c r="X30" s="314" t="str">
        <f t="shared" si="9"/>
        <v>#N/A</v>
      </c>
      <c r="Y30" s="314" t="str">
        <f t="shared" si="10"/>
        <v>#N/A</v>
      </c>
      <c r="Z30" s="314" t="str">
        <f t="shared" si="11"/>
        <v> </v>
      </c>
      <c r="AA30" s="316"/>
    </row>
    <row r="31">
      <c r="A31" s="314" t="str">
        <f>IFS($B31=FALSE,"",$B31,VLOOKUP($B31,'PATIENT DATA (072721)'!A:C, 2, 0))</f>
        <v>DURAN, MARIA D</v>
      </c>
      <c r="B31" s="314">
        <v>15307.0</v>
      </c>
      <c r="C31" s="316" t="str">
        <f>IF(COUNTIF('PATIENT DATA (072721)'!A:A, B31)=0, "X","✓")</f>
        <v>✓</v>
      </c>
      <c r="D31" s="317">
        <f>IFS($B31=FALSE,"",$B31,VLOOKUP($B31,'PATIENT DATA (072721)'!A:C, 3, 0))</f>
        <v>21690</v>
      </c>
      <c r="E31" s="318">
        <v>44564.0</v>
      </c>
      <c r="F31" s="315">
        <f>ifs($B31="","",$B31, VLOOKUP($B31&amp;$E31, 'VISIT DATA'!A:O,3,0))</f>
        <v>0.5520833333</v>
      </c>
      <c r="G31" s="314"/>
      <c r="H31" s="314"/>
      <c r="I31" s="314" t="str">
        <f>VLOOKUP($B31&amp;$E31,'VISIT DATA'!A:J, 9, FALSE)</f>
        <v>MARTINEZ</v>
      </c>
      <c r="J31" s="314" t="str">
        <f>VLOOKUP(B31&amp;E31,'VISIT DATA'!A:N,10,FALSE)</f>
        <v>WELLMED - UHC DUAL COMPLETE SNP</v>
      </c>
      <c r="K31" s="316"/>
      <c r="L31" s="314"/>
      <c r="M31" s="314"/>
      <c r="N31" s="316"/>
      <c r="O31" s="316" t="str">
        <f t="shared" si="1"/>
        <v>X</v>
      </c>
      <c r="P31" s="317" t="str">
        <f t="shared" si="2"/>
        <v>X</v>
      </c>
      <c r="Q31" s="317" t="str">
        <f t="shared" si="3"/>
        <v>#VALUE!</v>
      </c>
      <c r="R31" s="319" t="str">
        <f t="shared" si="4"/>
        <v>#VALUE!</v>
      </c>
      <c r="S31" s="314" t="str">
        <f t="shared" si="5"/>
        <v>#VALUE!</v>
      </c>
      <c r="T31" s="314" t="str">
        <f t="shared" si="6"/>
        <v>#VALUE!</v>
      </c>
      <c r="U31" s="314">
        <f t="shared" si="7"/>
        <v>1</v>
      </c>
      <c r="V31" s="314" t="str">
        <f>ifs($N31="",VLOOKUP($B31&amp;$E31,'VISIT DATA'!$A$2:$J244,7,FALSE), $N31="SWAB","OUTSA-RW",$N31="SWQU","OUTSA-SaQu", AND($L31="X",$M31="X",$N31="QUEST"),"OUT-UAQPre",$N31="QUEST","OUT-UAQ", $N31="Walk in","ColUATele")</f>
        <v>OUTUA-FURW</v>
      </c>
      <c r="W31" s="314" t="str">
        <f t="shared" si="8"/>
        <v>OUTUA-FURW : OUT UA FU Redwood</v>
      </c>
      <c r="X31" s="314" t="str">
        <f t="shared" si="9"/>
        <v>#N/A</v>
      </c>
      <c r="Y31" s="314" t="str">
        <f t="shared" si="10"/>
        <v>#N/A</v>
      </c>
      <c r="Z31" s="314" t="str">
        <f t="shared" si="11"/>
        <v> </v>
      </c>
      <c r="AA31" s="316"/>
    </row>
    <row r="32">
      <c r="A32" s="314" t="str">
        <f>IFS($B32=FALSE,"",$B32,VLOOKUP($B32,'PATIENT DATA (072721)'!A:C, 2, 0))</f>
        <v>SMITH, WILLIE</v>
      </c>
      <c r="B32" s="314">
        <v>10380.0</v>
      </c>
      <c r="C32" s="316" t="str">
        <f>IF(COUNTIF('PATIENT DATA (072721)'!A:A, B32)=0, "X","✓")</f>
        <v>✓</v>
      </c>
      <c r="D32" s="317">
        <f>IFS($B32=FALSE,"",$B32,VLOOKUP($B32,'PATIENT DATA (072721)'!A:C, 3, 0))</f>
        <v>17576</v>
      </c>
      <c r="E32" s="318">
        <v>44564.0</v>
      </c>
      <c r="F32" s="315">
        <f>ifs($B32="","",$B32, VLOOKUP($B32&amp;$E32, 'VISIT DATA'!A:O,3,0))</f>
        <v>0.5625</v>
      </c>
      <c r="G32" s="314"/>
      <c r="H32" s="314"/>
      <c r="I32" s="314" t="str">
        <f>VLOOKUP($B32&amp;$E32,'VISIT DATA'!A:J, 9, FALSE)</f>
        <v>TORRES</v>
      </c>
      <c r="J32" s="314" t="str">
        <f>VLOOKUP(B32&amp;E32,'VISIT DATA'!A:N,10,FALSE)</f>
        <v>WPS VA - COMMUNITY CARE</v>
      </c>
      <c r="K32" s="314"/>
      <c r="L32" s="314"/>
      <c r="M32" s="314"/>
      <c r="N32" s="316"/>
      <c r="O32" s="316" t="str">
        <f t="shared" si="1"/>
        <v>X</v>
      </c>
      <c r="P32" s="317" t="str">
        <f t="shared" si="2"/>
        <v>#VALUE!</v>
      </c>
      <c r="Q32" s="317" t="str">
        <f t="shared" si="3"/>
        <v>#VALUE!</v>
      </c>
      <c r="R32" s="319" t="str">
        <f t="shared" si="4"/>
        <v>#VALUE!</v>
      </c>
      <c r="S32" s="314" t="str">
        <f t="shared" si="5"/>
        <v>#VALUE!</v>
      </c>
      <c r="T32" s="314" t="str">
        <f t="shared" si="6"/>
        <v>#VALUE!</v>
      </c>
      <c r="U32" s="314">
        <f t="shared" si="7"/>
        <v>0</v>
      </c>
      <c r="V32" s="314" t="str">
        <f>ifs($N32="",VLOOKUP($B32&amp;$E32,'VISIT DATA'!$A$2:$J244,7,FALSE), $N32="SWAB","OUTSA-RW",$N32="SWQU","OUTSA-SaQu", AND($L32="X",$M32="X",$N32="QUEST"),"OUT-UAQPre",$N32="QUEST","OUT-UAQ", $N32="Walk in","ColUATele")</f>
        <v>UA</v>
      </c>
      <c r="W32" s="314" t="str">
        <f t="shared" si="8"/>
        <v>UA : Urine Analysis In House</v>
      </c>
      <c r="X32" s="314" t="str">
        <f t="shared" si="9"/>
        <v>#N/A</v>
      </c>
      <c r="Y32" s="314" t="str">
        <f t="shared" si="10"/>
        <v>#N/A</v>
      </c>
      <c r="Z32" s="314" t="str">
        <f t="shared" si="11"/>
        <v> </v>
      </c>
      <c r="AA32" s="316"/>
    </row>
    <row r="33">
      <c r="A33" s="314" t="str">
        <f>IFS($B33=FALSE,"",$B33,VLOOKUP($B33,'PATIENT DATA (072721)'!A:C, 2, 0))</f>
        <v>TREVIZO, ROBERTO</v>
      </c>
      <c r="B33" s="314">
        <v>13234.0</v>
      </c>
      <c r="C33" s="316" t="str">
        <f>IF(COUNTIF('PATIENT DATA (072721)'!A:A, B33)=0, "X","✓")</f>
        <v>✓</v>
      </c>
      <c r="D33" s="317">
        <f>IFS($B33=FALSE,"",$B33,VLOOKUP($B33,'PATIENT DATA (072721)'!A:C, 3, 0))</f>
        <v>17399</v>
      </c>
      <c r="E33" s="318">
        <v>44564.0</v>
      </c>
      <c r="F33" s="315">
        <f>ifs($B33="","",$B33, VLOOKUP($B33&amp;$E33, 'VISIT DATA'!A:O,3,0))</f>
        <v>0.5625</v>
      </c>
      <c r="G33" s="314"/>
      <c r="H33" s="314"/>
      <c r="I33" s="314" t="str">
        <f>VLOOKUP($B33&amp;$E33,'VISIT DATA'!A:J, 9, FALSE)</f>
        <v>MARTINEZ</v>
      </c>
      <c r="J33" s="314" t="str">
        <f>VLOOKUP(B33&amp;E33,'VISIT DATA'!A:N,10,FALSE)</f>
        <v>WELLCARE OF TEXAS HMO</v>
      </c>
      <c r="K33" s="316"/>
      <c r="L33" s="314"/>
      <c r="M33" s="314"/>
      <c r="N33" s="316"/>
      <c r="O33" s="316" t="str">
        <f t="shared" si="1"/>
        <v>X</v>
      </c>
      <c r="P33" s="317" t="str">
        <f t="shared" si="2"/>
        <v>#VALUE!</v>
      </c>
      <c r="Q33" s="317" t="str">
        <f t="shared" si="3"/>
        <v>#VALUE!</v>
      </c>
      <c r="R33" s="319" t="str">
        <f t="shared" si="4"/>
        <v>#VALUE!</v>
      </c>
      <c r="S33" s="314" t="str">
        <f t="shared" si="5"/>
        <v>#VALUE!</v>
      </c>
      <c r="T33" s="314" t="str">
        <f t="shared" si="6"/>
        <v>#VALUE!</v>
      </c>
      <c r="U33" s="314">
        <f t="shared" si="7"/>
        <v>0</v>
      </c>
      <c r="V33" s="314" t="str">
        <f>ifs($N33="",VLOOKUP($B33&amp;$E33,'VISIT DATA'!$A$2:$J244,7,FALSE), $N33="SWAB","OUTSA-RW",$N33="SWQU","OUTSA-SaQu", AND($L33="X",$M33="X",$N33="QUEST"),"OUT-UAQPre",$N33="QUEST","OUT-UAQ", $N33="Walk in","ColUATele")</f>
        <v>UA-Prelim</v>
      </c>
      <c r="W33" s="314" t="str">
        <f t="shared" si="8"/>
        <v>UA-Prelim : Preliminary UA Test</v>
      </c>
      <c r="X33" s="314" t="str">
        <f t="shared" si="9"/>
        <v>#N/A</v>
      </c>
      <c r="Y33" s="314" t="str">
        <f t="shared" si="10"/>
        <v>#N/A</v>
      </c>
      <c r="Z33" s="314" t="str">
        <f t="shared" si="11"/>
        <v> </v>
      </c>
      <c r="AA33" s="316"/>
    </row>
    <row r="34">
      <c r="A34" s="314" t="str">
        <f>IFS($B34=FALSE,"",$B34,VLOOKUP($B34,'PATIENT DATA (072721)'!A:C, 2, 0))</f>
        <v>SPURGEON, AMOS J</v>
      </c>
      <c r="B34" s="314">
        <v>13273.0</v>
      </c>
      <c r="C34" s="316" t="str">
        <f>IF(COUNTIF('PATIENT DATA (072721)'!A:A, B34)=0, "X","✓")</f>
        <v>✓</v>
      </c>
      <c r="D34" s="317">
        <f>IFS($B34=FALSE,"",$B34,VLOOKUP($B34,'PATIENT DATA (072721)'!A:C, 3, 0))</f>
        <v>30146</v>
      </c>
      <c r="E34" s="318">
        <v>44564.0</v>
      </c>
      <c r="F34" s="315">
        <f>ifs($B34="","",$B34, VLOOKUP($B34&amp;$E34, 'VISIT DATA'!A:O,3,0))</f>
        <v>0.5729166667</v>
      </c>
      <c r="G34" s="314"/>
      <c r="H34" s="314"/>
      <c r="I34" s="314" t="str">
        <f>VLOOKUP($B34&amp;$E34,'VISIT DATA'!A:J, 9, FALSE)</f>
        <v>MARTINEZ</v>
      </c>
      <c r="J34" s="314" t="str">
        <f>VLOOKUP(B34&amp;E34,'VISIT DATA'!A:N,10,FALSE)</f>
        <v>TRICARE PRIME</v>
      </c>
      <c r="K34" s="316"/>
      <c r="L34" s="314"/>
      <c r="M34" s="314"/>
      <c r="N34" s="316"/>
      <c r="O34" s="316" t="str">
        <f t="shared" si="1"/>
        <v>X</v>
      </c>
      <c r="P34" s="317" t="str">
        <f t="shared" si="2"/>
        <v>#VALUE!</v>
      </c>
      <c r="Q34" s="317" t="str">
        <f t="shared" si="3"/>
        <v>#VALUE!</v>
      </c>
      <c r="R34" s="319" t="str">
        <f t="shared" si="4"/>
        <v>#VALUE!</v>
      </c>
      <c r="S34" s="314" t="str">
        <f t="shared" si="5"/>
        <v>#VALUE!</v>
      </c>
      <c r="T34" s="314" t="str">
        <f t="shared" si="6"/>
        <v>#VALUE!</v>
      </c>
      <c r="U34" s="314">
        <f t="shared" si="7"/>
        <v>0</v>
      </c>
      <c r="V34" s="314" t="str">
        <f>ifs($N34="",VLOOKUP($B34&amp;$E34,'VISIT DATA'!$A$2:$J244,7,FALSE), $N34="SWAB","OUTSA-RW",$N34="SWQU","OUTSA-SaQu", AND($L34="X",$M34="X",$N34="QUEST"),"OUT-UAQPre",$N34="QUEST","OUT-UAQ", $N34="Walk in","ColUATele")</f>
        <v>UA-Prelim</v>
      </c>
      <c r="W34" s="314" t="str">
        <f t="shared" si="8"/>
        <v>UA-Prelim : Preliminary UA Test</v>
      </c>
      <c r="X34" s="314" t="str">
        <f t="shared" si="9"/>
        <v>#N/A</v>
      </c>
      <c r="Y34" s="314" t="str">
        <f t="shared" si="10"/>
        <v>#N/A</v>
      </c>
      <c r="Z34" s="314" t="str">
        <f t="shared" si="11"/>
        <v> </v>
      </c>
      <c r="AA34" s="316"/>
    </row>
    <row r="35">
      <c r="A35" s="314" t="str">
        <f>IFS($B35=FALSE,"",$B35,VLOOKUP($B35,'PATIENT DATA (072721)'!A:C, 2, 0))</f>
        <v>GONZALEZ, DANIEL</v>
      </c>
      <c r="B35" s="314">
        <v>10204.0</v>
      </c>
      <c r="C35" s="316" t="str">
        <f>IF(COUNTIF('PATIENT DATA (072721)'!A:A, B35)=0, "X","✓")</f>
        <v>✓</v>
      </c>
      <c r="D35" s="317">
        <f>IFS($B35=FALSE,"",$B35,VLOOKUP($B35,'PATIENT DATA (072721)'!A:C, 3, 0))</f>
        <v>30612</v>
      </c>
      <c r="E35" s="318">
        <v>44564.0</v>
      </c>
      <c r="F35" s="315">
        <f>ifs($B35="","",$B35, VLOOKUP($B35&amp;$E35, 'VISIT DATA'!A:O,3,0))</f>
        <v>0.5729166667</v>
      </c>
      <c r="G35" s="314"/>
      <c r="H35" s="314"/>
      <c r="I35" s="314" t="str">
        <f>VLOOKUP($B35&amp;$E35,'VISIT DATA'!A:J, 9, FALSE)</f>
        <v>TORRES</v>
      </c>
      <c r="J35" s="314" t="str">
        <f>VLOOKUP(B35&amp;E35,'VISIT DATA'!A:N,10,FALSE)</f>
        <v>AMERIGROUP</v>
      </c>
      <c r="K35" s="314"/>
      <c r="L35" s="314"/>
      <c r="M35" s="314"/>
      <c r="N35" s="314"/>
      <c r="O35" s="316" t="str">
        <f t="shared" si="1"/>
        <v>X</v>
      </c>
      <c r="P35" s="317" t="str">
        <f t="shared" si="2"/>
        <v>#VALUE!</v>
      </c>
      <c r="Q35" s="317" t="str">
        <f t="shared" si="3"/>
        <v>#VALUE!</v>
      </c>
      <c r="R35" s="319" t="str">
        <f t="shared" si="4"/>
        <v>#VALUE!</v>
      </c>
      <c r="S35" s="314" t="str">
        <f t="shared" si="5"/>
        <v>#VALUE!</v>
      </c>
      <c r="T35" s="314" t="str">
        <f t="shared" si="6"/>
        <v>#VALUE!</v>
      </c>
      <c r="U35" s="314">
        <f t="shared" si="7"/>
        <v>0</v>
      </c>
      <c r="V35" s="314" t="str">
        <f>ifs($N35="",VLOOKUP($B35&amp;$E35,'VISIT DATA'!$A$2:$J244,7,FALSE), $N35="SWAB","OUTSA-RW",$N35="SWQU","OUTSA-SaQu", AND($L35="X",$M35="X",$N35="QUEST"),"OUT-UAQPre",$N35="QUEST","OUT-UAQ", $N35="Walk in","ColUATele")</f>
        <v>UA</v>
      </c>
      <c r="W35" s="314" t="str">
        <f t="shared" si="8"/>
        <v>UA : Urine Analysis In House</v>
      </c>
      <c r="X35" s="314" t="str">
        <f t="shared" si="9"/>
        <v>#N/A</v>
      </c>
      <c r="Y35" s="314" t="str">
        <f t="shared" si="10"/>
        <v>#N/A</v>
      </c>
      <c r="Z35" s="314" t="str">
        <f t="shared" si="11"/>
        <v> </v>
      </c>
      <c r="AA35" s="316"/>
    </row>
    <row r="36">
      <c r="A36" s="314" t="str">
        <f>IFS($B36=FALSE,"",$B36,VLOOKUP($B36,'PATIENT DATA (072721)'!A:C, 2, 0))</f>
        <v>BRYAN, JOYCE E</v>
      </c>
      <c r="B36" s="314">
        <v>17730.0</v>
      </c>
      <c r="C36" s="316" t="str">
        <f>IF(COUNTIF('PATIENT DATA (072721)'!A:A, B36)=0, "X","✓")</f>
        <v>✓</v>
      </c>
      <c r="D36" s="317">
        <f>IFS($B36=FALSE,"",$B36,VLOOKUP($B36,'PATIENT DATA (072721)'!A:C, 3, 0))</f>
        <v>20478</v>
      </c>
      <c r="E36" s="318">
        <v>44564.0</v>
      </c>
      <c r="F36" s="315">
        <f>ifs($B36="","",$B36, VLOOKUP($B36&amp;$E36, 'VISIT DATA'!A:O,3,0))</f>
        <v>0.3958333333</v>
      </c>
      <c r="G36" s="314"/>
      <c r="H36" s="314"/>
      <c r="I36" s="314" t="str">
        <f>VLOOKUP($B36&amp;$E36,'VISIT DATA'!A:J, 9, FALSE)</f>
        <v>LOPEZ</v>
      </c>
      <c r="J36" s="314" t="str">
        <f>VLOOKUP(B36&amp;E36,'VISIT DATA'!A:N,10,FALSE)</f>
        <v>UNITED HEALTH CARE</v>
      </c>
      <c r="K36" s="316"/>
      <c r="L36" s="314"/>
      <c r="M36" s="314"/>
      <c r="N36" s="316"/>
      <c r="O36" s="316" t="str">
        <f t="shared" si="1"/>
        <v>X</v>
      </c>
      <c r="P36" s="317" t="str">
        <f t="shared" si="2"/>
        <v>#VALUE!</v>
      </c>
      <c r="Q36" s="317" t="str">
        <f t="shared" si="3"/>
        <v>#VALUE!</v>
      </c>
      <c r="R36" s="319" t="str">
        <f t="shared" si="4"/>
        <v>#VALUE!</v>
      </c>
      <c r="S36" s="314" t="str">
        <f t="shared" si="5"/>
        <v>#VALUE!</v>
      </c>
      <c r="T36" s="314" t="str">
        <f t="shared" si="6"/>
        <v>#VALUE!</v>
      </c>
      <c r="U36" s="314">
        <f t="shared" si="7"/>
        <v>0</v>
      </c>
      <c r="V36" s="314" t="str">
        <f>ifs($N36="",VLOOKUP($B36&amp;$E36,'VISIT DATA'!$A$2:$J244,7,FALSE), $N36="SWAB","OUTSA-RW",$N36="SWQU","OUTSA-SaQu", AND($L36="X",$M36="X",$N36="QUEST"),"OUT-UAQPre",$N36="QUEST","OUT-UAQ", $N36="Walk in","ColUATele")</f>
        <v>UA-NWPT</v>
      </c>
      <c r="W36" s="314" t="str">
        <f t="shared" si="8"/>
        <v>UA-NWPT : UA New Patient</v>
      </c>
      <c r="X36" s="314" t="str">
        <f t="shared" si="9"/>
        <v>#N/A</v>
      </c>
      <c r="Y36" s="314" t="str">
        <f t="shared" si="10"/>
        <v>#N/A</v>
      </c>
      <c r="Z36" s="314" t="str">
        <f t="shared" si="11"/>
        <v> </v>
      </c>
      <c r="AA36" s="316"/>
    </row>
    <row r="37">
      <c r="A37" s="314" t="str">
        <f>IFS($B37=FALSE,"",$B37,VLOOKUP($B37,'PATIENT DATA (072721)'!A:C, 2, 0))</f>
        <v>BURTON, MARY</v>
      </c>
      <c r="B37" s="314">
        <v>17575.0</v>
      </c>
      <c r="C37" s="316" t="str">
        <f>IF(COUNTIF('PATIENT DATA (072721)'!A:A, B37)=0, "X","✓")</f>
        <v>✓</v>
      </c>
      <c r="D37" s="317">
        <f>IFS($B37=FALSE,"",$B37,VLOOKUP($B37,'PATIENT DATA (072721)'!A:C, 3, 0))</f>
        <v>30266</v>
      </c>
      <c r="E37" s="318">
        <v>44564.0</v>
      </c>
      <c r="F37" s="315">
        <f>ifs($B37="","",$B37, VLOOKUP($B37&amp;$E37, 'VISIT DATA'!A:O,3,0))</f>
        <v>0.5625</v>
      </c>
      <c r="G37" s="314"/>
      <c r="H37" s="314"/>
      <c r="I37" s="314" t="str">
        <f>VLOOKUP($B37&amp;$E37,'VISIT DATA'!A:J, 9, FALSE)</f>
        <v>TORRES</v>
      </c>
      <c r="J37" s="314" t="str">
        <f>VLOOKUP(B37&amp;E37,'VISIT DATA'!A:N,10,FALSE)</f>
        <v>TRICARE PRIME</v>
      </c>
      <c r="K37" s="316"/>
      <c r="L37" s="314"/>
      <c r="M37" s="314"/>
      <c r="N37" s="316"/>
      <c r="O37" s="316" t="str">
        <f t="shared" si="1"/>
        <v>X</v>
      </c>
      <c r="P37" s="317" t="str">
        <f t="shared" si="2"/>
        <v>#VALUE!</v>
      </c>
      <c r="Q37" s="317" t="str">
        <f t="shared" si="3"/>
        <v>#VALUE!</v>
      </c>
      <c r="R37" s="319" t="str">
        <f t="shared" si="4"/>
        <v>#VALUE!</v>
      </c>
      <c r="S37" s="314" t="str">
        <f t="shared" si="5"/>
        <v>#VALUE!</v>
      </c>
      <c r="T37" s="314" t="str">
        <f t="shared" si="6"/>
        <v>#VALUE!</v>
      </c>
      <c r="U37" s="314">
        <f t="shared" si="7"/>
        <v>0</v>
      </c>
      <c r="V37" s="314" t="str">
        <f>ifs($N37="",VLOOKUP($B37&amp;$E37,'VISIT DATA'!$A$2:$J244,7,FALSE), $N37="SWAB","OUTSA-RW",$N37="SWQU","OUTSA-SaQu", AND($L37="X",$M37="X",$N37="QUEST"),"OUT-UAQPre",$N37="QUEST","OUT-UAQ", $N37="Walk in","ColUATele")</f>
        <v>UA-Prelim</v>
      </c>
      <c r="W37" s="314" t="str">
        <f t="shared" si="8"/>
        <v>UA-Prelim : Preliminary UA Test</v>
      </c>
      <c r="X37" s="314" t="str">
        <f t="shared" si="9"/>
        <v>#N/A</v>
      </c>
      <c r="Y37" s="314" t="str">
        <f t="shared" si="10"/>
        <v>#N/A</v>
      </c>
      <c r="Z37" s="314" t="str">
        <f t="shared" si="11"/>
        <v> </v>
      </c>
      <c r="AA37" s="316"/>
    </row>
    <row r="38">
      <c r="A38" s="314" t="str">
        <f>IFS($B38=FALSE,"",$B38,VLOOKUP($B38,'PATIENT DATA (072721)'!A:C, 2, 0))</f>
        <v>SIAS, RODOLOFO R</v>
      </c>
      <c r="B38" s="314">
        <v>17744.0</v>
      </c>
      <c r="C38" s="316" t="str">
        <f>IF(COUNTIF('PATIENT DATA (072721)'!A:A, B38)=0, "X","✓")</f>
        <v>✓</v>
      </c>
      <c r="D38" s="317">
        <f>IFS($B38=FALSE,"",$B38,VLOOKUP($B38,'PATIENT DATA (072721)'!A:C, 3, 0))</f>
        <v>25802</v>
      </c>
      <c r="E38" s="318">
        <v>44564.0</v>
      </c>
      <c r="F38" s="315">
        <f>ifs($B38="","",$B38, VLOOKUP($B38&amp;$E38, 'VISIT DATA'!A:O,3,0))</f>
        <v>0.3958333333</v>
      </c>
      <c r="G38" s="314"/>
      <c r="H38" s="314"/>
      <c r="I38" s="314" t="str">
        <f>VLOOKUP($B38&amp;$E38,'VISIT DATA'!A:J, 9, FALSE)</f>
        <v>LOPEZ</v>
      </c>
      <c r="J38" s="314" t="str">
        <f>VLOOKUP(B38&amp;E38,'VISIT DATA'!A:N,10,FALSE)</f>
        <v>MOLINA MEDICAID TEXAS</v>
      </c>
      <c r="K38" s="316"/>
      <c r="L38" s="314"/>
      <c r="M38" s="314"/>
      <c r="N38" s="316"/>
      <c r="O38" s="316" t="str">
        <f t="shared" si="1"/>
        <v>X</v>
      </c>
      <c r="P38" s="317" t="str">
        <f t="shared" si="2"/>
        <v>#VALUE!</v>
      </c>
      <c r="Q38" s="317" t="str">
        <f t="shared" si="3"/>
        <v>X</v>
      </c>
      <c r="R38" s="319" t="str">
        <f t="shared" si="4"/>
        <v>#VALUE!</v>
      </c>
      <c r="S38" s="314" t="str">
        <f t="shared" si="5"/>
        <v>#VALUE!</v>
      </c>
      <c r="T38" s="314" t="str">
        <f t="shared" si="6"/>
        <v>#VALUE!</v>
      </c>
      <c r="U38" s="314">
        <f t="shared" si="7"/>
        <v>1</v>
      </c>
      <c r="V38" s="314" t="str">
        <f>ifs($N38="",VLOOKUP($B38&amp;$E38,'VISIT DATA'!$A$2:$J244,7,FALSE), $N38="SWAB","OUTSA-RW",$N38="SWQU","OUTSA-SaQu", AND($L38="X",$M38="X",$N38="QUEST"),"OUT-UAQPre",$N38="QUEST","OUT-UAQ", $N38="Walk in","ColUATele")</f>
        <v>OUTUA-NWRW</v>
      </c>
      <c r="W38" s="314" t="str">
        <f t="shared" si="8"/>
        <v>OUTUA-NWRW : OUT UA New Redwood</v>
      </c>
      <c r="X38" s="314" t="str">
        <f t="shared" si="9"/>
        <v>#N/A</v>
      </c>
      <c r="Y38" s="314" t="str">
        <f t="shared" si="10"/>
        <v>#N/A</v>
      </c>
      <c r="Z38" s="314" t="str">
        <f t="shared" si="11"/>
        <v> </v>
      </c>
      <c r="AA38" s="316"/>
    </row>
    <row r="39">
      <c r="A39" s="314" t="str">
        <f>IFS($B39=FALSE,"",$B39,VLOOKUP($B39,'PATIENT DATA (072721)'!A:C, 2, 0))</f>
        <v>MAYO, MARIA ELENA E</v>
      </c>
      <c r="B39" s="314">
        <v>9199.0</v>
      </c>
      <c r="C39" s="316" t="str">
        <f>IF(COUNTIF('PATIENT DATA (072721)'!A:A, B39)=0, "X","✓")</f>
        <v>✓</v>
      </c>
      <c r="D39" s="317">
        <f>IFS($B39=FALSE,"",$B39,VLOOKUP($B39,'PATIENT DATA (072721)'!A:C, 3, 0))</f>
        <v>17981</v>
      </c>
      <c r="E39" s="318">
        <v>44564.0</v>
      </c>
      <c r="F39" s="315">
        <f>ifs($B39="","",$B39, VLOOKUP($B39&amp;$E39, 'VISIT DATA'!A:O,3,0))</f>
        <v>0.40625</v>
      </c>
      <c r="G39" s="314"/>
      <c r="H39" s="314"/>
      <c r="I39" s="314" t="str">
        <f>VLOOKUP($B39&amp;$E39,'VISIT DATA'!A:J, 9, FALSE)</f>
        <v>THOMAS</v>
      </c>
      <c r="J39" s="314" t="str">
        <f>VLOOKUP(B39&amp;E39,'VISIT DATA'!A:N,10,FALSE)</f>
        <v>MEDICARE TEXAS</v>
      </c>
      <c r="K39" s="316"/>
      <c r="L39" s="314"/>
      <c r="M39" s="314"/>
      <c r="N39" s="316"/>
      <c r="O39" s="316" t="str">
        <f t="shared" si="1"/>
        <v>X</v>
      </c>
      <c r="P39" s="317" t="str">
        <f t="shared" si="2"/>
        <v>#VALUE!</v>
      </c>
      <c r="Q39" s="317" t="str">
        <f t="shared" si="3"/>
        <v>#VALUE!</v>
      </c>
      <c r="R39" s="319" t="str">
        <f t="shared" si="4"/>
        <v>#VALUE!</v>
      </c>
      <c r="S39" s="314" t="str">
        <f t="shared" si="5"/>
        <v>#VALUE!</v>
      </c>
      <c r="T39" s="314" t="str">
        <f t="shared" si="6"/>
        <v>#VALUE!</v>
      </c>
      <c r="U39" s="314">
        <f t="shared" si="7"/>
        <v>0</v>
      </c>
      <c r="V39" s="314" t="str">
        <f>ifs($N39="",VLOOKUP($B39&amp;$E39,'VISIT DATA'!$A$2:$J244,7,FALSE), $N39="SWAB","OUTSA-RW",$N39="SWQU","OUTSA-SaQu", AND($L39="X",$M39="X",$N39="QUEST"),"OUT-UAQPre",$N39="QUEST","OUT-UAQ", $N39="Walk in","ColUATele")</f>
        <v>UA</v>
      </c>
      <c r="W39" s="314" t="str">
        <f t="shared" si="8"/>
        <v>UA : Urine Analysis In House</v>
      </c>
      <c r="X39" s="314" t="str">
        <f t="shared" si="9"/>
        <v>#N/A</v>
      </c>
      <c r="Y39" s="314" t="str">
        <f t="shared" si="10"/>
        <v>#N/A</v>
      </c>
      <c r="Z39" s="314" t="str">
        <f t="shared" si="11"/>
        <v> </v>
      </c>
      <c r="AA39" s="316"/>
    </row>
    <row r="40">
      <c r="A40" s="314" t="str">
        <f>IFS($B40=FALSE,"",$B40,VLOOKUP($B40,'PATIENT DATA (072721)'!A:C, 2, 0))</f>
        <v>HALFHILL, MATTHEW</v>
      </c>
      <c r="B40" s="314">
        <v>13863.0</v>
      </c>
      <c r="C40" s="316" t="str">
        <f>IF(COUNTIF('PATIENT DATA (072721)'!A:A, B40)=0, "X","✓")</f>
        <v>✓</v>
      </c>
      <c r="D40" s="317">
        <f>IFS($B40=FALSE,"",$B40,VLOOKUP($B40,'PATIENT DATA (072721)'!A:C, 3, 0))</f>
        <v>29842</v>
      </c>
      <c r="E40" s="318">
        <v>44564.0</v>
      </c>
      <c r="F40" s="315">
        <f>ifs($B40="","",$B40, VLOOKUP($B40&amp;$E40, 'VISIT DATA'!A:O,3,0))</f>
        <v>0.4166666667</v>
      </c>
      <c r="G40" s="314"/>
      <c r="H40" s="314"/>
      <c r="I40" s="314" t="str">
        <f>VLOOKUP($B40&amp;$E40,'VISIT DATA'!A:J, 9, FALSE)</f>
        <v>LOPEZ</v>
      </c>
      <c r="J40" s="314" t="str">
        <f>VLOOKUP(B40&amp;E40,'VISIT DATA'!A:N,10,FALSE)</f>
        <v>WC - DEPARTMENT OF LABOR</v>
      </c>
      <c r="K40" s="314"/>
      <c r="L40" s="314"/>
      <c r="M40" s="314"/>
      <c r="N40" s="316"/>
      <c r="O40" s="316" t="str">
        <f t="shared" si="1"/>
        <v>X</v>
      </c>
      <c r="P40" s="317" t="str">
        <f t="shared" si="2"/>
        <v>#VALUE!</v>
      </c>
      <c r="Q40" s="317" t="str">
        <f t="shared" si="3"/>
        <v>#VALUE!</v>
      </c>
      <c r="R40" s="319" t="str">
        <f t="shared" si="4"/>
        <v>#VALUE!</v>
      </c>
      <c r="S40" s="314" t="str">
        <f t="shared" si="5"/>
        <v>#VALUE!</v>
      </c>
      <c r="T40" s="314" t="str">
        <f t="shared" si="6"/>
        <v>#VALUE!</v>
      </c>
      <c r="U40" s="314">
        <f t="shared" si="7"/>
        <v>0</v>
      </c>
      <c r="V40" s="314" t="str">
        <f>ifs($N40="",VLOOKUP($B40&amp;$E40,'VISIT DATA'!$A$2:$J244,7,FALSE), $N40="SWAB","OUTSA-RW",$N40="SWQU","OUTSA-SaQu", AND($L40="X",$M40="X",$N40="QUEST"),"OUT-UAQPre",$N40="QUEST","OUT-UAQ", $N40="Walk in","ColUATele")</f>
        <v>UA-Prelim</v>
      </c>
      <c r="W40" s="314" t="str">
        <f t="shared" si="8"/>
        <v>UA-Prelim : Preliminary UA Test</v>
      </c>
      <c r="X40" s="314" t="str">
        <f t="shared" si="9"/>
        <v>#N/A</v>
      </c>
      <c r="Y40" s="314" t="str">
        <f t="shared" si="10"/>
        <v>#N/A</v>
      </c>
      <c r="Z40" s="314" t="str">
        <f t="shared" si="11"/>
        <v> </v>
      </c>
      <c r="AA40" s="316"/>
    </row>
    <row r="41">
      <c r="A41" s="314" t="str">
        <f>IFS($B41=FALSE,"",$B41,VLOOKUP($B41,'PATIENT DATA (072721)'!A:C, 2, 0))</f>
        <v>TORRES, JESUS J</v>
      </c>
      <c r="B41" s="314">
        <v>17379.0</v>
      </c>
      <c r="C41" s="316" t="str">
        <f>IF(COUNTIF('PATIENT DATA (072721)'!A:A, B41)=0, "X","✓")</f>
        <v>✓</v>
      </c>
      <c r="D41" s="317">
        <f>IFS($B41=FALSE,"",$B41,VLOOKUP($B41,'PATIENT DATA (072721)'!A:C, 3, 0))</f>
        <v>25124</v>
      </c>
      <c r="E41" s="318">
        <v>44564.0</v>
      </c>
      <c r="F41" s="315">
        <f>ifs($B41="","",$B41, VLOOKUP($B41&amp;$E41, 'VISIT DATA'!A:O,3,0))</f>
        <v>0.4166666667</v>
      </c>
      <c r="G41" s="314"/>
      <c r="H41" s="314"/>
      <c r="I41" s="314" t="str">
        <f>VLOOKUP($B41&amp;$E41,'VISIT DATA'!A:J, 9, FALSE)</f>
        <v>LOPEZ</v>
      </c>
      <c r="J41" s="314" t="str">
        <f>VLOOKUP(B41&amp;E41,'VISIT DATA'!A:N,10,FALSE)</f>
        <v>WPS VA - COMMUNITY CARE</v>
      </c>
      <c r="K41" s="316"/>
      <c r="L41" s="314"/>
      <c r="M41" s="314"/>
      <c r="N41" s="316"/>
      <c r="O41" s="316" t="str">
        <f t="shared" si="1"/>
        <v>X</v>
      </c>
      <c r="P41" s="317" t="str">
        <f t="shared" si="2"/>
        <v>#VALUE!</v>
      </c>
      <c r="Q41" s="317" t="str">
        <f t="shared" si="3"/>
        <v>#VALUE!</v>
      </c>
      <c r="R41" s="319" t="str">
        <f t="shared" si="4"/>
        <v>#VALUE!</v>
      </c>
      <c r="S41" s="314" t="str">
        <f t="shared" si="5"/>
        <v>#VALUE!</v>
      </c>
      <c r="T41" s="314" t="str">
        <f t="shared" si="6"/>
        <v>#VALUE!</v>
      </c>
      <c r="U41" s="314">
        <f t="shared" si="7"/>
        <v>0</v>
      </c>
      <c r="V41" s="314" t="str">
        <f>ifs($N41="",VLOOKUP($B41&amp;$E41,'VISIT DATA'!$A$2:$J244,7,FALSE), $N41="SWAB","OUTSA-RW",$N41="SWQU","OUTSA-SaQu", AND($L41="X",$M41="X",$N41="QUEST"),"OUT-UAQPre",$N41="QUEST","OUT-UAQ", $N41="Walk in","ColUATele")</f>
        <v>UA-NWPT</v>
      </c>
      <c r="W41" s="314" t="str">
        <f t="shared" si="8"/>
        <v>UA-NWPT : UA New Patient</v>
      </c>
      <c r="X41" s="314" t="str">
        <f t="shared" si="9"/>
        <v>#N/A</v>
      </c>
      <c r="Y41" s="314" t="str">
        <f t="shared" si="10"/>
        <v>#N/A</v>
      </c>
      <c r="Z41" s="314" t="str">
        <f t="shared" si="11"/>
        <v> </v>
      </c>
      <c r="AA41" s="316"/>
    </row>
    <row r="42">
      <c r="A42" s="314" t="str">
        <f>IFS($B42=FALSE,"",$B42,VLOOKUP($B42,'PATIENT DATA (072721)'!A:C, 2, 0))</f>
        <v>PACHECO, CARMEN</v>
      </c>
      <c r="B42" s="314">
        <v>14035.0</v>
      </c>
      <c r="C42" s="316" t="str">
        <f>IF(COUNTIF('PATIENT DATA (072721)'!A:A, B42)=0, "X","✓")</f>
        <v>✓</v>
      </c>
      <c r="D42" s="317">
        <f>IFS($B42=FALSE,"",$B42,VLOOKUP($B42,'PATIENT DATA (072721)'!A:C, 3, 0))</f>
        <v>22362</v>
      </c>
      <c r="E42" s="318">
        <v>44564.0</v>
      </c>
      <c r="F42" s="315">
        <f>ifs($B42="","",$B42, VLOOKUP($B42&amp;$E42, 'VISIT DATA'!A:O,3,0))</f>
        <v>0.4270833333</v>
      </c>
      <c r="G42" s="314"/>
      <c r="H42" s="314"/>
      <c r="I42" s="314" t="str">
        <f>VLOOKUP($B42&amp;$E42,'VISIT DATA'!A:J, 9, FALSE)</f>
        <v>LOPEZ</v>
      </c>
      <c r="J42" s="314" t="str">
        <f>VLOOKUP(B42&amp;E42,'VISIT DATA'!A:N,10,FALSE)</f>
        <v>WELLMED - AARP MEDICARE COMPLETE</v>
      </c>
      <c r="K42" s="316"/>
      <c r="L42" s="314"/>
      <c r="M42" s="314"/>
      <c r="N42" s="316"/>
      <c r="O42" s="316" t="str">
        <f t="shared" si="1"/>
        <v>X</v>
      </c>
      <c r="P42" s="317" t="str">
        <f t="shared" si="2"/>
        <v>X</v>
      </c>
      <c r="Q42" s="317" t="str">
        <f t="shared" si="3"/>
        <v>#VALUE!</v>
      </c>
      <c r="R42" s="319" t="str">
        <f t="shared" si="4"/>
        <v>#VALUE!</v>
      </c>
      <c r="S42" s="314" t="str">
        <f t="shared" si="5"/>
        <v>#VALUE!</v>
      </c>
      <c r="T42" s="314" t="str">
        <f t="shared" si="6"/>
        <v>#VALUE!</v>
      </c>
      <c r="U42" s="314">
        <f t="shared" si="7"/>
        <v>1</v>
      </c>
      <c r="V42" s="314" t="str">
        <f>ifs($N42="",VLOOKUP($B42&amp;$E42,'VISIT DATA'!$A$2:$J244,7,FALSE), $N42="SWAB","OUTSA-RW",$N42="SWQU","OUTSA-SaQu", AND($L42="X",$M42="X",$N42="QUEST"),"OUT-UAQPre",$N42="QUEST","OUT-UAQ", $N42="Walk in","ColUATele")</f>
        <v>OUTUA-FURW</v>
      </c>
      <c r="W42" s="314" t="str">
        <f t="shared" si="8"/>
        <v>OUTUA-FURW : OUT UA FU Redwood</v>
      </c>
      <c r="X42" s="314" t="str">
        <f t="shared" si="9"/>
        <v>#N/A</v>
      </c>
      <c r="Y42" s="314" t="str">
        <f t="shared" si="10"/>
        <v>#N/A</v>
      </c>
      <c r="Z42" s="314" t="str">
        <f t="shared" si="11"/>
        <v> </v>
      </c>
      <c r="AA42" s="316"/>
    </row>
    <row r="43">
      <c r="A43" s="314" t="str">
        <f>IFS($B43=FALSE,"",$B43,VLOOKUP($B43,'PATIENT DATA (072721)'!A:C, 2, 0))</f>
        <v>DEANDA, LINDA</v>
      </c>
      <c r="B43" s="314">
        <v>17658.0</v>
      </c>
      <c r="C43" s="316" t="str">
        <f>IF(COUNTIF('PATIENT DATA (072721)'!A:A, B43)=0, "X","✓")</f>
        <v>✓</v>
      </c>
      <c r="D43" s="317">
        <f>IFS($B43=FALSE,"",$B43,VLOOKUP($B43,'PATIENT DATA (072721)'!A:C, 3, 0))</f>
        <v>22123</v>
      </c>
      <c r="E43" s="318">
        <v>44564.0</v>
      </c>
      <c r="F43" s="315">
        <f>ifs($B43="","",$B43, VLOOKUP($B43&amp;$E43, 'VISIT DATA'!A:O,3,0))</f>
        <v>0.46875</v>
      </c>
      <c r="G43" s="314"/>
      <c r="H43" s="314"/>
      <c r="I43" s="314" t="str">
        <f>VLOOKUP($B43&amp;$E43,'VISIT DATA'!A:J, 9, FALSE)</f>
        <v>LOPEZ</v>
      </c>
      <c r="J43" s="314" t="str">
        <f>VLOOKUP(B43&amp;E43,'VISIT DATA'!A:N,10,FALSE)</f>
        <v>BCBS CENTENNIAL</v>
      </c>
      <c r="K43" s="316"/>
      <c r="L43" s="314"/>
      <c r="M43" s="314"/>
      <c r="N43" s="316"/>
      <c r="O43" s="316" t="str">
        <f t="shared" si="1"/>
        <v>X</v>
      </c>
      <c r="P43" s="317" t="str">
        <f t="shared" si="2"/>
        <v>#VALUE!</v>
      </c>
      <c r="Q43" s="317" t="str">
        <f t="shared" si="3"/>
        <v>#VALUE!</v>
      </c>
      <c r="R43" s="319" t="str">
        <f t="shared" si="4"/>
        <v>#VALUE!</v>
      </c>
      <c r="S43" s="314" t="str">
        <f t="shared" si="5"/>
        <v>#VALUE!</v>
      </c>
      <c r="T43" s="314" t="str">
        <f t="shared" si="6"/>
        <v>#VALUE!</v>
      </c>
      <c r="U43" s="314">
        <f t="shared" si="7"/>
        <v>0</v>
      </c>
      <c r="V43" s="314" t="str">
        <f>ifs($N43="",VLOOKUP($B43&amp;$E43,'VISIT DATA'!$A$2:$J244,7,FALSE), $N43="SWAB","OUTSA-RW",$N43="SWQU","OUTSA-SaQu", AND($L43="X",$M43="X",$N43="QUEST"),"OUT-UAQPre",$N43="QUEST","OUT-UAQ", $N43="Walk in","ColUATele")</f>
        <v>UA-NWPT</v>
      </c>
      <c r="W43" s="314" t="str">
        <f t="shared" si="8"/>
        <v>UA-NWPT : UA New Patient</v>
      </c>
      <c r="X43" s="314" t="str">
        <f t="shared" si="9"/>
        <v>#N/A</v>
      </c>
      <c r="Y43" s="314" t="str">
        <f t="shared" si="10"/>
        <v>#N/A</v>
      </c>
      <c r="Z43" s="314" t="str">
        <f t="shared" si="11"/>
        <v> </v>
      </c>
      <c r="AA43" s="316"/>
    </row>
    <row r="44">
      <c r="A44" s="314" t="str">
        <f>IFS($B44=FALSE,"",$B44,VLOOKUP($B44,'PATIENT DATA (072721)'!A:C, 2, 0))</f>
        <v>LUNA, ARMANDO</v>
      </c>
      <c r="B44" s="314">
        <v>12990.0</v>
      </c>
      <c r="C44" s="316" t="str">
        <f>IF(COUNTIF('PATIENT DATA (072721)'!A:A, B44)=0, "X","✓")</f>
        <v>✓</v>
      </c>
      <c r="D44" s="317">
        <f>IFS($B44=FALSE,"",$B44,VLOOKUP($B44,'PATIENT DATA (072721)'!A:C, 3, 0))</f>
        <v>23448</v>
      </c>
      <c r="E44" s="318">
        <v>44564.0</v>
      </c>
      <c r="F44" s="315">
        <f>ifs($B44="","",$B44, VLOOKUP($B44&amp;$E44, 'VISIT DATA'!A:O,3,0))</f>
        <v>0.4791666667</v>
      </c>
      <c r="G44" s="314"/>
      <c r="H44" s="314"/>
      <c r="I44" s="314" t="str">
        <f>VLOOKUP($B44&amp;$E44,'VISIT DATA'!A:J, 9, FALSE)</f>
        <v>LOPEZ</v>
      </c>
      <c r="J44" s="314" t="str">
        <f>VLOOKUP(B44&amp;E44,'VISIT DATA'!A:N,10,FALSE)</f>
        <v>WPS VA - COMMUNITY CARE</v>
      </c>
      <c r="K44" s="314"/>
      <c r="L44" s="314"/>
      <c r="M44" s="314"/>
      <c r="N44" s="316"/>
      <c r="O44" s="316" t="str">
        <f t="shared" si="1"/>
        <v>X</v>
      </c>
      <c r="P44" s="317" t="str">
        <f t="shared" si="2"/>
        <v>#VALUE!</v>
      </c>
      <c r="Q44" s="317" t="str">
        <f t="shared" si="3"/>
        <v>#VALUE!</v>
      </c>
      <c r="R44" s="319" t="str">
        <f t="shared" si="4"/>
        <v>#VALUE!</v>
      </c>
      <c r="S44" s="314" t="str">
        <f t="shared" si="5"/>
        <v>#VALUE!</v>
      </c>
      <c r="T44" s="314" t="str">
        <f t="shared" si="6"/>
        <v>#VALUE!</v>
      </c>
      <c r="U44" s="314">
        <f t="shared" si="7"/>
        <v>0</v>
      </c>
      <c r="V44" s="314" t="str">
        <f>ifs($N44="",VLOOKUP($B44&amp;$E44,'VISIT DATA'!$A$2:$J244,7,FALSE), $N44="SWAB","OUTSA-RW",$N44="SWQU","OUTSA-SaQu", AND($L44="X",$M44="X",$N44="QUEST"),"OUT-UAQPre",$N44="QUEST","OUT-UAQ", $N44="Walk in","ColUATele")</f>
        <v>UA</v>
      </c>
      <c r="W44" s="314" t="str">
        <f t="shared" si="8"/>
        <v>UA : Urine Analysis In House</v>
      </c>
      <c r="X44" s="314" t="str">
        <f t="shared" si="9"/>
        <v>#N/A</v>
      </c>
      <c r="Y44" s="314" t="str">
        <f t="shared" si="10"/>
        <v>#N/A</v>
      </c>
      <c r="Z44" s="314" t="str">
        <f t="shared" si="11"/>
        <v> </v>
      </c>
      <c r="AA44" s="316"/>
    </row>
    <row r="45">
      <c r="A45" s="314" t="str">
        <f>IFS($B45=FALSE,"",$B45,VLOOKUP($B45,'PATIENT DATA (072721)'!A:C, 2, 0))</f>
        <v>HARRISON, JOAN R</v>
      </c>
      <c r="B45" s="314">
        <v>16675.0</v>
      </c>
      <c r="C45" s="316" t="str">
        <f>IF(COUNTIF('PATIENT DATA (072721)'!A:A, B45)=0, "X","✓")</f>
        <v>✓</v>
      </c>
      <c r="D45" s="317">
        <f>IFS($B45=FALSE,"",$B45,VLOOKUP($B45,'PATIENT DATA (072721)'!A:C, 3, 0))</f>
        <v>11940</v>
      </c>
      <c r="E45" s="318">
        <v>44564.0</v>
      </c>
      <c r="F45" s="315">
        <f>ifs($B45="","",$B45, VLOOKUP($B45&amp;$E45, 'VISIT DATA'!A:O,3,0))</f>
        <v>0.5833333333</v>
      </c>
      <c r="G45" s="314"/>
      <c r="H45" s="314"/>
      <c r="I45" s="314" t="str">
        <f>VLOOKUP($B45&amp;$E45,'VISIT DATA'!A:J, 9, FALSE)</f>
        <v>THOMAS</v>
      </c>
      <c r="J45" s="314" t="str">
        <f>VLOOKUP(B45&amp;E45,'VISIT DATA'!A:N,10,FALSE)</f>
        <v>MEDICARE TEXAS</v>
      </c>
      <c r="K45" s="316"/>
      <c r="L45" s="314"/>
      <c r="M45" s="314"/>
      <c r="N45" s="316"/>
      <c r="O45" s="316" t="str">
        <f t="shared" si="1"/>
        <v>X</v>
      </c>
      <c r="P45" s="317" t="str">
        <f t="shared" si="2"/>
        <v>#VALUE!</v>
      </c>
      <c r="Q45" s="317" t="str">
        <f t="shared" si="3"/>
        <v>#VALUE!</v>
      </c>
      <c r="R45" s="319" t="str">
        <f t="shared" si="4"/>
        <v>#VALUE!</v>
      </c>
      <c r="S45" s="314" t="str">
        <f t="shared" si="5"/>
        <v>#VALUE!</v>
      </c>
      <c r="T45" s="314" t="str">
        <f t="shared" si="6"/>
        <v>#VALUE!</v>
      </c>
      <c r="U45" s="314">
        <f t="shared" si="7"/>
        <v>0</v>
      </c>
      <c r="V45" s="314" t="str">
        <f>ifs($N45="",VLOOKUP($B45&amp;$E45,'VISIT DATA'!$A$2:$J244,7,FALSE), $N45="SWAB","OUTSA-RW",$N45="SWQU","OUTSA-SaQu", AND($L45="X",$M45="X",$N45="QUEST"),"OUT-UAQPre",$N45="QUEST","OUT-UAQ", $N45="Walk in","ColUATele")</f>
        <v>UA</v>
      </c>
      <c r="W45" s="314" t="str">
        <f t="shared" si="8"/>
        <v>UA : Urine Analysis In House</v>
      </c>
      <c r="X45" s="314" t="str">
        <f t="shared" si="9"/>
        <v>#N/A</v>
      </c>
      <c r="Y45" s="314" t="str">
        <f t="shared" si="10"/>
        <v>#N/A</v>
      </c>
      <c r="Z45" s="314" t="str">
        <f t="shared" si="11"/>
        <v> </v>
      </c>
      <c r="AA45" s="316"/>
    </row>
    <row r="46">
      <c r="A46" s="314" t="str">
        <f>IFS($B46=FALSE,"",$B46,VLOOKUP($B46,'PATIENT DATA (072721)'!A:C, 2, 0))</f>
        <v>BAUGH, WILLIAM</v>
      </c>
      <c r="B46" s="314">
        <v>17823.0</v>
      </c>
      <c r="C46" s="316" t="str">
        <f>IF(COUNTIF('PATIENT DATA (072721)'!A:A, B46)=0, "X","✓")</f>
        <v>✓</v>
      </c>
      <c r="D46" s="317">
        <f>IFS($B46=FALSE,"",$B46,VLOOKUP($B46,'PATIENT DATA (072721)'!A:C, 3, 0))</f>
        <v>26239</v>
      </c>
      <c r="E46" s="318">
        <v>44564.0</v>
      </c>
      <c r="F46" s="315" t="str">
        <f>ifs($B46="","",$B46, VLOOKUP($B46&amp;$E46, 'VISIT DATA'!A:O,3,0))</f>
        <v>#N/A</v>
      </c>
      <c r="G46" s="314"/>
      <c r="H46" s="314"/>
      <c r="I46" s="314" t="str">
        <f>VLOOKUP($B46&amp;$E46,'VISIT DATA'!A:J, 9, FALSE)</f>
        <v>#N/A</v>
      </c>
      <c r="J46" s="314" t="str">
        <f>VLOOKUP(B46&amp;E46,'VISIT DATA'!A:N,10,FALSE)</f>
        <v>#N/A</v>
      </c>
      <c r="K46" s="314"/>
      <c r="L46" s="314"/>
      <c r="M46" s="314"/>
      <c r="N46" s="316"/>
      <c r="O46" s="316" t="str">
        <f t="shared" si="1"/>
        <v>X</v>
      </c>
      <c r="P46" s="317" t="str">
        <f t="shared" si="2"/>
        <v>#N/A</v>
      </c>
      <c r="Q46" s="317" t="str">
        <f t="shared" si="3"/>
        <v>#N/A</v>
      </c>
      <c r="R46" s="319" t="str">
        <f t="shared" si="4"/>
        <v>#N/A</v>
      </c>
      <c r="S46" s="314" t="str">
        <f t="shared" si="5"/>
        <v>#N/A</v>
      </c>
      <c r="T46" s="314" t="str">
        <f t="shared" si="6"/>
        <v>#N/A</v>
      </c>
      <c r="U46" s="314">
        <f t="shared" si="7"/>
        <v>0</v>
      </c>
      <c r="V46" s="314" t="str">
        <f>ifs($N46="",VLOOKUP($B46&amp;$E46,'VISIT DATA'!$A$2:$J244,7,FALSE), $N46="SWAB","OUTSA-RW",$N46="SWQU","OUTSA-SaQu", AND($L46="X",$M46="X",$N46="QUEST"),"OUT-UAQPre",$N46="QUEST","OUT-UAQ", $N46="Walk in","ColUATele")</f>
        <v>#N/A</v>
      </c>
      <c r="W46" s="314" t="str">
        <f t="shared" si="8"/>
        <v>#N/A</v>
      </c>
      <c r="X46" s="314" t="str">
        <f t="shared" si="9"/>
        <v>#N/A</v>
      </c>
      <c r="Y46" s="314" t="str">
        <f t="shared" si="10"/>
        <v>#N/A</v>
      </c>
      <c r="Z46" s="314" t="str">
        <f t="shared" si="11"/>
        <v> </v>
      </c>
      <c r="AA46" s="316"/>
    </row>
    <row r="47">
      <c r="A47" s="314" t="str">
        <f>IFS($B47=FALSE,"",$B47,VLOOKUP($B47,'PATIENT DATA (072721)'!A:C, 2, 0))</f>
        <v>CORMIER, RAVONNE P</v>
      </c>
      <c r="B47" s="314">
        <v>9271.0</v>
      </c>
      <c r="C47" s="316" t="str">
        <f>IF(COUNTIF('PATIENT DATA (072721)'!A:A, B47)=0, "X","✓")</f>
        <v>✓</v>
      </c>
      <c r="D47" s="317">
        <f>IFS($B47=FALSE,"",$B47,VLOOKUP($B47,'PATIENT DATA (072721)'!A:C, 3, 0))</f>
        <v>24708</v>
      </c>
      <c r="E47" s="318">
        <v>44564.0</v>
      </c>
      <c r="F47" s="315">
        <f>ifs($B47="","",$B47, VLOOKUP($B47&amp;$E47, 'VISIT DATA'!A:O,3,0))</f>
        <v>0.59375</v>
      </c>
      <c r="G47" s="314"/>
      <c r="H47" s="314"/>
      <c r="I47" s="314" t="str">
        <f>VLOOKUP($B47&amp;$E47,'VISIT DATA'!A:J, 9, FALSE)</f>
        <v>LOPEZ</v>
      </c>
      <c r="J47" s="314" t="str">
        <f>VLOOKUP(B47&amp;E47,'VISIT DATA'!A:N,10,FALSE)</f>
        <v>MEDICARE TEXAS</v>
      </c>
      <c r="K47" s="316"/>
      <c r="L47" s="314"/>
      <c r="M47" s="314"/>
      <c r="N47" s="316"/>
      <c r="O47" s="316" t="str">
        <f t="shared" si="1"/>
        <v>X</v>
      </c>
      <c r="P47" s="317" t="str">
        <f t="shared" si="2"/>
        <v>#VALUE!</v>
      </c>
      <c r="Q47" s="317" t="str">
        <f t="shared" si="3"/>
        <v>#VALUE!</v>
      </c>
      <c r="R47" s="319" t="str">
        <f t="shared" si="4"/>
        <v>#VALUE!</v>
      </c>
      <c r="S47" s="314" t="str">
        <f t="shared" si="5"/>
        <v>#VALUE!</v>
      </c>
      <c r="T47" s="314" t="str">
        <f t="shared" si="6"/>
        <v>#VALUE!</v>
      </c>
      <c r="U47" s="314">
        <f t="shared" si="7"/>
        <v>0</v>
      </c>
      <c r="V47" s="314" t="str">
        <f>ifs($N47="",VLOOKUP($B47&amp;$E47,'VISIT DATA'!$A$2:$J244,7,FALSE), $N47="SWAB","OUTSA-RW",$N47="SWQU","OUTSA-SaQu", AND($L47="X",$M47="X",$N47="QUEST"),"OUT-UAQPre",$N47="QUEST","OUT-UAQ", $N47="Walk in","ColUATele")</f>
        <v>UA</v>
      </c>
      <c r="W47" s="314" t="str">
        <f t="shared" si="8"/>
        <v>UA : Urine Analysis In House</v>
      </c>
      <c r="X47" s="314" t="str">
        <f t="shared" si="9"/>
        <v>#N/A</v>
      </c>
      <c r="Y47" s="314" t="str">
        <f t="shared" si="10"/>
        <v>#N/A</v>
      </c>
      <c r="Z47" s="314" t="str">
        <f t="shared" si="11"/>
        <v> </v>
      </c>
      <c r="AA47" s="316"/>
    </row>
    <row r="48">
      <c r="A48" s="314" t="str">
        <f>IFS($B48=FALSE,"",$B48,VLOOKUP($B48,'PATIENT DATA (072721)'!A:C, 2, 0))</f>
        <v>MOLINA, JUANITA M</v>
      </c>
      <c r="B48" s="314">
        <v>17403.0</v>
      </c>
      <c r="C48" s="316" t="str">
        <f>IF(COUNTIF('PATIENT DATA (072721)'!A:A, B48)=0, "X","✓")</f>
        <v>✓</v>
      </c>
      <c r="D48" s="317">
        <f>IFS($B48=FALSE,"",$B48,VLOOKUP($B48,'PATIENT DATA (072721)'!A:C, 3, 0))</f>
        <v>26246</v>
      </c>
      <c r="E48" s="318">
        <v>44564.0</v>
      </c>
      <c r="F48" s="315">
        <f>ifs($B48="","",$B48, VLOOKUP($B48&amp;$E48, 'VISIT DATA'!A:O,3,0))</f>
        <v>0.59375</v>
      </c>
      <c r="G48" s="314"/>
      <c r="H48" s="314"/>
      <c r="I48" s="314" t="str">
        <f>VLOOKUP($B48&amp;$E48,'VISIT DATA'!A:J, 9, FALSE)</f>
        <v>LOPEZ</v>
      </c>
      <c r="J48" s="314" t="str">
        <f>VLOOKUP(B48&amp;E48,'VISIT DATA'!A:N,10,FALSE)</f>
        <v>UMR - UNITED HEALTHCARE</v>
      </c>
      <c r="K48" s="316"/>
      <c r="L48" s="314"/>
      <c r="M48" s="314"/>
      <c r="N48" s="314"/>
      <c r="O48" s="316" t="str">
        <f t="shared" si="1"/>
        <v>X</v>
      </c>
      <c r="P48" s="317" t="str">
        <f t="shared" si="2"/>
        <v>#VALUE!</v>
      </c>
      <c r="Q48" s="317" t="str">
        <f t="shared" si="3"/>
        <v>#VALUE!</v>
      </c>
      <c r="R48" s="319" t="str">
        <f t="shared" si="4"/>
        <v>#VALUE!</v>
      </c>
      <c r="S48" s="314" t="str">
        <f t="shared" si="5"/>
        <v>#VALUE!</v>
      </c>
      <c r="T48" s="314" t="str">
        <f t="shared" si="6"/>
        <v>#VALUE!</v>
      </c>
      <c r="U48" s="314">
        <f t="shared" si="7"/>
        <v>0</v>
      </c>
      <c r="V48" s="314" t="str">
        <f>ifs($N48="",VLOOKUP($B48&amp;$E48,'VISIT DATA'!$A$2:$J244,7,FALSE), $N48="SWAB","OUTSA-RW",$N48="SWQU","OUTSA-SaQu", AND($L48="X",$M48="X",$N48="QUEST"),"OUT-UAQPre",$N48="QUEST","OUT-UAQ", $N48="Walk in","ColUATele")</f>
        <v>UA-NWPT</v>
      </c>
      <c r="W48" s="314" t="str">
        <f t="shared" si="8"/>
        <v>UA-NWPT : UA New Patient</v>
      </c>
      <c r="X48" s="314" t="str">
        <f t="shared" si="9"/>
        <v>#N/A</v>
      </c>
      <c r="Y48" s="314" t="str">
        <f t="shared" si="10"/>
        <v>#N/A</v>
      </c>
      <c r="Z48" s="314" t="str">
        <f t="shared" si="11"/>
        <v> </v>
      </c>
      <c r="AA48" s="316"/>
    </row>
    <row r="49">
      <c r="A49" s="314" t="str">
        <f>IFS($B49=FALSE,"",$B49,VLOOKUP($B49,'PATIENT DATA (072721)'!A:C, 2, 0))</f>
        <v>ACEVEDO, JUANA</v>
      </c>
      <c r="B49" s="314">
        <v>17694.0</v>
      </c>
      <c r="C49" s="316" t="str">
        <f>IF(COUNTIF('PATIENT DATA (072721)'!A:A, B49)=0, "X","✓")</f>
        <v>✓</v>
      </c>
      <c r="D49" s="317">
        <f>IFS($B49=FALSE,"",$B49,VLOOKUP($B49,'PATIENT DATA (072721)'!A:C, 3, 0))</f>
        <v>23052</v>
      </c>
      <c r="E49" s="318">
        <v>44564.0</v>
      </c>
      <c r="F49" s="315">
        <f>ifs($B49="","",$B49, VLOOKUP($B49&amp;$E49, 'VISIT DATA'!A:O,3,0))</f>
        <v>0.6145833333</v>
      </c>
      <c r="G49" s="314"/>
      <c r="H49" s="314"/>
      <c r="I49" s="314" t="str">
        <f>VLOOKUP($B49&amp;$E49,'VISIT DATA'!A:J, 9, FALSE)</f>
        <v>LOPEZ</v>
      </c>
      <c r="J49" s="314" t="str">
        <f>VLOOKUP(B49&amp;E49,'VISIT DATA'!A:N,10,FALSE)</f>
        <v>FRIDAY HEALTH PLAN</v>
      </c>
      <c r="K49" s="316"/>
      <c r="L49" s="314"/>
      <c r="M49" s="314"/>
      <c r="N49" s="314"/>
      <c r="O49" s="316" t="str">
        <f t="shared" si="1"/>
        <v>X</v>
      </c>
      <c r="P49" s="317" t="str">
        <f t="shared" si="2"/>
        <v>#VALUE!</v>
      </c>
      <c r="Q49" s="317" t="str">
        <f t="shared" si="3"/>
        <v>#VALUE!</v>
      </c>
      <c r="R49" s="319" t="str">
        <f t="shared" si="4"/>
        <v>#VALUE!</v>
      </c>
      <c r="S49" s="314" t="str">
        <f t="shared" si="5"/>
        <v>#VALUE!</v>
      </c>
      <c r="T49" s="314" t="str">
        <f t="shared" si="6"/>
        <v>#VALUE!</v>
      </c>
      <c r="U49" s="314">
        <f t="shared" si="7"/>
        <v>0</v>
      </c>
      <c r="V49" s="314" t="str">
        <f>ifs($N49="",VLOOKUP($B49&amp;$E49,'VISIT DATA'!$A$2:$J244,7,FALSE), $N49="SWAB","OUTSA-RW",$N49="SWQU","OUTSA-SaQu", AND($L49="X",$M49="X",$N49="QUEST"),"OUT-UAQPre",$N49="QUEST","OUT-UAQ", $N49="Walk in","ColUATele")</f>
        <v>UA-NWPT</v>
      </c>
      <c r="W49" s="314" t="str">
        <f t="shared" si="8"/>
        <v>UA-NWPT : UA New Patient</v>
      </c>
      <c r="X49" s="314" t="str">
        <f t="shared" si="9"/>
        <v>#N/A</v>
      </c>
      <c r="Y49" s="314" t="str">
        <f t="shared" si="10"/>
        <v>#N/A</v>
      </c>
      <c r="Z49" s="314" t="str">
        <f t="shared" si="11"/>
        <v> </v>
      </c>
      <c r="AA49" s="316"/>
    </row>
    <row r="50">
      <c r="A50" s="314" t="str">
        <f>IFS($B50=FALSE,"",$B50,VLOOKUP($B50,'PATIENT DATA (072721)'!A:C, 2, 0))</f>
        <v>RUIZ, MARIA G</v>
      </c>
      <c r="B50" s="314">
        <v>16682.0</v>
      </c>
      <c r="C50" s="316" t="str">
        <f>IF(COUNTIF('PATIENT DATA (072721)'!A:A, B50)=0, "X","✓")</f>
        <v>✓</v>
      </c>
      <c r="D50" s="317">
        <f>IFS($B50=FALSE,"",$B50,VLOOKUP($B50,'PATIENT DATA (072721)'!A:C, 3, 0))</f>
        <v>20068</v>
      </c>
      <c r="E50" s="318">
        <v>44564.0</v>
      </c>
      <c r="F50" s="315">
        <f>ifs($B50="","",$B50, VLOOKUP($B50&amp;$E50, 'VISIT DATA'!A:O,3,0))</f>
        <v>0.6145833333</v>
      </c>
      <c r="G50" s="314"/>
      <c r="H50" s="314"/>
      <c r="I50" s="314" t="str">
        <f>VLOOKUP($B50&amp;$E50,'VISIT DATA'!A:J, 9, FALSE)</f>
        <v>THOMAS</v>
      </c>
      <c r="J50" s="314" t="str">
        <f>VLOOKUP(B50&amp;E50,'VISIT DATA'!A:N,10,FALSE)</f>
        <v>WELLMED - UHC CHRONIC COMPLETE HMO C-SNP</v>
      </c>
      <c r="K50" s="316"/>
      <c r="L50" s="314"/>
      <c r="M50" s="314"/>
      <c r="N50" s="314"/>
      <c r="O50" s="316" t="str">
        <f t="shared" si="1"/>
        <v>X</v>
      </c>
      <c r="P50" s="317" t="str">
        <f t="shared" si="2"/>
        <v>X</v>
      </c>
      <c r="Q50" s="317" t="str">
        <f t="shared" si="3"/>
        <v>#VALUE!</v>
      </c>
      <c r="R50" s="319" t="str">
        <f t="shared" si="4"/>
        <v>#VALUE!</v>
      </c>
      <c r="S50" s="314" t="str">
        <f t="shared" si="5"/>
        <v>#VALUE!</v>
      </c>
      <c r="T50" s="314" t="str">
        <f t="shared" si="6"/>
        <v>#VALUE!</v>
      </c>
      <c r="U50" s="314">
        <f t="shared" si="7"/>
        <v>1</v>
      </c>
      <c r="V50" s="314" t="str">
        <f>ifs($N50="",VLOOKUP($B50&amp;$E50,'VISIT DATA'!$A$2:$J244,7,FALSE), $N50="SWAB","OUTSA-RW",$N50="SWQU","OUTSA-SaQu", AND($L50="X",$M50="X",$N50="QUEST"),"OUT-UAQPre",$N50="QUEST","OUT-UAQ", $N50="Walk in","ColUATele")</f>
        <v>OUTUA-FURW</v>
      </c>
      <c r="W50" s="314" t="str">
        <f t="shared" si="8"/>
        <v>OUTUA-FURW : OUT UA FU Redwood</v>
      </c>
      <c r="X50" s="314" t="str">
        <f t="shared" si="9"/>
        <v>#N/A</v>
      </c>
      <c r="Y50" s="314" t="str">
        <f t="shared" si="10"/>
        <v>#N/A</v>
      </c>
      <c r="Z50" s="314" t="str">
        <f t="shared" si="11"/>
        <v> </v>
      </c>
      <c r="AA50" s="316"/>
    </row>
    <row r="51">
      <c r="A51" s="314" t="str">
        <f>IFS($B51=FALSE,"",$B51,VLOOKUP($B51,'PATIENT DATA (072721)'!A:C, 2, 0))</f>
        <v>HICKS, OTIS</v>
      </c>
      <c r="B51" s="314">
        <v>9652.0</v>
      </c>
      <c r="C51" s="316" t="str">
        <f>IF(COUNTIF('PATIENT DATA (072721)'!A:A, B51)=0, "X","✓")</f>
        <v>✓</v>
      </c>
      <c r="D51" s="317">
        <f>IFS($B51=FALSE,"",$B51,VLOOKUP($B51,'PATIENT DATA (072721)'!A:C, 3, 0))</f>
        <v>18328</v>
      </c>
      <c r="E51" s="318">
        <v>44564.0</v>
      </c>
      <c r="F51" s="315">
        <f>ifs($B51="","",$B51, VLOOKUP($B51&amp;$E51, 'VISIT DATA'!A:O,3,0))</f>
        <v>0.5833333333</v>
      </c>
      <c r="G51" s="314"/>
      <c r="H51" s="314"/>
      <c r="I51" s="314" t="str">
        <f>VLOOKUP($B51&amp;$E51,'VISIT DATA'!A:J, 9, FALSE)</f>
        <v>TORRES</v>
      </c>
      <c r="J51" s="314" t="str">
        <f>VLOOKUP(B51&amp;E51,'VISIT DATA'!A:N,10,FALSE)</f>
        <v>WPS VA - COMMUNITY CARE</v>
      </c>
      <c r="K51" s="316"/>
      <c r="L51" s="314"/>
      <c r="M51" s="314"/>
      <c r="N51" s="314"/>
      <c r="O51" s="316" t="str">
        <f t="shared" si="1"/>
        <v>X</v>
      </c>
      <c r="P51" s="317" t="str">
        <f t="shared" si="2"/>
        <v>#VALUE!</v>
      </c>
      <c r="Q51" s="317" t="str">
        <f t="shared" si="3"/>
        <v>#VALUE!</v>
      </c>
      <c r="R51" s="319" t="str">
        <f t="shared" si="4"/>
        <v>#VALUE!</v>
      </c>
      <c r="S51" s="314" t="str">
        <f t="shared" si="5"/>
        <v>#VALUE!</v>
      </c>
      <c r="T51" s="314" t="str">
        <f t="shared" si="6"/>
        <v>#VALUE!</v>
      </c>
      <c r="U51" s="314">
        <f t="shared" si="7"/>
        <v>0</v>
      </c>
      <c r="V51" s="314" t="str">
        <f>ifs($N51="",VLOOKUP($B51&amp;$E51,'VISIT DATA'!$A$2:$J244,7,FALSE), $N51="SWAB","OUTSA-RW",$N51="SWQU","OUTSA-SaQu", AND($L51="X",$M51="X",$N51="QUEST"),"OUT-UAQPre",$N51="QUEST","OUT-UAQ", $N51="Walk in","ColUATele")</f>
        <v>UA</v>
      </c>
      <c r="W51" s="314" t="str">
        <f t="shared" si="8"/>
        <v>UA : Urine Analysis In House</v>
      </c>
      <c r="X51" s="314" t="str">
        <f t="shared" si="9"/>
        <v>#N/A</v>
      </c>
      <c r="Y51" s="314" t="str">
        <f t="shared" si="10"/>
        <v>#N/A</v>
      </c>
      <c r="Z51" s="314" t="str">
        <f t="shared" si="11"/>
        <v> </v>
      </c>
      <c r="AA51" s="316"/>
    </row>
    <row r="52">
      <c r="A52" s="314" t="str">
        <f>IFS($B52=FALSE,"",$B52,VLOOKUP($B52,'PATIENT DATA (072721)'!A:C, 2, 0))</f>
        <v>ORTEGA, JOE</v>
      </c>
      <c r="B52" s="314">
        <v>16037.0</v>
      </c>
      <c r="C52" s="316" t="str">
        <f>IF(COUNTIF('PATIENT DATA (072721)'!A:A, B52)=0, "X","✓")</f>
        <v>✓</v>
      </c>
      <c r="D52" s="317">
        <f>IFS($B52=FALSE,"",$B52,VLOOKUP($B52,'PATIENT DATA (072721)'!A:C, 3, 0))</f>
        <v>16788</v>
      </c>
      <c r="E52" s="318">
        <v>44564.0</v>
      </c>
      <c r="F52" s="315">
        <f>ifs($B52="","",$B52, VLOOKUP($B52&amp;$E52, 'VISIT DATA'!A:O,3,0))</f>
        <v>0.6354166667</v>
      </c>
      <c r="G52" s="314"/>
      <c r="H52" s="314" t="str">
        <f>ifs($B52="","",$B52, VLOOKUP($B52&amp;$E52, 'VISIT DATA'!$A:$O,13,0))</f>
        <v/>
      </c>
      <c r="I52" s="314" t="str">
        <f>VLOOKUP($B52&amp;$E52,'VISIT DATA'!A:J, 9, FALSE)</f>
        <v>LOPEZ</v>
      </c>
      <c r="J52" s="314" t="str">
        <f>VLOOKUP(B52&amp;E52,'VISIT DATA'!A:N,10,FALSE)</f>
        <v>WC - DEPARTMENT OF LABOR</v>
      </c>
      <c r="K52" s="316"/>
      <c r="L52" s="314"/>
      <c r="M52" s="314"/>
      <c r="N52" s="316"/>
      <c r="O52" s="316" t="str">
        <f t="shared" si="1"/>
        <v>X</v>
      </c>
      <c r="P52" s="317" t="str">
        <f t="shared" si="2"/>
        <v>#VALUE!</v>
      </c>
      <c r="Q52" s="317" t="str">
        <f t="shared" si="3"/>
        <v>#VALUE!</v>
      </c>
      <c r="R52" s="319" t="str">
        <f t="shared" si="4"/>
        <v>#VALUE!</v>
      </c>
      <c r="S52" s="314" t="str">
        <f t="shared" si="5"/>
        <v>#VALUE!</v>
      </c>
      <c r="T52" s="314" t="str">
        <f t="shared" si="6"/>
        <v>#VALUE!</v>
      </c>
      <c r="U52" s="314">
        <f t="shared" si="7"/>
        <v>0</v>
      </c>
      <c r="V52" s="314" t="str">
        <f>ifs($N52="",VLOOKUP($B52&amp;$E52,'VISIT DATA'!$A$2:$J244,7,FALSE), $N52="SWAB","OUTSA-RW",$N52="SWQU","OUTSA-SaQu", AND($L52="X",$M52="X",$N52="QUEST"),"OUT-UAQPre",$N52="QUEST","OUT-UAQ", $N52="Walk in","ColUATele")</f>
        <v>UA</v>
      </c>
      <c r="W52" s="314" t="str">
        <f t="shared" si="8"/>
        <v>UA : Urine Analysis In House</v>
      </c>
      <c r="X52" s="314" t="str">
        <f t="shared" si="9"/>
        <v>#N/A</v>
      </c>
      <c r="Y52" s="314" t="str">
        <f t="shared" si="10"/>
        <v>#N/A</v>
      </c>
      <c r="Z52" s="314" t="str">
        <f t="shared" si="11"/>
        <v> </v>
      </c>
      <c r="AA52" s="316"/>
    </row>
    <row r="53">
      <c r="A53" s="314" t="str">
        <f>IFS($B53=FALSE,"",$B53,VLOOKUP($B53,'PATIENT DATA (072721)'!A:C, 2, 0))</f>
        <v>GOROEOFF, MICHELLE R</v>
      </c>
      <c r="B53" s="314">
        <v>15772.0</v>
      </c>
      <c r="C53" s="316" t="str">
        <f>IF(COUNTIF('PATIENT DATA (072721)'!A:A, B53)=0, "X","✓")</f>
        <v>✓</v>
      </c>
      <c r="D53" s="317">
        <f>IFS($B53=FALSE,"",$B53,VLOOKUP($B53,'PATIENT DATA (072721)'!A:C, 3, 0))</f>
        <v>24343</v>
      </c>
      <c r="E53" s="318">
        <v>44564.0</v>
      </c>
      <c r="F53" s="315">
        <f>ifs($B53="","",$B53, VLOOKUP($B53&amp;$E53, 'VISIT DATA'!A:O,3,0))</f>
        <v>0.6145833333</v>
      </c>
      <c r="G53" s="314"/>
      <c r="H53" s="314" t="str">
        <f>ifs($B53="","",$B53, VLOOKUP($B53&amp;$E53, 'VISIT DATA'!$A:$O,13,0))</f>
        <v/>
      </c>
      <c r="I53" s="314" t="str">
        <f>VLOOKUP($B53&amp;$E53,'VISIT DATA'!A:J, 9, FALSE)</f>
        <v>MARTINEZ</v>
      </c>
      <c r="J53" s="314" t="str">
        <f>VLOOKUP(B53&amp;E53,'VISIT DATA'!A:N,10,FALSE)</f>
        <v>WELLMED - HUMANA</v>
      </c>
      <c r="K53" s="314"/>
      <c r="L53" s="314"/>
      <c r="M53" s="314"/>
      <c r="N53" s="316"/>
      <c r="O53" s="316" t="str">
        <f t="shared" si="1"/>
        <v>X</v>
      </c>
      <c r="P53" s="317" t="str">
        <f t="shared" si="2"/>
        <v>X</v>
      </c>
      <c r="Q53" s="317" t="str">
        <f t="shared" si="3"/>
        <v>#VALUE!</v>
      </c>
      <c r="R53" s="319" t="str">
        <f t="shared" si="4"/>
        <v>#VALUE!</v>
      </c>
      <c r="S53" s="314" t="str">
        <f t="shared" si="5"/>
        <v>#VALUE!</v>
      </c>
      <c r="T53" s="314" t="str">
        <f t="shared" si="6"/>
        <v>#VALUE!</v>
      </c>
      <c r="U53" s="314">
        <f t="shared" si="7"/>
        <v>1</v>
      </c>
      <c r="V53" s="314" t="str">
        <f>ifs($N53="",VLOOKUP($B53&amp;$E53,'VISIT DATA'!$A$2:$J244,7,FALSE), $N53="SWAB","OUTSA-RW",$N53="SWQU","OUTSA-SaQu", AND($L53="X",$M53="X",$N53="QUEST"),"OUT-UAQPre",$N53="QUEST","OUT-UAQ", $N53="Walk in","ColUATele")</f>
        <v>OUTUA-PrRW</v>
      </c>
      <c r="W53" s="314" t="str">
        <f t="shared" si="8"/>
        <v>OUTUA-PrRW : OUT UA Prelimin Redwood</v>
      </c>
      <c r="X53" s="314" t="str">
        <f t="shared" si="9"/>
        <v>#N/A</v>
      </c>
      <c r="Y53" s="314" t="str">
        <f t="shared" si="10"/>
        <v>#N/A</v>
      </c>
      <c r="Z53" s="314" t="str">
        <f t="shared" si="11"/>
        <v> </v>
      </c>
      <c r="AA53" s="316"/>
    </row>
    <row r="54">
      <c r="A54" s="314" t="str">
        <f>IFS($B54=FALSE,"",$B54,VLOOKUP($B54,'PATIENT DATA (072721)'!A:C, 2, 0))</f>
        <v>ALLSMAN, EMILY</v>
      </c>
      <c r="B54" s="314">
        <v>10141.0</v>
      </c>
      <c r="C54" s="316" t="str">
        <f>IF(COUNTIF('PATIENT DATA (072721)'!A:A, B54)=0, "X","✓")</f>
        <v>✓</v>
      </c>
      <c r="D54" s="317">
        <f>IFS($B54=FALSE,"",$B54,VLOOKUP($B54,'PATIENT DATA (072721)'!A:C, 3, 0))</f>
        <v>23797</v>
      </c>
      <c r="E54" s="318">
        <v>44564.0</v>
      </c>
      <c r="F54" s="315">
        <f>ifs($B54="","",$B54, VLOOKUP($B54&amp;$E54, 'VISIT DATA'!A:O,3,0))</f>
        <v>0.6458333333</v>
      </c>
      <c r="G54" s="314"/>
      <c r="H54" s="314" t="str">
        <f>ifs($B54="","",$B54, VLOOKUP($B54&amp;$E54, 'VISIT DATA'!$A:$O,13,0))</f>
        <v/>
      </c>
      <c r="I54" s="314" t="str">
        <f>VLOOKUP($B54&amp;$E54,'VISIT DATA'!A:J, 9, FALSE)</f>
        <v>THOMAS</v>
      </c>
      <c r="J54" s="314" t="str">
        <f>VLOOKUP(B54&amp;E54,'VISIT DATA'!A:N,10,FALSE)</f>
        <v>WELLMED - AMERIVANTAGE</v>
      </c>
      <c r="K54" s="316"/>
      <c r="L54" s="314"/>
      <c r="M54" s="314"/>
      <c r="N54" s="316"/>
      <c r="O54" s="316" t="str">
        <f t="shared" si="1"/>
        <v>X</v>
      </c>
      <c r="P54" s="317" t="str">
        <f t="shared" si="2"/>
        <v>X</v>
      </c>
      <c r="Q54" s="317" t="str">
        <f t="shared" si="3"/>
        <v>#VALUE!</v>
      </c>
      <c r="R54" s="319" t="str">
        <f t="shared" si="4"/>
        <v>#VALUE!</v>
      </c>
      <c r="S54" s="314" t="str">
        <f t="shared" si="5"/>
        <v>#VALUE!</v>
      </c>
      <c r="T54" s="314" t="str">
        <f t="shared" si="6"/>
        <v>#VALUE!</v>
      </c>
      <c r="U54" s="314">
        <f t="shared" si="7"/>
        <v>1</v>
      </c>
      <c r="V54" s="314" t="str">
        <f>ifs($N54="",VLOOKUP($B54&amp;$E54,'VISIT DATA'!$A$2:$J244,7,FALSE), $N54="SWAB","OUTSA-RW",$N54="SWQU","OUTSA-SaQu", AND($L54="X",$M54="X",$N54="QUEST"),"OUT-UAQPre",$N54="QUEST","OUT-UAQ", $N54="Walk in","ColUATele")</f>
        <v>OUTUA-FURW</v>
      </c>
      <c r="W54" s="314" t="str">
        <f t="shared" si="8"/>
        <v>OUTUA-FURW : OUT UA FU Redwood</v>
      </c>
      <c r="X54" s="314" t="str">
        <f t="shared" si="9"/>
        <v>#N/A</v>
      </c>
      <c r="Y54" s="314" t="str">
        <f t="shared" si="10"/>
        <v>#N/A</v>
      </c>
      <c r="Z54" s="314" t="str">
        <f t="shared" si="11"/>
        <v> </v>
      </c>
      <c r="AA54" s="316"/>
    </row>
    <row r="55">
      <c r="A55" s="314" t="str">
        <f>IFS($B55=FALSE,"",$B55,VLOOKUP($B55,'PATIENT DATA (072721)'!A:C, 2, 0))</f>
        <v>CRENSHAW, KENNETH R</v>
      </c>
      <c r="B55" s="314">
        <v>9593.0</v>
      </c>
      <c r="C55" s="316" t="str">
        <f>IF(COUNTIF('PATIENT DATA (072721)'!A:A, B55)=0, "X","✓")</f>
        <v>✓</v>
      </c>
      <c r="D55" s="317">
        <f>IFS($B55=FALSE,"",$B55,VLOOKUP($B55,'PATIENT DATA (072721)'!A:C, 3, 0))</f>
        <v>23217</v>
      </c>
      <c r="E55" s="318">
        <v>44564.0</v>
      </c>
      <c r="F55" s="315">
        <f>ifs($B55="","",$B55, VLOOKUP($B55&amp;$E55, 'VISIT DATA'!A:O,3,0))</f>
        <v>0.6354166667</v>
      </c>
      <c r="G55" s="314"/>
      <c r="H55" s="314" t="str">
        <f>ifs($B55="","",$B55, VLOOKUP($B55&amp;$E55, 'VISIT DATA'!$A:$O,13,0))</f>
        <v/>
      </c>
      <c r="I55" s="314" t="str">
        <f>VLOOKUP($B55&amp;$E55,'VISIT DATA'!A:J, 9, FALSE)</f>
        <v>TORRES</v>
      </c>
      <c r="J55" s="314" t="str">
        <f>VLOOKUP(B55&amp;E55,'VISIT DATA'!A:N,10,FALSE)</f>
        <v>WPS VA - COMMUNITY CARE</v>
      </c>
      <c r="K55" s="316"/>
      <c r="L55" s="314"/>
      <c r="M55" s="314"/>
      <c r="N55" s="316"/>
      <c r="O55" s="316" t="str">
        <f t="shared" si="1"/>
        <v>X</v>
      </c>
      <c r="P55" s="317" t="str">
        <f t="shared" si="2"/>
        <v>#VALUE!</v>
      </c>
      <c r="Q55" s="317" t="str">
        <f t="shared" si="3"/>
        <v>#VALUE!</v>
      </c>
      <c r="R55" s="319" t="str">
        <f t="shared" si="4"/>
        <v>#VALUE!</v>
      </c>
      <c r="S55" s="314" t="str">
        <f t="shared" si="5"/>
        <v>#VALUE!</v>
      </c>
      <c r="T55" s="314" t="str">
        <f t="shared" si="6"/>
        <v>#VALUE!</v>
      </c>
      <c r="U55" s="314">
        <f t="shared" si="7"/>
        <v>0</v>
      </c>
      <c r="V55" s="314" t="str">
        <f>ifs($N55="",VLOOKUP($B55&amp;$E55,'VISIT DATA'!$A$2:$J244,7,FALSE), $N55="SWAB","OUTSA-RW",$N55="SWQU","OUTSA-SaQu", AND($L55="X",$M55="X",$N55="QUEST"),"OUT-UAQPre",$N55="QUEST","OUT-UAQ", $N55="Walk in","ColUATele")</f>
        <v>UA</v>
      </c>
      <c r="W55" s="314" t="str">
        <f t="shared" si="8"/>
        <v>UA : Urine Analysis In House</v>
      </c>
      <c r="X55" s="314" t="str">
        <f t="shared" si="9"/>
        <v>#N/A</v>
      </c>
      <c r="Y55" s="314" t="str">
        <f t="shared" si="10"/>
        <v>#N/A</v>
      </c>
      <c r="Z55" s="314" t="str">
        <f t="shared" si="11"/>
        <v> </v>
      </c>
      <c r="AA55" s="316"/>
    </row>
    <row r="56">
      <c r="A56" s="314" t="str">
        <f>IFS($B56=FALSE,"",$B56,VLOOKUP($B56,'PATIENT DATA (072721)'!A:C, 2, 0))</f>
        <v>SANTILLAN, ROSA</v>
      </c>
      <c r="B56" s="314">
        <v>14434.0</v>
      </c>
      <c r="C56" s="316" t="str">
        <f>IF(COUNTIF('PATIENT DATA (072721)'!A:A, B56)=0, "X","✓")</f>
        <v>✓</v>
      </c>
      <c r="D56" s="317">
        <f>IFS($B56=FALSE,"",$B56,VLOOKUP($B56,'PATIENT DATA (072721)'!A:C, 3, 0))</f>
        <v>22526</v>
      </c>
      <c r="E56" s="318">
        <v>44564.0</v>
      </c>
      <c r="F56" s="315">
        <f>ifs($B56="","",$B56, VLOOKUP($B56&amp;$E56, 'VISIT DATA'!A:O,3,0))</f>
        <v>0.6458333333</v>
      </c>
      <c r="G56" s="314"/>
      <c r="H56" s="314" t="str">
        <f>ifs($B56="","",$B56, VLOOKUP($B56&amp;$E56, 'VISIT DATA'!$A:$O,13,0))</f>
        <v/>
      </c>
      <c r="I56" s="314" t="str">
        <f>VLOOKUP($B56&amp;$E56,'VISIT DATA'!A:J, 9, FALSE)</f>
        <v>MARTINEZ</v>
      </c>
      <c r="J56" s="314" t="str">
        <f>VLOOKUP(B56&amp;E56,'VISIT DATA'!A:N,10,FALSE)</f>
        <v>FRIDAY HEALTH PLAN</v>
      </c>
      <c r="K56" s="316"/>
      <c r="L56" s="314"/>
      <c r="M56" s="314"/>
      <c r="N56" s="316"/>
      <c r="O56" s="316" t="str">
        <f t="shared" si="1"/>
        <v>X</v>
      </c>
      <c r="P56" s="317" t="str">
        <f t="shared" si="2"/>
        <v>#VALUE!</v>
      </c>
      <c r="Q56" s="317" t="str">
        <f t="shared" si="3"/>
        <v>#VALUE!</v>
      </c>
      <c r="R56" s="319" t="str">
        <f t="shared" si="4"/>
        <v>#VALUE!</v>
      </c>
      <c r="S56" s="314" t="str">
        <f t="shared" si="5"/>
        <v>#VALUE!</v>
      </c>
      <c r="T56" s="314" t="str">
        <f t="shared" si="6"/>
        <v>#VALUE!</v>
      </c>
      <c r="U56" s="314">
        <f t="shared" si="7"/>
        <v>0</v>
      </c>
      <c r="V56" s="314" t="str">
        <f>ifs($N56="",VLOOKUP($B56&amp;$E56,'VISIT DATA'!$A$2:$J244,7,FALSE), $N56="SWAB","OUTSA-RW",$N56="SWQU","OUTSA-SaQu", AND($L56="X",$M56="X",$N56="QUEST"),"OUT-UAQPre",$N56="QUEST","OUT-UAQ", $N56="Walk in","ColUATele")</f>
        <v>UA</v>
      </c>
      <c r="W56" s="314" t="str">
        <f t="shared" si="8"/>
        <v>UA : Urine Analysis In House</v>
      </c>
      <c r="X56" s="314" t="str">
        <f t="shared" si="9"/>
        <v>#N/A</v>
      </c>
      <c r="Y56" s="314" t="str">
        <f t="shared" si="10"/>
        <v>#N/A</v>
      </c>
      <c r="Z56" s="314" t="str">
        <f t="shared" si="11"/>
        <v> </v>
      </c>
      <c r="AA56" s="316"/>
    </row>
    <row r="57">
      <c r="A57" s="314" t="str">
        <f>IFS($B57=FALSE,"",$B57,VLOOKUP($B57,'PATIENT DATA (072721)'!A:C, 2, 0))</f>
        <v>CAMPO, HECTOR R</v>
      </c>
      <c r="B57" s="314">
        <v>15340.0</v>
      </c>
      <c r="C57" s="316" t="str">
        <f>IF(COUNTIF('PATIENT DATA (072721)'!A:A, B57)=0, "X","✓")</f>
        <v>✓</v>
      </c>
      <c r="D57" s="317">
        <f>IFS($B57=FALSE,"",$B57,VLOOKUP($B57,'PATIENT DATA (072721)'!A:C, 3, 0))</f>
        <v>20218</v>
      </c>
      <c r="E57" s="318">
        <v>44564.0</v>
      </c>
      <c r="F57" s="315">
        <f>ifs($B57="","",$B57, VLOOKUP($B57&amp;$E57, 'VISIT DATA'!A:O,3,0))</f>
        <v>0.6354166667</v>
      </c>
      <c r="G57" s="314"/>
      <c r="H57" s="314" t="str">
        <f>ifs($B57="","",$B57, VLOOKUP($B57&amp;$E57, 'VISIT DATA'!$A:$O,13,0))</f>
        <v/>
      </c>
      <c r="I57" s="314" t="str">
        <f>VLOOKUP($B57&amp;$E57,'VISIT DATA'!A:J, 9, FALSE)</f>
        <v>MARTINEZ</v>
      </c>
      <c r="J57" s="314" t="str">
        <f>VLOOKUP(B57&amp;E57,'VISIT DATA'!A:N,10,FALSE)</f>
        <v>WELLMED - AMERIVANTAGE</v>
      </c>
      <c r="K57" s="316"/>
      <c r="L57" s="314"/>
      <c r="M57" s="314"/>
      <c r="N57" s="316"/>
      <c r="O57" s="316" t="str">
        <f t="shared" si="1"/>
        <v>X</v>
      </c>
      <c r="P57" s="317" t="str">
        <f t="shared" si="2"/>
        <v>X</v>
      </c>
      <c r="Q57" s="317" t="str">
        <f t="shared" si="3"/>
        <v>#VALUE!</v>
      </c>
      <c r="R57" s="319" t="str">
        <f t="shared" si="4"/>
        <v>#VALUE!</v>
      </c>
      <c r="S57" s="314" t="str">
        <f t="shared" si="5"/>
        <v>#VALUE!</v>
      </c>
      <c r="T57" s="314" t="str">
        <f t="shared" si="6"/>
        <v>#VALUE!</v>
      </c>
      <c r="U57" s="314">
        <f t="shared" si="7"/>
        <v>1</v>
      </c>
      <c r="V57" s="314" t="str">
        <f>ifs($N57="",VLOOKUP($B57&amp;$E57,'VISIT DATA'!$A$2:$J244,7,FALSE), $N57="SWAB","OUTSA-RW",$N57="SWQU","OUTSA-SaQu", AND($L57="X",$M57="X",$N57="QUEST"),"OUT-UAQPre",$N57="QUEST","OUT-UAQ", $N57="Walk in","ColUATele")</f>
        <v>OUTUA-PrRW</v>
      </c>
      <c r="W57" s="314" t="str">
        <f t="shared" si="8"/>
        <v>OUTUA-PrRW : OUT UA Prelimin Redwood</v>
      </c>
      <c r="X57" s="314" t="str">
        <f t="shared" si="9"/>
        <v>#N/A</v>
      </c>
      <c r="Y57" s="314" t="str">
        <f t="shared" si="10"/>
        <v>#N/A</v>
      </c>
      <c r="Z57" s="314" t="str">
        <f t="shared" si="11"/>
        <v> </v>
      </c>
      <c r="AA57" s="316"/>
    </row>
    <row r="58">
      <c r="A58" s="314" t="str">
        <f>IFS($B58=FALSE,"",$B58,VLOOKUP($B58,'PATIENT DATA (072721)'!A:C, 2, 0))</f>
        <v>MORALES, FRANK T</v>
      </c>
      <c r="B58" s="314">
        <v>13442.0</v>
      </c>
      <c r="C58" s="316" t="str">
        <f>IF(COUNTIF('PATIENT DATA (072721)'!A:A, B58)=0, "X","✓")</f>
        <v>✓</v>
      </c>
      <c r="D58" s="317">
        <f>IFS($B58=FALSE,"",$B58,VLOOKUP($B58,'PATIENT DATA (072721)'!A:C, 3, 0))</f>
        <v>19087</v>
      </c>
      <c r="E58" s="318">
        <v>44564.0</v>
      </c>
      <c r="F58" s="315">
        <f>ifs($B58="","",$B58, VLOOKUP($B58&amp;$E58, 'VISIT DATA'!A:O,3,0))</f>
        <v>0.625</v>
      </c>
      <c r="G58" s="314"/>
      <c r="H58" s="314" t="str">
        <f>ifs($B58="","",$B58, VLOOKUP($B58&amp;$E58, 'VISIT DATA'!$A:$O,13,0))</f>
        <v/>
      </c>
      <c r="I58" s="314" t="str">
        <f>VLOOKUP($B58&amp;$E58,'VISIT DATA'!A:J, 9, FALSE)</f>
        <v>MARTINEZ</v>
      </c>
      <c r="J58" s="314" t="str">
        <f>VLOOKUP(B58&amp;E58,'VISIT DATA'!A:N,10,FALSE)</f>
        <v>WPS VA - COMMUNITY CARE</v>
      </c>
      <c r="K58" s="314"/>
      <c r="L58" s="314"/>
      <c r="M58" s="314"/>
      <c r="N58" s="316"/>
      <c r="O58" s="316" t="str">
        <f t="shared" si="1"/>
        <v>X</v>
      </c>
      <c r="P58" s="317" t="str">
        <f t="shared" si="2"/>
        <v>#VALUE!</v>
      </c>
      <c r="Q58" s="317" t="str">
        <f t="shared" si="3"/>
        <v>#VALUE!</v>
      </c>
      <c r="R58" s="319" t="str">
        <f t="shared" si="4"/>
        <v>#VALUE!</v>
      </c>
      <c r="S58" s="314" t="str">
        <f t="shared" si="5"/>
        <v>#VALUE!</v>
      </c>
      <c r="T58" s="314" t="str">
        <f t="shared" si="6"/>
        <v>#VALUE!</v>
      </c>
      <c r="U58" s="314">
        <f t="shared" si="7"/>
        <v>0</v>
      </c>
      <c r="V58" s="314" t="str">
        <f>ifs($N58="",VLOOKUP($B58&amp;$E58,'VISIT DATA'!$A$2:$J244,7,FALSE), $N58="SWAB","OUTSA-RW",$N58="SWQU","OUTSA-SaQu", AND($L58="X",$M58="X",$N58="QUEST"),"OUT-UAQPre",$N58="QUEST","OUT-UAQ", $N58="Walk in","ColUATele")</f>
        <v>UA-Prelim</v>
      </c>
      <c r="W58" s="314" t="str">
        <f t="shared" si="8"/>
        <v>UA-Prelim : Preliminary UA Test</v>
      </c>
      <c r="X58" s="314" t="str">
        <f t="shared" si="9"/>
        <v>#N/A</v>
      </c>
      <c r="Y58" s="314" t="str">
        <f t="shared" si="10"/>
        <v>#N/A</v>
      </c>
      <c r="Z58" s="314" t="str">
        <f t="shared" si="11"/>
        <v> </v>
      </c>
      <c r="AA58" s="316"/>
    </row>
    <row r="59">
      <c r="A59" s="314" t="str">
        <f>IFS($B59=FALSE,"",$B59,VLOOKUP($B59,'PATIENT DATA (072721)'!A:C, 2, 0))</f>
        <v>GONZALEZ, BETTY</v>
      </c>
      <c r="B59" s="314">
        <v>12287.0</v>
      </c>
      <c r="C59" s="316" t="str">
        <f>IF(COUNTIF('PATIENT DATA (072721)'!A:A, B59)=0, "X","✓")</f>
        <v>✓</v>
      </c>
      <c r="D59" s="317">
        <f>IFS($B59=FALSE,"",$B59,VLOOKUP($B59,'PATIENT DATA (072721)'!A:C, 3, 0))</f>
        <v>26721</v>
      </c>
      <c r="E59" s="318">
        <v>44564.0</v>
      </c>
      <c r="F59" s="315">
        <f>ifs($B59="","",$B59, VLOOKUP($B59&amp;$E59, 'VISIT DATA'!A:O,3,0))</f>
        <v>0.625</v>
      </c>
      <c r="G59" s="314"/>
      <c r="H59" s="314" t="str">
        <f>ifs($B59="","",$B59, VLOOKUP($B59&amp;$E59, 'VISIT DATA'!$A:$O,13,0))</f>
        <v/>
      </c>
      <c r="I59" s="314" t="str">
        <f>VLOOKUP($B59&amp;$E59,'VISIT DATA'!A:J, 9, FALSE)</f>
        <v>TORRES</v>
      </c>
      <c r="J59" s="314" t="str">
        <f>VLOOKUP(B59&amp;E59,'VISIT DATA'!A:N,10,FALSE)</f>
        <v>WELLMED - UHC DUAL COMPLETE SNP</v>
      </c>
      <c r="K59" s="314"/>
      <c r="L59" s="314"/>
      <c r="M59" s="314"/>
      <c r="N59" s="316"/>
      <c r="O59" s="316" t="str">
        <f t="shared" si="1"/>
        <v>X</v>
      </c>
      <c r="P59" s="317" t="str">
        <f t="shared" si="2"/>
        <v>X</v>
      </c>
      <c r="Q59" s="317" t="str">
        <f t="shared" si="3"/>
        <v>#VALUE!</v>
      </c>
      <c r="R59" s="319" t="str">
        <f t="shared" si="4"/>
        <v>#VALUE!</v>
      </c>
      <c r="S59" s="314" t="str">
        <f t="shared" si="5"/>
        <v>#VALUE!</v>
      </c>
      <c r="T59" s="314" t="str">
        <f t="shared" si="6"/>
        <v>#VALUE!</v>
      </c>
      <c r="U59" s="314">
        <f t="shared" si="7"/>
        <v>1</v>
      </c>
      <c r="V59" s="314" t="str">
        <f>ifs($N59="",VLOOKUP($B59&amp;$E59,'VISIT DATA'!$A$2:$J244,7,FALSE), $N59="SWAB","OUTSA-RW",$N59="SWQU","OUTSA-SaQu", AND($L59="X",$M59="X",$N59="QUEST"),"OUT-UAQPre",$N59="QUEST","OUT-UAQ", $N59="Walk in","ColUATele")</f>
        <v>UA</v>
      </c>
      <c r="W59" s="314" t="str">
        <f t="shared" si="8"/>
        <v>UA : Urine Analysis In House</v>
      </c>
      <c r="X59" s="314" t="str">
        <f t="shared" si="9"/>
        <v>#N/A</v>
      </c>
      <c r="Y59" s="314" t="str">
        <f t="shared" si="10"/>
        <v>#N/A</v>
      </c>
      <c r="Z59" s="314" t="str">
        <f t="shared" si="11"/>
        <v> </v>
      </c>
      <c r="AA59" s="316"/>
    </row>
    <row r="60">
      <c r="A60" s="314" t="str">
        <f>IFS($B60=FALSE,"",$B60,VLOOKUP($B60,'PATIENT DATA (072721)'!A:C, 2, 0))</f>
        <v>BONNER, DONALD J</v>
      </c>
      <c r="B60" s="314">
        <v>17678.0</v>
      </c>
      <c r="C60" s="316" t="str">
        <f>IF(COUNTIF('PATIENT DATA (072721)'!A:A, B60)=0, "X","✓")</f>
        <v>✓</v>
      </c>
      <c r="D60" s="317">
        <f>IFS($B60=FALSE,"",$B60,VLOOKUP($B60,'PATIENT DATA (072721)'!A:C, 3, 0))</f>
        <v>16948</v>
      </c>
      <c r="E60" s="318">
        <v>44564.0</v>
      </c>
      <c r="F60" s="315">
        <f>ifs($B60="","",$B60, VLOOKUP($B60&amp;$E60, 'VISIT DATA'!A:O,3,0))</f>
        <v>0.5416666667</v>
      </c>
      <c r="G60" s="314"/>
      <c r="H60" s="314" t="str">
        <f>ifs($B60="","",$B60, VLOOKUP($B60&amp;$E60, 'VISIT DATA'!$A:$O,13,0))</f>
        <v>CH</v>
      </c>
      <c r="I60" s="314" t="str">
        <f>VLOOKUP($B60&amp;$E60,'VISIT DATA'!A:J, 9, FALSE)</f>
        <v>LOPEZ</v>
      </c>
      <c r="J60" s="314" t="str">
        <f>VLOOKUP(B60&amp;E60,'VISIT DATA'!A:N,10,FALSE)</f>
        <v>WPS VA - COMMUNITY CARE</v>
      </c>
      <c r="K60" s="316"/>
      <c r="L60" s="314"/>
      <c r="M60" s="314"/>
      <c r="N60" s="316"/>
      <c r="O60" s="316" t="str">
        <f t="shared" si="1"/>
        <v>X</v>
      </c>
      <c r="P60" s="317" t="str">
        <f t="shared" si="2"/>
        <v>#VALUE!</v>
      </c>
      <c r="Q60" s="317" t="str">
        <f t="shared" si="3"/>
        <v>#VALUE!</v>
      </c>
      <c r="R60" s="319" t="str">
        <f t="shared" si="4"/>
        <v>#VALUE!</v>
      </c>
      <c r="S60" s="314" t="str">
        <f t="shared" si="5"/>
        <v>#VALUE!</v>
      </c>
      <c r="T60" s="314" t="str">
        <f t="shared" si="6"/>
        <v>#VALUE!</v>
      </c>
      <c r="U60" s="314">
        <f t="shared" si="7"/>
        <v>0</v>
      </c>
      <c r="V60" s="314" t="str">
        <f>ifs($N60="",VLOOKUP($B60&amp;$E60,'VISIT DATA'!$A$2:$J244,7,FALSE), $N60="SWAB","OUTSA-RW",$N60="SWQU","OUTSA-SaQu", AND($L60="X",$M60="X",$N60="QUEST"),"OUT-UAQPre",$N60="QUEST","OUT-UAQ", $N60="Walk in","ColUATele")</f>
        <v>UA-NWPT</v>
      </c>
      <c r="W60" s="314" t="str">
        <f t="shared" si="8"/>
        <v>UA-NWPT : UA New Patient</v>
      </c>
      <c r="X60" s="314" t="str">
        <f t="shared" si="9"/>
        <v>#N/A</v>
      </c>
      <c r="Y60" s="314" t="str">
        <f t="shared" si="10"/>
        <v>#N/A</v>
      </c>
      <c r="Z60" s="314" t="str">
        <f t="shared" si="11"/>
        <v> </v>
      </c>
      <c r="AA60" s="316"/>
    </row>
    <row r="61">
      <c r="A61" s="314" t="str">
        <f>IFS($B61=FALSE,"",$B61,VLOOKUP($B61,'PATIENT DATA (072721)'!A:C, 2, 0))</f>
        <v>CHERENA, LUIS</v>
      </c>
      <c r="B61" s="314">
        <v>17814.0</v>
      </c>
      <c r="C61" s="316" t="str">
        <f>IF(COUNTIF('PATIENT DATA (072721)'!A:A, B61)=0, "X","✓")</f>
        <v>✓</v>
      </c>
      <c r="D61" s="317">
        <f>IFS($B61=FALSE,"",$B61,VLOOKUP($B61,'PATIENT DATA (072721)'!A:C, 3, 0))</f>
        <v>27895</v>
      </c>
      <c r="E61" s="318">
        <v>44564.0</v>
      </c>
      <c r="F61" s="315">
        <f>ifs($B61="","",$B61, VLOOKUP($B61&amp;$E61, 'VISIT DATA'!A:O,3,0))</f>
        <v>0.5416666667</v>
      </c>
      <c r="G61" s="314"/>
      <c r="H61" s="314" t="str">
        <f>ifs($B61="","",$B61, VLOOKUP($B61&amp;$E61, 'VISIT DATA'!$A:$O,13,0))</f>
        <v>CH</v>
      </c>
      <c r="I61" s="314" t="str">
        <f>VLOOKUP($B61&amp;$E61,'VISIT DATA'!A:J, 9, FALSE)</f>
        <v>LOPEZ</v>
      </c>
      <c r="J61" s="314" t="str">
        <f>VLOOKUP(B61&amp;E61,'VISIT DATA'!A:N,10,FALSE)</f>
        <v>BCBS FEDERAL</v>
      </c>
      <c r="K61" s="316"/>
      <c r="L61" s="314"/>
      <c r="M61" s="314"/>
      <c r="N61" s="316"/>
      <c r="O61" s="316" t="str">
        <f t="shared" si="1"/>
        <v>X</v>
      </c>
      <c r="P61" s="317" t="str">
        <f t="shared" si="2"/>
        <v>#VALUE!</v>
      </c>
      <c r="Q61" s="317" t="str">
        <f t="shared" si="3"/>
        <v>#VALUE!</v>
      </c>
      <c r="R61" s="319" t="str">
        <f t="shared" si="4"/>
        <v>#VALUE!</v>
      </c>
      <c r="S61" s="314" t="str">
        <f t="shared" si="5"/>
        <v>#VALUE!</v>
      </c>
      <c r="T61" s="314" t="str">
        <f t="shared" si="6"/>
        <v>#VALUE!</v>
      </c>
      <c r="U61" s="314">
        <f t="shared" si="7"/>
        <v>0</v>
      </c>
      <c r="V61" s="314" t="str">
        <f>ifs($N61="",VLOOKUP($B61&amp;$E61,'VISIT DATA'!$A$2:$J244,7,FALSE), $N61="SWAB","OUTSA-RW",$N61="SWQU","OUTSA-SaQu", AND($L61="X",$M61="X",$N61="QUEST"),"OUT-UAQPre",$N61="QUEST","OUT-UAQ", $N61="Walk in","ColUATele")</f>
        <v>UA-NWPT</v>
      </c>
      <c r="W61" s="314" t="str">
        <f t="shared" si="8"/>
        <v>UA-NWPT : UA New Patient</v>
      </c>
      <c r="X61" s="314" t="str">
        <f t="shared" si="9"/>
        <v>#N/A</v>
      </c>
      <c r="Y61" s="314" t="str">
        <f t="shared" si="10"/>
        <v>#N/A</v>
      </c>
      <c r="Z61" s="314" t="str">
        <f t="shared" si="11"/>
        <v> </v>
      </c>
      <c r="AA61" s="316"/>
    </row>
    <row r="62">
      <c r="A62" s="314" t="str">
        <f>IFS($B62=FALSE,"",$B62,VLOOKUP($B62,'PATIENT DATA (072721)'!A:C, 2, 0))</f>
        <v>HERRERA, BLAS</v>
      </c>
      <c r="B62" s="314">
        <v>17812.0</v>
      </c>
      <c r="C62" s="316" t="str">
        <f>IF(COUNTIF('PATIENT DATA (072721)'!A:A, B62)=0, "X","✓")</f>
        <v>✓</v>
      </c>
      <c r="D62" s="317">
        <f>IFS($B62=FALSE,"",$B62,VLOOKUP($B62,'PATIENT DATA (072721)'!A:C, 3, 0))</f>
        <v>21219</v>
      </c>
      <c r="E62" s="318">
        <v>44564.0</v>
      </c>
      <c r="F62" s="315">
        <f>ifs($B62="","",$B62, VLOOKUP($B62&amp;$E62, 'VISIT DATA'!A:O,3,0))</f>
        <v>0.5416666667</v>
      </c>
      <c r="G62" s="314"/>
      <c r="H62" s="314" t="str">
        <f>ifs($B62="","",$B62, VLOOKUP($B62&amp;$E62, 'VISIT DATA'!$A:$O,13,0))</f>
        <v>CH</v>
      </c>
      <c r="I62" s="314" t="str">
        <f>VLOOKUP($B62&amp;$E62,'VISIT DATA'!A:J, 9, FALSE)</f>
        <v>LOPEZ</v>
      </c>
      <c r="J62" s="314" t="str">
        <f>VLOOKUP(B62&amp;E62,'VISIT DATA'!A:N,10,FALSE)</f>
        <v>AMBETTER - SUPERIOR</v>
      </c>
      <c r="K62" s="316"/>
      <c r="L62" s="314"/>
      <c r="M62" s="314"/>
      <c r="N62" s="316"/>
      <c r="O62" s="316" t="str">
        <f t="shared" si="1"/>
        <v>X</v>
      </c>
      <c r="P62" s="317" t="str">
        <f t="shared" si="2"/>
        <v>#VALUE!</v>
      </c>
      <c r="Q62" s="317" t="str">
        <f t="shared" si="3"/>
        <v>#VALUE!</v>
      </c>
      <c r="R62" s="319" t="str">
        <f t="shared" si="4"/>
        <v>#VALUE!</v>
      </c>
      <c r="S62" s="314" t="str">
        <f t="shared" si="5"/>
        <v>#VALUE!</v>
      </c>
      <c r="T62" s="314" t="str">
        <f t="shared" si="6"/>
        <v>#VALUE!</v>
      </c>
      <c r="U62" s="314">
        <f t="shared" si="7"/>
        <v>0</v>
      </c>
      <c r="V62" s="314" t="str">
        <f>ifs($N62="",VLOOKUP($B62&amp;$E62,'VISIT DATA'!$A$2:$J244,7,FALSE), $N62="SWAB","OUTSA-RW",$N62="SWQU","OUTSA-SaQu", AND($L62="X",$M62="X",$N62="QUEST"),"OUT-UAQPre",$N62="QUEST","OUT-UAQ", $N62="Walk in","ColUATele")</f>
        <v>UA-NWPT</v>
      </c>
      <c r="W62" s="314" t="str">
        <f t="shared" si="8"/>
        <v>UA-NWPT : UA New Patient</v>
      </c>
      <c r="X62" s="314" t="str">
        <f t="shared" si="9"/>
        <v>#N/A</v>
      </c>
      <c r="Y62" s="314" t="str">
        <f t="shared" si="10"/>
        <v>#N/A</v>
      </c>
      <c r="Z62" s="314" t="str">
        <f t="shared" si="11"/>
        <v> </v>
      </c>
      <c r="AA62" s="316"/>
    </row>
    <row r="63">
      <c r="A63" s="314" t="str">
        <f>IFS($B63=FALSE,"",$B63,VLOOKUP($B63,'PATIENT DATA (072721)'!A:C, 2, 0))</f>
        <v>HERNANDEZ, AMELIA</v>
      </c>
      <c r="B63" s="314">
        <v>14125.0</v>
      </c>
      <c r="C63" s="316" t="str">
        <f>IF(COUNTIF('PATIENT DATA (072721)'!A:A, B63)=0, "X","✓")</f>
        <v>✓</v>
      </c>
      <c r="D63" s="317">
        <f>IFS($B63=FALSE,"",$B63,VLOOKUP($B63,'PATIENT DATA (072721)'!A:C, 3, 0))</f>
        <v>20213</v>
      </c>
      <c r="E63" s="318">
        <v>44564.0</v>
      </c>
      <c r="F63" s="315">
        <f>ifs($B63="","",$B63, VLOOKUP($B63&amp;$E63, 'VISIT DATA'!A:O,3,0))</f>
        <v>0.5416666667</v>
      </c>
      <c r="G63" s="314"/>
      <c r="H63" s="314" t="str">
        <f>ifs($B63="","",$B63, VLOOKUP($B63&amp;$E63, 'VISIT DATA'!$A:$O,13,0))</f>
        <v>CH</v>
      </c>
      <c r="I63" s="314" t="str">
        <f>VLOOKUP($B63&amp;$E63,'VISIT DATA'!A:J, 9, FALSE)</f>
        <v>THOMAS</v>
      </c>
      <c r="J63" s="314" t="str">
        <f>VLOOKUP(B63&amp;E63,'VISIT DATA'!A:N,10,FALSE)</f>
        <v>WELLMED - CIGNA HEALTHSPRING</v>
      </c>
      <c r="K63" s="316"/>
      <c r="L63" s="314"/>
      <c r="M63" s="314"/>
      <c r="N63" s="316"/>
      <c r="O63" s="316" t="str">
        <f t="shared" si="1"/>
        <v>X</v>
      </c>
      <c r="P63" s="317" t="str">
        <f t="shared" si="2"/>
        <v>X</v>
      </c>
      <c r="Q63" s="317" t="str">
        <f t="shared" si="3"/>
        <v>#VALUE!</v>
      </c>
      <c r="R63" s="319" t="str">
        <f t="shared" si="4"/>
        <v>#VALUE!</v>
      </c>
      <c r="S63" s="314" t="str">
        <f t="shared" si="5"/>
        <v>#VALUE!</v>
      </c>
      <c r="T63" s="314" t="str">
        <f t="shared" si="6"/>
        <v>#VALUE!</v>
      </c>
      <c r="U63" s="314">
        <f t="shared" si="7"/>
        <v>1</v>
      </c>
      <c r="V63" s="314" t="str">
        <f>ifs($N63="",VLOOKUP($B63&amp;$E63,'VISIT DATA'!$A$2:$J244,7,FALSE), $N63="SWAB","OUTSA-RW",$N63="SWQU","OUTSA-SaQu", AND($L63="X",$M63="X",$N63="QUEST"),"OUT-UAQPre",$N63="QUEST","OUT-UAQ", $N63="Walk in","ColUATele")</f>
        <v>OUTUA-FURW</v>
      </c>
      <c r="W63" s="314" t="str">
        <f t="shared" si="8"/>
        <v>OUTUA-FURW : OUT UA FU Redwood</v>
      </c>
      <c r="X63" s="314" t="str">
        <f t="shared" si="9"/>
        <v>#N/A</v>
      </c>
      <c r="Y63" s="314" t="str">
        <f t="shared" si="10"/>
        <v>#N/A</v>
      </c>
      <c r="Z63" s="314" t="str">
        <f t="shared" si="11"/>
        <v> </v>
      </c>
      <c r="AA63" s="316"/>
    </row>
    <row r="64">
      <c r="A64" s="314" t="str">
        <f>IFS($B64=FALSE,"",$B64,VLOOKUP($B64,'PATIENT DATA (072721)'!A:C, 2, 0))</f>
        <v>BANUELOS, ALBERTO</v>
      </c>
      <c r="B64" s="314">
        <v>15670.0</v>
      </c>
      <c r="C64" s="316" t="str">
        <f>IF(COUNTIF('PATIENT DATA (072721)'!A:A, B64)=0, "X","✓")</f>
        <v>✓</v>
      </c>
      <c r="D64" s="317">
        <f>IFS($B64=FALSE,"",$B64,VLOOKUP($B64,'PATIENT DATA (072721)'!A:C, 3, 0))</f>
        <v>19901</v>
      </c>
      <c r="E64" s="318">
        <v>44564.0</v>
      </c>
      <c r="F64" s="315">
        <f>ifs($B64="","",$B64, VLOOKUP($B64&amp;$E64, 'VISIT DATA'!A:O,3,0))</f>
        <v>0.5625</v>
      </c>
      <c r="G64" s="314"/>
      <c r="H64" s="314" t="str">
        <f>ifs($B64="","",$B64, VLOOKUP($B64&amp;$E64, 'VISIT DATA'!$A:$O,13,0))</f>
        <v>CH</v>
      </c>
      <c r="I64" s="314" t="str">
        <f>VLOOKUP($B64&amp;$E64,'VISIT DATA'!A:J, 9, FALSE)</f>
        <v>THOMAS</v>
      </c>
      <c r="J64" s="314" t="str">
        <f>VLOOKUP(B64&amp;E64,'VISIT DATA'!A:N,10,FALSE)</f>
        <v>WELLMED - AMERIVANTAGE</v>
      </c>
      <c r="K64" s="316"/>
      <c r="L64" s="314"/>
      <c r="M64" s="314"/>
      <c r="N64" s="316"/>
      <c r="O64" s="316" t="str">
        <f t="shared" si="1"/>
        <v>X</v>
      </c>
      <c r="P64" s="317" t="str">
        <f t="shared" si="2"/>
        <v>X</v>
      </c>
      <c r="Q64" s="317" t="str">
        <f t="shared" si="3"/>
        <v>#VALUE!</v>
      </c>
      <c r="R64" s="319" t="str">
        <f t="shared" si="4"/>
        <v>#VALUE!</v>
      </c>
      <c r="S64" s="314" t="str">
        <f t="shared" si="5"/>
        <v>#VALUE!</v>
      </c>
      <c r="T64" s="314" t="str">
        <f t="shared" si="6"/>
        <v>#VALUE!</v>
      </c>
      <c r="U64" s="314">
        <f t="shared" si="7"/>
        <v>1</v>
      </c>
      <c r="V64" s="314" t="str">
        <f>ifs($N64="",VLOOKUP($B64&amp;$E64,'VISIT DATA'!$A$2:$J244,7,FALSE), $N64="SWAB","OUTSA-RW",$N64="SWQU","OUTSA-SaQu", AND($L64="X",$M64="X",$N64="QUEST"),"OUT-UAQPre",$N64="QUEST","OUT-UAQ", $N64="Walk in","ColUATele")</f>
        <v>OUTUA-FURW</v>
      </c>
      <c r="W64" s="314" t="str">
        <f t="shared" si="8"/>
        <v>OUTUA-FURW : OUT UA FU Redwood</v>
      </c>
      <c r="X64" s="314" t="str">
        <f t="shared" si="9"/>
        <v>#N/A</v>
      </c>
      <c r="Y64" s="314" t="str">
        <f t="shared" si="10"/>
        <v>#N/A</v>
      </c>
      <c r="Z64" s="314" t="str">
        <f t="shared" si="11"/>
        <v> </v>
      </c>
      <c r="AA64" s="316"/>
    </row>
    <row r="65">
      <c r="A65" s="314" t="str">
        <f>IFS($B65=FALSE,"",$B65,VLOOKUP($B65,'PATIENT DATA (072721)'!A:C, 2, 0))</f>
        <v>CORDERO, RODOLFO M</v>
      </c>
      <c r="B65" s="314">
        <v>16449.0</v>
      </c>
      <c r="C65" s="316" t="str">
        <f>IF(COUNTIF('PATIENT DATA (072721)'!A:A, B65)=0, "X","✓")</f>
        <v>✓</v>
      </c>
      <c r="D65" s="317">
        <f>IFS($B65=FALSE,"",$B65,VLOOKUP($B65,'PATIENT DATA (072721)'!A:C, 3, 0))</f>
        <v>23434</v>
      </c>
      <c r="E65" s="318">
        <v>44564.0</v>
      </c>
      <c r="F65" s="315">
        <f>ifs($B65="","",$B65, VLOOKUP($B65&amp;$E65, 'VISIT DATA'!A:O,3,0))</f>
        <v>0.5833333333</v>
      </c>
      <c r="G65" s="314"/>
      <c r="H65" s="314" t="str">
        <f>ifs($B65="","",$B65, VLOOKUP($B65&amp;$E65, 'VISIT DATA'!$A:$O,13,0))</f>
        <v/>
      </c>
      <c r="I65" s="314" t="str">
        <f>VLOOKUP($B65&amp;$E65,'VISIT DATA'!A:J, 9, FALSE)</f>
        <v>MARTINEZ</v>
      </c>
      <c r="J65" s="314" t="str">
        <f>VLOOKUP(B65&amp;E65,'VISIT DATA'!A:N,10,FALSE)</f>
        <v>WELLMED - AARP MEDICARE COMPLETE</v>
      </c>
      <c r="K65" s="316"/>
      <c r="L65" s="314"/>
      <c r="M65" s="314"/>
      <c r="N65" s="316"/>
      <c r="O65" s="316" t="str">
        <f t="shared" si="1"/>
        <v>X</v>
      </c>
      <c r="P65" s="317" t="str">
        <f t="shared" si="2"/>
        <v>X</v>
      </c>
      <c r="Q65" s="317" t="str">
        <f t="shared" si="3"/>
        <v>#VALUE!</v>
      </c>
      <c r="R65" s="319" t="str">
        <f t="shared" si="4"/>
        <v>#VALUE!</v>
      </c>
      <c r="S65" s="314" t="str">
        <f t="shared" si="5"/>
        <v>#VALUE!</v>
      </c>
      <c r="T65" s="314" t="str">
        <f t="shared" si="6"/>
        <v>#VALUE!</v>
      </c>
      <c r="U65" s="314">
        <f t="shared" si="7"/>
        <v>1</v>
      </c>
      <c r="V65" s="314" t="str">
        <f>ifs($N65="",VLOOKUP($B65&amp;$E65,'VISIT DATA'!$A$2:$J244,7,FALSE), $N65="SWAB","OUTSA-RW",$N65="SWQU","OUTSA-SaQu", AND($L65="X",$M65="X",$N65="QUEST"),"OUT-UAQPre",$N65="QUEST","OUT-UAQ", $N65="Walk in","ColUATele")</f>
        <v>OUTUA-FURW</v>
      </c>
      <c r="W65" s="314" t="str">
        <f t="shared" si="8"/>
        <v>OUTUA-FURW : OUT UA FU Redwood</v>
      </c>
      <c r="X65" s="314" t="str">
        <f t="shared" si="9"/>
        <v>#N/A</v>
      </c>
      <c r="Y65" s="314" t="str">
        <f t="shared" si="10"/>
        <v>#N/A</v>
      </c>
      <c r="Z65" s="314" t="str">
        <f t="shared" si="11"/>
        <v> </v>
      </c>
      <c r="AA65" s="316"/>
    </row>
    <row r="66">
      <c r="A66" s="314" t="str">
        <f>IFS($B66=FALSE,"",$B66,VLOOKUP($B66,'PATIENT DATA (072721)'!A:C, 2, 0))</f>
        <v>GANDARA, ISIDRA</v>
      </c>
      <c r="B66" s="314">
        <v>10780.0</v>
      </c>
      <c r="C66" s="316" t="str">
        <f>IF(COUNTIF('PATIENT DATA (072721)'!A:A, B66)=0, "X","✓")</f>
        <v>✓</v>
      </c>
      <c r="D66" s="317">
        <f>IFS($B66=FALSE,"",$B66,VLOOKUP($B66,'PATIENT DATA (072721)'!A:C, 3, 0))</f>
        <v>17668</v>
      </c>
      <c r="E66" s="318">
        <v>44565.0</v>
      </c>
      <c r="F66" s="315" t="str">
        <f>ifs($B66="","",$B66, VLOOKUP($B66&amp;$E66, 'VISIT DATA'!A:O,3,0))</f>
        <v>#N/A</v>
      </c>
      <c r="G66" s="314"/>
      <c r="H66" s="314" t="str">
        <f>ifs($B66="","",$B66, VLOOKUP($B66&amp;$E66, 'VISIT DATA'!$A:$O,13,0))</f>
        <v>#N/A</v>
      </c>
      <c r="I66" s="314" t="str">
        <f>VLOOKUP($B66&amp;$E66,'VISIT DATA'!A:J, 9, FALSE)</f>
        <v>#N/A</v>
      </c>
      <c r="J66" s="314" t="str">
        <f>VLOOKUP(B66&amp;E66,'VISIT DATA'!A:N,10,FALSE)</f>
        <v>#N/A</v>
      </c>
      <c r="K66" s="316"/>
      <c r="L66" s="314"/>
      <c r="M66" s="314"/>
      <c r="N66" s="316"/>
      <c r="O66" s="316" t="str">
        <f t="shared" si="1"/>
        <v>X</v>
      </c>
      <c r="P66" s="317" t="str">
        <f t="shared" si="2"/>
        <v>#N/A</v>
      </c>
      <c r="Q66" s="317" t="str">
        <f t="shared" si="3"/>
        <v>#N/A</v>
      </c>
      <c r="R66" s="319" t="str">
        <f t="shared" si="4"/>
        <v>#N/A</v>
      </c>
      <c r="S66" s="314" t="str">
        <f t="shared" si="5"/>
        <v>#N/A</v>
      </c>
      <c r="T66" s="314" t="str">
        <f t="shared" si="6"/>
        <v>#N/A</v>
      </c>
      <c r="U66" s="314">
        <f t="shared" si="7"/>
        <v>0</v>
      </c>
      <c r="V66" s="314" t="str">
        <f>ifs($N66="",VLOOKUP($B66&amp;$E66,'VISIT DATA'!$A$2:$J244,7,FALSE), $N66="SWAB","OUTSA-RW",$N66="SWQU","OUTSA-SaQu", AND($L66="X",$M66="X",$N66="QUEST"),"OUT-UAQPre",$N66="QUEST","OUT-UAQ", $N66="Walk in","ColUATele")</f>
        <v>#N/A</v>
      </c>
      <c r="W66" s="314" t="str">
        <f t="shared" si="8"/>
        <v>#N/A</v>
      </c>
      <c r="X66" s="314" t="str">
        <f t="shared" si="9"/>
        <v>#N/A</v>
      </c>
      <c r="Y66" s="314" t="str">
        <f t="shared" si="10"/>
        <v>#N/A</v>
      </c>
      <c r="Z66" s="314" t="str">
        <f t="shared" si="11"/>
        <v> </v>
      </c>
      <c r="AA66" s="316"/>
    </row>
    <row r="67">
      <c r="A67" s="314" t="str">
        <f>IFS($B67=FALSE,"",$B67,VLOOKUP($B67,'PATIENT DATA (072721)'!A:C, 2, 0))</f>
        <v>ZUNIGA, ROSAURA G</v>
      </c>
      <c r="B67" s="314">
        <v>14212.0</v>
      </c>
      <c r="C67" s="316" t="str">
        <f>IF(COUNTIF('PATIENT DATA (072721)'!A:A, B67)=0, "X","✓")</f>
        <v>✓</v>
      </c>
      <c r="D67" s="317">
        <f>IFS($B67=FALSE,"",$B67,VLOOKUP($B67,'PATIENT DATA (072721)'!A:C, 3, 0))</f>
        <v>21952</v>
      </c>
      <c r="E67" s="318">
        <v>44564.0</v>
      </c>
      <c r="F67" s="315" t="str">
        <f>ifs($B67="","",$B67, VLOOKUP($B67&amp;$E67, 'VISIT DATA'!A:O,3,0))</f>
        <v>#N/A</v>
      </c>
      <c r="G67" s="314"/>
      <c r="H67" s="314" t="str">
        <f>ifs($B67="","",$B67, VLOOKUP($B67&amp;$E67, 'VISIT DATA'!$A:$O,13,0))</f>
        <v>#N/A</v>
      </c>
      <c r="I67" s="314" t="str">
        <f>VLOOKUP($B67&amp;$E67,'VISIT DATA'!A:J, 9, FALSE)</f>
        <v>#N/A</v>
      </c>
      <c r="J67" s="314" t="str">
        <f>VLOOKUP(B67&amp;E67,'VISIT DATA'!A:N,10,FALSE)</f>
        <v>#N/A</v>
      </c>
      <c r="K67" s="316"/>
      <c r="L67" s="314"/>
      <c r="M67" s="314"/>
      <c r="N67" s="316"/>
      <c r="O67" s="316" t="str">
        <f t="shared" si="1"/>
        <v>X</v>
      </c>
      <c r="P67" s="317" t="str">
        <f t="shared" si="2"/>
        <v>#N/A</v>
      </c>
      <c r="Q67" s="317" t="str">
        <f t="shared" si="3"/>
        <v>#N/A</v>
      </c>
      <c r="R67" s="319" t="str">
        <f t="shared" si="4"/>
        <v>#N/A</v>
      </c>
      <c r="S67" s="314" t="str">
        <f t="shared" si="5"/>
        <v>#N/A</v>
      </c>
      <c r="T67" s="314" t="str">
        <f t="shared" si="6"/>
        <v>#N/A</v>
      </c>
      <c r="U67" s="314">
        <f t="shared" si="7"/>
        <v>0</v>
      </c>
      <c r="V67" s="314" t="str">
        <f>ifs($N67="",VLOOKUP($B67&amp;$E67,'VISIT DATA'!$A$2:$J244,7,FALSE), $N67="SWAB","OUTSA-RW",$N67="SWQU","OUTSA-SaQu", AND($L67="X",$M67="X",$N67="QUEST"),"OUT-UAQPre",$N67="QUEST","OUT-UAQ", $N67="Walk in","ColUATele")</f>
        <v>#N/A</v>
      </c>
      <c r="W67" s="314" t="str">
        <f t="shared" si="8"/>
        <v>#N/A</v>
      </c>
      <c r="X67" s="314" t="str">
        <f t="shared" si="9"/>
        <v>#N/A</v>
      </c>
      <c r="Y67" s="314" t="str">
        <f t="shared" si="10"/>
        <v>#N/A</v>
      </c>
      <c r="Z67" s="314" t="str">
        <f t="shared" si="11"/>
        <v> </v>
      </c>
      <c r="AA67" s="316"/>
    </row>
    <row r="68">
      <c r="A68" s="314" t="str">
        <f>IFS($B68=FALSE,"",$B68,VLOOKUP($B68,'PATIENT DATA (072721)'!A:C, 2, 0))</f>
        <v>PAGE, TYLER</v>
      </c>
      <c r="B68" s="314">
        <v>13850.0</v>
      </c>
      <c r="C68" s="316" t="str">
        <f>IF(COUNTIF('PATIENT DATA (072721)'!A:A, B68)=0, "X","✓")</f>
        <v>✓</v>
      </c>
      <c r="D68" s="317">
        <f>IFS($B68=FALSE,"",$B68,VLOOKUP($B68,'PATIENT DATA (072721)'!A:C, 3, 0))</f>
        <v>27494</v>
      </c>
      <c r="E68" s="318">
        <v>44564.0</v>
      </c>
      <c r="F68" s="315" t="str">
        <f>ifs($B68="","",$B68, VLOOKUP($B68&amp;$E68, 'VISIT DATA'!A:O,3,0))</f>
        <v>#N/A</v>
      </c>
      <c r="G68" s="314"/>
      <c r="H68" s="314" t="str">
        <f>ifs($B68="","",$B68, VLOOKUP($B68&amp;$E68, 'VISIT DATA'!$A:$O,13,0))</f>
        <v>#N/A</v>
      </c>
      <c r="I68" s="314" t="str">
        <f>VLOOKUP($B68&amp;$E68,'VISIT DATA'!A:J, 9, FALSE)</f>
        <v>#N/A</v>
      </c>
      <c r="J68" s="314" t="str">
        <f>VLOOKUP(B68&amp;E68,'VISIT DATA'!A:N,10,FALSE)</f>
        <v>#N/A</v>
      </c>
      <c r="K68" s="316"/>
      <c r="L68" s="314"/>
      <c r="M68" s="314"/>
      <c r="N68" s="316"/>
      <c r="O68" s="316" t="str">
        <f t="shared" si="1"/>
        <v>X</v>
      </c>
      <c r="P68" s="317" t="str">
        <f t="shared" si="2"/>
        <v>#N/A</v>
      </c>
      <c r="Q68" s="317" t="str">
        <f t="shared" si="3"/>
        <v>#N/A</v>
      </c>
      <c r="R68" s="319" t="str">
        <f t="shared" si="4"/>
        <v>#N/A</v>
      </c>
      <c r="S68" s="314" t="str">
        <f t="shared" si="5"/>
        <v>#N/A</v>
      </c>
      <c r="T68" s="314" t="str">
        <f t="shared" si="6"/>
        <v>#N/A</v>
      </c>
      <c r="U68" s="314">
        <f t="shared" si="7"/>
        <v>0</v>
      </c>
      <c r="V68" s="314" t="str">
        <f>ifs($N68="",VLOOKUP($B68&amp;$E68,'VISIT DATA'!$A$2:$J244,7,FALSE), $N68="SWAB","OUTSA-RW",$N68="SWQU","OUTSA-SaQu", AND($L68="X",$M68="X",$N68="QUEST"),"OUT-UAQPre",$N68="QUEST","OUT-UAQ", $N68="Walk in","ColUATele")</f>
        <v>#N/A</v>
      </c>
      <c r="W68" s="314" t="str">
        <f t="shared" si="8"/>
        <v>#N/A</v>
      </c>
      <c r="X68" s="314" t="str">
        <f t="shared" si="9"/>
        <v>#N/A</v>
      </c>
      <c r="Y68" s="314" t="str">
        <f t="shared" si="10"/>
        <v>#N/A</v>
      </c>
      <c r="Z68" s="314" t="str">
        <f t="shared" si="11"/>
        <v> </v>
      </c>
      <c r="AA68" s="316"/>
    </row>
    <row r="69">
      <c r="A69" s="314" t="str">
        <f>IFS($B69=FALSE,"",$B69,VLOOKUP($B69,'PATIENT DATA (072721)'!A:C, 2, 0))</f>
        <v>MIRANDA, EDWARDO</v>
      </c>
      <c r="B69" s="314">
        <v>9630.0</v>
      </c>
      <c r="C69" s="316" t="str">
        <f>IF(COUNTIF('PATIENT DATA (072721)'!A:A, B69)=0, "X","✓")</f>
        <v>✓</v>
      </c>
      <c r="D69" s="317">
        <f>IFS($B69=FALSE,"",$B69,VLOOKUP($B69,'PATIENT DATA (072721)'!A:C, 3, 0))</f>
        <v>26628</v>
      </c>
      <c r="E69" s="318">
        <v>44564.0</v>
      </c>
      <c r="F69" s="315" t="str">
        <f>ifs($B69="","",$B69, VLOOKUP($B69&amp;$E69, 'VISIT DATA'!A:O,3,0))</f>
        <v>#N/A</v>
      </c>
      <c r="G69" s="314"/>
      <c r="H69" s="314" t="str">
        <f>ifs($B69="","",$B69, VLOOKUP($B69&amp;$E69, 'VISIT DATA'!$A:$O,13,0))</f>
        <v>#N/A</v>
      </c>
      <c r="I69" s="314" t="str">
        <f>VLOOKUP($B69&amp;$E69,'VISIT DATA'!A:J, 9, FALSE)</f>
        <v>#N/A</v>
      </c>
      <c r="J69" s="314" t="str">
        <f>VLOOKUP(B69&amp;E69,'VISIT DATA'!A:N,10,FALSE)</f>
        <v>#N/A</v>
      </c>
      <c r="K69" s="314"/>
      <c r="L69" s="314"/>
      <c r="M69" s="314"/>
      <c r="N69" s="316"/>
      <c r="O69" s="316" t="str">
        <f t="shared" si="1"/>
        <v>X</v>
      </c>
      <c r="P69" s="317" t="str">
        <f t="shared" si="2"/>
        <v>#N/A</v>
      </c>
      <c r="Q69" s="317" t="str">
        <f t="shared" si="3"/>
        <v>#N/A</v>
      </c>
      <c r="R69" s="319" t="str">
        <f t="shared" si="4"/>
        <v>#N/A</v>
      </c>
      <c r="S69" s="314" t="str">
        <f t="shared" si="5"/>
        <v>#N/A</v>
      </c>
      <c r="T69" s="314" t="str">
        <f t="shared" si="6"/>
        <v>#N/A</v>
      </c>
      <c r="U69" s="314">
        <f t="shared" si="7"/>
        <v>0</v>
      </c>
      <c r="V69" s="314" t="str">
        <f>ifs($N69="",VLOOKUP($B69&amp;$E69,'VISIT DATA'!$A$2:$J244,7,FALSE), $N69="SWAB","OUTSA-RW",$N69="SWQU","OUTSA-SaQu", AND($L69="X",$M69="X",$N69="QUEST"),"OUT-UAQPre",$N69="QUEST","OUT-UAQ", $N69="Walk in","ColUATele")</f>
        <v>#N/A</v>
      </c>
      <c r="W69" s="314" t="str">
        <f t="shared" si="8"/>
        <v>#N/A</v>
      </c>
      <c r="X69" s="314" t="str">
        <f t="shared" si="9"/>
        <v>#N/A</v>
      </c>
      <c r="Y69" s="314" t="str">
        <f t="shared" si="10"/>
        <v>#N/A</v>
      </c>
      <c r="Z69" s="314" t="str">
        <f t="shared" si="11"/>
        <v> </v>
      </c>
      <c r="AA69" s="316"/>
    </row>
    <row r="70">
      <c r="A70" s="314" t="str">
        <f>IFS($B70=FALSE,"",$B70,VLOOKUP($B70,'PATIENT DATA (072721)'!A:C, 2, 0))</f>
        <v>DESANTOS- JORDAN, MARIA M</v>
      </c>
      <c r="B70" s="314">
        <v>16235.0</v>
      </c>
      <c r="C70" s="316" t="str">
        <f>IF(COUNTIF('PATIENT DATA (072721)'!A:A, B70)=0, "X","✓")</f>
        <v>✓</v>
      </c>
      <c r="D70" s="317">
        <f>IFS($B70=FALSE,"",$B70,VLOOKUP($B70,'PATIENT DATA (072721)'!A:C, 3, 0))</f>
        <v>21675</v>
      </c>
      <c r="E70" s="318">
        <v>44564.0</v>
      </c>
      <c r="F70" s="315" t="str">
        <f>ifs($B70="","",$B70, VLOOKUP($B70&amp;$E70, 'VISIT DATA'!A:O,3,0))</f>
        <v>#N/A</v>
      </c>
      <c r="G70" s="314"/>
      <c r="H70" s="314" t="str">
        <f>ifs($B70="","",$B70, VLOOKUP($B70&amp;$E70, 'VISIT DATA'!$A:$O,13,0))</f>
        <v>#N/A</v>
      </c>
      <c r="I70" s="314" t="str">
        <f>VLOOKUP($B70&amp;$E70,'VISIT DATA'!A:J, 9, FALSE)</f>
        <v>#N/A</v>
      </c>
      <c r="J70" s="314" t="str">
        <f>VLOOKUP(B70&amp;E70,'VISIT DATA'!A:N,10,FALSE)</f>
        <v>#N/A</v>
      </c>
      <c r="K70" s="314"/>
      <c r="L70" s="314"/>
      <c r="M70" s="314"/>
      <c r="N70" s="316"/>
      <c r="O70" s="316" t="str">
        <f t="shared" si="1"/>
        <v>X</v>
      </c>
      <c r="P70" s="317" t="str">
        <f t="shared" si="2"/>
        <v>#N/A</v>
      </c>
      <c r="Q70" s="317" t="str">
        <f t="shared" si="3"/>
        <v>#N/A</v>
      </c>
      <c r="R70" s="319" t="str">
        <f t="shared" si="4"/>
        <v>#N/A</v>
      </c>
      <c r="S70" s="314" t="str">
        <f t="shared" si="5"/>
        <v>#N/A</v>
      </c>
      <c r="T70" s="314" t="str">
        <f t="shared" si="6"/>
        <v>#N/A</v>
      </c>
      <c r="U70" s="314">
        <f t="shared" si="7"/>
        <v>0</v>
      </c>
      <c r="V70" s="314" t="str">
        <f>ifs($N70="",VLOOKUP($B70&amp;$E70,'VISIT DATA'!$A$2:$J244,7,FALSE), $N70="SWAB","OUTSA-RW",$N70="SWQU","OUTSA-SaQu", AND($L70="X",$M70="X",$N70="QUEST"),"OUT-UAQPre",$N70="QUEST","OUT-UAQ", $N70="Walk in","ColUATele")</f>
        <v>#N/A</v>
      </c>
      <c r="W70" s="314" t="str">
        <f t="shared" si="8"/>
        <v>#N/A</v>
      </c>
      <c r="X70" s="314" t="str">
        <f t="shared" si="9"/>
        <v>#N/A</v>
      </c>
      <c r="Y70" s="314" t="str">
        <f t="shared" si="10"/>
        <v>#N/A</v>
      </c>
      <c r="Z70" s="314" t="str">
        <f t="shared" si="11"/>
        <v> </v>
      </c>
      <c r="AA70" s="316"/>
    </row>
    <row r="71">
      <c r="A71" s="314" t="str">
        <f>IFS($B71=FALSE,"",$B71,VLOOKUP($B71,'PATIENT DATA (072721)'!A:C, 2, 0))</f>
        <v>AGUIRRE, MARIA A</v>
      </c>
      <c r="B71" s="314">
        <v>16505.0</v>
      </c>
      <c r="C71" s="316" t="str">
        <f>IF(COUNTIF('PATIENT DATA (072721)'!A:A, B71)=0, "X","✓")</f>
        <v>✓</v>
      </c>
      <c r="D71" s="317">
        <f>IFS($B71=FALSE,"",$B71,VLOOKUP($B71,'PATIENT DATA (072721)'!A:C, 3, 0))</f>
        <v>21464</v>
      </c>
      <c r="E71" s="318">
        <v>44564.0</v>
      </c>
      <c r="F71" s="315" t="str">
        <f>ifs($B71="","",$B71, VLOOKUP($B71&amp;$E71, 'VISIT DATA'!A:O,3,0))</f>
        <v>#N/A</v>
      </c>
      <c r="G71" s="314"/>
      <c r="H71" s="314" t="str">
        <f>ifs($B71="","",$B71, VLOOKUP($B71&amp;$E71, 'VISIT DATA'!$A:$O,13,0))</f>
        <v>#N/A</v>
      </c>
      <c r="I71" s="314" t="str">
        <f>VLOOKUP($B71&amp;$E71,'VISIT DATA'!A:J, 9, FALSE)</f>
        <v>#N/A</v>
      </c>
      <c r="J71" s="314" t="str">
        <f>VLOOKUP(B71&amp;E71,'VISIT DATA'!A:N,10,FALSE)</f>
        <v>#N/A</v>
      </c>
      <c r="K71" s="316"/>
      <c r="L71" s="314"/>
      <c r="M71" s="314"/>
      <c r="N71" s="316"/>
      <c r="O71" s="316" t="str">
        <f t="shared" si="1"/>
        <v>X</v>
      </c>
      <c r="P71" s="317" t="str">
        <f t="shared" si="2"/>
        <v>#N/A</v>
      </c>
      <c r="Q71" s="317" t="str">
        <f t="shared" si="3"/>
        <v>#N/A</v>
      </c>
      <c r="R71" s="319" t="str">
        <f t="shared" si="4"/>
        <v>#N/A</v>
      </c>
      <c r="S71" s="314" t="str">
        <f t="shared" si="5"/>
        <v>#N/A</v>
      </c>
      <c r="T71" s="314" t="str">
        <f t="shared" si="6"/>
        <v>#N/A</v>
      </c>
      <c r="U71" s="314">
        <f t="shared" si="7"/>
        <v>0</v>
      </c>
      <c r="V71" s="314" t="str">
        <f>ifs($N71="",VLOOKUP($B71&amp;$E71,'VISIT DATA'!$A$2:$J244,7,FALSE), $N71="SWAB","OUTSA-RW",$N71="SWQU","OUTSA-SaQu", AND($L71="X",$M71="X",$N71="QUEST"),"OUT-UAQPre",$N71="QUEST","OUT-UAQ", $N71="Walk in","ColUATele")</f>
        <v>#N/A</v>
      </c>
      <c r="W71" s="314" t="str">
        <f t="shared" si="8"/>
        <v>#N/A</v>
      </c>
      <c r="X71" s="314" t="str">
        <f t="shared" si="9"/>
        <v>#N/A</v>
      </c>
      <c r="Y71" s="314" t="str">
        <f t="shared" si="10"/>
        <v>#N/A</v>
      </c>
      <c r="Z71" s="314" t="str">
        <f t="shared" si="11"/>
        <v> </v>
      </c>
      <c r="AA71" s="316"/>
    </row>
    <row r="72">
      <c r="A72" s="314" t="str">
        <f>IFS($B72=FALSE,"",$B72,VLOOKUP($B72,'PATIENT DATA (072721)'!A:C, 2, 0))</f>
        <v>PARGA, JULIA</v>
      </c>
      <c r="B72" s="314">
        <v>12749.0</v>
      </c>
      <c r="C72" s="316" t="str">
        <f>IF(COUNTIF('PATIENT DATA (072721)'!A:A, B72)=0, "X","✓")</f>
        <v>✓</v>
      </c>
      <c r="D72" s="317">
        <f>IFS($B72=FALSE,"",$B72,VLOOKUP($B72,'PATIENT DATA (072721)'!A:C, 3, 0))</f>
        <v>14564</v>
      </c>
      <c r="E72" s="318">
        <v>44564.0</v>
      </c>
      <c r="F72" s="315" t="str">
        <f>ifs($B72="","",$B72, VLOOKUP($B72&amp;$E72, 'VISIT DATA'!A:O,3,0))</f>
        <v>#N/A</v>
      </c>
      <c r="G72" s="314"/>
      <c r="H72" s="314" t="str">
        <f>ifs($B72="","",$B72, VLOOKUP($B72&amp;$E72, 'VISIT DATA'!$A:$O,13,0))</f>
        <v>#N/A</v>
      </c>
      <c r="I72" s="314" t="str">
        <f>VLOOKUP($B72&amp;$E72,'VISIT DATA'!A:J, 9, FALSE)</f>
        <v>#N/A</v>
      </c>
      <c r="J72" s="314" t="str">
        <f>VLOOKUP(B72&amp;E72,'VISIT DATA'!A:N,10,FALSE)</f>
        <v>#N/A</v>
      </c>
      <c r="K72" s="316"/>
      <c r="L72" s="314"/>
      <c r="M72" s="314"/>
      <c r="N72" s="316"/>
      <c r="O72" s="316" t="str">
        <f t="shared" si="1"/>
        <v>X</v>
      </c>
      <c r="P72" s="317" t="str">
        <f t="shared" si="2"/>
        <v>#N/A</v>
      </c>
      <c r="Q72" s="317" t="str">
        <f t="shared" si="3"/>
        <v>#N/A</v>
      </c>
      <c r="R72" s="319" t="str">
        <f t="shared" si="4"/>
        <v>#N/A</v>
      </c>
      <c r="S72" s="314" t="str">
        <f t="shared" si="5"/>
        <v>#N/A</v>
      </c>
      <c r="T72" s="314" t="str">
        <f t="shared" si="6"/>
        <v>#N/A</v>
      </c>
      <c r="U72" s="314">
        <f t="shared" si="7"/>
        <v>0</v>
      </c>
      <c r="V72" s="314" t="str">
        <f>ifs($N72="",VLOOKUP($B72&amp;$E72,'VISIT DATA'!$A$2:$J244,7,FALSE), $N72="SWAB","OUTSA-RW",$N72="SWQU","OUTSA-SaQu", AND($L72="X",$M72="X",$N72="QUEST"),"OUT-UAQPre",$N72="QUEST","OUT-UAQ", $N72="Walk in","ColUATele")</f>
        <v>#N/A</v>
      </c>
      <c r="W72" s="314" t="str">
        <f t="shared" si="8"/>
        <v>#N/A</v>
      </c>
      <c r="X72" s="314" t="str">
        <f t="shared" si="9"/>
        <v>#N/A</v>
      </c>
      <c r="Y72" s="314" t="str">
        <f t="shared" si="10"/>
        <v>#N/A</v>
      </c>
      <c r="Z72" s="314" t="str">
        <f t="shared" si="11"/>
        <v> </v>
      </c>
      <c r="AA72" s="316"/>
    </row>
    <row r="73">
      <c r="A73" s="314" t="str">
        <f>IFS($B73=FALSE,"",$B73,VLOOKUP($B73,'PATIENT DATA (072721)'!A:C, 2, 0))</f>
        <v>DOZAL, HECTOR F</v>
      </c>
      <c r="B73" s="314">
        <v>9171.0</v>
      </c>
      <c r="C73" s="316" t="str">
        <f>IF(COUNTIF('PATIENT DATA (072721)'!A:A, B73)=0, "X","✓")</f>
        <v>✓</v>
      </c>
      <c r="D73" s="317">
        <f>IFS($B73=FALSE,"",$B73,VLOOKUP($B73,'PATIENT DATA (072721)'!A:C, 3, 0))</f>
        <v>20896</v>
      </c>
      <c r="E73" s="318">
        <v>44564.0</v>
      </c>
      <c r="F73" s="315" t="str">
        <f>ifs($B73="","",$B73, VLOOKUP($B73&amp;$E73, 'VISIT DATA'!A:O,3,0))</f>
        <v>#N/A</v>
      </c>
      <c r="G73" s="314"/>
      <c r="H73" s="314" t="str">
        <f>ifs($B73="","",$B73, VLOOKUP($B73&amp;$E73, 'VISIT DATA'!$A:$O,13,0))</f>
        <v>#N/A</v>
      </c>
      <c r="I73" s="314" t="str">
        <f>VLOOKUP($B73&amp;$E73,'VISIT DATA'!A:J, 9, FALSE)</f>
        <v>#N/A</v>
      </c>
      <c r="J73" s="314" t="str">
        <f>VLOOKUP(B73&amp;E73,'VISIT DATA'!A:N,10,FALSE)</f>
        <v>#N/A</v>
      </c>
      <c r="K73" s="316"/>
      <c r="L73" s="314"/>
      <c r="M73" s="314"/>
      <c r="N73" s="316"/>
      <c r="O73" s="316" t="str">
        <f t="shared" si="1"/>
        <v>X</v>
      </c>
      <c r="P73" s="317" t="str">
        <f t="shared" si="2"/>
        <v>#N/A</v>
      </c>
      <c r="Q73" s="317" t="str">
        <f t="shared" si="3"/>
        <v>#N/A</v>
      </c>
      <c r="R73" s="319" t="str">
        <f t="shared" si="4"/>
        <v>#N/A</v>
      </c>
      <c r="S73" s="314" t="str">
        <f t="shared" si="5"/>
        <v>#N/A</v>
      </c>
      <c r="T73" s="314" t="str">
        <f t="shared" si="6"/>
        <v>#N/A</v>
      </c>
      <c r="U73" s="314">
        <f t="shared" si="7"/>
        <v>0</v>
      </c>
      <c r="V73" s="314" t="str">
        <f>ifs($N73="",VLOOKUP($B73&amp;$E73,'VISIT DATA'!$A$2:$J244,7,FALSE), $N73="SWAB","OUTSA-RW",$N73="SWQU","OUTSA-SaQu", AND($L73="X",$M73="X",$N73="QUEST"),"OUT-UAQPre",$N73="QUEST","OUT-UAQ", $N73="Walk in","ColUATele")</f>
        <v>#N/A</v>
      </c>
      <c r="W73" s="314" t="str">
        <f t="shared" si="8"/>
        <v>#N/A</v>
      </c>
      <c r="X73" s="314" t="str">
        <f t="shared" si="9"/>
        <v>#N/A</v>
      </c>
      <c r="Y73" s="314" t="str">
        <f t="shared" si="10"/>
        <v>#N/A</v>
      </c>
      <c r="Z73" s="314" t="str">
        <f t="shared" si="11"/>
        <v> </v>
      </c>
      <c r="AA73" s="316"/>
    </row>
    <row r="74">
      <c r="A74" s="314" t="str">
        <f>IFS($B74=FALSE,"",$B74,VLOOKUP($B74,'PATIENT DATA (072721)'!A:C, 2, 0))</f>
        <v>GARCIA, LUCIO</v>
      </c>
      <c r="B74" s="314">
        <v>10741.0</v>
      </c>
      <c r="C74" s="316" t="str">
        <f>IF(COUNTIF('PATIENT DATA (072721)'!A:A, B74)=0, "X","✓")</f>
        <v>✓</v>
      </c>
      <c r="D74" s="317">
        <f>IFS($B74=FALSE,"",$B74,VLOOKUP($B74,'PATIENT DATA (072721)'!A:C, 3, 0))</f>
        <v>18129</v>
      </c>
      <c r="E74" s="318">
        <v>44564.0</v>
      </c>
      <c r="F74" s="315" t="str">
        <f>ifs($B74="","",$B74, VLOOKUP($B74&amp;$E74, 'VISIT DATA'!A:O,3,0))</f>
        <v>#N/A</v>
      </c>
      <c r="G74" s="314"/>
      <c r="H74" s="314" t="str">
        <f>ifs($B74="","",$B74, VLOOKUP($B74&amp;$E74, 'VISIT DATA'!$A:$O,13,0))</f>
        <v>#N/A</v>
      </c>
      <c r="I74" s="314" t="str">
        <f>VLOOKUP($B74&amp;$E74,'VISIT DATA'!A:J, 9, FALSE)</f>
        <v>#N/A</v>
      </c>
      <c r="J74" s="314" t="str">
        <f>VLOOKUP(B74&amp;E74,'VISIT DATA'!A:N,10,FALSE)</f>
        <v>#N/A</v>
      </c>
      <c r="K74" s="316"/>
      <c r="L74" s="314"/>
      <c r="M74" s="314"/>
      <c r="N74" s="316"/>
      <c r="O74" s="316" t="str">
        <f t="shared" si="1"/>
        <v>X</v>
      </c>
      <c r="P74" s="317" t="str">
        <f t="shared" si="2"/>
        <v>#N/A</v>
      </c>
      <c r="Q74" s="317" t="str">
        <f t="shared" si="3"/>
        <v>#N/A</v>
      </c>
      <c r="R74" s="319" t="str">
        <f t="shared" si="4"/>
        <v>#N/A</v>
      </c>
      <c r="S74" s="314" t="str">
        <f t="shared" si="5"/>
        <v>#N/A</v>
      </c>
      <c r="T74" s="314" t="str">
        <f t="shared" si="6"/>
        <v>#N/A</v>
      </c>
      <c r="U74" s="314">
        <f t="shared" si="7"/>
        <v>0</v>
      </c>
      <c r="V74" s="314" t="str">
        <f>ifs($N74="",VLOOKUP($B74&amp;$E74,'VISIT DATA'!$A$2:$J244,7,FALSE), $N74="SWAB","OUTSA-RW",$N74="SWQU","OUTSA-SaQu", AND($L74="X",$M74="X",$N74="QUEST"),"OUT-UAQPre",$N74="QUEST","OUT-UAQ", $N74="Walk in","ColUATele")</f>
        <v>#N/A</v>
      </c>
      <c r="W74" s="314" t="str">
        <f t="shared" si="8"/>
        <v>#N/A</v>
      </c>
      <c r="X74" s="314" t="str">
        <f t="shared" si="9"/>
        <v>#N/A</v>
      </c>
      <c r="Y74" s="314" t="str">
        <f t="shared" si="10"/>
        <v>#N/A</v>
      </c>
      <c r="Z74" s="314" t="str">
        <f t="shared" si="11"/>
        <v> </v>
      </c>
      <c r="AA74" s="316"/>
    </row>
    <row r="75">
      <c r="A75" s="314" t="str">
        <f>IFS($B75=FALSE,"",$B75,VLOOKUP($B75,'PATIENT DATA (072721)'!A:C, 2, 0))</f>
        <v>BUCHER, JACQUELINE</v>
      </c>
      <c r="B75" s="314">
        <v>15046.0</v>
      </c>
      <c r="C75" s="316" t="str">
        <f>IF(COUNTIF('PATIENT DATA (072721)'!A:A, B75)=0, "X","✓")</f>
        <v>✓</v>
      </c>
      <c r="D75" s="317">
        <f>IFS($B75=FALSE,"",$B75,VLOOKUP($B75,'PATIENT DATA (072721)'!A:C, 3, 0))</f>
        <v>35872</v>
      </c>
      <c r="E75" s="318">
        <v>44564.0</v>
      </c>
      <c r="F75" s="315" t="str">
        <f>ifs($B75="","",$B75, VLOOKUP($B75&amp;$E75, 'VISIT DATA'!A:O,3,0))</f>
        <v>#N/A</v>
      </c>
      <c r="G75" s="314"/>
      <c r="H75" s="314" t="str">
        <f>ifs($B75="","",$B75, VLOOKUP($B75&amp;$E75, 'VISIT DATA'!$A:$O,13,0))</f>
        <v>#N/A</v>
      </c>
      <c r="I75" s="314" t="str">
        <f>VLOOKUP($B75&amp;$E75,'VISIT DATA'!A:J, 9, FALSE)</f>
        <v>#N/A</v>
      </c>
      <c r="J75" s="314" t="str">
        <f>VLOOKUP(B75&amp;E75,'VISIT DATA'!A:N,10,FALSE)</f>
        <v>#N/A</v>
      </c>
      <c r="K75" s="316"/>
      <c r="L75" s="314"/>
      <c r="M75" s="314"/>
      <c r="N75" s="316"/>
      <c r="O75" s="316" t="str">
        <f t="shared" si="1"/>
        <v>X</v>
      </c>
      <c r="P75" s="317" t="str">
        <f t="shared" si="2"/>
        <v>#N/A</v>
      </c>
      <c r="Q75" s="317" t="str">
        <f t="shared" si="3"/>
        <v>#N/A</v>
      </c>
      <c r="R75" s="319" t="str">
        <f t="shared" si="4"/>
        <v>#N/A</v>
      </c>
      <c r="S75" s="314" t="str">
        <f t="shared" si="5"/>
        <v>#N/A</v>
      </c>
      <c r="T75" s="314" t="str">
        <f t="shared" si="6"/>
        <v>#N/A</v>
      </c>
      <c r="U75" s="314">
        <f t="shared" si="7"/>
        <v>0</v>
      </c>
      <c r="V75" s="314" t="str">
        <f>ifs($N75="",VLOOKUP($B75&amp;$E75,'VISIT DATA'!$A$2:$J244,7,FALSE), $N75="SWAB","OUTSA-RW",$N75="SWQU","OUTSA-SaQu", AND($L75="X",$M75="X",$N75="QUEST"),"OUT-UAQPre",$N75="QUEST","OUT-UAQ", $N75="Walk in","ColUATele")</f>
        <v>#N/A</v>
      </c>
      <c r="W75" s="314" t="str">
        <f t="shared" si="8"/>
        <v>#N/A</v>
      </c>
      <c r="X75" s="314" t="str">
        <f t="shared" si="9"/>
        <v>#N/A</v>
      </c>
      <c r="Y75" s="314" t="str">
        <f t="shared" si="10"/>
        <v>#N/A</v>
      </c>
      <c r="Z75" s="314" t="str">
        <f t="shared" si="11"/>
        <v> </v>
      </c>
      <c r="AA75" s="316"/>
    </row>
    <row r="76">
      <c r="A76" s="314" t="str">
        <f>IFS($B76=FALSE,"",$B76,VLOOKUP($B76,'PATIENT DATA (072721)'!A:C, 2, 0))</f>
        <v>LOPEZ, CONSUELO Y</v>
      </c>
      <c r="B76" s="314">
        <v>15862.0</v>
      </c>
      <c r="C76" s="316" t="str">
        <f>IF(COUNTIF('PATIENT DATA (072721)'!A:A, B76)=0, "X","✓")</f>
        <v>✓</v>
      </c>
      <c r="D76" s="317">
        <f>IFS($B76=FALSE,"",$B76,VLOOKUP($B76,'PATIENT DATA (072721)'!A:C, 3, 0))</f>
        <v>15971</v>
      </c>
      <c r="E76" s="318">
        <v>44564.0</v>
      </c>
      <c r="F76" s="315" t="str">
        <f>ifs($B76="","",$B76, VLOOKUP($B76&amp;$E76, 'VISIT DATA'!A:O,3,0))</f>
        <v>#N/A</v>
      </c>
      <c r="G76" s="314"/>
      <c r="H76" s="314" t="str">
        <f>ifs($B76="","",$B76, VLOOKUP($B76&amp;$E76, 'VISIT DATA'!$A:$O,13,0))</f>
        <v>#N/A</v>
      </c>
      <c r="I76" s="314" t="str">
        <f>VLOOKUP($B76&amp;$E76,'VISIT DATA'!A:J, 9, FALSE)</f>
        <v>#N/A</v>
      </c>
      <c r="J76" s="314" t="str">
        <f>VLOOKUP(B76&amp;E76,'VISIT DATA'!A:N,10,FALSE)</f>
        <v>#N/A</v>
      </c>
      <c r="K76" s="316"/>
      <c r="L76" s="314"/>
      <c r="M76" s="314"/>
      <c r="N76" s="316"/>
      <c r="O76" s="316" t="str">
        <f t="shared" si="1"/>
        <v>X</v>
      </c>
      <c r="P76" s="317" t="str">
        <f t="shared" si="2"/>
        <v>#N/A</v>
      </c>
      <c r="Q76" s="317" t="str">
        <f t="shared" si="3"/>
        <v>#N/A</v>
      </c>
      <c r="R76" s="319" t="str">
        <f t="shared" si="4"/>
        <v>#N/A</v>
      </c>
      <c r="S76" s="314" t="str">
        <f t="shared" si="5"/>
        <v>#N/A</v>
      </c>
      <c r="T76" s="314" t="str">
        <f t="shared" si="6"/>
        <v>#N/A</v>
      </c>
      <c r="U76" s="314">
        <f t="shared" si="7"/>
        <v>0</v>
      </c>
      <c r="V76" s="314" t="str">
        <f>ifs($N76="",VLOOKUP($B76&amp;$E76,'VISIT DATA'!$A$2:$J244,7,FALSE), $N76="SWAB","OUTSA-RW",$N76="SWQU","OUTSA-SaQu", AND($L76="X",$M76="X",$N76="QUEST"),"OUT-UAQPre",$N76="QUEST","OUT-UAQ", $N76="Walk in","ColUATele")</f>
        <v>#N/A</v>
      </c>
      <c r="W76" s="314" t="str">
        <f t="shared" si="8"/>
        <v>#N/A</v>
      </c>
      <c r="X76" s="314" t="str">
        <f t="shared" si="9"/>
        <v>#N/A</v>
      </c>
      <c r="Y76" s="314" t="str">
        <f t="shared" si="10"/>
        <v>#N/A</v>
      </c>
      <c r="Z76" s="314" t="str">
        <f t="shared" si="11"/>
        <v> </v>
      </c>
      <c r="AA76" s="316"/>
    </row>
    <row r="77">
      <c r="A77" s="314" t="str">
        <f>IFS($B77=FALSE,"",$B77,VLOOKUP($B77,'PATIENT DATA (072721)'!A:C, 2, 0))</f>
        <v>NEAL, FELICIA R</v>
      </c>
      <c r="B77" s="314">
        <v>17372.0</v>
      </c>
      <c r="C77" s="316" t="str">
        <f>IF(COUNTIF('PATIENT DATA (072721)'!A:A, B77)=0, "X","✓")</f>
        <v>✓</v>
      </c>
      <c r="D77" s="317">
        <f>IFS($B77=FALSE,"",$B77,VLOOKUP($B77,'PATIENT DATA (072721)'!A:C, 3, 0))</f>
        <v>28927</v>
      </c>
      <c r="E77" s="318">
        <v>44564.0</v>
      </c>
      <c r="F77" s="315" t="str">
        <f>ifs($B77="","",$B77, VLOOKUP($B77&amp;$E77, 'VISIT DATA'!A:O,3,0))</f>
        <v>#N/A</v>
      </c>
      <c r="G77" s="314"/>
      <c r="H77" s="314" t="str">
        <f>ifs($B77="","",$B77, VLOOKUP($B77&amp;$E77, 'VISIT DATA'!$A:$O,13,0))</f>
        <v>#N/A</v>
      </c>
      <c r="I77" s="314" t="str">
        <f>VLOOKUP($B77&amp;$E77,'VISIT DATA'!A:J, 9, FALSE)</f>
        <v>#N/A</v>
      </c>
      <c r="J77" s="314" t="str">
        <f>VLOOKUP(B77&amp;E77,'VISIT DATA'!A:N,10,FALSE)</f>
        <v>#N/A</v>
      </c>
      <c r="K77" s="316"/>
      <c r="L77" s="314"/>
      <c r="M77" s="314"/>
      <c r="N77" s="316"/>
      <c r="O77" s="316" t="str">
        <f t="shared" si="1"/>
        <v>X</v>
      </c>
      <c r="P77" s="317" t="str">
        <f t="shared" si="2"/>
        <v>#N/A</v>
      </c>
      <c r="Q77" s="317" t="str">
        <f t="shared" si="3"/>
        <v>#N/A</v>
      </c>
      <c r="R77" s="319" t="str">
        <f t="shared" si="4"/>
        <v>#N/A</v>
      </c>
      <c r="S77" s="314" t="str">
        <f t="shared" si="5"/>
        <v>#N/A</v>
      </c>
      <c r="T77" s="314" t="str">
        <f t="shared" si="6"/>
        <v>#N/A</v>
      </c>
      <c r="U77" s="314">
        <f t="shared" si="7"/>
        <v>0</v>
      </c>
      <c r="V77" s="314" t="str">
        <f>ifs($N77="",VLOOKUP($B77&amp;$E77,'VISIT DATA'!$A$2:$J244,7,FALSE), $N77="SWAB","OUTSA-RW",$N77="SWQU","OUTSA-SaQu", AND($L77="X",$M77="X",$N77="QUEST"),"OUT-UAQPre",$N77="QUEST","OUT-UAQ", $N77="Walk in","ColUATele")</f>
        <v>#N/A</v>
      </c>
      <c r="W77" s="314" t="str">
        <f t="shared" si="8"/>
        <v>#N/A</v>
      </c>
      <c r="X77" s="314" t="str">
        <f t="shared" si="9"/>
        <v>#N/A</v>
      </c>
      <c r="Y77" s="314" t="str">
        <f t="shared" si="10"/>
        <v>#N/A</v>
      </c>
      <c r="Z77" s="314" t="str">
        <f t="shared" si="11"/>
        <v> </v>
      </c>
      <c r="AA77" s="316"/>
    </row>
    <row r="78">
      <c r="A78" s="314" t="str">
        <f>IFS($B78=FALSE,"",$B78,VLOOKUP($B78,'PATIENT DATA (072721)'!A:C, 2, 0))</f>
        <v>NYGAARD, JILL</v>
      </c>
      <c r="B78" s="314">
        <v>13800.0</v>
      </c>
      <c r="C78" s="316" t="str">
        <f>IF(COUNTIF('PATIENT DATA (072721)'!A:A, B78)=0, "X","✓")</f>
        <v>✓</v>
      </c>
      <c r="D78" s="317">
        <f>IFS($B78=FALSE,"",$B78,VLOOKUP($B78,'PATIENT DATA (072721)'!A:C, 3, 0))</f>
        <v>21061</v>
      </c>
      <c r="E78" s="318">
        <v>44564.0</v>
      </c>
      <c r="F78" s="315" t="str">
        <f>ifs($B78="","",$B78, VLOOKUP($B78&amp;$E78, 'VISIT DATA'!A:O,3,0))</f>
        <v>#N/A</v>
      </c>
      <c r="G78" s="314"/>
      <c r="H78" s="314" t="str">
        <f>ifs($B78="","",$B78, VLOOKUP($B78&amp;$E78, 'VISIT DATA'!$A:$O,13,0))</f>
        <v>#N/A</v>
      </c>
      <c r="I78" s="314" t="str">
        <f>VLOOKUP($B78&amp;$E78,'VISIT DATA'!A:J, 9, FALSE)</f>
        <v>#N/A</v>
      </c>
      <c r="J78" s="314" t="str">
        <f>VLOOKUP(B78&amp;E78,'VISIT DATA'!A:N,10,FALSE)</f>
        <v>#N/A</v>
      </c>
      <c r="K78" s="316"/>
      <c r="L78" s="314"/>
      <c r="M78" s="314"/>
      <c r="N78" s="316"/>
      <c r="O78" s="316" t="str">
        <f t="shared" si="1"/>
        <v>X</v>
      </c>
      <c r="P78" s="317" t="str">
        <f t="shared" si="2"/>
        <v>#N/A</v>
      </c>
      <c r="Q78" s="317" t="str">
        <f t="shared" si="3"/>
        <v>#N/A</v>
      </c>
      <c r="R78" s="319" t="str">
        <f t="shared" si="4"/>
        <v>#N/A</v>
      </c>
      <c r="S78" s="314" t="str">
        <f t="shared" si="5"/>
        <v>#N/A</v>
      </c>
      <c r="T78" s="314" t="str">
        <f t="shared" si="6"/>
        <v>#N/A</v>
      </c>
      <c r="U78" s="314">
        <f t="shared" si="7"/>
        <v>0</v>
      </c>
      <c r="V78" s="314" t="str">
        <f>ifs($N78="",VLOOKUP($B78&amp;$E78,'VISIT DATA'!$A$2:$J244,7,FALSE), $N78="SWAB","OUTSA-RW",$N78="SWQU","OUTSA-SaQu", AND($L78="X",$M78="X",$N78="QUEST"),"OUT-UAQPre",$N78="QUEST","OUT-UAQ", $N78="Walk in","ColUATele")</f>
        <v>#N/A</v>
      </c>
      <c r="W78" s="314" t="str">
        <f t="shared" si="8"/>
        <v>#N/A</v>
      </c>
      <c r="X78" s="314" t="str">
        <f t="shared" si="9"/>
        <v>#N/A</v>
      </c>
      <c r="Y78" s="314" t="str">
        <f t="shared" si="10"/>
        <v>#N/A</v>
      </c>
      <c r="Z78" s="314" t="str">
        <f t="shared" si="11"/>
        <v> </v>
      </c>
      <c r="AA78" s="316"/>
    </row>
    <row r="79">
      <c r="A79" s="314" t="str">
        <f>IFS($B79=FALSE,"",$B79,VLOOKUP($B79,'PATIENT DATA (072721)'!A:C, 2, 0))</f>
        <v>FLORES, MARCELA</v>
      </c>
      <c r="B79" s="314">
        <v>16942.0</v>
      </c>
      <c r="C79" s="316" t="str">
        <f>IF(COUNTIF('PATIENT DATA (072721)'!A:A, B79)=0, "X","✓")</f>
        <v>✓</v>
      </c>
      <c r="D79" s="317">
        <f>IFS($B79=FALSE,"",$B79,VLOOKUP($B79,'PATIENT DATA (072721)'!A:C, 3, 0))</f>
        <v>21275</v>
      </c>
      <c r="E79" s="318">
        <v>44565.0</v>
      </c>
      <c r="F79" s="315">
        <f>ifs($B79="","",$B79, VLOOKUP($B79&amp;$E79, 'VISIT DATA'!A:O,3,0))</f>
        <v>0.4479166667</v>
      </c>
      <c r="G79" s="314"/>
      <c r="H79" s="314" t="str">
        <f>ifs($B79="","",$B79, VLOOKUP($B79&amp;$E79, 'VISIT DATA'!$A:$O,13,0))</f>
        <v/>
      </c>
      <c r="I79" s="314" t="str">
        <f>VLOOKUP($B79&amp;$E79,'VISIT DATA'!A:J, 9, FALSE)</f>
        <v>LOPEZ</v>
      </c>
      <c r="J79" s="314" t="str">
        <f>VLOOKUP(B79&amp;E79,'VISIT DATA'!A:N,10,FALSE)</f>
        <v>AMBETTER - SUPERIOR</v>
      </c>
      <c r="K79" s="316"/>
      <c r="L79" s="314"/>
      <c r="M79" s="314"/>
      <c r="N79" s="316"/>
      <c r="O79" s="316" t="str">
        <f t="shared" si="1"/>
        <v>X</v>
      </c>
      <c r="P79" s="317" t="str">
        <f t="shared" si="2"/>
        <v>#VALUE!</v>
      </c>
      <c r="Q79" s="317" t="str">
        <f t="shared" si="3"/>
        <v>#VALUE!</v>
      </c>
      <c r="R79" s="319" t="str">
        <f t="shared" si="4"/>
        <v>#VALUE!</v>
      </c>
      <c r="S79" s="314" t="str">
        <f t="shared" si="5"/>
        <v>#VALUE!</v>
      </c>
      <c r="T79" s="314" t="str">
        <f t="shared" si="6"/>
        <v>#VALUE!</v>
      </c>
      <c r="U79" s="314">
        <f t="shared" si="7"/>
        <v>0</v>
      </c>
      <c r="V79" s="314" t="str">
        <f>ifs($N79="",VLOOKUP($B79&amp;$E79,'VISIT DATA'!$A$2:$J244,7,FALSE), $N79="SWAB","OUTSA-RW",$N79="SWQU","OUTSA-SaQu", AND($L79="X",$M79="X",$N79="QUEST"),"OUT-UAQPre",$N79="QUEST","OUT-UAQ", $N79="Walk in","ColUATele")</f>
        <v>UA-NWPT</v>
      </c>
      <c r="W79" s="314" t="str">
        <f t="shared" si="8"/>
        <v>UA-NWPT : UA New Patient</v>
      </c>
      <c r="X79" s="314" t="str">
        <f t="shared" si="9"/>
        <v>#N/A</v>
      </c>
      <c r="Y79" s="314" t="str">
        <f t="shared" si="10"/>
        <v>#N/A</v>
      </c>
      <c r="Z79" s="314" t="str">
        <f t="shared" si="11"/>
        <v> </v>
      </c>
      <c r="AA79" s="316"/>
    </row>
    <row r="80">
      <c r="A80" s="314" t="str">
        <f>IFS($B80=FALSE,"",$B80,VLOOKUP($B80,'PATIENT DATA (072721)'!A:C, 2, 0))</f>
        <v>ORTIZ, ADRIAN</v>
      </c>
      <c r="B80" s="314">
        <v>17815.0</v>
      </c>
      <c r="C80" s="316" t="str">
        <f>IF(COUNTIF('PATIENT DATA (072721)'!A:A, B80)=0, "X","✓")</f>
        <v>✓</v>
      </c>
      <c r="D80" s="317">
        <f>IFS($B80=FALSE,"",$B80,VLOOKUP($B80,'PATIENT DATA (072721)'!A:C, 3, 0))</f>
        <v>26567</v>
      </c>
      <c r="E80" s="318">
        <v>44565.0</v>
      </c>
      <c r="F80" s="315">
        <f>ifs($B80="","",$B80, VLOOKUP($B80&amp;$E80, 'VISIT DATA'!A:O,3,0))</f>
        <v>0.4479166667</v>
      </c>
      <c r="G80" s="314"/>
      <c r="H80" s="314" t="str">
        <f>ifs($B80="","",$B80, VLOOKUP($B80&amp;$E80, 'VISIT DATA'!$A:$O,13,0))</f>
        <v/>
      </c>
      <c r="I80" s="314" t="str">
        <f>VLOOKUP($B80&amp;$E80,'VISIT DATA'!A:J, 9, FALSE)</f>
        <v>LOPEZ</v>
      </c>
      <c r="J80" s="314" t="str">
        <f>VLOOKUP(B80&amp;E80,'VISIT DATA'!A:N,10,FALSE)</f>
        <v>UMR - UNITED HEALTHCARE</v>
      </c>
      <c r="K80" s="316"/>
      <c r="L80" s="314"/>
      <c r="M80" s="314"/>
      <c r="N80" s="316"/>
      <c r="O80" s="316" t="str">
        <f t="shared" si="1"/>
        <v>X</v>
      </c>
      <c r="P80" s="317" t="str">
        <f t="shared" si="2"/>
        <v>#VALUE!</v>
      </c>
      <c r="Q80" s="317" t="str">
        <f t="shared" si="3"/>
        <v>#VALUE!</v>
      </c>
      <c r="R80" s="319" t="str">
        <f t="shared" si="4"/>
        <v>#VALUE!</v>
      </c>
      <c r="S80" s="314" t="str">
        <f t="shared" si="5"/>
        <v>#VALUE!</v>
      </c>
      <c r="T80" s="314" t="str">
        <f t="shared" si="6"/>
        <v>#VALUE!</v>
      </c>
      <c r="U80" s="314">
        <f t="shared" si="7"/>
        <v>0</v>
      </c>
      <c r="V80" s="314" t="str">
        <f>ifs($N80="",VLOOKUP($B80&amp;$E80,'VISIT DATA'!$A$2:$J244,7,FALSE), $N80="SWAB","OUTSA-RW",$N80="SWQU","OUTSA-SaQu", AND($L80="X",$M80="X",$N80="QUEST"),"OUT-UAQPre",$N80="QUEST","OUT-UAQ", $N80="Walk in","ColUATele")</f>
        <v>UA-NWPT</v>
      </c>
      <c r="W80" s="314" t="str">
        <f t="shared" si="8"/>
        <v>UA-NWPT : UA New Patient</v>
      </c>
      <c r="X80" s="314" t="str">
        <f t="shared" si="9"/>
        <v>#N/A</v>
      </c>
      <c r="Y80" s="314" t="str">
        <f t="shared" si="10"/>
        <v>#N/A</v>
      </c>
      <c r="Z80" s="314" t="str">
        <f t="shared" si="11"/>
        <v> </v>
      </c>
      <c r="AA80" s="316"/>
    </row>
    <row r="81">
      <c r="A81" s="314" t="str">
        <f>IFS($B81=FALSE,"",$B81,VLOOKUP($B81,'PATIENT DATA (072721)'!A:C, 2, 0))</f>
        <v>GALINDO, HERMILA</v>
      </c>
      <c r="B81" s="314">
        <v>15069.0</v>
      </c>
      <c r="C81" s="316" t="str">
        <f>IF(COUNTIF('PATIENT DATA (072721)'!A:A, B81)=0, "X","✓")</f>
        <v>✓</v>
      </c>
      <c r="D81" s="317">
        <f>IFS($B81=FALSE,"",$B81,VLOOKUP($B81,'PATIENT DATA (072721)'!A:C, 3, 0))</f>
        <v>17192</v>
      </c>
      <c r="E81" s="318">
        <v>44565.0</v>
      </c>
      <c r="F81" s="315">
        <f>ifs($B81="","",$B81, VLOOKUP($B81&amp;$E81, 'VISIT DATA'!A:O,3,0))</f>
        <v>0.4479166667</v>
      </c>
      <c r="G81" s="314"/>
      <c r="H81" s="314" t="str">
        <f>ifs($B81="","",$B81, VLOOKUP($B81&amp;$E81, 'VISIT DATA'!$A:$O,13,0))</f>
        <v/>
      </c>
      <c r="I81" s="314" t="str">
        <f>VLOOKUP($B81&amp;$E81,'VISIT DATA'!A:J, 9, FALSE)</f>
        <v>THOMAS</v>
      </c>
      <c r="J81" s="314" t="str">
        <f>VLOOKUP(B81&amp;E81,'VISIT DATA'!A:N,10,FALSE)</f>
        <v>WELLMED - HUMANA</v>
      </c>
      <c r="K81" s="316"/>
      <c r="L81" s="314"/>
      <c r="M81" s="314"/>
      <c r="N81" s="316"/>
      <c r="O81" s="316" t="str">
        <f t="shared" si="1"/>
        <v>X</v>
      </c>
      <c r="P81" s="317" t="str">
        <f t="shared" si="2"/>
        <v>X</v>
      </c>
      <c r="Q81" s="317" t="str">
        <f t="shared" si="3"/>
        <v>#VALUE!</v>
      </c>
      <c r="R81" s="319" t="str">
        <f t="shared" si="4"/>
        <v>#VALUE!</v>
      </c>
      <c r="S81" s="314" t="str">
        <f t="shared" si="5"/>
        <v>#VALUE!</v>
      </c>
      <c r="T81" s="314" t="str">
        <f t="shared" si="6"/>
        <v>#VALUE!</v>
      </c>
      <c r="U81" s="314">
        <f t="shared" si="7"/>
        <v>1</v>
      </c>
      <c r="V81" s="314" t="str">
        <f>ifs($N81="",VLOOKUP($B81&amp;$E81,'VISIT DATA'!$A$2:$J244,7,FALSE), $N81="SWAB","OUTSA-RW",$N81="SWQU","OUTSA-SaQu", AND($L81="X",$M81="X",$N81="QUEST"),"OUT-UAQPre",$N81="QUEST","OUT-UAQ", $N81="Walk in","ColUATele")</f>
        <v>OUTUA-FURW</v>
      </c>
      <c r="W81" s="314" t="str">
        <f t="shared" si="8"/>
        <v>OUTUA-FURW : OUT UA FU Redwood</v>
      </c>
      <c r="X81" s="314" t="str">
        <f t="shared" si="9"/>
        <v>#N/A</v>
      </c>
      <c r="Y81" s="314" t="str">
        <f t="shared" si="10"/>
        <v>#N/A</v>
      </c>
      <c r="Z81" s="314" t="str">
        <f t="shared" si="11"/>
        <v> </v>
      </c>
      <c r="AA81" s="316"/>
    </row>
    <row r="82">
      <c r="A82" s="314" t="str">
        <f>IFS($B82=FALSE,"",$B82,VLOOKUP($B82,'PATIENT DATA (072721)'!A:C, 2, 0))</f>
        <v>GILBERT, OLIVER</v>
      </c>
      <c r="B82" s="314">
        <v>11255.0</v>
      </c>
      <c r="C82" s="316" t="str">
        <f>IF(COUNTIF('PATIENT DATA (072721)'!A:A, B82)=0, "X","✓")</f>
        <v>✓</v>
      </c>
      <c r="D82" s="317">
        <f>IFS($B82=FALSE,"",$B82,VLOOKUP($B82,'PATIENT DATA (072721)'!A:C, 3, 0))</f>
        <v>12029</v>
      </c>
      <c r="E82" s="318">
        <v>44565.0</v>
      </c>
      <c r="F82" s="315">
        <f>ifs($B82="","",$B82, VLOOKUP($B82&amp;$E82, 'VISIT DATA'!A:O,3,0))</f>
        <v>0.4583333333</v>
      </c>
      <c r="G82" s="314"/>
      <c r="H82" s="314" t="str">
        <f>ifs($B82="","",$B82, VLOOKUP($B82&amp;$E82, 'VISIT DATA'!$A:$O,13,0))</f>
        <v/>
      </c>
      <c r="I82" s="314" t="str">
        <f>VLOOKUP($B82&amp;$E82,'VISIT DATA'!A:J, 9, FALSE)</f>
        <v>LOPEZ</v>
      </c>
      <c r="J82" s="314" t="str">
        <f>VLOOKUP(B82&amp;E82,'VISIT DATA'!A:N,10,FALSE)</f>
        <v>WPS VA - COMMUNITY CARE</v>
      </c>
      <c r="K82" s="316"/>
      <c r="L82" s="314"/>
      <c r="M82" s="314"/>
      <c r="N82" s="316"/>
      <c r="O82" s="316" t="str">
        <f t="shared" si="1"/>
        <v>X</v>
      </c>
      <c r="P82" s="317" t="str">
        <f t="shared" si="2"/>
        <v>#VALUE!</v>
      </c>
      <c r="Q82" s="317" t="str">
        <f t="shared" si="3"/>
        <v>#VALUE!</v>
      </c>
      <c r="R82" s="319" t="str">
        <f t="shared" si="4"/>
        <v>#VALUE!</v>
      </c>
      <c r="S82" s="314" t="str">
        <f t="shared" si="5"/>
        <v>#VALUE!</v>
      </c>
      <c r="T82" s="314" t="str">
        <f t="shared" si="6"/>
        <v>#VALUE!</v>
      </c>
      <c r="U82" s="314">
        <f t="shared" si="7"/>
        <v>0</v>
      </c>
      <c r="V82" s="314" t="str">
        <f>ifs($N82="",VLOOKUP($B82&amp;$E82,'VISIT DATA'!$A$2:$J244,7,FALSE), $N82="SWAB","OUTSA-RW",$N82="SWQU","OUTSA-SaQu", AND($L82="X",$M82="X",$N82="QUEST"),"OUT-UAQPre",$N82="QUEST","OUT-UAQ", $N82="Walk in","ColUATele")</f>
        <v>UA</v>
      </c>
      <c r="W82" s="314" t="str">
        <f t="shared" si="8"/>
        <v>UA : Urine Analysis In House</v>
      </c>
      <c r="X82" s="314" t="str">
        <f t="shared" si="9"/>
        <v>#N/A</v>
      </c>
      <c r="Y82" s="314" t="str">
        <f t="shared" si="10"/>
        <v>#N/A</v>
      </c>
      <c r="Z82" s="314" t="str">
        <f t="shared" si="11"/>
        <v> </v>
      </c>
      <c r="AA82" s="316"/>
    </row>
    <row r="83">
      <c r="A83" s="314" t="str">
        <f>IFS($B83=FALSE,"",$B83,VLOOKUP($B83,'PATIENT DATA (072721)'!A:C, 2, 0))</f>
        <v>PRIEGO, LEOPOLDO</v>
      </c>
      <c r="B83" s="314">
        <v>15648.0</v>
      </c>
      <c r="C83" s="316" t="str">
        <f>IF(COUNTIF('PATIENT DATA (072721)'!A:A, B83)=0, "X","✓")</f>
        <v>✓</v>
      </c>
      <c r="D83" s="317">
        <f>IFS($B83=FALSE,"",$B83,VLOOKUP($B83,'PATIENT DATA (072721)'!A:C, 3, 0))</f>
        <v>25882</v>
      </c>
      <c r="E83" s="318">
        <v>44565.0</v>
      </c>
      <c r="F83" s="315">
        <f>ifs($B83="","",$B83, VLOOKUP($B83&amp;$E83, 'VISIT DATA'!A:O,3,0))</f>
        <v>0.4583333333</v>
      </c>
      <c r="G83" s="314"/>
      <c r="H83" s="314" t="str">
        <f>ifs($B83="","",$B83, VLOOKUP($B83&amp;$E83, 'VISIT DATA'!$A:$O,13,0))</f>
        <v/>
      </c>
      <c r="I83" s="314" t="str">
        <f>VLOOKUP($B83&amp;$E83,'VISIT DATA'!A:J, 9, FALSE)</f>
        <v>TORRES</v>
      </c>
      <c r="J83" s="314" t="str">
        <f>VLOOKUP(B83&amp;E83,'VISIT DATA'!A:N,10,FALSE)</f>
        <v>WELLMED - UHC DUAL COMPLETE SNP</v>
      </c>
      <c r="K83" s="316"/>
      <c r="L83" s="314"/>
      <c r="M83" s="314"/>
      <c r="N83" s="316"/>
      <c r="O83" s="316" t="str">
        <f t="shared" si="1"/>
        <v>X</v>
      </c>
      <c r="P83" s="317" t="str">
        <f t="shared" si="2"/>
        <v>X</v>
      </c>
      <c r="Q83" s="317" t="str">
        <f t="shared" si="3"/>
        <v>#VALUE!</v>
      </c>
      <c r="R83" s="319" t="str">
        <f t="shared" si="4"/>
        <v>#VALUE!</v>
      </c>
      <c r="S83" s="314" t="str">
        <f t="shared" si="5"/>
        <v>#VALUE!</v>
      </c>
      <c r="T83" s="314" t="str">
        <f t="shared" si="6"/>
        <v>#VALUE!</v>
      </c>
      <c r="U83" s="314">
        <f t="shared" si="7"/>
        <v>1</v>
      </c>
      <c r="V83" s="314" t="str">
        <f>ifs($N83="",VLOOKUP($B83&amp;$E83,'VISIT DATA'!$A$2:$J244,7,FALSE), $N83="SWAB","OUTSA-RW",$N83="SWQU","OUTSA-SaQu", AND($L83="X",$M83="X",$N83="QUEST"),"OUT-UAQPre",$N83="QUEST","OUT-UAQ", $N83="Walk in","ColUATele")</f>
        <v>OUTUA-PrRW</v>
      </c>
      <c r="W83" s="314" t="str">
        <f t="shared" si="8"/>
        <v>OUTUA-PrRW : OUT UA Prelimin Redwood</v>
      </c>
      <c r="X83" s="314" t="str">
        <f t="shared" si="9"/>
        <v>#N/A</v>
      </c>
      <c r="Y83" s="314" t="str">
        <f t="shared" si="10"/>
        <v>#N/A</v>
      </c>
      <c r="Z83" s="314" t="str">
        <f t="shared" si="11"/>
        <v> </v>
      </c>
      <c r="AA83" s="316"/>
    </row>
    <row r="84">
      <c r="A84" s="314" t="str">
        <f>IFS($B84=FALSE,"",$B84,VLOOKUP($B84,'PATIENT DATA (072721)'!A:C, 2, 0))</f>
        <v>RODRIGUEZ, OLIVIA</v>
      </c>
      <c r="B84" s="314">
        <v>14880.0</v>
      </c>
      <c r="C84" s="316" t="str">
        <f>IF(COUNTIF('PATIENT DATA (072721)'!A:A, B84)=0, "X","✓")</f>
        <v>✓</v>
      </c>
      <c r="D84" s="317">
        <f>IFS($B84=FALSE,"",$B84,VLOOKUP($B84,'PATIENT DATA (072721)'!A:C, 3, 0))</f>
        <v>18785</v>
      </c>
      <c r="E84" s="318">
        <v>44565.0</v>
      </c>
      <c r="F84" s="315">
        <f>ifs($B84="","",$B84, VLOOKUP($B84&amp;$E84, 'VISIT DATA'!A:O,3,0))</f>
        <v>0.4791666667</v>
      </c>
      <c r="G84" s="314"/>
      <c r="H84" s="314" t="str">
        <f>ifs($B84="","",$B84, VLOOKUP($B84&amp;$E84, 'VISIT DATA'!$A:$O,13,0))</f>
        <v/>
      </c>
      <c r="I84" s="314" t="str">
        <f>VLOOKUP($B84&amp;$E84,'VISIT DATA'!A:J, 9, FALSE)</f>
        <v>THOMAS</v>
      </c>
      <c r="J84" s="314" t="str">
        <f>VLOOKUP(B84&amp;E84,'VISIT DATA'!A:N,10,FALSE)</f>
        <v>WELLMED - UHC DUAL COMPLETE SNP</v>
      </c>
      <c r="K84" s="316"/>
      <c r="L84" s="314"/>
      <c r="M84" s="314"/>
      <c r="N84" s="316"/>
      <c r="O84" s="316" t="str">
        <f t="shared" si="1"/>
        <v>X</v>
      </c>
      <c r="P84" s="317" t="str">
        <f t="shared" si="2"/>
        <v>X</v>
      </c>
      <c r="Q84" s="317" t="str">
        <f t="shared" si="3"/>
        <v>#VALUE!</v>
      </c>
      <c r="R84" s="319" t="str">
        <f t="shared" si="4"/>
        <v>#VALUE!</v>
      </c>
      <c r="S84" s="314" t="str">
        <f t="shared" si="5"/>
        <v>#VALUE!</v>
      </c>
      <c r="T84" s="314" t="str">
        <f t="shared" si="6"/>
        <v>#VALUE!</v>
      </c>
      <c r="U84" s="314">
        <f t="shared" si="7"/>
        <v>1</v>
      </c>
      <c r="V84" s="314" t="str">
        <f>ifs($N84="",VLOOKUP($B84&amp;$E84,'VISIT DATA'!$A$2:$J244,7,FALSE), $N84="SWAB","OUTSA-RW",$N84="SWQU","OUTSA-SaQu", AND($L84="X",$M84="X",$N84="QUEST"),"OUT-UAQPre",$N84="QUEST","OUT-UAQ", $N84="Walk in","ColUATele")</f>
        <v>OUTUA-PrRW</v>
      </c>
      <c r="W84" s="314" t="str">
        <f t="shared" si="8"/>
        <v>OUTUA-PrRW : OUT UA Prelimin Redwood</v>
      </c>
      <c r="X84" s="314" t="str">
        <f t="shared" si="9"/>
        <v>#N/A</v>
      </c>
      <c r="Y84" s="314" t="str">
        <f t="shared" si="10"/>
        <v>#N/A</v>
      </c>
      <c r="Z84" s="314" t="str">
        <f t="shared" si="11"/>
        <v> </v>
      </c>
      <c r="AA84" s="316"/>
    </row>
    <row r="85">
      <c r="A85" s="314" t="str">
        <f>IFS($B85=FALSE,"",$B85,VLOOKUP($B85,'PATIENT DATA (072721)'!A:C, 2, 0))</f>
        <v>CHRISTO, HARRY</v>
      </c>
      <c r="B85" s="314">
        <v>15952.0</v>
      </c>
      <c r="C85" s="316" t="str">
        <f>IF(COUNTIF('PATIENT DATA (072721)'!A:A, B85)=0, "X","✓")</f>
        <v>✓</v>
      </c>
      <c r="D85" s="317">
        <f>IFS($B85=FALSE,"",$B85,VLOOKUP($B85,'PATIENT DATA (072721)'!A:C, 3, 0))</f>
        <v>21231</v>
      </c>
      <c r="E85" s="318">
        <v>44565.0</v>
      </c>
      <c r="F85" s="315">
        <f>ifs($B85="","",$B85, VLOOKUP($B85&amp;$E85, 'VISIT DATA'!A:O,3,0))</f>
        <v>0.4895833333</v>
      </c>
      <c r="G85" s="314"/>
      <c r="H85" s="314" t="str">
        <f>ifs($B85="","",$B85, VLOOKUP($B85&amp;$E85, 'VISIT DATA'!$A:$O,13,0))</f>
        <v/>
      </c>
      <c r="I85" s="314" t="str">
        <f>VLOOKUP($B85&amp;$E85,'VISIT DATA'!A:J, 9, FALSE)</f>
        <v>THOMAS</v>
      </c>
      <c r="J85" s="314" t="str">
        <f>VLOOKUP(B85&amp;E85,'VISIT DATA'!A:N,10,FALSE)</f>
        <v>WELLMED - CIGNA HEALTHSPRING</v>
      </c>
      <c r="K85" s="316"/>
      <c r="L85" s="314"/>
      <c r="M85" s="314"/>
      <c r="N85" s="316"/>
      <c r="O85" s="316" t="str">
        <f t="shared" si="1"/>
        <v>X</v>
      </c>
      <c r="P85" s="317" t="str">
        <f t="shared" si="2"/>
        <v>X</v>
      </c>
      <c r="Q85" s="317" t="str">
        <f t="shared" si="3"/>
        <v>#VALUE!</v>
      </c>
      <c r="R85" s="319" t="str">
        <f t="shared" si="4"/>
        <v>#VALUE!</v>
      </c>
      <c r="S85" s="314" t="str">
        <f t="shared" si="5"/>
        <v>#VALUE!</v>
      </c>
      <c r="T85" s="314" t="str">
        <f t="shared" si="6"/>
        <v>#VALUE!</v>
      </c>
      <c r="U85" s="314">
        <f t="shared" si="7"/>
        <v>1</v>
      </c>
      <c r="V85" s="314" t="str">
        <f>ifs($N85="",VLOOKUP($B85&amp;$E85,'VISIT DATA'!$A$2:$J244,7,FALSE), $N85="SWAB","OUTSA-RW",$N85="SWQU","OUTSA-SaQu", AND($L85="X",$M85="X",$N85="QUEST"),"OUT-UAQPre",$N85="QUEST","OUT-UAQ", $N85="Walk in","ColUATele")</f>
        <v>OUTUA-FURW</v>
      </c>
      <c r="W85" s="314" t="str">
        <f t="shared" si="8"/>
        <v>OUTUA-FURW : OUT UA FU Redwood</v>
      </c>
      <c r="X85" s="314" t="str">
        <f t="shared" si="9"/>
        <v>#N/A</v>
      </c>
      <c r="Y85" s="314" t="str">
        <f t="shared" si="10"/>
        <v>#N/A</v>
      </c>
      <c r="Z85" s="314" t="str">
        <f t="shared" si="11"/>
        <v> </v>
      </c>
      <c r="AA85" s="316"/>
    </row>
    <row r="86">
      <c r="A86" s="314" t="str">
        <f>IFS($B86=FALSE,"",$B86,VLOOKUP($B86,'PATIENT DATA (072721)'!A:C, 2, 0))</f>
        <v>CAPOTE, SABRINA</v>
      </c>
      <c r="B86" s="314">
        <v>17479.0</v>
      </c>
      <c r="C86" s="316" t="str">
        <f>IF(COUNTIF('PATIENT DATA (072721)'!A:A, B86)=0, "X","✓")</f>
        <v>✓</v>
      </c>
      <c r="D86" s="317">
        <f>IFS($B86=FALSE,"",$B86,VLOOKUP($B86,'PATIENT DATA (072721)'!A:C, 3, 0))</f>
        <v>25841</v>
      </c>
      <c r="E86" s="318">
        <v>44565.0</v>
      </c>
      <c r="F86" s="315">
        <f>ifs($B86="","",$B86, VLOOKUP($B86&amp;$E86, 'VISIT DATA'!A:O,3,0))</f>
        <v>0.46875</v>
      </c>
      <c r="G86" s="314"/>
      <c r="H86" s="314" t="str">
        <f>ifs($B86="","",$B86, VLOOKUP($B86&amp;$E86, 'VISIT DATA'!$A:$O,13,0))</f>
        <v/>
      </c>
      <c r="I86" s="314" t="str">
        <f>VLOOKUP($B86&amp;$E86,'VISIT DATA'!A:J, 9, FALSE)</f>
        <v>LOPEZ</v>
      </c>
      <c r="J86" s="314" t="str">
        <f>VLOOKUP(B86&amp;E86,'VISIT DATA'!A:N,10,FALSE)</f>
        <v>MOLINA MARKETPLACE TEXAS</v>
      </c>
      <c r="K86" s="316"/>
      <c r="L86" s="314"/>
      <c r="M86" s="314"/>
      <c r="N86" s="316"/>
      <c r="O86" s="316" t="str">
        <f t="shared" si="1"/>
        <v>X</v>
      </c>
      <c r="P86" s="317" t="str">
        <f t="shared" si="2"/>
        <v>#VALUE!</v>
      </c>
      <c r="Q86" s="317" t="str">
        <f t="shared" si="3"/>
        <v>X</v>
      </c>
      <c r="R86" s="319" t="str">
        <f t="shared" si="4"/>
        <v>#VALUE!</v>
      </c>
      <c r="S86" s="314" t="str">
        <f t="shared" si="5"/>
        <v>#VALUE!</v>
      </c>
      <c r="T86" s="314" t="str">
        <f t="shared" si="6"/>
        <v>#VALUE!</v>
      </c>
      <c r="U86" s="314">
        <f t="shared" si="7"/>
        <v>1</v>
      </c>
      <c r="V86" s="314" t="str">
        <f>ifs($N86="",VLOOKUP($B86&amp;$E86,'VISIT DATA'!$A$2:$J244,7,FALSE), $N86="SWAB","OUTSA-RW",$N86="SWQU","OUTSA-SaQu", AND($L86="X",$M86="X",$N86="QUEST"),"OUT-UAQPre",$N86="QUEST","OUT-UAQ", $N86="Walk in","ColUATele")</f>
        <v>OUTUA-NWRW</v>
      </c>
      <c r="W86" s="314" t="str">
        <f t="shared" si="8"/>
        <v>OUTUA-NWRW : OUT UA New Redwood</v>
      </c>
      <c r="X86" s="314" t="str">
        <f t="shared" si="9"/>
        <v>#N/A</v>
      </c>
      <c r="Y86" s="314" t="str">
        <f t="shared" si="10"/>
        <v>#N/A</v>
      </c>
      <c r="Z86" s="314" t="str">
        <f t="shared" si="11"/>
        <v> </v>
      </c>
      <c r="AA86" s="316"/>
    </row>
    <row r="87">
      <c r="A87" s="314" t="str">
        <f>IFS($B87=FALSE,"",$B87,VLOOKUP($B87,'PATIENT DATA (072721)'!A:C, 2, 0))</f>
        <v>RIVERA, ISRAEL</v>
      </c>
      <c r="B87" s="314">
        <v>17802.0</v>
      </c>
      <c r="C87" s="316" t="str">
        <f>IF(COUNTIF('PATIENT DATA (072721)'!A:A, B87)=0, "X","✓")</f>
        <v>✓</v>
      </c>
      <c r="D87" s="317">
        <f>IFS($B87=FALSE,"",$B87,VLOOKUP($B87,'PATIENT DATA (072721)'!A:C, 3, 0))</f>
        <v>17369</v>
      </c>
      <c r="E87" s="318">
        <v>44565.0</v>
      </c>
      <c r="F87" s="315">
        <f>ifs($B87="","",$B87, VLOOKUP($B87&amp;$E87, 'VISIT DATA'!A:O,3,0))</f>
        <v>0.4479166667</v>
      </c>
      <c r="G87" s="314"/>
      <c r="H87" s="314" t="str">
        <f>ifs($B87="","",$B87, VLOOKUP($B87&amp;$E87, 'VISIT DATA'!$A:$O,13,0))</f>
        <v/>
      </c>
      <c r="I87" s="314" t="str">
        <f>VLOOKUP($B87&amp;$E87,'VISIT DATA'!A:J, 9, FALSE)</f>
        <v>LOPEZ</v>
      </c>
      <c r="J87" s="314" t="str">
        <f>VLOOKUP(B87&amp;E87,'VISIT DATA'!A:N,10,FALSE)</f>
        <v>WPS VA - COMMUNITY CARE</v>
      </c>
      <c r="K87" s="316"/>
      <c r="L87" s="314"/>
      <c r="M87" s="314"/>
      <c r="N87" s="316"/>
      <c r="O87" s="316" t="str">
        <f t="shared" si="1"/>
        <v>X</v>
      </c>
      <c r="P87" s="317" t="str">
        <f t="shared" si="2"/>
        <v>#VALUE!</v>
      </c>
      <c r="Q87" s="317" t="str">
        <f t="shared" si="3"/>
        <v>#VALUE!</v>
      </c>
      <c r="R87" s="319" t="str">
        <f t="shared" si="4"/>
        <v>#VALUE!</v>
      </c>
      <c r="S87" s="314" t="str">
        <f t="shared" si="5"/>
        <v>#VALUE!</v>
      </c>
      <c r="T87" s="314" t="str">
        <f t="shared" si="6"/>
        <v>#VALUE!</v>
      </c>
      <c r="U87" s="314">
        <f t="shared" si="7"/>
        <v>0</v>
      </c>
      <c r="V87" s="314" t="str">
        <f>ifs($N87="",VLOOKUP($B87&amp;$E87,'VISIT DATA'!$A$2:$J244,7,FALSE), $N87="SWAB","OUTSA-RW",$N87="SWQU","OUTSA-SaQu", AND($L87="X",$M87="X",$N87="QUEST"),"OUT-UAQPre",$N87="QUEST","OUT-UAQ", $N87="Walk in","ColUATele")</f>
        <v>UA-NWPT</v>
      </c>
      <c r="W87" s="314" t="str">
        <f t="shared" si="8"/>
        <v>UA-NWPT : UA New Patient</v>
      </c>
      <c r="X87" s="314" t="str">
        <f t="shared" si="9"/>
        <v>#N/A</v>
      </c>
      <c r="Y87" s="314" t="str">
        <f t="shared" si="10"/>
        <v>#N/A</v>
      </c>
      <c r="Z87" s="314" t="str">
        <f t="shared" si="11"/>
        <v> </v>
      </c>
      <c r="AA87" s="316"/>
    </row>
    <row r="88">
      <c r="A88" s="314" t="str">
        <f>IFS($B88=FALSE,"",$B88,VLOOKUP($B88,'PATIENT DATA (072721)'!A:C, 2, 0))</f>
        <v>ALTORAN MONTIJO, DOMINGO</v>
      </c>
      <c r="B88" s="314">
        <v>17788.0</v>
      </c>
      <c r="C88" s="316" t="str">
        <f>IF(COUNTIF('PATIENT DATA (072721)'!A:A, B88)=0, "X","✓")</f>
        <v>✓</v>
      </c>
      <c r="D88" s="317">
        <f>IFS($B88=FALSE,"",$B88,VLOOKUP($B88,'PATIENT DATA (072721)'!A:C, 3, 0))</f>
        <v>11506</v>
      </c>
      <c r="E88" s="318">
        <v>44565.0</v>
      </c>
      <c r="F88" s="315">
        <f>ifs($B88="","",$B88, VLOOKUP($B88&amp;$E88, 'VISIT DATA'!A:O,3,0))</f>
        <v>0.5416666667</v>
      </c>
      <c r="G88" s="314"/>
      <c r="H88" s="314" t="str">
        <f>ifs($B88="","",$B88, VLOOKUP($B88&amp;$E88, 'VISIT DATA'!$A:$O,13,0))</f>
        <v/>
      </c>
      <c r="I88" s="314" t="str">
        <f>VLOOKUP($B88&amp;$E88,'VISIT DATA'!A:J, 9, FALSE)</f>
        <v>LOPEZ</v>
      </c>
      <c r="J88" s="314" t="str">
        <f>VLOOKUP(B88&amp;E88,'VISIT DATA'!A:N,10,FALSE)</f>
        <v>HUMANA MEDICARE PPO</v>
      </c>
      <c r="K88" s="316"/>
      <c r="L88" s="314"/>
      <c r="M88" s="314"/>
      <c r="N88" s="316"/>
      <c r="O88" s="316" t="str">
        <f t="shared" si="1"/>
        <v>X</v>
      </c>
      <c r="P88" s="317" t="str">
        <f t="shared" si="2"/>
        <v>#VALUE!</v>
      </c>
      <c r="Q88" s="317" t="str">
        <f t="shared" si="3"/>
        <v>#VALUE!</v>
      </c>
      <c r="R88" s="319" t="str">
        <f t="shared" si="4"/>
        <v>#VALUE!</v>
      </c>
      <c r="S88" s="314" t="str">
        <f t="shared" si="5"/>
        <v>#VALUE!</v>
      </c>
      <c r="T88" s="314" t="str">
        <f t="shared" si="6"/>
        <v>#VALUE!</v>
      </c>
      <c r="U88" s="314">
        <f t="shared" si="7"/>
        <v>0</v>
      </c>
      <c r="V88" s="314" t="str">
        <f>ifs($N88="",VLOOKUP($B88&amp;$E88,'VISIT DATA'!$A$2:$J244,7,FALSE), $N88="SWAB","OUTSA-RW",$N88="SWQU","OUTSA-SaQu", AND($L88="X",$M88="X",$N88="QUEST"),"OUT-UAQPre",$N88="QUEST","OUT-UAQ", $N88="Walk in","ColUATele")</f>
        <v>UA-NWPT</v>
      </c>
      <c r="W88" s="314" t="str">
        <f t="shared" si="8"/>
        <v>UA-NWPT : UA New Patient</v>
      </c>
      <c r="X88" s="314" t="str">
        <f t="shared" si="9"/>
        <v>#N/A</v>
      </c>
      <c r="Y88" s="314" t="str">
        <f t="shared" si="10"/>
        <v>#N/A</v>
      </c>
      <c r="Z88" s="314" t="str">
        <f t="shared" si="11"/>
        <v> </v>
      </c>
      <c r="AA88" s="316"/>
    </row>
    <row r="89">
      <c r="A89" s="314" t="str">
        <f>IFS($B89=FALSE,"",$B89,VLOOKUP($B89,'PATIENT DATA (072721)'!A:C, 2, 0))</f>
        <v>CASTRUITA, FRED</v>
      </c>
      <c r="B89" s="314">
        <v>13887.0</v>
      </c>
      <c r="C89" s="316" t="str">
        <f>IF(COUNTIF('PATIENT DATA (072721)'!A:A, B89)=0, "X","✓")</f>
        <v>✓</v>
      </c>
      <c r="D89" s="317">
        <f>IFS($B89=FALSE,"",$B89,VLOOKUP($B89,'PATIENT DATA (072721)'!A:C, 3, 0))</f>
        <v>26068</v>
      </c>
      <c r="E89" s="318">
        <v>44565.0</v>
      </c>
      <c r="F89" s="315">
        <f>ifs($B89="","",$B89, VLOOKUP($B89&amp;$E89, 'VISIT DATA'!A:O,3,0))</f>
        <v>0.5416666667</v>
      </c>
      <c r="G89" s="314"/>
      <c r="H89" s="314" t="str">
        <f>ifs($B89="","",$B89, VLOOKUP($B89&amp;$E89, 'VISIT DATA'!$A:$O,13,0))</f>
        <v/>
      </c>
      <c r="I89" s="314" t="str">
        <f>VLOOKUP($B89&amp;$E89,'VISIT DATA'!A:J, 9, FALSE)</f>
        <v>MARTINEZ</v>
      </c>
      <c r="J89" s="314" t="str">
        <f>VLOOKUP(B89&amp;E89,'VISIT DATA'!A:N,10,FALSE)</f>
        <v>WELLMED - CIGNA HEALTHSPRING</v>
      </c>
      <c r="K89" s="316"/>
      <c r="L89" s="314"/>
      <c r="M89" s="314"/>
      <c r="N89" s="316"/>
      <c r="O89" s="316" t="str">
        <f t="shared" si="1"/>
        <v>X</v>
      </c>
      <c r="P89" s="317" t="str">
        <f t="shared" si="2"/>
        <v>X</v>
      </c>
      <c r="Q89" s="317" t="str">
        <f t="shared" si="3"/>
        <v>#VALUE!</v>
      </c>
      <c r="R89" s="319" t="str">
        <f t="shared" si="4"/>
        <v>#VALUE!</v>
      </c>
      <c r="S89" s="314" t="str">
        <f t="shared" si="5"/>
        <v>#VALUE!</v>
      </c>
      <c r="T89" s="314" t="str">
        <f t="shared" si="6"/>
        <v>#VALUE!</v>
      </c>
      <c r="U89" s="314">
        <f t="shared" si="7"/>
        <v>1</v>
      </c>
      <c r="V89" s="314" t="str">
        <f>ifs($N89="",VLOOKUP($B89&amp;$E89,'VISIT DATA'!$A$2:$J244,7,FALSE), $N89="SWAB","OUTSA-RW",$N89="SWQU","OUTSA-SaQu", AND($L89="X",$M89="X",$N89="QUEST"),"OUT-UAQPre",$N89="QUEST","OUT-UAQ", $N89="Walk in","ColUATele")</f>
        <v>OUTUA-FURW</v>
      </c>
      <c r="W89" s="314" t="str">
        <f t="shared" si="8"/>
        <v>OUTUA-FURW : OUT UA FU Redwood</v>
      </c>
      <c r="X89" s="314" t="str">
        <f t="shared" si="9"/>
        <v>#N/A</v>
      </c>
      <c r="Y89" s="314" t="str">
        <f t="shared" si="10"/>
        <v>#N/A</v>
      </c>
      <c r="Z89" s="314" t="str">
        <f t="shared" si="11"/>
        <v> </v>
      </c>
      <c r="AA89" s="316"/>
    </row>
    <row r="90">
      <c r="A90" s="314" t="str">
        <f>IFS($B90=FALSE,"",$B90,VLOOKUP($B90,'PATIENT DATA (072721)'!A:C, 2, 0))</f>
        <v>CARREON, ROBERTO</v>
      </c>
      <c r="B90" s="314">
        <v>10400.0</v>
      </c>
      <c r="C90" s="316" t="str">
        <f>IF(COUNTIF('PATIENT DATA (072721)'!A:A, B90)=0, "X","✓")</f>
        <v>✓</v>
      </c>
      <c r="D90" s="317">
        <f>IFS($B90=FALSE,"",$B90,VLOOKUP($B90,'PATIENT DATA (072721)'!A:C, 3, 0))</f>
        <v>23351</v>
      </c>
      <c r="E90" s="318">
        <v>44565.0</v>
      </c>
      <c r="F90" s="315">
        <f>ifs($B90="","",$B90, VLOOKUP($B90&amp;$E90, 'VISIT DATA'!A:O,3,0))</f>
        <v>0.5416666667</v>
      </c>
      <c r="G90" s="314"/>
      <c r="H90" s="314" t="str">
        <f>ifs($B90="","",$B90, VLOOKUP($B90&amp;$E90, 'VISIT DATA'!$A:$O,13,0))</f>
        <v/>
      </c>
      <c r="I90" s="314" t="str">
        <f>VLOOKUP($B90&amp;$E90,'VISIT DATA'!A:J, 9, FALSE)</f>
        <v>TORRES</v>
      </c>
      <c r="J90" s="314" t="str">
        <f>VLOOKUP(B90&amp;E90,'VISIT DATA'!A:N,10,FALSE)</f>
        <v>BCBS CENTENNIAL</v>
      </c>
      <c r="K90" s="316"/>
      <c r="L90" s="314"/>
      <c r="M90" s="314"/>
      <c r="N90" s="316"/>
      <c r="O90" s="316" t="str">
        <f t="shared" si="1"/>
        <v>X</v>
      </c>
      <c r="P90" s="317" t="str">
        <f t="shared" si="2"/>
        <v>#VALUE!</v>
      </c>
      <c r="Q90" s="317" t="str">
        <f t="shared" si="3"/>
        <v>#VALUE!</v>
      </c>
      <c r="R90" s="319" t="str">
        <f t="shared" si="4"/>
        <v>#VALUE!</v>
      </c>
      <c r="S90" s="314" t="str">
        <f t="shared" si="5"/>
        <v>#VALUE!</v>
      </c>
      <c r="T90" s="314" t="str">
        <f t="shared" si="6"/>
        <v>#VALUE!</v>
      </c>
      <c r="U90" s="314">
        <f t="shared" si="7"/>
        <v>0</v>
      </c>
      <c r="V90" s="314" t="str">
        <f>ifs($N90="",VLOOKUP($B90&amp;$E90,'VISIT DATA'!$A$2:$J244,7,FALSE), $N90="SWAB","OUTSA-RW",$N90="SWQU","OUTSA-SaQu", AND($L90="X",$M90="X",$N90="QUEST"),"OUT-UAQPre",$N90="QUEST","OUT-UAQ", $N90="Walk in","ColUATele")</f>
        <v>UA</v>
      </c>
      <c r="W90" s="314" t="str">
        <f t="shared" si="8"/>
        <v>UA : Urine Analysis In House</v>
      </c>
      <c r="X90" s="314" t="str">
        <f t="shared" si="9"/>
        <v>#N/A</v>
      </c>
      <c r="Y90" s="314" t="str">
        <f t="shared" si="10"/>
        <v>#N/A</v>
      </c>
      <c r="Z90" s="314" t="str">
        <f t="shared" si="11"/>
        <v> </v>
      </c>
      <c r="AA90" s="316"/>
    </row>
    <row r="91">
      <c r="A91" s="314" t="str">
        <f>IFS($B91=FALSE,"",$B91,VLOOKUP($B91,'PATIENT DATA (072721)'!A:C, 2, 0))</f>
        <v>RIOS, BETTY J</v>
      </c>
      <c r="B91" s="314">
        <v>12593.0</v>
      </c>
      <c r="C91" s="316" t="str">
        <f>IF(COUNTIF('PATIENT DATA (072721)'!A:A, B91)=0, "X","✓")</f>
        <v>✓</v>
      </c>
      <c r="D91" s="317">
        <f>IFS($B91=FALSE,"",$B91,VLOOKUP($B91,'PATIENT DATA (072721)'!A:C, 3, 0))</f>
        <v>30103</v>
      </c>
      <c r="E91" s="318">
        <v>44565.0</v>
      </c>
      <c r="F91" s="315">
        <f>ifs($B91="","",$B91, VLOOKUP($B91&amp;$E91, 'VISIT DATA'!A:O,3,0))</f>
        <v>0.5416666667</v>
      </c>
      <c r="G91" s="314"/>
      <c r="H91" s="314" t="str">
        <f>ifs($B91="","",$B91, VLOOKUP($B91&amp;$E91, 'VISIT DATA'!$A:$O,13,0))</f>
        <v/>
      </c>
      <c r="I91" s="314" t="str">
        <f>VLOOKUP($B91&amp;$E91,'VISIT DATA'!A:J, 9, FALSE)</f>
        <v>TORRES</v>
      </c>
      <c r="J91" s="314" t="str">
        <f>VLOOKUP(B91&amp;E91,'VISIT DATA'!A:N,10,FALSE)</f>
        <v>MOLINA MEDICAID TEXAS</v>
      </c>
      <c r="K91" s="316"/>
      <c r="L91" s="314"/>
      <c r="M91" s="314"/>
      <c r="N91" s="316"/>
      <c r="O91" s="316" t="str">
        <f t="shared" si="1"/>
        <v>X</v>
      </c>
      <c r="P91" s="317" t="str">
        <f t="shared" si="2"/>
        <v>#VALUE!</v>
      </c>
      <c r="Q91" s="317" t="str">
        <f t="shared" si="3"/>
        <v>X</v>
      </c>
      <c r="R91" s="319" t="str">
        <f t="shared" si="4"/>
        <v>#VALUE!</v>
      </c>
      <c r="S91" s="314" t="str">
        <f t="shared" si="5"/>
        <v>#VALUE!</v>
      </c>
      <c r="T91" s="314" t="str">
        <f t="shared" si="6"/>
        <v>#VALUE!</v>
      </c>
      <c r="U91" s="314">
        <f t="shared" si="7"/>
        <v>1</v>
      </c>
      <c r="V91" s="314" t="str">
        <f>ifs($N91="",VLOOKUP($B91&amp;$E91,'VISIT DATA'!$A$2:$J244,7,FALSE), $N91="SWAB","OUTSA-RW",$N91="SWQU","OUTSA-SaQu", AND($L91="X",$M91="X",$N91="QUEST"),"OUT-UAQPre",$N91="QUEST","OUT-UAQ", $N91="Walk in","ColUATele")</f>
        <v>OUTUA-PrRW</v>
      </c>
      <c r="W91" s="314" t="str">
        <f t="shared" si="8"/>
        <v>OUTUA-PrRW : OUT UA Prelimin Redwood</v>
      </c>
      <c r="X91" s="314" t="str">
        <f t="shared" si="9"/>
        <v>#N/A</v>
      </c>
      <c r="Y91" s="314" t="str">
        <f t="shared" si="10"/>
        <v>#N/A</v>
      </c>
      <c r="Z91" s="314" t="str">
        <f t="shared" si="11"/>
        <v> </v>
      </c>
      <c r="AA91" s="316"/>
    </row>
    <row r="92">
      <c r="A92" s="314" t="str">
        <f>IFS($B92=FALSE,"",$B92,VLOOKUP($B92,'PATIENT DATA (072721)'!A:C, 2, 0))</f>
        <v>VERDIER, GRACIELA</v>
      </c>
      <c r="B92" s="314">
        <v>11355.0</v>
      </c>
      <c r="C92" s="316" t="str">
        <f>IF(COUNTIF('PATIENT DATA (072721)'!A:A, B92)=0, "X","✓")</f>
        <v>✓</v>
      </c>
      <c r="D92" s="317">
        <f>IFS($B92=FALSE,"",$B92,VLOOKUP($B92,'PATIENT DATA (072721)'!A:C, 3, 0))</f>
        <v>21117</v>
      </c>
      <c r="E92" s="318">
        <v>44565.0</v>
      </c>
      <c r="F92" s="315">
        <f>ifs($B92="","",$B92, VLOOKUP($B92&amp;$E92, 'VISIT DATA'!A:O,3,0))</f>
        <v>0.5625</v>
      </c>
      <c r="G92" s="314"/>
      <c r="H92" s="314" t="str">
        <f>ifs($B92="","",$B92, VLOOKUP($B92&amp;$E92, 'VISIT DATA'!$A:$O,13,0))</f>
        <v/>
      </c>
      <c r="I92" s="314" t="str">
        <f>VLOOKUP($B92&amp;$E92,'VISIT DATA'!A:J, 9, FALSE)</f>
        <v>TORRES</v>
      </c>
      <c r="J92" s="314" t="str">
        <f>VLOOKUP(B92&amp;E92,'VISIT DATA'!A:N,10,FALSE)</f>
        <v>WELLMED - UHC DUAL COMPLETE SNP</v>
      </c>
      <c r="K92" s="316"/>
      <c r="L92" s="314"/>
      <c r="M92" s="314"/>
      <c r="N92" s="316"/>
      <c r="O92" s="316" t="str">
        <f t="shared" si="1"/>
        <v>X</v>
      </c>
      <c r="P92" s="317" t="str">
        <f t="shared" si="2"/>
        <v>X</v>
      </c>
      <c r="Q92" s="317" t="str">
        <f t="shared" si="3"/>
        <v>#VALUE!</v>
      </c>
      <c r="R92" s="319" t="str">
        <f t="shared" si="4"/>
        <v>#VALUE!</v>
      </c>
      <c r="S92" s="314" t="str">
        <f t="shared" si="5"/>
        <v>#VALUE!</v>
      </c>
      <c r="T92" s="314" t="str">
        <f t="shared" si="6"/>
        <v>#VALUE!</v>
      </c>
      <c r="U92" s="314">
        <f t="shared" si="7"/>
        <v>1</v>
      </c>
      <c r="V92" s="314" t="str">
        <f>ifs($N92="",VLOOKUP($B92&amp;$E92,'VISIT DATA'!$A$2:$J244,7,FALSE), $N92="SWAB","OUTSA-RW",$N92="SWQU","OUTSA-SaQu", AND($L92="X",$M92="X",$N92="QUEST"),"OUT-UAQPre",$N92="QUEST","OUT-UAQ", $N92="Walk in","ColUATele")</f>
        <v>OUTUA-PrRW</v>
      </c>
      <c r="W92" s="314" t="str">
        <f t="shared" si="8"/>
        <v>OUTUA-PrRW : OUT UA Prelimin Redwood</v>
      </c>
      <c r="X92" s="314" t="str">
        <f t="shared" si="9"/>
        <v>#N/A</v>
      </c>
      <c r="Y92" s="314" t="str">
        <f t="shared" si="10"/>
        <v>#N/A</v>
      </c>
      <c r="Z92" s="314" t="str">
        <f t="shared" si="11"/>
        <v> </v>
      </c>
      <c r="AA92" s="316"/>
    </row>
    <row r="93">
      <c r="A93" s="314" t="str">
        <f>IFS($B93=FALSE,"",$B93,VLOOKUP($B93,'PATIENT DATA (072721)'!A:C, 2, 0))</f>
        <v>LOPEZ, ANTONIO</v>
      </c>
      <c r="B93" s="314">
        <v>15483.0</v>
      </c>
      <c r="C93" s="316" t="str">
        <f>IF(COUNTIF('PATIENT DATA (072721)'!A:A, B93)=0, "X","✓")</f>
        <v>✓</v>
      </c>
      <c r="D93" s="317">
        <f>IFS($B93=FALSE,"",$B93,VLOOKUP($B93,'PATIENT DATA (072721)'!A:C, 3, 0))</f>
        <v>27630</v>
      </c>
      <c r="E93" s="318">
        <v>44565.0</v>
      </c>
      <c r="F93" s="315">
        <f>ifs($B93="","",$B93, VLOOKUP($B93&amp;$E93, 'VISIT DATA'!A:O,3,0))</f>
        <v>0.5416666667</v>
      </c>
      <c r="G93" s="314"/>
      <c r="H93" s="314" t="str">
        <f>ifs($B93="","",$B93, VLOOKUP($B93&amp;$E93, 'VISIT DATA'!$A:$O,13,0))</f>
        <v/>
      </c>
      <c r="I93" s="314" t="str">
        <f>VLOOKUP($B93&amp;$E93,'VISIT DATA'!A:J, 9, FALSE)</f>
        <v>TORRES</v>
      </c>
      <c r="J93" s="314" t="str">
        <f>VLOOKUP(B93&amp;E93,'VISIT DATA'!A:N,10,FALSE)</f>
        <v>AMERIGROUP</v>
      </c>
      <c r="K93" s="316"/>
      <c r="L93" s="314"/>
      <c r="M93" s="314"/>
      <c r="N93" s="316"/>
      <c r="O93" s="316" t="str">
        <f t="shared" si="1"/>
        <v>X</v>
      </c>
      <c r="P93" s="317" t="str">
        <f t="shared" si="2"/>
        <v>#VALUE!</v>
      </c>
      <c r="Q93" s="317" t="str">
        <f t="shared" si="3"/>
        <v>#VALUE!</v>
      </c>
      <c r="R93" s="319" t="str">
        <f t="shared" si="4"/>
        <v>#VALUE!</v>
      </c>
      <c r="S93" s="314" t="str">
        <f t="shared" si="5"/>
        <v>#VALUE!</v>
      </c>
      <c r="T93" s="314" t="str">
        <f t="shared" si="6"/>
        <v>#VALUE!</v>
      </c>
      <c r="U93" s="314">
        <f t="shared" si="7"/>
        <v>0</v>
      </c>
      <c r="V93" s="314" t="str">
        <f>ifs($N93="",VLOOKUP($B93&amp;$E93,'VISIT DATA'!$A$2:$J244,7,FALSE), $N93="SWAB","OUTSA-RW",$N93="SWQU","OUTSA-SaQu", AND($L93="X",$M93="X",$N93="QUEST"),"OUT-UAQPre",$N93="QUEST","OUT-UAQ", $N93="Walk in","ColUATele")</f>
        <v>UA</v>
      </c>
      <c r="W93" s="314" t="str">
        <f t="shared" si="8"/>
        <v>UA : Urine Analysis In House</v>
      </c>
      <c r="X93" s="314" t="str">
        <f t="shared" si="9"/>
        <v>#N/A</v>
      </c>
      <c r="Y93" s="314" t="str">
        <f t="shared" si="10"/>
        <v>#N/A</v>
      </c>
      <c r="Z93" s="314" t="str">
        <f t="shared" si="11"/>
        <v> </v>
      </c>
      <c r="AA93" s="316"/>
    </row>
    <row r="94">
      <c r="A94" s="314" t="str">
        <f>IFS($B94=FALSE,"",$B94,VLOOKUP($B94,'PATIENT DATA (072721)'!A:C, 2, 0))</f>
        <v>ZUNIGA, MIGUEL A</v>
      </c>
      <c r="B94" s="314">
        <v>10055.0</v>
      </c>
      <c r="C94" s="316" t="str">
        <f>IF(COUNTIF('PATIENT DATA (072721)'!A:A, B94)=0, "X","✓")</f>
        <v>✓</v>
      </c>
      <c r="D94" s="317">
        <f>IFS($B94=FALSE,"",$B94,VLOOKUP($B94,'PATIENT DATA (072721)'!A:C, 3, 0))</f>
        <v>22515</v>
      </c>
      <c r="E94" s="318">
        <v>44565.0</v>
      </c>
      <c r="F94" s="315">
        <f>ifs($B94="","",$B94, VLOOKUP($B94&amp;$E94, 'VISIT DATA'!A:O,3,0))</f>
        <v>0.5625</v>
      </c>
      <c r="G94" s="314"/>
      <c r="H94" s="314" t="str">
        <f>ifs($B94="","",$B94, VLOOKUP($B94&amp;$E94, 'VISIT DATA'!$A:$O,13,0))</f>
        <v/>
      </c>
      <c r="I94" s="314" t="str">
        <f>VLOOKUP($B94&amp;$E94,'VISIT DATA'!A:J, 9, FALSE)</f>
        <v>MARTINEZ</v>
      </c>
      <c r="J94" s="314" t="str">
        <f>VLOOKUP(B94&amp;E94,'VISIT DATA'!A:N,10,FALSE)</f>
        <v>WPS VA - COMMUNITY CARE</v>
      </c>
      <c r="K94" s="316"/>
      <c r="L94" s="314"/>
      <c r="M94" s="314"/>
      <c r="N94" s="316"/>
      <c r="O94" s="316" t="str">
        <f t="shared" si="1"/>
        <v>X</v>
      </c>
      <c r="P94" s="317" t="str">
        <f t="shared" si="2"/>
        <v>#VALUE!</v>
      </c>
      <c r="Q94" s="317" t="str">
        <f t="shared" si="3"/>
        <v>#VALUE!</v>
      </c>
      <c r="R94" s="319" t="str">
        <f t="shared" si="4"/>
        <v>#VALUE!</v>
      </c>
      <c r="S94" s="314" t="str">
        <f t="shared" si="5"/>
        <v>#VALUE!</v>
      </c>
      <c r="T94" s="314" t="str">
        <f t="shared" si="6"/>
        <v>#VALUE!</v>
      </c>
      <c r="U94" s="314">
        <f t="shared" si="7"/>
        <v>0</v>
      </c>
      <c r="V94" s="314" t="str">
        <f>ifs($N94="",VLOOKUP($B94&amp;$E94,'VISIT DATA'!$A$2:$J244,7,FALSE), $N94="SWAB","OUTSA-RW",$N94="SWQU","OUTSA-SaQu", AND($L94="X",$M94="X",$N94="QUEST"),"OUT-UAQPre",$N94="QUEST","OUT-UAQ", $N94="Walk in","ColUATele")</f>
        <v>UA</v>
      </c>
      <c r="W94" s="314" t="str">
        <f t="shared" si="8"/>
        <v>UA : Urine Analysis In House</v>
      </c>
      <c r="X94" s="314" t="str">
        <f t="shared" si="9"/>
        <v>#N/A</v>
      </c>
      <c r="Y94" s="314" t="str">
        <f t="shared" si="10"/>
        <v>#N/A</v>
      </c>
      <c r="Z94" s="314" t="str">
        <f t="shared" si="11"/>
        <v> </v>
      </c>
      <c r="AA94" s="316"/>
    </row>
    <row r="95">
      <c r="A95" s="314" t="str">
        <f>IFS($B95=FALSE,"",$B95,VLOOKUP($B95,'PATIENT DATA (072721)'!A:C, 2, 0))</f>
        <v>MENDOZA, ROSA E</v>
      </c>
      <c r="B95" s="314">
        <v>17738.0</v>
      </c>
      <c r="C95" s="316" t="str">
        <f>IF(COUNTIF('PATIENT DATA (072721)'!A:A, B95)=0, "X","✓")</f>
        <v>✓</v>
      </c>
      <c r="D95" s="317">
        <f>IFS($B95=FALSE,"",$B95,VLOOKUP($B95,'PATIENT DATA (072721)'!A:C, 3, 0))</f>
        <v>24348</v>
      </c>
      <c r="E95" s="318">
        <v>44565.0</v>
      </c>
      <c r="F95" s="315">
        <f>ifs($B95="","",$B95, VLOOKUP($B95&amp;$E95, 'VISIT DATA'!A:O,3,0))</f>
        <v>0.5625</v>
      </c>
      <c r="G95" s="314"/>
      <c r="H95" s="314" t="str">
        <f>ifs($B95="","",$B95, VLOOKUP($B95&amp;$E95, 'VISIT DATA'!$A:$O,13,0))</f>
        <v/>
      </c>
      <c r="I95" s="314" t="str">
        <f>VLOOKUP($B95&amp;$E95,'VISIT DATA'!A:J, 9, FALSE)</f>
        <v>LOPEZ</v>
      </c>
      <c r="J95" s="314" t="str">
        <f>VLOOKUP(B95&amp;E95,'VISIT DATA'!A:N,10,FALSE)</f>
        <v>AMERIGROUP</v>
      </c>
      <c r="K95" s="316"/>
      <c r="L95" s="314"/>
      <c r="M95" s="314"/>
      <c r="N95" s="316"/>
      <c r="O95" s="316" t="str">
        <f t="shared" si="1"/>
        <v>X</v>
      </c>
      <c r="P95" s="317" t="str">
        <f t="shared" si="2"/>
        <v>#VALUE!</v>
      </c>
      <c r="Q95" s="317" t="str">
        <f t="shared" si="3"/>
        <v>#VALUE!</v>
      </c>
      <c r="R95" s="319" t="str">
        <f t="shared" si="4"/>
        <v>#VALUE!</v>
      </c>
      <c r="S95" s="314" t="str">
        <f t="shared" si="5"/>
        <v>#VALUE!</v>
      </c>
      <c r="T95" s="314" t="str">
        <f t="shared" si="6"/>
        <v>#VALUE!</v>
      </c>
      <c r="U95" s="314">
        <f t="shared" si="7"/>
        <v>0</v>
      </c>
      <c r="V95" s="314" t="str">
        <f>ifs($N95="",VLOOKUP($B95&amp;$E95,'VISIT DATA'!$A$2:$J244,7,FALSE), $N95="SWAB","OUTSA-RW",$N95="SWQU","OUTSA-SaQu", AND($L95="X",$M95="X",$N95="QUEST"),"OUT-UAQPre",$N95="QUEST","OUT-UAQ", $N95="Walk in","ColUATele")</f>
        <v>UA-NWPT</v>
      </c>
      <c r="W95" s="314" t="str">
        <f t="shared" si="8"/>
        <v>UA-NWPT : UA New Patient</v>
      </c>
      <c r="X95" s="314" t="str">
        <f t="shared" si="9"/>
        <v>#N/A</v>
      </c>
      <c r="Y95" s="314" t="str">
        <f t="shared" si="10"/>
        <v>#N/A</v>
      </c>
      <c r="Z95" s="314" t="str">
        <f t="shared" si="11"/>
        <v> </v>
      </c>
      <c r="AA95" s="316"/>
    </row>
    <row r="96">
      <c r="A96" s="314" t="str">
        <f>IFS($B96=FALSE,"",$B96,VLOOKUP($B96,'PATIENT DATA (072721)'!A:C, 2, 0))</f>
        <v>FIERRO, ARTURO</v>
      </c>
      <c r="B96" s="314">
        <v>12499.0</v>
      </c>
      <c r="C96" s="316" t="str">
        <f>IF(COUNTIF('PATIENT DATA (072721)'!A:A, B96)=0, "X","✓")</f>
        <v>✓</v>
      </c>
      <c r="D96" s="317">
        <f>IFS($B96=FALSE,"",$B96,VLOOKUP($B96,'PATIENT DATA (072721)'!A:C, 3, 0))</f>
        <v>20699</v>
      </c>
      <c r="E96" s="318">
        <v>44565.0</v>
      </c>
      <c r="F96" s="315">
        <f>ifs($B96="","",$B96, VLOOKUP($B96&amp;$E96, 'VISIT DATA'!A:O,3,0))</f>
        <v>0.5729166667</v>
      </c>
      <c r="G96" s="314"/>
      <c r="H96" s="314" t="str">
        <f>ifs($B96="","",$B96, VLOOKUP($B96&amp;$E96, 'VISIT DATA'!$A:$O,13,0))</f>
        <v/>
      </c>
      <c r="I96" s="314" t="str">
        <f>VLOOKUP($B96&amp;$E96,'VISIT DATA'!A:J, 9, FALSE)</f>
        <v>TORRES</v>
      </c>
      <c r="J96" s="314" t="str">
        <f>VLOOKUP(B96&amp;E96,'VISIT DATA'!A:N,10,FALSE)</f>
        <v>WELLMED - UHC DUAL COMPLETE SNP</v>
      </c>
      <c r="K96" s="316"/>
      <c r="L96" s="314"/>
      <c r="M96" s="314"/>
      <c r="N96" s="316"/>
      <c r="O96" s="316" t="str">
        <f t="shared" si="1"/>
        <v>X</v>
      </c>
      <c r="P96" s="317" t="str">
        <f t="shared" si="2"/>
        <v>X</v>
      </c>
      <c r="Q96" s="317" t="str">
        <f t="shared" si="3"/>
        <v>#VALUE!</v>
      </c>
      <c r="R96" s="319" t="str">
        <f t="shared" si="4"/>
        <v>#VALUE!</v>
      </c>
      <c r="S96" s="314" t="str">
        <f t="shared" si="5"/>
        <v>#VALUE!</v>
      </c>
      <c r="T96" s="314" t="str">
        <f t="shared" si="6"/>
        <v>#VALUE!</v>
      </c>
      <c r="U96" s="314">
        <f t="shared" si="7"/>
        <v>1</v>
      </c>
      <c r="V96" s="314" t="str">
        <f>ifs($N96="",VLOOKUP($B96&amp;$E96,'VISIT DATA'!$A$2:$J244,7,FALSE), $N96="SWAB","OUTSA-RW",$N96="SWQU","OUTSA-SaQu", AND($L96="X",$M96="X",$N96="QUEST"),"OUT-UAQPre",$N96="QUEST","OUT-UAQ", $N96="Walk in","ColUATele")</f>
        <v>OUTUA-FURW</v>
      </c>
      <c r="W96" s="314" t="str">
        <f t="shared" si="8"/>
        <v>OUTUA-FURW : OUT UA FU Redwood</v>
      </c>
      <c r="X96" s="314" t="str">
        <f t="shared" si="9"/>
        <v>#N/A</v>
      </c>
      <c r="Y96" s="314" t="str">
        <f t="shared" si="10"/>
        <v>#N/A</v>
      </c>
      <c r="Z96" s="314" t="str">
        <f t="shared" si="11"/>
        <v> </v>
      </c>
      <c r="AA96" s="316"/>
    </row>
    <row r="97">
      <c r="A97" s="314" t="str">
        <f>IFS($B97=FALSE,"",$B97,VLOOKUP($B97,'PATIENT DATA (072721)'!A:C, 2, 0))</f>
        <v>MARTINEZ, KELLY C</v>
      </c>
      <c r="B97" s="314">
        <v>9273.0</v>
      </c>
      <c r="C97" s="316" t="str">
        <f>IF(COUNTIF('PATIENT DATA (072721)'!A:A, B97)=0, "X","✓")</f>
        <v>✓</v>
      </c>
      <c r="D97" s="317">
        <f>IFS($B97=FALSE,"",$B97,VLOOKUP($B97,'PATIENT DATA (072721)'!A:C, 3, 0))</f>
        <v>32428</v>
      </c>
      <c r="E97" s="318">
        <v>44565.0</v>
      </c>
      <c r="F97" s="315">
        <f>ifs($B97="","",$B97, VLOOKUP($B97&amp;$E97, 'VISIT DATA'!A:O,3,0))</f>
        <v>0.5625</v>
      </c>
      <c r="G97" s="314"/>
      <c r="H97" s="314" t="str">
        <f>ifs($B97="","",$B97, VLOOKUP($B97&amp;$E97, 'VISIT DATA'!$A:$O,13,0))</f>
        <v/>
      </c>
      <c r="I97" s="314" t="str">
        <f>VLOOKUP($B97&amp;$E97,'VISIT DATA'!A:J, 9, FALSE)</f>
        <v>LOPEZ</v>
      </c>
      <c r="J97" s="314" t="str">
        <f>VLOOKUP(B97&amp;E97,'VISIT DATA'!A:N,10,FALSE)</f>
        <v>AMERIVANTAGE</v>
      </c>
      <c r="K97" s="316"/>
      <c r="L97" s="314"/>
      <c r="M97" s="314"/>
      <c r="N97" s="316"/>
      <c r="O97" s="316" t="str">
        <f t="shared" si="1"/>
        <v>X</v>
      </c>
      <c r="P97" s="317" t="str">
        <f t="shared" si="2"/>
        <v>#VALUE!</v>
      </c>
      <c r="Q97" s="317" t="str">
        <f t="shared" si="3"/>
        <v>#VALUE!</v>
      </c>
      <c r="R97" s="319" t="str">
        <f t="shared" si="4"/>
        <v>#VALUE!</v>
      </c>
      <c r="S97" s="314" t="str">
        <f t="shared" si="5"/>
        <v>#VALUE!</v>
      </c>
      <c r="T97" s="314" t="str">
        <f t="shared" si="6"/>
        <v>#VALUE!</v>
      </c>
      <c r="U97" s="314">
        <f t="shared" si="7"/>
        <v>0</v>
      </c>
      <c r="V97" s="314" t="str">
        <f>ifs($N97="",VLOOKUP($B97&amp;$E97,'VISIT DATA'!$A$2:$J244,7,FALSE), $N97="SWAB","OUTSA-RW",$N97="SWQU","OUTSA-SaQu", AND($L97="X",$M97="X",$N97="QUEST"),"OUT-UAQPre",$N97="QUEST","OUT-UAQ", $N97="Walk in","ColUATele")</f>
        <v>UA</v>
      </c>
      <c r="W97" s="314" t="str">
        <f t="shared" si="8"/>
        <v>UA : Urine Analysis In House</v>
      </c>
      <c r="X97" s="314" t="str">
        <f t="shared" si="9"/>
        <v>#N/A</v>
      </c>
      <c r="Y97" s="314" t="str">
        <f t="shared" si="10"/>
        <v>#N/A</v>
      </c>
      <c r="Z97" s="314" t="str">
        <f t="shared" si="11"/>
        <v> </v>
      </c>
      <c r="AA97" s="316"/>
    </row>
    <row r="98">
      <c r="A98" s="314" t="str">
        <f>IFS($B98=FALSE,"",$B98,VLOOKUP($B98,'PATIENT DATA (072721)'!A:C, 2, 0))</f>
        <v>CISNEY, LAURA J</v>
      </c>
      <c r="B98" s="314">
        <v>16703.0</v>
      </c>
      <c r="C98" s="316" t="str">
        <f>IF(COUNTIF('PATIENT DATA (072721)'!A:A, B98)=0, "X","✓")</f>
        <v>✓</v>
      </c>
      <c r="D98" s="317">
        <f>IFS($B98=FALSE,"",$B98,VLOOKUP($B98,'PATIENT DATA (072721)'!A:C, 3, 0))</f>
        <v>22337</v>
      </c>
      <c r="E98" s="318">
        <v>44565.0</v>
      </c>
      <c r="F98" s="315">
        <f>ifs($B98="","",$B98, VLOOKUP($B98&amp;$E98, 'VISIT DATA'!A:O,3,0))</f>
        <v>0.5416666667</v>
      </c>
      <c r="G98" s="314"/>
      <c r="H98" s="314" t="str">
        <f>ifs($B98="","",$B98, VLOOKUP($B98&amp;$E98, 'VISIT DATA'!$A:$O,13,0))</f>
        <v/>
      </c>
      <c r="I98" s="314" t="str">
        <f>VLOOKUP($B98&amp;$E98,'VISIT DATA'!A:J, 9, FALSE)</f>
        <v>LOPEZ</v>
      </c>
      <c r="J98" s="314" t="str">
        <f>VLOOKUP(B98&amp;E98,'VISIT DATA'!A:N,10,FALSE)</f>
        <v>BLUE CROSS MEDICARE ADVANTAGE HMO TX</v>
      </c>
      <c r="K98" s="316"/>
      <c r="L98" s="314"/>
      <c r="M98" s="314"/>
      <c r="N98" s="316"/>
      <c r="O98" s="316" t="str">
        <f t="shared" si="1"/>
        <v>X</v>
      </c>
      <c r="P98" s="317" t="str">
        <f t="shared" si="2"/>
        <v>#VALUE!</v>
      </c>
      <c r="Q98" s="317" t="str">
        <f t="shared" si="3"/>
        <v>#VALUE!</v>
      </c>
      <c r="R98" s="319" t="str">
        <f t="shared" si="4"/>
        <v>#VALUE!</v>
      </c>
      <c r="S98" s="314" t="str">
        <f t="shared" si="5"/>
        <v>#VALUE!</v>
      </c>
      <c r="T98" s="314" t="str">
        <f t="shared" si="6"/>
        <v>#VALUE!</v>
      </c>
      <c r="U98" s="314">
        <f t="shared" si="7"/>
        <v>0</v>
      </c>
      <c r="V98" s="314" t="str">
        <f>ifs($N98="",VLOOKUP($B98&amp;$E98,'VISIT DATA'!$A$2:$J244,7,FALSE), $N98="SWAB","OUTSA-RW",$N98="SWQU","OUTSA-SaQu", AND($L98="X",$M98="X",$N98="QUEST"),"OUT-UAQPre",$N98="QUEST","OUT-UAQ", $N98="Walk in","ColUATele")</f>
        <v>UA</v>
      </c>
      <c r="W98" s="314" t="str">
        <f t="shared" si="8"/>
        <v>UA : Urine Analysis In House</v>
      </c>
      <c r="X98" s="314" t="str">
        <f t="shared" si="9"/>
        <v>#N/A</v>
      </c>
      <c r="Y98" s="314" t="str">
        <f t="shared" si="10"/>
        <v>#N/A</v>
      </c>
      <c r="Z98" s="314" t="str">
        <f t="shared" si="11"/>
        <v> </v>
      </c>
      <c r="AA98" s="316"/>
    </row>
    <row r="99">
      <c r="A99" s="314" t="str">
        <f>IFS($B99=FALSE,"",$B99,VLOOKUP($B99,'PATIENT DATA (072721)'!A:C, 2, 0))</f>
        <v>HUNTER, WARREN A</v>
      </c>
      <c r="B99" s="314">
        <v>17826.0</v>
      </c>
      <c r="C99" s="316" t="str">
        <f>IF(COUNTIF('PATIENT DATA (072721)'!A:A, B99)=0, "X","✓")</f>
        <v>✓</v>
      </c>
      <c r="D99" s="317">
        <f>IFS($B99=FALSE,"",$B99,VLOOKUP($B99,'PATIENT DATA (072721)'!A:C, 3, 0))</f>
        <v>23296</v>
      </c>
      <c r="E99" s="318">
        <v>44565.0</v>
      </c>
      <c r="F99" s="315">
        <f>ifs($B99="","",$B99, VLOOKUP($B99&amp;$E99, 'VISIT DATA'!A:O,3,0))</f>
        <v>0.59375</v>
      </c>
      <c r="G99" s="314"/>
      <c r="H99" s="314" t="str">
        <f>ifs($B99="","",$B99, VLOOKUP($B99&amp;$E99, 'VISIT DATA'!$A:$O,13,0))</f>
        <v/>
      </c>
      <c r="I99" s="314" t="str">
        <f>VLOOKUP($B99&amp;$E99,'VISIT DATA'!A:J, 9, FALSE)</f>
        <v>LOPEZ</v>
      </c>
      <c r="J99" s="314" t="str">
        <f>VLOOKUP(B99&amp;E99,'VISIT DATA'!A:N,10,FALSE)</f>
        <v>CIGNA</v>
      </c>
      <c r="K99" s="316"/>
      <c r="L99" s="314"/>
      <c r="M99" s="314"/>
      <c r="N99" s="316"/>
      <c r="O99" s="316" t="str">
        <f t="shared" si="1"/>
        <v>X</v>
      </c>
      <c r="P99" s="317" t="str">
        <f t="shared" si="2"/>
        <v>#VALUE!</v>
      </c>
      <c r="Q99" s="317" t="str">
        <f t="shared" si="3"/>
        <v>#VALUE!</v>
      </c>
      <c r="R99" s="319" t="str">
        <f t="shared" si="4"/>
        <v>#VALUE!</v>
      </c>
      <c r="S99" s="314" t="str">
        <f t="shared" si="5"/>
        <v>#VALUE!</v>
      </c>
      <c r="T99" s="314" t="str">
        <f t="shared" si="6"/>
        <v>#VALUE!</v>
      </c>
      <c r="U99" s="314">
        <f t="shared" si="7"/>
        <v>0</v>
      </c>
      <c r="V99" s="314" t="str">
        <f>ifs($N99="",VLOOKUP($B99&amp;$E99,'VISIT DATA'!$A$2:$J244,7,FALSE), $N99="SWAB","OUTSA-RW",$N99="SWQU","OUTSA-SaQu", AND($L99="X",$M99="X",$N99="QUEST"),"OUT-UAQPre",$N99="QUEST","OUT-UAQ", $N99="Walk in","ColUATele")</f>
        <v>UA-NWPT</v>
      </c>
      <c r="W99" s="314" t="str">
        <f t="shared" si="8"/>
        <v>UA-NWPT : UA New Patient</v>
      </c>
      <c r="X99" s="314" t="str">
        <f t="shared" si="9"/>
        <v>#N/A</v>
      </c>
      <c r="Y99" s="314" t="str">
        <f t="shared" si="10"/>
        <v>#N/A</v>
      </c>
      <c r="Z99" s="314" t="str">
        <f t="shared" si="11"/>
        <v> </v>
      </c>
      <c r="AA99" s="316"/>
    </row>
    <row r="100">
      <c r="A100" s="314" t="str">
        <f>IFS($B100=FALSE,"",$B100,VLOOKUP($B100,'PATIENT DATA (072721)'!A:C, 2, 0))</f>
        <v>WILCOX, LARRY</v>
      </c>
      <c r="B100" s="314">
        <v>11883.0</v>
      </c>
      <c r="C100" s="316" t="str">
        <f>IF(COUNTIF('PATIENT DATA (072721)'!A:A, B100)=0, "X","✓")</f>
        <v>✓</v>
      </c>
      <c r="D100" s="317">
        <f>IFS($B100=FALSE,"",$B100,VLOOKUP($B100,'PATIENT DATA (072721)'!A:C, 3, 0))</f>
        <v>18355</v>
      </c>
      <c r="E100" s="318">
        <v>44566.0</v>
      </c>
      <c r="F100" s="315">
        <f>ifs($B100="","",$B100, VLOOKUP($B100&amp;$E100, 'VISIT DATA'!A:O,3,0))</f>
        <v>0.3333333333</v>
      </c>
      <c r="G100" s="314"/>
      <c r="H100" s="314" t="str">
        <f>ifs($B100="","",$B100, VLOOKUP($B100&amp;$E100, 'VISIT DATA'!$A:$O,13,0))</f>
        <v/>
      </c>
      <c r="I100" s="314" t="str">
        <f>VLOOKUP($B100&amp;$E100,'VISIT DATA'!A:J, 9, FALSE)</f>
        <v>MARTINEZ</v>
      </c>
      <c r="J100" s="314" t="str">
        <f>VLOOKUP(B100&amp;E100,'VISIT DATA'!A:N,10,FALSE)</f>
        <v>WPS VA - COMMUNITY CARE</v>
      </c>
      <c r="K100" s="316"/>
      <c r="L100" s="314"/>
      <c r="M100" s="314"/>
      <c r="N100" s="316"/>
      <c r="O100" s="316" t="str">
        <f t="shared" si="1"/>
        <v>X</v>
      </c>
      <c r="P100" s="317" t="str">
        <f t="shared" si="2"/>
        <v>#VALUE!</v>
      </c>
      <c r="Q100" s="317" t="str">
        <f t="shared" si="3"/>
        <v>#VALUE!</v>
      </c>
      <c r="R100" s="319" t="str">
        <f t="shared" si="4"/>
        <v>#VALUE!</v>
      </c>
      <c r="S100" s="314" t="str">
        <f t="shared" si="5"/>
        <v>#VALUE!</v>
      </c>
      <c r="T100" s="314" t="str">
        <f t="shared" si="6"/>
        <v>#VALUE!</v>
      </c>
      <c r="U100" s="314">
        <f t="shared" si="7"/>
        <v>0</v>
      </c>
      <c r="V100" s="314" t="str">
        <f>ifs($N100="",VLOOKUP($B100&amp;$E100,'VISIT DATA'!$A$2:$J244,7,FALSE), $N100="SWAB","OUTSA-RW",$N100="SWQU","OUTSA-SaQu", AND($L100="X",$M100="X",$N100="QUEST"),"OUT-UAQPre",$N100="QUEST","OUT-UAQ", $N100="Walk in","ColUATele")</f>
        <v>UA</v>
      </c>
      <c r="W100" s="314" t="str">
        <f t="shared" si="8"/>
        <v>UA : Urine Analysis In House</v>
      </c>
      <c r="X100" s="314" t="str">
        <f t="shared" si="9"/>
        <v>#N/A</v>
      </c>
      <c r="Y100" s="314" t="str">
        <f t="shared" si="10"/>
        <v>#N/A</v>
      </c>
      <c r="Z100" s="314" t="str">
        <f t="shared" si="11"/>
        <v> </v>
      </c>
      <c r="AA100" s="316"/>
    </row>
    <row r="101">
      <c r="A101" s="314" t="str">
        <f>IFS($B101=FALSE,"",$B101,VLOOKUP($B101,'PATIENT DATA (072721)'!A:C, 2, 0))</f>
        <v>HOLGUIN, ELISA</v>
      </c>
      <c r="B101" s="314">
        <v>15643.0</v>
      </c>
      <c r="C101" s="316" t="str">
        <f>IF(COUNTIF('PATIENT DATA (072721)'!A:A, B101)=0, "X","✓")</f>
        <v>✓</v>
      </c>
      <c r="D101" s="317">
        <f>IFS($B101=FALSE,"",$B101,VLOOKUP($B101,'PATIENT DATA (072721)'!A:C, 3, 0))</f>
        <v>26218</v>
      </c>
      <c r="E101" s="318">
        <v>44566.0</v>
      </c>
      <c r="F101" s="315">
        <f>ifs($B101="","",$B101, VLOOKUP($B101&amp;$E101, 'VISIT DATA'!A:O,3,0))</f>
        <v>0.34375</v>
      </c>
      <c r="G101" s="314"/>
      <c r="H101" s="314" t="str">
        <f>ifs($B101="","",$B101, VLOOKUP($B101&amp;$E101, 'VISIT DATA'!$A:$O,13,0))</f>
        <v/>
      </c>
      <c r="I101" s="314" t="str">
        <f>VLOOKUP($B101&amp;$E101,'VISIT DATA'!A:J, 9, FALSE)</f>
        <v>MARTINEZ</v>
      </c>
      <c r="J101" s="314" t="str">
        <f>VLOOKUP(B101&amp;E101,'VISIT DATA'!A:N,10,FALSE)</f>
        <v>UHC MEDICARE COMPLETE</v>
      </c>
      <c r="K101" s="316"/>
      <c r="L101" s="314"/>
      <c r="M101" s="314"/>
      <c r="N101" s="316"/>
      <c r="O101" s="316" t="str">
        <f t="shared" si="1"/>
        <v>X</v>
      </c>
      <c r="P101" s="317" t="str">
        <f t="shared" si="2"/>
        <v>#VALUE!</v>
      </c>
      <c r="Q101" s="317" t="str">
        <f t="shared" si="3"/>
        <v>#VALUE!</v>
      </c>
      <c r="R101" s="319" t="str">
        <f t="shared" si="4"/>
        <v>#VALUE!</v>
      </c>
      <c r="S101" s="314" t="str">
        <f t="shared" si="5"/>
        <v>#VALUE!</v>
      </c>
      <c r="T101" s="314" t="str">
        <f t="shared" si="6"/>
        <v>#VALUE!</v>
      </c>
      <c r="U101" s="314">
        <f t="shared" si="7"/>
        <v>0</v>
      </c>
      <c r="V101" s="314" t="str">
        <f>ifs($N101="",VLOOKUP($B101&amp;$E101,'VISIT DATA'!$A$2:$J244,7,FALSE), $N101="SWAB","OUTSA-RW",$N101="SWQU","OUTSA-SaQu", AND($L101="X",$M101="X",$N101="QUEST"),"OUT-UAQPre",$N101="QUEST","OUT-UAQ", $N101="Walk in","ColUATele")</f>
        <v>UA</v>
      </c>
      <c r="W101" s="314" t="str">
        <f t="shared" si="8"/>
        <v>UA : Urine Analysis In House</v>
      </c>
      <c r="X101" s="314" t="str">
        <f t="shared" si="9"/>
        <v>#N/A</v>
      </c>
      <c r="Y101" s="314" t="str">
        <f t="shared" si="10"/>
        <v>#N/A</v>
      </c>
      <c r="Z101" s="314" t="str">
        <f t="shared" si="11"/>
        <v> </v>
      </c>
      <c r="AA101" s="316"/>
    </row>
    <row r="102">
      <c r="A102" s="314" t="str">
        <f>IFS($B102=FALSE,"",$B102,VLOOKUP($B102,'PATIENT DATA (072721)'!A:C, 2, 0))</f>
        <v>PITONES, LUISA</v>
      </c>
      <c r="B102" s="314">
        <v>9716.0</v>
      </c>
      <c r="C102" s="316" t="str">
        <f>IF(COUNTIF('PATIENT DATA (072721)'!A:A, B102)=0, "X","✓")</f>
        <v>✓</v>
      </c>
      <c r="D102" s="317">
        <f>IFS($B102=FALSE,"",$B102,VLOOKUP($B102,'PATIENT DATA (072721)'!A:C, 3, 0))</f>
        <v>20692</v>
      </c>
      <c r="E102" s="318">
        <v>44566.0</v>
      </c>
      <c r="F102" s="315">
        <f>ifs($B102="","",$B102, VLOOKUP($B102&amp;$E102, 'VISIT DATA'!A:O,3,0))</f>
        <v>0.3645833333</v>
      </c>
      <c r="G102" s="314"/>
      <c r="H102" s="314" t="str">
        <f>ifs($B102="","",$B102, VLOOKUP($B102&amp;$E102, 'VISIT DATA'!$A:$O,13,0))</f>
        <v/>
      </c>
      <c r="I102" s="314" t="str">
        <f>VLOOKUP($B102&amp;$E102,'VISIT DATA'!A:J, 9, FALSE)</f>
        <v>TORRES</v>
      </c>
      <c r="J102" s="314" t="str">
        <f>VLOOKUP(B102&amp;E102,'VISIT DATA'!A:N,10,FALSE)</f>
        <v>WELLMED - UHC DUAL COMPLETE SNP</v>
      </c>
      <c r="K102" s="316"/>
      <c r="L102" s="314"/>
      <c r="M102" s="314"/>
      <c r="N102" s="316"/>
      <c r="O102" s="316" t="str">
        <f t="shared" si="1"/>
        <v>X</v>
      </c>
      <c r="P102" s="317" t="str">
        <f t="shared" si="2"/>
        <v>X</v>
      </c>
      <c r="Q102" s="317" t="str">
        <f t="shared" si="3"/>
        <v>#VALUE!</v>
      </c>
      <c r="R102" s="319" t="str">
        <f t="shared" si="4"/>
        <v>#VALUE!</v>
      </c>
      <c r="S102" s="314" t="str">
        <f t="shared" si="5"/>
        <v>#VALUE!</v>
      </c>
      <c r="T102" s="314" t="str">
        <f t="shared" si="6"/>
        <v>#VALUE!</v>
      </c>
      <c r="U102" s="314">
        <f t="shared" si="7"/>
        <v>1</v>
      </c>
      <c r="V102" s="314" t="str">
        <f>ifs($N102="",VLOOKUP($B102&amp;$E102,'VISIT DATA'!$A$2:$J244,7,FALSE), $N102="SWAB","OUTSA-RW",$N102="SWQU","OUTSA-SaQu", AND($L102="X",$M102="X",$N102="QUEST"),"OUT-UAQPre",$N102="QUEST","OUT-UAQ", $N102="Walk in","ColUATele")</f>
        <v>OUTUA-FURW</v>
      </c>
      <c r="W102" s="314" t="str">
        <f t="shared" si="8"/>
        <v>OUTUA-FURW : OUT UA FU Redwood</v>
      </c>
      <c r="X102" s="314" t="str">
        <f t="shared" si="9"/>
        <v>#N/A</v>
      </c>
      <c r="Y102" s="314" t="str">
        <f t="shared" si="10"/>
        <v>#N/A</v>
      </c>
      <c r="Z102" s="314" t="str">
        <f t="shared" si="11"/>
        <v> </v>
      </c>
      <c r="AA102" s="316"/>
    </row>
    <row r="103">
      <c r="A103" s="314" t="str">
        <f>IFS($B103=FALSE,"",$B103,VLOOKUP($B103,'PATIENT DATA (072721)'!A:C, 2, 0))</f>
        <v>CERECERES, YOLANDA</v>
      </c>
      <c r="B103" s="314">
        <v>16941.0</v>
      </c>
      <c r="C103" s="316" t="str">
        <f>IF(COUNTIF('PATIENT DATA (072721)'!A:A, B103)=0, "X","✓")</f>
        <v>✓</v>
      </c>
      <c r="D103" s="317">
        <f>IFS($B103=FALSE,"",$B103,VLOOKUP($B103,'PATIENT DATA (072721)'!A:C, 3, 0))</f>
        <v>21789</v>
      </c>
      <c r="E103" s="318">
        <v>44566.0</v>
      </c>
      <c r="F103" s="315">
        <f>ifs($B103="","",$B103, VLOOKUP($B103&amp;$E103, 'VISIT DATA'!A:O,3,0))</f>
        <v>0.3645833333</v>
      </c>
      <c r="G103" s="314"/>
      <c r="H103" s="314" t="str">
        <f>ifs($B103="","",$B103, VLOOKUP($B103&amp;$E103, 'VISIT DATA'!$A:$O,13,0))</f>
        <v/>
      </c>
      <c r="I103" s="314" t="str">
        <f>VLOOKUP($B103&amp;$E103,'VISIT DATA'!A:J, 9, FALSE)</f>
        <v>MARTINEZ</v>
      </c>
      <c r="J103" s="314" t="str">
        <f>VLOOKUP(B103&amp;E103,'VISIT DATA'!A:N,10,FALSE)</f>
        <v>HUMANA GOLD PLUS HMO</v>
      </c>
      <c r="K103" s="316"/>
      <c r="L103" s="314"/>
      <c r="M103" s="314"/>
      <c r="N103" s="316"/>
      <c r="O103" s="316" t="str">
        <f t="shared" si="1"/>
        <v>X</v>
      </c>
      <c r="P103" s="317" t="str">
        <f t="shared" si="2"/>
        <v>#VALUE!</v>
      </c>
      <c r="Q103" s="317" t="str">
        <f t="shared" si="3"/>
        <v>#VALUE!</v>
      </c>
      <c r="R103" s="319" t="str">
        <f t="shared" si="4"/>
        <v>#VALUE!</v>
      </c>
      <c r="S103" s="314" t="str">
        <f t="shared" si="5"/>
        <v>#VALUE!</v>
      </c>
      <c r="T103" s="314" t="str">
        <f t="shared" si="6"/>
        <v>#VALUE!</v>
      </c>
      <c r="U103" s="314">
        <f t="shared" si="7"/>
        <v>0</v>
      </c>
      <c r="V103" s="314" t="str">
        <f>ifs($N103="",VLOOKUP($B103&amp;$E103,'VISIT DATA'!$A$2:$J244,7,FALSE), $N103="SWAB","OUTSA-RW",$N103="SWQU","OUTSA-SaQu", AND($L103="X",$M103="X",$N103="QUEST"),"OUT-UAQPre",$N103="QUEST","OUT-UAQ", $N103="Walk in","ColUATele")</f>
        <v>UA</v>
      </c>
      <c r="W103" s="314" t="str">
        <f t="shared" si="8"/>
        <v>UA : Urine Analysis In House</v>
      </c>
      <c r="X103" s="314" t="str">
        <f t="shared" si="9"/>
        <v>#N/A</v>
      </c>
      <c r="Y103" s="314" t="str">
        <f t="shared" si="10"/>
        <v>#N/A</v>
      </c>
      <c r="Z103" s="314" t="str">
        <f t="shared" si="11"/>
        <v> </v>
      </c>
      <c r="AA103" s="316"/>
    </row>
    <row r="104">
      <c r="A104" s="314" t="str">
        <f>IFS($B104=FALSE,"",$B104,VLOOKUP($B104,'PATIENT DATA (072721)'!A:C, 2, 0))</f>
        <v>ABURTO, JAIME</v>
      </c>
      <c r="B104" s="314">
        <v>12250.0</v>
      </c>
      <c r="C104" s="316" t="str">
        <f>IF(COUNTIF('PATIENT DATA (072721)'!A:A, B104)=0, "X","✓")</f>
        <v>✓</v>
      </c>
      <c r="D104" s="317">
        <f>IFS($B104=FALSE,"",$B104,VLOOKUP($B104,'PATIENT DATA (072721)'!A:C, 3, 0))</f>
        <v>23723</v>
      </c>
      <c r="E104" s="318">
        <v>44566.0</v>
      </c>
      <c r="F104" s="315" t="str">
        <f>ifs($B104="","",$B104, VLOOKUP($B104&amp;$E104, 'VISIT DATA'!A:O,3,0))</f>
        <v>#N/A</v>
      </c>
      <c r="G104" s="314"/>
      <c r="H104" s="314" t="str">
        <f>ifs($B104="","",$B104, VLOOKUP($B104&amp;$E104, 'VISIT DATA'!$A:$O,13,0))</f>
        <v>#N/A</v>
      </c>
      <c r="I104" s="314" t="str">
        <f>VLOOKUP($B104&amp;$E104,'VISIT DATA'!A:J, 9, FALSE)</f>
        <v>#N/A</v>
      </c>
      <c r="J104" s="314" t="str">
        <f>VLOOKUP(B104&amp;E104,'VISIT DATA'!A:N,10,FALSE)</f>
        <v>#N/A</v>
      </c>
      <c r="K104" s="316"/>
      <c r="L104" s="314"/>
      <c r="M104" s="314"/>
      <c r="N104" s="316"/>
      <c r="O104" s="316" t="str">
        <f t="shared" si="1"/>
        <v>X</v>
      </c>
      <c r="P104" s="317" t="str">
        <f t="shared" si="2"/>
        <v>#N/A</v>
      </c>
      <c r="Q104" s="317" t="str">
        <f t="shared" si="3"/>
        <v>#N/A</v>
      </c>
      <c r="R104" s="319" t="str">
        <f t="shared" si="4"/>
        <v>#N/A</v>
      </c>
      <c r="S104" s="314" t="str">
        <f t="shared" si="5"/>
        <v>#N/A</v>
      </c>
      <c r="T104" s="314" t="str">
        <f t="shared" si="6"/>
        <v>#N/A</v>
      </c>
      <c r="U104" s="314">
        <f t="shared" si="7"/>
        <v>0</v>
      </c>
      <c r="V104" s="314" t="str">
        <f>ifs($N104="",VLOOKUP($B104&amp;$E104,'VISIT DATA'!$A$2:$J244,7,FALSE), $N104="SWAB","OUTSA-RW",$N104="SWQU","OUTSA-SaQu", AND($L104="X",$M104="X",$N104="QUEST"),"OUT-UAQPre",$N104="QUEST","OUT-UAQ", $N104="Walk in","ColUATele")</f>
        <v>#N/A</v>
      </c>
      <c r="W104" s="314" t="str">
        <f t="shared" si="8"/>
        <v>#N/A</v>
      </c>
      <c r="X104" s="314" t="str">
        <f t="shared" si="9"/>
        <v>#N/A</v>
      </c>
      <c r="Y104" s="314" t="str">
        <f t="shared" si="10"/>
        <v>#N/A</v>
      </c>
      <c r="Z104" s="314" t="str">
        <f t="shared" si="11"/>
        <v> </v>
      </c>
      <c r="AA104" s="316"/>
    </row>
    <row r="105">
      <c r="A105" s="314" t="str">
        <f>IFS($B105=FALSE,"",$B105,VLOOKUP($B105,'PATIENT DATA (072721)'!A:C, 2, 0))</f>
        <v>CAZARES, SERGIO</v>
      </c>
      <c r="B105" s="314">
        <v>15713.0</v>
      </c>
      <c r="C105" s="316" t="str">
        <f>IF(COUNTIF('PATIENT DATA (072721)'!A:A, B105)=0, "X","✓")</f>
        <v>✓</v>
      </c>
      <c r="D105" s="317">
        <f>IFS($B105=FALSE,"",$B105,VLOOKUP($B105,'PATIENT DATA (072721)'!A:C, 3, 0))</f>
        <v>18132</v>
      </c>
      <c r="E105" s="318">
        <v>44566.0</v>
      </c>
      <c r="F105" s="315">
        <f>ifs($B105="","",$B105, VLOOKUP($B105&amp;$E105, 'VISIT DATA'!A:O,3,0))</f>
        <v>0.40625</v>
      </c>
      <c r="G105" s="314"/>
      <c r="H105" s="314" t="str">
        <f>ifs($B105="","",$B105, VLOOKUP($B105&amp;$E105, 'VISIT DATA'!$A:$O,13,0))</f>
        <v/>
      </c>
      <c r="I105" s="314" t="str">
        <f>VLOOKUP($B105&amp;$E105,'VISIT DATA'!A:J, 9, FALSE)</f>
        <v>MARTINEZ</v>
      </c>
      <c r="J105" s="314" t="str">
        <f>VLOOKUP(B105&amp;E105,'VISIT DATA'!A:N,10,FALSE)</f>
        <v>WPS VA - COMMUNITY CARE</v>
      </c>
      <c r="K105" s="316"/>
      <c r="L105" s="314"/>
      <c r="M105" s="314"/>
      <c r="N105" s="316"/>
      <c r="O105" s="316" t="str">
        <f t="shared" si="1"/>
        <v>X</v>
      </c>
      <c r="P105" s="317" t="str">
        <f t="shared" si="2"/>
        <v>#VALUE!</v>
      </c>
      <c r="Q105" s="317" t="str">
        <f t="shared" si="3"/>
        <v>#VALUE!</v>
      </c>
      <c r="R105" s="319" t="str">
        <f t="shared" si="4"/>
        <v>#VALUE!</v>
      </c>
      <c r="S105" s="314" t="str">
        <f t="shared" si="5"/>
        <v>#VALUE!</v>
      </c>
      <c r="T105" s="314" t="str">
        <f t="shared" si="6"/>
        <v>#VALUE!</v>
      </c>
      <c r="U105" s="314">
        <f t="shared" si="7"/>
        <v>0</v>
      </c>
      <c r="V105" s="314" t="str">
        <f>ifs($N105="",VLOOKUP($B105&amp;$E105,'VISIT DATA'!$A$2:$J244,7,FALSE), $N105="SWAB","OUTSA-RW",$N105="SWQU","OUTSA-SaQu", AND($L105="X",$M105="X",$N105="QUEST"),"OUT-UAQPre",$N105="QUEST","OUT-UAQ", $N105="Walk in","ColUATele")</f>
        <v>UA</v>
      </c>
      <c r="W105" s="314" t="str">
        <f t="shared" si="8"/>
        <v>UA : Urine Analysis In House</v>
      </c>
      <c r="X105" s="314" t="str">
        <f t="shared" si="9"/>
        <v>#N/A</v>
      </c>
      <c r="Y105" s="314" t="str">
        <f t="shared" si="10"/>
        <v>#N/A</v>
      </c>
      <c r="Z105" s="314" t="str">
        <f t="shared" si="11"/>
        <v> </v>
      </c>
      <c r="AA105" s="316"/>
    </row>
    <row r="106">
      <c r="A106" s="314" t="str">
        <f>IFS($B106=FALSE,"",$B106,VLOOKUP($B106,'PATIENT DATA (072721)'!A:C, 2, 0))</f>
        <v>RAMIREZ, SERGIO E</v>
      </c>
      <c r="B106" s="314">
        <v>13739.0</v>
      </c>
      <c r="C106" s="316" t="str">
        <f>IF(COUNTIF('PATIENT DATA (072721)'!A:A, B106)=0, "X","✓")</f>
        <v>✓</v>
      </c>
      <c r="D106" s="317">
        <f>IFS($B106=FALSE,"",$B106,VLOOKUP($B106,'PATIENT DATA (072721)'!A:C, 3, 0))</f>
        <v>22361</v>
      </c>
      <c r="E106" s="318">
        <v>44566.0</v>
      </c>
      <c r="F106" s="315">
        <f>ifs($B106="","",$B106, VLOOKUP($B106&amp;$E106, 'VISIT DATA'!A:O,3,0))</f>
        <v>0.4270833333</v>
      </c>
      <c r="G106" s="314"/>
      <c r="H106" s="314" t="str">
        <f>ifs($B106="","",$B106, VLOOKUP($B106&amp;$E106, 'VISIT DATA'!$A:$O,13,0))</f>
        <v/>
      </c>
      <c r="I106" s="314" t="str">
        <f>VLOOKUP($B106&amp;$E106,'VISIT DATA'!A:J, 9, FALSE)</f>
        <v>LOPEZ</v>
      </c>
      <c r="J106" s="314" t="str">
        <f>VLOOKUP(B106&amp;E106,'VISIT DATA'!A:N,10,FALSE)</f>
        <v>WELLMED - UHC DUAL COMPLETE SNP</v>
      </c>
      <c r="K106" s="316"/>
      <c r="L106" s="314"/>
      <c r="M106" s="314"/>
      <c r="N106" s="316"/>
      <c r="O106" s="316" t="str">
        <f t="shared" si="1"/>
        <v>X</v>
      </c>
      <c r="P106" s="317" t="str">
        <f t="shared" si="2"/>
        <v>X</v>
      </c>
      <c r="Q106" s="317" t="str">
        <f t="shared" si="3"/>
        <v>#VALUE!</v>
      </c>
      <c r="R106" s="319" t="str">
        <f t="shared" si="4"/>
        <v>#VALUE!</v>
      </c>
      <c r="S106" s="314" t="str">
        <f t="shared" si="5"/>
        <v>#VALUE!</v>
      </c>
      <c r="T106" s="314" t="str">
        <f t="shared" si="6"/>
        <v>#VALUE!</v>
      </c>
      <c r="U106" s="314">
        <f t="shared" si="7"/>
        <v>1</v>
      </c>
      <c r="V106" s="314" t="str">
        <f>ifs($N106="",VLOOKUP($B106&amp;$E106,'VISIT DATA'!$A$2:$J244,7,FALSE), $N106="SWAB","OUTSA-RW",$N106="SWQU","OUTSA-SaQu", AND($L106="X",$M106="X",$N106="QUEST"),"OUT-UAQPre",$N106="QUEST","OUT-UAQ", $N106="Walk in","ColUATele")</f>
        <v>OUTUA-PrRW</v>
      </c>
      <c r="W106" s="314" t="str">
        <f t="shared" si="8"/>
        <v>OUTUA-PrRW : OUT UA Prelimin Redwood</v>
      </c>
      <c r="X106" s="314" t="str">
        <f t="shared" si="9"/>
        <v>#N/A</v>
      </c>
      <c r="Y106" s="314" t="str">
        <f t="shared" si="10"/>
        <v>#N/A</v>
      </c>
      <c r="Z106" s="314" t="str">
        <f t="shared" si="11"/>
        <v> </v>
      </c>
      <c r="AA106" s="316"/>
    </row>
    <row r="107">
      <c r="A107" s="314" t="str">
        <f>IFS($B107=FALSE,"",$B107,VLOOKUP($B107,'PATIENT DATA (072721)'!A:C, 2, 0))</f>
        <v>HENSLEY, LAURA L</v>
      </c>
      <c r="B107" s="314">
        <v>15916.0</v>
      </c>
      <c r="C107" s="316" t="str">
        <f>IF(COUNTIF('PATIENT DATA (072721)'!A:A, B107)=0, "X","✓")</f>
        <v>✓</v>
      </c>
      <c r="D107" s="317">
        <f>IFS($B107=FALSE,"",$B107,VLOOKUP($B107,'PATIENT DATA (072721)'!A:C, 3, 0))</f>
        <v>24736</v>
      </c>
      <c r="E107" s="318">
        <v>44566.0</v>
      </c>
      <c r="F107" s="315">
        <f>ifs($B107="","",$B107, VLOOKUP($B107&amp;$E107, 'VISIT DATA'!A:O,3,0))</f>
        <v>0.4166666667</v>
      </c>
      <c r="G107" s="314"/>
      <c r="H107" s="314" t="str">
        <f>ifs($B107="","",$B107, VLOOKUP($B107&amp;$E107, 'VISIT DATA'!$A:$O,13,0))</f>
        <v/>
      </c>
      <c r="I107" s="314" t="str">
        <f>VLOOKUP($B107&amp;$E107,'VISIT DATA'!A:J, 9, FALSE)</f>
        <v>LOPEZ</v>
      </c>
      <c r="J107" s="314" t="str">
        <f>VLOOKUP(B107&amp;E107,'VISIT DATA'!A:N,10,FALSE)</f>
        <v>MOLINA MEDICAID TEXAS</v>
      </c>
      <c r="K107" s="316"/>
      <c r="L107" s="314"/>
      <c r="M107" s="314"/>
      <c r="N107" s="316"/>
      <c r="O107" s="316" t="str">
        <f t="shared" si="1"/>
        <v>X</v>
      </c>
      <c r="P107" s="317" t="str">
        <f t="shared" si="2"/>
        <v>#VALUE!</v>
      </c>
      <c r="Q107" s="317" t="str">
        <f t="shared" si="3"/>
        <v>X</v>
      </c>
      <c r="R107" s="319" t="str">
        <f t="shared" si="4"/>
        <v>#VALUE!</v>
      </c>
      <c r="S107" s="314" t="str">
        <f t="shared" si="5"/>
        <v>#VALUE!</v>
      </c>
      <c r="T107" s="314" t="str">
        <f t="shared" si="6"/>
        <v>#VALUE!</v>
      </c>
      <c r="U107" s="314">
        <f t="shared" si="7"/>
        <v>1</v>
      </c>
      <c r="V107" s="314" t="str">
        <f>ifs($N107="",VLOOKUP($B107&amp;$E107,'VISIT DATA'!$A$2:$J244,7,FALSE), $N107="SWAB","OUTSA-RW",$N107="SWQU","OUTSA-SaQu", AND($L107="X",$M107="X",$N107="QUEST"),"OUT-UAQPre",$N107="QUEST","OUT-UAQ", $N107="Walk in","ColUATele")</f>
        <v>OUTUA-PrRW</v>
      </c>
      <c r="W107" s="314" t="str">
        <f t="shared" si="8"/>
        <v>OUTUA-PrRW : OUT UA Prelimin Redwood</v>
      </c>
      <c r="X107" s="314" t="str">
        <f t="shared" si="9"/>
        <v>#N/A</v>
      </c>
      <c r="Y107" s="314" t="str">
        <f t="shared" si="10"/>
        <v>#N/A</v>
      </c>
      <c r="Z107" s="314" t="str">
        <f t="shared" si="11"/>
        <v> </v>
      </c>
      <c r="AA107" s="316"/>
    </row>
    <row r="108">
      <c r="A108" s="314" t="str">
        <f>IFS($B108=FALSE,"",$B108,VLOOKUP($B108,'PATIENT DATA (072721)'!A:C, 2, 0))</f>
        <v>BAQUERA, PATRICIA</v>
      </c>
      <c r="B108" s="314">
        <v>15573.0</v>
      </c>
      <c r="C108" s="316" t="str">
        <f>IF(COUNTIF('PATIENT DATA (072721)'!A:A, B108)=0, "X","✓")</f>
        <v>✓</v>
      </c>
      <c r="D108" s="317">
        <f>IFS($B108=FALSE,"",$B108,VLOOKUP($B108,'PATIENT DATA (072721)'!A:C, 3, 0))</f>
        <v>26123</v>
      </c>
      <c r="E108" s="318">
        <v>44566.0</v>
      </c>
      <c r="F108" s="315">
        <f>ifs($B108="","",$B108, VLOOKUP($B108&amp;$E108, 'VISIT DATA'!A:O,3,0))</f>
        <v>0.375</v>
      </c>
      <c r="G108" s="314"/>
      <c r="H108" s="314" t="str">
        <f>ifs($B108="","",$B108, VLOOKUP($B108&amp;$E108, 'VISIT DATA'!$A:$O,13,0))</f>
        <v/>
      </c>
      <c r="I108" s="314" t="str">
        <f>VLOOKUP($B108&amp;$E108,'VISIT DATA'!A:J, 9, FALSE)</f>
        <v>MARTINEZ</v>
      </c>
      <c r="J108" s="314" t="str">
        <f>VLOOKUP(B108&amp;E108,'VISIT DATA'!A:N,10,FALSE)</f>
        <v>MOLINA MEDICAID TEXAS</v>
      </c>
      <c r="K108" s="316"/>
      <c r="L108" s="314"/>
      <c r="M108" s="314"/>
      <c r="N108" s="316"/>
      <c r="O108" s="316" t="str">
        <f t="shared" si="1"/>
        <v>X</v>
      </c>
      <c r="P108" s="317" t="str">
        <f t="shared" si="2"/>
        <v>#VALUE!</v>
      </c>
      <c r="Q108" s="317" t="str">
        <f t="shared" si="3"/>
        <v>X</v>
      </c>
      <c r="R108" s="319" t="str">
        <f t="shared" si="4"/>
        <v>#VALUE!</v>
      </c>
      <c r="S108" s="314" t="str">
        <f t="shared" si="5"/>
        <v>#VALUE!</v>
      </c>
      <c r="T108" s="314" t="str">
        <f t="shared" si="6"/>
        <v>#VALUE!</v>
      </c>
      <c r="U108" s="314">
        <f t="shared" si="7"/>
        <v>1</v>
      </c>
      <c r="V108" s="314" t="str">
        <f>ifs($N108="",VLOOKUP($B108&amp;$E108,'VISIT DATA'!$A$2:$J244,7,FALSE), $N108="SWAB","OUTSA-RW",$N108="SWQU","OUTSA-SaQu", AND($L108="X",$M108="X",$N108="QUEST"),"OUT-UAQPre",$N108="QUEST","OUT-UAQ", $N108="Walk in","ColUATele")</f>
        <v>OUTUA-FURW</v>
      </c>
      <c r="W108" s="314" t="str">
        <f t="shared" si="8"/>
        <v>OUTUA-FURW : OUT UA FU Redwood</v>
      </c>
      <c r="X108" s="314" t="str">
        <f t="shared" si="9"/>
        <v>#N/A</v>
      </c>
      <c r="Y108" s="314" t="str">
        <f t="shared" si="10"/>
        <v>#N/A</v>
      </c>
      <c r="Z108" s="314" t="str">
        <f t="shared" si="11"/>
        <v> </v>
      </c>
      <c r="AA108" s="316"/>
    </row>
    <row r="109">
      <c r="A109" s="314" t="str">
        <f>IFS($B109=FALSE,"",$B109,VLOOKUP($B109,'PATIENT DATA (072721)'!A:C, 2, 0))</f>
        <v>FUENTES, ARMANDO</v>
      </c>
      <c r="B109" s="314">
        <v>12305.0</v>
      </c>
      <c r="C109" s="316" t="str">
        <f>IF(COUNTIF('PATIENT DATA (072721)'!A:A, B109)=0, "X","✓")</f>
        <v>✓</v>
      </c>
      <c r="D109" s="317">
        <f>IFS($B109=FALSE,"",$B109,VLOOKUP($B109,'PATIENT DATA (072721)'!A:C, 3, 0))</f>
        <v>21728</v>
      </c>
      <c r="E109" s="318">
        <v>44566.0</v>
      </c>
      <c r="F109" s="315">
        <f>ifs($B109="","",$B109, VLOOKUP($B109&amp;$E109, 'VISIT DATA'!A:O,3,0))</f>
        <v>0.4583333333</v>
      </c>
      <c r="G109" s="314"/>
      <c r="H109" s="314" t="str">
        <f>ifs($B109="","",$B109, VLOOKUP($B109&amp;$E109, 'VISIT DATA'!$A:$O,13,0))</f>
        <v/>
      </c>
      <c r="I109" s="314" t="str">
        <f>VLOOKUP($B109&amp;$E109,'VISIT DATA'!A:J, 9, FALSE)</f>
        <v>MARTINEZ</v>
      </c>
      <c r="J109" s="314" t="str">
        <f>VLOOKUP(B109&amp;E109,'VISIT DATA'!A:N,10,FALSE)</f>
        <v>MEDICARE TEXAS</v>
      </c>
      <c r="K109" s="316"/>
      <c r="L109" s="314"/>
      <c r="M109" s="314"/>
      <c r="N109" s="316"/>
      <c r="O109" s="316" t="str">
        <f t="shared" si="1"/>
        <v>X</v>
      </c>
      <c r="P109" s="317" t="str">
        <f t="shared" si="2"/>
        <v>#VALUE!</v>
      </c>
      <c r="Q109" s="317" t="str">
        <f t="shared" si="3"/>
        <v>#VALUE!</v>
      </c>
      <c r="R109" s="319" t="str">
        <f t="shared" si="4"/>
        <v>#VALUE!</v>
      </c>
      <c r="S109" s="314" t="str">
        <f t="shared" si="5"/>
        <v>#VALUE!</v>
      </c>
      <c r="T109" s="314" t="str">
        <f t="shared" si="6"/>
        <v>#VALUE!</v>
      </c>
      <c r="U109" s="314">
        <f t="shared" si="7"/>
        <v>0</v>
      </c>
      <c r="V109" s="314" t="str">
        <f>ifs($N109="",VLOOKUP($B109&amp;$E109,'VISIT DATA'!$A$2:$J244,7,FALSE), $N109="SWAB","OUTSA-RW",$N109="SWQU","OUTSA-SaQu", AND($L109="X",$M109="X",$N109="QUEST"),"OUT-UAQPre",$N109="QUEST","OUT-UAQ", $N109="Walk in","ColUATele")</f>
        <v>UA</v>
      </c>
      <c r="W109" s="314" t="str">
        <f t="shared" si="8"/>
        <v>UA : Urine Analysis In House</v>
      </c>
      <c r="X109" s="314" t="str">
        <f t="shared" si="9"/>
        <v>#N/A</v>
      </c>
      <c r="Y109" s="314" t="str">
        <f t="shared" si="10"/>
        <v>#N/A</v>
      </c>
      <c r="Z109" s="314" t="str">
        <f t="shared" si="11"/>
        <v> </v>
      </c>
      <c r="AA109" s="316"/>
    </row>
    <row r="110">
      <c r="A110" s="314" t="str">
        <f>IFS($B110=FALSE,"",$B110,VLOOKUP($B110,'PATIENT DATA (072721)'!A:C, 2, 0))</f>
        <v>ROJAS, SYLVIA Z</v>
      </c>
      <c r="B110" s="314">
        <v>11518.0</v>
      </c>
      <c r="C110" s="316" t="str">
        <f>IF(COUNTIF('PATIENT DATA (072721)'!A:A, B110)=0, "X","✓")</f>
        <v>✓</v>
      </c>
      <c r="D110" s="317">
        <f>IFS($B110=FALSE,"",$B110,VLOOKUP($B110,'PATIENT DATA (072721)'!A:C, 3, 0))</f>
        <v>20702</v>
      </c>
      <c r="E110" s="318">
        <v>44566.0</v>
      </c>
      <c r="F110" s="315">
        <f>ifs($B110="","",$B110, VLOOKUP($B110&amp;$E110, 'VISIT DATA'!A:O,3,0))</f>
        <v>0.4583333333</v>
      </c>
      <c r="G110" s="314"/>
      <c r="H110" s="314" t="str">
        <f>ifs($B110="","",$B110, VLOOKUP($B110&amp;$E110, 'VISIT DATA'!$A:$O,13,0))</f>
        <v/>
      </c>
      <c r="I110" s="314" t="str">
        <f>VLOOKUP($B110&amp;$E110,'VISIT DATA'!A:J, 9, FALSE)</f>
        <v>MARTINEZ</v>
      </c>
      <c r="J110" s="314" t="str">
        <f>VLOOKUP(B110&amp;E110,'VISIT DATA'!A:N,10,FALSE)</f>
        <v>WELLMED - UHC DUAL COMPLETE SNP</v>
      </c>
      <c r="K110" s="316"/>
      <c r="L110" s="314"/>
      <c r="M110" s="314"/>
      <c r="N110" s="316"/>
      <c r="O110" s="316" t="str">
        <f t="shared" si="1"/>
        <v>X</v>
      </c>
      <c r="P110" s="317" t="str">
        <f t="shared" si="2"/>
        <v>X</v>
      </c>
      <c r="Q110" s="317" t="str">
        <f t="shared" si="3"/>
        <v>#VALUE!</v>
      </c>
      <c r="R110" s="319" t="str">
        <f t="shared" si="4"/>
        <v>#VALUE!</v>
      </c>
      <c r="S110" s="314" t="str">
        <f t="shared" si="5"/>
        <v>#VALUE!</v>
      </c>
      <c r="T110" s="314" t="str">
        <f t="shared" si="6"/>
        <v>#VALUE!</v>
      </c>
      <c r="U110" s="314">
        <f t="shared" si="7"/>
        <v>1</v>
      </c>
      <c r="V110" s="314" t="str">
        <f>ifs($N110="",VLOOKUP($B110&amp;$E110,'VISIT DATA'!$A$2:$J244,7,FALSE), $N110="SWAB","OUTSA-RW",$N110="SWQU","OUTSA-SaQu", AND($L110="X",$M110="X",$N110="QUEST"),"OUT-UAQPre",$N110="QUEST","OUT-UAQ", $N110="Walk in","ColUATele")</f>
        <v>OUTUA-FURW</v>
      </c>
      <c r="W110" s="314" t="str">
        <f t="shared" si="8"/>
        <v>OUTUA-FURW : OUT UA FU Redwood</v>
      </c>
      <c r="X110" s="314" t="str">
        <f t="shared" si="9"/>
        <v>#N/A</v>
      </c>
      <c r="Y110" s="314" t="str">
        <f t="shared" si="10"/>
        <v>#N/A</v>
      </c>
      <c r="Z110" s="314" t="str">
        <f t="shared" si="11"/>
        <v> </v>
      </c>
      <c r="AA110" s="316"/>
    </row>
    <row r="111">
      <c r="A111" s="314" t="str">
        <f>IFS($B111=FALSE,"",$B111,VLOOKUP($B111,'PATIENT DATA (072721)'!A:C, 2, 0))</f>
        <v>VEAL, ALLENE</v>
      </c>
      <c r="B111" s="314">
        <v>11727.0</v>
      </c>
      <c r="C111" s="316" t="str">
        <f>IF(COUNTIF('PATIENT DATA (072721)'!A:A, B111)=0, "X","✓")</f>
        <v>✓</v>
      </c>
      <c r="D111" s="317">
        <f>IFS($B111=FALSE,"",$B111,VLOOKUP($B111,'PATIENT DATA (072721)'!A:C, 3, 0))</f>
        <v>17812</v>
      </c>
      <c r="E111" s="318">
        <v>44566.0</v>
      </c>
      <c r="F111" s="315">
        <f>ifs($B111="","",$B111, VLOOKUP($B111&amp;$E111, 'VISIT DATA'!A:O,3,0))</f>
        <v>0.4583333333</v>
      </c>
      <c r="G111" s="314"/>
      <c r="H111" s="314" t="str">
        <f>ifs($B111="","",$B111, VLOOKUP($B111&amp;$E111, 'VISIT DATA'!$A:$O,13,0))</f>
        <v/>
      </c>
      <c r="I111" s="314" t="str">
        <f>VLOOKUP($B111&amp;$E111,'VISIT DATA'!A:J, 9, FALSE)</f>
        <v>LOPEZ</v>
      </c>
      <c r="J111" s="314" t="str">
        <f>VLOOKUP(B111&amp;E111,'VISIT DATA'!A:N,10,FALSE)</f>
        <v>WELLMED - AMERIVANTAGE</v>
      </c>
      <c r="K111" s="316"/>
      <c r="L111" s="314"/>
      <c r="M111" s="314"/>
      <c r="N111" s="316"/>
      <c r="O111" s="316" t="str">
        <f t="shared" si="1"/>
        <v>X</v>
      </c>
      <c r="P111" s="317" t="str">
        <f t="shared" si="2"/>
        <v>X</v>
      </c>
      <c r="Q111" s="317" t="str">
        <f t="shared" si="3"/>
        <v>#VALUE!</v>
      </c>
      <c r="R111" s="319" t="str">
        <f t="shared" si="4"/>
        <v>#VALUE!</v>
      </c>
      <c r="S111" s="314" t="str">
        <f t="shared" si="5"/>
        <v>#VALUE!</v>
      </c>
      <c r="T111" s="314" t="str">
        <f t="shared" si="6"/>
        <v>#VALUE!</v>
      </c>
      <c r="U111" s="314">
        <f t="shared" si="7"/>
        <v>1</v>
      </c>
      <c r="V111" s="314" t="str">
        <f>ifs($N111="",VLOOKUP($B111&amp;$E111,'VISIT DATA'!$A$2:$J244,7,FALSE), $N111="SWAB","OUTSA-RW",$N111="SWQU","OUTSA-SaQu", AND($L111="X",$M111="X",$N111="QUEST"),"OUT-UAQPre",$N111="QUEST","OUT-UAQ", $N111="Walk in","ColUATele")</f>
        <v>OUTUA-PrRW</v>
      </c>
      <c r="W111" s="314" t="str">
        <f t="shared" si="8"/>
        <v>OUTUA-PrRW : OUT UA Prelimin Redwood</v>
      </c>
      <c r="X111" s="314" t="str">
        <f t="shared" si="9"/>
        <v>#N/A</v>
      </c>
      <c r="Y111" s="314" t="str">
        <f t="shared" si="10"/>
        <v>#N/A</v>
      </c>
      <c r="Z111" s="314" t="str">
        <f t="shared" si="11"/>
        <v> </v>
      </c>
      <c r="AA111" s="316"/>
    </row>
    <row r="112">
      <c r="A112" s="314" t="str">
        <f>IFS($B112=FALSE,"",$B112,VLOOKUP($B112,'PATIENT DATA (072721)'!A:C, 2, 0))</f>
        <v>GARY, TINISHA B</v>
      </c>
      <c r="B112" s="314">
        <v>14194.0</v>
      </c>
      <c r="C112" s="316" t="str">
        <f>IF(COUNTIF('PATIENT DATA (072721)'!A:A, B112)=0, "X","✓")</f>
        <v>✓</v>
      </c>
      <c r="D112" s="317">
        <f>IFS($B112=FALSE,"",$B112,VLOOKUP($B112,'PATIENT DATA (072721)'!A:C, 3, 0))</f>
        <v>25721</v>
      </c>
      <c r="E112" s="318">
        <v>44566.0</v>
      </c>
      <c r="F112" s="315">
        <f>ifs($B112="","",$B112, VLOOKUP($B112&amp;$E112, 'VISIT DATA'!A:O,3,0))</f>
        <v>0.46875</v>
      </c>
      <c r="G112" s="314"/>
      <c r="H112" s="314" t="str">
        <f>ifs($B112="","",$B112, VLOOKUP($B112&amp;$E112, 'VISIT DATA'!$A:$O,13,0))</f>
        <v/>
      </c>
      <c r="I112" s="314" t="str">
        <f>VLOOKUP($B112&amp;$E112,'VISIT DATA'!A:J, 9, FALSE)</f>
        <v>LOPEZ</v>
      </c>
      <c r="J112" s="314" t="str">
        <f>VLOOKUP(B112&amp;E112,'VISIT DATA'!A:N,10,FALSE)</f>
        <v>TRICARE PRIME</v>
      </c>
      <c r="K112" s="316"/>
      <c r="L112" s="314"/>
      <c r="M112" s="314"/>
      <c r="N112" s="316"/>
      <c r="O112" s="316" t="str">
        <f t="shared" si="1"/>
        <v>X</v>
      </c>
      <c r="P112" s="317" t="str">
        <f t="shared" si="2"/>
        <v>#VALUE!</v>
      </c>
      <c r="Q112" s="317" t="str">
        <f t="shared" si="3"/>
        <v>#VALUE!</v>
      </c>
      <c r="R112" s="319" t="str">
        <f t="shared" si="4"/>
        <v>#VALUE!</v>
      </c>
      <c r="S112" s="314" t="str">
        <f t="shared" si="5"/>
        <v>#VALUE!</v>
      </c>
      <c r="T112" s="314" t="str">
        <f t="shared" si="6"/>
        <v>#VALUE!</v>
      </c>
      <c r="U112" s="314">
        <f t="shared" si="7"/>
        <v>0</v>
      </c>
      <c r="V112" s="314" t="str">
        <f>ifs($N112="",VLOOKUP($B112&amp;$E112,'VISIT DATA'!$A$2:$J244,7,FALSE), $N112="SWAB","OUTSA-RW",$N112="SWQU","OUTSA-SaQu", AND($L112="X",$M112="X",$N112="QUEST"),"OUT-UAQPre",$N112="QUEST","OUT-UAQ", $N112="Walk in","ColUATele")</f>
        <v>UA-Prelim</v>
      </c>
      <c r="W112" s="314" t="str">
        <f t="shared" si="8"/>
        <v>UA-Prelim : Preliminary UA Test</v>
      </c>
      <c r="X112" s="314" t="str">
        <f t="shared" si="9"/>
        <v>#N/A</v>
      </c>
      <c r="Y112" s="314" t="str">
        <f t="shared" si="10"/>
        <v>#N/A</v>
      </c>
      <c r="Z112" s="314" t="str">
        <f t="shared" si="11"/>
        <v> </v>
      </c>
      <c r="AA112" s="316"/>
    </row>
    <row r="113">
      <c r="A113" s="314" t="str">
        <f>IFS($B113=FALSE,"",$B113,VLOOKUP($B113,'PATIENT DATA (072721)'!A:C, 2, 0))</f>
        <v>HERNANDEZ, EDUARDO</v>
      </c>
      <c r="B113" s="314">
        <v>15653.0</v>
      </c>
      <c r="C113" s="316" t="str">
        <f>IF(COUNTIF('PATIENT DATA (072721)'!A:A, B113)=0, "X","✓")</f>
        <v>✓</v>
      </c>
      <c r="D113" s="317">
        <f>IFS($B113=FALSE,"",$B113,VLOOKUP($B113,'PATIENT DATA (072721)'!A:C, 3, 0))</f>
        <v>18431</v>
      </c>
      <c r="E113" s="318">
        <v>44566.0</v>
      </c>
      <c r="F113" s="315" t="str">
        <f>ifs($B113="","",$B113, VLOOKUP($B113&amp;$E113, 'VISIT DATA'!A:O,3,0))</f>
        <v>#N/A</v>
      </c>
      <c r="G113" s="314"/>
      <c r="H113" s="314" t="str">
        <f>ifs($B113="","",$B113, VLOOKUP($B113&amp;$E113, 'VISIT DATA'!$A:$O,13,0))</f>
        <v>#N/A</v>
      </c>
      <c r="I113" s="314" t="str">
        <f>VLOOKUP($B113&amp;$E113,'VISIT DATA'!A:J, 9, FALSE)</f>
        <v>#N/A</v>
      </c>
      <c r="J113" s="314" t="str">
        <f>VLOOKUP(B113&amp;E113,'VISIT DATA'!A:N,10,FALSE)</f>
        <v>#N/A</v>
      </c>
      <c r="K113" s="316"/>
      <c r="L113" s="314"/>
      <c r="M113" s="314"/>
      <c r="N113" s="316"/>
      <c r="O113" s="316" t="str">
        <f t="shared" si="1"/>
        <v>X</v>
      </c>
      <c r="P113" s="317" t="str">
        <f t="shared" si="2"/>
        <v>#N/A</v>
      </c>
      <c r="Q113" s="317" t="str">
        <f t="shared" si="3"/>
        <v>#N/A</v>
      </c>
      <c r="R113" s="319" t="str">
        <f t="shared" si="4"/>
        <v>#N/A</v>
      </c>
      <c r="S113" s="314" t="str">
        <f t="shared" si="5"/>
        <v>#N/A</v>
      </c>
      <c r="T113" s="314" t="str">
        <f t="shared" si="6"/>
        <v>#N/A</v>
      </c>
      <c r="U113" s="314">
        <f t="shared" si="7"/>
        <v>0</v>
      </c>
      <c r="V113" s="314" t="str">
        <f>ifs($N113="",VLOOKUP($B113&amp;$E113,'VISIT DATA'!$A$2:$J244,7,FALSE), $N113="SWAB","OUTSA-RW",$N113="SWQU","OUTSA-SaQu", AND($L113="X",$M113="X",$N113="QUEST"),"OUT-UAQPre",$N113="QUEST","OUT-UAQ", $N113="Walk in","ColUATele")</f>
        <v>#N/A</v>
      </c>
      <c r="W113" s="314" t="str">
        <f t="shared" si="8"/>
        <v>#N/A</v>
      </c>
      <c r="X113" s="314" t="str">
        <f t="shared" si="9"/>
        <v>#N/A</v>
      </c>
      <c r="Y113" s="314" t="str">
        <f t="shared" si="10"/>
        <v>#N/A</v>
      </c>
      <c r="Z113" s="314" t="str">
        <f t="shared" si="11"/>
        <v> </v>
      </c>
      <c r="AA113" s="316"/>
    </row>
    <row r="114">
      <c r="A114" s="314" t="str">
        <f>IFS($B114=FALSE,"",$B114,VLOOKUP($B114,'PATIENT DATA (072721)'!A:C, 2, 0))</f>
        <v>RAMIREZ, FELIPE D</v>
      </c>
      <c r="B114" s="314">
        <v>14144.0</v>
      </c>
      <c r="C114" s="316" t="str">
        <f>IF(COUNTIF('PATIENT DATA (072721)'!A:A, B114)=0, "X","✓")</f>
        <v>✓</v>
      </c>
      <c r="D114" s="317">
        <f>IFS($B114=FALSE,"",$B114,VLOOKUP($B114,'PATIENT DATA (072721)'!A:C, 3, 0))</f>
        <v>15387</v>
      </c>
      <c r="E114" s="318">
        <v>44566.0</v>
      </c>
      <c r="F114" s="315">
        <f>ifs($B114="","",$B114, VLOOKUP($B114&amp;$E114, 'VISIT DATA'!A:O,3,0))</f>
        <v>0.4895833333</v>
      </c>
      <c r="G114" s="314"/>
      <c r="H114" s="314" t="str">
        <f>ifs($B114="","",$B114, VLOOKUP($B114&amp;$E114, 'VISIT DATA'!$A:$O,13,0))</f>
        <v/>
      </c>
      <c r="I114" s="314" t="str">
        <f>VLOOKUP($B114&amp;$E114,'VISIT DATA'!A:J, 9, FALSE)</f>
        <v>LOPEZ</v>
      </c>
      <c r="J114" s="314" t="str">
        <f>VLOOKUP(B114&amp;E114,'VISIT DATA'!A:N,10,FALSE)</f>
        <v>WELLMED - AARP MEDICARE COMPLETE</v>
      </c>
      <c r="K114" s="316"/>
      <c r="L114" s="314"/>
      <c r="M114" s="314"/>
      <c r="N114" s="316"/>
      <c r="O114" s="316" t="str">
        <f t="shared" si="1"/>
        <v>X</v>
      </c>
      <c r="P114" s="317" t="str">
        <f t="shared" si="2"/>
        <v>X</v>
      </c>
      <c r="Q114" s="317" t="str">
        <f t="shared" si="3"/>
        <v>#VALUE!</v>
      </c>
      <c r="R114" s="319" t="str">
        <f t="shared" si="4"/>
        <v>#VALUE!</v>
      </c>
      <c r="S114" s="314" t="str">
        <f t="shared" si="5"/>
        <v>#VALUE!</v>
      </c>
      <c r="T114" s="314" t="str">
        <f t="shared" si="6"/>
        <v>#VALUE!</v>
      </c>
      <c r="U114" s="314">
        <f t="shared" si="7"/>
        <v>1</v>
      </c>
      <c r="V114" s="314" t="str">
        <f>ifs($N114="",VLOOKUP($B114&amp;$E114,'VISIT DATA'!$A$2:$J244,7,FALSE), $N114="SWAB","OUTSA-RW",$N114="SWQU","OUTSA-SaQu", AND($L114="X",$M114="X",$N114="QUEST"),"OUT-UAQPre",$N114="QUEST","OUT-UAQ", $N114="Walk in","ColUATele")</f>
        <v>OUTUA-FURW</v>
      </c>
      <c r="W114" s="314" t="str">
        <f t="shared" si="8"/>
        <v>OUTUA-FURW : OUT UA FU Redwood</v>
      </c>
      <c r="X114" s="314" t="str">
        <f t="shared" si="9"/>
        <v>#N/A</v>
      </c>
      <c r="Y114" s="314" t="str">
        <f t="shared" si="10"/>
        <v>#N/A</v>
      </c>
      <c r="Z114" s="314" t="str">
        <f t="shared" si="11"/>
        <v> </v>
      </c>
      <c r="AA114" s="316"/>
    </row>
    <row r="115">
      <c r="A115" s="314" t="str">
        <f>IFS($B115=FALSE,"",$B115,VLOOKUP($B115,'PATIENT DATA (072721)'!A:C, 2, 0))</f>
        <v>GONZALEZ, DAVID</v>
      </c>
      <c r="B115" s="314">
        <v>16705.0</v>
      </c>
      <c r="C115" s="316" t="str">
        <f>IF(COUNTIF('PATIENT DATA (072721)'!A:A, B115)=0, "X","✓")</f>
        <v>✓</v>
      </c>
      <c r="D115" s="317">
        <f>IFS($B115=FALSE,"",$B115,VLOOKUP($B115,'PATIENT DATA (072721)'!A:C, 3, 0))</f>
        <v>20001</v>
      </c>
      <c r="E115" s="318">
        <v>44566.0</v>
      </c>
      <c r="F115" s="315">
        <f>ifs($B115="","",$B115, VLOOKUP($B115&amp;$E115, 'VISIT DATA'!A:O,3,0))</f>
        <v>0.5416666667</v>
      </c>
      <c r="G115" s="314"/>
      <c r="H115" s="314" t="str">
        <f>ifs($B115="","",$B115, VLOOKUP($B115&amp;$E115, 'VISIT DATA'!$A:$O,13,0))</f>
        <v/>
      </c>
      <c r="I115" s="314" t="str">
        <f>VLOOKUP($B115&amp;$E115,'VISIT DATA'!A:J, 9, FALSE)</f>
        <v>MARTINEZ</v>
      </c>
      <c r="J115" s="314" t="str">
        <f>VLOOKUP(B115&amp;E115,'VISIT DATA'!A:N,10,FALSE)</f>
        <v>WELLMED - AARP MEDICARE COMPLETE</v>
      </c>
      <c r="K115" s="316"/>
      <c r="L115" s="314"/>
      <c r="M115" s="314"/>
      <c r="N115" s="316"/>
      <c r="O115" s="316" t="str">
        <f t="shared" si="1"/>
        <v>X</v>
      </c>
      <c r="P115" s="317" t="str">
        <f t="shared" si="2"/>
        <v>X</v>
      </c>
      <c r="Q115" s="317" t="str">
        <f t="shared" si="3"/>
        <v>#VALUE!</v>
      </c>
      <c r="R115" s="319" t="str">
        <f t="shared" si="4"/>
        <v>#VALUE!</v>
      </c>
      <c r="S115" s="314" t="str">
        <f t="shared" si="5"/>
        <v>#VALUE!</v>
      </c>
      <c r="T115" s="314" t="str">
        <f t="shared" si="6"/>
        <v>#VALUE!</v>
      </c>
      <c r="U115" s="314">
        <f t="shared" si="7"/>
        <v>1</v>
      </c>
      <c r="V115" s="314" t="str">
        <f>ifs($N115="",VLOOKUP($B115&amp;$E115,'VISIT DATA'!$A$2:$J244,7,FALSE), $N115="SWAB","OUTSA-RW",$N115="SWQU","OUTSA-SaQu", AND($L115="X",$M115="X",$N115="QUEST"),"OUT-UAQPre",$N115="QUEST","OUT-UAQ", $N115="Walk in","ColUATele")</f>
        <v>OUTUA-FURW</v>
      </c>
      <c r="W115" s="314" t="str">
        <f t="shared" si="8"/>
        <v>OUTUA-FURW : OUT UA FU Redwood</v>
      </c>
      <c r="X115" s="314" t="str">
        <f t="shared" si="9"/>
        <v>#N/A</v>
      </c>
      <c r="Y115" s="314" t="str">
        <f t="shared" si="10"/>
        <v>#N/A</v>
      </c>
      <c r="Z115" s="314" t="str">
        <f t="shared" si="11"/>
        <v> </v>
      </c>
      <c r="AA115" s="316"/>
    </row>
    <row r="116">
      <c r="A116" s="314" t="str">
        <f>IFS($B116=FALSE,"",$B116,VLOOKUP($B116,'PATIENT DATA (072721)'!A:C, 2, 0))</f>
        <v>MERAZ, ROSE</v>
      </c>
      <c r="B116" s="314">
        <v>15987.0</v>
      </c>
      <c r="C116" s="316" t="str">
        <f>IF(COUNTIF('PATIENT DATA (072721)'!A:A, B116)=0, "X","✓")</f>
        <v>✓</v>
      </c>
      <c r="D116" s="317">
        <f>IFS($B116=FALSE,"",$B116,VLOOKUP($B116,'PATIENT DATA (072721)'!A:C, 3, 0))</f>
        <v>17734</v>
      </c>
      <c r="E116" s="318">
        <v>44566.0</v>
      </c>
      <c r="F116" s="315" t="str">
        <f>ifs($B116="","",$B116, VLOOKUP($B116&amp;$E116, 'VISIT DATA'!A:O,3,0))</f>
        <v>#N/A</v>
      </c>
      <c r="G116" s="314"/>
      <c r="H116" s="314" t="str">
        <f>ifs($B116="","",$B116, VLOOKUP($B116&amp;$E116, 'VISIT DATA'!$A:$O,13,0))</f>
        <v>#N/A</v>
      </c>
      <c r="I116" s="314" t="str">
        <f>VLOOKUP($B116&amp;$E116,'VISIT DATA'!A:J, 9, FALSE)</f>
        <v>#N/A</v>
      </c>
      <c r="J116" s="314" t="str">
        <f>VLOOKUP(B116&amp;E116,'VISIT DATA'!A:N,10,FALSE)</f>
        <v>#N/A</v>
      </c>
      <c r="K116" s="316"/>
      <c r="L116" s="314"/>
      <c r="M116" s="314"/>
      <c r="N116" s="316"/>
      <c r="O116" s="316" t="str">
        <f t="shared" si="1"/>
        <v>X</v>
      </c>
      <c r="P116" s="317" t="str">
        <f t="shared" si="2"/>
        <v>#N/A</v>
      </c>
      <c r="Q116" s="317" t="str">
        <f t="shared" si="3"/>
        <v>#N/A</v>
      </c>
      <c r="R116" s="319" t="str">
        <f t="shared" si="4"/>
        <v>#N/A</v>
      </c>
      <c r="S116" s="314" t="str">
        <f t="shared" si="5"/>
        <v>#N/A</v>
      </c>
      <c r="T116" s="314" t="str">
        <f t="shared" si="6"/>
        <v>#N/A</v>
      </c>
      <c r="U116" s="314">
        <f t="shared" si="7"/>
        <v>0</v>
      </c>
      <c r="V116" s="314" t="str">
        <f>ifs($N116="",VLOOKUP($B116&amp;$E116,'VISIT DATA'!$A$2:$J244,7,FALSE), $N116="SWAB","OUTSA-RW",$N116="SWQU","OUTSA-SaQu", AND($L116="X",$M116="X",$N116="QUEST"),"OUT-UAQPre",$N116="QUEST","OUT-UAQ", $N116="Walk in","ColUATele")</f>
        <v>#N/A</v>
      </c>
      <c r="W116" s="314" t="str">
        <f t="shared" si="8"/>
        <v>#N/A</v>
      </c>
      <c r="X116" s="314" t="str">
        <f t="shared" si="9"/>
        <v>#N/A</v>
      </c>
      <c r="Y116" s="314" t="str">
        <f t="shared" si="10"/>
        <v>#N/A</v>
      </c>
      <c r="Z116" s="314" t="str">
        <f t="shared" si="11"/>
        <v> </v>
      </c>
      <c r="AA116" s="316"/>
    </row>
    <row r="117">
      <c r="A117" s="314" t="str">
        <f>IFS($B117=FALSE,"",$B117,VLOOKUP($B117,'PATIENT DATA (072721)'!A:C, 2, 0))</f>
        <v>ROGERS, STEVEN R</v>
      </c>
      <c r="B117" s="314">
        <v>16875.0</v>
      </c>
      <c r="C117" s="316" t="str">
        <f>IF(COUNTIF('PATIENT DATA (072721)'!A:A, B117)=0, "X","✓")</f>
        <v>✓</v>
      </c>
      <c r="D117" s="317">
        <f>IFS($B117=FALSE,"",$B117,VLOOKUP($B117,'PATIENT DATA (072721)'!A:C, 3, 0))</f>
        <v>19869</v>
      </c>
      <c r="E117" s="318">
        <v>44566.0</v>
      </c>
      <c r="F117" s="315">
        <f>ifs($B117="","",$B117, VLOOKUP($B117&amp;$E117, 'VISIT DATA'!A:O,3,0))</f>
        <v>0.5416666667</v>
      </c>
      <c r="G117" s="314"/>
      <c r="H117" s="314" t="str">
        <f>ifs($B117="","",$B117, VLOOKUP($B117&amp;$E117, 'VISIT DATA'!$A:$O,13,0))</f>
        <v/>
      </c>
      <c r="I117" s="314" t="str">
        <f>VLOOKUP($B117&amp;$E117,'VISIT DATA'!A:J, 9, FALSE)</f>
        <v>MARTINEZ</v>
      </c>
      <c r="J117" s="314" t="str">
        <f>VLOOKUP(B117&amp;E117,'VISIT DATA'!A:N,10,FALSE)</f>
        <v>WPS VA - COMMUNITY CARE</v>
      </c>
      <c r="K117" s="316"/>
      <c r="L117" s="314"/>
      <c r="M117" s="314"/>
      <c r="N117" s="316"/>
      <c r="O117" s="316" t="str">
        <f t="shared" si="1"/>
        <v>X</v>
      </c>
      <c r="P117" s="317" t="str">
        <f t="shared" si="2"/>
        <v>#VALUE!</v>
      </c>
      <c r="Q117" s="317" t="str">
        <f t="shared" si="3"/>
        <v>#VALUE!</v>
      </c>
      <c r="R117" s="319" t="str">
        <f t="shared" si="4"/>
        <v>#VALUE!</v>
      </c>
      <c r="S117" s="314" t="str">
        <f t="shared" si="5"/>
        <v>#VALUE!</v>
      </c>
      <c r="T117" s="314" t="str">
        <f t="shared" si="6"/>
        <v>#VALUE!</v>
      </c>
      <c r="U117" s="314">
        <f t="shared" si="7"/>
        <v>0</v>
      </c>
      <c r="V117" s="314" t="str">
        <f>ifs($N117="",VLOOKUP($B117&amp;$E117,'VISIT DATA'!$A$2:$J244,7,FALSE), $N117="SWAB","OUTSA-RW",$N117="SWQU","OUTSA-SaQu", AND($L117="X",$M117="X",$N117="QUEST"),"OUT-UAQPre",$N117="QUEST","OUT-UAQ", $N117="Walk in","ColUATele")</f>
        <v>UA</v>
      </c>
      <c r="W117" s="314" t="str">
        <f t="shared" si="8"/>
        <v>UA : Urine Analysis In House</v>
      </c>
      <c r="X117" s="314" t="str">
        <f t="shared" si="9"/>
        <v>#N/A</v>
      </c>
      <c r="Y117" s="314" t="str">
        <f t="shared" si="10"/>
        <v>#N/A</v>
      </c>
      <c r="Z117" s="314" t="str">
        <f t="shared" si="11"/>
        <v> </v>
      </c>
      <c r="AA117" s="316"/>
    </row>
    <row r="118">
      <c r="A118" s="314" t="str">
        <f>IFS($B118=FALSE,"",$B118,VLOOKUP($B118,'PATIENT DATA (072721)'!A:C, 2, 0))</f>
        <v>GUEVARA, RAUL E</v>
      </c>
      <c r="B118" s="314">
        <v>14987.0</v>
      </c>
      <c r="C118" s="316" t="str">
        <f>IF(COUNTIF('PATIENT DATA (072721)'!A:A, B118)=0, "X","✓")</f>
        <v>✓</v>
      </c>
      <c r="D118" s="317">
        <f>IFS($B118=FALSE,"",$B118,VLOOKUP($B118,'PATIENT DATA (072721)'!A:C, 3, 0))</f>
        <v>27390</v>
      </c>
      <c r="E118" s="318">
        <v>44566.0</v>
      </c>
      <c r="F118" s="315">
        <f>ifs($B118="","",$B118, VLOOKUP($B118&amp;$E118, 'VISIT DATA'!A:O,3,0))</f>
        <v>0.5833333333</v>
      </c>
      <c r="G118" s="314"/>
      <c r="H118" s="314" t="str">
        <f>ifs($B118="","",$B118, VLOOKUP($B118&amp;$E118, 'VISIT DATA'!$A:$O,13,0))</f>
        <v/>
      </c>
      <c r="I118" s="314" t="str">
        <f>VLOOKUP($B118&amp;$E118,'VISIT DATA'!A:J, 9, FALSE)</f>
        <v>MARTINEZ</v>
      </c>
      <c r="J118" s="314" t="str">
        <f>VLOOKUP(B118&amp;E118,'VISIT DATA'!A:N,10,FALSE)</f>
        <v>WELLMED - UHC DUAL COMPLETE HMO SNP</v>
      </c>
      <c r="K118" s="316"/>
      <c r="L118" s="314"/>
      <c r="M118" s="314"/>
      <c r="N118" s="316"/>
      <c r="O118" s="316" t="str">
        <f t="shared" si="1"/>
        <v>X</v>
      </c>
      <c r="P118" s="317" t="str">
        <f t="shared" si="2"/>
        <v>X</v>
      </c>
      <c r="Q118" s="317" t="str">
        <f t="shared" si="3"/>
        <v>#VALUE!</v>
      </c>
      <c r="R118" s="319" t="str">
        <f t="shared" si="4"/>
        <v>#VALUE!</v>
      </c>
      <c r="S118" s="314" t="str">
        <f t="shared" si="5"/>
        <v>#VALUE!</v>
      </c>
      <c r="T118" s="314" t="str">
        <f t="shared" si="6"/>
        <v>#VALUE!</v>
      </c>
      <c r="U118" s="314">
        <f t="shared" si="7"/>
        <v>1</v>
      </c>
      <c r="V118" s="314" t="str">
        <f>ifs($N118="",VLOOKUP($B118&amp;$E118,'VISIT DATA'!$A$2:$J244,7,FALSE), $N118="SWAB","OUTSA-RW",$N118="SWQU","OUTSA-SaQu", AND($L118="X",$M118="X",$N118="QUEST"),"OUT-UAQPre",$N118="QUEST","OUT-UAQ", $N118="Walk in","ColUATele")</f>
        <v>OUTUA-PrRW</v>
      </c>
      <c r="W118" s="314" t="str">
        <f t="shared" si="8"/>
        <v>OUTUA-PrRW : OUT UA Prelimin Redwood</v>
      </c>
      <c r="X118" s="314" t="str">
        <f t="shared" si="9"/>
        <v>#N/A</v>
      </c>
      <c r="Y118" s="314" t="str">
        <f t="shared" si="10"/>
        <v>#N/A</v>
      </c>
      <c r="Z118" s="314" t="str">
        <f t="shared" si="11"/>
        <v> </v>
      </c>
      <c r="AA118" s="316"/>
    </row>
    <row r="119">
      <c r="A119" s="314" t="str">
        <f>IFS($B119=FALSE,"",$B119,VLOOKUP($B119,'PATIENT DATA (072721)'!A:C, 2, 0))</f>
        <v>VALLES DE MUNOZ, MANUELA</v>
      </c>
      <c r="B119" s="314">
        <v>17778.0</v>
      </c>
      <c r="C119" s="316" t="str">
        <f>IF(COUNTIF('PATIENT DATA (072721)'!A:A, B119)=0, "X","✓")</f>
        <v>✓</v>
      </c>
      <c r="D119" s="317">
        <f>IFS($B119=FALSE,"",$B119,VLOOKUP($B119,'PATIENT DATA (072721)'!A:C, 3, 0))</f>
        <v>19156</v>
      </c>
      <c r="E119" s="318">
        <v>44566.0</v>
      </c>
      <c r="F119" s="315">
        <f>ifs($B119="","",$B119, VLOOKUP($B119&amp;$E119, 'VISIT DATA'!A:O,3,0))</f>
        <v>0.5729166667</v>
      </c>
      <c r="G119" s="314"/>
      <c r="H119" s="314" t="str">
        <f>ifs($B119="","",$B119, VLOOKUP($B119&amp;$E119, 'VISIT DATA'!$A:$O,13,0))</f>
        <v/>
      </c>
      <c r="I119" s="314" t="str">
        <f>VLOOKUP($B119&amp;$E119,'VISIT DATA'!A:J, 9, FALSE)</f>
        <v>LOPEZ</v>
      </c>
      <c r="J119" s="314" t="str">
        <f>VLOOKUP(B119&amp;E119,'VISIT DATA'!A:N,10,FALSE)</f>
        <v>WELLMED - UHC DUAL COMPLETE HMO SNP</v>
      </c>
      <c r="K119" s="316"/>
      <c r="L119" s="314"/>
      <c r="M119" s="314"/>
      <c r="N119" s="316"/>
      <c r="O119" s="316" t="str">
        <f t="shared" si="1"/>
        <v>X</v>
      </c>
      <c r="P119" s="317" t="str">
        <f t="shared" si="2"/>
        <v>X</v>
      </c>
      <c r="Q119" s="317" t="str">
        <f t="shared" si="3"/>
        <v>#VALUE!</v>
      </c>
      <c r="R119" s="319" t="str">
        <f t="shared" si="4"/>
        <v>#VALUE!</v>
      </c>
      <c r="S119" s="314" t="str">
        <f t="shared" si="5"/>
        <v>#VALUE!</v>
      </c>
      <c r="T119" s="314" t="str">
        <f t="shared" si="6"/>
        <v>#VALUE!</v>
      </c>
      <c r="U119" s="314">
        <f t="shared" si="7"/>
        <v>1</v>
      </c>
      <c r="V119" s="314" t="str">
        <f>ifs($N119="",VLOOKUP($B119&amp;$E119,'VISIT DATA'!$A$2:$J244,7,FALSE), $N119="SWAB","OUTSA-RW",$N119="SWQU","OUTSA-SaQu", AND($L119="X",$M119="X",$N119="QUEST"),"OUT-UAQPre",$N119="QUEST","OUT-UAQ", $N119="Walk in","ColUATele")</f>
        <v>OUTUA-NWRW</v>
      </c>
      <c r="W119" s="314" t="str">
        <f t="shared" si="8"/>
        <v>OUTUA-NWRW : OUT UA New Redwood</v>
      </c>
      <c r="X119" s="314" t="str">
        <f t="shared" si="9"/>
        <v>#N/A</v>
      </c>
      <c r="Y119" s="314" t="str">
        <f t="shared" si="10"/>
        <v>#N/A</v>
      </c>
      <c r="Z119" s="314" t="str">
        <f t="shared" si="11"/>
        <v> </v>
      </c>
      <c r="AA119" s="316"/>
    </row>
    <row r="120">
      <c r="A120" s="314" t="str">
        <f>IFS($B120=FALSE,"",$B120,VLOOKUP($B120,'PATIENT DATA (072721)'!A:C, 2, 0))</f>
        <v>RIOS, DENISE</v>
      </c>
      <c r="B120" s="314">
        <v>17186.0</v>
      </c>
      <c r="C120" s="316" t="str">
        <f>IF(COUNTIF('PATIENT DATA (072721)'!A:A, B120)=0, "X","✓")</f>
        <v>✓</v>
      </c>
      <c r="D120" s="317">
        <f>IFS($B120=FALSE,"",$B120,VLOOKUP($B120,'PATIENT DATA (072721)'!A:C, 3, 0))</f>
        <v>32887</v>
      </c>
      <c r="E120" s="318">
        <v>44566.0</v>
      </c>
      <c r="F120" s="315">
        <f>ifs($B120="","",$B120, VLOOKUP($B120&amp;$E120, 'VISIT DATA'!A:O,3,0))</f>
        <v>0.5729166667</v>
      </c>
      <c r="G120" s="314"/>
      <c r="H120" s="314" t="str">
        <f>ifs($B120="","",$B120, VLOOKUP($B120&amp;$E120, 'VISIT DATA'!$A:$O,13,0))</f>
        <v/>
      </c>
      <c r="I120" s="314" t="str">
        <f>VLOOKUP($B120&amp;$E120,'VISIT DATA'!A:J, 9, FALSE)</f>
        <v>TORRES</v>
      </c>
      <c r="J120" s="314" t="str">
        <f>VLOOKUP(B120&amp;E120,'VISIT DATA'!A:N,10,FALSE)</f>
        <v>EL PASO HEALTH PLAN</v>
      </c>
      <c r="K120" s="316"/>
      <c r="L120" s="314"/>
      <c r="M120" s="314"/>
      <c r="N120" s="316"/>
      <c r="O120" s="316" t="str">
        <f t="shared" si="1"/>
        <v>X</v>
      </c>
      <c r="P120" s="317" t="str">
        <f t="shared" si="2"/>
        <v>#VALUE!</v>
      </c>
      <c r="Q120" s="317" t="str">
        <f t="shared" si="3"/>
        <v>#VALUE!</v>
      </c>
      <c r="R120" s="319" t="str">
        <f t="shared" si="4"/>
        <v>#VALUE!</v>
      </c>
      <c r="S120" s="314" t="str">
        <f t="shared" si="5"/>
        <v>#VALUE!</v>
      </c>
      <c r="T120" s="314" t="str">
        <f t="shared" si="6"/>
        <v>#VALUE!</v>
      </c>
      <c r="U120" s="314">
        <f t="shared" si="7"/>
        <v>0</v>
      </c>
      <c r="V120" s="314" t="str">
        <f>ifs($N120="",VLOOKUP($B120&amp;$E120,'VISIT DATA'!$A$2:$J244,7,FALSE), $N120="SWAB","OUTSA-RW",$N120="SWQU","OUTSA-SaQu", AND($L120="X",$M120="X",$N120="QUEST"),"OUT-UAQPre",$N120="QUEST","OUT-UAQ", $N120="Walk in","ColUATele")</f>
        <v>UA-Prelim</v>
      </c>
      <c r="W120" s="314" t="str">
        <f t="shared" si="8"/>
        <v>UA-Prelim : Preliminary UA Test</v>
      </c>
      <c r="X120" s="314" t="str">
        <f t="shared" si="9"/>
        <v>#N/A</v>
      </c>
      <c r="Y120" s="314" t="str">
        <f t="shared" si="10"/>
        <v>#N/A</v>
      </c>
      <c r="Z120" s="314" t="str">
        <f t="shared" si="11"/>
        <v> </v>
      </c>
      <c r="AA120" s="316"/>
    </row>
    <row r="121">
      <c r="A121" s="314" t="str">
        <f>IFS($B121=FALSE,"",$B121,VLOOKUP($B121,'PATIENT DATA (072721)'!A:C, 2, 0))</f>
        <v>CERECERES, OLGA</v>
      </c>
      <c r="B121" s="314">
        <v>13784.0</v>
      </c>
      <c r="C121" s="316" t="str">
        <f>IF(COUNTIF('PATIENT DATA (072721)'!A:A, B121)=0, "X","✓")</f>
        <v>✓</v>
      </c>
      <c r="D121" s="317">
        <f>IFS($B121=FALSE,"",$B121,VLOOKUP($B121,'PATIENT DATA (072721)'!A:C, 3, 0))</f>
        <v>21088</v>
      </c>
      <c r="E121" s="318">
        <v>44566.0</v>
      </c>
      <c r="F121" s="315">
        <f>ifs($B121="","",$B121, VLOOKUP($B121&amp;$E121, 'VISIT DATA'!A:O,3,0))</f>
        <v>0.6041666667</v>
      </c>
      <c r="G121" s="314"/>
      <c r="H121" s="314" t="str">
        <f>ifs($B121="","",$B121, VLOOKUP($B121&amp;$E121, 'VISIT DATA'!$A:$O,13,0))</f>
        <v/>
      </c>
      <c r="I121" s="314" t="str">
        <f>VLOOKUP($B121&amp;$E121,'VISIT DATA'!A:J, 9, FALSE)</f>
        <v>TORRES</v>
      </c>
      <c r="J121" s="314" t="str">
        <f>VLOOKUP(B121&amp;E121,'VISIT DATA'!A:N,10,FALSE)</f>
        <v>MOLINA MEDICAID TEXAS</v>
      </c>
      <c r="K121" s="316"/>
      <c r="L121" s="314"/>
      <c r="M121" s="314"/>
      <c r="N121" s="316"/>
      <c r="O121" s="316" t="str">
        <f t="shared" si="1"/>
        <v>X</v>
      </c>
      <c r="P121" s="317" t="str">
        <f t="shared" si="2"/>
        <v>#VALUE!</v>
      </c>
      <c r="Q121" s="317" t="str">
        <f t="shared" si="3"/>
        <v>X</v>
      </c>
      <c r="R121" s="319" t="str">
        <f t="shared" si="4"/>
        <v>#VALUE!</v>
      </c>
      <c r="S121" s="314" t="str">
        <f t="shared" si="5"/>
        <v>#VALUE!</v>
      </c>
      <c r="T121" s="314" t="str">
        <f t="shared" si="6"/>
        <v>#VALUE!</v>
      </c>
      <c r="U121" s="314">
        <f t="shared" si="7"/>
        <v>1</v>
      </c>
      <c r="V121" s="314" t="str">
        <f>ifs($N121="",VLOOKUP($B121&amp;$E121,'VISIT DATA'!$A$2:$J244,7,FALSE), $N121="SWAB","OUTSA-RW",$N121="SWQU","OUTSA-SaQu", AND($L121="X",$M121="X",$N121="QUEST"),"OUT-UAQPre",$N121="QUEST","OUT-UAQ", $N121="Walk in","ColUATele")</f>
        <v>OUTUA-PrRW</v>
      </c>
      <c r="W121" s="314" t="str">
        <f t="shared" si="8"/>
        <v>OUTUA-PrRW : OUT UA Prelimin Redwood</v>
      </c>
      <c r="X121" s="314" t="str">
        <f t="shared" si="9"/>
        <v>#N/A</v>
      </c>
      <c r="Y121" s="314" t="str">
        <f t="shared" si="10"/>
        <v>#N/A</v>
      </c>
      <c r="Z121" s="314" t="str">
        <f t="shared" si="11"/>
        <v> </v>
      </c>
      <c r="AA121" s="316"/>
    </row>
    <row r="122">
      <c r="A122" s="314" t="str">
        <f>IFS($B122=FALSE,"",$B122,VLOOKUP($B122,'PATIENT DATA (072721)'!A:C, 2, 0))</f>
        <v>CHRISTENSEN, TEMECKA K</v>
      </c>
      <c r="B122" s="314">
        <v>13666.0</v>
      </c>
      <c r="C122" s="316" t="str">
        <f>IF(COUNTIF('PATIENT DATA (072721)'!A:A, B122)=0, "X","✓")</f>
        <v>✓</v>
      </c>
      <c r="D122" s="317">
        <f>IFS($B122=FALSE,"",$B122,VLOOKUP($B122,'PATIENT DATA (072721)'!A:C, 3, 0))</f>
        <v>27283</v>
      </c>
      <c r="E122" s="318">
        <v>44566.0</v>
      </c>
      <c r="F122" s="315">
        <f>ifs($B122="","",$B122, VLOOKUP($B122&amp;$E122, 'VISIT DATA'!A:O,3,0))</f>
        <v>0.59375</v>
      </c>
      <c r="G122" s="314"/>
      <c r="H122" s="314" t="str">
        <f>ifs($B122="","",$B122, VLOOKUP($B122&amp;$E122, 'VISIT DATA'!$A:$O,13,0))</f>
        <v/>
      </c>
      <c r="I122" s="314" t="str">
        <f>VLOOKUP($B122&amp;$E122,'VISIT DATA'!A:J, 9, FALSE)</f>
        <v>TORRES</v>
      </c>
      <c r="J122" s="314" t="str">
        <f>VLOOKUP(B122&amp;E122,'VISIT DATA'!A:N,10,FALSE)</f>
        <v>MOLINA MEDICAID TEXAS</v>
      </c>
      <c r="K122" s="316"/>
      <c r="L122" s="314"/>
      <c r="M122" s="314"/>
      <c r="N122" s="316"/>
      <c r="O122" s="316" t="str">
        <f t="shared" si="1"/>
        <v>X</v>
      </c>
      <c r="P122" s="317" t="str">
        <f t="shared" si="2"/>
        <v>#VALUE!</v>
      </c>
      <c r="Q122" s="317" t="str">
        <f t="shared" si="3"/>
        <v>X</v>
      </c>
      <c r="R122" s="319" t="str">
        <f t="shared" si="4"/>
        <v>#VALUE!</v>
      </c>
      <c r="S122" s="314" t="str">
        <f t="shared" si="5"/>
        <v>#VALUE!</v>
      </c>
      <c r="T122" s="314" t="str">
        <f t="shared" si="6"/>
        <v>#VALUE!</v>
      </c>
      <c r="U122" s="314">
        <f t="shared" si="7"/>
        <v>1</v>
      </c>
      <c r="V122" s="314" t="str">
        <f>ifs($N122="",VLOOKUP($B122&amp;$E122,'VISIT DATA'!$A$2:$J244,7,FALSE), $N122="SWAB","OUTSA-RW",$N122="SWQU","OUTSA-SaQu", AND($L122="X",$M122="X",$N122="QUEST"),"OUT-UAQPre",$N122="QUEST","OUT-UAQ", $N122="Walk in","ColUATele")</f>
        <v>OUTUA-PrRW</v>
      </c>
      <c r="W122" s="314" t="str">
        <f t="shared" si="8"/>
        <v>OUTUA-PrRW : OUT UA Prelimin Redwood</v>
      </c>
      <c r="X122" s="314" t="str">
        <f t="shared" si="9"/>
        <v>#N/A</v>
      </c>
      <c r="Y122" s="314" t="str">
        <f t="shared" si="10"/>
        <v>#N/A</v>
      </c>
      <c r="Z122" s="314" t="str">
        <f t="shared" si="11"/>
        <v> </v>
      </c>
      <c r="AA122" s="316"/>
    </row>
    <row r="123">
      <c r="A123" s="314" t="str">
        <f>IFS($B123=FALSE,"",$B123,VLOOKUP($B123,'PATIENT DATA (072721)'!A:C, 2, 0))</f>
        <v>MORALES, LORRAINE</v>
      </c>
      <c r="B123" s="314">
        <v>15901.0</v>
      </c>
      <c r="C123" s="316" t="str">
        <f>IF(COUNTIF('PATIENT DATA (072721)'!A:A, B123)=0, "X","✓")</f>
        <v>✓</v>
      </c>
      <c r="D123" s="317">
        <f>IFS($B123=FALSE,"",$B123,VLOOKUP($B123,'PATIENT DATA (072721)'!A:C, 3, 0))</f>
        <v>21182</v>
      </c>
      <c r="E123" s="318">
        <v>44566.0</v>
      </c>
      <c r="F123" s="315">
        <f>ifs($B123="","",$B123, VLOOKUP($B123&amp;$E123, 'VISIT DATA'!A:O,3,0))</f>
        <v>0.5729166667</v>
      </c>
      <c r="G123" s="314"/>
      <c r="H123" s="314" t="str">
        <f>ifs($B123="","",$B123, VLOOKUP($B123&amp;$E123, 'VISIT DATA'!$A:$O,13,0))</f>
        <v/>
      </c>
      <c r="I123" s="314" t="str">
        <f>VLOOKUP($B123&amp;$E123,'VISIT DATA'!A:J, 9, FALSE)</f>
        <v>LOPEZ</v>
      </c>
      <c r="J123" s="314" t="str">
        <f>VLOOKUP(B123&amp;E123,'VISIT DATA'!A:N,10,FALSE)</f>
        <v>WC - TRAVELERS INSURANCE</v>
      </c>
      <c r="K123" s="316"/>
      <c r="L123" s="314"/>
      <c r="M123" s="314"/>
      <c r="N123" s="316"/>
      <c r="O123" s="316" t="str">
        <f t="shared" si="1"/>
        <v>X</v>
      </c>
      <c r="P123" s="317" t="str">
        <f t="shared" si="2"/>
        <v>#VALUE!</v>
      </c>
      <c r="Q123" s="317" t="str">
        <f t="shared" si="3"/>
        <v>#VALUE!</v>
      </c>
      <c r="R123" s="319" t="str">
        <f t="shared" si="4"/>
        <v>#VALUE!</v>
      </c>
      <c r="S123" s="314" t="str">
        <f t="shared" si="5"/>
        <v>#VALUE!</v>
      </c>
      <c r="T123" s="314" t="str">
        <f t="shared" si="6"/>
        <v>#VALUE!</v>
      </c>
      <c r="U123" s="314">
        <f t="shared" si="7"/>
        <v>0</v>
      </c>
      <c r="V123" s="314" t="str">
        <f>ifs($N123="",VLOOKUP($B123&amp;$E123,'VISIT DATA'!$A$2:$J244,7,FALSE), $N123="SWAB","OUTSA-RW",$N123="SWQU","OUTSA-SaQu", AND($L123="X",$M123="X",$N123="QUEST"),"OUT-UAQPre",$N123="QUEST","OUT-UAQ", $N123="Walk in","ColUATele")</f>
        <v>UA</v>
      </c>
      <c r="W123" s="314" t="str">
        <f t="shared" si="8"/>
        <v>UA : Urine Analysis In House</v>
      </c>
      <c r="X123" s="314" t="str">
        <f t="shared" si="9"/>
        <v>#N/A</v>
      </c>
      <c r="Y123" s="314" t="str">
        <f t="shared" si="10"/>
        <v>#N/A</v>
      </c>
      <c r="Z123" s="314" t="str">
        <f t="shared" si="11"/>
        <v> </v>
      </c>
      <c r="AA123" s="316"/>
    </row>
    <row r="124">
      <c r="A124" s="314" t="str">
        <f>IFS($B124=FALSE,"",$B124,VLOOKUP($B124,'PATIENT DATA (072721)'!A:C, 2, 0))</f>
        <v>GONZALES, ANDY</v>
      </c>
      <c r="B124" s="314">
        <v>17795.0</v>
      </c>
      <c r="C124" s="316" t="str">
        <f>IF(COUNTIF('PATIENT DATA (072721)'!A:A, B124)=0, "X","✓")</f>
        <v>✓</v>
      </c>
      <c r="D124" s="317">
        <f>IFS($B124=FALSE,"",$B124,VLOOKUP($B124,'PATIENT DATA (072721)'!A:C, 3, 0))</f>
        <v>27896</v>
      </c>
      <c r="E124" s="318">
        <v>44566.0</v>
      </c>
      <c r="F124" s="315">
        <f>ifs($B124="","",$B124, VLOOKUP($B124&amp;$E124, 'VISIT DATA'!A:O,3,0))</f>
        <v>0.6041666667</v>
      </c>
      <c r="G124" s="314"/>
      <c r="H124" s="314" t="str">
        <f>ifs($B124="","",$B124, VLOOKUP($B124&amp;$E124, 'VISIT DATA'!$A:$O,13,0))</f>
        <v/>
      </c>
      <c r="I124" s="314" t="str">
        <f>VLOOKUP($B124&amp;$E124,'VISIT DATA'!A:J, 9, FALSE)</f>
        <v>LOPEZ</v>
      </c>
      <c r="J124" s="314" t="str">
        <f>VLOOKUP(B124&amp;E124,'VISIT DATA'!A:N,10,FALSE)</f>
        <v>MEDICARE TEXAS</v>
      </c>
      <c r="K124" s="316"/>
      <c r="L124" s="314"/>
      <c r="M124" s="314"/>
      <c r="N124" s="316"/>
      <c r="O124" s="316" t="str">
        <f t="shared" si="1"/>
        <v>X</v>
      </c>
      <c r="P124" s="317" t="str">
        <f t="shared" si="2"/>
        <v>#VALUE!</v>
      </c>
      <c r="Q124" s="317" t="str">
        <f t="shared" si="3"/>
        <v>#VALUE!</v>
      </c>
      <c r="R124" s="319" t="str">
        <f t="shared" si="4"/>
        <v>#VALUE!</v>
      </c>
      <c r="S124" s="314" t="str">
        <f t="shared" si="5"/>
        <v>#VALUE!</v>
      </c>
      <c r="T124" s="314" t="str">
        <f t="shared" si="6"/>
        <v>#VALUE!</v>
      </c>
      <c r="U124" s="314">
        <f t="shared" si="7"/>
        <v>0</v>
      </c>
      <c r="V124" s="314" t="str">
        <f>ifs($N124="",VLOOKUP($B124&amp;$E124,'VISIT DATA'!$A$2:$J244,7,FALSE), $N124="SWAB","OUTSA-RW",$N124="SWQU","OUTSA-SaQu", AND($L124="X",$M124="X",$N124="QUEST"),"OUT-UAQPre",$N124="QUEST","OUT-UAQ", $N124="Walk in","ColUATele")</f>
        <v>UA-NWPT</v>
      </c>
      <c r="W124" s="314" t="str">
        <f t="shared" si="8"/>
        <v>UA-NWPT : UA New Patient</v>
      </c>
      <c r="X124" s="314" t="str">
        <f t="shared" si="9"/>
        <v>#N/A</v>
      </c>
      <c r="Y124" s="314" t="str">
        <f t="shared" si="10"/>
        <v>#N/A</v>
      </c>
      <c r="Z124" s="314" t="str">
        <f t="shared" si="11"/>
        <v> </v>
      </c>
      <c r="AA124" s="316"/>
    </row>
    <row r="125">
      <c r="A125" s="314" t="str">
        <f>IFS($B125=FALSE,"",$B125,VLOOKUP($B125,'PATIENT DATA (072721)'!A:C, 2, 0))</f>
        <v>SANCHEZ, LUIS A</v>
      </c>
      <c r="B125" s="314">
        <v>16202.0</v>
      </c>
      <c r="C125" s="316" t="str">
        <f>IF(COUNTIF('PATIENT DATA (072721)'!A:A, B125)=0, "X","✓")</f>
        <v>✓</v>
      </c>
      <c r="D125" s="317">
        <f>IFS($B125=FALSE,"",$B125,VLOOKUP($B125,'PATIENT DATA (072721)'!A:C, 3, 0))</f>
        <v>24456</v>
      </c>
      <c r="E125" s="318">
        <v>44566.0</v>
      </c>
      <c r="F125" s="315">
        <f>ifs($B125="","",$B125, VLOOKUP($B125&amp;$E125, 'VISIT DATA'!A:O,3,0))</f>
        <v>0.6354166667</v>
      </c>
      <c r="G125" s="314"/>
      <c r="H125" s="314" t="str">
        <f>ifs($B125="","",$B125, VLOOKUP($B125&amp;$E125, 'VISIT DATA'!$A:$O,13,0))</f>
        <v/>
      </c>
      <c r="I125" s="314" t="str">
        <f>VLOOKUP($B125&amp;$E125,'VISIT DATA'!A:J, 9, FALSE)</f>
        <v>MARTINEZ</v>
      </c>
      <c r="J125" s="314" t="str">
        <f>VLOOKUP(B125&amp;E125,'VISIT DATA'!A:N,10,FALSE)</f>
        <v>BCBSTX PPO</v>
      </c>
      <c r="K125" s="316"/>
      <c r="L125" s="314"/>
      <c r="M125" s="314"/>
      <c r="N125" s="316"/>
      <c r="O125" s="316" t="str">
        <f t="shared" si="1"/>
        <v>X</v>
      </c>
      <c r="P125" s="317" t="str">
        <f t="shared" si="2"/>
        <v>#VALUE!</v>
      </c>
      <c r="Q125" s="317" t="str">
        <f t="shared" si="3"/>
        <v>#VALUE!</v>
      </c>
      <c r="R125" s="319" t="str">
        <f t="shared" si="4"/>
        <v>#VALUE!</v>
      </c>
      <c r="S125" s="314" t="str">
        <f t="shared" si="5"/>
        <v>#VALUE!</v>
      </c>
      <c r="T125" s="314" t="str">
        <f t="shared" si="6"/>
        <v>#VALUE!</v>
      </c>
      <c r="U125" s="314">
        <f t="shared" si="7"/>
        <v>0</v>
      </c>
      <c r="V125" s="314" t="str">
        <f>ifs($N125="",VLOOKUP($B125&amp;$E125,'VISIT DATA'!$A$2:$J244,7,FALSE), $N125="SWAB","OUTSA-RW",$N125="SWQU","OUTSA-SaQu", AND($L125="X",$M125="X",$N125="QUEST"),"OUT-UAQPre",$N125="QUEST","OUT-UAQ", $N125="Walk in","ColUATele")</f>
        <v>UA</v>
      </c>
      <c r="W125" s="314" t="str">
        <f t="shared" si="8"/>
        <v>UA : Urine Analysis In House</v>
      </c>
      <c r="X125" s="314" t="str">
        <f t="shared" si="9"/>
        <v>#N/A</v>
      </c>
      <c r="Y125" s="314" t="str">
        <f t="shared" si="10"/>
        <v>#N/A</v>
      </c>
      <c r="Z125" s="314" t="str">
        <f t="shared" si="11"/>
        <v> </v>
      </c>
      <c r="AA125" s="316"/>
    </row>
    <row r="126">
      <c r="A126" s="314" t="str">
        <f>IFS($B126=FALSE,"",$B126,VLOOKUP($B126,'PATIENT DATA (072721)'!A:C, 2, 0))</f>
        <v>PALACIOS, ARMANDO R</v>
      </c>
      <c r="B126" s="314">
        <v>15749.0</v>
      </c>
      <c r="C126" s="316" t="str">
        <f>IF(COUNTIF('PATIENT DATA (072721)'!A:A, B126)=0, "X","✓")</f>
        <v>✓</v>
      </c>
      <c r="D126" s="317">
        <f>IFS($B126=FALSE,"",$B126,VLOOKUP($B126,'PATIENT DATA (072721)'!A:C, 3, 0))</f>
        <v>30064</v>
      </c>
      <c r="E126" s="318">
        <v>44566.0</v>
      </c>
      <c r="F126" s="315" t="str">
        <f>ifs($B126="","",$B126, VLOOKUP($B126&amp;$E126, 'VISIT DATA'!A:O,3,0))</f>
        <v>#N/A</v>
      </c>
      <c r="G126" s="314"/>
      <c r="H126" s="314" t="str">
        <f>ifs($B126="","",$B126, VLOOKUP($B126&amp;$E126, 'VISIT DATA'!$A:$O,13,0))</f>
        <v>#N/A</v>
      </c>
      <c r="I126" s="314" t="str">
        <f>VLOOKUP($B126&amp;$E126,'VISIT DATA'!A:J, 9, FALSE)</f>
        <v>#N/A</v>
      </c>
      <c r="J126" s="314" t="str">
        <f>VLOOKUP(B126&amp;E126,'VISIT DATA'!A:N,10,FALSE)</f>
        <v>#N/A</v>
      </c>
      <c r="K126" s="316"/>
      <c r="L126" s="314"/>
      <c r="M126" s="314"/>
      <c r="N126" s="316"/>
      <c r="O126" s="316" t="str">
        <f t="shared" si="1"/>
        <v>X</v>
      </c>
      <c r="P126" s="317" t="str">
        <f t="shared" si="2"/>
        <v>#N/A</v>
      </c>
      <c r="Q126" s="317" t="str">
        <f t="shared" si="3"/>
        <v>#N/A</v>
      </c>
      <c r="R126" s="319" t="str">
        <f t="shared" si="4"/>
        <v>#N/A</v>
      </c>
      <c r="S126" s="314" t="str">
        <f t="shared" si="5"/>
        <v>#N/A</v>
      </c>
      <c r="T126" s="314" t="str">
        <f t="shared" si="6"/>
        <v>#N/A</v>
      </c>
      <c r="U126" s="314">
        <f t="shared" si="7"/>
        <v>0</v>
      </c>
      <c r="V126" s="314" t="str">
        <f>ifs($N126="",VLOOKUP($B126&amp;$E126,'VISIT DATA'!$A$2:$J244,7,FALSE), $N126="SWAB","OUTSA-RW",$N126="SWQU","OUTSA-SaQu", AND($L126="X",$M126="X",$N126="QUEST"),"OUT-UAQPre",$N126="QUEST","OUT-UAQ", $N126="Walk in","ColUATele")</f>
        <v>#N/A</v>
      </c>
      <c r="W126" s="314" t="str">
        <f t="shared" si="8"/>
        <v>#N/A</v>
      </c>
      <c r="X126" s="314" t="str">
        <f t="shared" si="9"/>
        <v>#N/A</v>
      </c>
      <c r="Y126" s="314" t="str">
        <f t="shared" si="10"/>
        <v>#N/A</v>
      </c>
      <c r="Z126" s="314" t="str">
        <f t="shared" si="11"/>
        <v> </v>
      </c>
      <c r="AA126" s="316"/>
    </row>
    <row r="127">
      <c r="A127" s="314" t="str">
        <f>IFS($B127=FALSE,"",$B127,VLOOKUP($B127,'PATIENT DATA (072721)'!A:C, 2, 0))</f>
        <v>GARCIA, JOEL B</v>
      </c>
      <c r="B127" s="314">
        <v>12462.0</v>
      </c>
      <c r="C127" s="316" t="str">
        <f>IF(COUNTIF('PATIENT DATA (072721)'!A:A, B127)=0, "X","✓")</f>
        <v>✓</v>
      </c>
      <c r="D127" s="317">
        <f>IFS($B127=FALSE,"",$B127,VLOOKUP($B127,'PATIENT DATA (072721)'!A:C, 3, 0))</f>
        <v>34256</v>
      </c>
      <c r="E127" s="318">
        <v>44566.0</v>
      </c>
      <c r="F127" s="315">
        <f>ifs($B127="","",$B127, VLOOKUP($B127&amp;$E127, 'VISIT DATA'!A:O,3,0))</f>
        <v>0.625</v>
      </c>
      <c r="G127" s="314"/>
      <c r="H127" s="314" t="str">
        <f>ifs($B127="","",$B127, VLOOKUP($B127&amp;$E127, 'VISIT DATA'!$A:$O,13,0))</f>
        <v/>
      </c>
      <c r="I127" s="314" t="str">
        <f>VLOOKUP($B127&amp;$E127,'VISIT DATA'!A:J, 9, FALSE)</f>
        <v>LOPEZ</v>
      </c>
      <c r="J127" s="314" t="str">
        <f>VLOOKUP(B127&amp;E127,'VISIT DATA'!A:N,10,FALSE)</f>
        <v>BCBS HEALTH SELECT</v>
      </c>
      <c r="K127" s="316"/>
      <c r="L127" s="314"/>
      <c r="M127" s="314"/>
      <c r="N127" s="316"/>
      <c r="O127" s="316" t="str">
        <f t="shared" si="1"/>
        <v>X</v>
      </c>
      <c r="P127" s="317" t="str">
        <f t="shared" si="2"/>
        <v>#VALUE!</v>
      </c>
      <c r="Q127" s="317" t="str">
        <f t="shared" si="3"/>
        <v>#VALUE!</v>
      </c>
      <c r="R127" s="319" t="str">
        <f t="shared" si="4"/>
        <v>#VALUE!</v>
      </c>
      <c r="S127" s="314" t="str">
        <f t="shared" si="5"/>
        <v>#VALUE!</v>
      </c>
      <c r="T127" s="314" t="str">
        <f t="shared" si="6"/>
        <v>#VALUE!</v>
      </c>
      <c r="U127" s="314">
        <f t="shared" si="7"/>
        <v>0</v>
      </c>
      <c r="V127" s="314" t="str">
        <f>ifs($N127="",VLOOKUP($B127&amp;$E127,'VISIT DATA'!$A$2:$J244,7,FALSE), $N127="SWAB","OUTSA-RW",$N127="SWQU","OUTSA-SaQu", AND($L127="X",$M127="X",$N127="QUEST"),"OUT-UAQPre",$N127="QUEST","OUT-UAQ", $N127="Walk in","ColUATele")</f>
        <v>UA</v>
      </c>
      <c r="W127" s="314" t="str">
        <f t="shared" si="8"/>
        <v>UA : Urine Analysis In House</v>
      </c>
      <c r="X127" s="314" t="str">
        <f t="shared" si="9"/>
        <v>#N/A</v>
      </c>
      <c r="Y127" s="314" t="str">
        <f t="shared" si="10"/>
        <v>#N/A</v>
      </c>
      <c r="Z127" s="314" t="str">
        <f t="shared" si="11"/>
        <v> </v>
      </c>
      <c r="AA127" s="316"/>
    </row>
    <row r="128">
      <c r="A128" s="314" t="str">
        <f>IFS($B128=FALSE,"",$B128,VLOOKUP($B128,'PATIENT DATA (072721)'!A:C, 2, 0))</f>
        <v>CUEVAS, AGUSTIN</v>
      </c>
      <c r="B128" s="314">
        <v>16128.0</v>
      </c>
      <c r="C128" s="316" t="str">
        <f>IF(COUNTIF('PATIENT DATA (072721)'!A:A, B128)=0, "X","✓")</f>
        <v>✓</v>
      </c>
      <c r="D128" s="317">
        <f>IFS($B128=FALSE,"",$B128,VLOOKUP($B128,'PATIENT DATA (072721)'!A:C, 3, 0))</f>
        <v>16663</v>
      </c>
      <c r="E128" s="318">
        <v>44567.0</v>
      </c>
      <c r="F128" s="315">
        <f>ifs($B128="","",$B128, VLOOKUP($B128&amp;$E128, 'VISIT DATA'!A:O,3,0))</f>
        <v>0.34375</v>
      </c>
      <c r="G128" s="314"/>
      <c r="H128" s="314" t="str">
        <f>ifs($B128="","",$B128, VLOOKUP($B128&amp;$E128, 'VISIT DATA'!$A:$O,13,0))</f>
        <v/>
      </c>
      <c r="I128" s="314" t="str">
        <f>VLOOKUP($B128&amp;$E128,'VISIT DATA'!A:J, 9, FALSE)</f>
        <v>LOPEZ</v>
      </c>
      <c r="J128" s="314" t="str">
        <f>VLOOKUP(B128&amp;E128,'VISIT DATA'!A:N,10,FALSE)</f>
        <v>WELLCARE OF TEXAS HMO</v>
      </c>
      <c r="K128" s="316"/>
      <c r="L128" s="314"/>
      <c r="M128" s="314"/>
      <c r="N128" s="316"/>
      <c r="O128" s="316" t="str">
        <f t="shared" si="1"/>
        <v>X</v>
      </c>
      <c r="P128" s="317" t="str">
        <f t="shared" si="2"/>
        <v>#VALUE!</v>
      </c>
      <c r="Q128" s="317" t="str">
        <f t="shared" si="3"/>
        <v>#VALUE!</v>
      </c>
      <c r="R128" s="319" t="str">
        <f t="shared" si="4"/>
        <v>#VALUE!</v>
      </c>
      <c r="S128" s="314" t="str">
        <f t="shared" si="5"/>
        <v>#VALUE!</v>
      </c>
      <c r="T128" s="314" t="str">
        <f t="shared" si="6"/>
        <v>#VALUE!</v>
      </c>
      <c r="U128" s="314">
        <f t="shared" si="7"/>
        <v>0</v>
      </c>
      <c r="V128" s="314" t="str">
        <f>ifs($N128="",VLOOKUP($B128&amp;$E128,'VISIT DATA'!$A$2:$J244,7,FALSE), $N128="SWAB","OUTSA-RW",$N128="SWQU","OUTSA-SaQu", AND($L128="X",$M128="X",$N128="QUEST"),"OUT-UAQPre",$N128="QUEST","OUT-UAQ", $N128="Walk in","ColUATele")</f>
        <v>UA-Prelim</v>
      </c>
      <c r="W128" s="314" t="str">
        <f t="shared" si="8"/>
        <v>UA-Prelim : Preliminary UA Test</v>
      </c>
      <c r="X128" s="314" t="str">
        <f t="shared" si="9"/>
        <v>#N/A</v>
      </c>
      <c r="Y128" s="314" t="str">
        <f t="shared" si="10"/>
        <v>#N/A</v>
      </c>
      <c r="Z128" s="314" t="str">
        <f t="shared" si="11"/>
        <v> </v>
      </c>
      <c r="AA128" s="316"/>
    </row>
    <row r="129">
      <c r="A129" s="314" t="str">
        <f>IFS($B129=FALSE,"",$B129,VLOOKUP($B129,'PATIENT DATA (072721)'!A:C, 2, 0))</f>
        <v>GUERRERO, ROBERT</v>
      </c>
      <c r="B129" s="314">
        <v>11940.0</v>
      </c>
      <c r="C129" s="316" t="str">
        <f>IF(COUNTIF('PATIENT DATA (072721)'!A:A, B129)=0, "X","✓")</f>
        <v>✓</v>
      </c>
      <c r="D129" s="317">
        <f>IFS($B129=FALSE,"",$B129,VLOOKUP($B129,'PATIENT DATA (072721)'!A:C, 3, 0))</f>
        <v>20958</v>
      </c>
      <c r="E129" s="318">
        <v>44567.0</v>
      </c>
      <c r="F129" s="315">
        <f>ifs($B129="","",$B129, VLOOKUP($B129&amp;$E129, 'VISIT DATA'!A:O,3,0))</f>
        <v>0.3333333333</v>
      </c>
      <c r="G129" s="314"/>
      <c r="H129" s="314" t="str">
        <f>ifs($B129="","",$B129, VLOOKUP($B129&amp;$E129, 'VISIT DATA'!$A:$O,13,0))</f>
        <v/>
      </c>
      <c r="I129" s="314" t="str">
        <f>VLOOKUP($B129&amp;$E129,'VISIT DATA'!A:J, 9, FALSE)</f>
        <v>TORRES</v>
      </c>
      <c r="J129" s="314" t="str">
        <f>VLOOKUP(B129&amp;E129,'VISIT DATA'!A:N,10,FALSE)</f>
        <v>AMBETTER - SUPERIOR</v>
      </c>
      <c r="K129" s="316"/>
      <c r="L129" s="314"/>
      <c r="M129" s="314"/>
      <c r="N129" s="316"/>
      <c r="O129" s="316" t="str">
        <f t="shared" si="1"/>
        <v>X</v>
      </c>
      <c r="P129" s="317" t="str">
        <f t="shared" si="2"/>
        <v>#VALUE!</v>
      </c>
      <c r="Q129" s="317" t="str">
        <f t="shared" si="3"/>
        <v>#VALUE!</v>
      </c>
      <c r="R129" s="319" t="str">
        <f t="shared" si="4"/>
        <v>#VALUE!</v>
      </c>
      <c r="S129" s="314" t="str">
        <f t="shared" si="5"/>
        <v>#VALUE!</v>
      </c>
      <c r="T129" s="314" t="str">
        <f t="shared" si="6"/>
        <v>#VALUE!</v>
      </c>
      <c r="U129" s="314">
        <f t="shared" si="7"/>
        <v>0</v>
      </c>
      <c r="V129" s="314" t="str">
        <f>ifs($N129="",VLOOKUP($B129&amp;$E129,'VISIT DATA'!$A$2:$J244,7,FALSE), $N129="SWAB","OUTSA-RW",$N129="SWQU","OUTSA-SaQu", AND($L129="X",$M129="X",$N129="QUEST"),"OUT-UAQPre",$N129="QUEST","OUT-UAQ", $N129="Walk in","ColUATele")</f>
        <v>UA</v>
      </c>
      <c r="W129" s="314" t="str">
        <f t="shared" si="8"/>
        <v>UA : Urine Analysis In House</v>
      </c>
      <c r="X129" s="314" t="str">
        <f t="shared" si="9"/>
        <v>#N/A</v>
      </c>
      <c r="Y129" s="314" t="str">
        <f t="shared" si="10"/>
        <v>#N/A</v>
      </c>
      <c r="Z129" s="314" t="str">
        <f t="shared" si="11"/>
        <v> </v>
      </c>
      <c r="AA129" s="316"/>
    </row>
    <row r="130">
      <c r="A130" s="314" t="str">
        <f>IFS($B130=FALSE,"",$B130,VLOOKUP($B130,'PATIENT DATA (072721)'!A:C, 2, 0))</f>
        <v>ALFONSO, HERNAN C</v>
      </c>
      <c r="B130" s="314">
        <v>11568.0</v>
      </c>
      <c r="C130" s="316" t="str">
        <f>IF(COUNTIF('PATIENT DATA (072721)'!A:A, B130)=0, "X","✓")</f>
        <v>✓</v>
      </c>
      <c r="D130" s="317">
        <f>IFS($B130=FALSE,"",$B130,VLOOKUP($B130,'PATIENT DATA (072721)'!A:C, 3, 0))</f>
        <v>18906</v>
      </c>
      <c r="E130" s="318">
        <v>44567.0</v>
      </c>
      <c r="F130" s="315">
        <f>ifs($B130="","",$B130, VLOOKUP($B130&amp;$E130, 'VISIT DATA'!A:O,3,0))</f>
        <v>0.34375</v>
      </c>
      <c r="G130" s="314"/>
      <c r="H130" s="314" t="str">
        <f>ifs($B130="","",$B130, VLOOKUP($B130&amp;$E130, 'VISIT DATA'!$A:$O,13,0))</f>
        <v/>
      </c>
      <c r="I130" s="314" t="str">
        <f>VLOOKUP($B130&amp;$E130,'VISIT DATA'!A:J, 9, FALSE)</f>
        <v>TORRES</v>
      </c>
      <c r="J130" s="314" t="str">
        <f>VLOOKUP(B130&amp;E130,'VISIT DATA'!A:N,10,FALSE)</f>
        <v>WELLMED - UHC DUAL COMPLETE SNP</v>
      </c>
      <c r="K130" s="316"/>
      <c r="L130" s="314"/>
      <c r="M130" s="314"/>
      <c r="N130" s="316"/>
      <c r="O130" s="316" t="str">
        <f t="shared" si="1"/>
        <v>X</v>
      </c>
      <c r="P130" s="317" t="str">
        <f t="shared" si="2"/>
        <v>X</v>
      </c>
      <c r="Q130" s="317" t="str">
        <f t="shared" si="3"/>
        <v>#VALUE!</v>
      </c>
      <c r="R130" s="319" t="str">
        <f t="shared" si="4"/>
        <v>#VALUE!</v>
      </c>
      <c r="S130" s="314" t="str">
        <f t="shared" si="5"/>
        <v>#VALUE!</v>
      </c>
      <c r="T130" s="314" t="str">
        <f t="shared" si="6"/>
        <v>#VALUE!</v>
      </c>
      <c r="U130" s="314">
        <f t="shared" si="7"/>
        <v>1</v>
      </c>
      <c r="V130" s="314" t="str">
        <f>ifs($N130="",VLOOKUP($B130&amp;$E130,'VISIT DATA'!$A$2:$J244,7,FALSE), $N130="SWAB","OUTSA-RW",$N130="SWQU","OUTSA-SaQu", AND($L130="X",$M130="X",$N130="QUEST"),"OUT-UAQPre",$N130="QUEST","OUT-UAQ", $N130="Walk in","ColUATele")</f>
        <v>OUTUA-FURW</v>
      </c>
      <c r="W130" s="314" t="str">
        <f t="shared" si="8"/>
        <v>OUTUA-FURW : OUT UA FU Redwood</v>
      </c>
      <c r="X130" s="314" t="str">
        <f t="shared" si="9"/>
        <v>#N/A</v>
      </c>
      <c r="Y130" s="314" t="str">
        <f t="shared" si="10"/>
        <v>#N/A</v>
      </c>
      <c r="Z130" s="314" t="str">
        <f t="shared" si="11"/>
        <v> </v>
      </c>
      <c r="AA130" s="316"/>
    </row>
    <row r="131">
      <c r="A131" s="314" t="str">
        <f>IFS($B131=FALSE,"",$B131,VLOOKUP($B131,'PATIENT DATA (072721)'!A:C, 2, 0))</f>
        <v>GALLARDO, RODOLFO</v>
      </c>
      <c r="B131" s="314">
        <v>10479.0</v>
      </c>
      <c r="C131" s="316" t="str">
        <f>IF(COUNTIF('PATIENT DATA (072721)'!A:A, B131)=0, "X","✓")</f>
        <v>✓</v>
      </c>
      <c r="D131" s="317">
        <f>IFS($B131=FALSE,"",$B131,VLOOKUP($B131,'PATIENT DATA (072721)'!A:C, 3, 0))</f>
        <v>19822</v>
      </c>
      <c r="E131" s="318">
        <v>44567.0</v>
      </c>
      <c r="F131" s="315">
        <f>ifs($B131="","",$B131, VLOOKUP($B131&amp;$E131, 'VISIT DATA'!A:O,3,0))</f>
        <v>0.3541666667</v>
      </c>
      <c r="G131" s="314"/>
      <c r="H131" s="314" t="str">
        <f>ifs($B131="","",$B131, VLOOKUP($B131&amp;$E131, 'VISIT DATA'!$A:$O,13,0))</f>
        <v/>
      </c>
      <c r="I131" s="314" t="str">
        <f>VLOOKUP($B131&amp;$E131,'VISIT DATA'!A:J, 9, FALSE)</f>
        <v>TORRES</v>
      </c>
      <c r="J131" s="314" t="str">
        <f>VLOOKUP(B131&amp;E131,'VISIT DATA'!A:N,10,FALSE)</f>
        <v>WELLMED - UHC DUAL COMPLETE HMO SNP</v>
      </c>
      <c r="K131" s="316"/>
      <c r="L131" s="314"/>
      <c r="M131" s="314"/>
      <c r="N131" s="316"/>
      <c r="O131" s="316" t="str">
        <f t="shared" si="1"/>
        <v>X</v>
      </c>
      <c r="P131" s="317" t="str">
        <f t="shared" si="2"/>
        <v>X</v>
      </c>
      <c r="Q131" s="317" t="str">
        <f t="shared" si="3"/>
        <v>#VALUE!</v>
      </c>
      <c r="R131" s="319" t="str">
        <f t="shared" si="4"/>
        <v>#VALUE!</v>
      </c>
      <c r="S131" s="314" t="str">
        <f t="shared" si="5"/>
        <v>#VALUE!</v>
      </c>
      <c r="T131" s="314" t="str">
        <f t="shared" si="6"/>
        <v>#VALUE!</v>
      </c>
      <c r="U131" s="314">
        <f t="shared" si="7"/>
        <v>1</v>
      </c>
      <c r="V131" s="314" t="str">
        <f>ifs($N131="",VLOOKUP($B131&amp;$E131,'VISIT DATA'!$A$2:$J244,7,FALSE), $N131="SWAB","OUTSA-RW",$N131="SWQU","OUTSA-SaQu", AND($L131="X",$M131="X",$N131="QUEST"),"OUT-UAQPre",$N131="QUEST","OUT-UAQ", $N131="Walk in","ColUATele")</f>
        <v>OUTUA-FURW</v>
      </c>
      <c r="W131" s="314" t="str">
        <f t="shared" si="8"/>
        <v>OUTUA-FURW : OUT UA FU Redwood</v>
      </c>
      <c r="X131" s="314" t="str">
        <f t="shared" si="9"/>
        <v>#N/A</v>
      </c>
      <c r="Y131" s="314" t="str">
        <f t="shared" si="10"/>
        <v>#N/A</v>
      </c>
      <c r="Z131" s="314" t="str">
        <f t="shared" si="11"/>
        <v> </v>
      </c>
      <c r="AA131" s="316"/>
    </row>
    <row r="132">
      <c r="A132" s="314" t="str">
        <f>IFS($B132=FALSE,"",$B132,VLOOKUP($B132,'PATIENT DATA (072721)'!A:C, 2, 0))</f>
        <v>MARTINEZ, CONNIE</v>
      </c>
      <c r="B132" s="314">
        <v>9909.0</v>
      </c>
      <c r="C132" s="316" t="str">
        <f>IF(COUNTIF('PATIENT DATA (072721)'!A:A, B132)=0, "X","✓")</f>
        <v>✓</v>
      </c>
      <c r="D132" s="317">
        <f>IFS($B132=FALSE,"",$B132,VLOOKUP($B132,'PATIENT DATA (072721)'!A:C, 3, 0))</f>
        <v>22143</v>
      </c>
      <c r="E132" s="318">
        <v>44567.0</v>
      </c>
      <c r="F132" s="315" t="str">
        <f>ifs($B132="","",$B132, VLOOKUP($B132&amp;$E132, 'VISIT DATA'!A:O,3,0))</f>
        <v>#N/A</v>
      </c>
      <c r="G132" s="314"/>
      <c r="H132" s="314" t="str">
        <f>ifs($B132="","",$B132, VLOOKUP($B132&amp;$E132, 'VISIT DATA'!$A:$O,13,0))</f>
        <v>#N/A</v>
      </c>
      <c r="I132" s="314" t="str">
        <f>VLOOKUP($B132&amp;$E132,'VISIT DATA'!A:J, 9, FALSE)</f>
        <v>#N/A</v>
      </c>
      <c r="J132" s="314" t="str">
        <f>VLOOKUP(B132&amp;E132,'VISIT DATA'!A:N,10,FALSE)</f>
        <v>#N/A</v>
      </c>
      <c r="K132" s="316"/>
      <c r="L132" s="314"/>
      <c r="M132" s="314"/>
      <c r="N132" s="316"/>
      <c r="O132" s="316" t="str">
        <f t="shared" si="1"/>
        <v>X</v>
      </c>
      <c r="P132" s="317" t="str">
        <f t="shared" si="2"/>
        <v>#N/A</v>
      </c>
      <c r="Q132" s="317" t="str">
        <f t="shared" si="3"/>
        <v>#N/A</v>
      </c>
      <c r="R132" s="319" t="str">
        <f t="shared" si="4"/>
        <v>#N/A</v>
      </c>
      <c r="S132" s="314" t="str">
        <f t="shared" si="5"/>
        <v>#N/A</v>
      </c>
      <c r="T132" s="314" t="str">
        <f t="shared" si="6"/>
        <v>#N/A</v>
      </c>
      <c r="U132" s="314">
        <f t="shared" si="7"/>
        <v>0</v>
      </c>
      <c r="V132" s="314" t="str">
        <f>ifs($N132="",VLOOKUP($B132&amp;$E132,'VISIT DATA'!$A$2:$J244,7,FALSE), $N132="SWAB","OUTSA-RW",$N132="SWQU","OUTSA-SaQu", AND($L132="X",$M132="X",$N132="QUEST"),"OUT-UAQPre",$N132="QUEST","OUT-UAQ", $N132="Walk in","ColUATele")</f>
        <v>#N/A</v>
      </c>
      <c r="W132" s="314" t="str">
        <f t="shared" si="8"/>
        <v>#N/A</v>
      </c>
      <c r="X132" s="314" t="str">
        <f t="shared" si="9"/>
        <v>#N/A</v>
      </c>
      <c r="Y132" s="314" t="str">
        <f t="shared" si="10"/>
        <v>#N/A</v>
      </c>
      <c r="Z132" s="314" t="str">
        <f t="shared" si="11"/>
        <v> </v>
      </c>
      <c r="AA132" s="316"/>
    </row>
    <row r="133">
      <c r="A133" s="314" t="str">
        <f>IFS($B133=FALSE,"",$B133,VLOOKUP($B133,'PATIENT DATA (072721)'!A:C, 2, 0))</f>
        <v>RANGEL, MARTIN</v>
      </c>
      <c r="B133" s="314">
        <v>12397.0</v>
      </c>
      <c r="C133" s="316" t="str">
        <f>IF(COUNTIF('PATIENT DATA (072721)'!A:A, B133)=0, "X","✓")</f>
        <v>✓</v>
      </c>
      <c r="D133" s="317">
        <f>IFS($B133=FALSE,"",$B133,VLOOKUP($B133,'PATIENT DATA (072721)'!A:C, 3, 0))</f>
        <v>24151</v>
      </c>
      <c r="E133" s="318">
        <v>44567.0</v>
      </c>
      <c r="F133" s="315">
        <f>ifs($B133="","",$B133, VLOOKUP($B133&amp;$E133, 'VISIT DATA'!A:O,3,0))</f>
        <v>0.3541666667</v>
      </c>
      <c r="G133" s="314"/>
      <c r="H133" s="314" t="str">
        <f>ifs($B133="","",$B133, VLOOKUP($B133&amp;$E133, 'VISIT DATA'!$A:$O,13,0))</f>
        <v/>
      </c>
      <c r="I133" s="314" t="str">
        <f>VLOOKUP($B133&amp;$E133,'VISIT DATA'!A:J, 9, FALSE)</f>
        <v>MARTINEZ</v>
      </c>
      <c r="J133" s="314" t="str">
        <f>VLOOKUP(B133&amp;E133,'VISIT DATA'!A:N,10,FALSE)</f>
        <v>AMERIGROUP</v>
      </c>
      <c r="K133" s="316"/>
      <c r="L133" s="314"/>
      <c r="M133" s="314"/>
      <c r="N133" s="316"/>
      <c r="O133" s="316" t="str">
        <f t="shared" si="1"/>
        <v>X</v>
      </c>
      <c r="P133" s="317" t="str">
        <f t="shared" si="2"/>
        <v>#VALUE!</v>
      </c>
      <c r="Q133" s="317" t="str">
        <f t="shared" si="3"/>
        <v>#VALUE!</v>
      </c>
      <c r="R133" s="319" t="str">
        <f t="shared" si="4"/>
        <v>#VALUE!</v>
      </c>
      <c r="S133" s="314" t="str">
        <f t="shared" si="5"/>
        <v>#VALUE!</v>
      </c>
      <c r="T133" s="314" t="str">
        <f t="shared" si="6"/>
        <v>#VALUE!</v>
      </c>
      <c r="U133" s="314">
        <f t="shared" si="7"/>
        <v>0</v>
      </c>
      <c r="V133" s="314" t="str">
        <f>ifs($N133="",VLOOKUP($B133&amp;$E133,'VISIT DATA'!$A$2:$J244,7,FALSE), $N133="SWAB","OUTSA-RW",$N133="SWQU","OUTSA-SaQu", AND($L133="X",$M133="X",$N133="QUEST"),"OUT-UAQPre",$N133="QUEST","OUT-UAQ", $N133="Walk in","ColUATele")</f>
        <v>UA-Prelim</v>
      </c>
      <c r="W133" s="314" t="str">
        <f t="shared" si="8"/>
        <v>UA-Prelim : Preliminary UA Test</v>
      </c>
      <c r="X133" s="314" t="str">
        <f t="shared" si="9"/>
        <v>#N/A</v>
      </c>
      <c r="Y133" s="314" t="str">
        <f t="shared" si="10"/>
        <v>#N/A</v>
      </c>
      <c r="Z133" s="314" t="str">
        <f t="shared" si="11"/>
        <v> </v>
      </c>
      <c r="AA133" s="316"/>
    </row>
    <row r="134">
      <c r="A134" s="314" t="str">
        <f>IFS($B134=FALSE,"",$B134,VLOOKUP($B134,'PATIENT DATA (072721)'!A:C, 2, 0))</f>
        <v>RAMOS, VANESSA B</v>
      </c>
      <c r="B134" s="314">
        <v>15160.0</v>
      </c>
      <c r="C134" s="316" t="str">
        <f>IF(COUNTIF('PATIENT DATA (072721)'!A:A, B134)=0, "X","✓")</f>
        <v>✓</v>
      </c>
      <c r="D134" s="317">
        <f>IFS($B134=FALSE,"",$B134,VLOOKUP($B134,'PATIENT DATA (072721)'!A:C, 3, 0))</f>
        <v>29365</v>
      </c>
      <c r="E134" s="318">
        <v>44567.0</v>
      </c>
      <c r="F134" s="315" t="str">
        <f>ifs($B134="","",$B134, VLOOKUP($B134&amp;$E134, 'VISIT DATA'!A:O,3,0))</f>
        <v>#N/A</v>
      </c>
      <c r="G134" s="314"/>
      <c r="H134" s="314" t="str">
        <f>ifs($B134="","",$B134, VLOOKUP($B134&amp;$E134, 'VISIT DATA'!$A:$O,13,0))</f>
        <v>#N/A</v>
      </c>
      <c r="I134" s="314" t="str">
        <f>VLOOKUP($B134&amp;$E134,'VISIT DATA'!A:J, 9, FALSE)</f>
        <v>#N/A</v>
      </c>
      <c r="J134" s="314" t="str">
        <f>VLOOKUP(B134&amp;E134,'VISIT DATA'!A:N,10,FALSE)</f>
        <v>#N/A</v>
      </c>
      <c r="K134" s="316"/>
      <c r="L134" s="314"/>
      <c r="M134" s="314"/>
      <c r="N134" s="316"/>
      <c r="O134" s="316" t="str">
        <f t="shared" si="1"/>
        <v>X</v>
      </c>
      <c r="P134" s="317" t="str">
        <f t="shared" si="2"/>
        <v>#N/A</v>
      </c>
      <c r="Q134" s="317" t="str">
        <f t="shared" si="3"/>
        <v>#N/A</v>
      </c>
      <c r="R134" s="319" t="str">
        <f t="shared" si="4"/>
        <v>#N/A</v>
      </c>
      <c r="S134" s="314" t="str">
        <f t="shared" si="5"/>
        <v>#N/A</v>
      </c>
      <c r="T134" s="314" t="str">
        <f t="shared" si="6"/>
        <v>#N/A</v>
      </c>
      <c r="U134" s="314">
        <f t="shared" si="7"/>
        <v>0</v>
      </c>
      <c r="V134" s="314" t="str">
        <f>ifs($N134="",VLOOKUP($B134&amp;$E134,'VISIT DATA'!$A$2:$J244,7,FALSE), $N134="SWAB","OUTSA-RW",$N134="SWQU","OUTSA-SaQu", AND($L134="X",$M134="X",$N134="QUEST"),"OUT-UAQPre",$N134="QUEST","OUT-UAQ", $N134="Walk in","ColUATele")</f>
        <v>#N/A</v>
      </c>
      <c r="W134" s="314" t="str">
        <f t="shared" si="8"/>
        <v>#N/A</v>
      </c>
      <c r="X134" s="314" t="str">
        <f t="shared" si="9"/>
        <v>#N/A</v>
      </c>
      <c r="Y134" s="314" t="str">
        <f t="shared" si="10"/>
        <v>#N/A</v>
      </c>
      <c r="Z134" s="314" t="str">
        <f t="shared" si="11"/>
        <v> </v>
      </c>
      <c r="AA134" s="316"/>
    </row>
    <row r="135">
      <c r="A135" s="314" t="str">
        <f>IFS($B135=FALSE,"",$B135,VLOOKUP($B135,'PATIENT DATA (072721)'!A:C, 2, 0))</f>
        <v>VALENTINO, KAREN J</v>
      </c>
      <c r="B135" s="314">
        <v>16260.0</v>
      </c>
      <c r="C135" s="316" t="str">
        <f>IF(COUNTIF('PATIENT DATA (072721)'!A:A, B135)=0, "X","✓")</f>
        <v>✓</v>
      </c>
      <c r="D135" s="317">
        <f>IFS($B135=FALSE,"",$B135,VLOOKUP($B135,'PATIENT DATA (072721)'!A:C, 3, 0))</f>
        <v>17025</v>
      </c>
      <c r="E135" s="318">
        <v>44567.0</v>
      </c>
      <c r="F135" s="315">
        <f>ifs($B135="","",$B135, VLOOKUP($B135&amp;$E135, 'VISIT DATA'!A:O,3,0))</f>
        <v>0.3854166667</v>
      </c>
      <c r="G135" s="314"/>
      <c r="H135" s="314" t="str">
        <f>ifs($B135="","",$B135, VLOOKUP($B135&amp;$E135, 'VISIT DATA'!$A:$O,13,0))</f>
        <v/>
      </c>
      <c r="I135" s="314" t="str">
        <f>VLOOKUP($B135&amp;$E135,'VISIT DATA'!A:J, 9, FALSE)</f>
        <v>LOPEZ</v>
      </c>
      <c r="J135" s="314" t="str">
        <f>VLOOKUP(B135&amp;E135,'VISIT DATA'!A:N,10,FALSE)</f>
        <v>MEDICARE TEXAS</v>
      </c>
      <c r="K135" s="316"/>
      <c r="L135" s="314"/>
      <c r="M135" s="314"/>
      <c r="N135" s="316"/>
      <c r="O135" s="316" t="str">
        <f t="shared" si="1"/>
        <v>X</v>
      </c>
      <c r="P135" s="317" t="str">
        <f t="shared" si="2"/>
        <v>#VALUE!</v>
      </c>
      <c r="Q135" s="317" t="str">
        <f t="shared" si="3"/>
        <v>#VALUE!</v>
      </c>
      <c r="R135" s="319" t="str">
        <f t="shared" si="4"/>
        <v>#VALUE!</v>
      </c>
      <c r="S135" s="314" t="str">
        <f t="shared" si="5"/>
        <v>#VALUE!</v>
      </c>
      <c r="T135" s="314" t="str">
        <f t="shared" si="6"/>
        <v>#VALUE!</v>
      </c>
      <c r="U135" s="314">
        <f t="shared" si="7"/>
        <v>0</v>
      </c>
      <c r="V135" s="314" t="str">
        <f>ifs($N135="",VLOOKUP($B135&amp;$E135,'VISIT DATA'!$A$2:$J244,7,FALSE), $N135="SWAB","OUTSA-RW",$N135="SWQU","OUTSA-SaQu", AND($L135="X",$M135="X",$N135="QUEST"),"OUT-UAQPre",$N135="QUEST","OUT-UAQ", $N135="Walk in","ColUATele")</f>
        <v>UA</v>
      </c>
      <c r="W135" s="314" t="str">
        <f t="shared" si="8"/>
        <v>UA : Urine Analysis In House</v>
      </c>
      <c r="X135" s="314" t="str">
        <f t="shared" si="9"/>
        <v>#N/A</v>
      </c>
      <c r="Y135" s="314" t="str">
        <f t="shared" si="10"/>
        <v>#N/A</v>
      </c>
      <c r="Z135" s="314" t="str">
        <f t="shared" si="11"/>
        <v> </v>
      </c>
      <c r="AA135" s="316"/>
    </row>
    <row r="136">
      <c r="A136" s="314" t="str">
        <f>IFS($B136=FALSE,"",$B136,VLOOKUP($B136,'PATIENT DATA (072721)'!A:C, 2, 0))</f>
        <v>GONZALEZ, DAVID</v>
      </c>
      <c r="B136" s="314">
        <v>10903.0</v>
      </c>
      <c r="C136" s="316" t="str">
        <f>IF(COUNTIF('PATIENT DATA (072721)'!A:A, B136)=0, "X","✓")</f>
        <v>✓</v>
      </c>
      <c r="D136" s="317">
        <f>IFS($B136=FALSE,"",$B136,VLOOKUP($B136,'PATIENT DATA (072721)'!A:C, 3, 0))</f>
        <v>22992</v>
      </c>
      <c r="E136" s="318">
        <v>44567.0</v>
      </c>
      <c r="F136" s="315">
        <f>ifs($B136="","",$B136, VLOOKUP($B136&amp;$E136, 'VISIT DATA'!A:O,3,0))</f>
        <v>0.375</v>
      </c>
      <c r="G136" s="314"/>
      <c r="H136" s="314" t="str">
        <f>ifs($B136="","",$B136, VLOOKUP($B136&amp;$E136, 'VISIT DATA'!$A:$O,13,0))</f>
        <v/>
      </c>
      <c r="I136" s="314" t="str">
        <f>VLOOKUP($B136&amp;$E136,'VISIT DATA'!A:J, 9, FALSE)</f>
        <v>TORRES</v>
      </c>
      <c r="J136" s="314" t="str">
        <f>VLOOKUP(B136&amp;E136,'VISIT DATA'!A:N,10,FALSE)</f>
        <v>HUMANA GOLD PLUS HMO</v>
      </c>
      <c r="K136" s="316"/>
      <c r="L136" s="314"/>
      <c r="M136" s="314"/>
      <c r="N136" s="316"/>
      <c r="O136" s="316" t="str">
        <f t="shared" si="1"/>
        <v>X</v>
      </c>
      <c r="P136" s="317" t="str">
        <f t="shared" si="2"/>
        <v>#VALUE!</v>
      </c>
      <c r="Q136" s="317" t="str">
        <f t="shared" si="3"/>
        <v>#VALUE!</v>
      </c>
      <c r="R136" s="319" t="str">
        <f t="shared" si="4"/>
        <v>#VALUE!</v>
      </c>
      <c r="S136" s="314" t="str">
        <f t="shared" si="5"/>
        <v>#VALUE!</v>
      </c>
      <c r="T136" s="314" t="str">
        <f t="shared" si="6"/>
        <v>#VALUE!</v>
      </c>
      <c r="U136" s="314">
        <f t="shared" si="7"/>
        <v>0</v>
      </c>
      <c r="V136" s="314" t="str">
        <f>ifs($N136="",VLOOKUP($B136&amp;$E136,'VISIT DATA'!$A$2:$J244,7,FALSE), $N136="SWAB","OUTSA-RW",$N136="SWQU","OUTSA-SaQu", AND($L136="X",$M136="X",$N136="QUEST"),"OUT-UAQPre",$N136="QUEST","OUT-UAQ", $N136="Walk in","ColUATele")</f>
        <v>UA</v>
      </c>
      <c r="W136" s="314" t="str">
        <f t="shared" si="8"/>
        <v>UA : Urine Analysis In House</v>
      </c>
      <c r="X136" s="314" t="str">
        <f t="shared" si="9"/>
        <v>#N/A</v>
      </c>
      <c r="Y136" s="314" t="str">
        <f t="shared" si="10"/>
        <v>#N/A</v>
      </c>
      <c r="Z136" s="314" t="str">
        <f t="shared" si="11"/>
        <v> </v>
      </c>
      <c r="AA136" s="316"/>
    </row>
    <row r="137">
      <c r="A137" s="314" t="str">
        <f>IFS($B137=FALSE,"",$B137,VLOOKUP($B137,'PATIENT DATA (072721)'!A:C, 2, 0))</f>
        <v>WHITEHEAD, CHRISTOPHER D</v>
      </c>
      <c r="B137" s="314">
        <v>12224.0</v>
      </c>
      <c r="C137" s="316" t="str">
        <f>IF(COUNTIF('PATIENT DATA (072721)'!A:A, B137)=0, "X","✓")</f>
        <v>✓</v>
      </c>
      <c r="D137" s="317">
        <f>IFS($B137=FALSE,"",$B137,VLOOKUP($B137,'PATIENT DATA (072721)'!A:C, 3, 0))</f>
        <v>28683</v>
      </c>
      <c r="E137" s="318">
        <v>44567.0</v>
      </c>
      <c r="F137" s="315">
        <f>ifs($B137="","",$B137, VLOOKUP($B137&amp;$E137, 'VISIT DATA'!A:O,3,0))</f>
        <v>0.3854166667</v>
      </c>
      <c r="G137" s="314"/>
      <c r="H137" s="314" t="str">
        <f>ifs($B137="","",$B137, VLOOKUP($B137&amp;$E137, 'VISIT DATA'!$A:$O,13,0))</f>
        <v/>
      </c>
      <c r="I137" s="314" t="str">
        <f>VLOOKUP($B137&amp;$E137,'VISIT DATA'!A:J, 9, FALSE)</f>
        <v>TORRES</v>
      </c>
      <c r="J137" s="314" t="str">
        <f>VLOOKUP(B137&amp;E137,'VISIT DATA'!A:N,10,FALSE)</f>
        <v>TRICARE PRIME</v>
      </c>
      <c r="K137" s="316"/>
      <c r="L137" s="314"/>
      <c r="M137" s="314"/>
      <c r="N137" s="316"/>
      <c r="O137" s="316" t="str">
        <f t="shared" si="1"/>
        <v>X</v>
      </c>
      <c r="P137" s="317" t="str">
        <f t="shared" si="2"/>
        <v>#VALUE!</v>
      </c>
      <c r="Q137" s="317" t="str">
        <f t="shared" si="3"/>
        <v>#VALUE!</v>
      </c>
      <c r="R137" s="319" t="str">
        <f t="shared" si="4"/>
        <v>#VALUE!</v>
      </c>
      <c r="S137" s="314" t="str">
        <f t="shared" si="5"/>
        <v>#VALUE!</v>
      </c>
      <c r="T137" s="314" t="str">
        <f t="shared" si="6"/>
        <v>#VALUE!</v>
      </c>
      <c r="U137" s="314">
        <f t="shared" si="7"/>
        <v>0</v>
      </c>
      <c r="V137" s="314" t="str">
        <f>ifs($N137="",VLOOKUP($B137&amp;$E137,'VISIT DATA'!$A$2:$J244,7,FALSE), $N137="SWAB","OUTSA-RW",$N137="SWQU","OUTSA-SaQu", AND($L137="X",$M137="X",$N137="QUEST"),"OUT-UAQPre",$N137="QUEST","OUT-UAQ", $N137="Walk in","ColUATele")</f>
        <v>UA</v>
      </c>
      <c r="W137" s="314" t="str">
        <f t="shared" si="8"/>
        <v>UA : Urine Analysis In House</v>
      </c>
      <c r="X137" s="314" t="str">
        <f t="shared" si="9"/>
        <v>#N/A</v>
      </c>
      <c r="Y137" s="314" t="str">
        <f t="shared" si="10"/>
        <v>#N/A</v>
      </c>
      <c r="Z137" s="314" t="str">
        <f t="shared" si="11"/>
        <v> </v>
      </c>
      <c r="AA137" s="316"/>
    </row>
    <row r="138">
      <c r="A138" s="314" t="str">
        <f>IFS($B138=FALSE,"",$B138,VLOOKUP($B138,'PATIENT DATA (072721)'!A:C, 2, 0))</f>
        <v>PULIDO, MARGARITA</v>
      </c>
      <c r="B138" s="314">
        <v>16348.0</v>
      </c>
      <c r="C138" s="316" t="str">
        <f>IF(COUNTIF('PATIENT DATA (072721)'!A:A, B138)=0, "X","✓")</f>
        <v>✓</v>
      </c>
      <c r="D138" s="317">
        <f>IFS($B138=FALSE,"",$B138,VLOOKUP($B138,'PATIENT DATA (072721)'!A:C, 3, 0))</f>
        <v>15288</v>
      </c>
      <c r="E138" s="318">
        <v>44567.0</v>
      </c>
      <c r="F138" s="315">
        <f>ifs($B138="","",$B138, VLOOKUP($B138&amp;$E138, 'VISIT DATA'!A:O,3,0))</f>
        <v>0.3854166667</v>
      </c>
      <c r="G138" s="314"/>
      <c r="H138" s="314" t="str">
        <f>ifs($B138="","",$B138, VLOOKUP($B138&amp;$E138, 'VISIT DATA'!$A:$O,13,0))</f>
        <v/>
      </c>
      <c r="I138" s="314" t="str">
        <f>VLOOKUP($B138&amp;$E138,'VISIT DATA'!A:J, 9, FALSE)</f>
        <v>LOPEZ</v>
      </c>
      <c r="J138" s="314" t="str">
        <f>VLOOKUP(B138&amp;E138,'VISIT DATA'!A:N,10,FALSE)</f>
        <v>HUMANA GOLD PLUS HMO</v>
      </c>
      <c r="K138" s="316"/>
      <c r="L138" s="314"/>
      <c r="M138" s="314"/>
      <c r="N138" s="316"/>
      <c r="O138" s="316" t="str">
        <f t="shared" si="1"/>
        <v>X</v>
      </c>
      <c r="P138" s="317" t="str">
        <f t="shared" si="2"/>
        <v>#VALUE!</v>
      </c>
      <c r="Q138" s="317" t="str">
        <f t="shared" si="3"/>
        <v>#VALUE!</v>
      </c>
      <c r="R138" s="319" t="str">
        <f t="shared" si="4"/>
        <v>#VALUE!</v>
      </c>
      <c r="S138" s="314" t="str">
        <f t="shared" si="5"/>
        <v>#VALUE!</v>
      </c>
      <c r="T138" s="314" t="str">
        <f t="shared" si="6"/>
        <v>#VALUE!</v>
      </c>
      <c r="U138" s="314">
        <f t="shared" si="7"/>
        <v>0</v>
      </c>
      <c r="V138" s="314" t="str">
        <f>ifs($N138="",VLOOKUP($B138&amp;$E138,'VISIT DATA'!$A$2:$J244,7,FALSE), $N138="SWAB","OUTSA-RW",$N138="SWQU","OUTSA-SaQu", AND($L138="X",$M138="X",$N138="QUEST"),"OUT-UAQPre",$N138="QUEST","OUT-UAQ", $N138="Walk in","ColUATele")</f>
        <v>UA-Prelim</v>
      </c>
      <c r="W138" s="314" t="str">
        <f t="shared" si="8"/>
        <v>UA-Prelim : Preliminary UA Test</v>
      </c>
      <c r="X138" s="314" t="str">
        <f t="shared" si="9"/>
        <v>#N/A</v>
      </c>
      <c r="Y138" s="314" t="str">
        <f t="shared" si="10"/>
        <v>#N/A</v>
      </c>
      <c r="Z138" s="314" t="str">
        <f t="shared" si="11"/>
        <v> </v>
      </c>
      <c r="AA138" s="316"/>
    </row>
    <row r="139">
      <c r="A139" s="314" t="str">
        <f>IFS($B139=FALSE,"",$B139,VLOOKUP($B139,'PATIENT DATA (072721)'!A:C, 2, 0))</f>
        <v>VILLANUEVA, CARMEN</v>
      </c>
      <c r="B139" s="314">
        <v>16792.0</v>
      </c>
      <c r="C139" s="316" t="str">
        <f>IF(COUNTIF('PATIENT DATA (072721)'!A:A, B139)=0, "X","✓")</f>
        <v>✓</v>
      </c>
      <c r="D139" s="317">
        <f>IFS($B139=FALSE,"",$B139,VLOOKUP($B139,'PATIENT DATA (072721)'!A:C, 3, 0))</f>
        <v>13375</v>
      </c>
      <c r="E139" s="318">
        <v>44567.0</v>
      </c>
      <c r="F139" s="315">
        <f>ifs($B139="","",$B139, VLOOKUP($B139&amp;$E139, 'VISIT DATA'!A:O,3,0))</f>
        <v>0.3854166667</v>
      </c>
      <c r="G139" s="314"/>
      <c r="H139" s="314" t="str">
        <f>ifs($B139="","",$B139, VLOOKUP($B139&amp;$E139, 'VISIT DATA'!$A:$O,13,0))</f>
        <v/>
      </c>
      <c r="I139" s="314" t="str">
        <f>VLOOKUP($B139&amp;$E139,'VISIT DATA'!A:J, 9, FALSE)</f>
        <v>LOPEZ</v>
      </c>
      <c r="J139" s="314" t="str">
        <f>VLOOKUP(B139&amp;E139,'VISIT DATA'!A:N,10,FALSE)</f>
        <v>WELLMED - UHC DUAL COMPLETE SNP</v>
      </c>
      <c r="K139" s="316"/>
      <c r="L139" s="314"/>
      <c r="M139" s="314"/>
      <c r="N139" s="316"/>
      <c r="O139" s="316" t="str">
        <f t="shared" si="1"/>
        <v>X</v>
      </c>
      <c r="P139" s="317" t="str">
        <f t="shared" si="2"/>
        <v>X</v>
      </c>
      <c r="Q139" s="317" t="str">
        <f t="shared" si="3"/>
        <v>#VALUE!</v>
      </c>
      <c r="R139" s="319" t="str">
        <f t="shared" si="4"/>
        <v>#VALUE!</v>
      </c>
      <c r="S139" s="314" t="str">
        <f t="shared" si="5"/>
        <v>#VALUE!</v>
      </c>
      <c r="T139" s="314" t="str">
        <f t="shared" si="6"/>
        <v>#VALUE!</v>
      </c>
      <c r="U139" s="314">
        <f t="shared" si="7"/>
        <v>1</v>
      </c>
      <c r="V139" s="314" t="str">
        <f>ifs($N139="",VLOOKUP($B139&amp;$E139,'VISIT DATA'!$A$2:$J244,7,FALSE), $N139="SWAB","OUTSA-RW",$N139="SWQU","OUTSA-SaQu", AND($L139="X",$M139="X",$N139="QUEST"),"OUT-UAQPre",$N139="QUEST","OUT-UAQ", $N139="Walk in","ColUATele")</f>
        <v>OUTUA-FURW</v>
      </c>
      <c r="W139" s="314" t="str">
        <f t="shared" si="8"/>
        <v>OUTUA-FURW : OUT UA FU Redwood</v>
      </c>
      <c r="X139" s="314" t="str">
        <f t="shared" si="9"/>
        <v>#N/A</v>
      </c>
      <c r="Y139" s="314" t="str">
        <f t="shared" si="10"/>
        <v>#N/A</v>
      </c>
      <c r="Z139" s="314" t="str">
        <f t="shared" si="11"/>
        <v> </v>
      </c>
      <c r="AA139" s="316"/>
    </row>
    <row r="140">
      <c r="A140" s="314" t="str">
        <f>IFS($B140=FALSE,"",$B140,VLOOKUP($B140,'PATIENT DATA (072721)'!A:C, 2, 0))</f>
        <v>ROMERO, JOSE</v>
      </c>
      <c r="B140" s="314">
        <v>10525.0</v>
      </c>
      <c r="C140" s="316" t="str">
        <f>IF(COUNTIF('PATIENT DATA (072721)'!A:A, B140)=0, "X","✓")</f>
        <v>✓</v>
      </c>
      <c r="D140" s="317">
        <f>IFS($B140=FALSE,"",$B140,VLOOKUP($B140,'PATIENT DATA (072721)'!A:C, 3, 0))</f>
        <v>21713</v>
      </c>
      <c r="E140" s="318">
        <v>44567.0</v>
      </c>
      <c r="F140" s="315" t="str">
        <f>ifs($B140="","",$B140, VLOOKUP($B140&amp;$E140, 'VISIT DATA'!A:O,3,0))</f>
        <v>#N/A</v>
      </c>
      <c r="G140" s="314"/>
      <c r="H140" s="314" t="str">
        <f>ifs($B140="","",$B140, VLOOKUP($B140&amp;$E140, 'VISIT DATA'!$A:$O,13,0))</f>
        <v>#N/A</v>
      </c>
      <c r="I140" s="314" t="str">
        <f>VLOOKUP($B140&amp;$E140,'VISIT DATA'!A:J, 9, FALSE)</f>
        <v>#N/A</v>
      </c>
      <c r="J140" s="314" t="str">
        <f>VLOOKUP(B140&amp;E140,'VISIT DATA'!A:N,10,FALSE)</f>
        <v>#N/A</v>
      </c>
      <c r="K140" s="316"/>
      <c r="L140" s="314"/>
      <c r="M140" s="314"/>
      <c r="N140" s="316"/>
      <c r="O140" s="316" t="str">
        <f t="shared" si="1"/>
        <v>X</v>
      </c>
      <c r="P140" s="317" t="str">
        <f t="shared" si="2"/>
        <v>#N/A</v>
      </c>
      <c r="Q140" s="317" t="str">
        <f t="shared" si="3"/>
        <v>#N/A</v>
      </c>
      <c r="R140" s="319" t="str">
        <f t="shared" si="4"/>
        <v>#N/A</v>
      </c>
      <c r="S140" s="314" t="str">
        <f t="shared" si="5"/>
        <v>#N/A</v>
      </c>
      <c r="T140" s="314" t="str">
        <f t="shared" si="6"/>
        <v>#N/A</v>
      </c>
      <c r="U140" s="314">
        <f t="shared" si="7"/>
        <v>0</v>
      </c>
      <c r="V140" s="314" t="str">
        <f>ifs($N140="",VLOOKUP($B140&amp;$E140,'VISIT DATA'!$A$2:$J244,7,FALSE), $N140="SWAB","OUTSA-RW",$N140="SWQU","OUTSA-SaQu", AND($L140="X",$M140="X",$N140="QUEST"),"OUT-UAQPre",$N140="QUEST","OUT-UAQ", $N140="Walk in","ColUATele")</f>
        <v>#N/A</v>
      </c>
      <c r="W140" s="314" t="str">
        <f t="shared" si="8"/>
        <v>#N/A</v>
      </c>
      <c r="X140" s="314" t="str">
        <f t="shared" si="9"/>
        <v>#N/A</v>
      </c>
      <c r="Y140" s="314" t="str">
        <f t="shared" si="10"/>
        <v>#N/A</v>
      </c>
      <c r="Z140" s="314" t="str">
        <f t="shared" si="11"/>
        <v> </v>
      </c>
      <c r="AA140" s="316"/>
    </row>
    <row r="141">
      <c r="A141" s="314" t="str">
        <f>IFS($B141=FALSE,"",$B141,VLOOKUP($B141,'PATIENT DATA (072721)'!A:C, 2, 0))</f>
        <v>LOPEZ-RIOS, ELIZABETH</v>
      </c>
      <c r="B141" s="314">
        <v>13447.0</v>
      </c>
      <c r="C141" s="316" t="str">
        <f>IF(COUNTIF('PATIENT DATA (072721)'!A:A, B141)=0, "X","✓")</f>
        <v>✓</v>
      </c>
      <c r="D141" s="317">
        <f>IFS($B141=FALSE,"",$B141,VLOOKUP($B141,'PATIENT DATA (072721)'!A:C, 3, 0))</f>
        <v>24516</v>
      </c>
      <c r="E141" s="318">
        <v>44567.0</v>
      </c>
      <c r="F141" s="315">
        <f>ifs($B141="","",$B141, VLOOKUP($B141&amp;$E141, 'VISIT DATA'!A:O,3,0))</f>
        <v>0.3854166667</v>
      </c>
      <c r="G141" s="314"/>
      <c r="H141" s="314" t="str">
        <f>ifs($B141="","",$B141, VLOOKUP($B141&amp;$E141, 'VISIT DATA'!$A:$O,13,0))</f>
        <v/>
      </c>
      <c r="I141" s="314" t="str">
        <f>VLOOKUP($B141&amp;$E141,'VISIT DATA'!A:J, 9, FALSE)</f>
        <v>MARTINEZ</v>
      </c>
      <c r="J141" s="314" t="str">
        <f>VLOOKUP(B141&amp;E141,'VISIT DATA'!A:N,10,FALSE)</f>
        <v>CHAMPVA</v>
      </c>
      <c r="K141" s="316"/>
      <c r="L141" s="314"/>
      <c r="M141" s="314"/>
      <c r="N141" s="316"/>
      <c r="O141" s="316" t="str">
        <f t="shared" si="1"/>
        <v>X</v>
      </c>
      <c r="P141" s="317" t="str">
        <f t="shared" si="2"/>
        <v>#VALUE!</v>
      </c>
      <c r="Q141" s="317" t="str">
        <f t="shared" si="3"/>
        <v>#VALUE!</v>
      </c>
      <c r="R141" s="319" t="str">
        <f t="shared" si="4"/>
        <v>#VALUE!</v>
      </c>
      <c r="S141" s="314" t="str">
        <f t="shared" si="5"/>
        <v>#VALUE!</v>
      </c>
      <c r="T141" s="314" t="str">
        <f t="shared" si="6"/>
        <v>#VALUE!</v>
      </c>
      <c r="U141" s="314">
        <f t="shared" si="7"/>
        <v>0</v>
      </c>
      <c r="V141" s="314" t="str">
        <f>ifs($N141="",VLOOKUP($B141&amp;$E141,'VISIT DATA'!$A$2:$J244,7,FALSE), $N141="SWAB","OUTSA-RW",$N141="SWQU","OUTSA-SaQu", AND($L141="X",$M141="X",$N141="QUEST"),"OUT-UAQPre",$N141="QUEST","OUT-UAQ", $N141="Walk in","ColUATele")</f>
        <v>UA</v>
      </c>
      <c r="W141" s="314" t="str">
        <f t="shared" si="8"/>
        <v>UA : Urine Analysis In House</v>
      </c>
      <c r="X141" s="314" t="str">
        <f t="shared" si="9"/>
        <v>#N/A</v>
      </c>
      <c r="Y141" s="314" t="str">
        <f t="shared" si="10"/>
        <v>#N/A</v>
      </c>
      <c r="Z141" s="314" t="str">
        <f t="shared" si="11"/>
        <v> </v>
      </c>
      <c r="AA141" s="316"/>
    </row>
    <row r="142">
      <c r="A142" s="314" t="str">
        <f>IFS($B142=FALSE,"",$B142,VLOOKUP($B142,'PATIENT DATA (072721)'!A:C, 2, 0))</f>
        <v>PETERSEN, SUSANA</v>
      </c>
      <c r="B142" s="314">
        <v>14821.0</v>
      </c>
      <c r="C142" s="316" t="str">
        <f>IF(COUNTIF('PATIENT DATA (072721)'!A:A, B142)=0, "X","✓")</f>
        <v>✓</v>
      </c>
      <c r="D142" s="317">
        <f>IFS($B142=FALSE,"",$B142,VLOOKUP($B142,'PATIENT DATA (072721)'!A:C, 3, 0))</f>
        <v>21380</v>
      </c>
      <c r="E142" s="318">
        <v>44567.0</v>
      </c>
      <c r="F142" s="315">
        <f>ifs($B142="","",$B142, VLOOKUP($B142&amp;$E142, 'VISIT DATA'!A:O,3,0))</f>
        <v>0.3958333333</v>
      </c>
      <c r="G142" s="314"/>
      <c r="H142" s="314" t="str">
        <f>ifs($B142="","",$B142, VLOOKUP($B142&amp;$E142, 'VISIT DATA'!$A:$O,13,0))</f>
        <v/>
      </c>
      <c r="I142" s="314" t="str">
        <f>VLOOKUP($B142&amp;$E142,'VISIT DATA'!A:J, 9, FALSE)</f>
        <v>LOPEZ</v>
      </c>
      <c r="J142" s="314" t="str">
        <f>VLOOKUP(B142&amp;E142,'VISIT DATA'!A:N,10,FALSE)</f>
        <v>AMERIVANTAGE DUAL</v>
      </c>
      <c r="K142" s="316"/>
      <c r="L142" s="314"/>
      <c r="M142" s="314"/>
      <c r="N142" s="316"/>
      <c r="O142" s="316" t="str">
        <f t="shared" si="1"/>
        <v>X</v>
      </c>
      <c r="P142" s="317" t="str">
        <f t="shared" si="2"/>
        <v>#VALUE!</v>
      </c>
      <c r="Q142" s="317" t="str">
        <f t="shared" si="3"/>
        <v>#VALUE!</v>
      </c>
      <c r="R142" s="319" t="str">
        <f t="shared" si="4"/>
        <v>#VALUE!</v>
      </c>
      <c r="S142" s="314" t="str">
        <f t="shared" si="5"/>
        <v>#VALUE!</v>
      </c>
      <c r="T142" s="314" t="str">
        <f t="shared" si="6"/>
        <v>#VALUE!</v>
      </c>
      <c r="U142" s="314">
        <f t="shared" si="7"/>
        <v>0</v>
      </c>
      <c r="V142" s="314" t="str">
        <f>ifs($N142="",VLOOKUP($B142&amp;$E142,'VISIT DATA'!$A$2:$J244,7,FALSE), $N142="SWAB","OUTSA-RW",$N142="SWQU","OUTSA-SaQu", AND($L142="X",$M142="X",$N142="QUEST"),"OUT-UAQPre",$N142="QUEST","OUT-UAQ", $N142="Walk in","ColUATele")</f>
        <v>UA-Prelim</v>
      </c>
      <c r="W142" s="314" t="str">
        <f t="shared" si="8"/>
        <v>UA-Prelim : Preliminary UA Test</v>
      </c>
      <c r="X142" s="314" t="str">
        <f t="shared" si="9"/>
        <v>#N/A</v>
      </c>
      <c r="Y142" s="314" t="str">
        <f t="shared" si="10"/>
        <v>#N/A</v>
      </c>
      <c r="Z142" s="314" t="str">
        <f t="shared" si="11"/>
        <v> </v>
      </c>
      <c r="AA142" s="316"/>
    </row>
    <row r="143">
      <c r="A143" s="314" t="str">
        <f>IFS($B143=FALSE,"",$B143,VLOOKUP($B143,'PATIENT DATA (072721)'!A:C, 2, 0))</f>
        <v>BROWN, RENEE</v>
      </c>
      <c r="B143" s="314">
        <v>10407.0</v>
      </c>
      <c r="C143" s="316" t="str">
        <f>IF(COUNTIF('PATIENT DATA (072721)'!A:A, B143)=0, "X","✓")</f>
        <v>✓</v>
      </c>
      <c r="D143" s="317">
        <f>IFS($B143=FALSE,"",$B143,VLOOKUP($B143,'PATIENT DATA (072721)'!A:C, 3, 0))</f>
        <v>21435</v>
      </c>
      <c r="E143" s="318">
        <v>44567.0</v>
      </c>
      <c r="F143" s="315">
        <f>ifs($B143="","",$B143, VLOOKUP($B143&amp;$E143, 'VISIT DATA'!A:O,3,0))</f>
        <v>0.4166666667</v>
      </c>
      <c r="G143" s="314"/>
      <c r="H143" s="314" t="str">
        <f>ifs($B143="","",$B143, VLOOKUP($B143&amp;$E143, 'VISIT DATA'!$A:$O,13,0))</f>
        <v/>
      </c>
      <c r="I143" s="314" t="str">
        <f>VLOOKUP($B143&amp;$E143,'VISIT DATA'!A:J, 9, FALSE)</f>
        <v>MARTINEZ</v>
      </c>
      <c r="J143" s="314" t="str">
        <f>VLOOKUP(B143&amp;E143,'VISIT DATA'!A:N,10,FALSE)</f>
        <v>WELLMED - UHC MEDICARE PPO</v>
      </c>
      <c r="K143" s="316"/>
      <c r="L143" s="314"/>
      <c r="M143" s="314"/>
      <c r="N143" s="316"/>
      <c r="O143" s="316" t="str">
        <f t="shared" si="1"/>
        <v>X</v>
      </c>
      <c r="P143" s="317" t="str">
        <f t="shared" si="2"/>
        <v>X</v>
      </c>
      <c r="Q143" s="317" t="str">
        <f t="shared" si="3"/>
        <v>#VALUE!</v>
      </c>
      <c r="R143" s="319" t="str">
        <f t="shared" si="4"/>
        <v>#VALUE!</v>
      </c>
      <c r="S143" s="314" t="str">
        <f t="shared" si="5"/>
        <v>#VALUE!</v>
      </c>
      <c r="T143" s="314" t="str">
        <f t="shared" si="6"/>
        <v>#VALUE!</v>
      </c>
      <c r="U143" s="314">
        <f t="shared" si="7"/>
        <v>1</v>
      </c>
      <c r="V143" s="314" t="str">
        <f>ifs($N143="",VLOOKUP($B143&amp;$E143,'VISIT DATA'!$A$2:$J244,7,FALSE), $N143="SWAB","OUTSA-RW",$N143="SWQU","OUTSA-SaQu", AND($L143="X",$M143="X",$N143="QUEST"),"OUT-UAQPre",$N143="QUEST","OUT-UAQ", $N143="Walk in","ColUATele")</f>
        <v>OUTUA-FURW</v>
      </c>
      <c r="W143" s="314" t="str">
        <f t="shared" si="8"/>
        <v>OUTUA-FURW : OUT UA FU Redwood</v>
      </c>
      <c r="X143" s="314" t="str">
        <f t="shared" si="9"/>
        <v>#N/A</v>
      </c>
      <c r="Y143" s="314" t="str">
        <f t="shared" si="10"/>
        <v>#N/A</v>
      </c>
      <c r="Z143" s="314" t="str">
        <f t="shared" si="11"/>
        <v> </v>
      </c>
      <c r="AA143" s="316"/>
    </row>
    <row r="144">
      <c r="A144" s="314" t="str">
        <f>IFS($B144=FALSE,"",$B144,VLOOKUP($B144,'PATIENT DATA (072721)'!A:C, 2, 0))</f>
        <v>ENRIQUEZ GALLARDO, OCTAVIO</v>
      </c>
      <c r="B144" s="314">
        <v>15081.0</v>
      </c>
      <c r="C144" s="316" t="str">
        <f>IF(COUNTIF('PATIENT DATA (072721)'!A:A, B144)=0, "X","✓")</f>
        <v>✓</v>
      </c>
      <c r="D144" s="317">
        <f>IFS($B144=FALSE,"",$B144,VLOOKUP($B144,'PATIENT DATA (072721)'!A:C, 3, 0))</f>
        <v>22789</v>
      </c>
      <c r="E144" s="318">
        <v>44567.0</v>
      </c>
      <c r="F144" s="315">
        <f>ifs($B144="","",$B144, VLOOKUP($B144&amp;$E144, 'VISIT DATA'!A:O,3,0))</f>
        <v>0.3958333333</v>
      </c>
      <c r="G144" s="314"/>
      <c r="H144" s="314" t="str">
        <f>ifs($B144="","",$B144, VLOOKUP($B144&amp;$E144, 'VISIT DATA'!$A:$O,13,0))</f>
        <v/>
      </c>
      <c r="I144" s="314" t="str">
        <f>VLOOKUP($B144&amp;$E144,'VISIT DATA'!A:J, 9, FALSE)</f>
        <v>MARTINEZ</v>
      </c>
      <c r="J144" s="314" t="str">
        <f>VLOOKUP(B144&amp;E144,'VISIT DATA'!A:N,10,FALSE)</f>
        <v>FRIDAY HEALTH PLAN</v>
      </c>
      <c r="K144" s="316"/>
      <c r="L144" s="314"/>
      <c r="M144" s="314"/>
      <c r="N144" s="316"/>
      <c r="O144" s="316" t="str">
        <f t="shared" si="1"/>
        <v>X</v>
      </c>
      <c r="P144" s="317" t="str">
        <f t="shared" si="2"/>
        <v>#VALUE!</v>
      </c>
      <c r="Q144" s="317" t="str">
        <f t="shared" si="3"/>
        <v>#VALUE!</v>
      </c>
      <c r="R144" s="319" t="str">
        <f t="shared" si="4"/>
        <v>#VALUE!</v>
      </c>
      <c r="S144" s="314" t="str">
        <f t="shared" si="5"/>
        <v>#VALUE!</v>
      </c>
      <c r="T144" s="314" t="str">
        <f t="shared" si="6"/>
        <v>#VALUE!</v>
      </c>
      <c r="U144" s="314">
        <f t="shared" si="7"/>
        <v>0</v>
      </c>
      <c r="V144" s="314" t="str">
        <f>ifs($N144="",VLOOKUP($B144&amp;$E144,'VISIT DATA'!$A$2:$J244,7,FALSE), $N144="SWAB","OUTSA-RW",$N144="SWQU","OUTSA-SaQu", AND($L144="X",$M144="X",$N144="QUEST"),"OUT-UAQPre",$N144="QUEST","OUT-UAQ", $N144="Walk in","ColUATele")</f>
        <v>UA</v>
      </c>
      <c r="W144" s="314" t="str">
        <f t="shared" si="8"/>
        <v>UA : Urine Analysis In House</v>
      </c>
      <c r="X144" s="314" t="str">
        <f t="shared" si="9"/>
        <v>#N/A</v>
      </c>
      <c r="Y144" s="314" t="str">
        <f t="shared" si="10"/>
        <v>#N/A</v>
      </c>
      <c r="Z144" s="314" t="str">
        <f t="shared" si="11"/>
        <v> </v>
      </c>
      <c r="AA144" s="316"/>
    </row>
    <row r="145">
      <c r="A145" s="314" t="str">
        <f>IFS($B145=FALSE,"",$B145,VLOOKUP($B145,'PATIENT DATA (072721)'!A:C, 2, 0))</f>
        <v>SANCHEZ, ROBERTO</v>
      </c>
      <c r="B145" s="314">
        <v>16046.0</v>
      </c>
      <c r="C145" s="316" t="str">
        <f>IF(COUNTIF('PATIENT DATA (072721)'!A:A, B145)=0, "X","✓")</f>
        <v>✓</v>
      </c>
      <c r="D145" s="317">
        <f>IFS($B145=FALSE,"",$B145,VLOOKUP($B145,'PATIENT DATA (072721)'!A:C, 3, 0))</f>
        <v>18837</v>
      </c>
      <c r="E145" s="318">
        <v>44567.0</v>
      </c>
      <c r="F145" s="315">
        <f>ifs($B145="","",$B145, VLOOKUP($B145&amp;$E145, 'VISIT DATA'!A:O,3,0))</f>
        <v>0.4166666667</v>
      </c>
      <c r="G145" s="314"/>
      <c r="H145" s="314" t="str">
        <f>ifs($B145="","",$B145, VLOOKUP($B145&amp;$E145, 'VISIT DATA'!$A:$O,13,0))</f>
        <v/>
      </c>
      <c r="I145" s="314" t="str">
        <f>VLOOKUP($B145&amp;$E145,'VISIT DATA'!A:J, 9, FALSE)</f>
        <v>TORRES</v>
      </c>
      <c r="J145" s="314" t="str">
        <f>VLOOKUP(B145&amp;E145,'VISIT DATA'!A:N,10,FALSE)</f>
        <v>WELLMED - CIGNA HEALTHSPRING</v>
      </c>
      <c r="K145" s="316"/>
      <c r="L145" s="314"/>
      <c r="M145" s="314"/>
      <c r="N145" s="316"/>
      <c r="O145" s="316" t="str">
        <f t="shared" si="1"/>
        <v>X</v>
      </c>
      <c r="P145" s="317" t="str">
        <f t="shared" si="2"/>
        <v>X</v>
      </c>
      <c r="Q145" s="317" t="str">
        <f t="shared" si="3"/>
        <v>#VALUE!</v>
      </c>
      <c r="R145" s="319" t="str">
        <f t="shared" si="4"/>
        <v>#VALUE!</v>
      </c>
      <c r="S145" s="314" t="str">
        <f t="shared" si="5"/>
        <v>#VALUE!</v>
      </c>
      <c r="T145" s="314" t="str">
        <f t="shared" si="6"/>
        <v>#VALUE!</v>
      </c>
      <c r="U145" s="314">
        <f t="shared" si="7"/>
        <v>1</v>
      </c>
      <c r="V145" s="314" t="str">
        <f>ifs($N145="",VLOOKUP($B145&amp;$E145,'VISIT DATA'!$A$2:$J244,7,FALSE), $N145="SWAB","OUTSA-RW",$N145="SWQU","OUTSA-SaQu", AND($L145="X",$M145="X",$N145="QUEST"),"OUT-UAQPre",$N145="QUEST","OUT-UAQ", $N145="Walk in","ColUATele")</f>
        <v>OUTUA-PrRW</v>
      </c>
      <c r="W145" s="314" t="str">
        <f t="shared" si="8"/>
        <v>OUTUA-PrRW : OUT UA Prelimin Redwood</v>
      </c>
      <c r="X145" s="314" t="str">
        <f t="shared" si="9"/>
        <v>#N/A</v>
      </c>
      <c r="Y145" s="314" t="str">
        <f t="shared" si="10"/>
        <v>#N/A</v>
      </c>
      <c r="Z145" s="314" t="str">
        <f t="shared" si="11"/>
        <v> </v>
      </c>
      <c r="AA145" s="316"/>
    </row>
    <row r="146">
      <c r="A146" s="314" t="str">
        <f>IFS($B146=FALSE,"",$B146,VLOOKUP($B146,'PATIENT DATA (072721)'!A:C, 2, 0))</f>
        <v>BROWN, REGINALD</v>
      </c>
      <c r="B146" s="314">
        <v>9854.0</v>
      </c>
      <c r="C146" s="316" t="str">
        <f>IF(COUNTIF('PATIENT DATA (072721)'!A:A, B146)=0, "X","✓")</f>
        <v>✓</v>
      </c>
      <c r="D146" s="317">
        <f>IFS($B146=FALSE,"",$B146,VLOOKUP($B146,'PATIENT DATA (072721)'!A:C, 3, 0))</f>
        <v>21614</v>
      </c>
      <c r="E146" s="318">
        <v>44567.0</v>
      </c>
      <c r="F146" s="315">
        <f>ifs($B146="","",$B146, VLOOKUP($B146&amp;$E146, 'VISIT DATA'!A:O,3,0))</f>
        <v>0.4375</v>
      </c>
      <c r="G146" s="314"/>
      <c r="H146" s="314" t="str">
        <f>ifs($B146="","",$B146, VLOOKUP($B146&amp;$E146, 'VISIT DATA'!$A:$O,13,0))</f>
        <v/>
      </c>
      <c r="I146" s="314" t="str">
        <f>VLOOKUP($B146&amp;$E146,'VISIT DATA'!A:J, 9, FALSE)</f>
        <v>TORRES</v>
      </c>
      <c r="J146" s="314" t="str">
        <f>VLOOKUP(B146&amp;E146,'VISIT DATA'!A:N,10,FALSE)</f>
        <v>MEDICARE TEXAS</v>
      </c>
      <c r="K146" s="316"/>
      <c r="L146" s="314"/>
      <c r="M146" s="314"/>
      <c r="N146" s="316"/>
      <c r="O146" s="316" t="str">
        <f t="shared" si="1"/>
        <v>X</v>
      </c>
      <c r="P146" s="317" t="str">
        <f t="shared" si="2"/>
        <v>#VALUE!</v>
      </c>
      <c r="Q146" s="317" t="str">
        <f t="shared" si="3"/>
        <v>#VALUE!</v>
      </c>
      <c r="R146" s="319" t="str">
        <f t="shared" si="4"/>
        <v>#VALUE!</v>
      </c>
      <c r="S146" s="314" t="str">
        <f t="shared" si="5"/>
        <v>#VALUE!</v>
      </c>
      <c r="T146" s="314" t="str">
        <f t="shared" si="6"/>
        <v>#VALUE!</v>
      </c>
      <c r="U146" s="314">
        <f t="shared" si="7"/>
        <v>0</v>
      </c>
      <c r="V146" s="314" t="str">
        <f>ifs($N146="",VLOOKUP($B146&amp;$E146,'VISIT DATA'!$A$2:$J244,7,FALSE), $N146="SWAB","OUTSA-RW",$N146="SWQU","OUTSA-SaQu", AND($L146="X",$M146="X",$N146="QUEST"),"OUT-UAQPre",$N146="QUEST","OUT-UAQ", $N146="Walk in","ColUATele")</f>
        <v>UA</v>
      </c>
      <c r="W146" s="314" t="str">
        <f t="shared" si="8"/>
        <v>UA : Urine Analysis In House</v>
      </c>
      <c r="X146" s="314" t="str">
        <f t="shared" si="9"/>
        <v>#N/A</v>
      </c>
      <c r="Y146" s="314" t="str">
        <f t="shared" si="10"/>
        <v>#N/A</v>
      </c>
      <c r="Z146" s="314" t="str">
        <f t="shared" si="11"/>
        <v> </v>
      </c>
      <c r="AA146" s="316"/>
    </row>
    <row r="147">
      <c r="A147" s="314" t="str">
        <f>IFS($B147=FALSE,"",$B147,VLOOKUP($B147,'PATIENT DATA (072721)'!A:C, 2, 0))</f>
        <v>CAMACHO, JUAN M</v>
      </c>
      <c r="B147" s="314">
        <v>17713.0</v>
      </c>
      <c r="C147" s="316" t="str">
        <f>IF(COUNTIF('PATIENT DATA (072721)'!A:A, B147)=0, "X","✓")</f>
        <v>✓</v>
      </c>
      <c r="D147" s="317">
        <f>IFS($B147=FALSE,"",$B147,VLOOKUP($B147,'PATIENT DATA (072721)'!A:C, 3, 0))</f>
        <v>21325</v>
      </c>
      <c r="E147" s="318">
        <v>44567.0</v>
      </c>
      <c r="F147" s="315">
        <f>ifs($B147="","",$B147, VLOOKUP($B147&amp;$E147, 'VISIT DATA'!A:O,3,0))</f>
        <v>0.4166666667</v>
      </c>
      <c r="G147" s="314"/>
      <c r="H147" s="314" t="str">
        <f>ifs($B147="","",$B147, VLOOKUP($B147&amp;$E147, 'VISIT DATA'!$A:$O,13,0))</f>
        <v/>
      </c>
      <c r="I147" s="314" t="str">
        <f>VLOOKUP($B147&amp;$E147,'VISIT DATA'!A:J, 9, FALSE)</f>
        <v>LOPEZ</v>
      </c>
      <c r="J147" s="314" t="str">
        <f>VLOOKUP(B147&amp;E147,'VISIT DATA'!A:N,10,FALSE)</f>
        <v>AETNA</v>
      </c>
      <c r="K147" s="316"/>
      <c r="L147" s="314"/>
      <c r="M147" s="314"/>
      <c r="N147" s="316"/>
      <c r="O147" s="316" t="str">
        <f t="shared" si="1"/>
        <v>X</v>
      </c>
      <c r="P147" s="317" t="str">
        <f t="shared" si="2"/>
        <v>#VALUE!</v>
      </c>
      <c r="Q147" s="317" t="str">
        <f t="shared" si="3"/>
        <v>#VALUE!</v>
      </c>
      <c r="R147" s="319" t="str">
        <f t="shared" si="4"/>
        <v>#VALUE!</v>
      </c>
      <c r="S147" s="314" t="str">
        <f t="shared" si="5"/>
        <v>#VALUE!</v>
      </c>
      <c r="T147" s="314" t="str">
        <f t="shared" si="6"/>
        <v>#VALUE!</v>
      </c>
      <c r="U147" s="314">
        <f t="shared" si="7"/>
        <v>0</v>
      </c>
      <c r="V147" s="314" t="str">
        <f>ifs($N147="",VLOOKUP($B147&amp;$E147,'VISIT DATA'!$A$2:$J244,7,FALSE), $N147="SWAB","OUTSA-RW",$N147="SWQU","OUTSA-SaQu", AND($L147="X",$M147="X",$N147="QUEST"),"OUT-UAQPre",$N147="QUEST","OUT-UAQ", $N147="Walk in","ColUATele")</f>
        <v>UA-Prelim</v>
      </c>
      <c r="W147" s="314" t="str">
        <f t="shared" si="8"/>
        <v>UA-Prelim : Preliminary UA Test</v>
      </c>
      <c r="X147" s="314" t="str">
        <f t="shared" si="9"/>
        <v>#N/A</v>
      </c>
      <c r="Y147" s="314" t="str">
        <f t="shared" si="10"/>
        <v>#N/A</v>
      </c>
      <c r="Z147" s="314" t="str">
        <f t="shared" si="11"/>
        <v> </v>
      </c>
      <c r="AA147" s="316"/>
    </row>
    <row r="148">
      <c r="A148" s="314" t="str">
        <f>IFS($B148=FALSE,"",$B148,VLOOKUP($B148,'PATIENT DATA (072721)'!A:C, 2, 0))</f>
        <v>BROWN, DESIRIE</v>
      </c>
      <c r="B148" s="314">
        <v>9853.0</v>
      </c>
      <c r="C148" s="316" t="str">
        <f>IF(COUNTIF('PATIENT DATA (072721)'!A:A, B148)=0, "X","✓")</f>
        <v>✓</v>
      </c>
      <c r="D148" s="317">
        <f>IFS($B148=FALSE,"",$B148,VLOOKUP($B148,'PATIENT DATA (072721)'!A:C, 3, 0))</f>
        <v>23125</v>
      </c>
      <c r="E148" s="318">
        <v>44567.0</v>
      </c>
      <c r="F148" s="315">
        <f>ifs($B148="","",$B148, VLOOKUP($B148&amp;$E148, 'VISIT DATA'!A:O,3,0))</f>
        <v>0.46875</v>
      </c>
      <c r="G148" s="314"/>
      <c r="H148" s="314" t="str">
        <f>ifs($B148="","",$B148, VLOOKUP($B148&amp;$E148, 'VISIT DATA'!$A:$O,13,0))</f>
        <v/>
      </c>
      <c r="I148" s="314" t="str">
        <f>VLOOKUP($B148&amp;$E148,'VISIT DATA'!A:J, 9, FALSE)</f>
        <v>LOPEZ</v>
      </c>
      <c r="J148" s="314" t="str">
        <f>VLOOKUP(B148&amp;E148,'VISIT DATA'!A:N,10,FALSE)</f>
        <v>UHC MEDICARE COMPLETE</v>
      </c>
      <c r="K148" s="316"/>
      <c r="L148" s="314"/>
      <c r="M148" s="314"/>
      <c r="N148" s="316"/>
      <c r="O148" s="316" t="str">
        <f t="shared" si="1"/>
        <v>X</v>
      </c>
      <c r="P148" s="317" t="str">
        <f t="shared" si="2"/>
        <v>#VALUE!</v>
      </c>
      <c r="Q148" s="317" t="str">
        <f t="shared" si="3"/>
        <v>#VALUE!</v>
      </c>
      <c r="R148" s="319" t="str">
        <f t="shared" si="4"/>
        <v>#VALUE!</v>
      </c>
      <c r="S148" s="314" t="str">
        <f t="shared" si="5"/>
        <v>#VALUE!</v>
      </c>
      <c r="T148" s="314" t="str">
        <f t="shared" si="6"/>
        <v>#VALUE!</v>
      </c>
      <c r="U148" s="314">
        <f t="shared" si="7"/>
        <v>0</v>
      </c>
      <c r="V148" s="314" t="str">
        <f>ifs($N148="",VLOOKUP($B148&amp;$E148,'VISIT DATA'!$A$2:$J244,7,FALSE), $N148="SWAB","OUTSA-RW",$N148="SWQU","OUTSA-SaQu", AND($L148="X",$M148="X",$N148="QUEST"),"OUT-UAQPre",$N148="QUEST","OUT-UAQ", $N148="Walk in","ColUATele")</f>
        <v>UA</v>
      </c>
      <c r="W148" s="314" t="str">
        <f t="shared" si="8"/>
        <v>UA : Urine Analysis In House</v>
      </c>
      <c r="X148" s="314" t="str">
        <f t="shared" si="9"/>
        <v>#N/A</v>
      </c>
      <c r="Y148" s="314" t="str">
        <f t="shared" si="10"/>
        <v>#N/A</v>
      </c>
      <c r="Z148" s="314" t="str">
        <f t="shared" si="11"/>
        <v> </v>
      </c>
      <c r="AA148" s="316"/>
    </row>
    <row r="149">
      <c r="A149" s="314" t="str">
        <f>IFS($B149=FALSE,"",$B149,VLOOKUP($B149,'PATIENT DATA (072721)'!A:C, 2, 0))</f>
        <v>BROWN, MARGIE</v>
      </c>
      <c r="B149" s="314">
        <v>11391.0</v>
      </c>
      <c r="C149" s="316" t="str">
        <f>IF(COUNTIF('PATIENT DATA (072721)'!A:A, B149)=0, "X","✓")</f>
        <v>✓</v>
      </c>
      <c r="D149" s="317">
        <f>IFS($B149=FALSE,"",$B149,VLOOKUP($B149,'PATIENT DATA (072721)'!A:C, 3, 0))</f>
        <v>21293</v>
      </c>
      <c r="E149" s="318">
        <v>44567.0</v>
      </c>
      <c r="F149" s="315">
        <f>ifs($B149="","",$B149, VLOOKUP($B149&amp;$E149, 'VISIT DATA'!A:O,3,0))</f>
        <v>0.4375</v>
      </c>
      <c r="G149" s="314"/>
      <c r="H149" s="314" t="str">
        <f>ifs($B149="","",$B149, VLOOKUP($B149&amp;$E149, 'VISIT DATA'!$A:$O,13,0))</f>
        <v/>
      </c>
      <c r="I149" s="314" t="str">
        <f>VLOOKUP($B149&amp;$E149,'VISIT DATA'!A:J, 9, FALSE)</f>
        <v>TORRES</v>
      </c>
      <c r="J149" s="314" t="str">
        <f>VLOOKUP(B149&amp;E149,'VISIT DATA'!A:N,10,FALSE)</f>
        <v>HUMANA MEDICARE PPO</v>
      </c>
      <c r="K149" s="316"/>
      <c r="L149" s="314"/>
      <c r="M149" s="314"/>
      <c r="N149" s="316"/>
      <c r="O149" s="316" t="str">
        <f t="shared" si="1"/>
        <v>X</v>
      </c>
      <c r="P149" s="317" t="str">
        <f t="shared" si="2"/>
        <v>#VALUE!</v>
      </c>
      <c r="Q149" s="317" t="str">
        <f t="shared" si="3"/>
        <v>#VALUE!</v>
      </c>
      <c r="R149" s="319" t="str">
        <f t="shared" si="4"/>
        <v>#VALUE!</v>
      </c>
      <c r="S149" s="314" t="str">
        <f t="shared" si="5"/>
        <v>#VALUE!</v>
      </c>
      <c r="T149" s="314" t="str">
        <f t="shared" si="6"/>
        <v>#VALUE!</v>
      </c>
      <c r="U149" s="314">
        <f t="shared" si="7"/>
        <v>0</v>
      </c>
      <c r="V149" s="314" t="str">
        <f>ifs($N149="",VLOOKUP($B149&amp;$E149,'VISIT DATA'!$A$2:$J244,7,FALSE), $N149="SWAB","OUTSA-RW",$N149="SWQU","OUTSA-SaQu", AND($L149="X",$M149="X",$N149="QUEST"),"OUT-UAQPre",$N149="QUEST","OUT-UAQ", $N149="Walk in","ColUATele")</f>
        <v>UA</v>
      </c>
      <c r="W149" s="314" t="str">
        <f t="shared" si="8"/>
        <v>UA : Urine Analysis In House</v>
      </c>
      <c r="X149" s="314" t="str">
        <f t="shared" si="9"/>
        <v>#N/A</v>
      </c>
      <c r="Y149" s="314" t="str">
        <f t="shared" si="10"/>
        <v>#N/A</v>
      </c>
      <c r="Z149" s="314" t="str">
        <f t="shared" si="11"/>
        <v> </v>
      </c>
      <c r="AA149" s="316"/>
    </row>
    <row r="150">
      <c r="A150" s="314" t="str">
        <f>IFS($B150=FALSE,"",$B150,VLOOKUP($B150,'PATIENT DATA (072721)'!A:C, 2, 0))</f>
        <v>MARTINEZ, MERCEDES</v>
      </c>
      <c r="B150" s="314">
        <v>12464.0</v>
      </c>
      <c r="C150" s="316" t="str">
        <f>IF(COUNTIF('PATIENT DATA (072721)'!A:A, B150)=0, "X","✓")</f>
        <v>✓</v>
      </c>
      <c r="D150" s="317">
        <f>IFS($B150=FALSE,"",$B150,VLOOKUP($B150,'PATIENT DATA (072721)'!A:C, 3, 0))</f>
        <v>16294</v>
      </c>
      <c r="E150" s="318">
        <v>44567.0</v>
      </c>
      <c r="F150" s="315">
        <f>ifs($B150="","",$B150, VLOOKUP($B150&amp;$E150, 'VISIT DATA'!A:O,3,0))</f>
        <v>0.4375</v>
      </c>
      <c r="G150" s="314"/>
      <c r="H150" s="314" t="str">
        <f>ifs($B150="","",$B150, VLOOKUP($B150&amp;$E150, 'VISIT DATA'!$A:$O,13,0))</f>
        <v/>
      </c>
      <c r="I150" s="314" t="str">
        <f>VLOOKUP($B150&amp;$E150,'VISIT DATA'!A:J, 9, FALSE)</f>
        <v>LOPEZ</v>
      </c>
      <c r="J150" s="314" t="str">
        <f>VLOOKUP(B150&amp;E150,'VISIT DATA'!A:N,10,FALSE)</f>
        <v>WELLMED - UHC DUAL COMPLETE SNP</v>
      </c>
      <c r="K150" s="316"/>
      <c r="L150" s="314"/>
      <c r="M150" s="314"/>
      <c r="N150" s="316"/>
      <c r="O150" s="316" t="str">
        <f t="shared" si="1"/>
        <v>X</v>
      </c>
      <c r="P150" s="317" t="str">
        <f t="shared" si="2"/>
        <v>X</v>
      </c>
      <c r="Q150" s="317" t="str">
        <f t="shared" si="3"/>
        <v>#VALUE!</v>
      </c>
      <c r="R150" s="319" t="str">
        <f t="shared" si="4"/>
        <v>#VALUE!</v>
      </c>
      <c r="S150" s="314" t="str">
        <f t="shared" si="5"/>
        <v>#VALUE!</v>
      </c>
      <c r="T150" s="314" t="str">
        <f t="shared" si="6"/>
        <v>#VALUE!</v>
      </c>
      <c r="U150" s="314">
        <f t="shared" si="7"/>
        <v>1</v>
      </c>
      <c r="V150" s="314" t="str">
        <f>ifs($N150="",VLOOKUP($B150&amp;$E150,'VISIT DATA'!$A$2:$J244,7,FALSE), $N150="SWAB","OUTSA-RW",$N150="SWQU","OUTSA-SaQu", AND($L150="X",$M150="X",$N150="QUEST"),"OUT-UAQPre",$N150="QUEST","OUT-UAQ", $N150="Walk in","ColUATele")</f>
        <v>OUTUA-FURW</v>
      </c>
      <c r="W150" s="314" t="str">
        <f t="shared" si="8"/>
        <v>OUTUA-FURW : OUT UA FU Redwood</v>
      </c>
      <c r="X150" s="314" t="str">
        <f t="shared" si="9"/>
        <v>#N/A</v>
      </c>
      <c r="Y150" s="314" t="str">
        <f t="shared" si="10"/>
        <v>#N/A</v>
      </c>
      <c r="Z150" s="314" t="str">
        <f t="shared" si="11"/>
        <v> </v>
      </c>
      <c r="AA150" s="316"/>
    </row>
    <row r="151">
      <c r="A151" s="314" t="str">
        <f>IFS($B151=FALSE,"",$B151,VLOOKUP($B151,'PATIENT DATA (072721)'!A:C, 2, 0))</f>
        <v>MATA, ROLAND</v>
      </c>
      <c r="B151" s="314">
        <v>15806.0</v>
      </c>
      <c r="C151" s="316" t="str">
        <f>IF(COUNTIF('PATIENT DATA (072721)'!A:A, B151)=0, "X","✓")</f>
        <v>✓</v>
      </c>
      <c r="D151" s="317">
        <f>IFS($B151=FALSE,"",$B151,VLOOKUP($B151,'PATIENT DATA (072721)'!A:C, 3, 0))</f>
        <v>18664</v>
      </c>
      <c r="E151" s="318">
        <v>44567.0</v>
      </c>
      <c r="F151" s="315">
        <f>ifs($B151="","",$B151, VLOOKUP($B151&amp;$E151, 'VISIT DATA'!A:O,3,0))</f>
        <v>0.4479166667</v>
      </c>
      <c r="G151" s="314"/>
      <c r="H151" s="314" t="str">
        <f>ifs($B151="","",$B151, VLOOKUP($B151&amp;$E151, 'VISIT DATA'!$A:$O,13,0))</f>
        <v/>
      </c>
      <c r="I151" s="314" t="str">
        <f>VLOOKUP($B151&amp;$E151,'VISIT DATA'!A:J, 9, FALSE)</f>
        <v>LOPEZ</v>
      </c>
      <c r="J151" s="314" t="str">
        <f>VLOOKUP(B151&amp;E151,'VISIT DATA'!A:N,10,FALSE)</f>
        <v>MEDICARE TEXAS</v>
      </c>
      <c r="K151" s="316"/>
      <c r="L151" s="314"/>
      <c r="M151" s="314"/>
      <c r="N151" s="316"/>
      <c r="O151" s="316" t="str">
        <f t="shared" si="1"/>
        <v>X</v>
      </c>
      <c r="P151" s="317" t="str">
        <f t="shared" si="2"/>
        <v>#VALUE!</v>
      </c>
      <c r="Q151" s="317" t="str">
        <f t="shared" si="3"/>
        <v>#VALUE!</v>
      </c>
      <c r="R151" s="319" t="str">
        <f t="shared" si="4"/>
        <v>#VALUE!</v>
      </c>
      <c r="S151" s="314" t="str">
        <f t="shared" si="5"/>
        <v>#VALUE!</v>
      </c>
      <c r="T151" s="314" t="str">
        <f t="shared" si="6"/>
        <v>#VALUE!</v>
      </c>
      <c r="U151" s="314">
        <f t="shared" si="7"/>
        <v>0</v>
      </c>
      <c r="V151" s="314" t="str">
        <f>ifs($N151="",VLOOKUP($B151&amp;$E151,'VISIT DATA'!$A$2:$J244,7,FALSE), $N151="SWAB","OUTSA-RW",$N151="SWQU","OUTSA-SaQu", AND($L151="X",$M151="X",$N151="QUEST"),"OUT-UAQPre",$N151="QUEST","OUT-UAQ", $N151="Walk in","ColUATele")</f>
        <v>UA-Prelim</v>
      </c>
      <c r="W151" s="314" t="str">
        <f t="shared" si="8"/>
        <v>UA-Prelim : Preliminary UA Test</v>
      </c>
      <c r="X151" s="314" t="str">
        <f t="shared" si="9"/>
        <v>#N/A</v>
      </c>
      <c r="Y151" s="314" t="str">
        <f t="shared" si="10"/>
        <v>#N/A</v>
      </c>
      <c r="Z151" s="314" t="str">
        <f t="shared" si="11"/>
        <v> </v>
      </c>
      <c r="AA151" s="316"/>
    </row>
    <row r="152">
      <c r="A152" s="314" t="str">
        <f>IFS($B152=FALSE,"",$B152,VLOOKUP($B152,'PATIENT DATA (072721)'!A:C, 2, 0))</f>
        <v>GUZMAN, ISIDRA G</v>
      </c>
      <c r="B152" s="314">
        <v>17350.0</v>
      </c>
      <c r="C152" s="316" t="str">
        <f>IF(COUNTIF('PATIENT DATA (072721)'!A:A, B152)=0, "X","✓")</f>
        <v>✓</v>
      </c>
      <c r="D152" s="317">
        <f>IFS($B152=FALSE,"",$B152,VLOOKUP($B152,'PATIENT DATA (072721)'!A:C, 3, 0))</f>
        <v>14746</v>
      </c>
      <c r="E152" s="318">
        <v>44567.0</v>
      </c>
      <c r="F152" s="315">
        <f>ifs($B152="","",$B152, VLOOKUP($B152&amp;$E152, 'VISIT DATA'!A:O,3,0))</f>
        <v>0.4270833333</v>
      </c>
      <c r="G152" s="314"/>
      <c r="H152" s="314" t="str">
        <f>ifs($B152="","",$B152, VLOOKUP($B152&amp;$E152, 'VISIT DATA'!$A:$O,13,0))</f>
        <v/>
      </c>
      <c r="I152" s="314" t="str">
        <f>VLOOKUP($B152&amp;$E152,'VISIT DATA'!A:J, 9, FALSE)</f>
        <v>LOPEZ</v>
      </c>
      <c r="J152" s="314" t="str">
        <f>VLOOKUP(B152&amp;E152,'VISIT DATA'!A:N,10,FALSE)</f>
        <v>WELLMED - UHC CHRONIC COMPLETE HMO C-SNP</v>
      </c>
      <c r="K152" s="316"/>
      <c r="L152" s="314"/>
      <c r="M152" s="314"/>
      <c r="N152" s="316"/>
      <c r="O152" s="316" t="str">
        <f t="shared" si="1"/>
        <v>X</v>
      </c>
      <c r="P152" s="317" t="str">
        <f t="shared" si="2"/>
        <v>X</v>
      </c>
      <c r="Q152" s="317" t="str">
        <f t="shared" si="3"/>
        <v>#VALUE!</v>
      </c>
      <c r="R152" s="319" t="str">
        <f t="shared" si="4"/>
        <v>#VALUE!</v>
      </c>
      <c r="S152" s="314" t="str">
        <f t="shared" si="5"/>
        <v>#VALUE!</v>
      </c>
      <c r="T152" s="314" t="str">
        <f t="shared" si="6"/>
        <v>#VALUE!</v>
      </c>
      <c r="U152" s="314">
        <f t="shared" si="7"/>
        <v>1</v>
      </c>
      <c r="V152" s="314" t="str">
        <f>ifs($N152="",VLOOKUP($B152&amp;$E152,'VISIT DATA'!$A$2:$J244,7,FALSE), $N152="SWAB","OUTSA-RW",$N152="SWQU","OUTSA-SaQu", AND($L152="X",$M152="X",$N152="QUEST"),"OUT-UAQPre",$N152="QUEST","OUT-UAQ", $N152="Walk in","ColUATele")</f>
        <v>OUTUA-PrRW</v>
      </c>
      <c r="W152" s="314" t="str">
        <f t="shared" si="8"/>
        <v>OUTUA-PrRW : OUT UA Prelimin Redwood</v>
      </c>
      <c r="X152" s="314" t="str">
        <f t="shared" si="9"/>
        <v>#N/A</v>
      </c>
      <c r="Y152" s="314" t="str">
        <f t="shared" si="10"/>
        <v>#N/A</v>
      </c>
      <c r="Z152" s="314" t="str">
        <f t="shared" si="11"/>
        <v> </v>
      </c>
      <c r="AA152" s="316"/>
    </row>
    <row r="153">
      <c r="A153" s="314" t="str">
        <f>IFS($B153=FALSE,"",$B153,VLOOKUP($B153,'PATIENT DATA (072721)'!A:C, 2, 0))</f>
        <v>MENDEZ, JUAN</v>
      </c>
      <c r="B153" s="314">
        <v>17017.0</v>
      </c>
      <c r="C153" s="316" t="str">
        <f>IF(COUNTIF('PATIENT DATA (072721)'!A:A, B153)=0, "X","✓")</f>
        <v>✓</v>
      </c>
      <c r="D153" s="317">
        <f>IFS($B153=FALSE,"",$B153,VLOOKUP($B153,'PATIENT DATA (072721)'!A:C, 3, 0))</f>
        <v>29428</v>
      </c>
      <c r="E153" s="318">
        <v>44567.0</v>
      </c>
      <c r="F153" s="315">
        <f>ifs($B153="","",$B153, VLOOKUP($B153&amp;$E153, 'VISIT DATA'!A:O,3,0))</f>
        <v>0.4479166667</v>
      </c>
      <c r="G153" s="314"/>
      <c r="H153" s="314" t="str">
        <f>ifs($B153="","",$B153, VLOOKUP($B153&amp;$E153, 'VISIT DATA'!$A:$O,13,0))</f>
        <v/>
      </c>
      <c r="I153" s="314" t="str">
        <f>VLOOKUP($B153&amp;$E153,'VISIT DATA'!A:J, 9, FALSE)</f>
        <v>LOPEZ</v>
      </c>
      <c r="J153" s="314" t="str">
        <f>VLOOKUP(B153&amp;E153,'VISIT DATA'!A:N,10,FALSE)</f>
        <v>AETNA</v>
      </c>
      <c r="K153" s="316"/>
      <c r="L153" s="314"/>
      <c r="M153" s="314"/>
      <c r="N153" s="316"/>
      <c r="O153" s="316" t="str">
        <f t="shared" si="1"/>
        <v>X</v>
      </c>
      <c r="P153" s="317" t="str">
        <f t="shared" si="2"/>
        <v>#VALUE!</v>
      </c>
      <c r="Q153" s="317" t="str">
        <f t="shared" si="3"/>
        <v>#VALUE!</v>
      </c>
      <c r="R153" s="319" t="str">
        <f t="shared" si="4"/>
        <v>#VALUE!</v>
      </c>
      <c r="S153" s="314" t="str">
        <f t="shared" si="5"/>
        <v>#VALUE!</v>
      </c>
      <c r="T153" s="314" t="str">
        <f t="shared" si="6"/>
        <v>#VALUE!</v>
      </c>
      <c r="U153" s="314">
        <f t="shared" si="7"/>
        <v>0</v>
      </c>
      <c r="V153" s="314" t="str">
        <f>ifs($N153="",VLOOKUP($B153&amp;$E153,'VISIT DATA'!$A$2:$J244,7,FALSE), $N153="SWAB","OUTSA-RW",$N153="SWQU","OUTSA-SaQu", AND($L153="X",$M153="X",$N153="QUEST"),"OUT-UAQPre",$N153="QUEST","OUT-UAQ", $N153="Walk in","ColUATele")</f>
        <v>UA</v>
      </c>
      <c r="W153" s="314" t="str">
        <f t="shared" si="8"/>
        <v>UA : Urine Analysis In House</v>
      </c>
      <c r="X153" s="314" t="str">
        <f t="shared" si="9"/>
        <v>#N/A</v>
      </c>
      <c r="Y153" s="314" t="str">
        <f t="shared" si="10"/>
        <v>#N/A</v>
      </c>
      <c r="Z153" s="314" t="str">
        <f t="shared" si="11"/>
        <v> </v>
      </c>
      <c r="AA153" s="316"/>
    </row>
    <row r="154">
      <c r="A154" s="314" t="str">
        <f>IFS($B154=FALSE,"",$B154,VLOOKUP($B154,'PATIENT DATA (072721)'!A:C, 2, 0))</f>
        <v>HOLGUIN, ROSA E</v>
      </c>
      <c r="B154" s="314">
        <v>16758.0</v>
      </c>
      <c r="C154" s="316" t="str">
        <f>IF(COUNTIF('PATIENT DATA (072721)'!A:A, B154)=0, "X","✓")</f>
        <v>✓</v>
      </c>
      <c r="D154" s="317">
        <f>IFS($B154=FALSE,"",$B154,VLOOKUP($B154,'PATIENT DATA (072721)'!A:C, 3, 0))</f>
        <v>19768</v>
      </c>
      <c r="E154" s="318">
        <v>44567.0</v>
      </c>
      <c r="F154" s="315">
        <f>ifs($B154="","",$B154, VLOOKUP($B154&amp;$E154, 'VISIT DATA'!A:O,3,0))</f>
        <v>0.46875</v>
      </c>
      <c r="G154" s="314"/>
      <c r="H154" s="314" t="str">
        <f>ifs($B154="","",$B154, VLOOKUP($B154&amp;$E154, 'VISIT DATA'!$A:$O,13,0))</f>
        <v/>
      </c>
      <c r="I154" s="314" t="str">
        <f>VLOOKUP($B154&amp;$E154,'VISIT DATA'!A:J, 9, FALSE)</f>
        <v>LOPEZ</v>
      </c>
      <c r="J154" s="314" t="str">
        <f>VLOOKUP(B154&amp;E154,'VISIT DATA'!A:N,10,FALSE)</f>
        <v>WELLMED - HUMANA</v>
      </c>
      <c r="K154" s="316"/>
      <c r="L154" s="314"/>
      <c r="M154" s="314"/>
      <c r="N154" s="316"/>
      <c r="O154" s="316" t="str">
        <f t="shared" si="1"/>
        <v>X</v>
      </c>
      <c r="P154" s="317" t="str">
        <f t="shared" si="2"/>
        <v>X</v>
      </c>
      <c r="Q154" s="317" t="str">
        <f t="shared" si="3"/>
        <v>#VALUE!</v>
      </c>
      <c r="R154" s="319" t="str">
        <f t="shared" si="4"/>
        <v>#VALUE!</v>
      </c>
      <c r="S154" s="314" t="str">
        <f t="shared" si="5"/>
        <v>#VALUE!</v>
      </c>
      <c r="T154" s="314" t="str">
        <f t="shared" si="6"/>
        <v>#VALUE!</v>
      </c>
      <c r="U154" s="314">
        <f t="shared" si="7"/>
        <v>1</v>
      </c>
      <c r="V154" s="314" t="str">
        <f>ifs($N154="",VLOOKUP($B154&amp;$E154,'VISIT DATA'!$A$2:$J244,7,FALSE), $N154="SWAB","OUTSA-RW",$N154="SWQU","OUTSA-SaQu", AND($L154="X",$M154="X",$N154="QUEST"),"OUT-UAQPre",$N154="QUEST","OUT-UAQ", $N154="Walk in","ColUATele")</f>
        <v>OUTUA-FURW</v>
      </c>
      <c r="W154" s="314" t="str">
        <f t="shared" si="8"/>
        <v>OUTUA-FURW : OUT UA FU Redwood</v>
      </c>
      <c r="X154" s="314" t="str">
        <f t="shared" si="9"/>
        <v>#N/A</v>
      </c>
      <c r="Y154" s="314" t="str">
        <f t="shared" si="10"/>
        <v>#N/A</v>
      </c>
      <c r="Z154" s="314" t="str">
        <f t="shared" si="11"/>
        <v> </v>
      </c>
      <c r="AA154" s="316"/>
    </row>
    <row r="155">
      <c r="A155" s="314" t="str">
        <f>IFS($B155=FALSE,"",$B155,VLOOKUP($B155,'PATIENT DATA (072721)'!A:C, 2, 0))</f>
        <v>MCDANIEL, BETTY F</v>
      </c>
      <c r="B155" s="314">
        <v>14085.0</v>
      </c>
      <c r="C155" s="316" t="str">
        <f>IF(COUNTIF('PATIENT DATA (072721)'!A:A, B155)=0, "X","✓")</f>
        <v>✓</v>
      </c>
      <c r="D155" s="317">
        <f>IFS($B155=FALSE,"",$B155,VLOOKUP($B155,'PATIENT DATA (072721)'!A:C, 3, 0))</f>
        <v>15888</v>
      </c>
      <c r="E155" s="318">
        <v>44567.0</v>
      </c>
      <c r="F155" s="315">
        <f>ifs($B155="","",$B155, VLOOKUP($B155&amp;$E155, 'VISIT DATA'!A:O,3,0))</f>
        <v>0.4583333333</v>
      </c>
      <c r="G155" s="314"/>
      <c r="H155" s="314" t="str">
        <f>ifs($B155="","",$B155, VLOOKUP($B155&amp;$E155, 'VISIT DATA'!$A:$O,13,0))</f>
        <v/>
      </c>
      <c r="I155" s="314" t="str">
        <f>VLOOKUP($B155&amp;$E155,'VISIT DATA'!A:J, 9, FALSE)</f>
        <v>TORRES</v>
      </c>
      <c r="J155" s="314" t="str">
        <f>VLOOKUP(B155&amp;E155,'VISIT DATA'!A:N,10,FALSE)</f>
        <v>AMERIVANTAGE</v>
      </c>
      <c r="K155" s="316"/>
      <c r="L155" s="314"/>
      <c r="M155" s="314"/>
      <c r="N155" s="316"/>
      <c r="O155" s="316" t="str">
        <f t="shared" si="1"/>
        <v>X</v>
      </c>
      <c r="P155" s="317" t="str">
        <f t="shared" si="2"/>
        <v>#VALUE!</v>
      </c>
      <c r="Q155" s="317" t="str">
        <f t="shared" si="3"/>
        <v>#VALUE!</v>
      </c>
      <c r="R155" s="319" t="str">
        <f t="shared" si="4"/>
        <v>#VALUE!</v>
      </c>
      <c r="S155" s="314" t="str">
        <f t="shared" si="5"/>
        <v>#VALUE!</v>
      </c>
      <c r="T155" s="314" t="str">
        <f t="shared" si="6"/>
        <v>#VALUE!</v>
      </c>
      <c r="U155" s="314">
        <f t="shared" si="7"/>
        <v>0</v>
      </c>
      <c r="V155" s="314" t="str">
        <f>ifs($N155="",VLOOKUP($B155&amp;$E155,'VISIT DATA'!$A$2:$J244,7,FALSE), $N155="SWAB","OUTSA-RW",$N155="SWQU","OUTSA-SaQu", AND($L155="X",$M155="X",$N155="QUEST"),"OUT-UAQPre",$N155="QUEST","OUT-UAQ", $N155="Walk in","ColUATele")</f>
        <v>UA</v>
      </c>
      <c r="W155" s="314" t="str">
        <f t="shared" si="8"/>
        <v>UA : Urine Analysis In House</v>
      </c>
      <c r="X155" s="314" t="str">
        <f t="shared" si="9"/>
        <v>#N/A</v>
      </c>
      <c r="Y155" s="314" t="str">
        <f t="shared" si="10"/>
        <v>#N/A</v>
      </c>
      <c r="Z155" s="314" t="str">
        <f t="shared" si="11"/>
        <v> </v>
      </c>
      <c r="AA155" s="316"/>
    </row>
    <row r="156">
      <c r="A156" s="314" t="str">
        <f>IFS($B156=FALSE,"",$B156,VLOOKUP($B156,'PATIENT DATA (072721)'!A:C, 2, 0))</f>
        <v>HOLGUIN, NORMA</v>
      </c>
      <c r="B156" s="314">
        <v>10185.0</v>
      </c>
      <c r="C156" s="316" t="str">
        <f>IF(COUNTIF('PATIENT DATA (072721)'!A:A, B156)=0, "X","✓")</f>
        <v>✓</v>
      </c>
      <c r="D156" s="317">
        <f>IFS($B156=FALSE,"",$B156,VLOOKUP($B156,'PATIENT DATA (072721)'!A:C, 3, 0))</f>
        <v>24575</v>
      </c>
      <c r="E156" s="318">
        <v>44567.0</v>
      </c>
      <c r="F156" s="315" t="str">
        <f>ifs($B156="","",$B156, VLOOKUP($B156&amp;$E156, 'VISIT DATA'!A:O,3,0))</f>
        <v>#N/A</v>
      </c>
      <c r="G156" s="314"/>
      <c r="H156" s="314" t="str">
        <f>ifs($B156="","",$B156, VLOOKUP($B156&amp;$E156, 'VISIT DATA'!$A:$O,13,0))</f>
        <v>#N/A</v>
      </c>
      <c r="I156" s="314" t="str">
        <f>VLOOKUP($B156&amp;$E156,'VISIT DATA'!A:J, 9, FALSE)</f>
        <v>#N/A</v>
      </c>
      <c r="J156" s="314" t="str">
        <f>VLOOKUP(B156&amp;E156,'VISIT DATA'!A:N,10,FALSE)</f>
        <v>#N/A</v>
      </c>
      <c r="K156" s="316"/>
      <c r="L156" s="314"/>
      <c r="M156" s="314"/>
      <c r="N156" s="316"/>
      <c r="O156" s="316" t="str">
        <f t="shared" si="1"/>
        <v>X</v>
      </c>
      <c r="P156" s="317" t="str">
        <f t="shared" si="2"/>
        <v>#N/A</v>
      </c>
      <c r="Q156" s="317" t="str">
        <f t="shared" si="3"/>
        <v>#N/A</v>
      </c>
      <c r="R156" s="319" t="str">
        <f t="shared" si="4"/>
        <v>#N/A</v>
      </c>
      <c r="S156" s="314" t="str">
        <f t="shared" si="5"/>
        <v>#N/A</v>
      </c>
      <c r="T156" s="314" t="str">
        <f t="shared" si="6"/>
        <v>#N/A</v>
      </c>
      <c r="U156" s="314">
        <f t="shared" si="7"/>
        <v>0</v>
      </c>
      <c r="V156" s="314" t="str">
        <f>ifs($N156="",VLOOKUP($B156&amp;$E156,'VISIT DATA'!$A$2:$J244,7,FALSE), $N156="SWAB","OUTSA-RW",$N156="SWQU","OUTSA-SaQu", AND($L156="X",$M156="X",$N156="QUEST"),"OUT-UAQPre",$N156="QUEST","OUT-UAQ", $N156="Walk in","ColUATele")</f>
        <v>#N/A</v>
      </c>
      <c r="W156" s="314" t="str">
        <f t="shared" si="8"/>
        <v>#N/A</v>
      </c>
      <c r="X156" s="314" t="str">
        <f t="shared" si="9"/>
        <v>#N/A</v>
      </c>
      <c r="Y156" s="314" t="str">
        <f t="shared" si="10"/>
        <v>#N/A</v>
      </c>
      <c r="Z156" s="314" t="str">
        <f t="shared" si="11"/>
        <v> </v>
      </c>
      <c r="AA156" s="316"/>
    </row>
    <row r="157">
      <c r="A157" s="314" t="str">
        <f>IFS($B157=FALSE,"",$B157,VLOOKUP($B157,'PATIENT DATA (072721)'!A:C, 2, 0))</f>
        <v>OCHOA, ELVIA N</v>
      </c>
      <c r="B157" s="314">
        <v>12778.0</v>
      </c>
      <c r="C157" s="316" t="str">
        <f>IF(COUNTIF('PATIENT DATA (072721)'!A:A, B157)=0, "X","✓")</f>
        <v>✓</v>
      </c>
      <c r="D157" s="317">
        <f>IFS($B157=FALSE,"",$B157,VLOOKUP($B157,'PATIENT DATA (072721)'!A:C, 3, 0))</f>
        <v>24069</v>
      </c>
      <c r="E157" s="318">
        <v>44567.0</v>
      </c>
      <c r="F157" s="315">
        <f>ifs($B157="","",$B157, VLOOKUP($B157&amp;$E157, 'VISIT DATA'!A:O,3,0))</f>
        <v>0.4895833333</v>
      </c>
      <c r="G157" s="314"/>
      <c r="H157" s="314" t="str">
        <f>ifs($B157="","",$B157, VLOOKUP($B157&amp;$E157, 'VISIT DATA'!$A:$O,13,0))</f>
        <v/>
      </c>
      <c r="I157" s="314" t="str">
        <f>VLOOKUP($B157&amp;$E157,'VISIT DATA'!A:J, 9, FALSE)</f>
        <v>LOPEZ</v>
      </c>
      <c r="J157" s="314" t="str">
        <f>VLOOKUP(B157&amp;E157,'VISIT DATA'!A:N,10,FALSE)</f>
        <v>WELLMED - UHC DUAL COMPLETE SNP</v>
      </c>
      <c r="K157" s="316"/>
      <c r="L157" s="314"/>
      <c r="M157" s="314"/>
      <c r="N157" s="316"/>
      <c r="O157" s="316" t="str">
        <f t="shared" si="1"/>
        <v>X</v>
      </c>
      <c r="P157" s="317" t="str">
        <f t="shared" si="2"/>
        <v>X</v>
      </c>
      <c r="Q157" s="317" t="str">
        <f t="shared" si="3"/>
        <v>#VALUE!</v>
      </c>
      <c r="R157" s="319" t="str">
        <f t="shared" si="4"/>
        <v>#VALUE!</v>
      </c>
      <c r="S157" s="314" t="str">
        <f t="shared" si="5"/>
        <v>#VALUE!</v>
      </c>
      <c r="T157" s="314" t="str">
        <f t="shared" si="6"/>
        <v>#VALUE!</v>
      </c>
      <c r="U157" s="314">
        <f t="shared" si="7"/>
        <v>1</v>
      </c>
      <c r="V157" s="314" t="str">
        <f>ifs($N157="",VLOOKUP($B157&amp;$E157,'VISIT DATA'!$A$2:$J244,7,FALSE), $N157="SWAB","OUTSA-RW",$N157="SWQU","OUTSA-SaQu", AND($L157="X",$M157="X",$N157="QUEST"),"OUT-UAQPre",$N157="QUEST","OUT-UAQ", $N157="Walk in","ColUATele")</f>
        <v>OUTUA-PrRW</v>
      </c>
      <c r="W157" s="314" t="str">
        <f t="shared" si="8"/>
        <v>OUTUA-PrRW : OUT UA Prelimin Redwood</v>
      </c>
      <c r="X157" s="314" t="str">
        <f t="shared" si="9"/>
        <v>#N/A</v>
      </c>
      <c r="Y157" s="314" t="str">
        <f t="shared" si="10"/>
        <v>#N/A</v>
      </c>
      <c r="Z157" s="314" t="str">
        <f t="shared" si="11"/>
        <v> </v>
      </c>
      <c r="AA157" s="316"/>
    </row>
    <row r="158">
      <c r="A158" s="314" t="str">
        <f>IFS($B158=FALSE,"",$B158,VLOOKUP($B158,'PATIENT DATA (072721)'!A:C, 2, 0))</f>
        <v>BORDEN-ZACOUR, KRISTI</v>
      </c>
      <c r="B158" s="314">
        <v>13950.0</v>
      </c>
      <c r="C158" s="316" t="str">
        <f>IF(COUNTIF('PATIENT DATA (072721)'!A:A, B158)=0, "X","✓")</f>
        <v>✓</v>
      </c>
      <c r="D158" s="317">
        <f>IFS($B158=FALSE,"",$B158,VLOOKUP($B158,'PATIENT DATA (072721)'!A:C, 3, 0))</f>
        <v>21926</v>
      </c>
      <c r="E158" s="318">
        <v>44567.0</v>
      </c>
      <c r="F158" s="315">
        <f>ifs($B158="","",$B158, VLOOKUP($B158&amp;$E158, 'VISIT DATA'!A:O,3,0))</f>
        <v>0.5520833333</v>
      </c>
      <c r="G158" s="314"/>
      <c r="H158" s="314" t="str">
        <f>ifs($B158="","",$B158, VLOOKUP($B158&amp;$E158, 'VISIT DATA'!$A:$O,13,0))</f>
        <v/>
      </c>
      <c r="I158" s="314" t="str">
        <f>VLOOKUP($B158&amp;$E158,'VISIT DATA'!A:J, 9, FALSE)</f>
        <v>LOPEZ</v>
      </c>
      <c r="J158" s="314" t="str">
        <f>VLOOKUP(B158&amp;E158,'VISIT DATA'!A:N,10,FALSE)</f>
        <v>MOLINA MARKETPLACE TEXAS</v>
      </c>
      <c r="K158" s="316"/>
      <c r="L158" s="314"/>
      <c r="M158" s="314"/>
      <c r="N158" s="316"/>
      <c r="O158" s="316" t="str">
        <f t="shared" si="1"/>
        <v>X</v>
      </c>
      <c r="P158" s="317" t="str">
        <f t="shared" si="2"/>
        <v>#VALUE!</v>
      </c>
      <c r="Q158" s="317" t="str">
        <f t="shared" si="3"/>
        <v>X</v>
      </c>
      <c r="R158" s="319" t="str">
        <f t="shared" si="4"/>
        <v>#VALUE!</v>
      </c>
      <c r="S158" s="314" t="str">
        <f t="shared" si="5"/>
        <v>#VALUE!</v>
      </c>
      <c r="T158" s="314" t="str">
        <f t="shared" si="6"/>
        <v>#VALUE!</v>
      </c>
      <c r="U158" s="314">
        <f t="shared" si="7"/>
        <v>1</v>
      </c>
      <c r="V158" s="314" t="str">
        <f>ifs($N158="",VLOOKUP($B158&amp;$E158,'VISIT DATA'!$A$2:$J244,7,FALSE), $N158="SWAB","OUTSA-RW",$N158="SWQU","OUTSA-SaQu", AND($L158="X",$M158="X",$N158="QUEST"),"OUT-UAQPre",$N158="QUEST","OUT-UAQ", $N158="Walk in","ColUATele")</f>
        <v>OUTUA-FURW</v>
      </c>
      <c r="W158" s="314" t="str">
        <f t="shared" si="8"/>
        <v>OUTUA-FURW : OUT UA FU Redwood</v>
      </c>
      <c r="X158" s="314" t="str">
        <f t="shared" si="9"/>
        <v>#N/A</v>
      </c>
      <c r="Y158" s="314" t="str">
        <f t="shared" si="10"/>
        <v>#N/A</v>
      </c>
      <c r="Z158" s="314" t="str">
        <f t="shared" si="11"/>
        <v> </v>
      </c>
      <c r="AA158" s="316"/>
    </row>
    <row r="159">
      <c r="A159" s="314" t="str">
        <f>IFS($B159=FALSE,"",$B159,VLOOKUP($B159,'PATIENT DATA (072721)'!A:C, 2, 0))</f>
        <v>MACIEL, JUAN</v>
      </c>
      <c r="B159" s="314">
        <v>10399.0</v>
      </c>
      <c r="C159" s="316" t="str">
        <f>IF(COUNTIF('PATIENT DATA (072721)'!A:A, B159)=0, "X","✓")</f>
        <v>✓</v>
      </c>
      <c r="D159" s="317">
        <f>IFS($B159=FALSE,"",$B159,VLOOKUP($B159,'PATIENT DATA (072721)'!A:C, 3, 0))</f>
        <v>29259</v>
      </c>
      <c r="E159" s="318">
        <v>44567.0</v>
      </c>
      <c r="F159" s="315">
        <f>ifs($B159="","",$B159, VLOOKUP($B159&amp;$E159, 'VISIT DATA'!A:O,3,0))</f>
        <v>0.5416666667</v>
      </c>
      <c r="G159" s="314"/>
      <c r="H159" s="314" t="str">
        <f>ifs($B159="","",$B159, VLOOKUP($B159&amp;$E159, 'VISIT DATA'!$A:$O,13,0))</f>
        <v/>
      </c>
      <c r="I159" s="314" t="str">
        <f>VLOOKUP($B159&amp;$E159,'VISIT DATA'!A:J, 9, FALSE)</f>
        <v>TORRES</v>
      </c>
      <c r="J159" s="314" t="str">
        <f>VLOOKUP(B159&amp;E159,'VISIT DATA'!A:N,10,FALSE)</f>
        <v>WPS VA - COMMUNITY CARE</v>
      </c>
      <c r="K159" s="316"/>
      <c r="L159" s="314"/>
      <c r="M159" s="314"/>
      <c r="N159" s="316"/>
      <c r="O159" s="316" t="str">
        <f t="shared" si="1"/>
        <v>X</v>
      </c>
      <c r="P159" s="317" t="str">
        <f t="shared" si="2"/>
        <v>#VALUE!</v>
      </c>
      <c r="Q159" s="317" t="str">
        <f t="shared" si="3"/>
        <v>#VALUE!</v>
      </c>
      <c r="R159" s="319" t="str">
        <f t="shared" si="4"/>
        <v>#VALUE!</v>
      </c>
      <c r="S159" s="314" t="str">
        <f t="shared" si="5"/>
        <v>#VALUE!</v>
      </c>
      <c r="T159" s="314" t="str">
        <f t="shared" si="6"/>
        <v>#VALUE!</v>
      </c>
      <c r="U159" s="314">
        <f t="shared" si="7"/>
        <v>0</v>
      </c>
      <c r="V159" s="314" t="str">
        <f>ifs($N159="",VLOOKUP($B159&amp;$E159,'VISIT DATA'!$A$2:$J244,7,FALSE), $N159="SWAB","OUTSA-RW",$N159="SWQU","OUTSA-SaQu", AND($L159="X",$M159="X",$N159="QUEST"),"OUT-UAQPre",$N159="QUEST","OUT-UAQ", $N159="Walk in","ColUATele")</f>
        <v>UA</v>
      </c>
      <c r="W159" s="314" t="str">
        <f t="shared" si="8"/>
        <v>UA : Urine Analysis In House</v>
      </c>
      <c r="X159" s="314" t="str">
        <f t="shared" si="9"/>
        <v>#N/A</v>
      </c>
      <c r="Y159" s="314" t="str">
        <f t="shared" si="10"/>
        <v>#N/A</v>
      </c>
      <c r="Z159" s="314" t="str">
        <f t="shared" si="11"/>
        <v> </v>
      </c>
      <c r="AA159" s="316"/>
    </row>
    <row r="160">
      <c r="A160" s="314" t="str">
        <f>IFS($B160=FALSE,"",$B160,VLOOKUP($B160,'PATIENT DATA (072721)'!A:C, 2, 0))</f>
        <v>OLIVER, TIFFANY G</v>
      </c>
      <c r="B160" s="314">
        <v>14729.0</v>
      </c>
      <c r="C160" s="316" t="str">
        <f>IF(COUNTIF('PATIENT DATA (072721)'!A:A, B160)=0, "X","✓")</f>
        <v>✓</v>
      </c>
      <c r="D160" s="317">
        <f>IFS($B160=FALSE,"",$B160,VLOOKUP($B160,'PATIENT DATA (072721)'!A:C, 3, 0))</f>
        <v>30461</v>
      </c>
      <c r="E160" s="318">
        <v>44567.0</v>
      </c>
      <c r="F160" s="315">
        <f>ifs($B160="","",$B160, VLOOKUP($B160&amp;$E160, 'VISIT DATA'!A:O,3,0))</f>
        <v>0.5729166667</v>
      </c>
      <c r="G160" s="314"/>
      <c r="H160" s="314" t="str">
        <f>ifs($B160="","",$B160, VLOOKUP($B160&amp;$E160, 'VISIT DATA'!$A:$O,13,0))</f>
        <v/>
      </c>
      <c r="I160" s="314" t="str">
        <f>VLOOKUP($B160&amp;$E160,'VISIT DATA'!A:J, 9, FALSE)</f>
        <v>TORRES</v>
      </c>
      <c r="J160" s="314" t="str">
        <f>VLOOKUP(B160&amp;E160,'VISIT DATA'!A:N,10,FALSE)</f>
        <v>TRICARE PRIME</v>
      </c>
      <c r="K160" s="316"/>
      <c r="L160" s="314"/>
      <c r="M160" s="314"/>
      <c r="N160" s="316"/>
      <c r="O160" s="316" t="str">
        <f t="shared" si="1"/>
        <v>X</v>
      </c>
      <c r="P160" s="317" t="str">
        <f t="shared" si="2"/>
        <v>#VALUE!</v>
      </c>
      <c r="Q160" s="317" t="str">
        <f t="shared" si="3"/>
        <v>#VALUE!</v>
      </c>
      <c r="R160" s="319" t="str">
        <f t="shared" si="4"/>
        <v>#VALUE!</v>
      </c>
      <c r="S160" s="314" t="str">
        <f t="shared" si="5"/>
        <v>#VALUE!</v>
      </c>
      <c r="T160" s="314" t="str">
        <f t="shared" si="6"/>
        <v>#VALUE!</v>
      </c>
      <c r="U160" s="314">
        <f t="shared" si="7"/>
        <v>0</v>
      </c>
      <c r="V160" s="314" t="str">
        <f>ifs($N160="",VLOOKUP($B160&amp;$E160,'VISIT DATA'!$A$2:$J244,7,FALSE), $N160="SWAB","OUTSA-RW",$N160="SWQU","OUTSA-SaQu", AND($L160="X",$M160="X",$N160="QUEST"),"OUT-UAQPre",$N160="QUEST","OUT-UAQ", $N160="Walk in","ColUATele")</f>
        <v>UA</v>
      </c>
      <c r="W160" s="314" t="str">
        <f t="shared" si="8"/>
        <v>UA : Urine Analysis In House</v>
      </c>
      <c r="X160" s="314" t="str">
        <f t="shared" si="9"/>
        <v>#N/A</v>
      </c>
      <c r="Y160" s="314" t="str">
        <f t="shared" si="10"/>
        <v>#N/A</v>
      </c>
      <c r="Z160" s="314" t="str">
        <f t="shared" si="11"/>
        <v> </v>
      </c>
      <c r="AA160" s="316"/>
    </row>
    <row r="161">
      <c r="A161" s="314" t="str">
        <f>IFS($B161=FALSE,"",$B161,VLOOKUP($B161,'PATIENT DATA (072721)'!A:C, 2, 0))</f>
        <v>ZARATE, MARIA M</v>
      </c>
      <c r="B161" s="314">
        <v>16166.0</v>
      </c>
      <c r="C161" s="316" t="str">
        <f>IF(COUNTIF('PATIENT DATA (072721)'!A:A, B161)=0, "X","✓")</f>
        <v>✓</v>
      </c>
      <c r="D161" s="317">
        <f>IFS($B161=FALSE,"",$B161,VLOOKUP($B161,'PATIENT DATA (072721)'!A:C, 3, 0))</f>
        <v>21767</v>
      </c>
      <c r="E161" s="318">
        <v>44567.0</v>
      </c>
      <c r="F161" s="315">
        <f>ifs($B161="","",$B161, VLOOKUP($B161&amp;$E161, 'VISIT DATA'!A:O,3,0))</f>
        <v>0.5625</v>
      </c>
      <c r="G161" s="314"/>
      <c r="H161" s="314" t="str">
        <f>ifs($B161="","",$B161, VLOOKUP($B161&amp;$E161, 'VISIT DATA'!$A:$O,13,0))</f>
        <v/>
      </c>
      <c r="I161" s="314" t="str">
        <f>VLOOKUP($B161&amp;$E161,'VISIT DATA'!A:J, 9, FALSE)</f>
        <v>MARTINEZ</v>
      </c>
      <c r="J161" s="314" t="str">
        <f>VLOOKUP(B161&amp;E161,'VISIT DATA'!A:N,10,FALSE)</f>
        <v>WELLCARE OF TEXAS</v>
      </c>
      <c r="K161" s="316"/>
      <c r="L161" s="314"/>
      <c r="M161" s="314"/>
      <c r="N161" s="316"/>
      <c r="O161" s="316" t="str">
        <f t="shared" si="1"/>
        <v>X</v>
      </c>
      <c r="P161" s="317" t="str">
        <f t="shared" si="2"/>
        <v>#VALUE!</v>
      </c>
      <c r="Q161" s="317" t="str">
        <f t="shared" si="3"/>
        <v>#VALUE!</v>
      </c>
      <c r="R161" s="319" t="str">
        <f t="shared" si="4"/>
        <v>#VALUE!</v>
      </c>
      <c r="S161" s="314" t="str">
        <f t="shared" si="5"/>
        <v>#VALUE!</v>
      </c>
      <c r="T161" s="314" t="str">
        <f t="shared" si="6"/>
        <v>#VALUE!</v>
      </c>
      <c r="U161" s="314">
        <f t="shared" si="7"/>
        <v>0</v>
      </c>
      <c r="V161" s="314" t="str">
        <f>ifs($N161="",VLOOKUP($B161&amp;$E161,'VISIT DATA'!$A$2:$J244,7,FALSE), $N161="SWAB","OUTSA-RW",$N161="SWQU","OUTSA-SaQu", AND($L161="X",$M161="X",$N161="QUEST"),"OUT-UAQPre",$N161="QUEST","OUT-UAQ", $N161="Walk in","ColUATele")</f>
        <v>UA</v>
      </c>
      <c r="W161" s="314" t="str">
        <f t="shared" si="8"/>
        <v>UA : Urine Analysis In House</v>
      </c>
      <c r="X161" s="314" t="str">
        <f t="shared" si="9"/>
        <v>#N/A</v>
      </c>
      <c r="Y161" s="314" t="str">
        <f t="shared" si="10"/>
        <v>#N/A</v>
      </c>
      <c r="Z161" s="314" t="str">
        <f t="shared" si="11"/>
        <v> </v>
      </c>
      <c r="AA161" s="316"/>
    </row>
    <row r="162">
      <c r="A162" s="314" t="str">
        <f>IFS($B162=FALSE,"",$B162,VLOOKUP($B162,'PATIENT DATA (072721)'!A:C, 2, 0))</f>
        <v>ARZATE, RICARDO</v>
      </c>
      <c r="B162" s="314">
        <v>12638.0</v>
      </c>
      <c r="C162" s="316" t="str">
        <f>IF(COUNTIF('PATIENT DATA (072721)'!A:A, B162)=0, "X","✓")</f>
        <v>✓</v>
      </c>
      <c r="D162" s="317">
        <f>IFS($B162=FALSE,"",$B162,VLOOKUP($B162,'PATIENT DATA (072721)'!A:C, 3, 0))</f>
        <v>25617</v>
      </c>
      <c r="E162" s="318">
        <v>44567.0</v>
      </c>
      <c r="F162" s="315">
        <f>ifs($B162="","",$B162, VLOOKUP($B162&amp;$E162, 'VISIT DATA'!A:O,3,0))</f>
        <v>0.5729166667</v>
      </c>
      <c r="G162" s="314"/>
      <c r="H162" s="314" t="str">
        <f>ifs($B162="","",$B162, VLOOKUP($B162&amp;$E162, 'VISIT DATA'!$A:$O,13,0))</f>
        <v/>
      </c>
      <c r="I162" s="314" t="str">
        <f>VLOOKUP($B162&amp;$E162,'VISIT DATA'!A:J, 9, FALSE)</f>
        <v>LOPEZ</v>
      </c>
      <c r="J162" s="314" t="str">
        <f>VLOOKUP(B162&amp;E162,'VISIT DATA'!A:N,10,FALSE)</f>
        <v>BCBSTX PPO</v>
      </c>
      <c r="K162" s="316"/>
      <c r="L162" s="314"/>
      <c r="M162" s="314"/>
      <c r="N162" s="316"/>
      <c r="O162" s="316" t="str">
        <f t="shared" si="1"/>
        <v>X</v>
      </c>
      <c r="P162" s="317" t="str">
        <f t="shared" si="2"/>
        <v>#VALUE!</v>
      </c>
      <c r="Q162" s="317" t="str">
        <f t="shared" si="3"/>
        <v>#VALUE!</v>
      </c>
      <c r="R162" s="319" t="str">
        <f t="shared" si="4"/>
        <v>#VALUE!</v>
      </c>
      <c r="S162" s="314" t="str">
        <f t="shared" si="5"/>
        <v>#VALUE!</v>
      </c>
      <c r="T162" s="314" t="str">
        <f t="shared" si="6"/>
        <v>#VALUE!</v>
      </c>
      <c r="U162" s="314">
        <f t="shared" si="7"/>
        <v>0</v>
      </c>
      <c r="V162" s="314" t="str">
        <f>ifs($N162="",VLOOKUP($B162&amp;$E162,'VISIT DATA'!$A$2:$J244,7,FALSE), $N162="SWAB","OUTSA-RW",$N162="SWQU","OUTSA-SaQu", AND($L162="X",$M162="X",$N162="QUEST"),"OUT-UAQPre",$N162="QUEST","OUT-UAQ", $N162="Walk in","ColUATele")</f>
        <v>UA</v>
      </c>
      <c r="W162" s="314" t="str">
        <f t="shared" si="8"/>
        <v>UA : Urine Analysis In House</v>
      </c>
      <c r="X162" s="314" t="str">
        <f t="shared" si="9"/>
        <v>#N/A</v>
      </c>
      <c r="Y162" s="314" t="str">
        <f t="shared" si="10"/>
        <v>#N/A</v>
      </c>
      <c r="Z162" s="314" t="str">
        <f t="shared" si="11"/>
        <v> </v>
      </c>
      <c r="AA162" s="316"/>
    </row>
    <row r="163">
      <c r="A163" s="314" t="str">
        <f>IFS($B163=FALSE,"",$B163,VLOOKUP($B163,'PATIENT DATA (072721)'!A:C, 2, 0))</f>
        <v>ALEMAN, FELIX</v>
      </c>
      <c r="B163" s="314">
        <v>10392.0</v>
      </c>
      <c r="C163" s="316" t="str">
        <f>IF(COUNTIF('PATIENT DATA (072721)'!A:A, B163)=0, "X","✓")</f>
        <v>✓</v>
      </c>
      <c r="D163" s="317">
        <f>IFS($B163=FALSE,"",$B163,VLOOKUP($B163,'PATIENT DATA (072721)'!A:C, 3, 0))</f>
        <v>31105</v>
      </c>
      <c r="E163" s="318">
        <v>44567.0</v>
      </c>
      <c r="F163" s="315">
        <f>ifs($B163="","",$B163, VLOOKUP($B163&amp;$E163, 'VISIT DATA'!A:O,3,0))</f>
        <v>0.5625</v>
      </c>
      <c r="G163" s="314"/>
      <c r="H163" s="314" t="str">
        <f>ifs($B163="","",$B163, VLOOKUP($B163&amp;$E163, 'VISIT DATA'!$A:$O,13,0))</f>
        <v/>
      </c>
      <c r="I163" s="314" t="str">
        <f>VLOOKUP($B163&amp;$E163,'VISIT DATA'!A:J, 9, FALSE)</f>
        <v>TORRES</v>
      </c>
      <c r="J163" s="314" t="str">
        <f>VLOOKUP(B163&amp;E163,'VISIT DATA'!A:N,10,FALSE)</f>
        <v>MEDICARE TEXAS</v>
      </c>
      <c r="K163" s="316"/>
      <c r="L163" s="314"/>
      <c r="M163" s="314"/>
      <c r="N163" s="316"/>
      <c r="O163" s="316" t="str">
        <f t="shared" si="1"/>
        <v>X</v>
      </c>
      <c r="P163" s="317" t="str">
        <f t="shared" si="2"/>
        <v>#VALUE!</v>
      </c>
      <c r="Q163" s="317" t="str">
        <f t="shared" si="3"/>
        <v>#VALUE!</v>
      </c>
      <c r="R163" s="319" t="str">
        <f t="shared" si="4"/>
        <v>#VALUE!</v>
      </c>
      <c r="S163" s="314" t="str">
        <f t="shared" si="5"/>
        <v>#VALUE!</v>
      </c>
      <c r="T163" s="314" t="str">
        <f t="shared" si="6"/>
        <v>#VALUE!</v>
      </c>
      <c r="U163" s="314">
        <f t="shared" si="7"/>
        <v>0</v>
      </c>
      <c r="V163" s="314" t="str">
        <f>ifs($N163="",VLOOKUP($B163&amp;$E163,'VISIT DATA'!$A$2:$J244,7,FALSE), $N163="SWAB","OUTSA-RW",$N163="SWQU","OUTSA-SaQu", AND($L163="X",$M163="X",$N163="QUEST"),"OUT-UAQPre",$N163="QUEST","OUT-UAQ", $N163="Walk in","ColUATele")</f>
        <v>UA</v>
      </c>
      <c r="W163" s="314" t="str">
        <f t="shared" si="8"/>
        <v>UA : Urine Analysis In House</v>
      </c>
      <c r="X163" s="314" t="str">
        <f t="shared" si="9"/>
        <v>#N/A</v>
      </c>
      <c r="Y163" s="314" t="str">
        <f t="shared" si="10"/>
        <v>#N/A</v>
      </c>
      <c r="Z163" s="314" t="str">
        <f t="shared" si="11"/>
        <v> </v>
      </c>
      <c r="AA163" s="316"/>
    </row>
    <row r="164">
      <c r="A164" s="314" t="str">
        <f>IFS($B164=FALSE,"",$B164,VLOOKUP($B164,'PATIENT DATA (072721)'!A:C, 2, 0))</f>
        <v>GASTON, JAMES H</v>
      </c>
      <c r="B164" s="314">
        <v>16167.0</v>
      </c>
      <c r="C164" s="316" t="str">
        <f>IF(COUNTIF('PATIENT DATA (072721)'!A:A, B164)=0, "X","✓")</f>
        <v>✓</v>
      </c>
      <c r="D164" s="317">
        <f>IFS($B164=FALSE,"",$B164,VLOOKUP($B164,'PATIENT DATA (072721)'!A:C, 3, 0))</f>
        <v>19877</v>
      </c>
      <c r="E164" s="318">
        <v>44567.0</v>
      </c>
      <c r="F164" s="315">
        <f>ifs($B164="","",$B164, VLOOKUP($B164&amp;$E164, 'VISIT DATA'!A:O,3,0))</f>
        <v>0.5625</v>
      </c>
      <c r="G164" s="314"/>
      <c r="H164" s="314" t="str">
        <f>ifs($B164="","",$B164, VLOOKUP($B164&amp;$E164, 'VISIT DATA'!$A:$O,13,0))</f>
        <v/>
      </c>
      <c r="I164" s="314" t="str">
        <f>VLOOKUP($B164&amp;$E164,'VISIT DATA'!A:J, 9, FALSE)</f>
        <v>MARTINEZ</v>
      </c>
      <c r="J164" s="314" t="str">
        <f>VLOOKUP(B164&amp;E164,'VISIT DATA'!A:N,10,FALSE)</f>
        <v>WELLCARE OF TEXAS</v>
      </c>
      <c r="K164" s="316"/>
      <c r="L164" s="314"/>
      <c r="M164" s="314"/>
      <c r="N164" s="316"/>
      <c r="O164" s="316" t="str">
        <f t="shared" si="1"/>
        <v>X</v>
      </c>
      <c r="P164" s="317" t="str">
        <f t="shared" si="2"/>
        <v>#VALUE!</v>
      </c>
      <c r="Q164" s="317" t="str">
        <f t="shared" si="3"/>
        <v>#VALUE!</v>
      </c>
      <c r="R164" s="319" t="str">
        <f t="shared" si="4"/>
        <v>#VALUE!</v>
      </c>
      <c r="S164" s="314" t="str">
        <f t="shared" si="5"/>
        <v>#VALUE!</v>
      </c>
      <c r="T164" s="314" t="str">
        <f t="shared" si="6"/>
        <v>#VALUE!</v>
      </c>
      <c r="U164" s="314">
        <f t="shared" si="7"/>
        <v>0</v>
      </c>
      <c r="V164" s="314" t="str">
        <f>ifs($N164="",VLOOKUP($B164&amp;$E164,'VISIT DATA'!$A$2:$J244,7,FALSE), $N164="SWAB","OUTSA-RW",$N164="SWQU","OUTSA-SaQu", AND($L164="X",$M164="X",$N164="QUEST"),"OUT-UAQPre",$N164="QUEST","OUT-UAQ", $N164="Walk in","ColUATele")</f>
        <v>UA</v>
      </c>
      <c r="W164" s="314" t="str">
        <f t="shared" si="8"/>
        <v>UA : Urine Analysis In House</v>
      </c>
      <c r="X164" s="314" t="str">
        <f t="shared" si="9"/>
        <v>#N/A</v>
      </c>
      <c r="Y164" s="314" t="str">
        <f t="shared" si="10"/>
        <v>#N/A</v>
      </c>
      <c r="Z164" s="314" t="str">
        <f t="shared" si="11"/>
        <v> </v>
      </c>
      <c r="AA164" s="316"/>
    </row>
    <row r="165">
      <c r="A165" s="314" t="str">
        <f>IFS($B165=FALSE,"",$B165,VLOOKUP($B165,'PATIENT DATA (072721)'!A:C, 2, 0))</f>
        <v>PONCE SOLORZANO, ARMANDO</v>
      </c>
      <c r="B165" s="314">
        <v>16609.0</v>
      </c>
      <c r="C165" s="316" t="str">
        <f>IF(COUNTIF('PATIENT DATA (072721)'!A:A, B165)=0, "X","✓")</f>
        <v>✓</v>
      </c>
      <c r="D165" s="317">
        <f>IFS($B165=FALSE,"",$B165,VLOOKUP($B165,'PATIENT DATA (072721)'!A:C, 3, 0))</f>
        <v>19761</v>
      </c>
      <c r="E165" s="318">
        <v>44567.0</v>
      </c>
      <c r="F165" s="315">
        <f>ifs($B165="","",$B165, VLOOKUP($B165&amp;$E165, 'VISIT DATA'!A:O,3,0))</f>
        <v>0.5729166667</v>
      </c>
      <c r="G165" s="314"/>
      <c r="H165" s="314" t="str">
        <f>ifs($B165="","",$B165, VLOOKUP($B165&amp;$E165, 'VISIT DATA'!$A:$O,13,0))</f>
        <v/>
      </c>
      <c r="I165" s="314" t="str">
        <f>VLOOKUP($B165&amp;$E165,'VISIT DATA'!A:J, 9, FALSE)</f>
        <v>LOPEZ</v>
      </c>
      <c r="J165" s="314" t="str">
        <f>VLOOKUP(B165&amp;E165,'VISIT DATA'!A:N,10,FALSE)</f>
        <v>AETNA</v>
      </c>
      <c r="K165" s="316"/>
      <c r="L165" s="314"/>
      <c r="M165" s="314"/>
      <c r="N165" s="316"/>
      <c r="O165" s="316" t="str">
        <f t="shared" si="1"/>
        <v>X</v>
      </c>
      <c r="P165" s="317" t="str">
        <f t="shared" si="2"/>
        <v>#VALUE!</v>
      </c>
      <c r="Q165" s="317" t="str">
        <f t="shared" si="3"/>
        <v>#VALUE!</v>
      </c>
      <c r="R165" s="319" t="str">
        <f t="shared" si="4"/>
        <v>#VALUE!</v>
      </c>
      <c r="S165" s="314" t="str">
        <f t="shared" si="5"/>
        <v>#VALUE!</v>
      </c>
      <c r="T165" s="314" t="str">
        <f t="shared" si="6"/>
        <v>#VALUE!</v>
      </c>
      <c r="U165" s="314">
        <f t="shared" si="7"/>
        <v>0</v>
      </c>
      <c r="V165" s="314" t="str">
        <f>ifs($N165="",VLOOKUP($B165&amp;$E165,'VISIT DATA'!$A$2:$J244,7,FALSE), $N165="SWAB","OUTSA-RW",$N165="SWQU","OUTSA-SaQu", AND($L165="X",$M165="X",$N165="QUEST"),"OUT-UAQPre",$N165="QUEST","OUT-UAQ", $N165="Walk in","ColUATele")</f>
        <v>UA</v>
      </c>
      <c r="W165" s="314" t="str">
        <f t="shared" si="8"/>
        <v>UA : Urine Analysis In House</v>
      </c>
      <c r="X165" s="314" t="str">
        <f t="shared" si="9"/>
        <v>#N/A</v>
      </c>
      <c r="Y165" s="314" t="str">
        <f t="shared" si="10"/>
        <v>#N/A</v>
      </c>
      <c r="Z165" s="314" t="str">
        <f t="shared" si="11"/>
        <v> </v>
      </c>
      <c r="AA165" s="316"/>
    </row>
    <row r="166">
      <c r="A166" s="314" t="str">
        <f>IFS($B166=FALSE,"",$B166,VLOOKUP($B166,'PATIENT DATA (072721)'!A:C, 2, 0))</f>
        <v>SINGH, VICTORIA</v>
      </c>
      <c r="B166" s="314">
        <v>10516.0</v>
      </c>
      <c r="C166" s="316" t="str">
        <f>IF(COUNTIF('PATIENT DATA (072721)'!A:A, B166)=0, "X","✓")</f>
        <v>✓</v>
      </c>
      <c r="D166" s="317">
        <f>IFS($B166=FALSE,"",$B166,VLOOKUP($B166,'PATIENT DATA (072721)'!A:C, 3, 0))</f>
        <v>25305</v>
      </c>
      <c r="E166" s="318">
        <v>44567.0</v>
      </c>
      <c r="F166" s="315">
        <f>ifs($B166="","",$B166, VLOOKUP($B166&amp;$E166, 'VISIT DATA'!A:O,3,0))</f>
        <v>0.625</v>
      </c>
      <c r="G166" s="314"/>
      <c r="H166" s="314" t="str">
        <f>ifs($B166="","",$B166, VLOOKUP($B166&amp;$E166, 'VISIT DATA'!$A:$O,13,0))</f>
        <v/>
      </c>
      <c r="I166" s="314" t="str">
        <f>VLOOKUP($B166&amp;$E166,'VISIT DATA'!A:J, 9, FALSE)</f>
        <v>LOPEZ</v>
      </c>
      <c r="J166" s="314" t="str">
        <f>VLOOKUP(B166&amp;E166,'VISIT DATA'!A:N,10,FALSE)</f>
        <v>WELLMED - UHC DUAL COMPLETE SNP</v>
      </c>
      <c r="K166" s="316"/>
      <c r="L166" s="314"/>
      <c r="M166" s="314"/>
      <c r="N166" s="316"/>
      <c r="O166" s="316" t="str">
        <f t="shared" si="1"/>
        <v>X</v>
      </c>
      <c r="P166" s="317" t="str">
        <f t="shared" si="2"/>
        <v>X</v>
      </c>
      <c r="Q166" s="317" t="str">
        <f t="shared" si="3"/>
        <v>#VALUE!</v>
      </c>
      <c r="R166" s="319" t="str">
        <f t="shared" si="4"/>
        <v>#VALUE!</v>
      </c>
      <c r="S166" s="314" t="str">
        <f t="shared" si="5"/>
        <v>#VALUE!</v>
      </c>
      <c r="T166" s="314" t="str">
        <f t="shared" si="6"/>
        <v>#VALUE!</v>
      </c>
      <c r="U166" s="314">
        <f t="shared" si="7"/>
        <v>1</v>
      </c>
      <c r="V166" s="314" t="str">
        <f>ifs($N166="",VLOOKUP($B166&amp;$E166,'VISIT DATA'!$A$2:$J244,7,FALSE), $N166="SWAB","OUTSA-RW",$N166="SWQU","OUTSA-SaQu", AND($L166="X",$M166="X",$N166="QUEST"),"OUT-UAQPre",$N166="QUEST","OUT-UAQ", $N166="Walk in","ColUATele")</f>
        <v>OUTUA-FURW</v>
      </c>
      <c r="W166" s="314" t="str">
        <f t="shared" si="8"/>
        <v>OUTUA-FURW : OUT UA FU Redwood</v>
      </c>
      <c r="X166" s="314" t="str">
        <f t="shared" si="9"/>
        <v>#N/A</v>
      </c>
      <c r="Y166" s="314" t="str">
        <f t="shared" si="10"/>
        <v>#N/A</v>
      </c>
      <c r="Z166" s="314" t="str">
        <f t="shared" si="11"/>
        <v> </v>
      </c>
      <c r="AA166" s="316"/>
    </row>
    <row r="167">
      <c r="A167" s="314" t="str">
        <f>IFS($B167=FALSE,"",$B167,VLOOKUP($B167,'PATIENT DATA (072721)'!A:C, 2, 0))</f>
        <v>LICHARD, JESSY</v>
      </c>
      <c r="B167" s="314">
        <v>9892.0</v>
      </c>
      <c r="C167" s="316" t="str">
        <f>IF(COUNTIF('PATIENT DATA (072721)'!A:A, B167)=0, "X","✓")</f>
        <v>✓</v>
      </c>
      <c r="D167" s="317">
        <f>IFS($B167=FALSE,"",$B167,VLOOKUP($B167,'PATIENT DATA (072721)'!A:C, 3, 0))</f>
        <v>24543</v>
      </c>
      <c r="E167" s="318">
        <v>44567.0</v>
      </c>
      <c r="F167" s="315">
        <f>ifs($B167="","",$B167, VLOOKUP($B167&amp;$E167, 'VISIT DATA'!A:O,3,0))</f>
        <v>0.6145833333</v>
      </c>
      <c r="G167" s="314"/>
      <c r="H167" s="314" t="str">
        <f>ifs($B167="","",$B167, VLOOKUP($B167&amp;$E167, 'VISIT DATA'!$A:$O,13,0))</f>
        <v/>
      </c>
      <c r="I167" s="314" t="str">
        <f>VLOOKUP($B167&amp;$E167,'VISIT DATA'!A:J, 9, FALSE)</f>
        <v>LOPEZ</v>
      </c>
      <c r="J167" s="314" t="str">
        <f>VLOOKUP(B167&amp;E167,'VISIT DATA'!A:N,10,FALSE)</f>
        <v>WPS VA - COMMUNITY CARE</v>
      </c>
      <c r="K167" s="316"/>
      <c r="L167" s="314"/>
      <c r="M167" s="314"/>
      <c r="N167" s="316"/>
      <c r="O167" s="316" t="str">
        <f t="shared" si="1"/>
        <v>X</v>
      </c>
      <c r="P167" s="317" t="str">
        <f t="shared" si="2"/>
        <v>#VALUE!</v>
      </c>
      <c r="Q167" s="317" t="str">
        <f t="shared" si="3"/>
        <v>#VALUE!</v>
      </c>
      <c r="R167" s="319" t="str">
        <f t="shared" si="4"/>
        <v>#VALUE!</v>
      </c>
      <c r="S167" s="314" t="str">
        <f t="shared" si="5"/>
        <v>#VALUE!</v>
      </c>
      <c r="T167" s="314" t="str">
        <f t="shared" si="6"/>
        <v>#VALUE!</v>
      </c>
      <c r="U167" s="314">
        <f t="shared" si="7"/>
        <v>0</v>
      </c>
      <c r="V167" s="314" t="str">
        <f>ifs($N167="",VLOOKUP($B167&amp;$E167,'VISIT DATA'!$A$2:$J244,7,FALSE), $N167="SWAB","OUTSA-RW",$N167="SWQU","OUTSA-SaQu", AND($L167="X",$M167="X",$N167="QUEST"),"OUT-UAQPre",$N167="QUEST","OUT-UAQ", $N167="Walk in","ColUATele")</f>
        <v>UA-Prelim</v>
      </c>
      <c r="W167" s="314" t="str">
        <f t="shared" si="8"/>
        <v>UA-Prelim : Preliminary UA Test</v>
      </c>
      <c r="X167" s="314" t="str">
        <f t="shared" si="9"/>
        <v>#N/A</v>
      </c>
      <c r="Y167" s="314" t="str">
        <f t="shared" si="10"/>
        <v>#N/A</v>
      </c>
      <c r="Z167" s="314" t="str">
        <f t="shared" si="11"/>
        <v> </v>
      </c>
      <c r="AA167" s="316"/>
    </row>
    <row r="168">
      <c r="A168" s="314" t="str">
        <f>IFS($B168=FALSE,"",$B168,VLOOKUP($B168,'PATIENT DATA (072721)'!A:C, 2, 0))</f>
        <v>CORELLA, SYLVIA</v>
      </c>
      <c r="B168" s="314">
        <v>10015.0</v>
      </c>
      <c r="C168" s="316" t="str">
        <f>IF(COUNTIF('PATIENT DATA (072721)'!A:A, B168)=0, "X","✓")</f>
        <v>✓</v>
      </c>
      <c r="D168" s="317">
        <f>IFS($B168=FALSE,"",$B168,VLOOKUP($B168,'PATIENT DATA (072721)'!A:C, 3, 0))</f>
        <v>20741</v>
      </c>
      <c r="E168" s="318">
        <v>44567.0</v>
      </c>
      <c r="F168" s="315">
        <f>ifs($B168="","",$B168, VLOOKUP($B168&amp;$E168, 'VISIT DATA'!A:O,3,0))</f>
        <v>0.59375</v>
      </c>
      <c r="G168" s="314"/>
      <c r="H168" s="314" t="str">
        <f>ifs($B168="","",$B168, VLOOKUP($B168&amp;$E168, 'VISIT DATA'!$A:$O,13,0))</f>
        <v/>
      </c>
      <c r="I168" s="314" t="str">
        <f>VLOOKUP($B168&amp;$E168,'VISIT DATA'!A:J, 9, FALSE)</f>
        <v>LOPEZ</v>
      </c>
      <c r="J168" s="314" t="str">
        <f>VLOOKUP(B168&amp;E168,'VISIT DATA'!A:N,10,FALSE)</f>
        <v>AETNA MEDICARE ADVANTAGE</v>
      </c>
      <c r="K168" s="316"/>
      <c r="L168" s="314"/>
      <c r="M168" s="314"/>
      <c r="N168" s="316"/>
      <c r="O168" s="316" t="str">
        <f t="shared" si="1"/>
        <v>X</v>
      </c>
      <c r="P168" s="317" t="str">
        <f t="shared" si="2"/>
        <v>#VALUE!</v>
      </c>
      <c r="Q168" s="317" t="str">
        <f t="shared" si="3"/>
        <v>#VALUE!</v>
      </c>
      <c r="R168" s="319" t="str">
        <f t="shared" si="4"/>
        <v>#VALUE!</v>
      </c>
      <c r="S168" s="314" t="str">
        <f t="shared" si="5"/>
        <v>#VALUE!</v>
      </c>
      <c r="T168" s="314" t="str">
        <f t="shared" si="6"/>
        <v>#VALUE!</v>
      </c>
      <c r="U168" s="314">
        <f t="shared" si="7"/>
        <v>0</v>
      </c>
      <c r="V168" s="314" t="str">
        <f>ifs($N168="",VLOOKUP($B168&amp;$E168,'VISIT DATA'!$A$2:$J244,7,FALSE), $N168="SWAB","OUTSA-RW",$N168="SWQU","OUTSA-SaQu", AND($L168="X",$M168="X",$N168="QUEST"),"OUT-UAQPre",$N168="QUEST","OUT-UAQ", $N168="Walk in","ColUATele")</f>
        <v>UA</v>
      </c>
      <c r="W168" s="314" t="str">
        <f t="shared" si="8"/>
        <v>UA : Urine Analysis In House</v>
      </c>
      <c r="X168" s="314" t="str">
        <f t="shared" si="9"/>
        <v>#N/A</v>
      </c>
      <c r="Y168" s="314" t="str">
        <f t="shared" si="10"/>
        <v>#N/A</v>
      </c>
      <c r="Z168" s="314" t="str">
        <f t="shared" si="11"/>
        <v> </v>
      </c>
      <c r="AA168" s="316"/>
    </row>
    <row r="169">
      <c r="A169" s="314" t="str">
        <f>IFS($B169=FALSE,"",$B169,VLOOKUP($B169,'PATIENT DATA (072721)'!A:C, 2, 0))</f>
        <v>LOERA, ELEAZAR</v>
      </c>
      <c r="B169" s="314">
        <v>13331.0</v>
      </c>
      <c r="C169" s="316" t="str">
        <f>IF(COUNTIF('PATIENT DATA (072721)'!A:A, B169)=0, "X","✓")</f>
        <v>✓</v>
      </c>
      <c r="D169" s="317">
        <f>IFS($B169=FALSE,"",$B169,VLOOKUP($B169,'PATIENT DATA (072721)'!A:C, 3, 0))</f>
        <v>17613</v>
      </c>
      <c r="E169" s="318">
        <v>44567.0</v>
      </c>
      <c r="F169" s="315">
        <f>ifs($B169="","",$B169, VLOOKUP($B169&amp;$E169, 'VISIT DATA'!A:O,3,0))</f>
        <v>0.59375</v>
      </c>
      <c r="G169" s="314"/>
      <c r="H169" s="314" t="str">
        <f>ifs($B169="","",$B169, VLOOKUP($B169&amp;$E169, 'VISIT DATA'!$A:$O,13,0))</f>
        <v/>
      </c>
      <c r="I169" s="314" t="str">
        <f>VLOOKUP($B169&amp;$E169,'VISIT DATA'!A:J, 9, FALSE)</f>
        <v>MARTINEZ</v>
      </c>
      <c r="J169" s="314" t="str">
        <f>VLOOKUP(B169&amp;E169,'VISIT DATA'!A:N,10,FALSE)</f>
        <v>HUMANA MEDICARE PPO</v>
      </c>
      <c r="K169" s="316"/>
      <c r="L169" s="314"/>
      <c r="M169" s="314"/>
      <c r="N169" s="316"/>
      <c r="O169" s="316" t="str">
        <f t="shared" si="1"/>
        <v>X</v>
      </c>
      <c r="P169" s="317" t="str">
        <f t="shared" si="2"/>
        <v>#VALUE!</v>
      </c>
      <c r="Q169" s="317" t="str">
        <f t="shared" si="3"/>
        <v>#VALUE!</v>
      </c>
      <c r="R169" s="319" t="str">
        <f t="shared" si="4"/>
        <v>#VALUE!</v>
      </c>
      <c r="S169" s="314" t="str">
        <f t="shared" si="5"/>
        <v>#VALUE!</v>
      </c>
      <c r="T169" s="314" t="str">
        <f t="shared" si="6"/>
        <v>#VALUE!</v>
      </c>
      <c r="U169" s="314">
        <f t="shared" si="7"/>
        <v>0</v>
      </c>
      <c r="V169" s="314" t="str">
        <f>ifs($N169="",VLOOKUP($B169&amp;$E169,'VISIT DATA'!$A$2:$J244,7,FALSE), $N169="SWAB","OUTSA-RW",$N169="SWQU","OUTSA-SaQu", AND($L169="X",$M169="X",$N169="QUEST"),"OUT-UAQPre",$N169="QUEST","OUT-UAQ", $N169="Walk in","ColUATele")</f>
        <v>UA-Prelim</v>
      </c>
      <c r="W169" s="314" t="str">
        <f t="shared" si="8"/>
        <v>UA-Prelim : Preliminary UA Test</v>
      </c>
      <c r="X169" s="314" t="str">
        <f t="shared" si="9"/>
        <v>#N/A</v>
      </c>
      <c r="Y169" s="314" t="str">
        <f t="shared" si="10"/>
        <v>#N/A</v>
      </c>
      <c r="Z169" s="314" t="str">
        <f t="shared" si="11"/>
        <v> </v>
      </c>
      <c r="AA169" s="316"/>
    </row>
    <row r="170">
      <c r="A170" s="314" t="str">
        <f>IFS($B170=FALSE,"",$B170,VLOOKUP($B170,'PATIENT DATA (072721)'!A:C, 2, 0))</f>
        <v>PEREZ, ROSALIE A</v>
      </c>
      <c r="B170" s="314">
        <v>10632.0</v>
      </c>
      <c r="C170" s="316" t="str">
        <f>IF(COUNTIF('PATIENT DATA (072721)'!A:A, B170)=0, "X","✓")</f>
        <v>✓</v>
      </c>
      <c r="D170" s="317">
        <f>IFS($B170=FALSE,"",$B170,VLOOKUP($B170,'PATIENT DATA (072721)'!A:C, 3, 0))</f>
        <v>22528</v>
      </c>
      <c r="E170" s="318">
        <v>44567.0</v>
      </c>
      <c r="F170" s="315">
        <f>ifs($B170="","",$B170, VLOOKUP($B170&amp;$E170, 'VISIT DATA'!A:O,3,0))</f>
        <v>0.5833333333</v>
      </c>
      <c r="G170" s="314"/>
      <c r="H170" s="314" t="str">
        <f>ifs($B170="","",$B170, VLOOKUP($B170&amp;$E170, 'VISIT DATA'!$A:$O,13,0))</f>
        <v/>
      </c>
      <c r="I170" s="314" t="str">
        <f>VLOOKUP($B170&amp;$E170,'VISIT DATA'!A:J, 9, FALSE)</f>
        <v>MARTINEZ</v>
      </c>
      <c r="J170" s="314" t="str">
        <f>VLOOKUP(B170&amp;E170,'VISIT DATA'!A:N,10,FALSE)</f>
        <v>MOLINA MEDICAID TEXAS</v>
      </c>
      <c r="K170" s="316"/>
      <c r="L170" s="314"/>
      <c r="M170" s="314"/>
      <c r="N170" s="316"/>
      <c r="O170" s="316" t="str">
        <f t="shared" si="1"/>
        <v>X</v>
      </c>
      <c r="P170" s="317" t="str">
        <f t="shared" si="2"/>
        <v>#VALUE!</v>
      </c>
      <c r="Q170" s="317" t="str">
        <f t="shared" si="3"/>
        <v>X</v>
      </c>
      <c r="R170" s="319" t="str">
        <f t="shared" si="4"/>
        <v>#VALUE!</v>
      </c>
      <c r="S170" s="314" t="str">
        <f t="shared" si="5"/>
        <v>#VALUE!</v>
      </c>
      <c r="T170" s="314" t="str">
        <f t="shared" si="6"/>
        <v>#VALUE!</v>
      </c>
      <c r="U170" s="314">
        <f t="shared" si="7"/>
        <v>1</v>
      </c>
      <c r="V170" s="314" t="str">
        <f>ifs($N170="",VLOOKUP($B170&amp;$E170,'VISIT DATA'!$A$2:$J244,7,FALSE), $N170="SWAB","OUTSA-RW",$N170="SWQU","OUTSA-SaQu", AND($L170="X",$M170="X",$N170="QUEST"),"OUT-UAQPre",$N170="QUEST","OUT-UAQ", $N170="Walk in","ColUATele")</f>
        <v>OUTUA-PrRW</v>
      </c>
      <c r="W170" s="314" t="str">
        <f t="shared" si="8"/>
        <v>OUTUA-PrRW : OUT UA Prelimin Redwood</v>
      </c>
      <c r="X170" s="314" t="str">
        <f t="shared" si="9"/>
        <v>#N/A</v>
      </c>
      <c r="Y170" s="314" t="str">
        <f t="shared" si="10"/>
        <v>#N/A</v>
      </c>
      <c r="Z170" s="314" t="str">
        <f t="shared" si="11"/>
        <v> </v>
      </c>
      <c r="AA170" s="316"/>
    </row>
    <row r="171">
      <c r="A171" s="314" t="str">
        <f>IFS($B171=FALSE,"",$B171,VLOOKUP($B171,'PATIENT DATA (072721)'!A:C, 2, 0))</f>
        <v>ARELLANO, ELISA</v>
      </c>
      <c r="B171" s="314">
        <v>15450.0</v>
      </c>
      <c r="C171" s="316" t="str">
        <f>IF(COUNTIF('PATIENT DATA (072721)'!A:A, B171)=0, "X","✓")</f>
        <v>✓</v>
      </c>
      <c r="D171" s="317">
        <f>IFS($B171=FALSE,"",$B171,VLOOKUP($B171,'PATIENT DATA (072721)'!A:C, 3, 0))</f>
        <v>15506</v>
      </c>
      <c r="E171" s="318">
        <v>44567.0</v>
      </c>
      <c r="F171" s="315">
        <f>ifs($B171="","",$B171, VLOOKUP($B171&amp;$E171, 'VISIT DATA'!A:O,3,0))</f>
        <v>0.6041666667</v>
      </c>
      <c r="G171" s="314"/>
      <c r="H171" s="314" t="str">
        <f>ifs($B171="","",$B171, VLOOKUP($B171&amp;$E171, 'VISIT DATA'!$A:$O,13,0))</f>
        <v/>
      </c>
      <c r="I171" s="314" t="str">
        <f>VLOOKUP($B171&amp;$E171,'VISIT DATA'!A:J, 9, FALSE)</f>
        <v>TORRES</v>
      </c>
      <c r="J171" s="314" t="str">
        <f>VLOOKUP(B171&amp;E171,'VISIT DATA'!A:N,10,FALSE)</f>
        <v>WELLMED - UHC DUAL COMPLETE SNP</v>
      </c>
      <c r="K171" s="316"/>
      <c r="L171" s="314"/>
      <c r="M171" s="314"/>
      <c r="N171" s="316"/>
      <c r="O171" s="316" t="str">
        <f t="shared" si="1"/>
        <v>X</v>
      </c>
      <c r="P171" s="317" t="str">
        <f t="shared" si="2"/>
        <v>X</v>
      </c>
      <c r="Q171" s="317" t="str">
        <f t="shared" si="3"/>
        <v>#VALUE!</v>
      </c>
      <c r="R171" s="319" t="str">
        <f t="shared" si="4"/>
        <v>#VALUE!</v>
      </c>
      <c r="S171" s="314" t="str">
        <f t="shared" si="5"/>
        <v>#VALUE!</v>
      </c>
      <c r="T171" s="314" t="str">
        <f t="shared" si="6"/>
        <v>#VALUE!</v>
      </c>
      <c r="U171" s="314">
        <f t="shared" si="7"/>
        <v>1</v>
      </c>
      <c r="V171" s="314" t="str">
        <f>ifs($N171="",VLOOKUP($B171&amp;$E171,'VISIT DATA'!$A$2:$J244,7,FALSE), $N171="SWAB","OUTSA-RW",$N171="SWQU","OUTSA-SaQu", AND($L171="X",$M171="X",$N171="QUEST"),"OUT-UAQPre",$N171="QUEST","OUT-UAQ", $N171="Walk in","ColUATele")</f>
        <v>OUTUA-FURW</v>
      </c>
      <c r="W171" s="314" t="str">
        <f t="shared" si="8"/>
        <v>OUTUA-FURW : OUT UA FU Redwood</v>
      </c>
      <c r="X171" s="314" t="str">
        <f t="shared" si="9"/>
        <v>#N/A</v>
      </c>
      <c r="Y171" s="314" t="str">
        <f t="shared" si="10"/>
        <v>#N/A</v>
      </c>
      <c r="Z171" s="314" t="str">
        <f t="shared" si="11"/>
        <v> </v>
      </c>
      <c r="AA171" s="316"/>
    </row>
    <row r="172">
      <c r="A172" s="314" t="str">
        <f>IFS($B172=FALSE,"",$B172,VLOOKUP($B172,'PATIENT DATA (072721)'!A:C, 2, 0))</f>
        <v>VALENZUELA, LAURA J</v>
      </c>
      <c r="B172" s="314">
        <v>13446.0</v>
      </c>
      <c r="C172" s="316" t="str">
        <f>IF(COUNTIF('PATIENT DATA (072721)'!A:A, B172)=0, "X","✓")</f>
        <v>✓</v>
      </c>
      <c r="D172" s="317">
        <f>IFS($B172=FALSE,"",$B172,VLOOKUP($B172,'PATIENT DATA (072721)'!A:C, 3, 0))</f>
        <v>22265</v>
      </c>
      <c r="E172" s="318">
        <v>44567.0</v>
      </c>
      <c r="F172" s="315">
        <f>ifs($B172="","",$B172, VLOOKUP($B172&amp;$E172, 'VISIT DATA'!A:O,3,0))</f>
        <v>0.625</v>
      </c>
      <c r="G172" s="314"/>
      <c r="H172" s="314" t="str">
        <f>ifs($B172="","",$B172, VLOOKUP($B172&amp;$E172, 'VISIT DATA'!$A:$O,13,0))</f>
        <v/>
      </c>
      <c r="I172" s="314" t="str">
        <f>VLOOKUP($B172&amp;$E172,'VISIT DATA'!A:J, 9, FALSE)</f>
        <v>MARTINEZ</v>
      </c>
      <c r="J172" s="314" t="str">
        <f>VLOOKUP(B172&amp;E172,'VISIT DATA'!A:N,10,FALSE)</f>
        <v>MOLINA MEDICAID TEXAS</v>
      </c>
      <c r="K172" s="316"/>
      <c r="L172" s="314"/>
      <c r="M172" s="314"/>
      <c r="N172" s="316"/>
      <c r="O172" s="316" t="str">
        <f t="shared" si="1"/>
        <v>X</v>
      </c>
      <c r="P172" s="317" t="str">
        <f t="shared" si="2"/>
        <v>#VALUE!</v>
      </c>
      <c r="Q172" s="317" t="str">
        <f t="shared" si="3"/>
        <v>X</v>
      </c>
      <c r="R172" s="319" t="str">
        <f t="shared" si="4"/>
        <v>#VALUE!</v>
      </c>
      <c r="S172" s="314" t="str">
        <f t="shared" si="5"/>
        <v>#VALUE!</v>
      </c>
      <c r="T172" s="314" t="str">
        <f t="shared" si="6"/>
        <v>#VALUE!</v>
      </c>
      <c r="U172" s="314">
        <f t="shared" si="7"/>
        <v>1</v>
      </c>
      <c r="V172" s="314" t="str">
        <f>ifs($N172="",VLOOKUP($B172&amp;$E172,'VISIT DATA'!$A$2:$J244,7,FALSE), $N172="SWAB","OUTSA-RW",$N172="SWQU","OUTSA-SaQu", AND($L172="X",$M172="X",$N172="QUEST"),"OUT-UAQPre",$N172="QUEST","OUT-UAQ", $N172="Walk in","ColUATele")</f>
        <v>OUTUA-PrRW</v>
      </c>
      <c r="W172" s="314" t="str">
        <f t="shared" si="8"/>
        <v>OUTUA-PrRW : OUT UA Prelimin Redwood</v>
      </c>
      <c r="X172" s="314" t="str">
        <f t="shared" si="9"/>
        <v>#N/A</v>
      </c>
      <c r="Y172" s="314" t="str">
        <f t="shared" si="10"/>
        <v>#N/A</v>
      </c>
      <c r="Z172" s="314" t="str">
        <f t="shared" si="11"/>
        <v> </v>
      </c>
      <c r="AA172" s="316"/>
    </row>
    <row r="173">
      <c r="A173" s="314" t="str">
        <f>IFS($B173=FALSE,"",$B173,VLOOKUP($B173,'PATIENT DATA (072721)'!A:C, 2, 0))</f>
        <v>DAVIDSON, ADRIANA</v>
      </c>
      <c r="B173" s="314">
        <v>13544.0</v>
      </c>
      <c r="C173" s="316" t="str">
        <f>IF(COUNTIF('PATIENT DATA (072721)'!A:A, B173)=0, "X","✓")</f>
        <v>✓</v>
      </c>
      <c r="D173" s="317">
        <f>IFS($B173=FALSE,"",$B173,VLOOKUP($B173,'PATIENT DATA (072721)'!A:C, 3, 0))</f>
        <v>27937</v>
      </c>
      <c r="E173" s="318">
        <v>44567.0</v>
      </c>
      <c r="F173" s="315">
        <f>ifs($B173="","",$B173, VLOOKUP($B173&amp;$E173, 'VISIT DATA'!A:O,3,0))</f>
        <v>0.6354166667</v>
      </c>
      <c r="G173" s="314"/>
      <c r="H173" s="314" t="str">
        <f>ifs($B173="","",$B173, VLOOKUP($B173&amp;$E173, 'VISIT DATA'!$A:$O,13,0))</f>
        <v/>
      </c>
      <c r="I173" s="314" t="str">
        <f>VLOOKUP($B173&amp;$E173,'VISIT DATA'!A:J, 9, FALSE)</f>
        <v>MARTINEZ</v>
      </c>
      <c r="J173" s="314" t="str">
        <f>VLOOKUP(B173&amp;E173,'VISIT DATA'!A:N,10,FALSE)</f>
        <v>BCBSTX PPO</v>
      </c>
      <c r="K173" s="316"/>
      <c r="L173" s="314"/>
      <c r="M173" s="314"/>
      <c r="N173" s="316"/>
      <c r="O173" s="316" t="str">
        <f t="shared" si="1"/>
        <v>X</v>
      </c>
      <c r="P173" s="317" t="str">
        <f t="shared" si="2"/>
        <v>#VALUE!</v>
      </c>
      <c r="Q173" s="317" t="str">
        <f t="shared" si="3"/>
        <v>#VALUE!</v>
      </c>
      <c r="R173" s="319" t="str">
        <f t="shared" si="4"/>
        <v>#VALUE!</v>
      </c>
      <c r="S173" s="314" t="str">
        <f t="shared" si="5"/>
        <v>#VALUE!</v>
      </c>
      <c r="T173" s="314" t="str">
        <f t="shared" si="6"/>
        <v>#VALUE!</v>
      </c>
      <c r="U173" s="314">
        <f t="shared" si="7"/>
        <v>0</v>
      </c>
      <c r="V173" s="314" t="str">
        <f>ifs($N173="",VLOOKUP($B173&amp;$E173,'VISIT DATA'!$A$2:$J244,7,FALSE), $N173="SWAB","OUTSA-RW",$N173="SWQU","OUTSA-SaQu", AND($L173="X",$M173="X",$N173="QUEST"),"OUT-UAQPre",$N173="QUEST","OUT-UAQ", $N173="Walk in","ColUATele")</f>
        <v>UA</v>
      </c>
      <c r="W173" s="314" t="str">
        <f t="shared" si="8"/>
        <v>UA : Urine Analysis In House</v>
      </c>
      <c r="X173" s="314" t="str">
        <f t="shared" si="9"/>
        <v>#N/A</v>
      </c>
      <c r="Y173" s="314" t="str">
        <f t="shared" si="10"/>
        <v>#N/A</v>
      </c>
      <c r="Z173" s="314" t="str">
        <f t="shared" si="11"/>
        <v> </v>
      </c>
      <c r="AA173" s="316"/>
    </row>
    <row r="174">
      <c r="A174" s="314" t="str">
        <f>IFS($B174=FALSE,"",$B174,VLOOKUP($B174,'PATIENT DATA (072721)'!A:C, 2, 0))</f>
        <v>CALDERA, GEMA</v>
      </c>
      <c r="B174" s="314">
        <v>15253.0</v>
      </c>
      <c r="C174" s="316" t="str">
        <f>IF(COUNTIF('PATIENT DATA (072721)'!A:A, B174)=0, "X","✓")</f>
        <v>✓</v>
      </c>
      <c r="D174" s="317">
        <f>IFS($B174=FALSE,"",$B174,VLOOKUP($B174,'PATIENT DATA (072721)'!A:C, 3, 0))</f>
        <v>24706</v>
      </c>
      <c r="E174" s="318">
        <v>44567.0</v>
      </c>
      <c r="F174" s="315">
        <f>ifs($B174="","",$B174, VLOOKUP($B174&amp;$E174, 'VISIT DATA'!A:O,3,0))</f>
        <v>0.6458333333</v>
      </c>
      <c r="G174" s="314"/>
      <c r="H174" s="314" t="str">
        <f>ifs($B174="","",$B174, VLOOKUP($B174&amp;$E174, 'VISIT DATA'!$A:$O,13,0))</f>
        <v/>
      </c>
      <c r="I174" s="314" t="str">
        <f>VLOOKUP($B174&amp;$E174,'VISIT DATA'!A:J, 9, FALSE)</f>
        <v>MARTINEZ</v>
      </c>
      <c r="J174" s="314" t="str">
        <f>VLOOKUP(B174&amp;E174,'VISIT DATA'!A:N,10,FALSE)</f>
        <v>AMERIVANTAGE DUAL</v>
      </c>
      <c r="K174" s="316"/>
      <c r="L174" s="314"/>
      <c r="M174" s="314"/>
      <c r="N174" s="316"/>
      <c r="O174" s="316" t="str">
        <f t="shared" si="1"/>
        <v>X</v>
      </c>
      <c r="P174" s="317" t="str">
        <f t="shared" si="2"/>
        <v>#VALUE!</v>
      </c>
      <c r="Q174" s="317" t="str">
        <f t="shared" si="3"/>
        <v>#VALUE!</v>
      </c>
      <c r="R174" s="319" t="str">
        <f t="shared" si="4"/>
        <v>#VALUE!</v>
      </c>
      <c r="S174" s="314" t="str">
        <f t="shared" si="5"/>
        <v>#VALUE!</v>
      </c>
      <c r="T174" s="314" t="str">
        <f t="shared" si="6"/>
        <v>#VALUE!</v>
      </c>
      <c r="U174" s="314">
        <f t="shared" si="7"/>
        <v>0</v>
      </c>
      <c r="V174" s="314" t="str">
        <f>ifs($N174="",VLOOKUP($B174&amp;$E174,'VISIT DATA'!$A$2:$J244,7,FALSE), $N174="SWAB","OUTSA-RW",$N174="SWQU","OUTSA-SaQu", AND($L174="X",$M174="X",$N174="QUEST"),"OUT-UAQPre",$N174="QUEST","OUT-UAQ", $N174="Walk in","ColUATele")</f>
        <v>UA-Prelim</v>
      </c>
      <c r="W174" s="314" t="str">
        <f t="shared" si="8"/>
        <v>UA-Prelim : Preliminary UA Test</v>
      </c>
      <c r="X174" s="314" t="str">
        <f t="shared" si="9"/>
        <v>#N/A</v>
      </c>
      <c r="Y174" s="314" t="str">
        <f t="shared" si="10"/>
        <v>#N/A</v>
      </c>
      <c r="Z174" s="314" t="str">
        <f t="shared" si="11"/>
        <v> </v>
      </c>
      <c r="AA174" s="316"/>
    </row>
    <row r="175">
      <c r="A175" s="314" t="str">
        <f>IFS($B175=FALSE,"",$B175,VLOOKUP($B175,'PATIENT DATA (072721)'!A:C, 2, 0))</f>
        <v>MARIN, ESPERANZA</v>
      </c>
      <c r="B175" s="314">
        <v>16515.0</v>
      </c>
      <c r="C175" s="316" t="str">
        <f>IF(COUNTIF('PATIENT DATA (072721)'!A:A, B175)=0, "X","✓")</f>
        <v>✓</v>
      </c>
      <c r="D175" s="317">
        <f>IFS($B175=FALSE,"",$B175,VLOOKUP($B175,'PATIENT DATA (072721)'!A:C, 3, 0))</f>
        <v>17317</v>
      </c>
      <c r="E175" s="318">
        <v>44567.0</v>
      </c>
      <c r="F175" s="315">
        <f>ifs($B175="","",$B175, VLOOKUP($B175&amp;$E175, 'VISIT DATA'!A:O,3,0))</f>
        <v>0.6354166667</v>
      </c>
      <c r="G175" s="314"/>
      <c r="H175" s="314" t="str">
        <f>ifs($B175="","",$B175, VLOOKUP($B175&amp;$E175, 'VISIT DATA'!$A:$O,13,0))</f>
        <v/>
      </c>
      <c r="I175" s="314" t="str">
        <f>VLOOKUP($B175&amp;$E175,'VISIT DATA'!A:J, 9, FALSE)</f>
        <v>TORRES</v>
      </c>
      <c r="J175" s="314" t="str">
        <f>VLOOKUP(B175&amp;E175,'VISIT DATA'!A:N,10,FALSE)</f>
        <v>HUMANA GOLD PLUS HMO</v>
      </c>
      <c r="K175" s="316"/>
      <c r="L175" s="314"/>
      <c r="M175" s="314"/>
      <c r="N175" s="316"/>
      <c r="O175" s="316" t="str">
        <f t="shared" si="1"/>
        <v>X</v>
      </c>
      <c r="P175" s="317" t="str">
        <f t="shared" si="2"/>
        <v>#VALUE!</v>
      </c>
      <c r="Q175" s="317" t="str">
        <f t="shared" si="3"/>
        <v>#VALUE!</v>
      </c>
      <c r="R175" s="319" t="str">
        <f t="shared" si="4"/>
        <v>#VALUE!</v>
      </c>
      <c r="S175" s="314" t="str">
        <f t="shared" si="5"/>
        <v>#VALUE!</v>
      </c>
      <c r="T175" s="314" t="str">
        <f t="shared" si="6"/>
        <v>#VALUE!</v>
      </c>
      <c r="U175" s="314">
        <f t="shared" si="7"/>
        <v>0</v>
      </c>
      <c r="V175" s="314" t="str">
        <f>ifs($N175="",VLOOKUP($B175&amp;$E175,'VISIT DATA'!$A$2:$J244,7,FALSE), $N175="SWAB","OUTSA-RW",$N175="SWQU","OUTSA-SaQu", AND($L175="X",$M175="X",$N175="QUEST"),"OUT-UAQPre",$N175="QUEST","OUT-UAQ", $N175="Walk in","ColUATele")</f>
        <v>UA</v>
      </c>
      <c r="W175" s="314" t="str">
        <f t="shared" si="8"/>
        <v>UA : Urine Analysis In House</v>
      </c>
      <c r="X175" s="314" t="str">
        <f t="shared" si="9"/>
        <v>#N/A</v>
      </c>
      <c r="Y175" s="314" t="str">
        <f t="shared" si="10"/>
        <v>#N/A</v>
      </c>
      <c r="Z175" s="314" t="str">
        <f t="shared" si="11"/>
        <v> </v>
      </c>
      <c r="AA175" s="316"/>
    </row>
    <row r="176">
      <c r="A176" s="314" t="str">
        <f>IFS($B176=FALSE,"",$B176,VLOOKUP($B176,'PATIENT DATA (072721)'!A:C, 2, 0))</f>
        <v>MARTINEZ, JARA</v>
      </c>
      <c r="B176" s="314">
        <v>15479.0</v>
      </c>
      <c r="C176" s="316" t="str">
        <f>IF(COUNTIF('PATIENT DATA (072721)'!A:A, B176)=0, "X","✓")</f>
        <v>✓</v>
      </c>
      <c r="D176" s="317">
        <f>IFS($B176=FALSE,"",$B176,VLOOKUP($B176,'PATIENT DATA (072721)'!A:C, 3, 0))</f>
        <v>28397</v>
      </c>
      <c r="E176" s="318">
        <v>44567.0</v>
      </c>
      <c r="F176" s="315">
        <f>ifs($B176="","",$B176, VLOOKUP($B176&amp;$E176, 'VISIT DATA'!A:O,3,0))</f>
        <v>0.6458333333</v>
      </c>
      <c r="G176" s="314"/>
      <c r="H176" s="314" t="str">
        <f>ifs($B176="","",$B176, VLOOKUP($B176&amp;$E176, 'VISIT DATA'!$A:$O,13,0))</f>
        <v/>
      </c>
      <c r="I176" s="314" t="str">
        <f>VLOOKUP($B176&amp;$E176,'VISIT DATA'!A:J, 9, FALSE)</f>
        <v>MARTINEZ</v>
      </c>
      <c r="J176" s="314" t="str">
        <f>VLOOKUP(B176&amp;E176,'VISIT DATA'!A:N,10,FALSE)</f>
        <v>UNITED HEALTH CARE CHOICEPLUS</v>
      </c>
      <c r="K176" s="316"/>
      <c r="L176" s="314"/>
      <c r="M176" s="314"/>
      <c r="N176" s="316"/>
      <c r="O176" s="316" t="str">
        <f t="shared" si="1"/>
        <v>X</v>
      </c>
      <c r="P176" s="317" t="str">
        <f t="shared" si="2"/>
        <v>#VALUE!</v>
      </c>
      <c r="Q176" s="317" t="str">
        <f t="shared" si="3"/>
        <v>#VALUE!</v>
      </c>
      <c r="R176" s="319" t="str">
        <f t="shared" si="4"/>
        <v>#VALUE!</v>
      </c>
      <c r="S176" s="314" t="str">
        <f t="shared" si="5"/>
        <v>#VALUE!</v>
      </c>
      <c r="T176" s="314" t="str">
        <f t="shared" si="6"/>
        <v>#VALUE!</v>
      </c>
      <c r="U176" s="314">
        <f t="shared" si="7"/>
        <v>0</v>
      </c>
      <c r="V176" s="314" t="str">
        <f>ifs($N176="",VLOOKUP($B176&amp;$E176,'VISIT DATA'!$A$2:$J244,7,FALSE), $N176="SWAB","OUTSA-RW",$N176="SWQU","OUTSA-SaQu", AND($L176="X",$M176="X",$N176="QUEST"),"OUT-UAQPre",$N176="QUEST","OUT-UAQ", $N176="Walk in","ColUATele")</f>
        <v>UA-Prelim</v>
      </c>
      <c r="W176" s="314" t="str">
        <f t="shared" si="8"/>
        <v>UA-Prelim : Preliminary UA Test</v>
      </c>
      <c r="X176" s="314" t="str">
        <f t="shared" si="9"/>
        <v>#N/A</v>
      </c>
      <c r="Y176" s="314" t="str">
        <f t="shared" si="10"/>
        <v>#N/A</v>
      </c>
      <c r="Z176" s="314" t="str">
        <f t="shared" si="11"/>
        <v> </v>
      </c>
      <c r="AA176" s="316"/>
    </row>
    <row r="177">
      <c r="A177" s="314" t="str">
        <f>IFS($B177=FALSE,"",$B177,VLOOKUP($B177,'PATIENT DATA (072721)'!A:C, 2, 0))</f>
        <v>PORTILLO, MARIA R</v>
      </c>
      <c r="B177" s="314">
        <v>9337.0</v>
      </c>
      <c r="C177" s="316" t="str">
        <f>IF(COUNTIF('PATIENT DATA (072721)'!A:A, B177)=0, "X","✓")</f>
        <v>✓</v>
      </c>
      <c r="D177" s="317">
        <f>IFS($B177=FALSE,"",$B177,VLOOKUP($B177,'PATIENT DATA (072721)'!A:C, 3, 0))</f>
        <v>17297</v>
      </c>
      <c r="E177" s="318">
        <v>44567.0</v>
      </c>
      <c r="F177" s="315" t="str">
        <f>ifs($B177="","",$B177, VLOOKUP($B177&amp;$E177, 'VISIT DATA'!A:O,3,0))</f>
        <v>#N/A</v>
      </c>
      <c r="G177" s="314"/>
      <c r="H177" s="314" t="str">
        <f>ifs($B177="","",$B177, VLOOKUP($B177&amp;$E177, 'VISIT DATA'!$A:$O,13,0))</f>
        <v>#N/A</v>
      </c>
      <c r="I177" s="314" t="str">
        <f>VLOOKUP($B177&amp;$E177,'VISIT DATA'!A:J, 9, FALSE)</f>
        <v>#N/A</v>
      </c>
      <c r="J177" s="314" t="str">
        <f>VLOOKUP(B177&amp;E177,'VISIT DATA'!A:N,10,FALSE)</f>
        <v>#N/A</v>
      </c>
      <c r="K177" s="316"/>
      <c r="L177" s="314"/>
      <c r="M177" s="314"/>
      <c r="N177" s="316"/>
      <c r="O177" s="316" t="str">
        <f t="shared" si="1"/>
        <v>X</v>
      </c>
      <c r="P177" s="317" t="str">
        <f t="shared" si="2"/>
        <v>#N/A</v>
      </c>
      <c r="Q177" s="317" t="str">
        <f t="shared" si="3"/>
        <v>#N/A</v>
      </c>
      <c r="R177" s="319" t="str">
        <f t="shared" si="4"/>
        <v>#N/A</v>
      </c>
      <c r="S177" s="314" t="str">
        <f t="shared" si="5"/>
        <v>#N/A</v>
      </c>
      <c r="T177" s="314" t="str">
        <f t="shared" si="6"/>
        <v>#N/A</v>
      </c>
      <c r="U177" s="314">
        <f t="shared" si="7"/>
        <v>0</v>
      </c>
      <c r="V177" s="314" t="str">
        <f>ifs($N177="",VLOOKUP($B177&amp;$E177,'VISIT DATA'!$A$2:$J244,7,FALSE), $N177="SWAB","OUTSA-RW",$N177="SWQU","OUTSA-SaQu", AND($L177="X",$M177="X",$N177="QUEST"),"OUT-UAQPre",$N177="QUEST","OUT-UAQ", $N177="Walk in","ColUATele")</f>
        <v>#N/A</v>
      </c>
      <c r="W177" s="314" t="str">
        <f t="shared" si="8"/>
        <v>#N/A</v>
      </c>
      <c r="X177" s="314" t="str">
        <f t="shared" si="9"/>
        <v>#N/A</v>
      </c>
      <c r="Y177" s="314" t="str">
        <f t="shared" si="10"/>
        <v>#N/A</v>
      </c>
      <c r="Z177" s="314" t="str">
        <f t="shared" si="11"/>
        <v> </v>
      </c>
      <c r="AA177" s="316"/>
    </row>
    <row r="178">
      <c r="A178" s="314" t="str">
        <f>IFS($B178=FALSE,"",$B178,VLOOKUP($B178,'PATIENT DATA (072721)'!A:C, 2, 0))</f>
        <v>JASSO, CECILIA</v>
      </c>
      <c r="B178" s="314">
        <v>10415.0</v>
      </c>
      <c r="C178" s="316" t="str">
        <f>IF(COUNTIF('PATIENT DATA (072721)'!A:A, B178)=0, "X","✓")</f>
        <v>✓</v>
      </c>
      <c r="D178" s="317">
        <f>IFS($B178=FALSE,"",$B178,VLOOKUP($B178,'PATIENT DATA (072721)'!A:C, 3, 0))</f>
        <v>25164</v>
      </c>
      <c r="E178" s="318">
        <v>44567.0</v>
      </c>
      <c r="F178" s="315">
        <f>ifs($B178="","",$B178, VLOOKUP($B178&amp;$E178, 'VISIT DATA'!A:O,3,0))</f>
        <v>0.6458333333</v>
      </c>
      <c r="G178" s="314"/>
      <c r="H178" s="314" t="str">
        <f>ifs($B178="","",$B178, VLOOKUP($B178&amp;$E178, 'VISIT DATA'!$A:$O,13,0))</f>
        <v/>
      </c>
      <c r="I178" s="314" t="str">
        <f>VLOOKUP($B178&amp;$E178,'VISIT DATA'!A:J, 9, FALSE)</f>
        <v>TORRES</v>
      </c>
      <c r="J178" s="314" t="str">
        <f>VLOOKUP(B178&amp;E178,'VISIT DATA'!A:N,10,FALSE)</f>
        <v>MEDICARE TEXAS</v>
      </c>
      <c r="K178" s="316"/>
      <c r="L178" s="314"/>
      <c r="M178" s="314"/>
      <c r="N178" s="316"/>
      <c r="O178" s="316" t="str">
        <f t="shared" si="1"/>
        <v>X</v>
      </c>
      <c r="P178" s="317" t="str">
        <f t="shared" si="2"/>
        <v>#VALUE!</v>
      </c>
      <c r="Q178" s="317" t="str">
        <f t="shared" si="3"/>
        <v>#VALUE!</v>
      </c>
      <c r="R178" s="319" t="str">
        <f t="shared" si="4"/>
        <v>#VALUE!</v>
      </c>
      <c r="S178" s="314" t="str">
        <f t="shared" si="5"/>
        <v>#VALUE!</v>
      </c>
      <c r="T178" s="314" t="str">
        <f t="shared" si="6"/>
        <v>#VALUE!</v>
      </c>
      <c r="U178" s="314">
        <f t="shared" si="7"/>
        <v>0</v>
      </c>
      <c r="V178" s="314" t="str">
        <f>ifs($N178="",VLOOKUP($B178&amp;$E178,'VISIT DATA'!$A$2:$J244,7,FALSE), $N178="SWAB","OUTSA-RW",$N178="SWQU","OUTSA-SaQu", AND($L178="X",$M178="X",$N178="QUEST"),"OUT-UAQPre",$N178="QUEST","OUT-UAQ", $N178="Walk in","ColUATele")</f>
        <v>UA</v>
      </c>
      <c r="W178" s="314" t="str">
        <f t="shared" si="8"/>
        <v>UA : Urine Analysis In House</v>
      </c>
      <c r="X178" s="314" t="str">
        <f t="shared" si="9"/>
        <v>#N/A</v>
      </c>
      <c r="Y178" s="314" t="str">
        <f t="shared" si="10"/>
        <v>#N/A</v>
      </c>
      <c r="Z178" s="314" t="str">
        <f t="shared" si="11"/>
        <v> </v>
      </c>
      <c r="AA178" s="316"/>
    </row>
    <row r="179">
      <c r="A179" s="314" t="str">
        <f>IFS($B179=FALSE,"",$B179,VLOOKUP($B179,'PATIENT DATA (072721)'!A:C, 2, 0))</f>
        <v>GALLARDO, MARIA D</v>
      </c>
      <c r="B179" s="314">
        <v>9353.0</v>
      </c>
      <c r="C179" s="316" t="str">
        <f>IF(COUNTIF('PATIENT DATA (072721)'!A:A, B179)=0, "X","✓")</f>
        <v>✓</v>
      </c>
      <c r="D179" s="317">
        <f>IFS($B179=FALSE,"",$B179,VLOOKUP($B179,'PATIENT DATA (072721)'!A:C, 3, 0))</f>
        <v>11841</v>
      </c>
      <c r="E179" s="318">
        <v>44568.0</v>
      </c>
      <c r="F179" s="315">
        <f>ifs($B179="","",$B179, VLOOKUP($B179&amp;$E179, 'VISIT DATA'!A:O,3,0))</f>
        <v>0.3333333333</v>
      </c>
      <c r="G179" s="314"/>
      <c r="H179" s="314" t="str">
        <f>ifs($B179="","",$B179, VLOOKUP($B179&amp;$E179, 'VISIT DATA'!$A:$O,13,0))</f>
        <v/>
      </c>
      <c r="I179" s="314" t="str">
        <f>VLOOKUP($B179&amp;$E179,'VISIT DATA'!A:J, 9, FALSE)</f>
        <v>MARTINEZ</v>
      </c>
      <c r="J179" s="314" t="str">
        <f>VLOOKUP(B179&amp;E179,'VISIT DATA'!A:N,10,FALSE)</f>
        <v>MEDICARE TEXAS</v>
      </c>
      <c r="K179" s="316"/>
      <c r="L179" s="314"/>
      <c r="M179" s="314"/>
      <c r="N179" s="316"/>
      <c r="O179" s="316" t="str">
        <f t="shared" si="1"/>
        <v>X</v>
      </c>
      <c r="P179" s="317" t="str">
        <f t="shared" si="2"/>
        <v>#VALUE!</v>
      </c>
      <c r="Q179" s="317" t="str">
        <f t="shared" si="3"/>
        <v>#VALUE!</v>
      </c>
      <c r="R179" s="319" t="str">
        <f t="shared" si="4"/>
        <v>#VALUE!</v>
      </c>
      <c r="S179" s="314" t="str">
        <f t="shared" si="5"/>
        <v>#VALUE!</v>
      </c>
      <c r="T179" s="314" t="str">
        <f t="shared" si="6"/>
        <v>#VALUE!</v>
      </c>
      <c r="U179" s="314">
        <f t="shared" si="7"/>
        <v>0</v>
      </c>
      <c r="V179" s="314" t="str">
        <f>ifs($N179="",VLOOKUP($B179&amp;$E179,'VISIT DATA'!$A$2:$J244,7,FALSE), $N179="SWAB","OUTSA-RW",$N179="SWQU","OUTSA-SaQu", AND($L179="X",$M179="X",$N179="QUEST"),"OUT-UAQPre",$N179="QUEST","OUT-UAQ", $N179="Walk in","ColUATele")</f>
        <v>UA</v>
      </c>
      <c r="W179" s="314" t="str">
        <f t="shared" si="8"/>
        <v>UA : Urine Analysis In House</v>
      </c>
      <c r="X179" s="314" t="str">
        <f t="shared" si="9"/>
        <v>#N/A</v>
      </c>
      <c r="Y179" s="314" t="str">
        <f t="shared" si="10"/>
        <v>#N/A</v>
      </c>
      <c r="Z179" s="314" t="str">
        <f t="shared" si="11"/>
        <v> </v>
      </c>
      <c r="AA179" s="316"/>
    </row>
    <row r="180">
      <c r="A180" s="314" t="str">
        <f>IFS($B180=FALSE,"",$B180,VLOOKUP($B180,'PATIENT DATA (072721)'!A:C, 2, 0))</f>
        <v>BORREGO, NORA P</v>
      </c>
      <c r="B180" s="314">
        <v>15851.0</v>
      </c>
      <c r="C180" s="316" t="str">
        <f>IF(COUNTIF('PATIENT DATA (072721)'!A:A, B180)=0, "X","✓")</f>
        <v>✓</v>
      </c>
      <c r="D180" s="317">
        <f>IFS($B180=FALSE,"",$B180,VLOOKUP($B180,'PATIENT DATA (072721)'!A:C, 3, 0))</f>
        <v>23918</v>
      </c>
      <c r="E180" s="318">
        <v>44568.0</v>
      </c>
      <c r="F180" s="315">
        <f>ifs($B180="","",$B180, VLOOKUP($B180&amp;$E180, 'VISIT DATA'!A:O,3,0))</f>
        <v>0.3333333333</v>
      </c>
      <c r="G180" s="314"/>
      <c r="H180" s="314" t="str">
        <f>ifs($B180="","",$B180, VLOOKUP($B180&amp;$E180, 'VISIT DATA'!$A:$O,13,0))</f>
        <v/>
      </c>
      <c r="I180" s="314" t="str">
        <f>VLOOKUP($B180&amp;$E180,'VISIT DATA'!A:J, 9, FALSE)</f>
        <v>TORRES</v>
      </c>
      <c r="J180" s="314" t="str">
        <f>VLOOKUP(B180&amp;E180,'VISIT DATA'!A:N,10,FALSE)</f>
        <v>AETNA</v>
      </c>
      <c r="K180" s="316"/>
      <c r="L180" s="314"/>
      <c r="M180" s="314"/>
      <c r="N180" s="316"/>
      <c r="O180" s="316" t="str">
        <f t="shared" si="1"/>
        <v>X</v>
      </c>
      <c r="P180" s="317" t="str">
        <f t="shared" si="2"/>
        <v>#VALUE!</v>
      </c>
      <c r="Q180" s="317" t="str">
        <f t="shared" si="3"/>
        <v>#VALUE!</v>
      </c>
      <c r="R180" s="319" t="str">
        <f t="shared" si="4"/>
        <v>#VALUE!</v>
      </c>
      <c r="S180" s="314" t="str">
        <f t="shared" si="5"/>
        <v>#VALUE!</v>
      </c>
      <c r="T180" s="314" t="str">
        <f t="shared" si="6"/>
        <v>#VALUE!</v>
      </c>
      <c r="U180" s="314">
        <f t="shared" si="7"/>
        <v>0</v>
      </c>
      <c r="V180" s="314" t="str">
        <f>ifs($N180="",VLOOKUP($B180&amp;$E180,'VISIT DATA'!$A$2:$J244,7,FALSE), $N180="SWAB","OUTSA-RW",$N180="SWQU","OUTSA-SaQu", AND($L180="X",$M180="X",$N180="QUEST"),"OUT-UAQPre",$N180="QUEST","OUT-UAQ", $N180="Walk in","ColUATele")</f>
        <v>UA</v>
      </c>
      <c r="W180" s="314" t="str">
        <f t="shared" si="8"/>
        <v>UA : Urine Analysis In House</v>
      </c>
      <c r="X180" s="314" t="str">
        <f t="shared" si="9"/>
        <v>#N/A</v>
      </c>
      <c r="Y180" s="314" t="str">
        <f t="shared" si="10"/>
        <v>#N/A</v>
      </c>
      <c r="Z180" s="314" t="str">
        <f t="shared" si="11"/>
        <v> </v>
      </c>
      <c r="AA180" s="316"/>
    </row>
    <row r="181">
      <c r="A181" s="314" t="str">
        <f>IFS($B181=FALSE,"",$B181,VLOOKUP($B181,'PATIENT DATA (072721)'!A:C, 2, 0))</f>
        <v>MARTINEZ, DIONEL S</v>
      </c>
      <c r="B181" s="314">
        <v>14172.0</v>
      </c>
      <c r="C181" s="316" t="str">
        <f>IF(COUNTIF('PATIENT DATA (072721)'!A:A, B181)=0, "X","✓")</f>
        <v>✓</v>
      </c>
      <c r="D181" s="317">
        <f>IFS($B181=FALSE,"",$B181,VLOOKUP($B181,'PATIENT DATA (072721)'!A:C, 3, 0))</f>
        <v>17875</v>
      </c>
      <c r="E181" s="318">
        <v>44568.0</v>
      </c>
      <c r="F181" s="315">
        <f>ifs($B181="","",$B181, VLOOKUP($B181&amp;$E181, 'VISIT DATA'!A:O,3,0))</f>
        <v>0.3645833333</v>
      </c>
      <c r="G181" s="314"/>
      <c r="H181" s="314" t="str">
        <f>ifs($B181="","",$B181, VLOOKUP($B181&amp;$E181, 'VISIT DATA'!$A:$O,13,0))</f>
        <v/>
      </c>
      <c r="I181" s="314" t="str">
        <f>VLOOKUP($B181&amp;$E181,'VISIT DATA'!A:J, 9, FALSE)</f>
        <v>MARTINEZ</v>
      </c>
      <c r="J181" s="314" t="str">
        <f>VLOOKUP(B181&amp;E181,'VISIT DATA'!A:N,10,FALSE)</f>
        <v>WPS VA - COMMUNITY CARE</v>
      </c>
      <c r="K181" s="316"/>
      <c r="L181" s="314"/>
      <c r="M181" s="314"/>
      <c r="N181" s="316"/>
      <c r="O181" s="316" t="str">
        <f t="shared" si="1"/>
        <v>X</v>
      </c>
      <c r="P181" s="317" t="str">
        <f t="shared" si="2"/>
        <v>#VALUE!</v>
      </c>
      <c r="Q181" s="317" t="str">
        <f t="shared" si="3"/>
        <v>#VALUE!</v>
      </c>
      <c r="R181" s="319" t="str">
        <f t="shared" si="4"/>
        <v>#VALUE!</v>
      </c>
      <c r="S181" s="314" t="str">
        <f t="shared" si="5"/>
        <v>#VALUE!</v>
      </c>
      <c r="T181" s="314" t="str">
        <f t="shared" si="6"/>
        <v>#VALUE!</v>
      </c>
      <c r="U181" s="314">
        <f t="shared" si="7"/>
        <v>0</v>
      </c>
      <c r="V181" s="314" t="str">
        <f>ifs($N181="",VLOOKUP($B181&amp;$E181,'VISIT DATA'!$A$2:$J244,7,FALSE), $N181="SWAB","OUTSA-RW",$N181="SWQU","OUTSA-SaQu", AND($L181="X",$M181="X",$N181="QUEST"),"OUT-UAQPre",$N181="QUEST","OUT-UAQ", $N181="Walk in","ColUATele")</f>
        <v>UA-Prelim</v>
      </c>
      <c r="W181" s="314" t="str">
        <f t="shared" si="8"/>
        <v>UA-Prelim : Preliminary UA Test</v>
      </c>
      <c r="X181" s="314" t="str">
        <f t="shared" si="9"/>
        <v>#N/A</v>
      </c>
      <c r="Y181" s="314" t="str">
        <f t="shared" si="10"/>
        <v>#N/A</v>
      </c>
      <c r="Z181" s="314" t="str">
        <f t="shared" si="11"/>
        <v> </v>
      </c>
      <c r="AA181" s="316"/>
    </row>
    <row r="182">
      <c r="A182" s="314" t="str">
        <f>IFS($B182=FALSE,"",$B182,VLOOKUP($B182,'PATIENT DATA (072721)'!A:C, 2, 0))</f>
        <v>MARTINEZ, VICTOR</v>
      </c>
      <c r="B182" s="314">
        <v>12316.0</v>
      </c>
      <c r="C182" s="316" t="str">
        <f>IF(COUNTIF('PATIENT DATA (072721)'!A:A, B182)=0, "X","✓")</f>
        <v>✓</v>
      </c>
      <c r="D182" s="317">
        <f>IFS($B182=FALSE,"",$B182,VLOOKUP($B182,'PATIENT DATA (072721)'!A:C, 3, 0))</f>
        <v>21955</v>
      </c>
      <c r="E182" s="318">
        <v>44568.0</v>
      </c>
      <c r="F182" s="315">
        <f>ifs($B182="","",$B182, VLOOKUP($B182&amp;$E182, 'VISIT DATA'!A:O,3,0))</f>
        <v>0.3541666667</v>
      </c>
      <c r="G182" s="314"/>
      <c r="H182" s="314" t="str">
        <f>ifs($B182="","",$B182, VLOOKUP($B182&amp;$E182, 'VISIT DATA'!$A:$O,13,0))</f>
        <v/>
      </c>
      <c r="I182" s="314" t="str">
        <f>VLOOKUP($B182&amp;$E182,'VISIT DATA'!A:J, 9, FALSE)</f>
        <v>TORRES</v>
      </c>
      <c r="J182" s="314" t="str">
        <f>VLOOKUP(B182&amp;E182,'VISIT DATA'!A:N,10,FALSE)</f>
        <v>WELLMED - UHC DUAL COMPLETE SNP</v>
      </c>
      <c r="K182" s="316"/>
      <c r="L182" s="314"/>
      <c r="M182" s="314"/>
      <c r="N182" s="316"/>
      <c r="O182" s="316" t="str">
        <f t="shared" si="1"/>
        <v>X</v>
      </c>
      <c r="P182" s="317" t="str">
        <f t="shared" si="2"/>
        <v>X</v>
      </c>
      <c r="Q182" s="317" t="str">
        <f t="shared" si="3"/>
        <v>#VALUE!</v>
      </c>
      <c r="R182" s="319" t="str">
        <f t="shared" si="4"/>
        <v>#VALUE!</v>
      </c>
      <c r="S182" s="314" t="str">
        <f t="shared" si="5"/>
        <v>#VALUE!</v>
      </c>
      <c r="T182" s="314" t="str">
        <f t="shared" si="6"/>
        <v>#VALUE!</v>
      </c>
      <c r="U182" s="314">
        <f t="shared" si="7"/>
        <v>1</v>
      </c>
      <c r="V182" s="314" t="str">
        <f>ifs($N182="",VLOOKUP($B182&amp;$E182,'VISIT DATA'!$A$2:$J244,7,FALSE), $N182="SWAB","OUTSA-RW",$N182="SWQU","OUTSA-SaQu", AND($L182="X",$M182="X",$N182="QUEST"),"OUT-UAQPre",$N182="QUEST","OUT-UAQ", $N182="Walk in","ColUATele")</f>
        <v>OUTUA-PrRW</v>
      </c>
      <c r="W182" s="314" t="str">
        <f t="shared" si="8"/>
        <v>OUTUA-PrRW : OUT UA Prelimin Redwood</v>
      </c>
      <c r="X182" s="314" t="str">
        <f t="shared" si="9"/>
        <v>#N/A</v>
      </c>
      <c r="Y182" s="314" t="str">
        <f t="shared" si="10"/>
        <v>#N/A</v>
      </c>
      <c r="Z182" s="314" t="str">
        <f t="shared" si="11"/>
        <v> </v>
      </c>
      <c r="AA182" s="316"/>
    </row>
    <row r="183">
      <c r="A183" s="314" t="str">
        <f>IFS($B183=FALSE,"",$B183,VLOOKUP($B183,'PATIENT DATA (072721)'!A:C, 2, 0))</f>
        <v>PATTERSON, EVA</v>
      </c>
      <c r="B183" s="314">
        <v>14839.0</v>
      </c>
      <c r="C183" s="316" t="str">
        <f>IF(COUNTIF('PATIENT DATA (072721)'!A:A, B183)=0, "X","✓")</f>
        <v>✓</v>
      </c>
      <c r="D183" s="317">
        <f>IFS($B183=FALSE,"",$B183,VLOOKUP($B183,'PATIENT DATA (072721)'!A:C, 3, 0))</f>
        <v>23343</v>
      </c>
      <c r="E183" s="318">
        <v>44568.0</v>
      </c>
      <c r="F183" s="315">
        <f>ifs($B183="","",$B183, VLOOKUP($B183&amp;$E183, 'VISIT DATA'!A:O,3,0))</f>
        <v>0.3125</v>
      </c>
      <c r="G183" s="314"/>
      <c r="H183" s="314" t="str">
        <f>ifs($B183="","",$B183, VLOOKUP($B183&amp;$E183, 'VISIT DATA'!$A:$O,13,0))</f>
        <v/>
      </c>
      <c r="I183" s="314" t="str">
        <f>VLOOKUP($B183&amp;$E183,'VISIT DATA'!A:J, 9, FALSE)</f>
        <v>LOPEZ</v>
      </c>
      <c r="J183" s="314" t="str">
        <f>VLOOKUP(B183&amp;E183,'VISIT DATA'!A:N,10,FALSE)</f>
        <v>WELLMED - UHC DUAL COMPLETE SNP</v>
      </c>
      <c r="K183" s="316"/>
      <c r="L183" s="314"/>
      <c r="M183" s="314"/>
      <c r="N183" s="316"/>
      <c r="O183" s="316" t="str">
        <f t="shared" si="1"/>
        <v>X</v>
      </c>
      <c r="P183" s="317" t="str">
        <f t="shared" si="2"/>
        <v>X</v>
      </c>
      <c r="Q183" s="317" t="str">
        <f t="shared" si="3"/>
        <v>#VALUE!</v>
      </c>
      <c r="R183" s="319" t="str">
        <f t="shared" si="4"/>
        <v>#VALUE!</v>
      </c>
      <c r="S183" s="314" t="str">
        <f t="shared" si="5"/>
        <v>#VALUE!</v>
      </c>
      <c r="T183" s="314" t="str">
        <f t="shared" si="6"/>
        <v>#VALUE!</v>
      </c>
      <c r="U183" s="314">
        <f t="shared" si="7"/>
        <v>1</v>
      </c>
      <c r="V183" s="314" t="str">
        <f>ifs($N183="",VLOOKUP($B183&amp;$E183,'VISIT DATA'!$A$2:$J244,7,FALSE), $N183="SWAB","OUTSA-RW",$N183="SWQU","OUTSA-SaQu", AND($L183="X",$M183="X",$N183="QUEST"),"OUT-UAQPre",$N183="QUEST","OUT-UAQ", $N183="Walk in","ColUATele")</f>
        <v>OUTUA-FURW</v>
      </c>
      <c r="W183" s="314" t="str">
        <f t="shared" si="8"/>
        <v>OUTUA-FURW : OUT UA FU Redwood</v>
      </c>
      <c r="X183" s="314" t="str">
        <f t="shared" si="9"/>
        <v>#N/A</v>
      </c>
      <c r="Y183" s="314" t="str">
        <f t="shared" si="10"/>
        <v>#N/A</v>
      </c>
      <c r="Z183" s="314" t="str">
        <f t="shared" si="11"/>
        <v> </v>
      </c>
      <c r="AA183" s="316"/>
    </row>
    <row r="184">
      <c r="A184" s="314" t="str">
        <f>IFS($B184=FALSE,"",$B184,VLOOKUP($B184,'PATIENT DATA (072721)'!A:C, 2, 0))</f>
        <v>SILVAS, ANTONIO L</v>
      </c>
      <c r="B184" s="314">
        <v>13005.0</v>
      </c>
      <c r="C184" s="316" t="str">
        <f>IF(COUNTIF('PATIENT DATA (072721)'!A:A, B184)=0, "X","✓")</f>
        <v>✓</v>
      </c>
      <c r="D184" s="317">
        <f>IFS($B184=FALSE,"",$B184,VLOOKUP($B184,'PATIENT DATA (072721)'!A:C, 3, 0))</f>
        <v>22674</v>
      </c>
      <c r="E184" s="318">
        <v>44568.0</v>
      </c>
      <c r="F184" s="315">
        <f>ifs($B184="","",$B184, VLOOKUP($B184&amp;$E184, 'VISIT DATA'!A:O,3,0))</f>
        <v>0.34375</v>
      </c>
      <c r="G184" s="314"/>
      <c r="H184" s="314" t="str">
        <f>ifs($B184="","",$B184, VLOOKUP($B184&amp;$E184, 'VISIT DATA'!$A:$O,13,0))</f>
        <v/>
      </c>
      <c r="I184" s="314" t="str">
        <f>VLOOKUP($B184&amp;$E184,'VISIT DATA'!A:J, 9, FALSE)</f>
        <v>MARTINEZ</v>
      </c>
      <c r="J184" s="314" t="str">
        <f>VLOOKUP(B184&amp;E184,'VISIT DATA'!A:N,10,FALSE)</f>
        <v>WELLMED - AARP MEDICARE COMPLETE</v>
      </c>
      <c r="K184" s="316"/>
      <c r="L184" s="314"/>
      <c r="M184" s="314"/>
      <c r="N184" s="316"/>
      <c r="O184" s="316" t="str">
        <f t="shared" si="1"/>
        <v>X</v>
      </c>
      <c r="P184" s="317" t="str">
        <f t="shared" si="2"/>
        <v>X</v>
      </c>
      <c r="Q184" s="317" t="str">
        <f t="shared" si="3"/>
        <v>#VALUE!</v>
      </c>
      <c r="R184" s="319" t="str">
        <f t="shared" si="4"/>
        <v>#VALUE!</v>
      </c>
      <c r="S184" s="314" t="str">
        <f t="shared" si="5"/>
        <v>#VALUE!</v>
      </c>
      <c r="T184" s="314" t="str">
        <f t="shared" si="6"/>
        <v>#VALUE!</v>
      </c>
      <c r="U184" s="314">
        <f t="shared" si="7"/>
        <v>1</v>
      </c>
      <c r="V184" s="314" t="str">
        <f>ifs($N184="",VLOOKUP($B184&amp;$E184,'VISIT DATA'!$A$2:$J244,7,FALSE), $N184="SWAB","OUTSA-RW",$N184="SWQU","OUTSA-SaQu", AND($L184="X",$M184="X",$N184="QUEST"),"OUT-UAQPre",$N184="QUEST","OUT-UAQ", $N184="Walk in","ColUATele")</f>
        <v>OUTUA-FURW</v>
      </c>
      <c r="W184" s="314" t="str">
        <f t="shared" si="8"/>
        <v>OUTUA-FURW : OUT UA FU Redwood</v>
      </c>
      <c r="X184" s="314" t="str">
        <f t="shared" si="9"/>
        <v>#N/A</v>
      </c>
      <c r="Y184" s="314" t="str">
        <f t="shared" si="10"/>
        <v>#N/A</v>
      </c>
      <c r="Z184" s="314" t="str">
        <f t="shared" si="11"/>
        <v> </v>
      </c>
      <c r="AA184" s="316"/>
    </row>
    <row r="185">
      <c r="A185" s="314" t="str">
        <f>IFS($B185=FALSE,"",$B185,VLOOKUP($B185,'PATIENT DATA (072721)'!A:C, 2, 0))</f>
        <v>HERMOSILLO, GLORIA E</v>
      </c>
      <c r="B185" s="314">
        <v>15383.0</v>
      </c>
      <c r="C185" s="316" t="str">
        <f>IF(COUNTIF('PATIENT DATA (072721)'!A:A, B185)=0, "X","✓")</f>
        <v>✓</v>
      </c>
      <c r="D185" s="317">
        <f>IFS($B185=FALSE,"",$B185,VLOOKUP($B185,'PATIENT DATA (072721)'!A:C, 3, 0))</f>
        <v>18387</v>
      </c>
      <c r="E185" s="318">
        <v>44568.0</v>
      </c>
      <c r="F185" s="315">
        <f>ifs($B185="","",$B185, VLOOKUP($B185&amp;$E185, 'VISIT DATA'!A:O,3,0))</f>
        <v>0.3645833333</v>
      </c>
      <c r="G185" s="314"/>
      <c r="H185" s="314" t="str">
        <f>ifs($B185="","",$B185, VLOOKUP($B185&amp;$E185, 'VISIT DATA'!$A:$O,13,0))</f>
        <v/>
      </c>
      <c r="I185" s="314" t="str">
        <f>VLOOKUP($B185&amp;$E185,'VISIT DATA'!A:J, 9, FALSE)</f>
        <v>LOPEZ</v>
      </c>
      <c r="J185" s="314" t="str">
        <f>VLOOKUP(B185&amp;E185,'VISIT DATA'!A:N,10,FALSE)</f>
        <v>WELLMED - CIGNA HEALTHSPRING</v>
      </c>
      <c r="K185" s="316"/>
      <c r="L185" s="314"/>
      <c r="M185" s="314"/>
      <c r="N185" s="316"/>
      <c r="O185" s="316" t="str">
        <f t="shared" si="1"/>
        <v>X</v>
      </c>
      <c r="P185" s="317" t="str">
        <f t="shared" si="2"/>
        <v>X</v>
      </c>
      <c r="Q185" s="317" t="str">
        <f t="shared" si="3"/>
        <v>#VALUE!</v>
      </c>
      <c r="R185" s="319" t="str">
        <f t="shared" si="4"/>
        <v>#VALUE!</v>
      </c>
      <c r="S185" s="314" t="str">
        <f t="shared" si="5"/>
        <v>#VALUE!</v>
      </c>
      <c r="T185" s="314" t="str">
        <f t="shared" si="6"/>
        <v>#VALUE!</v>
      </c>
      <c r="U185" s="314">
        <f t="shared" si="7"/>
        <v>1</v>
      </c>
      <c r="V185" s="314" t="str">
        <f>ifs($N185="",VLOOKUP($B185&amp;$E185,'VISIT DATA'!$A$2:$J244,7,FALSE), $N185="SWAB","OUTSA-RW",$N185="SWQU","OUTSA-SaQu", AND($L185="X",$M185="X",$N185="QUEST"),"OUT-UAQPre",$N185="QUEST","OUT-UAQ", $N185="Walk in","ColUATele")</f>
        <v>OUTUA-FURW</v>
      </c>
      <c r="W185" s="314" t="str">
        <f t="shared" si="8"/>
        <v>OUTUA-FURW : OUT UA FU Redwood</v>
      </c>
      <c r="X185" s="314" t="str">
        <f t="shared" si="9"/>
        <v>#N/A</v>
      </c>
      <c r="Y185" s="314" t="str">
        <f t="shared" si="10"/>
        <v>#N/A</v>
      </c>
      <c r="Z185" s="314" t="str">
        <f t="shared" si="11"/>
        <v> </v>
      </c>
      <c r="AA185" s="316"/>
    </row>
    <row r="186">
      <c r="A186" s="314" t="str">
        <f>IFS($B186=FALSE,"",$B186,VLOOKUP($B186,'PATIENT DATA (072721)'!A:C, 2, 0))</f>
        <v>MARTINEZ, DINA V</v>
      </c>
      <c r="B186" s="314">
        <v>15359.0</v>
      </c>
      <c r="C186" s="316" t="str">
        <f>IF(COUNTIF('PATIENT DATA (072721)'!A:A, B186)=0, "X","✓")</f>
        <v>✓</v>
      </c>
      <c r="D186" s="317">
        <f>IFS($B186=FALSE,"",$B186,VLOOKUP($B186,'PATIENT DATA (072721)'!A:C, 3, 0))</f>
        <v>29328</v>
      </c>
      <c r="E186" s="318">
        <v>44568.0</v>
      </c>
      <c r="F186" s="315">
        <f>ifs($B186="","",$B186, VLOOKUP($B186&amp;$E186, 'VISIT DATA'!A:O,3,0))</f>
        <v>0.375</v>
      </c>
      <c r="G186" s="314"/>
      <c r="H186" s="314" t="str">
        <f>ifs($B186="","",$B186, VLOOKUP($B186&amp;$E186, 'VISIT DATA'!$A:$O,13,0))</f>
        <v/>
      </c>
      <c r="I186" s="314" t="str">
        <f>VLOOKUP($B186&amp;$E186,'VISIT DATA'!A:J, 9, FALSE)</f>
        <v>TORRES</v>
      </c>
      <c r="J186" s="314" t="str">
        <f>VLOOKUP(B186&amp;E186,'VISIT DATA'!A:N,10,FALSE)</f>
        <v>AMERIGROUP</v>
      </c>
      <c r="K186" s="316"/>
      <c r="L186" s="314"/>
      <c r="M186" s="314"/>
      <c r="N186" s="316"/>
      <c r="O186" s="316" t="str">
        <f t="shared" si="1"/>
        <v>X</v>
      </c>
      <c r="P186" s="317" t="str">
        <f t="shared" si="2"/>
        <v>#VALUE!</v>
      </c>
      <c r="Q186" s="317" t="str">
        <f t="shared" si="3"/>
        <v>#VALUE!</v>
      </c>
      <c r="R186" s="319" t="str">
        <f t="shared" si="4"/>
        <v>#VALUE!</v>
      </c>
      <c r="S186" s="314" t="str">
        <f t="shared" si="5"/>
        <v>#VALUE!</v>
      </c>
      <c r="T186" s="314" t="str">
        <f t="shared" si="6"/>
        <v>#VALUE!</v>
      </c>
      <c r="U186" s="314">
        <f t="shared" si="7"/>
        <v>0</v>
      </c>
      <c r="V186" s="314" t="str">
        <f>ifs($N186="",VLOOKUP($B186&amp;$E186,'VISIT DATA'!$A$2:$J244,7,FALSE), $N186="SWAB","OUTSA-RW",$N186="SWQU","OUTSA-SaQu", AND($L186="X",$M186="X",$N186="QUEST"),"OUT-UAQPre",$N186="QUEST","OUT-UAQ", $N186="Walk in","ColUATele")</f>
        <v>UA-Prelim</v>
      </c>
      <c r="W186" s="314" t="str">
        <f t="shared" si="8"/>
        <v>UA-Prelim : Preliminary UA Test</v>
      </c>
      <c r="X186" s="314" t="str">
        <f t="shared" si="9"/>
        <v>#N/A</v>
      </c>
      <c r="Y186" s="314" t="str">
        <f t="shared" si="10"/>
        <v>#N/A</v>
      </c>
      <c r="Z186" s="314" t="str">
        <f t="shared" si="11"/>
        <v> </v>
      </c>
      <c r="AA186" s="316"/>
    </row>
    <row r="187">
      <c r="A187" s="314" t="str">
        <f>IFS($B187=FALSE,"",$B187,VLOOKUP($B187,'PATIENT DATA (072721)'!A:C, 2, 0))</f>
        <v>FARR, AVERY W</v>
      </c>
      <c r="B187" s="314">
        <v>9239.0</v>
      </c>
      <c r="C187" s="316" t="str">
        <f>IF(COUNTIF('PATIENT DATA (072721)'!A:A, B187)=0, "X","✓")</f>
        <v>✓</v>
      </c>
      <c r="D187" s="317">
        <f>IFS($B187=FALSE,"",$B187,VLOOKUP($B187,'PATIENT DATA (072721)'!A:C, 3, 0))</f>
        <v>17941</v>
      </c>
      <c r="E187" s="318">
        <v>44568.0</v>
      </c>
      <c r="F187" s="315">
        <f>ifs($B187="","",$B187, VLOOKUP($B187&amp;$E187, 'VISIT DATA'!A:O,3,0))</f>
        <v>0.3958333333</v>
      </c>
      <c r="G187" s="314"/>
      <c r="H187" s="314" t="str">
        <f>ifs($B187="","",$B187, VLOOKUP($B187&amp;$E187, 'VISIT DATA'!$A:$O,13,0))</f>
        <v/>
      </c>
      <c r="I187" s="314" t="str">
        <f>VLOOKUP($B187&amp;$E187,'VISIT DATA'!A:J, 9, FALSE)</f>
        <v>TORRES</v>
      </c>
      <c r="J187" s="314" t="str">
        <f>VLOOKUP(B187&amp;E187,'VISIT DATA'!A:N,10,FALSE)</f>
        <v>WPS VA - COMMUNITY CARE</v>
      </c>
      <c r="K187" s="316"/>
      <c r="L187" s="314"/>
      <c r="M187" s="314"/>
      <c r="N187" s="316"/>
      <c r="O187" s="316" t="str">
        <f t="shared" si="1"/>
        <v>X</v>
      </c>
      <c r="P187" s="317" t="str">
        <f t="shared" si="2"/>
        <v>#VALUE!</v>
      </c>
      <c r="Q187" s="317" t="str">
        <f t="shared" si="3"/>
        <v>#VALUE!</v>
      </c>
      <c r="R187" s="319" t="str">
        <f t="shared" si="4"/>
        <v>#VALUE!</v>
      </c>
      <c r="S187" s="314" t="str">
        <f t="shared" si="5"/>
        <v>#VALUE!</v>
      </c>
      <c r="T187" s="314" t="str">
        <f t="shared" si="6"/>
        <v>#VALUE!</v>
      </c>
      <c r="U187" s="314">
        <f t="shared" si="7"/>
        <v>0</v>
      </c>
      <c r="V187" s="314" t="str">
        <f>ifs($N187="",VLOOKUP($B187&amp;$E187,'VISIT DATA'!$A$2:$J244,7,FALSE), $N187="SWAB","OUTSA-RW",$N187="SWQU","OUTSA-SaQu", AND($L187="X",$M187="X",$N187="QUEST"),"OUT-UAQPre",$N187="QUEST","OUT-UAQ", $N187="Walk in","ColUATele")</f>
        <v>UA</v>
      </c>
      <c r="W187" s="314" t="str">
        <f t="shared" si="8"/>
        <v>UA : Urine Analysis In House</v>
      </c>
      <c r="X187" s="314" t="str">
        <f t="shared" si="9"/>
        <v>#N/A</v>
      </c>
      <c r="Y187" s="314" t="str">
        <f t="shared" si="10"/>
        <v>#N/A</v>
      </c>
      <c r="Z187" s="314" t="str">
        <f t="shared" si="11"/>
        <v> </v>
      </c>
      <c r="AA187" s="316"/>
    </row>
    <row r="188">
      <c r="A188" s="314" t="str">
        <f>IFS($B188=FALSE,"",$B188,VLOOKUP($B188,'PATIENT DATA (072721)'!A:C, 2, 0))</f>
        <v>RAMIREZ, GUADALUPE</v>
      </c>
      <c r="B188" s="314">
        <v>14156.0</v>
      </c>
      <c r="C188" s="316" t="str">
        <f>IF(COUNTIF('PATIENT DATA (072721)'!A:A, B188)=0, "X","✓")</f>
        <v>✓</v>
      </c>
      <c r="D188" s="317">
        <f>IFS($B188=FALSE,"",$B188,VLOOKUP($B188,'PATIENT DATA (072721)'!A:C, 3, 0))</f>
        <v>18022</v>
      </c>
      <c r="E188" s="318">
        <v>44568.0</v>
      </c>
      <c r="F188" s="315">
        <f>ifs($B188="","",$B188, VLOOKUP($B188&amp;$E188, 'VISIT DATA'!A:O,3,0))</f>
        <v>0.375</v>
      </c>
      <c r="G188" s="314"/>
      <c r="H188" s="314" t="str">
        <f>ifs($B188="","",$B188, VLOOKUP($B188&amp;$E188, 'VISIT DATA'!$A:$O,13,0))</f>
        <v/>
      </c>
      <c r="I188" s="314" t="str">
        <f>VLOOKUP($B188&amp;$E188,'VISIT DATA'!A:J, 9, FALSE)</f>
        <v>MARTINEZ</v>
      </c>
      <c r="J188" s="314" t="str">
        <f>VLOOKUP(B188&amp;E188,'VISIT DATA'!A:N,10,FALSE)</f>
        <v>MOLINA DUAL COMPLETE TEXAS</v>
      </c>
      <c r="K188" s="316"/>
      <c r="L188" s="314"/>
      <c r="M188" s="314"/>
      <c r="N188" s="316"/>
      <c r="O188" s="316" t="str">
        <f t="shared" si="1"/>
        <v>X</v>
      </c>
      <c r="P188" s="317" t="str">
        <f t="shared" si="2"/>
        <v>#VALUE!</v>
      </c>
      <c r="Q188" s="317" t="str">
        <f t="shared" si="3"/>
        <v>X</v>
      </c>
      <c r="R188" s="319" t="str">
        <f t="shared" si="4"/>
        <v>#VALUE!</v>
      </c>
      <c r="S188" s="314" t="str">
        <f t="shared" si="5"/>
        <v>#VALUE!</v>
      </c>
      <c r="T188" s="314" t="str">
        <f t="shared" si="6"/>
        <v>#VALUE!</v>
      </c>
      <c r="U188" s="314">
        <f t="shared" si="7"/>
        <v>1</v>
      </c>
      <c r="V188" s="314" t="str">
        <f>ifs($N188="",VLOOKUP($B188&amp;$E188,'VISIT DATA'!$A$2:$J244,7,FALSE), $N188="SWAB","OUTSA-RW",$N188="SWQU","OUTSA-SaQu", AND($L188="X",$M188="X",$N188="QUEST"),"OUT-UAQPre",$N188="QUEST","OUT-UAQ", $N188="Walk in","ColUATele")</f>
        <v>OUTUA-PrRW</v>
      </c>
      <c r="W188" s="314" t="str">
        <f t="shared" si="8"/>
        <v>OUTUA-PrRW : OUT UA Prelimin Redwood</v>
      </c>
      <c r="X188" s="314" t="str">
        <f t="shared" si="9"/>
        <v>#N/A</v>
      </c>
      <c r="Y188" s="314" t="str">
        <f t="shared" si="10"/>
        <v>#N/A</v>
      </c>
      <c r="Z188" s="314" t="str">
        <f t="shared" si="11"/>
        <v> </v>
      </c>
      <c r="AA188" s="316"/>
    </row>
    <row r="189">
      <c r="A189" s="314" t="str">
        <f>IFS($B189=FALSE,"",$B189,VLOOKUP($B189,'PATIENT DATA (072721)'!A:C, 2, 0))</f>
        <v>HERNANDEZ, RAUL M</v>
      </c>
      <c r="B189" s="314">
        <v>16119.0</v>
      </c>
      <c r="C189" s="316" t="str">
        <f>IF(COUNTIF('PATIENT DATA (072721)'!A:A, B189)=0, "X","✓")</f>
        <v>✓</v>
      </c>
      <c r="D189" s="317">
        <f>IFS($B189=FALSE,"",$B189,VLOOKUP($B189,'PATIENT DATA (072721)'!A:C, 3, 0))</f>
        <v>22435</v>
      </c>
      <c r="E189" s="318">
        <v>44568.0</v>
      </c>
      <c r="F189" s="315">
        <f>ifs($B189="","",$B189, VLOOKUP($B189&amp;$E189, 'VISIT DATA'!A:O,3,0))</f>
        <v>0.3854166667</v>
      </c>
      <c r="G189" s="314"/>
      <c r="H189" s="314" t="str">
        <f>ifs($B189="","",$B189, VLOOKUP($B189&amp;$E189, 'VISIT DATA'!$A:$O,13,0))</f>
        <v/>
      </c>
      <c r="I189" s="314" t="str">
        <f>VLOOKUP($B189&amp;$E189,'VISIT DATA'!A:J, 9, FALSE)</f>
        <v>LOPEZ</v>
      </c>
      <c r="J189" s="314" t="str">
        <f>VLOOKUP(B189&amp;E189,'VISIT DATA'!A:N,10,FALSE)</f>
        <v>BCBSTX PPO</v>
      </c>
      <c r="K189" s="316"/>
      <c r="L189" s="314"/>
      <c r="M189" s="314"/>
      <c r="N189" s="316"/>
      <c r="O189" s="316" t="str">
        <f t="shared" si="1"/>
        <v>X</v>
      </c>
      <c r="P189" s="317" t="str">
        <f t="shared" si="2"/>
        <v>#VALUE!</v>
      </c>
      <c r="Q189" s="317" t="str">
        <f t="shared" si="3"/>
        <v>#VALUE!</v>
      </c>
      <c r="R189" s="319" t="str">
        <f t="shared" si="4"/>
        <v>#VALUE!</v>
      </c>
      <c r="S189" s="314" t="str">
        <f t="shared" si="5"/>
        <v>#VALUE!</v>
      </c>
      <c r="T189" s="314" t="str">
        <f t="shared" si="6"/>
        <v>#VALUE!</v>
      </c>
      <c r="U189" s="314">
        <f t="shared" si="7"/>
        <v>0</v>
      </c>
      <c r="V189" s="314" t="str">
        <f>ifs($N189="",VLOOKUP($B189&amp;$E189,'VISIT DATA'!$A$2:$J244,7,FALSE), $N189="SWAB","OUTSA-RW",$N189="SWQU","OUTSA-SaQu", AND($L189="X",$M189="X",$N189="QUEST"),"OUT-UAQPre",$N189="QUEST","OUT-UAQ", $N189="Walk in","ColUATele")</f>
        <v>UA-Prelim</v>
      </c>
      <c r="W189" s="314" t="str">
        <f t="shared" si="8"/>
        <v>UA-Prelim : Preliminary UA Test</v>
      </c>
      <c r="X189" s="314" t="str">
        <f t="shared" si="9"/>
        <v>#N/A</v>
      </c>
      <c r="Y189" s="314" t="str">
        <f t="shared" si="10"/>
        <v>#N/A</v>
      </c>
      <c r="Z189" s="314" t="str">
        <f t="shared" si="11"/>
        <v> </v>
      </c>
      <c r="AA189" s="316"/>
    </row>
    <row r="190">
      <c r="A190" s="314" t="str">
        <f>IFS($B190=FALSE,"",$B190,VLOOKUP($B190,'PATIENT DATA (072721)'!A:C, 2, 0))</f>
        <v>RUIZ, GRACIELA</v>
      </c>
      <c r="B190" s="314">
        <v>15589.0</v>
      </c>
      <c r="C190" s="316" t="str">
        <f>IF(COUNTIF('PATIENT DATA (072721)'!A:A, B190)=0, "X","✓")</f>
        <v>✓</v>
      </c>
      <c r="D190" s="317">
        <f>IFS($B190=FALSE,"",$B190,VLOOKUP($B190,'PATIENT DATA (072721)'!A:C, 3, 0))</f>
        <v>24482</v>
      </c>
      <c r="E190" s="318">
        <v>44568.0</v>
      </c>
      <c r="F190" s="315">
        <f>ifs($B190="","",$B190, VLOOKUP($B190&amp;$E190, 'VISIT DATA'!A:O,3,0))</f>
        <v>0.40625</v>
      </c>
      <c r="G190" s="314"/>
      <c r="H190" s="314" t="str">
        <f>ifs($B190="","",$B190, VLOOKUP($B190&amp;$E190, 'VISIT DATA'!$A:$O,13,0))</f>
        <v/>
      </c>
      <c r="I190" s="314" t="str">
        <f>VLOOKUP($B190&amp;$E190,'VISIT DATA'!A:J, 9, FALSE)</f>
        <v>TORRES</v>
      </c>
      <c r="J190" s="314" t="str">
        <f>VLOOKUP(B190&amp;E190,'VISIT DATA'!A:N,10,FALSE)</f>
        <v>WELLMED - UHC DUAL COMPLETE SNP</v>
      </c>
      <c r="K190" s="316"/>
      <c r="L190" s="314"/>
      <c r="M190" s="314"/>
      <c r="N190" s="316"/>
      <c r="O190" s="316" t="str">
        <f t="shared" si="1"/>
        <v>X</v>
      </c>
      <c r="P190" s="317" t="str">
        <f t="shared" si="2"/>
        <v>X</v>
      </c>
      <c r="Q190" s="317" t="str">
        <f t="shared" si="3"/>
        <v>#VALUE!</v>
      </c>
      <c r="R190" s="319" t="str">
        <f t="shared" si="4"/>
        <v>#VALUE!</v>
      </c>
      <c r="S190" s="314" t="str">
        <f t="shared" si="5"/>
        <v>#VALUE!</v>
      </c>
      <c r="T190" s="314" t="str">
        <f t="shared" si="6"/>
        <v>#VALUE!</v>
      </c>
      <c r="U190" s="314">
        <f t="shared" si="7"/>
        <v>1</v>
      </c>
      <c r="V190" s="314" t="str">
        <f>ifs($N190="",VLOOKUP($B190&amp;$E190,'VISIT DATA'!$A$2:$J244,7,FALSE), $N190="SWAB","OUTSA-RW",$N190="SWQU","OUTSA-SaQu", AND($L190="X",$M190="X",$N190="QUEST"),"OUT-UAQPre",$N190="QUEST","OUT-UAQ", $N190="Walk in","ColUATele")</f>
        <v>OUTUA-PrRW</v>
      </c>
      <c r="W190" s="314" t="str">
        <f t="shared" si="8"/>
        <v>OUTUA-PrRW : OUT UA Prelimin Redwood</v>
      </c>
      <c r="X190" s="314" t="str">
        <f t="shared" si="9"/>
        <v>#N/A</v>
      </c>
      <c r="Y190" s="314" t="str">
        <f t="shared" si="10"/>
        <v>#N/A</v>
      </c>
      <c r="Z190" s="314" t="str">
        <f t="shared" si="11"/>
        <v> </v>
      </c>
      <c r="AA190" s="316"/>
    </row>
    <row r="191">
      <c r="A191" s="314" t="str">
        <f>IFS($B191=FALSE,"",$B191,VLOOKUP($B191,'PATIENT DATA (072721)'!A:C, 2, 0))</f>
        <v>GLASCO, STEVEN E</v>
      </c>
      <c r="B191" s="314">
        <v>13283.0</v>
      </c>
      <c r="C191" s="316" t="str">
        <f>IF(COUNTIF('PATIENT DATA (072721)'!A:A, B191)=0, "X","✓")</f>
        <v>✓</v>
      </c>
      <c r="D191" s="317">
        <f>IFS($B191=FALSE,"",$B191,VLOOKUP($B191,'PATIENT DATA (072721)'!A:C, 3, 0))</f>
        <v>28196</v>
      </c>
      <c r="E191" s="318">
        <v>44568.0</v>
      </c>
      <c r="F191" s="315">
        <f>ifs($B191="","",$B191, VLOOKUP($B191&amp;$E191, 'VISIT DATA'!A:O,3,0))</f>
        <v>0.3958333333</v>
      </c>
      <c r="G191" s="314"/>
      <c r="H191" s="314" t="str">
        <f>ifs($B191="","",$B191, VLOOKUP($B191&amp;$E191, 'VISIT DATA'!$A:$O,13,0))</f>
        <v/>
      </c>
      <c r="I191" s="314" t="str">
        <f>VLOOKUP($B191&amp;$E191,'VISIT DATA'!A:J, 9, FALSE)</f>
        <v>MARTINEZ</v>
      </c>
      <c r="J191" s="314" t="str">
        <f>VLOOKUP(B191&amp;E191,'VISIT DATA'!A:N,10,FALSE)</f>
        <v>WPS VA - COMMUNITY CARE</v>
      </c>
      <c r="K191" s="316"/>
      <c r="L191" s="314"/>
      <c r="M191" s="314"/>
      <c r="N191" s="316"/>
      <c r="O191" s="316" t="str">
        <f t="shared" si="1"/>
        <v>X</v>
      </c>
      <c r="P191" s="317" t="str">
        <f t="shared" si="2"/>
        <v>#VALUE!</v>
      </c>
      <c r="Q191" s="317" t="str">
        <f t="shared" si="3"/>
        <v>#VALUE!</v>
      </c>
      <c r="R191" s="319" t="str">
        <f t="shared" si="4"/>
        <v>#VALUE!</v>
      </c>
      <c r="S191" s="314" t="str">
        <f t="shared" si="5"/>
        <v>#VALUE!</v>
      </c>
      <c r="T191" s="314" t="str">
        <f t="shared" si="6"/>
        <v>#VALUE!</v>
      </c>
      <c r="U191" s="314">
        <f t="shared" si="7"/>
        <v>0</v>
      </c>
      <c r="V191" s="314" t="str">
        <f>ifs($N191="",VLOOKUP($B191&amp;$E191,'VISIT DATA'!$A$2:$J244,7,FALSE), $N191="SWAB","OUTSA-RW",$N191="SWQU","OUTSA-SaQu", AND($L191="X",$M191="X",$N191="QUEST"),"OUT-UAQPre",$N191="QUEST","OUT-UAQ", $N191="Walk in","ColUATele")</f>
        <v>UA-Prelim</v>
      </c>
      <c r="W191" s="314" t="str">
        <f t="shared" si="8"/>
        <v>UA-Prelim : Preliminary UA Test</v>
      </c>
      <c r="X191" s="314" t="str">
        <f t="shared" si="9"/>
        <v>#N/A</v>
      </c>
      <c r="Y191" s="314" t="str">
        <f t="shared" si="10"/>
        <v>#N/A</v>
      </c>
      <c r="Z191" s="314" t="str">
        <f t="shared" si="11"/>
        <v> </v>
      </c>
      <c r="AA191" s="316"/>
    </row>
    <row r="192">
      <c r="A192" s="314" t="str">
        <f>IFS($B192=FALSE,"",$B192,VLOOKUP($B192,'PATIENT DATA (072721)'!A:C, 2, 0))</f>
        <v>HERNANDEZ, JESUS</v>
      </c>
      <c r="B192" s="314">
        <v>11345.0</v>
      </c>
      <c r="C192" s="316" t="str">
        <f>IF(COUNTIF('PATIENT DATA (072721)'!A:A, B192)=0, "X","✓")</f>
        <v>✓</v>
      </c>
      <c r="D192" s="317">
        <f>IFS($B192=FALSE,"",$B192,VLOOKUP($B192,'PATIENT DATA (072721)'!A:C, 3, 0))</f>
        <v>23642</v>
      </c>
      <c r="E192" s="318">
        <v>44568.0</v>
      </c>
      <c r="F192" s="315" t="str">
        <f>ifs($B192="","",$B192, VLOOKUP($B192&amp;$E192, 'VISIT DATA'!A:O,3,0))</f>
        <v>#N/A</v>
      </c>
      <c r="G192" s="314"/>
      <c r="H192" s="314" t="str">
        <f>ifs($B192="","",$B192, VLOOKUP($B192&amp;$E192, 'VISIT DATA'!$A:$O,13,0))</f>
        <v>#N/A</v>
      </c>
      <c r="I192" s="314" t="str">
        <f>VLOOKUP($B192&amp;$E192,'VISIT DATA'!A:J, 9, FALSE)</f>
        <v>#N/A</v>
      </c>
      <c r="J192" s="314" t="str">
        <f>VLOOKUP(B192&amp;E192,'VISIT DATA'!A:N,10,FALSE)</f>
        <v>#N/A</v>
      </c>
      <c r="K192" s="316"/>
      <c r="L192" s="314"/>
      <c r="M192" s="314"/>
      <c r="N192" s="316"/>
      <c r="O192" s="316" t="str">
        <f t="shared" si="1"/>
        <v>X</v>
      </c>
      <c r="P192" s="317" t="str">
        <f t="shared" si="2"/>
        <v>#N/A</v>
      </c>
      <c r="Q192" s="317" t="str">
        <f t="shared" si="3"/>
        <v>#N/A</v>
      </c>
      <c r="R192" s="319" t="str">
        <f t="shared" si="4"/>
        <v>#N/A</v>
      </c>
      <c r="S192" s="314" t="str">
        <f t="shared" si="5"/>
        <v>#N/A</v>
      </c>
      <c r="T192" s="314" t="str">
        <f t="shared" si="6"/>
        <v>#N/A</v>
      </c>
      <c r="U192" s="314">
        <f t="shared" si="7"/>
        <v>0</v>
      </c>
      <c r="V192" s="314" t="str">
        <f>ifs($N192="",VLOOKUP($B192&amp;$E192,'VISIT DATA'!$A$2:$J244,7,FALSE), $N192="SWAB","OUTSA-RW",$N192="SWQU","OUTSA-SaQu", AND($L192="X",$M192="X",$N192="QUEST"),"OUT-UAQPre",$N192="QUEST","OUT-UAQ", $N192="Walk in","ColUATele")</f>
        <v>#N/A</v>
      </c>
      <c r="W192" s="314" t="str">
        <f t="shared" si="8"/>
        <v>#N/A</v>
      </c>
      <c r="X192" s="314" t="str">
        <f t="shared" si="9"/>
        <v>#N/A</v>
      </c>
      <c r="Y192" s="314" t="str">
        <f t="shared" si="10"/>
        <v>#N/A</v>
      </c>
      <c r="Z192" s="314" t="str">
        <f t="shared" si="11"/>
        <v> </v>
      </c>
      <c r="AA192" s="316"/>
    </row>
    <row r="193">
      <c r="A193" s="314" t="str">
        <f>IFS($B193=FALSE,"",$B193,VLOOKUP($B193,'PATIENT DATA (072721)'!A:C, 2, 0))</f>
        <v>MONTES, EDNA</v>
      </c>
      <c r="B193" s="314">
        <v>17462.0</v>
      </c>
      <c r="C193" s="316" t="str">
        <f>IF(COUNTIF('PATIENT DATA (072721)'!A:A, B193)=0, "X","✓")</f>
        <v>✓</v>
      </c>
      <c r="D193" s="317">
        <f>IFS($B193=FALSE,"",$B193,VLOOKUP($B193,'PATIENT DATA (072721)'!A:C, 3, 0))</f>
        <v>25331</v>
      </c>
      <c r="E193" s="318">
        <v>44568.0</v>
      </c>
      <c r="F193" s="315">
        <f>ifs($B193="","",$B193, VLOOKUP($B193&amp;$E193, 'VISIT DATA'!A:O,3,0))</f>
        <v>0.40625</v>
      </c>
      <c r="G193" s="314"/>
      <c r="H193" s="314" t="str">
        <f>ifs($B193="","",$B193, VLOOKUP($B193&amp;$E193, 'VISIT DATA'!$A:$O,13,0))</f>
        <v/>
      </c>
      <c r="I193" s="314" t="str">
        <f>VLOOKUP($B193&amp;$E193,'VISIT DATA'!A:J, 9, FALSE)</f>
        <v>MARTINEZ</v>
      </c>
      <c r="J193" s="314" t="str">
        <f>VLOOKUP(B193&amp;E193,'VISIT DATA'!A:N,10,FALSE)</f>
        <v>MOLINA MEDICAID TEXAS</v>
      </c>
      <c r="K193" s="316"/>
      <c r="L193" s="314"/>
      <c r="M193" s="314"/>
      <c r="N193" s="316"/>
      <c r="O193" s="316" t="str">
        <f t="shared" si="1"/>
        <v>X</v>
      </c>
      <c r="P193" s="317" t="str">
        <f t="shared" si="2"/>
        <v>#VALUE!</v>
      </c>
      <c r="Q193" s="317" t="str">
        <f t="shared" si="3"/>
        <v>X</v>
      </c>
      <c r="R193" s="319" t="str">
        <f t="shared" si="4"/>
        <v>#VALUE!</v>
      </c>
      <c r="S193" s="314" t="str">
        <f t="shared" si="5"/>
        <v>#VALUE!</v>
      </c>
      <c r="T193" s="314" t="str">
        <f t="shared" si="6"/>
        <v>#VALUE!</v>
      </c>
      <c r="U193" s="314">
        <f t="shared" si="7"/>
        <v>1</v>
      </c>
      <c r="V193" s="314" t="str">
        <f>ifs($N193="",VLOOKUP($B193&amp;$E193,'VISIT DATA'!$A$2:$J244,7,FALSE), $N193="SWAB","OUTSA-RW",$N193="SWQU","OUTSA-SaQu", AND($L193="X",$M193="X",$N193="QUEST"),"OUT-UAQPre",$N193="QUEST","OUT-UAQ", $N193="Walk in","ColUATele")</f>
        <v>OUTUA-PrRW</v>
      </c>
      <c r="W193" s="314" t="str">
        <f t="shared" si="8"/>
        <v>OUTUA-PrRW : OUT UA Prelimin Redwood</v>
      </c>
      <c r="X193" s="314" t="str">
        <f t="shared" si="9"/>
        <v>#N/A</v>
      </c>
      <c r="Y193" s="314" t="str">
        <f t="shared" si="10"/>
        <v>#N/A</v>
      </c>
      <c r="Z193" s="314" t="str">
        <f t="shared" si="11"/>
        <v> </v>
      </c>
      <c r="AA193" s="316"/>
    </row>
    <row r="194">
      <c r="A194" s="314" t="str">
        <f>IFS($B194=FALSE,"",$B194,VLOOKUP($B194,'PATIENT DATA (072721)'!A:C, 2, 0))</f>
        <v>RAMIREZ, MARTIN</v>
      </c>
      <c r="B194" s="314">
        <v>11012.0</v>
      </c>
      <c r="C194" s="316" t="str">
        <f>IF(COUNTIF('PATIENT DATA (072721)'!A:A, B194)=0, "X","✓")</f>
        <v>✓</v>
      </c>
      <c r="D194" s="317">
        <f>IFS($B194=FALSE,"",$B194,VLOOKUP($B194,'PATIENT DATA (072721)'!A:C, 3, 0))</f>
        <v>23539</v>
      </c>
      <c r="E194" s="318">
        <v>44568.0</v>
      </c>
      <c r="F194" s="315">
        <f>ifs($B194="","",$B194, VLOOKUP($B194&amp;$E194, 'VISIT DATA'!A:O,3,0))</f>
        <v>0.4270833333</v>
      </c>
      <c r="G194" s="314"/>
      <c r="H194" s="314" t="str">
        <f>ifs($B194="","",$B194, VLOOKUP($B194&amp;$E194, 'VISIT DATA'!$A:$O,13,0))</f>
        <v/>
      </c>
      <c r="I194" s="314" t="str">
        <f>VLOOKUP($B194&amp;$E194,'VISIT DATA'!A:J, 9, FALSE)</f>
        <v>TORRES</v>
      </c>
      <c r="J194" s="314" t="str">
        <f>VLOOKUP(B194&amp;E194,'VISIT DATA'!A:N,10,FALSE)</f>
        <v>AMERIGROUP</v>
      </c>
      <c r="K194" s="316"/>
      <c r="L194" s="314"/>
      <c r="M194" s="314"/>
      <c r="N194" s="316"/>
      <c r="O194" s="316" t="str">
        <f t="shared" si="1"/>
        <v>X</v>
      </c>
      <c r="P194" s="317" t="str">
        <f t="shared" si="2"/>
        <v>#VALUE!</v>
      </c>
      <c r="Q194" s="317" t="str">
        <f t="shared" si="3"/>
        <v>#VALUE!</v>
      </c>
      <c r="R194" s="319" t="str">
        <f t="shared" si="4"/>
        <v>#VALUE!</v>
      </c>
      <c r="S194" s="314" t="str">
        <f t="shared" si="5"/>
        <v>#VALUE!</v>
      </c>
      <c r="T194" s="314" t="str">
        <f t="shared" si="6"/>
        <v>#VALUE!</v>
      </c>
      <c r="U194" s="314">
        <f t="shared" si="7"/>
        <v>0</v>
      </c>
      <c r="V194" s="314" t="str">
        <f>ifs($N194="",VLOOKUP($B194&amp;$E194,'VISIT DATA'!$A$2:$J244,7,FALSE), $N194="SWAB","OUTSA-RW",$N194="SWQU","OUTSA-SaQu", AND($L194="X",$M194="X",$N194="QUEST"),"OUT-UAQPre",$N194="QUEST","OUT-UAQ", $N194="Walk in","ColUATele")</f>
        <v>UA-Prelim</v>
      </c>
      <c r="W194" s="314" t="str">
        <f t="shared" si="8"/>
        <v>UA-Prelim : Preliminary UA Test</v>
      </c>
      <c r="X194" s="314" t="str">
        <f t="shared" si="9"/>
        <v>#N/A</v>
      </c>
      <c r="Y194" s="314" t="str">
        <f t="shared" si="10"/>
        <v>#N/A</v>
      </c>
      <c r="Z194" s="314" t="str">
        <f t="shared" si="11"/>
        <v> </v>
      </c>
      <c r="AA194" s="316"/>
    </row>
    <row r="195">
      <c r="A195" s="314" t="str">
        <f>IFS($B195=FALSE,"",$B195,VLOOKUP($B195,'PATIENT DATA (072721)'!A:C, 2, 0))</f>
        <v>CUSKEY, LARRY</v>
      </c>
      <c r="B195" s="314">
        <v>13835.0</v>
      </c>
      <c r="C195" s="316" t="str">
        <f>IF(COUNTIF('PATIENT DATA (072721)'!A:A, B195)=0, "X","✓")</f>
        <v>✓</v>
      </c>
      <c r="D195" s="317">
        <f>IFS($B195=FALSE,"",$B195,VLOOKUP($B195,'PATIENT DATA (072721)'!A:C, 3, 0))</f>
        <v>18179</v>
      </c>
      <c r="E195" s="318">
        <v>44568.0</v>
      </c>
      <c r="F195" s="315">
        <f>ifs($B195="","",$B195, VLOOKUP($B195&amp;$E195, 'VISIT DATA'!A:O,3,0))</f>
        <v>0.4166666667</v>
      </c>
      <c r="G195" s="314"/>
      <c r="H195" s="314" t="str">
        <f>ifs($B195="","",$B195, VLOOKUP($B195&amp;$E195, 'VISIT DATA'!$A:$O,13,0))</f>
        <v/>
      </c>
      <c r="I195" s="314" t="str">
        <f>VLOOKUP($B195&amp;$E195,'VISIT DATA'!A:J, 9, FALSE)</f>
        <v>LOPEZ</v>
      </c>
      <c r="J195" s="314" t="str">
        <f>VLOOKUP(B195&amp;E195,'VISIT DATA'!A:N,10,FALSE)</f>
        <v>WPS VA - COMMUNITY CARE</v>
      </c>
      <c r="K195" s="316"/>
      <c r="L195" s="314"/>
      <c r="M195" s="314"/>
      <c r="N195" s="316"/>
      <c r="O195" s="316" t="str">
        <f t="shared" si="1"/>
        <v>X</v>
      </c>
      <c r="P195" s="317" t="str">
        <f t="shared" si="2"/>
        <v>#VALUE!</v>
      </c>
      <c r="Q195" s="317" t="str">
        <f t="shared" si="3"/>
        <v>#VALUE!</v>
      </c>
      <c r="R195" s="319" t="str">
        <f t="shared" si="4"/>
        <v>#VALUE!</v>
      </c>
      <c r="S195" s="314" t="str">
        <f t="shared" si="5"/>
        <v>#VALUE!</v>
      </c>
      <c r="T195" s="314" t="str">
        <f t="shared" si="6"/>
        <v>#VALUE!</v>
      </c>
      <c r="U195" s="314">
        <f t="shared" si="7"/>
        <v>0</v>
      </c>
      <c r="V195" s="314" t="str">
        <f>ifs($N195="",VLOOKUP($B195&amp;$E195,'VISIT DATA'!$A$2:$J244,7,FALSE), $N195="SWAB","OUTSA-RW",$N195="SWQU","OUTSA-SaQu", AND($L195="X",$M195="X",$N195="QUEST"),"OUT-UAQPre",$N195="QUEST","OUT-UAQ", $N195="Walk in","ColUATele")</f>
        <v>UA-Prelim</v>
      </c>
      <c r="W195" s="314" t="str">
        <f t="shared" si="8"/>
        <v>UA-Prelim : Preliminary UA Test</v>
      </c>
      <c r="X195" s="314" t="str">
        <f t="shared" si="9"/>
        <v>#N/A</v>
      </c>
      <c r="Y195" s="314" t="str">
        <f t="shared" si="10"/>
        <v>#N/A</v>
      </c>
      <c r="Z195" s="314" t="str">
        <f t="shared" si="11"/>
        <v> </v>
      </c>
      <c r="AA195" s="316"/>
    </row>
    <row r="196">
      <c r="A196" s="314" t="str">
        <f>IFS($B196=FALSE,"",$B196,VLOOKUP($B196,'PATIENT DATA (072721)'!A:C, 2, 0))</f>
        <v>HUNT, SHARON A</v>
      </c>
      <c r="B196" s="314">
        <v>16178.0</v>
      </c>
      <c r="C196" s="316" t="str">
        <f>IF(COUNTIF('PATIENT DATA (072721)'!A:A, B196)=0, "X","✓")</f>
        <v>✓</v>
      </c>
      <c r="D196" s="317">
        <f>IFS($B196=FALSE,"",$B196,VLOOKUP($B196,'PATIENT DATA (072721)'!A:C, 3, 0))</f>
        <v>16356</v>
      </c>
      <c r="E196" s="318">
        <v>44568.0</v>
      </c>
      <c r="F196" s="315">
        <f>ifs($B196="","",$B196, VLOOKUP($B196&amp;$E196, 'VISIT DATA'!A:O,3,0))</f>
        <v>0.4479166667</v>
      </c>
      <c r="G196" s="314"/>
      <c r="H196" s="314" t="str">
        <f>ifs($B196="","",$B196, VLOOKUP($B196&amp;$E196, 'VISIT DATA'!$A:$O,13,0))</f>
        <v/>
      </c>
      <c r="I196" s="314" t="str">
        <f>VLOOKUP($B196&amp;$E196,'VISIT DATA'!A:J, 9, FALSE)</f>
        <v>MARTINEZ</v>
      </c>
      <c r="J196" s="314" t="str">
        <f>VLOOKUP(B196&amp;E196,'VISIT DATA'!A:N,10,FALSE)</f>
        <v>MEDICARE TEXAS</v>
      </c>
      <c r="K196" s="316"/>
      <c r="L196" s="314"/>
      <c r="M196" s="314"/>
      <c r="N196" s="316"/>
      <c r="O196" s="316" t="str">
        <f t="shared" si="1"/>
        <v>X</v>
      </c>
      <c r="P196" s="317" t="str">
        <f t="shared" si="2"/>
        <v>#VALUE!</v>
      </c>
      <c r="Q196" s="317" t="str">
        <f t="shared" si="3"/>
        <v>#VALUE!</v>
      </c>
      <c r="R196" s="319" t="str">
        <f t="shared" si="4"/>
        <v>#VALUE!</v>
      </c>
      <c r="S196" s="314" t="str">
        <f t="shared" si="5"/>
        <v>#VALUE!</v>
      </c>
      <c r="T196" s="314" t="str">
        <f t="shared" si="6"/>
        <v>#VALUE!</v>
      </c>
      <c r="U196" s="314">
        <f t="shared" si="7"/>
        <v>0</v>
      </c>
      <c r="V196" s="314" t="str">
        <f>ifs($N196="",VLOOKUP($B196&amp;$E196,'VISIT DATA'!$A$2:$J244,7,FALSE), $N196="SWAB","OUTSA-RW",$N196="SWQU","OUTSA-SaQu", AND($L196="X",$M196="X",$N196="QUEST"),"OUT-UAQPre",$N196="QUEST","OUT-UAQ", $N196="Walk in","ColUATele")</f>
        <v>UA-Prelim</v>
      </c>
      <c r="W196" s="314" t="str">
        <f t="shared" si="8"/>
        <v>UA-Prelim : Preliminary UA Test</v>
      </c>
      <c r="X196" s="314" t="str">
        <f t="shared" si="9"/>
        <v>#N/A</v>
      </c>
      <c r="Y196" s="314" t="str">
        <f t="shared" si="10"/>
        <v>#N/A</v>
      </c>
      <c r="Z196" s="314" t="str">
        <f t="shared" si="11"/>
        <v> </v>
      </c>
      <c r="AA196" s="316"/>
    </row>
    <row r="197">
      <c r="A197" s="314" t="str">
        <f>IFS($B197=FALSE,"",$B197,VLOOKUP($B197,'PATIENT DATA (072721)'!A:C, 2, 0))</f>
        <v>BAQUERA, CYNTHIA</v>
      </c>
      <c r="B197" s="314">
        <v>11903.0</v>
      </c>
      <c r="C197" s="316" t="str">
        <f>IF(COUNTIF('PATIENT DATA (072721)'!A:A, B197)=0, "X","✓")</f>
        <v>✓</v>
      </c>
      <c r="D197" s="317">
        <f>IFS($B197=FALSE,"",$B197,VLOOKUP($B197,'PATIENT DATA (072721)'!A:C, 3, 0))</f>
        <v>21184</v>
      </c>
      <c r="E197" s="318">
        <v>44568.0</v>
      </c>
      <c r="F197" s="315">
        <f>ifs($B197="","",$B197, VLOOKUP($B197&amp;$E197, 'VISIT DATA'!A:O,3,0))</f>
        <v>0.4166666667</v>
      </c>
      <c r="G197" s="314"/>
      <c r="H197" s="314" t="str">
        <f>ifs($B197="","",$B197, VLOOKUP($B197&amp;$E197, 'VISIT DATA'!$A:$O,13,0))</f>
        <v/>
      </c>
      <c r="I197" s="314" t="str">
        <f>VLOOKUP($B197&amp;$E197,'VISIT DATA'!A:J, 9, FALSE)</f>
        <v>TORRES</v>
      </c>
      <c r="J197" s="314" t="str">
        <f>VLOOKUP(B197&amp;E197,'VISIT DATA'!A:N,10,FALSE)</f>
        <v>AMBETTER - SUPERIOR</v>
      </c>
      <c r="K197" s="316"/>
      <c r="L197" s="314"/>
      <c r="M197" s="314"/>
      <c r="N197" s="316"/>
      <c r="O197" s="316" t="str">
        <f t="shared" si="1"/>
        <v>X</v>
      </c>
      <c r="P197" s="317" t="str">
        <f t="shared" si="2"/>
        <v>#VALUE!</v>
      </c>
      <c r="Q197" s="317" t="str">
        <f t="shared" si="3"/>
        <v>#VALUE!</v>
      </c>
      <c r="R197" s="319" t="str">
        <f t="shared" si="4"/>
        <v>#VALUE!</v>
      </c>
      <c r="S197" s="314" t="str">
        <f t="shared" si="5"/>
        <v>#VALUE!</v>
      </c>
      <c r="T197" s="314" t="str">
        <f t="shared" si="6"/>
        <v>#VALUE!</v>
      </c>
      <c r="U197" s="314">
        <f t="shared" si="7"/>
        <v>0</v>
      </c>
      <c r="V197" s="314" t="str">
        <f>ifs($N197="",VLOOKUP($B197&amp;$E197,'VISIT DATA'!$A$2:$J244,7,FALSE), $N197="SWAB","OUTSA-RW",$N197="SWQU","OUTSA-SaQu", AND($L197="X",$M197="X",$N197="QUEST"),"OUT-UAQPre",$N197="QUEST","OUT-UAQ", $N197="Walk in","ColUATele")</f>
        <v>UA-Prelim</v>
      </c>
      <c r="W197" s="314" t="str">
        <f t="shared" si="8"/>
        <v>UA-Prelim : Preliminary UA Test</v>
      </c>
      <c r="X197" s="314" t="str">
        <f t="shared" si="9"/>
        <v>#N/A</v>
      </c>
      <c r="Y197" s="314" t="str">
        <f t="shared" si="10"/>
        <v>#N/A</v>
      </c>
      <c r="Z197" s="314" t="str">
        <f t="shared" si="11"/>
        <v> </v>
      </c>
      <c r="AA197" s="316"/>
    </row>
    <row r="198">
      <c r="A198" s="314" t="str">
        <f>IFS($B198=FALSE,"",$B198,VLOOKUP($B198,'PATIENT DATA (072721)'!A:C, 2, 0))</f>
        <v>CAMPOS, JOSE ABRAHAM</v>
      </c>
      <c r="B198" s="314">
        <v>14103.0</v>
      </c>
      <c r="C198" s="316" t="str">
        <f>IF(COUNTIF('PATIENT DATA (072721)'!A:A, B198)=0, "X","✓")</f>
        <v>✓</v>
      </c>
      <c r="D198" s="317">
        <f>IFS($B198=FALSE,"",$B198,VLOOKUP($B198,'PATIENT DATA (072721)'!A:C, 3, 0))</f>
        <v>16960</v>
      </c>
      <c r="E198" s="318">
        <v>44568.0</v>
      </c>
      <c r="F198" s="315">
        <f>ifs($B198="","",$B198, VLOOKUP($B198&amp;$E198, 'VISIT DATA'!A:O,3,0))</f>
        <v>0.4375</v>
      </c>
      <c r="G198" s="314"/>
      <c r="H198" s="314" t="str">
        <f>ifs($B198="","",$B198, VLOOKUP($B198&amp;$E198, 'VISIT DATA'!$A:$O,13,0))</f>
        <v/>
      </c>
      <c r="I198" s="314" t="str">
        <f>VLOOKUP($B198&amp;$E198,'VISIT DATA'!A:J, 9, FALSE)</f>
        <v>TORRES</v>
      </c>
      <c r="J198" s="314" t="str">
        <f>VLOOKUP(B198&amp;E198,'VISIT DATA'!A:N,10,FALSE)</f>
        <v>WPS VA - COMMUNITY CARE</v>
      </c>
      <c r="K198" s="316"/>
      <c r="L198" s="314"/>
      <c r="M198" s="314"/>
      <c r="N198" s="316"/>
      <c r="O198" s="316" t="str">
        <f t="shared" si="1"/>
        <v>X</v>
      </c>
      <c r="P198" s="317" t="str">
        <f t="shared" si="2"/>
        <v>#VALUE!</v>
      </c>
      <c r="Q198" s="317" t="str">
        <f t="shared" si="3"/>
        <v>#VALUE!</v>
      </c>
      <c r="R198" s="319" t="str">
        <f t="shared" si="4"/>
        <v>#VALUE!</v>
      </c>
      <c r="S198" s="314" t="str">
        <f t="shared" si="5"/>
        <v>#VALUE!</v>
      </c>
      <c r="T198" s="314" t="str">
        <f t="shared" si="6"/>
        <v>#VALUE!</v>
      </c>
      <c r="U198" s="314">
        <f t="shared" si="7"/>
        <v>0</v>
      </c>
      <c r="V198" s="314" t="str">
        <f>ifs($N198="",VLOOKUP($B198&amp;$E198,'VISIT DATA'!$A$2:$J244,7,FALSE), $N198="SWAB","OUTSA-RW",$N198="SWQU","OUTSA-SaQu", AND($L198="X",$M198="X",$N198="QUEST"),"OUT-UAQPre",$N198="QUEST","OUT-UAQ", $N198="Walk in","ColUATele")</f>
        <v>UA</v>
      </c>
      <c r="W198" s="314" t="str">
        <f t="shared" si="8"/>
        <v>UA : Urine Analysis In House</v>
      </c>
      <c r="X198" s="314" t="str">
        <f t="shared" si="9"/>
        <v>#N/A</v>
      </c>
      <c r="Y198" s="314" t="str">
        <f t="shared" si="10"/>
        <v>#N/A</v>
      </c>
      <c r="Z198" s="314" t="str">
        <f t="shared" si="11"/>
        <v> </v>
      </c>
      <c r="AA198" s="316"/>
    </row>
    <row r="199">
      <c r="A199" s="314" t="str">
        <f>IFS($B199=FALSE,"",$B199,VLOOKUP($B199,'PATIENT DATA (072721)'!A:C, 2, 0))</f>
        <v>MURDOCK, ROBERT S</v>
      </c>
      <c r="B199" s="314">
        <v>9683.0</v>
      </c>
      <c r="C199" s="316" t="str">
        <f>IF(COUNTIF('PATIENT DATA (072721)'!A:A, B199)=0, "X","✓")</f>
        <v>✓</v>
      </c>
      <c r="D199" s="317">
        <f>IFS($B199=FALSE,"",$B199,VLOOKUP($B199,'PATIENT DATA (072721)'!A:C, 3, 0))</f>
        <v>29811</v>
      </c>
      <c r="E199" s="318">
        <v>44568.0</v>
      </c>
      <c r="F199" s="315" t="str">
        <f>ifs($B199="","",$B199, VLOOKUP($B199&amp;$E199, 'VISIT DATA'!A:O,3,0))</f>
        <v>#N/A</v>
      </c>
      <c r="G199" s="314"/>
      <c r="H199" s="314" t="str">
        <f>ifs($B199="","",$B199, VLOOKUP($B199&amp;$E199, 'VISIT DATA'!$A:$O,13,0))</f>
        <v>#N/A</v>
      </c>
      <c r="I199" s="314" t="str">
        <f>VLOOKUP($B199&amp;$E199,'VISIT DATA'!A:J, 9, FALSE)</f>
        <v>#N/A</v>
      </c>
      <c r="J199" s="314" t="str">
        <f>VLOOKUP(B199&amp;E199,'VISIT DATA'!A:N,10,FALSE)</f>
        <v>#N/A</v>
      </c>
      <c r="K199" s="316"/>
      <c r="L199" s="314"/>
      <c r="M199" s="314"/>
      <c r="N199" s="316"/>
      <c r="O199" s="316" t="str">
        <f t="shared" si="1"/>
        <v>X</v>
      </c>
      <c r="P199" s="317" t="str">
        <f t="shared" si="2"/>
        <v>#N/A</v>
      </c>
      <c r="Q199" s="317" t="str">
        <f t="shared" si="3"/>
        <v>#N/A</v>
      </c>
      <c r="R199" s="319" t="str">
        <f t="shared" si="4"/>
        <v>#N/A</v>
      </c>
      <c r="S199" s="314" t="str">
        <f t="shared" si="5"/>
        <v>#N/A</v>
      </c>
      <c r="T199" s="314" t="str">
        <f t="shared" si="6"/>
        <v>#N/A</v>
      </c>
      <c r="U199" s="314">
        <f t="shared" si="7"/>
        <v>0</v>
      </c>
      <c r="V199" s="314" t="str">
        <f>ifs($N199="",VLOOKUP($B199&amp;$E199,'VISIT DATA'!$A$2:$J244,7,FALSE), $N199="SWAB","OUTSA-RW",$N199="SWQU","OUTSA-SaQu", AND($L199="X",$M199="X",$N199="QUEST"),"OUT-UAQPre",$N199="QUEST","OUT-UAQ", $N199="Walk in","ColUATele")</f>
        <v>#N/A</v>
      </c>
      <c r="W199" s="314" t="str">
        <f t="shared" si="8"/>
        <v>#N/A</v>
      </c>
      <c r="X199" s="314" t="str">
        <f t="shared" si="9"/>
        <v>#N/A</v>
      </c>
      <c r="Y199" s="314" t="str">
        <f t="shared" si="10"/>
        <v>#N/A</v>
      </c>
      <c r="Z199" s="314" t="str">
        <f t="shared" si="11"/>
        <v> </v>
      </c>
      <c r="AA199" s="316"/>
    </row>
    <row r="200">
      <c r="A200" s="314" t="str">
        <f>IFS($B200=FALSE,"",$B200,VLOOKUP($B200,'PATIENT DATA (072721)'!A:C, 2, 0))</f>
        <v>BARRERAS, LORENZO</v>
      </c>
      <c r="B200" s="314">
        <v>12879.0</v>
      </c>
      <c r="C200" s="316" t="str">
        <f>IF(COUNTIF('PATIENT DATA (072721)'!A:A, B200)=0, "X","✓")</f>
        <v>✓</v>
      </c>
      <c r="D200" s="317">
        <f>IFS($B200=FALSE,"",$B200,VLOOKUP($B200,'PATIENT DATA (072721)'!A:C, 3, 0))</f>
        <v>20311</v>
      </c>
      <c r="E200" s="318">
        <v>44568.0</v>
      </c>
      <c r="F200" s="315" t="str">
        <f>ifs($B200="","",$B200, VLOOKUP($B200&amp;$E200, 'VISIT DATA'!A:O,3,0))</f>
        <v>#N/A</v>
      </c>
      <c r="G200" s="314"/>
      <c r="H200" s="314" t="str">
        <f>ifs($B200="","",$B200, VLOOKUP($B200&amp;$E200, 'VISIT DATA'!$A:$O,13,0))</f>
        <v>#N/A</v>
      </c>
      <c r="I200" s="314" t="str">
        <f>VLOOKUP($B200&amp;$E200,'VISIT DATA'!A:J, 9, FALSE)</f>
        <v>#N/A</v>
      </c>
      <c r="J200" s="314" t="str">
        <f>VLOOKUP(B200&amp;E200,'VISIT DATA'!A:N,10,FALSE)</f>
        <v>#N/A</v>
      </c>
      <c r="K200" s="316"/>
      <c r="L200" s="314"/>
      <c r="M200" s="314"/>
      <c r="N200" s="316"/>
      <c r="O200" s="316" t="str">
        <f t="shared" si="1"/>
        <v>X</v>
      </c>
      <c r="P200" s="317" t="str">
        <f t="shared" si="2"/>
        <v>#N/A</v>
      </c>
      <c r="Q200" s="317" t="str">
        <f t="shared" si="3"/>
        <v>#N/A</v>
      </c>
      <c r="R200" s="319" t="str">
        <f t="shared" si="4"/>
        <v>#N/A</v>
      </c>
      <c r="S200" s="314" t="str">
        <f t="shared" si="5"/>
        <v>#N/A</v>
      </c>
      <c r="T200" s="314" t="str">
        <f t="shared" si="6"/>
        <v>#N/A</v>
      </c>
      <c r="U200" s="314">
        <f t="shared" si="7"/>
        <v>0</v>
      </c>
      <c r="V200" s="314" t="str">
        <f>ifs($N200="",VLOOKUP($B200&amp;$E200,'VISIT DATA'!$A$2:$J244,7,FALSE), $N200="SWAB","OUTSA-RW",$N200="SWQU","OUTSA-SaQu", AND($L200="X",$M200="X",$N200="QUEST"),"OUT-UAQPre",$N200="QUEST","OUT-UAQ", $N200="Walk in","ColUATele")</f>
        <v>#N/A</v>
      </c>
      <c r="W200" s="314" t="str">
        <f t="shared" si="8"/>
        <v>#N/A</v>
      </c>
      <c r="X200" s="314" t="str">
        <f t="shared" si="9"/>
        <v>#N/A</v>
      </c>
      <c r="Y200" s="314" t="str">
        <f t="shared" si="10"/>
        <v>#N/A</v>
      </c>
      <c r="Z200" s="314" t="str">
        <f t="shared" si="11"/>
        <v> </v>
      </c>
      <c r="AA200" s="316"/>
    </row>
    <row r="201">
      <c r="A201" s="314" t="str">
        <f>IFS($B201=FALSE,"",$B201,VLOOKUP($B201,'PATIENT DATA (072721)'!A:C, 2, 0))</f>
        <v>PENDELTON, JOHN</v>
      </c>
      <c r="B201" s="314">
        <v>14126.0</v>
      </c>
      <c r="C201" s="316" t="str">
        <f>IF(COUNTIF('PATIENT DATA (072721)'!A:A, B201)=0, "X","✓")</f>
        <v>✓</v>
      </c>
      <c r="D201" s="317">
        <f>IFS($B201=FALSE,"",$B201,VLOOKUP($B201,'PATIENT DATA (072721)'!A:C, 3, 0))</f>
        <v>18823</v>
      </c>
      <c r="E201" s="318">
        <v>44568.0</v>
      </c>
      <c r="F201" s="315">
        <f>ifs($B201="","",$B201, VLOOKUP($B201&amp;$E201, 'VISIT DATA'!A:O,3,0))</f>
        <v>0.4479166667</v>
      </c>
      <c r="G201" s="314"/>
      <c r="H201" s="314" t="str">
        <f>ifs($B201="","",$B201, VLOOKUP($B201&amp;$E201, 'VISIT DATA'!$A:$O,13,0))</f>
        <v/>
      </c>
      <c r="I201" s="314" t="str">
        <f>VLOOKUP($B201&amp;$E201,'VISIT DATA'!A:J, 9, FALSE)</f>
        <v>LOPEZ</v>
      </c>
      <c r="J201" s="314" t="str">
        <f>VLOOKUP(B201&amp;E201,'VISIT DATA'!A:N,10,FALSE)</f>
        <v>WPS VA - COMMUNITY CARE</v>
      </c>
      <c r="K201" s="316"/>
      <c r="L201" s="314"/>
      <c r="M201" s="314"/>
      <c r="N201" s="316"/>
      <c r="O201" s="316" t="str">
        <f t="shared" si="1"/>
        <v>X</v>
      </c>
      <c r="P201" s="317" t="str">
        <f t="shared" si="2"/>
        <v>#VALUE!</v>
      </c>
      <c r="Q201" s="317" t="str">
        <f t="shared" si="3"/>
        <v>#VALUE!</v>
      </c>
      <c r="R201" s="319" t="str">
        <f t="shared" si="4"/>
        <v>#VALUE!</v>
      </c>
      <c r="S201" s="314" t="str">
        <f t="shared" si="5"/>
        <v>#VALUE!</v>
      </c>
      <c r="T201" s="314" t="str">
        <f t="shared" si="6"/>
        <v>#VALUE!</v>
      </c>
      <c r="U201" s="314">
        <f t="shared" si="7"/>
        <v>0</v>
      </c>
      <c r="V201" s="314" t="str">
        <f>ifs($N201="",VLOOKUP($B201&amp;$E201,'VISIT DATA'!$A$2:$J244,7,FALSE), $N201="SWAB","OUTSA-RW",$N201="SWQU","OUTSA-SaQu", AND($L201="X",$M201="X",$N201="QUEST"),"OUT-UAQPre",$N201="QUEST","OUT-UAQ", $N201="Walk in","ColUATele")</f>
        <v>UA-Prelim</v>
      </c>
      <c r="W201" s="314" t="str">
        <f t="shared" si="8"/>
        <v>UA-Prelim : Preliminary UA Test</v>
      </c>
      <c r="X201" s="314" t="str">
        <f t="shared" si="9"/>
        <v>#N/A</v>
      </c>
      <c r="Y201" s="314" t="str">
        <f t="shared" si="10"/>
        <v>#N/A</v>
      </c>
      <c r="Z201" s="314" t="str">
        <f t="shared" si="11"/>
        <v> </v>
      </c>
      <c r="AA201" s="316"/>
    </row>
    <row r="202">
      <c r="A202" s="314" t="str">
        <f>IFS($B202=FALSE,"",$B202,VLOOKUP($B202,'PATIENT DATA (072721)'!A:C, 2, 0))</f>
        <v>PEREZ, ERNESTINA</v>
      </c>
      <c r="B202" s="314">
        <v>15765.0</v>
      </c>
      <c r="C202" s="316" t="str">
        <f>IF(COUNTIF('PATIENT DATA (072721)'!A:A, B202)=0, "X","✓")</f>
        <v>✓</v>
      </c>
      <c r="D202" s="317">
        <f>IFS($B202=FALSE,"",$B202,VLOOKUP($B202,'PATIENT DATA (072721)'!A:C, 3, 0))</f>
        <v>23265</v>
      </c>
      <c r="E202" s="318">
        <v>44568.0</v>
      </c>
      <c r="F202" s="315">
        <f>ifs($B202="","",$B202, VLOOKUP($B202&amp;$E202, 'VISIT DATA'!A:O,3,0))</f>
        <v>0.4479166667</v>
      </c>
      <c r="G202" s="314"/>
      <c r="H202" s="314" t="str">
        <f>ifs($B202="","",$B202, VLOOKUP($B202&amp;$E202, 'VISIT DATA'!$A:$O,13,0))</f>
        <v/>
      </c>
      <c r="I202" s="314" t="str">
        <f>VLOOKUP($B202&amp;$E202,'VISIT DATA'!A:J, 9, FALSE)</f>
        <v>LOPEZ</v>
      </c>
      <c r="J202" s="314" t="str">
        <f>VLOOKUP(B202&amp;E202,'VISIT DATA'!A:N,10,FALSE)</f>
        <v>WELLMED - CIGNA HEALTHSPRING</v>
      </c>
      <c r="K202" s="316"/>
      <c r="L202" s="314"/>
      <c r="M202" s="314"/>
      <c r="N202" s="316"/>
      <c r="O202" s="316" t="str">
        <f t="shared" si="1"/>
        <v>X</v>
      </c>
      <c r="P202" s="317" t="str">
        <f t="shared" si="2"/>
        <v>X</v>
      </c>
      <c r="Q202" s="317" t="str">
        <f t="shared" si="3"/>
        <v>#VALUE!</v>
      </c>
      <c r="R202" s="319" t="str">
        <f t="shared" si="4"/>
        <v>#VALUE!</v>
      </c>
      <c r="S202" s="314" t="str">
        <f t="shared" si="5"/>
        <v>#VALUE!</v>
      </c>
      <c r="T202" s="314" t="str">
        <f t="shared" si="6"/>
        <v>#VALUE!</v>
      </c>
      <c r="U202" s="314">
        <f t="shared" si="7"/>
        <v>1</v>
      </c>
      <c r="V202" s="314" t="str">
        <f>ifs($N202="",VLOOKUP($B202&amp;$E202,'VISIT DATA'!$A$2:$J244,7,FALSE), $N202="SWAB","OUTSA-RW",$N202="SWQU","OUTSA-SaQu", AND($L202="X",$M202="X",$N202="QUEST"),"OUT-UAQPre",$N202="QUEST","OUT-UAQ", $N202="Walk in","ColUATele")</f>
        <v>OUTUA-PrRW</v>
      </c>
      <c r="W202" s="314" t="str">
        <f t="shared" si="8"/>
        <v>OUTUA-PrRW : OUT UA Prelimin Redwood</v>
      </c>
      <c r="X202" s="314" t="str">
        <f t="shared" si="9"/>
        <v>#N/A</v>
      </c>
      <c r="Y202" s="314" t="str">
        <f t="shared" si="10"/>
        <v>#N/A</v>
      </c>
      <c r="Z202" s="314" t="str">
        <f t="shared" si="11"/>
        <v> </v>
      </c>
      <c r="AA202" s="316"/>
    </row>
    <row r="203">
      <c r="A203" s="314" t="str">
        <f>IFS($B203=FALSE,"",$B203,VLOOKUP($B203,'PATIENT DATA (072721)'!A:C, 2, 0))</f>
        <v>MENDEZ, JOSE</v>
      </c>
      <c r="B203" s="314">
        <v>11116.0</v>
      </c>
      <c r="C203" s="316" t="str">
        <f>IF(COUNTIF('PATIENT DATA (072721)'!A:A, B203)=0, "X","✓")</f>
        <v>✓</v>
      </c>
      <c r="D203" s="317">
        <f>IFS($B203=FALSE,"",$B203,VLOOKUP($B203,'PATIENT DATA (072721)'!A:C, 3, 0))</f>
        <v>17610</v>
      </c>
      <c r="E203" s="318">
        <v>44568.0</v>
      </c>
      <c r="F203" s="315">
        <f>ifs($B203="","",$B203, VLOOKUP($B203&amp;$E203, 'VISIT DATA'!A:O,3,0))</f>
        <v>0.4375</v>
      </c>
      <c r="G203" s="314"/>
      <c r="H203" s="314" t="str">
        <f>ifs($B203="","",$B203, VLOOKUP($B203&amp;$E203, 'VISIT DATA'!$A:$O,13,0))</f>
        <v/>
      </c>
      <c r="I203" s="314" t="str">
        <f>VLOOKUP($B203&amp;$E203,'VISIT DATA'!A:J, 9, FALSE)</f>
        <v>TORRES</v>
      </c>
      <c r="J203" s="314" t="str">
        <f>VLOOKUP(B203&amp;E203,'VISIT DATA'!A:N,10,FALSE)</f>
        <v>MEDICARE TEXAS</v>
      </c>
      <c r="K203" s="316"/>
      <c r="L203" s="314"/>
      <c r="M203" s="314"/>
      <c r="N203" s="316"/>
      <c r="O203" s="316" t="str">
        <f t="shared" si="1"/>
        <v>X</v>
      </c>
      <c r="P203" s="317" t="str">
        <f t="shared" si="2"/>
        <v>#VALUE!</v>
      </c>
      <c r="Q203" s="317" t="str">
        <f t="shared" si="3"/>
        <v>#VALUE!</v>
      </c>
      <c r="R203" s="319" t="str">
        <f t="shared" si="4"/>
        <v>#VALUE!</v>
      </c>
      <c r="S203" s="314" t="str">
        <f t="shared" si="5"/>
        <v>#VALUE!</v>
      </c>
      <c r="T203" s="314" t="str">
        <f t="shared" si="6"/>
        <v>#VALUE!</v>
      </c>
      <c r="U203" s="314">
        <f t="shared" si="7"/>
        <v>0</v>
      </c>
      <c r="V203" s="314" t="str">
        <f>ifs($N203="",VLOOKUP($B203&amp;$E203,'VISIT DATA'!$A$2:$J244,7,FALSE), $N203="SWAB","OUTSA-RW",$N203="SWQU","OUTSA-SaQu", AND($L203="X",$M203="X",$N203="QUEST"),"OUT-UAQPre",$N203="QUEST","OUT-UAQ", $N203="Walk in","ColUATele")</f>
        <v>UA-Prelim</v>
      </c>
      <c r="W203" s="314" t="str">
        <f t="shared" si="8"/>
        <v>UA-Prelim : Preliminary UA Test</v>
      </c>
      <c r="X203" s="314" t="str">
        <f t="shared" si="9"/>
        <v>#N/A</v>
      </c>
      <c r="Y203" s="314" t="str">
        <f t="shared" si="10"/>
        <v>#N/A</v>
      </c>
      <c r="Z203" s="314" t="str">
        <f t="shared" si="11"/>
        <v> </v>
      </c>
      <c r="AA203" s="316"/>
    </row>
    <row r="204">
      <c r="A204" s="314" t="str">
        <f>IFS($B204=FALSE,"",$B204,VLOOKUP($B204,'PATIENT DATA (072721)'!A:C, 2, 0))</f>
        <v>MARTINEZ, MELISSA A</v>
      </c>
      <c r="B204" s="314">
        <v>15993.0</v>
      </c>
      <c r="C204" s="316" t="str">
        <f>IF(COUNTIF('PATIENT DATA (072721)'!A:A, B204)=0, "X","✓")</f>
        <v>✓</v>
      </c>
      <c r="D204" s="317">
        <f>IFS($B204=FALSE,"",$B204,VLOOKUP($B204,'PATIENT DATA (072721)'!A:C, 3, 0))</f>
        <v>30933</v>
      </c>
      <c r="E204" s="318">
        <v>44568.0</v>
      </c>
      <c r="F204" s="315">
        <f>ifs($B204="","",$B204, VLOOKUP($B204&amp;$E204, 'VISIT DATA'!A:O,3,0))</f>
        <v>0.4583333333</v>
      </c>
      <c r="G204" s="314"/>
      <c r="H204" s="314" t="str">
        <f>ifs($B204="","",$B204, VLOOKUP($B204&amp;$E204, 'VISIT DATA'!$A:$O,13,0))</f>
        <v/>
      </c>
      <c r="I204" s="314" t="str">
        <f>VLOOKUP($B204&amp;$E204,'VISIT DATA'!A:J, 9, FALSE)</f>
        <v>TORRES</v>
      </c>
      <c r="J204" s="314" t="str">
        <f>VLOOKUP(B204&amp;E204,'VISIT DATA'!A:N,10,FALSE)</f>
        <v>MOLINA MEDICAID TEXAS</v>
      </c>
      <c r="K204" s="316"/>
      <c r="L204" s="314"/>
      <c r="M204" s="314"/>
      <c r="N204" s="316"/>
      <c r="O204" s="316" t="str">
        <f t="shared" si="1"/>
        <v>X</v>
      </c>
      <c r="P204" s="317" t="str">
        <f t="shared" si="2"/>
        <v>#VALUE!</v>
      </c>
      <c r="Q204" s="317" t="str">
        <f t="shared" si="3"/>
        <v>X</v>
      </c>
      <c r="R204" s="319" t="str">
        <f t="shared" si="4"/>
        <v>#VALUE!</v>
      </c>
      <c r="S204" s="314" t="str">
        <f t="shared" si="5"/>
        <v>#VALUE!</v>
      </c>
      <c r="T204" s="314" t="str">
        <f t="shared" si="6"/>
        <v>#VALUE!</v>
      </c>
      <c r="U204" s="314">
        <f t="shared" si="7"/>
        <v>1</v>
      </c>
      <c r="V204" s="314" t="str">
        <f>ifs($N204="",VLOOKUP($B204&amp;$E204,'VISIT DATA'!$A$2:$J244,7,FALSE), $N204="SWAB","OUTSA-RW",$N204="SWQU","OUTSA-SaQu", AND($L204="X",$M204="X",$N204="QUEST"),"OUT-UAQPre",$N204="QUEST","OUT-UAQ", $N204="Walk in","ColUATele")</f>
        <v>OUTUA-PrRW</v>
      </c>
      <c r="W204" s="314" t="str">
        <f t="shared" si="8"/>
        <v>OUTUA-PrRW : OUT UA Prelimin Redwood</v>
      </c>
      <c r="X204" s="314" t="str">
        <f t="shared" si="9"/>
        <v>#N/A</v>
      </c>
      <c r="Y204" s="314" t="str">
        <f t="shared" si="10"/>
        <v>#N/A</v>
      </c>
      <c r="Z204" s="314" t="str">
        <f t="shared" si="11"/>
        <v> </v>
      </c>
      <c r="AA204" s="316"/>
    </row>
    <row r="205">
      <c r="A205" s="314" t="str">
        <f>IFS($B205=FALSE,"",$B205,VLOOKUP($B205,'PATIENT DATA (072721)'!A:C, 2, 0))</f>
        <v>GONZALEZ, IRMA</v>
      </c>
      <c r="B205" s="314">
        <v>16818.0</v>
      </c>
      <c r="C205" s="316" t="str">
        <f>IF(COUNTIF('PATIENT DATA (072721)'!A:A, B205)=0, "X","✓")</f>
        <v>✓</v>
      </c>
      <c r="D205" s="317">
        <f>IFS($B205=FALSE,"",$B205,VLOOKUP($B205,'PATIENT DATA (072721)'!A:C, 3, 0))</f>
        <v>19668</v>
      </c>
      <c r="E205" s="318">
        <v>44568.0</v>
      </c>
      <c r="F205" s="315">
        <f>ifs($B205="","",$B205, VLOOKUP($B205&amp;$E205, 'VISIT DATA'!A:O,3,0))</f>
        <v>0.4583333333</v>
      </c>
      <c r="G205" s="314"/>
      <c r="H205" s="314" t="str">
        <f>ifs($B205="","",$B205, VLOOKUP($B205&amp;$E205, 'VISIT DATA'!$A:$O,13,0))</f>
        <v/>
      </c>
      <c r="I205" s="314" t="str">
        <f>VLOOKUP($B205&amp;$E205,'VISIT DATA'!A:J, 9, FALSE)</f>
        <v>LOPEZ</v>
      </c>
      <c r="J205" s="314" t="str">
        <f>VLOOKUP(B205&amp;E205,'VISIT DATA'!A:N,10,FALSE)</f>
        <v>UNITED HEALTH CARE</v>
      </c>
      <c r="K205" s="316"/>
      <c r="L205" s="314"/>
      <c r="M205" s="314"/>
      <c r="N205" s="316"/>
      <c r="O205" s="316" t="str">
        <f t="shared" si="1"/>
        <v>X</v>
      </c>
      <c r="P205" s="317" t="str">
        <f t="shared" si="2"/>
        <v>#VALUE!</v>
      </c>
      <c r="Q205" s="317" t="str">
        <f t="shared" si="3"/>
        <v>#VALUE!</v>
      </c>
      <c r="R205" s="319" t="str">
        <f t="shared" si="4"/>
        <v>#VALUE!</v>
      </c>
      <c r="S205" s="314" t="str">
        <f t="shared" si="5"/>
        <v>#VALUE!</v>
      </c>
      <c r="T205" s="314" t="str">
        <f t="shared" si="6"/>
        <v>#VALUE!</v>
      </c>
      <c r="U205" s="314">
        <f t="shared" si="7"/>
        <v>0</v>
      </c>
      <c r="V205" s="314" t="str">
        <f>ifs($N205="",VLOOKUP($B205&amp;$E205,'VISIT DATA'!$A$2:$J244,7,FALSE), $N205="SWAB","OUTSA-RW",$N205="SWQU","OUTSA-SaQu", AND($L205="X",$M205="X",$N205="QUEST"),"OUT-UAQPre",$N205="QUEST","OUT-UAQ", $N205="Walk in","ColUATele")</f>
        <v>UA</v>
      </c>
      <c r="W205" s="314" t="str">
        <f t="shared" si="8"/>
        <v>UA : Urine Analysis In House</v>
      </c>
      <c r="X205" s="314" t="str">
        <f t="shared" si="9"/>
        <v>#N/A</v>
      </c>
      <c r="Y205" s="314" t="str">
        <f t="shared" si="10"/>
        <v>#N/A</v>
      </c>
      <c r="Z205" s="314" t="str">
        <f t="shared" si="11"/>
        <v> </v>
      </c>
      <c r="AA205" s="316"/>
    </row>
    <row r="206">
      <c r="A206" s="314" t="str">
        <f>IFS($B206=FALSE,"",$B206,VLOOKUP($B206,'PATIENT DATA (072721)'!A:C, 2, 0))</f>
        <v>BERGE, VERNON</v>
      </c>
      <c r="B206" s="314">
        <v>11523.0</v>
      </c>
      <c r="C206" s="316" t="str">
        <f>IF(COUNTIF('PATIENT DATA (072721)'!A:A, B206)=0, "X","✓")</f>
        <v>✓</v>
      </c>
      <c r="D206" s="317">
        <f>IFS($B206=FALSE,"",$B206,VLOOKUP($B206,'PATIENT DATA (072721)'!A:C, 3, 0))</f>
        <v>16133</v>
      </c>
      <c r="E206" s="318">
        <v>44568.0</v>
      </c>
      <c r="F206" s="315">
        <f>ifs($B206="","",$B206, VLOOKUP($B206&amp;$E206, 'VISIT DATA'!A:O,3,0))</f>
        <v>0.4270833333</v>
      </c>
      <c r="G206" s="314"/>
      <c r="H206" s="314" t="str">
        <f>ifs($B206="","",$B206, VLOOKUP($B206&amp;$E206, 'VISIT DATA'!$A:$O,13,0))</f>
        <v/>
      </c>
      <c r="I206" s="314" t="str">
        <f>VLOOKUP($B206&amp;$E206,'VISIT DATA'!A:J, 9, FALSE)</f>
        <v>MARTINEZ</v>
      </c>
      <c r="J206" s="314" t="str">
        <f>VLOOKUP(B206&amp;E206,'VISIT DATA'!A:N,10,FALSE)</f>
        <v>HUMANA GOLD PLUS HMO</v>
      </c>
      <c r="K206" s="316"/>
      <c r="L206" s="314"/>
      <c r="M206" s="314"/>
      <c r="N206" s="316"/>
      <c r="O206" s="316" t="str">
        <f t="shared" si="1"/>
        <v>X</v>
      </c>
      <c r="P206" s="317" t="str">
        <f t="shared" si="2"/>
        <v>#VALUE!</v>
      </c>
      <c r="Q206" s="317" t="str">
        <f t="shared" si="3"/>
        <v>#VALUE!</v>
      </c>
      <c r="R206" s="319" t="str">
        <f t="shared" si="4"/>
        <v>#VALUE!</v>
      </c>
      <c r="S206" s="314" t="str">
        <f t="shared" si="5"/>
        <v>#VALUE!</v>
      </c>
      <c r="T206" s="314" t="str">
        <f t="shared" si="6"/>
        <v>#VALUE!</v>
      </c>
      <c r="U206" s="314">
        <f t="shared" si="7"/>
        <v>0</v>
      </c>
      <c r="V206" s="314" t="str">
        <f>ifs($N206="",VLOOKUP($B206&amp;$E206,'VISIT DATA'!$A$2:$J244,7,FALSE), $N206="SWAB","OUTSA-RW",$N206="SWQU","OUTSA-SaQu", AND($L206="X",$M206="X",$N206="QUEST"),"OUT-UAQPre",$N206="QUEST","OUT-UAQ", $N206="Walk in","ColUATele")</f>
        <v>UA</v>
      </c>
      <c r="W206" s="314" t="str">
        <f t="shared" si="8"/>
        <v>UA : Urine Analysis In House</v>
      </c>
      <c r="X206" s="314" t="str">
        <f t="shared" si="9"/>
        <v>#N/A</v>
      </c>
      <c r="Y206" s="314" t="str">
        <f t="shared" si="10"/>
        <v>#N/A</v>
      </c>
      <c r="Z206" s="314" t="str">
        <f t="shared" si="11"/>
        <v> </v>
      </c>
      <c r="AA206" s="316"/>
    </row>
    <row r="207">
      <c r="A207" s="314" t="str">
        <f>IFS($B207=FALSE,"",$B207,VLOOKUP($B207,'PATIENT DATA (072721)'!A:C, 2, 0))</f>
        <v>GONZALES, LIONARDO</v>
      </c>
      <c r="B207" s="314">
        <v>16124.0</v>
      </c>
      <c r="C207" s="316" t="str">
        <f>IF(COUNTIF('PATIENT DATA (072721)'!A:A, B207)=0, "X","✓")</f>
        <v>✓</v>
      </c>
      <c r="D207" s="317">
        <f>IFS($B207=FALSE,"",$B207,VLOOKUP($B207,'PATIENT DATA (072721)'!A:C, 3, 0))</f>
        <v>16746</v>
      </c>
      <c r="E207" s="318">
        <v>44568.0</v>
      </c>
      <c r="F207" s="315" t="str">
        <f>ifs($B207="","",$B207, VLOOKUP($B207&amp;$E207, 'VISIT DATA'!A:O,3,0))</f>
        <v>#N/A</v>
      </c>
      <c r="G207" s="314"/>
      <c r="H207" s="314" t="str">
        <f>ifs($B207="","",$B207, VLOOKUP($B207&amp;$E207, 'VISIT DATA'!$A:$O,13,0))</f>
        <v>#N/A</v>
      </c>
      <c r="I207" s="314" t="str">
        <f>VLOOKUP($B207&amp;$E207,'VISIT DATA'!A:J, 9, FALSE)</f>
        <v>#N/A</v>
      </c>
      <c r="J207" s="314" t="str">
        <f>VLOOKUP(B207&amp;E207,'VISIT DATA'!A:N,10,FALSE)</f>
        <v>#N/A</v>
      </c>
      <c r="K207" s="316"/>
      <c r="L207" s="314"/>
      <c r="M207" s="314"/>
      <c r="N207" s="316"/>
      <c r="O207" s="316" t="str">
        <f t="shared" si="1"/>
        <v>X</v>
      </c>
      <c r="P207" s="317" t="str">
        <f t="shared" si="2"/>
        <v>#N/A</v>
      </c>
      <c r="Q207" s="317" t="str">
        <f t="shared" si="3"/>
        <v>#N/A</v>
      </c>
      <c r="R207" s="319" t="str">
        <f t="shared" si="4"/>
        <v>#N/A</v>
      </c>
      <c r="S207" s="314" t="str">
        <f t="shared" si="5"/>
        <v>#N/A</v>
      </c>
      <c r="T207" s="314" t="str">
        <f t="shared" si="6"/>
        <v>#N/A</v>
      </c>
      <c r="U207" s="314">
        <f t="shared" si="7"/>
        <v>0</v>
      </c>
      <c r="V207" s="314" t="str">
        <f>ifs($N207="",VLOOKUP($B207&amp;$E207,'VISIT DATA'!$A$2:$J244,7,FALSE), $N207="SWAB","OUTSA-RW",$N207="SWQU","OUTSA-SaQu", AND($L207="X",$M207="X",$N207="QUEST"),"OUT-UAQPre",$N207="QUEST","OUT-UAQ", $N207="Walk in","ColUATele")</f>
        <v>#N/A</v>
      </c>
      <c r="W207" s="314" t="str">
        <f t="shared" si="8"/>
        <v>#N/A</v>
      </c>
      <c r="X207" s="314" t="str">
        <f t="shared" si="9"/>
        <v>#N/A</v>
      </c>
      <c r="Y207" s="314" t="str">
        <f t="shared" si="10"/>
        <v>#N/A</v>
      </c>
      <c r="Z207" s="314" t="str">
        <f t="shared" si="11"/>
        <v> </v>
      </c>
      <c r="AA207" s="316"/>
    </row>
    <row r="208">
      <c r="A208" s="314" t="str">
        <f>IFS($B208=FALSE,"",$B208,VLOOKUP($B208,'PATIENT DATA (072721)'!A:C, 2, 0))</f>
        <v>VALTIERRA, JOEL J</v>
      </c>
      <c r="B208" s="314">
        <v>14858.0</v>
      </c>
      <c r="C208" s="316" t="str">
        <f>IF(COUNTIF('PATIENT DATA (072721)'!A:A, B208)=0, "X","✓")</f>
        <v>✓</v>
      </c>
      <c r="D208" s="317">
        <f>IFS($B208=FALSE,"",$B208,VLOOKUP($B208,'PATIENT DATA (072721)'!A:C, 3, 0))</f>
        <v>33442</v>
      </c>
      <c r="E208" s="318">
        <v>44568.0</v>
      </c>
      <c r="F208" s="315">
        <f>ifs($B208="","",$B208, VLOOKUP($B208&amp;$E208, 'VISIT DATA'!A:O,3,0))</f>
        <v>0.5416666667</v>
      </c>
      <c r="G208" s="314"/>
      <c r="H208" s="314" t="str">
        <f>ifs($B208="","",$B208, VLOOKUP($B208&amp;$E208, 'VISIT DATA'!$A:$O,13,0))</f>
        <v/>
      </c>
      <c r="I208" s="314" t="str">
        <f>VLOOKUP($B208&amp;$E208,'VISIT DATA'!A:J, 9, FALSE)</f>
        <v>TORRES</v>
      </c>
      <c r="J208" s="314" t="str">
        <f>VLOOKUP(B208&amp;E208,'VISIT DATA'!A:N,10,FALSE)</f>
        <v>AMERIGROUP</v>
      </c>
      <c r="K208" s="316"/>
      <c r="L208" s="314"/>
      <c r="M208" s="314"/>
      <c r="N208" s="316"/>
      <c r="O208" s="316" t="str">
        <f t="shared" si="1"/>
        <v>X</v>
      </c>
      <c r="P208" s="317" t="str">
        <f t="shared" si="2"/>
        <v>#VALUE!</v>
      </c>
      <c r="Q208" s="317" t="str">
        <f t="shared" si="3"/>
        <v>#VALUE!</v>
      </c>
      <c r="R208" s="319" t="str">
        <f t="shared" si="4"/>
        <v>#VALUE!</v>
      </c>
      <c r="S208" s="314" t="str">
        <f t="shared" si="5"/>
        <v>#VALUE!</v>
      </c>
      <c r="T208" s="314" t="str">
        <f t="shared" si="6"/>
        <v>#VALUE!</v>
      </c>
      <c r="U208" s="314">
        <f t="shared" si="7"/>
        <v>0</v>
      </c>
      <c r="V208" s="314" t="str">
        <f>ifs($N208="",VLOOKUP($B208&amp;$E208,'VISIT DATA'!$A$2:$J244,7,FALSE), $N208="SWAB","OUTSA-RW",$N208="SWQU","OUTSA-SaQu", AND($L208="X",$M208="X",$N208="QUEST"),"OUT-UAQPre",$N208="QUEST","OUT-UAQ", $N208="Walk in","ColUATele")</f>
        <v>UA</v>
      </c>
      <c r="W208" s="314" t="str">
        <f t="shared" si="8"/>
        <v>UA : Urine Analysis In House</v>
      </c>
      <c r="X208" s="314" t="str">
        <f t="shared" si="9"/>
        <v>#N/A</v>
      </c>
      <c r="Y208" s="314" t="str">
        <f t="shared" si="10"/>
        <v>#N/A</v>
      </c>
      <c r="Z208" s="314" t="str">
        <f t="shared" si="11"/>
        <v> </v>
      </c>
      <c r="AA208" s="316"/>
    </row>
    <row r="209">
      <c r="A209" s="314" t="str">
        <f>IFS($B209=FALSE,"",$B209,VLOOKUP($B209,'PATIENT DATA (072721)'!A:C, 2, 0))</f>
        <v>VALENZUELA, FERNANDO</v>
      </c>
      <c r="B209" s="314">
        <v>11113.0</v>
      </c>
      <c r="C209" s="316" t="str">
        <f>IF(COUNTIF('PATIENT DATA (072721)'!A:A, B209)=0, "X","✓")</f>
        <v>✓</v>
      </c>
      <c r="D209" s="317">
        <f>IFS($B209=FALSE,"",$B209,VLOOKUP($B209,'PATIENT DATA (072721)'!A:C, 3, 0))</f>
        <v>19005</v>
      </c>
      <c r="E209" s="318">
        <v>44568.0</v>
      </c>
      <c r="F209" s="315">
        <f>ifs($B209="","",$B209, VLOOKUP($B209&amp;$E209, 'VISIT DATA'!A:O,3,0))</f>
        <v>0.6458333333</v>
      </c>
      <c r="G209" s="314"/>
      <c r="H209" s="314" t="str">
        <f>ifs($B209="","",$B209, VLOOKUP($B209&amp;$E209, 'VISIT DATA'!$A:$O,13,0))</f>
        <v/>
      </c>
      <c r="I209" s="314" t="str">
        <f>VLOOKUP($B209&amp;$E209,'VISIT DATA'!A:J, 9, FALSE)</f>
        <v>MARTINEZ</v>
      </c>
      <c r="J209" s="314" t="str">
        <f>VLOOKUP(B209&amp;E209,'VISIT DATA'!A:N,10,FALSE)</f>
        <v>WELLMED - AARP MEDICARE COMPLETE</v>
      </c>
      <c r="K209" s="316"/>
      <c r="L209" s="314"/>
      <c r="M209" s="314"/>
      <c r="N209" s="316"/>
      <c r="O209" s="316" t="str">
        <f t="shared" si="1"/>
        <v>X</v>
      </c>
      <c r="P209" s="317" t="str">
        <f t="shared" si="2"/>
        <v>X</v>
      </c>
      <c r="Q209" s="317" t="str">
        <f t="shared" si="3"/>
        <v>#VALUE!</v>
      </c>
      <c r="R209" s="319" t="str">
        <f t="shared" si="4"/>
        <v>#VALUE!</v>
      </c>
      <c r="S209" s="314" t="str">
        <f t="shared" si="5"/>
        <v>#VALUE!</v>
      </c>
      <c r="T209" s="314" t="str">
        <f t="shared" si="6"/>
        <v>#VALUE!</v>
      </c>
      <c r="U209" s="314">
        <f t="shared" si="7"/>
        <v>1</v>
      </c>
      <c r="V209" s="314" t="str">
        <f>ifs($N209="",VLOOKUP($B209&amp;$E209,'VISIT DATA'!$A$2:$J244,7,FALSE), $N209="SWAB","OUTSA-RW",$N209="SWQU","OUTSA-SaQu", AND($L209="X",$M209="X",$N209="QUEST"),"OUT-UAQPre",$N209="QUEST","OUT-UAQ", $N209="Walk in","ColUATele")</f>
        <v>OUTUA-FURW</v>
      </c>
      <c r="W209" s="314" t="str">
        <f t="shared" si="8"/>
        <v>OUTUA-FURW : OUT UA FU Redwood</v>
      </c>
      <c r="X209" s="314" t="str">
        <f t="shared" si="9"/>
        <v>#N/A</v>
      </c>
      <c r="Y209" s="314" t="str">
        <f t="shared" si="10"/>
        <v>#N/A</v>
      </c>
      <c r="Z209" s="314" t="str">
        <f t="shared" si="11"/>
        <v> </v>
      </c>
      <c r="AA209" s="316"/>
    </row>
    <row r="210">
      <c r="A210" s="314" t="str">
        <f>IFS($B210=FALSE,"",$B210,VLOOKUP($B210,'PATIENT DATA (072721)'!A:C, 2, 0))</f>
        <v>CORDOVA, NINFA</v>
      </c>
      <c r="B210" s="314">
        <v>14386.0</v>
      </c>
      <c r="C210" s="316" t="str">
        <f>IF(COUNTIF('PATIENT DATA (072721)'!A:A, B210)=0, "X","✓")</f>
        <v>✓</v>
      </c>
      <c r="D210" s="317">
        <f>IFS($B210=FALSE,"",$B210,VLOOKUP($B210,'PATIENT DATA (072721)'!A:C, 3, 0))</f>
        <v>19365</v>
      </c>
      <c r="E210" s="318">
        <v>44568.0</v>
      </c>
      <c r="F210" s="315">
        <f>ifs($B210="","",$B210, VLOOKUP($B210&amp;$E210, 'VISIT DATA'!A:O,3,0))</f>
        <v>0.5520833333</v>
      </c>
      <c r="G210" s="314"/>
      <c r="H210" s="314" t="str">
        <f>ifs($B210="","",$B210, VLOOKUP($B210&amp;$E210, 'VISIT DATA'!$A:$O,13,0))</f>
        <v/>
      </c>
      <c r="I210" s="314" t="str">
        <f>VLOOKUP($B210&amp;$E210,'VISIT DATA'!A:J, 9, FALSE)</f>
        <v>TORRES</v>
      </c>
      <c r="J210" s="314" t="str">
        <f>VLOOKUP(B210&amp;E210,'VISIT DATA'!A:N,10,FALSE)</f>
        <v>WELLMED - UHC DUAL COMPLETE SNP</v>
      </c>
      <c r="K210" s="316"/>
      <c r="L210" s="314"/>
      <c r="M210" s="314"/>
      <c r="N210" s="316"/>
      <c r="O210" s="316" t="str">
        <f t="shared" si="1"/>
        <v>X</v>
      </c>
      <c r="P210" s="317" t="str">
        <f t="shared" si="2"/>
        <v>X</v>
      </c>
      <c r="Q210" s="317" t="str">
        <f t="shared" si="3"/>
        <v>#VALUE!</v>
      </c>
      <c r="R210" s="319" t="str">
        <f t="shared" si="4"/>
        <v>#VALUE!</v>
      </c>
      <c r="S210" s="314" t="str">
        <f t="shared" si="5"/>
        <v>#VALUE!</v>
      </c>
      <c r="T210" s="314" t="str">
        <f t="shared" si="6"/>
        <v>#VALUE!</v>
      </c>
      <c r="U210" s="314">
        <f t="shared" si="7"/>
        <v>1</v>
      </c>
      <c r="V210" s="314" t="str">
        <f>ifs($N210="",VLOOKUP($B210&amp;$E210,'VISIT DATA'!$A$2:$J244,7,FALSE), $N210="SWAB","OUTSA-RW",$N210="SWQU","OUTSA-SaQu", AND($L210="X",$M210="X",$N210="QUEST"),"OUT-UAQPre",$N210="QUEST","OUT-UAQ", $N210="Walk in","ColUATele")</f>
        <v>OUTUA-FURW</v>
      </c>
      <c r="W210" s="314" t="str">
        <f t="shared" si="8"/>
        <v>OUTUA-FURW : OUT UA FU Redwood</v>
      </c>
      <c r="X210" s="314" t="str">
        <f t="shared" si="9"/>
        <v>#N/A</v>
      </c>
      <c r="Y210" s="314" t="str">
        <f t="shared" si="10"/>
        <v>#N/A</v>
      </c>
      <c r="Z210" s="314" t="str">
        <f t="shared" si="11"/>
        <v> </v>
      </c>
      <c r="AA210" s="316"/>
    </row>
    <row r="211">
      <c r="A211" s="314" t="str">
        <f>IFS($B211=FALSE,"",$B211,VLOOKUP($B211,'PATIENT DATA (072721)'!A:C, 2, 0))</f>
        <v>CENICEROS, REBECCA C</v>
      </c>
      <c r="B211" s="314">
        <v>14718.0</v>
      </c>
      <c r="C211" s="316" t="str">
        <f>IF(COUNTIF('PATIENT DATA (072721)'!A:A, B211)=0, "X","✓")</f>
        <v>✓</v>
      </c>
      <c r="D211" s="317">
        <f>IFS($B211=FALSE,"",$B211,VLOOKUP($B211,'PATIENT DATA (072721)'!A:C, 3, 0))</f>
        <v>19516</v>
      </c>
      <c r="E211" s="318">
        <v>44568.0</v>
      </c>
      <c r="F211" s="315">
        <f>ifs($B211="","",$B211, VLOOKUP($B211&amp;$E211, 'VISIT DATA'!A:O,3,0))</f>
        <v>0.5625</v>
      </c>
      <c r="G211" s="314"/>
      <c r="H211" s="314" t="str">
        <f>ifs($B211="","",$B211, VLOOKUP($B211&amp;$E211, 'VISIT DATA'!$A:$O,13,0))</f>
        <v/>
      </c>
      <c r="I211" s="314" t="str">
        <f>VLOOKUP($B211&amp;$E211,'VISIT DATA'!A:J, 9, FALSE)</f>
        <v>LOPEZ</v>
      </c>
      <c r="J211" s="314" t="str">
        <f>VLOOKUP(B211&amp;E211,'VISIT DATA'!A:N,10,FALSE)</f>
        <v>WELLMED - AARP MEDICARE COMPLETE</v>
      </c>
      <c r="K211" s="316"/>
      <c r="L211" s="314"/>
      <c r="M211" s="314"/>
      <c r="N211" s="316"/>
      <c r="O211" s="316" t="str">
        <f t="shared" si="1"/>
        <v>X</v>
      </c>
      <c r="P211" s="317" t="str">
        <f t="shared" si="2"/>
        <v>X</v>
      </c>
      <c r="Q211" s="317" t="str">
        <f t="shared" si="3"/>
        <v>#VALUE!</v>
      </c>
      <c r="R211" s="319" t="str">
        <f t="shared" si="4"/>
        <v>#VALUE!</v>
      </c>
      <c r="S211" s="314" t="str">
        <f t="shared" si="5"/>
        <v>#VALUE!</v>
      </c>
      <c r="T211" s="314" t="str">
        <f t="shared" si="6"/>
        <v>#VALUE!</v>
      </c>
      <c r="U211" s="314">
        <f t="shared" si="7"/>
        <v>1</v>
      </c>
      <c r="V211" s="314" t="str">
        <f>ifs($N211="",VLOOKUP($B211&amp;$E211,'VISIT DATA'!$A$2:$J244,7,FALSE), $N211="SWAB","OUTSA-RW",$N211="SWQU","OUTSA-SaQu", AND($L211="X",$M211="X",$N211="QUEST"),"OUT-UAQPre",$N211="QUEST","OUT-UAQ", $N211="Walk in","ColUATele")</f>
        <v>OUTUA-PrRW</v>
      </c>
      <c r="W211" s="314" t="str">
        <f t="shared" si="8"/>
        <v>OUTUA-PrRW : OUT UA Prelimin Redwood</v>
      </c>
      <c r="X211" s="314" t="str">
        <f t="shared" si="9"/>
        <v>#N/A</v>
      </c>
      <c r="Y211" s="314" t="str">
        <f t="shared" si="10"/>
        <v>#N/A</v>
      </c>
      <c r="Z211" s="314" t="str">
        <f t="shared" si="11"/>
        <v> </v>
      </c>
      <c r="AA211" s="316"/>
    </row>
    <row r="212">
      <c r="A212" s="314" t="str">
        <f>IFS($B212=FALSE,"",$B212,VLOOKUP($B212,'PATIENT DATA (072721)'!A:C, 2, 0))</f>
        <v>ARMENDARIZ, MONSERRAT C</v>
      </c>
      <c r="B212" s="314">
        <v>9813.0</v>
      </c>
      <c r="C212" s="316" t="str">
        <f>IF(COUNTIF('PATIENT DATA (072721)'!A:A, B212)=0, "X","✓")</f>
        <v>✓</v>
      </c>
      <c r="D212" s="317">
        <f>IFS($B212=FALSE,"",$B212,VLOOKUP($B212,'PATIENT DATA (072721)'!A:C, 3, 0))</f>
        <v>19008</v>
      </c>
      <c r="E212" s="318">
        <v>44568.0</v>
      </c>
      <c r="F212" s="315">
        <f>ifs($B212="","",$B212, VLOOKUP($B212&amp;$E212, 'VISIT DATA'!A:O,3,0))</f>
        <v>0.5520833333</v>
      </c>
      <c r="G212" s="314"/>
      <c r="H212" s="314" t="str">
        <f>ifs($B212="","",$B212, VLOOKUP($B212&amp;$E212, 'VISIT DATA'!$A:$O,13,0))</f>
        <v/>
      </c>
      <c r="I212" s="314" t="str">
        <f>VLOOKUP($B212&amp;$E212,'VISIT DATA'!A:J, 9, FALSE)</f>
        <v>MARTINEZ</v>
      </c>
      <c r="J212" s="314" t="str">
        <f>VLOOKUP(B212&amp;E212,'VISIT DATA'!A:N,10,FALSE)</f>
        <v>BCBSTX PPO</v>
      </c>
      <c r="K212" s="316"/>
      <c r="L212" s="314"/>
      <c r="M212" s="314"/>
      <c r="N212" s="316"/>
      <c r="O212" s="316" t="str">
        <f t="shared" si="1"/>
        <v>X</v>
      </c>
      <c r="P212" s="317" t="str">
        <f t="shared" si="2"/>
        <v>#VALUE!</v>
      </c>
      <c r="Q212" s="317" t="str">
        <f t="shared" si="3"/>
        <v>#VALUE!</v>
      </c>
      <c r="R212" s="319" t="str">
        <f t="shared" si="4"/>
        <v>#VALUE!</v>
      </c>
      <c r="S212" s="314" t="str">
        <f t="shared" si="5"/>
        <v>#VALUE!</v>
      </c>
      <c r="T212" s="314" t="str">
        <f t="shared" si="6"/>
        <v>#VALUE!</v>
      </c>
      <c r="U212" s="314">
        <f t="shared" si="7"/>
        <v>0</v>
      </c>
      <c r="V212" s="314" t="str">
        <f>ifs($N212="",VLOOKUP($B212&amp;$E212,'VISIT DATA'!$A$2:$J244,7,FALSE), $N212="SWAB","OUTSA-RW",$N212="SWQU","OUTSA-SaQu", AND($L212="X",$M212="X",$N212="QUEST"),"OUT-UAQPre",$N212="QUEST","OUT-UAQ", $N212="Walk in","ColUATele")</f>
        <v>UA</v>
      </c>
      <c r="W212" s="314" t="str">
        <f t="shared" si="8"/>
        <v>UA : Urine Analysis In House</v>
      </c>
      <c r="X212" s="314" t="str">
        <f t="shared" si="9"/>
        <v>#N/A</v>
      </c>
      <c r="Y212" s="314" t="str">
        <f t="shared" si="10"/>
        <v>#N/A</v>
      </c>
      <c r="Z212" s="314" t="str">
        <f t="shared" si="11"/>
        <v> </v>
      </c>
      <c r="AA212" s="316"/>
    </row>
    <row r="213">
      <c r="A213" s="314" t="str">
        <f>IFS($B213=FALSE,"",$B213,VLOOKUP($B213,'PATIENT DATA (072721)'!A:C, 2, 0))</f>
        <v>WILSON, JEAN A</v>
      </c>
      <c r="B213" s="314">
        <v>15024.0</v>
      </c>
      <c r="C213" s="316" t="str">
        <f>IF(COUNTIF('PATIENT DATA (072721)'!A:A, B213)=0, "X","✓")</f>
        <v>✓</v>
      </c>
      <c r="D213" s="317">
        <f>IFS($B213=FALSE,"",$B213,VLOOKUP($B213,'PATIENT DATA (072721)'!A:C, 3, 0))</f>
        <v>20328</v>
      </c>
      <c r="E213" s="318">
        <v>44568.0</v>
      </c>
      <c r="F213" s="315">
        <f>ifs($B213="","",$B213, VLOOKUP($B213&amp;$E213, 'VISIT DATA'!A:O,3,0))</f>
        <v>0.5625</v>
      </c>
      <c r="G213" s="314"/>
      <c r="H213" s="314" t="str">
        <f>ifs($B213="","",$B213, VLOOKUP($B213&amp;$E213, 'VISIT DATA'!$A:$O,13,0))</f>
        <v/>
      </c>
      <c r="I213" s="314" t="str">
        <f>VLOOKUP($B213&amp;$E213,'VISIT DATA'!A:J, 9, FALSE)</f>
        <v>LOPEZ</v>
      </c>
      <c r="J213" s="314" t="str">
        <f>VLOOKUP(B213&amp;E213,'VISIT DATA'!A:N,10,FALSE)</f>
        <v>WELLMED - AARP MEDICARE COMPLETE</v>
      </c>
      <c r="K213" s="316"/>
      <c r="L213" s="314"/>
      <c r="M213" s="314"/>
      <c r="N213" s="316"/>
      <c r="O213" s="316" t="str">
        <f t="shared" si="1"/>
        <v>X</v>
      </c>
      <c r="P213" s="317" t="str">
        <f t="shared" si="2"/>
        <v>X</v>
      </c>
      <c r="Q213" s="317" t="str">
        <f t="shared" si="3"/>
        <v>#VALUE!</v>
      </c>
      <c r="R213" s="319" t="str">
        <f t="shared" si="4"/>
        <v>#VALUE!</v>
      </c>
      <c r="S213" s="314" t="str">
        <f t="shared" si="5"/>
        <v>#VALUE!</v>
      </c>
      <c r="T213" s="314" t="str">
        <f t="shared" si="6"/>
        <v>#VALUE!</v>
      </c>
      <c r="U213" s="314">
        <f t="shared" si="7"/>
        <v>1</v>
      </c>
      <c r="V213" s="314" t="str">
        <f>ifs($N213="",VLOOKUP($B213&amp;$E213,'VISIT DATA'!$A$2:$J244,7,FALSE), $N213="SWAB","OUTSA-RW",$N213="SWQU","OUTSA-SaQu", AND($L213="X",$M213="X",$N213="QUEST"),"OUT-UAQPre",$N213="QUEST","OUT-UAQ", $N213="Walk in","ColUATele")</f>
        <v>OUTUA-FURW</v>
      </c>
      <c r="W213" s="314" t="str">
        <f t="shared" si="8"/>
        <v>OUTUA-FURW : OUT UA FU Redwood</v>
      </c>
      <c r="X213" s="314" t="str">
        <f t="shared" si="9"/>
        <v>#N/A</v>
      </c>
      <c r="Y213" s="314" t="str">
        <f t="shared" si="10"/>
        <v>#N/A</v>
      </c>
      <c r="Z213" s="314" t="str">
        <f t="shared" si="11"/>
        <v> </v>
      </c>
      <c r="AA213" s="316"/>
    </row>
    <row r="214">
      <c r="A214" s="314" t="str">
        <f>IFS($B214=FALSE,"",$B214,VLOOKUP($B214,'PATIENT DATA (072721)'!A:C, 2, 0))</f>
        <v>GONZALEZ, VELIA</v>
      </c>
      <c r="B214" s="314">
        <v>13293.0</v>
      </c>
      <c r="C214" s="316" t="str">
        <f>IF(COUNTIF('PATIENT DATA (072721)'!A:A, B214)=0, "X","✓")</f>
        <v>✓</v>
      </c>
      <c r="D214" s="317">
        <f>IFS($B214=FALSE,"",$B214,VLOOKUP($B214,'PATIENT DATA (072721)'!A:C, 3, 0))</f>
        <v>30806</v>
      </c>
      <c r="E214" s="318">
        <v>44568.0</v>
      </c>
      <c r="F214" s="315" t="str">
        <f>ifs($B214="","",$B214, VLOOKUP($B214&amp;$E214, 'VISIT DATA'!A:O,3,0))</f>
        <v>#N/A</v>
      </c>
      <c r="G214" s="314"/>
      <c r="H214" s="314" t="str">
        <f>ifs($B214="","",$B214, VLOOKUP($B214&amp;$E214, 'VISIT DATA'!$A:$O,13,0))</f>
        <v>#N/A</v>
      </c>
      <c r="I214" s="314" t="str">
        <f>VLOOKUP($B214&amp;$E214,'VISIT DATA'!A:J, 9, FALSE)</f>
        <v>#N/A</v>
      </c>
      <c r="J214" s="314" t="str">
        <f>VLOOKUP(B214&amp;E214,'VISIT DATA'!A:N,10,FALSE)</f>
        <v>#N/A</v>
      </c>
      <c r="K214" s="316"/>
      <c r="L214" s="314"/>
      <c r="M214" s="314"/>
      <c r="N214" s="316"/>
      <c r="O214" s="316" t="str">
        <f t="shared" si="1"/>
        <v>X</v>
      </c>
      <c r="P214" s="317" t="str">
        <f t="shared" si="2"/>
        <v>#N/A</v>
      </c>
      <c r="Q214" s="317" t="str">
        <f t="shared" si="3"/>
        <v>#N/A</v>
      </c>
      <c r="R214" s="319" t="str">
        <f t="shared" si="4"/>
        <v>#N/A</v>
      </c>
      <c r="S214" s="314" t="str">
        <f t="shared" si="5"/>
        <v>#N/A</v>
      </c>
      <c r="T214" s="314" t="str">
        <f t="shared" si="6"/>
        <v>#N/A</v>
      </c>
      <c r="U214" s="314">
        <f t="shared" si="7"/>
        <v>0</v>
      </c>
      <c r="V214" s="314" t="str">
        <f>ifs($N214="",VLOOKUP($B214&amp;$E214,'VISIT DATA'!$A$2:$J244,7,FALSE), $N214="SWAB","OUTSA-RW",$N214="SWQU","OUTSA-SaQu", AND($L214="X",$M214="X",$N214="QUEST"),"OUT-UAQPre",$N214="QUEST","OUT-UAQ", $N214="Walk in","ColUATele")</f>
        <v>#N/A</v>
      </c>
      <c r="W214" s="314" t="str">
        <f t="shared" si="8"/>
        <v>#N/A</v>
      </c>
      <c r="X214" s="314" t="str">
        <f t="shared" si="9"/>
        <v>#N/A</v>
      </c>
      <c r="Y214" s="314" t="str">
        <f t="shared" si="10"/>
        <v>#N/A</v>
      </c>
      <c r="Z214" s="314" t="str">
        <f t="shared" si="11"/>
        <v> </v>
      </c>
      <c r="AA214" s="316"/>
    </row>
    <row r="215">
      <c r="A215" s="314" t="str">
        <f>IFS($B215=FALSE,"",$B215,VLOOKUP($B215,'PATIENT DATA (072721)'!A:C, 2, 0))</f>
        <v>DIAZ, GENOVEVA</v>
      </c>
      <c r="B215" s="314">
        <v>16571.0</v>
      </c>
      <c r="C215" s="316" t="str">
        <f>IF(COUNTIF('PATIENT DATA (072721)'!A:A, B215)=0, "X","✓")</f>
        <v>✓</v>
      </c>
      <c r="D215" s="317">
        <f>IFS($B215=FALSE,"",$B215,VLOOKUP($B215,'PATIENT DATA (072721)'!A:C, 3, 0))</f>
        <v>14391</v>
      </c>
      <c r="E215" s="318">
        <v>44568.0</v>
      </c>
      <c r="F215" s="315">
        <f>ifs($B215="","",$B215, VLOOKUP($B215&amp;$E215, 'VISIT DATA'!A:O,3,0))</f>
        <v>0.5729166667</v>
      </c>
      <c r="G215" s="314"/>
      <c r="H215" s="314" t="str">
        <f>ifs($B215="","",$B215, VLOOKUP($B215&amp;$E215, 'VISIT DATA'!$A:$O,13,0))</f>
        <v/>
      </c>
      <c r="I215" s="314" t="str">
        <f>VLOOKUP($B215&amp;$E215,'VISIT DATA'!A:J, 9, FALSE)</f>
        <v>TORRES</v>
      </c>
      <c r="J215" s="314" t="str">
        <f>VLOOKUP(B215&amp;E215,'VISIT DATA'!A:N,10,FALSE)</f>
        <v>WELLMED - UHC DUAL COMPLETE SNP</v>
      </c>
      <c r="K215" s="316"/>
      <c r="L215" s="314"/>
      <c r="M215" s="314"/>
      <c r="N215" s="316"/>
      <c r="O215" s="316" t="str">
        <f t="shared" si="1"/>
        <v>X</v>
      </c>
      <c r="P215" s="317" t="str">
        <f t="shared" si="2"/>
        <v>X</v>
      </c>
      <c r="Q215" s="317" t="str">
        <f t="shared" si="3"/>
        <v>#VALUE!</v>
      </c>
      <c r="R215" s="319" t="str">
        <f t="shared" si="4"/>
        <v>#VALUE!</v>
      </c>
      <c r="S215" s="314" t="str">
        <f t="shared" si="5"/>
        <v>#VALUE!</v>
      </c>
      <c r="T215" s="314" t="str">
        <f t="shared" si="6"/>
        <v>#VALUE!</v>
      </c>
      <c r="U215" s="314">
        <f t="shared" si="7"/>
        <v>1</v>
      </c>
      <c r="V215" s="314" t="str">
        <f>ifs($N215="",VLOOKUP($B215&amp;$E215,'VISIT DATA'!$A$2:$J244,7,FALSE), $N215="SWAB","OUTSA-RW",$N215="SWQU","OUTSA-SaQu", AND($L215="X",$M215="X",$N215="QUEST"),"OUT-UAQPre",$N215="QUEST","OUT-UAQ", $N215="Walk in","ColUATele")</f>
        <v>OUTUA-FURW</v>
      </c>
      <c r="W215" s="314" t="str">
        <f t="shared" si="8"/>
        <v>OUTUA-FURW : OUT UA FU Redwood</v>
      </c>
      <c r="X215" s="314" t="str">
        <f t="shared" si="9"/>
        <v>#N/A</v>
      </c>
      <c r="Y215" s="314" t="str">
        <f t="shared" si="10"/>
        <v>#N/A</v>
      </c>
      <c r="Z215" s="314" t="str">
        <f t="shared" si="11"/>
        <v> </v>
      </c>
      <c r="AA215" s="316"/>
    </row>
    <row r="216">
      <c r="A216" s="314" t="str">
        <f>IFS($B216=FALSE,"",$B216,VLOOKUP($B216,'PATIENT DATA (072721)'!A:C, 2, 0))</f>
        <v>BARRERAS, MARIA L</v>
      </c>
      <c r="B216" s="314">
        <v>15779.0</v>
      </c>
      <c r="C216" s="316" t="str">
        <f>IF(COUNTIF('PATIENT DATA (072721)'!A:A, B216)=0, "X","✓")</f>
        <v>✓</v>
      </c>
      <c r="D216" s="317">
        <f>IFS($B216=FALSE,"",$B216,VLOOKUP($B216,'PATIENT DATA (072721)'!A:C, 3, 0))</f>
        <v>21259</v>
      </c>
      <c r="E216" s="318">
        <v>44568.0</v>
      </c>
      <c r="F216" s="315">
        <f>ifs($B216="","",$B216, VLOOKUP($B216&amp;$E216, 'VISIT DATA'!A:O,3,0))</f>
        <v>0.5625</v>
      </c>
      <c r="G216" s="314"/>
      <c r="H216" s="314" t="str">
        <f>ifs($B216="","",$B216, VLOOKUP($B216&amp;$E216, 'VISIT DATA'!$A:$O,13,0))</f>
        <v/>
      </c>
      <c r="I216" s="314" t="str">
        <f>VLOOKUP($B216&amp;$E216,'VISIT DATA'!A:J, 9, FALSE)</f>
        <v>MARTINEZ</v>
      </c>
      <c r="J216" s="314" t="str">
        <f>VLOOKUP(B216&amp;E216,'VISIT DATA'!A:N,10,FALSE)</f>
        <v>MOLINA MEDICAID TEXAS</v>
      </c>
      <c r="K216" s="316"/>
      <c r="L216" s="314"/>
      <c r="M216" s="314"/>
      <c r="N216" s="316"/>
      <c r="O216" s="316" t="str">
        <f t="shared" si="1"/>
        <v>X</v>
      </c>
      <c r="P216" s="317" t="str">
        <f t="shared" si="2"/>
        <v>#VALUE!</v>
      </c>
      <c r="Q216" s="317" t="str">
        <f t="shared" si="3"/>
        <v>X</v>
      </c>
      <c r="R216" s="319" t="str">
        <f t="shared" si="4"/>
        <v>#VALUE!</v>
      </c>
      <c r="S216" s="314" t="str">
        <f t="shared" si="5"/>
        <v>#VALUE!</v>
      </c>
      <c r="T216" s="314" t="str">
        <f t="shared" si="6"/>
        <v>#VALUE!</v>
      </c>
      <c r="U216" s="314">
        <f t="shared" si="7"/>
        <v>1</v>
      </c>
      <c r="V216" s="314" t="str">
        <f>ifs($N216="",VLOOKUP($B216&amp;$E216,'VISIT DATA'!$A$2:$J244,7,FALSE), $N216="SWAB","OUTSA-RW",$N216="SWQU","OUTSA-SaQu", AND($L216="X",$M216="X",$N216="QUEST"),"OUT-UAQPre",$N216="QUEST","OUT-UAQ", $N216="Walk in","ColUATele")</f>
        <v>OUTUA-FURW</v>
      </c>
      <c r="W216" s="314" t="str">
        <f t="shared" si="8"/>
        <v>OUTUA-FURW : OUT UA FU Redwood</v>
      </c>
      <c r="X216" s="314" t="str">
        <f t="shared" si="9"/>
        <v>#N/A</v>
      </c>
      <c r="Y216" s="314" t="str">
        <f t="shared" si="10"/>
        <v>#N/A</v>
      </c>
      <c r="Z216" s="314" t="str">
        <f t="shared" si="11"/>
        <v> </v>
      </c>
      <c r="AA216" s="316"/>
    </row>
    <row r="217">
      <c r="A217" s="314" t="str">
        <f>IFS($B217=FALSE,"",$B217,VLOOKUP($B217,'PATIENT DATA (072721)'!A:C, 2, 0))</f>
        <v>MENDEZ, NOHEMI</v>
      </c>
      <c r="B217" s="314">
        <v>9300.0</v>
      </c>
      <c r="C217" s="316" t="str">
        <f>IF(COUNTIF('PATIENT DATA (072721)'!A:A, B217)=0, "X","✓")</f>
        <v>✓</v>
      </c>
      <c r="D217" s="317">
        <f>IFS($B217=FALSE,"",$B217,VLOOKUP($B217,'PATIENT DATA (072721)'!A:C, 3, 0))</f>
        <v>32377</v>
      </c>
      <c r="E217" s="318">
        <v>44568.0</v>
      </c>
      <c r="F217" s="315" t="str">
        <f>ifs($B217="","",$B217, VLOOKUP($B217&amp;$E217, 'VISIT DATA'!A:O,3,0))</f>
        <v>#N/A</v>
      </c>
      <c r="G217" s="314"/>
      <c r="H217" s="314" t="str">
        <f>ifs($B217="","",$B217, VLOOKUP($B217&amp;$E217, 'VISIT DATA'!$A:$O,13,0))</f>
        <v>#N/A</v>
      </c>
      <c r="I217" s="314" t="str">
        <f>VLOOKUP($B217&amp;$E217,'VISIT DATA'!A:J, 9, FALSE)</f>
        <v>#N/A</v>
      </c>
      <c r="J217" s="314" t="str">
        <f>VLOOKUP(B217&amp;E217,'VISIT DATA'!A:N,10,FALSE)</f>
        <v>#N/A</v>
      </c>
      <c r="K217" s="316"/>
      <c r="L217" s="314"/>
      <c r="M217" s="314"/>
      <c r="N217" s="316"/>
      <c r="O217" s="316" t="str">
        <f t="shared" si="1"/>
        <v>X</v>
      </c>
      <c r="P217" s="317" t="str">
        <f t="shared" si="2"/>
        <v>#N/A</v>
      </c>
      <c r="Q217" s="317" t="str">
        <f t="shared" si="3"/>
        <v>#N/A</v>
      </c>
      <c r="R217" s="319" t="str">
        <f t="shared" si="4"/>
        <v>#N/A</v>
      </c>
      <c r="S217" s="314" t="str">
        <f t="shared" si="5"/>
        <v>#N/A</v>
      </c>
      <c r="T217" s="314" t="str">
        <f t="shared" si="6"/>
        <v>#N/A</v>
      </c>
      <c r="U217" s="314">
        <f t="shared" si="7"/>
        <v>0</v>
      </c>
      <c r="V217" s="314" t="str">
        <f>ifs($N217="",VLOOKUP($B217&amp;$E217,'VISIT DATA'!$A$2:$J244,7,FALSE), $N217="SWAB","OUTSA-RW",$N217="SWQU","OUTSA-SaQu", AND($L217="X",$M217="X",$N217="QUEST"),"OUT-UAQPre",$N217="QUEST","OUT-UAQ", $N217="Walk in","ColUATele")</f>
        <v>#N/A</v>
      </c>
      <c r="W217" s="314" t="str">
        <f t="shared" si="8"/>
        <v>#N/A</v>
      </c>
      <c r="X217" s="314" t="str">
        <f t="shared" si="9"/>
        <v>#N/A</v>
      </c>
      <c r="Y217" s="314" t="str">
        <f t="shared" si="10"/>
        <v>#N/A</v>
      </c>
      <c r="Z217" s="314" t="str">
        <f t="shared" si="11"/>
        <v> </v>
      </c>
      <c r="AA217" s="316"/>
    </row>
    <row r="218">
      <c r="A218" s="314" t="str">
        <f>IFS($B218=FALSE,"",$B218,VLOOKUP($B218,'PATIENT DATA (072721)'!A:C, 2, 0))</f>
        <v>UGARTE, FERNANDO</v>
      </c>
      <c r="B218" s="314">
        <v>17432.0</v>
      </c>
      <c r="C218" s="316" t="str">
        <f>IF(COUNTIF('PATIENT DATA (072721)'!A:A, B218)=0, "X","✓")</f>
        <v>✓</v>
      </c>
      <c r="D218" s="317">
        <f>IFS($B218=FALSE,"",$B218,VLOOKUP($B218,'PATIENT DATA (072721)'!A:C, 3, 0))</f>
        <v>28960</v>
      </c>
      <c r="E218" s="318">
        <v>44568.0</v>
      </c>
      <c r="F218" s="315">
        <f>ifs($B218="","",$B218, VLOOKUP($B218&amp;$E218, 'VISIT DATA'!A:O,3,0))</f>
        <v>0.59375</v>
      </c>
      <c r="G218" s="314"/>
      <c r="H218" s="314" t="str">
        <f>ifs($B218="","",$B218, VLOOKUP($B218&amp;$E218, 'VISIT DATA'!$A:$O,13,0))</f>
        <v/>
      </c>
      <c r="I218" s="314" t="str">
        <f>VLOOKUP($B218&amp;$E218,'VISIT DATA'!A:J, 9, FALSE)</f>
        <v>LOPEZ</v>
      </c>
      <c r="J218" s="314" t="str">
        <f>VLOOKUP(B218&amp;E218,'VISIT DATA'!A:N,10,FALSE)</f>
        <v>PRESBYTERIAN HEALTH PLAN</v>
      </c>
      <c r="K218" s="316"/>
      <c r="L218" s="314"/>
      <c r="M218" s="314"/>
      <c r="N218" s="316"/>
      <c r="O218" s="316" t="str">
        <f t="shared" si="1"/>
        <v>X</v>
      </c>
      <c r="P218" s="317" t="str">
        <f t="shared" si="2"/>
        <v>#VALUE!</v>
      </c>
      <c r="Q218" s="317" t="str">
        <f t="shared" si="3"/>
        <v>#VALUE!</v>
      </c>
      <c r="R218" s="319" t="str">
        <f t="shared" si="4"/>
        <v>#VALUE!</v>
      </c>
      <c r="S218" s="314" t="str">
        <f t="shared" si="5"/>
        <v>#VALUE!</v>
      </c>
      <c r="T218" s="314" t="str">
        <f t="shared" si="6"/>
        <v>#VALUE!</v>
      </c>
      <c r="U218" s="314">
        <f t="shared" si="7"/>
        <v>0</v>
      </c>
      <c r="V218" s="314" t="str">
        <f>ifs($N218="",VLOOKUP($B218&amp;$E218,'VISIT DATA'!$A$2:$J244,7,FALSE), $N218="SWAB","OUTSA-RW",$N218="SWQU","OUTSA-SaQu", AND($L218="X",$M218="X",$N218="QUEST"),"OUT-UAQPre",$N218="QUEST","OUT-UAQ", $N218="Walk in","ColUATele")</f>
        <v>UA-Prelim</v>
      </c>
      <c r="W218" s="314" t="str">
        <f t="shared" si="8"/>
        <v>UA-Prelim : Preliminary UA Test</v>
      </c>
      <c r="X218" s="314" t="str">
        <f t="shared" si="9"/>
        <v>#N/A</v>
      </c>
      <c r="Y218" s="314" t="str">
        <f t="shared" si="10"/>
        <v>#N/A</v>
      </c>
      <c r="Z218" s="314" t="str">
        <f t="shared" si="11"/>
        <v> </v>
      </c>
      <c r="AA218" s="316"/>
    </row>
    <row r="219">
      <c r="A219" s="314" t="str">
        <f>IFS($B219=FALSE,"",$B219,VLOOKUP($B219,'PATIENT DATA (072721)'!A:C, 2, 0))</f>
        <v>MUNOZ, LORENZA</v>
      </c>
      <c r="B219" s="314">
        <v>9863.0</v>
      </c>
      <c r="C219" s="316" t="str">
        <f>IF(COUNTIF('PATIENT DATA (072721)'!A:A, B219)=0, "X","✓")</f>
        <v>✓</v>
      </c>
      <c r="D219" s="317">
        <f>IFS($B219=FALSE,"",$B219,VLOOKUP($B219,'PATIENT DATA (072721)'!A:C, 3, 0))</f>
        <v>17578</v>
      </c>
      <c r="E219" s="318">
        <v>44568.0</v>
      </c>
      <c r="F219" s="315">
        <f>ifs($B219="","",$B219, VLOOKUP($B219&amp;$E219, 'VISIT DATA'!A:O,3,0))</f>
        <v>0.5833333333</v>
      </c>
      <c r="G219" s="314"/>
      <c r="H219" s="314" t="str">
        <f>ifs($B219="","",$B219, VLOOKUP($B219&amp;$E219, 'VISIT DATA'!$A:$O,13,0))</f>
        <v/>
      </c>
      <c r="I219" s="314" t="str">
        <f>VLOOKUP($B219&amp;$E219,'VISIT DATA'!A:J, 9, FALSE)</f>
        <v>MARTINEZ</v>
      </c>
      <c r="J219" s="314" t="str">
        <f>VLOOKUP(B219&amp;E219,'VISIT DATA'!A:N,10,FALSE)</f>
        <v>MOLINA DUAL COMPLETE TEXAS</v>
      </c>
      <c r="K219" s="316"/>
      <c r="L219" s="314"/>
      <c r="M219" s="314"/>
      <c r="N219" s="316"/>
      <c r="O219" s="316" t="str">
        <f t="shared" si="1"/>
        <v>X</v>
      </c>
      <c r="P219" s="317" t="str">
        <f t="shared" si="2"/>
        <v>#VALUE!</v>
      </c>
      <c r="Q219" s="317" t="str">
        <f t="shared" si="3"/>
        <v>X</v>
      </c>
      <c r="R219" s="319" t="str">
        <f t="shared" si="4"/>
        <v>#VALUE!</v>
      </c>
      <c r="S219" s="314" t="str">
        <f t="shared" si="5"/>
        <v>#VALUE!</v>
      </c>
      <c r="T219" s="314" t="str">
        <f t="shared" si="6"/>
        <v>#VALUE!</v>
      </c>
      <c r="U219" s="314">
        <f t="shared" si="7"/>
        <v>1</v>
      </c>
      <c r="V219" s="314" t="str">
        <f>ifs($N219="",VLOOKUP($B219&amp;$E219,'VISIT DATA'!$A$2:$J244,7,FALSE), $N219="SWAB","OUTSA-RW",$N219="SWQU","OUTSA-SaQu", AND($L219="X",$M219="X",$N219="QUEST"),"OUT-UAQPre",$N219="QUEST","OUT-UAQ", $N219="Walk in","ColUATele")</f>
        <v>OUTUA-FURW</v>
      </c>
      <c r="W219" s="314" t="str">
        <f t="shared" si="8"/>
        <v>OUTUA-FURW : OUT UA FU Redwood</v>
      </c>
      <c r="X219" s="314" t="str">
        <f t="shared" si="9"/>
        <v>#N/A</v>
      </c>
      <c r="Y219" s="314" t="str">
        <f t="shared" si="10"/>
        <v>#N/A</v>
      </c>
      <c r="Z219" s="314" t="str">
        <f t="shared" si="11"/>
        <v> </v>
      </c>
      <c r="AA219" s="316"/>
    </row>
    <row r="220">
      <c r="A220" s="314" t="str">
        <f>IFS($B220=FALSE,"",$B220,VLOOKUP($B220,'PATIENT DATA (072721)'!A:C, 2, 0))</f>
        <v>OROZCO, JOSE A</v>
      </c>
      <c r="B220" s="314">
        <v>17470.0</v>
      </c>
      <c r="C220" s="316" t="str">
        <f>IF(COUNTIF('PATIENT DATA (072721)'!A:A, B220)=0, "X","✓")</f>
        <v>✓</v>
      </c>
      <c r="D220" s="317">
        <f>IFS($B220=FALSE,"",$B220,VLOOKUP($B220,'PATIENT DATA (072721)'!A:C, 3, 0))</f>
        <v>34674</v>
      </c>
      <c r="E220" s="318">
        <v>44568.0</v>
      </c>
      <c r="F220" s="315">
        <f>ifs($B220="","",$B220, VLOOKUP($B220&amp;$E220, 'VISIT DATA'!A:O,3,0))</f>
        <v>0.625</v>
      </c>
      <c r="G220" s="314"/>
      <c r="H220" s="314" t="str">
        <f>ifs($B220="","",$B220, VLOOKUP($B220&amp;$E220, 'VISIT DATA'!$A:$O,13,0))</f>
        <v/>
      </c>
      <c r="I220" s="314" t="str">
        <f>VLOOKUP($B220&amp;$E220,'VISIT DATA'!A:J, 9, FALSE)</f>
        <v>TORRES</v>
      </c>
      <c r="J220" s="314" t="str">
        <f>VLOOKUP(B220&amp;E220,'VISIT DATA'!A:N,10,FALSE)</f>
        <v>EL PASO HEALTH PLAN</v>
      </c>
      <c r="K220" s="316"/>
      <c r="L220" s="314"/>
      <c r="M220" s="314"/>
      <c r="N220" s="316"/>
      <c r="O220" s="316" t="str">
        <f t="shared" si="1"/>
        <v>X</v>
      </c>
      <c r="P220" s="317" t="str">
        <f t="shared" si="2"/>
        <v>#VALUE!</v>
      </c>
      <c r="Q220" s="317" t="str">
        <f t="shared" si="3"/>
        <v>#VALUE!</v>
      </c>
      <c r="R220" s="319" t="str">
        <f t="shared" si="4"/>
        <v>#VALUE!</v>
      </c>
      <c r="S220" s="314" t="str">
        <f t="shared" si="5"/>
        <v>#VALUE!</v>
      </c>
      <c r="T220" s="314" t="str">
        <f t="shared" si="6"/>
        <v>#VALUE!</v>
      </c>
      <c r="U220" s="314">
        <f t="shared" si="7"/>
        <v>0</v>
      </c>
      <c r="V220" s="314" t="str">
        <f>ifs($N220="",VLOOKUP($B220&amp;$E220,'VISIT DATA'!$A$2:$J244,7,FALSE), $N220="SWAB","OUTSA-RW",$N220="SWQU","OUTSA-SaQu", AND($L220="X",$M220="X",$N220="QUEST"),"OUT-UAQPre",$N220="QUEST","OUT-UAQ", $N220="Walk in","ColUATele")</f>
        <v>UA-Prelim</v>
      </c>
      <c r="W220" s="314" t="str">
        <f t="shared" si="8"/>
        <v>UA-Prelim : Preliminary UA Test</v>
      </c>
      <c r="X220" s="314" t="str">
        <f t="shared" si="9"/>
        <v>#N/A</v>
      </c>
      <c r="Y220" s="314" t="str">
        <f t="shared" si="10"/>
        <v>#N/A</v>
      </c>
      <c r="Z220" s="314" t="str">
        <f t="shared" si="11"/>
        <v> </v>
      </c>
      <c r="AA220" s="316"/>
    </row>
    <row r="221">
      <c r="A221" s="314" t="str">
        <f>IFS($B221=FALSE,"",$B221,VLOOKUP($B221,'PATIENT DATA (072721)'!A:C, 2, 0))</f>
        <v>MEDRANO, MANUEL J</v>
      </c>
      <c r="B221" s="314">
        <v>15857.0</v>
      </c>
      <c r="C221" s="316" t="str">
        <f>IF(COUNTIF('PATIENT DATA (072721)'!A:A, B221)=0, "X","✓")</f>
        <v>✓</v>
      </c>
      <c r="D221" s="317">
        <f>IFS($B221=FALSE,"",$B221,VLOOKUP($B221,'PATIENT DATA (072721)'!A:C, 3, 0))</f>
        <v>20924</v>
      </c>
      <c r="E221" s="318">
        <v>44568.0</v>
      </c>
      <c r="F221" s="315">
        <f>ifs($B221="","",$B221, VLOOKUP($B221&amp;$E221, 'VISIT DATA'!A:O,3,0))</f>
        <v>0.6145833333</v>
      </c>
      <c r="G221" s="314"/>
      <c r="H221" s="314" t="str">
        <f>ifs($B221="","",$B221, VLOOKUP($B221&amp;$E221, 'VISIT DATA'!$A:$O,13,0))</f>
        <v/>
      </c>
      <c r="I221" s="314" t="str">
        <f>VLOOKUP($B221&amp;$E221,'VISIT DATA'!A:J, 9, FALSE)</f>
        <v>MARTINEZ</v>
      </c>
      <c r="J221" s="314" t="str">
        <f>VLOOKUP(B221&amp;E221,'VISIT DATA'!A:N,10,FALSE)</f>
        <v>MOLINA MEDICAID TEXAS</v>
      </c>
      <c r="K221" s="316"/>
      <c r="L221" s="314"/>
      <c r="M221" s="314"/>
      <c r="N221" s="316"/>
      <c r="O221" s="316" t="str">
        <f t="shared" si="1"/>
        <v>X</v>
      </c>
      <c r="P221" s="317" t="str">
        <f t="shared" si="2"/>
        <v>#VALUE!</v>
      </c>
      <c r="Q221" s="317" t="str">
        <f t="shared" si="3"/>
        <v>X</v>
      </c>
      <c r="R221" s="319" t="str">
        <f t="shared" si="4"/>
        <v>#VALUE!</v>
      </c>
      <c r="S221" s="314" t="str">
        <f t="shared" si="5"/>
        <v>#VALUE!</v>
      </c>
      <c r="T221" s="314" t="str">
        <f t="shared" si="6"/>
        <v>#VALUE!</v>
      </c>
      <c r="U221" s="314">
        <f t="shared" si="7"/>
        <v>1</v>
      </c>
      <c r="V221" s="314" t="str">
        <f>ifs($N221="",VLOOKUP($B221&amp;$E221,'VISIT DATA'!$A$2:$J244,7,FALSE), $N221="SWAB","OUTSA-RW",$N221="SWQU","OUTSA-SaQu", AND($L221="X",$M221="X",$N221="QUEST"),"OUT-UAQPre",$N221="QUEST","OUT-UAQ", $N221="Walk in","ColUATele")</f>
        <v>OUTUA-FURW</v>
      </c>
      <c r="W221" s="314" t="str">
        <f t="shared" si="8"/>
        <v>OUTUA-FURW : OUT UA FU Redwood</v>
      </c>
      <c r="X221" s="314" t="str">
        <f t="shared" si="9"/>
        <v>#N/A</v>
      </c>
      <c r="Y221" s="314" t="str">
        <f t="shared" si="10"/>
        <v>#N/A</v>
      </c>
      <c r="Z221" s="314" t="str">
        <f t="shared" si="11"/>
        <v> </v>
      </c>
      <c r="AA221" s="316"/>
    </row>
    <row r="222">
      <c r="A222" s="314" t="str">
        <f>IFS($B222=FALSE,"",$B222,VLOOKUP($B222,'PATIENT DATA (072721)'!A:C, 2, 0))</f>
        <v>BARRON, DAVID J</v>
      </c>
      <c r="B222" s="314">
        <v>12597.0</v>
      </c>
      <c r="C222" s="316" t="str">
        <f>IF(COUNTIF('PATIENT DATA (072721)'!A:A, B222)=0, "X","✓")</f>
        <v>✓</v>
      </c>
      <c r="D222" s="317">
        <f>IFS($B222=FALSE,"",$B222,VLOOKUP($B222,'PATIENT DATA (072721)'!A:C, 3, 0))</f>
        <v>30610</v>
      </c>
      <c r="E222" s="318">
        <v>44568.0</v>
      </c>
      <c r="F222" s="315">
        <f>ifs($B222="","",$B222, VLOOKUP($B222&amp;$E222, 'VISIT DATA'!A:O,3,0))</f>
        <v>0.6354166667</v>
      </c>
      <c r="G222" s="314"/>
      <c r="H222" s="314" t="str">
        <f>ifs($B222="","",$B222, VLOOKUP($B222&amp;$E222, 'VISIT DATA'!$A:$O,13,0))</f>
        <v/>
      </c>
      <c r="I222" s="314" t="str">
        <f>VLOOKUP($B222&amp;$E222,'VISIT DATA'!A:J, 9, FALSE)</f>
        <v>TORRES</v>
      </c>
      <c r="J222" s="314" t="str">
        <f>VLOOKUP(B222&amp;E222,'VISIT DATA'!A:N,10,FALSE)</f>
        <v>BCBS FEDERAL</v>
      </c>
      <c r="K222" s="316"/>
      <c r="L222" s="314"/>
      <c r="M222" s="314"/>
      <c r="N222" s="316"/>
      <c r="O222" s="316" t="str">
        <f t="shared" si="1"/>
        <v>X</v>
      </c>
      <c r="P222" s="317" t="str">
        <f t="shared" si="2"/>
        <v>#VALUE!</v>
      </c>
      <c r="Q222" s="317" t="str">
        <f t="shared" si="3"/>
        <v>#VALUE!</v>
      </c>
      <c r="R222" s="319" t="str">
        <f t="shared" si="4"/>
        <v>#VALUE!</v>
      </c>
      <c r="S222" s="314" t="str">
        <f t="shared" si="5"/>
        <v>#VALUE!</v>
      </c>
      <c r="T222" s="314" t="str">
        <f t="shared" si="6"/>
        <v>#VALUE!</v>
      </c>
      <c r="U222" s="314">
        <f t="shared" si="7"/>
        <v>0</v>
      </c>
      <c r="V222" s="314" t="str">
        <f>ifs($N222="",VLOOKUP($B222&amp;$E222,'VISIT DATA'!$A$2:$J244,7,FALSE), $N222="SWAB","OUTSA-RW",$N222="SWQU","OUTSA-SaQu", AND($L222="X",$M222="X",$N222="QUEST"),"OUT-UAQPre",$N222="QUEST","OUT-UAQ", $N222="Walk in","ColUATele")</f>
        <v>UA</v>
      </c>
      <c r="W222" s="314" t="str">
        <f t="shared" si="8"/>
        <v>UA : Urine Analysis In House</v>
      </c>
      <c r="X222" s="314" t="str">
        <f t="shared" si="9"/>
        <v>#N/A</v>
      </c>
      <c r="Y222" s="314" t="str">
        <f t="shared" si="10"/>
        <v>#N/A</v>
      </c>
      <c r="Z222" s="314" t="str">
        <f t="shared" si="11"/>
        <v> </v>
      </c>
      <c r="AA222" s="316"/>
    </row>
    <row r="223">
      <c r="A223" s="314" t="str">
        <f>IFS($B223=FALSE,"",$B223,VLOOKUP($B223,'PATIENT DATA (072721)'!A:C, 2, 0))</f>
        <v>ANAYA, MAXIMO</v>
      </c>
      <c r="B223" s="314">
        <v>15209.0</v>
      </c>
      <c r="C223" s="316" t="str">
        <f>IF(COUNTIF('PATIENT DATA (072721)'!A:A, B223)=0, "X","✓")</f>
        <v>✓</v>
      </c>
      <c r="D223" s="317">
        <f>IFS($B223=FALSE,"",$B223,VLOOKUP($B223,'PATIENT DATA (072721)'!A:C, 3, 0))</f>
        <v>14594</v>
      </c>
      <c r="E223" s="318">
        <v>44568.0</v>
      </c>
      <c r="F223" s="315">
        <f>ifs($B223="","",$B223, VLOOKUP($B223&amp;$E223, 'VISIT DATA'!A:O,3,0))</f>
        <v>0.6458333333</v>
      </c>
      <c r="G223" s="314"/>
      <c r="H223" s="314" t="str">
        <f>ifs($B223="","",$B223, VLOOKUP($B223&amp;$E223, 'VISIT DATA'!$A:$O,13,0))</f>
        <v/>
      </c>
      <c r="I223" s="314" t="str">
        <f>VLOOKUP($B223&amp;$E223,'VISIT DATA'!A:J, 9, FALSE)</f>
        <v>TORRES</v>
      </c>
      <c r="J223" s="314" t="str">
        <f>VLOOKUP(B223&amp;E223,'VISIT DATA'!A:N,10,FALSE)</f>
        <v>WELLMED - UHC DUAL COMPLETE SNP</v>
      </c>
      <c r="K223" s="316"/>
      <c r="L223" s="314"/>
      <c r="M223" s="314"/>
      <c r="N223" s="316"/>
      <c r="O223" s="316" t="str">
        <f t="shared" si="1"/>
        <v>X</v>
      </c>
      <c r="P223" s="317" t="str">
        <f t="shared" si="2"/>
        <v>X</v>
      </c>
      <c r="Q223" s="317" t="str">
        <f t="shared" si="3"/>
        <v>#VALUE!</v>
      </c>
      <c r="R223" s="319" t="str">
        <f t="shared" si="4"/>
        <v>#VALUE!</v>
      </c>
      <c r="S223" s="314" t="str">
        <f t="shared" si="5"/>
        <v>#VALUE!</v>
      </c>
      <c r="T223" s="314" t="str">
        <f t="shared" si="6"/>
        <v>#VALUE!</v>
      </c>
      <c r="U223" s="314">
        <f t="shared" si="7"/>
        <v>1</v>
      </c>
      <c r="V223" s="314" t="str">
        <f>ifs($N223="",VLOOKUP($B223&amp;$E223,'VISIT DATA'!$A$2:$J244,7,FALSE), $N223="SWAB","OUTSA-RW",$N223="SWQU","OUTSA-SaQu", AND($L223="X",$M223="X",$N223="QUEST"),"OUT-UAQPre",$N223="QUEST","OUT-UAQ", $N223="Walk in","ColUATele")</f>
        <v>OUTUA-PrRW</v>
      </c>
      <c r="W223" s="314" t="str">
        <f t="shared" si="8"/>
        <v>OUTUA-PrRW : OUT UA Prelimin Redwood</v>
      </c>
      <c r="X223" s="314" t="str">
        <f t="shared" si="9"/>
        <v>#N/A</v>
      </c>
      <c r="Y223" s="314" t="str">
        <f t="shared" si="10"/>
        <v>#N/A</v>
      </c>
      <c r="Z223" s="314" t="str">
        <f t="shared" si="11"/>
        <v> </v>
      </c>
      <c r="AA223" s="316"/>
    </row>
    <row r="224">
      <c r="A224" s="314" t="str">
        <f>IFS($B224=FALSE,"",$B224,VLOOKUP($B224,'PATIENT DATA (072721)'!A:C, 2, 0))</f>
        <v>WRIGHT, WARREN</v>
      </c>
      <c r="B224" s="314">
        <v>12617.0</v>
      </c>
      <c r="C224" s="316" t="str">
        <f>IF(COUNTIF('PATIENT DATA (072721)'!A:A, B224)=0, "X","✓")</f>
        <v>✓</v>
      </c>
      <c r="D224" s="317">
        <f>IFS($B224=FALSE,"",$B224,VLOOKUP($B224,'PATIENT DATA (072721)'!A:C, 3, 0))</f>
        <v>25468</v>
      </c>
      <c r="E224" s="318">
        <v>44568.0</v>
      </c>
      <c r="F224" s="315">
        <f>ifs($B224="","",$B224, VLOOKUP($B224&amp;$E224, 'VISIT DATA'!A:O,3,0))</f>
        <v>0.6458333333</v>
      </c>
      <c r="G224" s="314"/>
      <c r="H224" s="314" t="str">
        <f>ifs($B224="","",$B224, VLOOKUP($B224&amp;$E224, 'VISIT DATA'!$A:$O,13,0))</f>
        <v/>
      </c>
      <c r="I224" s="314" t="str">
        <f>VLOOKUP($B224&amp;$E224,'VISIT DATA'!A:J, 9, FALSE)</f>
        <v>TORRES</v>
      </c>
      <c r="J224" s="314" t="str">
        <f>VLOOKUP(B224&amp;E224,'VISIT DATA'!A:N,10,FALSE)</f>
        <v>WPS VA - COMMUNITY CARE</v>
      </c>
      <c r="K224" s="316"/>
      <c r="L224" s="314"/>
      <c r="M224" s="314"/>
      <c r="N224" s="316"/>
      <c r="O224" s="316" t="str">
        <f t="shared" si="1"/>
        <v>X</v>
      </c>
      <c r="P224" s="317" t="str">
        <f t="shared" si="2"/>
        <v>#VALUE!</v>
      </c>
      <c r="Q224" s="317" t="str">
        <f t="shared" si="3"/>
        <v>#VALUE!</v>
      </c>
      <c r="R224" s="319" t="str">
        <f t="shared" si="4"/>
        <v>#VALUE!</v>
      </c>
      <c r="S224" s="314" t="str">
        <f t="shared" si="5"/>
        <v>#VALUE!</v>
      </c>
      <c r="T224" s="314" t="str">
        <f t="shared" si="6"/>
        <v>#VALUE!</v>
      </c>
      <c r="U224" s="314">
        <f t="shared" si="7"/>
        <v>0</v>
      </c>
      <c r="V224" s="314" t="str">
        <f>ifs($N224="",VLOOKUP($B224&amp;$E224,'VISIT DATA'!$A$2:$J244,7,FALSE), $N224="SWAB","OUTSA-RW",$N224="SWQU","OUTSA-SaQu", AND($L224="X",$M224="X",$N224="QUEST"),"OUT-UAQPre",$N224="QUEST","OUT-UAQ", $N224="Walk in","ColUATele")</f>
        <v>UA</v>
      </c>
      <c r="W224" s="314" t="str">
        <f t="shared" si="8"/>
        <v>UA : Urine Analysis In House</v>
      </c>
      <c r="X224" s="314" t="str">
        <f t="shared" si="9"/>
        <v>#N/A</v>
      </c>
      <c r="Y224" s="314" t="str">
        <f t="shared" si="10"/>
        <v>#N/A</v>
      </c>
      <c r="Z224" s="314" t="str">
        <f t="shared" si="11"/>
        <v> </v>
      </c>
      <c r="AA224" s="316"/>
    </row>
    <row r="225">
      <c r="A225" s="314" t="str">
        <f>IFS($B225=FALSE,"",$B225,VLOOKUP($B225,'PATIENT DATA (072721)'!A:C, 2, 0))</f>
        <v/>
      </c>
      <c r="B225" s="314"/>
      <c r="C225" s="316" t="str">
        <f>IF(COUNTIF('PATIENT DATA (072721)'!A:A, B225)=0, "X","✓")</f>
        <v>X</v>
      </c>
      <c r="D225" s="317" t="str">
        <f>IFS($B225=FALSE,"",$B225,VLOOKUP($B225,'PATIENT DATA (072721)'!A:C, 3, 0))</f>
        <v/>
      </c>
      <c r="E225" s="318"/>
      <c r="F225" s="315" t="str">
        <f>ifs($B225="","",$B225, VLOOKUP($B225&amp;$E225, 'VISIT DATA'!A:O,3,0))</f>
        <v/>
      </c>
      <c r="G225" s="314"/>
      <c r="H225" s="314" t="str">
        <f>ifs($B225="","",$B225, VLOOKUP($B225&amp;$E225, 'VISIT DATA'!$A:$O,13,0))</f>
        <v/>
      </c>
      <c r="I225" s="314" t="str">
        <f>VLOOKUP($B225&amp;$E225,'VISIT DATA'!A:J, 9, FALSE)</f>
        <v>#N/A</v>
      </c>
      <c r="J225" s="314" t="str">
        <f>VLOOKUP(B225&amp;E225,'VISIT DATA'!A:N,10,FALSE)</f>
        <v>#N/A</v>
      </c>
      <c r="K225" s="316"/>
      <c r="L225" s="314"/>
      <c r="M225" s="314"/>
      <c r="N225" s="316"/>
      <c r="O225" s="316" t="str">
        <f t="shared" si="1"/>
        <v>X</v>
      </c>
      <c r="P225" s="317" t="str">
        <f t="shared" si="2"/>
        <v>#N/A</v>
      </c>
      <c r="Q225" s="317" t="str">
        <f t="shared" si="3"/>
        <v>#N/A</v>
      </c>
      <c r="R225" s="319" t="str">
        <f t="shared" si="4"/>
        <v>#N/A</v>
      </c>
      <c r="S225" s="314" t="str">
        <f t="shared" si="5"/>
        <v>#N/A</v>
      </c>
      <c r="T225" s="314" t="str">
        <f t="shared" si="6"/>
        <v>#N/A</v>
      </c>
      <c r="U225" s="314">
        <f t="shared" si="7"/>
        <v>0</v>
      </c>
      <c r="V225" s="314" t="str">
        <f>ifs($N225="",VLOOKUP($B225&amp;$E225,'VISIT DATA'!$A$2:$J244,7,FALSE), $N225="SWAB","OUTSA-RW",$N225="SWQU","OUTSA-SaQu", AND($L225="X",$M225="X",$N225="QUEST"),"OUT-UAQPre",$N225="QUEST","OUT-UAQ", $N225="Walk in","ColUATele")</f>
        <v>#N/A</v>
      </c>
      <c r="W225" s="314" t="str">
        <f t="shared" si="8"/>
        <v>#N/A</v>
      </c>
      <c r="X225" s="314" t="str">
        <f t="shared" si="9"/>
        <v/>
      </c>
      <c r="Y225" s="314" t="str">
        <f t="shared" si="10"/>
        <v/>
      </c>
      <c r="Z225" s="314" t="str">
        <f t="shared" si="11"/>
        <v> </v>
      </c>
      <c r="AA225" s="316"/>
    </row>
    <row r="226">
      <c r="A226" s="314" t="str">
        <f>IFS($B226=FALSE,"",$B226,VLOOKUP($B226,'PATIENT DATA (072721)'!A:C, 2, 0))</f>
        <v/>
      </c>
      <c r="B226" s="314"/>
      <c r="C226" s="316" t="str">
        <f>IF(COUNTIF('PATIENT DATA (072721)'!A:A, B226)=0, "X","✓")</f>
        <v>X</v>
      </c>
      <c r="D226" s="317" t="str">
        <f>IFS($B226=FALSE,"",$B226,VLOOKUP($B226,'PATIENT DATA (072721)'!A:C, 3, 0))</f>
        <v/>
      </c>
      <c r="E226" s="318"/>
      <c r="F226" s="315" t="str">
        <f>ifs($B226="","",$B226, VLOOKUP($B226&amp;$E226, 'VISIT DATA'!A:O,3,0))</f>
        <v/>
      </c>
      <c r="G226" s="314"/>
      <c r="H226" s="314" t="str">
        <f>ifs($B226="","",$B226, VLOOKUP($B226&amp;$E226, 'VISIT DATA'!$A:$O,13,0))</f>
        <v/>
      </c>
      <c r="I226" s="314" t="str">
        <f>VLOOKUP($B226&amp;$E226,'VISIT DATA'!A:J, 9, FALSE)</f>
        <v>#N/A</v>
      </c>
      <c r="J226" s="314" t="str">
        <f>VLOOKUP(B226&amp;E226,'VISIT DATA'!A:N,10,FALSE)</f>
        <v>#N/A</v>
      </c>
      <c r="K226" s="316"/>
      <c r="L226" s="314"/>
      <c r="M226" s="314"/>
      <c r="N226" s="316"/>
      <c r="O226" s="316" t="str">
        <f t="shared" si="1"/>
        <v>X</v>
      </c>
      <c r="P226" s="317" t="str">
        <f t="shared" si="2"/>
        <v>#N/A</v>
      </c>
      <c r="Q226" s="317" t="str">
        <f t="shared" si="3"/>
        <v>#N/A</v>
      </c>
      <c r="R226" s="319" t="str">
        <f t="shared" si="4"/>
        <v>#N/A</v>
      </c>
      <c r="S226" s="314" t="str">
        <f t="shared" si="5"/>
        <v>#N/A</v>
      </c>
      <c r="T226" s="314" t="str">
        <f t="shared" si="6"/>
        <v>#N/A</v>
      </c>
      <c r="U226" s="314">
        <f t="shared" si="7"/>
        <v>0</v>
      </c>
      <c r="V226" s="314" t="str">
        <f>ifs($N226="",VLOOKUP($B226&amp;$E226,'VISIT DATA'!$A$2:$J244,7,FALSE), $N226="SWAB","OUTSA-RW",$N226="SWQU","OUTSA-SaQu", AND($L226="X",$M226="X",$N226="QUEST"),"OUT-UAQPre",$N226="QUEST","OUT-UAQ", $N226="Walk in","ColUATele")</f>
        <v>#N/A</v>
      </c>
      <c r="W226" s="314" t="str">
        <f t="shared" si="8"/>
        <v>#N/A</v>
      </c>
      <c r="X226" s="314" t="str">
        <f t="shared" si="9"/>
        <v/>
      </c>
      <c r="Y226" s="314" t="str">
        <f t="shared" si="10"/>
        <v/>
      </c>
      <c r="Z226" s="314" t="str">
        <f t="shared" si="11"/>
        <v> </v>
      </c>
      <c r="AA226" s="316"/>
    </row>
    <row r="227">
      <c r="A227" s="314" t="str">
        <f>IFS($B227=FALSE,"",$B227,VLOOKUP($B227,'PATIENT DATA (072721)'!A:C, 2, 0))</f>
        <v/>
      </c>
      <c r="B227" s="314"/>
      <c r="C227" s="316" t="str">
        <f>IF(COUNTIF('PATIENT DATA (072721)'!A:A, B227)=0, "X","✓")</f>
        <v>X</v>
      </c>
      <c r="D227" s="317" t="str">
        <f>IFS($B227=FALSE,"",$B227,VLOOKUP($B227,'PATIENT DATA (072721)'!A:C, 3, 0))</f>
        <v/>
      </c>
      <c r="E227" s="318"/>
      <c r="F227" s="315" t="str">
        <f>ifs($B227="","",$B227, VLOOKUP($B227&amp;$E227, 'VISIT DATA'!A:O,3,0))</f>
        <v/>
      </c>
      <c r="G227" s="314"/>
      <c r="H227" s="314" t="str">
        <f>ifs($B227="","",$B227, VLOOKUP($B227&amp;$E227, 'VISIT DATA'!$A:$O,13,0))</f>
        <v/>
      </c>
      <c r="I227" s="314" t="str">
        <f>VLOOKUP($B227&amp;$E227,'VISIT DATA'!A:J, 9, FALSE)</f>
        <v>#N/A</v>
      </c>
      <c r="J227" s="314" t="str">
        <f>VLOOKUP(B227&amp;E227,'VISIT DATA'!A:N,10,FALSE)</f>
        <v>#N/A</v>
      </c>
      <c r="K227" s="316"/>
      <c r="L227" s="314"/>
      <c r="M227" s="314"/>
      <c r="N227" s="316"/>
      <c r="O227" s="316" t="str">
        <f t="shared" si="1"/>
        <v>X</v>
      </c>
      <c r="P227" s="317" t="str">
        <f t="shared" si="2"/>
        <v>#N/A</v>
      </c>
      <c r="Q227" s="317" t="str">
        <f t="shared" si="3"/>
        <v>#N/A</v>
      </c>
      <c r="R227" s="319" t="str">
        <f t="shared" si="4"/>
        <v>#N/A</v>
      </c>
      <c r="S227" s="314" t="str">
        <f t="shared" si="5"/>
        <v>#N/A</v>
      </c>
      <c r="T227" s="314" t="str">
        <f t="shared" si="6"/>
        <v>#N/A</v>
      </c>
      <c r="U227" s="314">
        <f t="shared" si="7"/>
        <v>0</v>
      </c>
      <c r="V227" s="314" t="str">
        <f>ifs($N227="",VLOOKUP($B227&amp;$E227,'VISIT DATA'!$A$2:$J244,7,FALSE), $N227="SWAB","OUTSA-RW",$N227="SWQU","OUTSA-SaQu", AND($L227="X",$M227="X",$N227="QUEST"),"OUT-UAQPre",$N227="QUEST","OUT-UAQ", $N227="Walk in","ColUATele")</f>
        <v>#N/A</v>
      </c>
      <c r="W227" s="314" t="str">
        <f t="shared" si="8"/>
        <v>#N/A</v>
      </c>
      <c r="X227" s="314" t="str">
        <f t="shared" si="9"/>
        <v/>
      </c>
      <c r="Y227" s="314" t="str">
        <f t="shared" si="10"/>
        <v/>
      </c>
      <c r="Z227" s="314" t="str">
        <f t="shared" si="11"/>
        <v> </v>
      </c>
      <c r="AA227" s="316"/>
    </row>
    <row r="228">
      <c r="A228" s="314" t="str">
        <f>IFS($B228=FALSE,"",$B228,VLOOKUP($B228,'PATIENT DATA (072721)'!A:C, 2, 0))</f>
        <v/>
      </c>
      <c r="B228" s="314"/>
      <c r="C228" s="316" t="str">
        <f>IF(COUNTIF('PATIENT DATA (072721)'!A:A, B228)=0, "X","✓")</f>
        <v>X</v>
      </c>
      <c r="D228" s="317" t="str">
        <f>IFS($B228=FALSE,"",$B228,VLOOKUP($B228,'PATIENT DATA (072721)'!A:C, 3, 0))</f>
        <v/>
      </c>
      <c r="E228" s="318"/>
      <c r="F228" s="315" t="str">
        <f>ifs($B228="","",$B228, VLOOKUP($B228&amp;$E228, 'VISIT DATA'!A:O,3,0))</f>
        <v/>
      </c>
      <c r="G228" s="314"/>
      <c r="H228" s="314" t="str">
        <f>ifs($B228="","",$B228, VLOOKUP($B228&amp;$E228, 'VISIT DATA'!$A:$O,13,0))</f>
        <v/>
      </c>
      <c r="I228" s="314" t="str">
        <f>VLOOKUP($B228&amp;$E228,'VISIT DATA'!A:J, 9, FALSE)</f>
        <v>#N/A</v>
      </c>
      <c r="J228" s="314" t="str">
        <f>VLOOKUP(B228&amp;E228,'VISIT DATA'!A:N,10,FALSE)</f>
        <v>#N/A</v>
      </c>
      <c r="K228" s="316"/>
      <c r="L228" s="314"/>
      <c r="M228" s="314"/>
      <c r="N228" s="316"/>
      <c r="O228" s="316" t="str">
        <f t="shared" si="1"/>
        <v>X</v>
      </c>
      <c r="P228" s="317" t="str">
        <f t="shared" si="2"/>
        <v>#N/A</v>
      </c>
      <c r="Q228" s="317" t="str">
        <f t="shared" si="3"/>
        <v>#N/A</v>
      </c>
      <c r="R228" s="319" t="str">
        <f t="shared" si="4"/>
        <v>#N/A</v>
      </c>
      <c r="S228" s="314" t="str">
        <f t="shared" si="5"/>
        <v>#N/A</v>
      </c>
      <c r="T228" s="314" t="str">
        <f t="shared" si="6"/>
        <v>#N/A</v>
      </c>
      <c r="U228" s="314">
        <f t="shared" si="7"/>
        <v>0</v>
      </c>
      <c r="V228" s="314" t="str">
        <f>ifs($N228="",VLOOKUP($B228&amp;$E228,'VISIT DATA'!$A$2:$J244,7,FALSE), $N228="SWAB","OUTSA-RW",$N228="SWQU","OUTSA-SaQu", AND($L228="X",$M228="X",$N228="QUEST"),"OUT-UAQPre",$N228="QUEST","OUT-UAQ", $N228="Walk in","ColUATele")</f>
        <v>#N/A</v>
      </c>
      <c r="W228" s="314" t="str">
        <f t="shared" si="8"/>
        <v>#N/A</v>
      </c>
      <c r="X228" s="314" t="str">
        <f t="shared" si="9"/>
        <v/>
      </c>
      <c r="Y228" s="314" t="str">
        <f t="shared" si="10"/>
        <v/>
      </c>
      <c r="Z228" s="314" t="str">
        <f t="shared" si="11"/>
        <v> </v>
      </c>
      <c r="AA228" s="316"/>
    </row>
    <row r="229">
      <c r="A229" s="314" t="str">
        <f>IFS($B229=FALSE,"",$B229,VLOOKUP($B229,'PATIENT DATA (072721)'!A:C, 2, 0))</f>
        <v/>
      </c>
      <c r="B229" s="314"/>
      <c r="C229" s="316" t="str">
        <f>IF(COUNTIF('PATIENT DATA (072721)'!A:A, B229)=0, "X","✓")</f>
        <v>X</v>
      </c>
      <c r="D229" s="317" t="str">
        <f>IFS($B229=FALSE,"",$B229,VLOOKUP($B229,'PATIENT DATA (072721)'!A:C, 3, 0))</f>
        <v/>
      </c>
      <c r="E229" s="318"/>
      <c r="F229" s="315" t="str">
        <f>ifs($B229="","",$B229, VLOOKUP($B229&amp;$E229, 'VISIT DATA'!A:O,3,0))</f>
        <v/>
      </c>
      <c r="G229" s="314"/>
      <c r="H229" s="314" t="str">
        <f>ifs($B229="","",$B229, VLOOKUP($B229&amp;$E229, 'VISIT DATA'!$A:$O,13,0))</f>
        <v/>
      </c>
      <c r="I229" s="314" t="str">
        <f>VLOOKUP($B229&amp;$E229,'VISIT DATA'!A:J, 9, FALSE)</f>
        <v>#N/A</v>
      </c>
      <c r="J229" s="314" t="str">
        <f>VLOOKUP(B229&amp;E229,'VISIT DATA'!A:N,10,FALSE)</f>
        <v>#N/A</v>
      </c>
      <c r="K229" s="316"/>
      <c r="L229" s="314"/>
      <c r="M229" s="314"/>
      <c r="N229" s="316"/>
      <c r="O229" s="316" t="str">
        <f t="shared" si="1"/>
        <v>X</v>
      </c>
      <c r="P229" s="317" t="str">
        <f t="shared" si="2"/>
        <v>#N/A</v>
      </c>
      <c r="Q229" s="317" t="str">
        <f t="shared" si="3"/>
        <v>#N/A</v>
      </c>
      <c r="R229" s="319" t="str">
        <f t="shared" si="4"/>
        <v>#N/A</v>
      </c>
      <c r="S229" s="314" t="str">
        <f t="shared" si="5"/>
        <v>#N/A</v>
      </c>
      <c r="T229" s="314" t="str">
        <f t="shared" si="6"/>
        <v>#N/A</v>
      </c>
      <c r="U229" s="314">
        <f t="shared" si="7"/>
        <v>0</v>
      </c>
      <c r="V229" s="314" t="str">
        <f>ifs($N229="",VLOOKUP($B229&amp;$E229,'VISIT DATA'!$A$2:$J244,7,FALSE), $N229="SWAB","OUTSA-RW",$N229="SWQU","OUTSA-SaQu", AND($L229="X",$M229="X",$N229="QUEST"),"OUT-UAQPre",$N229="QUEST","OUT-UAQ", $N229="Walk in","ColUATele")</f>
        <v>#N/A</v>
      </c>
      <c r="W229" s="314" t="str">
        <f t="shared" si="8"/>
        <v>#N/A</v>
      </c>
      <c r="X229" s="314" t="str">
        <f t="shared" si="9"/>
        <v/>
      </c>
      <c r="Y229" s="314" t="str">
        <f t="shared" si="10"/>
        <v/>
      </c>
      <c r="Z229" s="314" t="str">
        <f t="shared" si="11"/>
        <v> </v>
      </c>
      <c r="AA229" s="316"/>
    </row>
    <row r="230">
      <c r="A230" s="314" t="str">
        <f>IFS($B230=FALSE,"",$B230,VLOOKUP($B230,'PATIENT DATA (072721)'!A:C, 2, 0))</f>
        <v/>
      </c>
      <c r="B230" s="314"/>
      <c r="C230" s="316" t="str">
        <f>IF(COUNTIF('PATIENT DATA (072721)'!A:A, B230)=0, "X","✓")</f>
        <v>X</v>
      </c>
      <c r="D230" s="317" t="str">
        <f>IFS($B230=FALSE,"",$B230,VLOOKUP($B230,'PATIENT DATA (072721)'!A:C, 3, 0))</f>
        <v/>
      </c>
      <c r="E230" s="318"/>
      <c r="F230" s="315" t="str">
        <f>ifs($B230="","",$B230, VLOOKUP($B230&amp;$E230, 'VISIT DATA'!A:O,3,0))</f>
        <v/>
      </c>
      <c r="G230" s="314"/>
      <c r="H230" s="314" t="str">
        <f>ifs($B230="","",$B230, VLOOKUP($B230&amp;$E230, 'VISIT DATA'!$A:$O,13,0))</f>
        <v/>
      </c>
      <c r="I230" s="314" t="str">
        <f>VLOOKUP($B230&amp;$E230,'VISIT DATA'!A:J, 9, FALSE)</f>
        <v>#N/A</v>
      </c>
      <c r="J230" s="314" t="str">
        <f>VLOOKUP(B230&amp;E230,'VISIT DATA'!A:N,10,FALSE)</f>
        <v>#N/A</v>
      </c>
      <c r="K230" s="316"/>
      <c r="L230" s="314"/>
      <c r="M230" s="314"/>
      <c r="N230" s="316"/>
      <c r="O230" s="316" t="str">
        <f t="shared" si="1"/>
        <v>X</v>
      </c>
      <c r="P230" s="317" t="str">
        <f t="shared" si="2"/>
        <v>#N/A</v>
      </c>
      <c r="Q230" s="317" t="str">
        <f t="shared" si="3"/>
        <v>#N/A</v>
      </c>
      <c r="R230" s="319" t="str">
        <f t="shared" si="4"/>
        <v>#N/A</v>
      </c>
      <c r="S230" s="314" t="str">
        <f t="shared" si="5"/>
        <v>#N/A</v>
      </c>
      <c r="T230" s="314" t="str">
        <f t="shared" si="6"/>
        <v>#N/A</v>
      </c>
      <c r="U230" s="314">
        <f t="shared" si="7"/>
        <v>0</v>
      </c>
      <c r="V230" s="314" t="str">
        <f>ifs($N230="",VLOOKUP($B230&amp;$E230,'VISIT DATA'!$A$2:$J244,7,FALSE), $N230="SWAB","OUTSA-RW",$N230="SWQU","OUTSA-SaQu", AND($L230="X",$M230="X",$N230="QUEST"),"OUT-UAQPre",$N230="QUEST","OUT-UAQ", $N230="Walk in","ColUATele")</f>
        <v>#N/A</v>
      </c>
      <c r="W230" s="314" t="str">
        <f t="shared" si="8"/>
        <v>#N/A</v>
      </c>
      <c r="X230" s="314" t="str">
        <f t="shared" si="9"/>
        <v/>
      </c>
      <c r="Y230" s="314" t="str">
        <f t="shared" si="10"/>
        <v/>
      </c>
      <c r="Z230" s="314" t="str">
        <f t="shared" si="11"/>
        <v> </v>
      </c>
      <c r="AA230" s="316"/>
    </row>
    <row r="231">
      <c r="A231" s="314" t="str">
        <f>IFS($B231=FALSE,"",$B231,VLOOKUP($B231,'PATIENT DATA (072721)'!A:C, 2, 0))</f>
        <v/>
      </c>
      <c r="B231" s="314"/>
      <c r="C231" s="316" t="str">
        <f>IF(COUNTIF('PATIENT DATA (072721)'!A:A, B231)=0, "X","✓")</f>
        <v>X</v>
      </c>
      <c r="D231" s="317" t="str">
        <f>IFS($B231=FALSE,"",$B231,VLOOKUP($B231,'PATIENT DATA (072721)'!A:C, 3, 0))</f>
        <v/>
      </c>
      <c r="E231" s="318"/>
      <c r="F231" s="315" t="str">
        <f>ifs($B231="","",$B231, VLOOKUP($B231&amp;$E231, 'VISIT DATA'!A:O,3,0))</f>
        <v/>
      </c>
      <c r="G231" s="314"/>
      <c r="H231" s="314" t="str">
        <f>ifs($B231="","",$B231, VLOOKUP($B231&amp;$E231, 'VISIT DATA'!$A:$O,13,0))</f>
        <v/>
      </c>
      <c r="I231" s="314" t="str">
        <f>VLOOKUP($B231&amp;$E231,'VISIT DATA'!A:J, 9, FALSE)</f>
        <v>#N/A</v>
      </c>
      <c r="J231" s="314" t="str">
        <f>VLOOKUP(B231&amp;E231,'VISIT DATA'!A:N,10,FALSE)</f>
        <v>#N/A</v>
      </c>
      <c r="K231" s="316"/>
      <c r="L231" s="314"/>
      <c r="M231" s="314"/>
      <c r="N231" s="316"/>
      <c r="O231" s="316" t="str">
        <f t="shared" si="1"/>
        <v>X</v>
      </c>
      <c r="P231" s="317" t="str">
        <f t="shared" si="2"/>
        <v>#N/A</v>
      </c>
      <c r="Q231" s="317" t="str">
        <f t="shared" si="3"/>
        <v>#N/A</v>
      </c>
      <c r="R231" s="319" t="str">
        <f t="shared" si="4"/>
        <v>#N/A</v>
      </c>
      <c r="S231" s="314" t="str">
        <f t="shared" si="5"/>
        <v>#N/A</v>
      </c>
      <c r="T231" s="314" t="str">
        <f t="shared" si="6"/>
        <v>#N/A</v>
      </c>
      <c r="U231" s="314">
        <f t="shared" si="7"/>
        <v>0</v>
      </c>
      <c r="V231" s="314" t="str">
        <f>ifs($N231="",VLOOKUP($B231&amp;$E231,'VISIT DATA'!$A$2:$J244,7,FALSE), $N231="SWAB","OUTSA-RW",$N231="SWQU","OUTSA-SaQu", AND($L231="X",$M231="X",$N231="QUEST"),"OUT-UAQPre",$N231="QUEST","OUT-UAQ", $N231="Walk in","ColUATele")</f>
        <v>#N/A</v>
      </c>
      <c r="W231" s="314" t="str">
        <f t="shared" si="8"/>
        <v>#N/A</v>
      </c>
      <c r="X231" s="314" t="str">
        <f t="shared" si="9"/>
        <v/>
      </c>
      <c r="Y231" s="314" t="str">
        <f t="shared" si="10"/>
        <v/>
      </c>
      <c r="Z231" s="314" t="str">
        <f t="shared" si="11"/>
        <v> </v>
      </c>
      <c r="AA231" s="316"/>
    </row>
    <row r="232">
      <c r="A232" s="314" t="str">
        <f>IFS($B232=FALSE,"",$B232,VLOOKUP($B232,'PATIENT DATA (072721)'!A:C, 2, 0))</f>
        <v/>
      </c>
      <c r="B232" s="314"/>
      <c r="C232" s="316" t="str">
        <f>IF(COUNTIF('PATIENT DATA (072721)'!A:A, B232)=0, "X","✓")</f>
        <v>X</v>
      </c>
      <c r="D232" s="317" t="str">
        <f>IFS($B232=FALSE,"",$B232,VLOOKUP($B232,'PATIENT DATA (072721)'!A:C, 3, 0))</f>
        <v/>
      </c>
      <c r="E232" s="318"/>
      <c r="F232" s="315" t="str">
        <f>ifs($B232="","",$B232, VLOOKUP($B232&amp;$E232, 'VISIT DATA'!A:O,3,0))</f>
        <v/>
      </c>
      <c r="G232" s="314"/>
      <c r="H232" s="314" t="str">
        <f>ifs($B232="","",$B232, VLOOKUP($B232&amp;$E232, 'VISIT DATA'!$A:$O,13,0))</f>
        <v/>
      </c>
      <c r="I232" s="314" t="str">
        <f>VLOOKUP($B232&amp;$E232,'VISIT DATA'!A:J, 9, FALSE)</f>
        <v>#N/A</v>
      </c>
      <c r="J232" s="314" t="str">
        <f>VLOOKUP(B232&amp;E232,'VISIT DATA'!A:N,10,FALSE)</f>
        <v>#N/A</v>
      </c>
      <c r="K232" s="316"/>
      <c r="L232" s="314"/>
      <c r="M232" s="314"/>
      <c r="N232" s="316"/>
      <c r="O232" s="316" t="str">
        <f t="shared" si="1"/>
        <v>X</v>
      </c>
      <c r="P232" s="317" t="str">
        <f t="shared" si="2"/>
        <v>#N/A</v>
      </c>
      <c r="Q232" s="317" t="str">
        <f t="shared" si="3"/>
        <v>#N/A</v>
      </c>
      <c r="R232" s="319" t="str">
        <f t="shared" si="4"/>
        <v>#N/A</v>
      </c>
      <c r="S232" s="314" t="str">
        <f t="shared" si="5"/>
        <v>#N/A</v>
      </c>
      <c r="T232" s="314" t="str">
        <f t="shared" si="6"/>
        <v>#N/A</v>
      </c>
      <c r="U232" s="314">
        <f t="shared" si="7"/>
        <v>0</v>
      </c>
      <c r="V232" s="314" t="str">
        <f>ifs($N232="",VLOOKUP($B232&amp;$E232,'VISIT DATA'!$A$2:$J244,7,FALSE), $N232="SWAB","OUTSA-RW",$N232="SWQU","OUTSA-SaQu", AND($L232="X",$M232="X",$N232="QUEST"),"OUT-UAQPre",$N232="QUEST","OUT-UAQ", $N232="Walk in","ColUATele")</f>
        <v>#N/A</v>
      </c>
      <c r="W232" s="314" t="str">
        <f t="shared" si="8"/>
        <v>#N/A</v>
      </c>
      <c r="X232" s="314" t="str">
        <f t="shared" si="9"/>
        <v/>
      </c>
      <c r="Y232" s="314" t="str">
        <f t="shared" si="10"/>
        <v/>
      </c>
      <c r="Z232" s="314" t="str">
        <f t="shared" si="11"/>
        <v> </v>
      </c>
      <c r="AA232" s="316"/>
    </row>
    <row r="233">
      <c r="A233" s="314" t="str">
        <f>IFS($B233=FALSE,"",$B233,VLOOKUP($B233,'PATIENT DATA (072721)'!A:C, 2, 0))</f>
        <v/>
      </c>
      <c r="B233" s="314"/>
      <c r="C233" s="316" t="str">
        <f>IF(COUNTIF('PATIENT DATA (072721)'!A:A, B233)=0, "X","✓")</f>
        <v>X</v>
      </c>
      <c r="D233" s="317" t="str">
        <f>IFS($B233=FALSE,"",$B233,VLOOKUP($B233,'PATIENT DATA (072721)'!A:C, 3, 0))</f>
        <v/>
      </c>
      <c r="E233" s="318"/>
      <c r="F233" s="315" t="str">
        <f>ifs($B233="","",$B233, VLOOKUP($B233&amp;$E233, 'VISIT DATA'!A:O,3,0))</f>
        <v/>
      </c>
      <c r="G233" s="314"/>
      <c r="H233" s="314" t="str">
        <f>ifs($B233="","",$B233, VLOOKUP($B233&amp;$E233, 'VISIT DATA'!$A:$O,13,0))</f>
        <v/>
      </c>
      <c r="I233" s="314" t="str">
        <f>VLOOKUP($B233&amp;$E233,'VISIT DATA'!A:J, 9, FALSE)</f>
        <v>#N/A</v>
      </c>
      <c r="J233" s="314" t="str">
        <f>VLOOKUP(B233&amp;E233,'VISIT DATA'!A:N,10,FALSE)</f>
        <v>#N/A</v>
      </c>
      <c r="K233" s="316"/>
      <c r="L233" s="314"/>
      <c r="M233" s="314"/>
      <c r="N233" s="316"/>
      <c r="O233" s="316" t="str">
        <f t="shared" si="1"/>
        <v>X</v>
      </c>
      <c r="P233" s="317" t="str">
        <f t="shared" si="2"/>
        <v>#N/A</v>
      </c>
      <c r="Q233" s="317" t="str">
        <f t="shared" si="3"/>
        <v>#N/A</v>
      </c>
      <c r="R233" s="319" t="str">
        <f t="shared" si="4"/>
        <v>#N/A</v>
      </c>
      <c r="S233" s="314" t="str">
        <f t="shared" si="5"/>
        <v>#N/A</v>
      </c>
      <c r="T233" s="314" t="str">
        <f t="shared" si="6"/>
        <v>#N/A</v>
      </c>
      <c r="U233" s="314">
        <f t="shared" si="7"/>
        <v>0</v>
      </c>
      <c r="V233" s="314" t="str">
        <f>ifs($N233="",VLOOKUP($B233&amp;$E233,'VISIT DATA'!$A$2:$J244,7,FALSE), $N233="SWAB","OUTSA-RW",$N233="SWQU","OUTSA-SaQu", AND($L233="X",$M233="X",$N233="QUEST"),"OUT-UAQPre",$N233="QUEST","OUT-UAQ", $N233="Walk in","ColUATele")</f>
        <v>#N/A</v>
      </c>
      <c r="W233" s="314" t="str">
        <f t="shared" si="8"/>
        <v>#N/A</v>
      </c>
      <c r="X233" s="314" t="str">
        <f t="shared" si="9"/>
        <v/>
      </c>
      <c r="Y233" s="314" t="str">
        <f t="shared" si="10"/>
        <v/>
      </c>
      <c r="Z233" s="314" t="str">
        <f t="shared" si="11"/>
        <v> </v>
      </c>
      <c r="AA233" s="316"/>
    </row>
    <row r="234">
      <c r="A234" s="314" t="str">
        <f>IFS($B234=FALSE,"",$B234,VLOOKUP($B234,'PATIENT DATA (072721)'!A:C, 2, 0))</f>
        <v/>
      </c>
      <c r="B234" s="314"/>
      <c r="C234" s="316" t="str">
        <f>IF(COUNTIF('PATIENT DATA (072721)'!A:A, B234)=0, "X","✓")</f>
        <v>X</v>
      </c>
      <c r="D234" s="317" t="str">
        <f>IFS($B234=FALSE,"",$B234,VLOOKUP($B234,'PATIENT DATA (072721)'!A:C, 3, 0))</f>
        <v/>
      </c>
      <c r="E234" s="318"/>
      <c r="F234" s="315" t="str">
        <f>ifs($B234="","",$B234, VLOOKUP($B234&amp;$E234, 'VISIT DATA'!A:O,3,0))</f>
        <v/>
      </c>
      <c r="G234" s="314"/>
      <c r="H234" s="314" t="str">
        <f>ifs($B234="","",$B234, VLOOKUP($B234&amp;$E234, 'VISIT DATA'!$A:$O,13,0))</f>
        <v/>
      </c>
      <c r="I234" s="314" t="str">
        <f>VLOOKUP($B234&amp;$E234,'VISIT DATA'!A:J, 9, FALSE)</f>
        <v>#N/A</v>
      </c>
      <c r="J234" s="314" t="str">
        <f>VLOOKUP(B234&amp;E234,'VISIT DATA'!A:N,10,FALSE)</f>
        <v>#N/A</v>
      </c>
      <c r="K234" s="316"/>
      <c r="L234" s="314"/>
      <c r="M234" s="314"/>
      <c r="N234" s="316"/>
      <c r="O234" s="316" t="str">
        <f t="shared" si="1"/>
        <v>X</v>
      </c>
      <c r="P234" s="317" t="str">
        <f t="shared" si="2"/>
        <v>#N/A</v>
      </c>
      <c r="Q234" s="317" t="str">
        <f t="shared" si="3"/>
        <v>#N/A</v>
      </c>
      <c r="R234" s="319" t="str">
        <f t="shared" si="4"/>
        <v>#N/A</v>
      </c>
      <c r="S234" s="314" t="str">
        <f t="shared" si="5"/>
        <v>#N/A</v>
      </c>
      <c r="T234" s="314" t="str">
        <f t="shared" si="6"/>
        <v>#N/A</v>
      </c>
      <c r="U234" s="314">
        <f t="shared" si="7"/>
        <v>0</v>
      </c>
      <c r="V234" s="314" t="str">
        <f>ifs($N234="",VLOOKUP($B234&amp;$E234,'VISIT DATA'!$A$2:$J244,7,FALSE), $N234="SWAB","OUTSA-RW",$N234="SWQU","OUTSA-SaQu", AND($L234="X",$M234="X",$N234="QUEST"),"OUT-UAQPre",$N234="QUEST","OUT-UAQ", $N234="Walk in","ColUATele")</f>
        <v>#N/A</v>
      </c>
      <c r="W234" s="314" t="str">
        <f t="shared" si="8"/>
        <v>#N/A</v>
      </c>
      <c r="X234" s="314" t="str">
        <f t="shared" si="9"/>
        <v/>
      </c>
      <c r="Y234" s="314" t="str">
        <f t="shared" si="10"/>
        <v/>
      </c>
      <c r="Z234" s="314" t="str">
        <f t="shared" si="11"/>
        <v> </v>
      </c>
      <c r="AA234" s="316"/>
    </row>
    <row r="235">
      <c r="A235" s="314" t="str">
        <f>IFS($B235=FALSE,"",$B235,VLOOKUP($B235,'PATIENT DATA (072721)'!A:C, 2, 0))</f>
        <v/>
      </c>
      <c r="B235" s="314"/>
      <c r="C235" s="316" t="str">
        <f>IF(COUNTIF('PATIENT DATA (072721)'!A:A, B235)=0, "X","✓")</f>
        <v>X</v>
      </c>
      <c r="D235" s="317" t="str">
        <f>IFS($B235=FALSE,"",$B235,VLOOKUP($B235,'PATIENT DATA (072721)'!A:C, 3, 0))</f>
        <v/>
      </c>
      <c r="E235" s="318"/>
      <c r="F235" s="315" t="str">
        <f>ifs($B235="","",$B235, VLOOKUP($B235&amp;$E235, 'VISIT DATA'!A:O,3,0))</f>
        <v/>
      </c>
      <c r="G235" s="314"/>
      <c r="H235" s="314" t="str">
        <f>ifs($B235="","",$B235, VLOOKUP($B235&amp;$E235, 'VISIT DATA'!$A:$O,13,0))</f>
        <v/>
      </c>
      <c r="I235" s="314" t="str">
        <f>VLOOKUP($B235&amp;$E235,'VISIT DATA'!A:J, 9, FALSE)</f>
        <v>#N/A</v>
      </c>
      <c r="J235" s="314" t="str">
        <f>VLOOKUP(B235&amp;E235,'VISIT DATA'!A:N,10,FALSE)</f>
        <v>#N/A</v>
      </c>
      <c r="K235" s="316"/>
      <c r="L235" s="314"/>
      <c r="M235" s="314"/>
      <c r="N235" s="316"/>
      <c r="O235" s="316" t="str">
        <f t="shared" si="1"/>
        <v>X</v>
      </c>
      <c r="P235" s="317" t="str">
        <f t="shared" si="2"/>
        <v>#N/A</v>
      </c>
      <c r="Q235" s="317" t="str">
        <f t="shared" si="3"/>
        <v>#N/A</v>
      </c>
      <c r="R235" s="319" t="str">
        <f t="shared" si="4"/>
        <v>#N/A</v>
      </c>
      <c r="S235" s="314" t="str">
        <f t="shared" si="5"/>
        <v>#N/A</v>
      </c>
      <c r="T235" s="314" t="str">
        <f t="shared" si="6"/>
        <v>#N/A</v>
      </c>
      <c r="U235" s="314">
        <f t="shared" si="7"/>
        <v>0</v>
      </c>
      <c r="V235" s="314" t="str">
        <f>ifs($N235="",VLOOKUP($B235&amp;$E235,'VISIT DATA'!$A$2:$J244,7,FALSE), $N235="SWAB","OUTSA-RW",$N235="SWQU","OUTSA-SaQu", AND($L235="X",$M235="X",$N235="QUEST"),"OUT-UAQPre",$N235="QUEST","OUT-UAQ", $N235="Walk in","ColUATele")</f>
        <v>#N/A</v>
      </c>
      <c r="W235" s="314" t="str">
        <f t="shared" si="8"/>
        <v>#N/A</v>
      </c>
      <c r="X235" s="314" t="str">
        <f t="shared" si="9"/>
        <v/>
      </c>
      <c r="Y235" s="314" t="str">
        <f t="shared" si="10"/>
        <v/>
      </c>
      <c r="Z235" s="314" t="str">
        <f t="shared" si="11"/>
        <v> </v>
      </c>
      <c r="AA235" s="316"/>
    </row>
    <row r="236">
      <c r="A236" s="314" t="str">
        <f>IFS($B236=FALSE,"",$B236,VLOOKUP($B236,'PATIENT DATA (072721)'!A:C, 2, 0))</f>
        <v/>
      </c>
      <c r="B236" s="314"/>
      <c r="C236" s="316" t="str">
        <f>IF(COUNTIF('PATIENT DATA (072721)'!A:A, B236)=0, "X","✓")</f>
        <v>X</v>
      </c>
      <c r="D236" s="317" t="str">
        <f>IFS($B236=FALSE,"",$B236,VLOOKUP($B236,'PATIENT DATA (072721)'!A:C, 3, 0))</f>
        <v/>
      </c>
      <c r="E236" s="318"/>
      <c r="F236" s="315" t="str">
        <f>ifs($B236="","",$B236, VLOOKUP($B236&amp;$E236, 'VISIT DATA'!A:O,3,0))</f>
        <v/>
      </c>
      <c r="G236" s="314"/>
      <c r="H236" s="314" t="str">
        <f>ifs($B236="","",$B236, VLOOKUP($B236&amp;$E236, 'VISIT DATA'!$A:$O,13,0))</f>
        <v/>
      </c>
      <c r="I236" s="314" t="str">
        <f>VLOOKUP($B236&amp;$E236,'VISIT DATA'!A:J, 9, FALSE)</f>
        <v>#N/A</v>
      </c>
      <c r="J236" s="314" t="str">
        <f>VLOOKUP(B236&amp;E236,'VISIT DATA'!A:N,10,FALSE)</f>
        <v>#N/A</v>
      </c>
      <c r="K236" s="316"/>
      <c r="L236" s="314"/>
      <c r="M236" s="314"/>
      <c r="N236" s="316"/>
      <c r="O236" s="316" t="str">
        <f t="shared" si="1"/>
        <v>X</v>
      </c>
      <c r="P236" s="317" t="str">
        <f t="shared" si="2"/>
        <v>#N/A</v>
      </c>
      <c r="Q236" s="317" t="str">
        <f t="shared" si="3"/>
        <v>#N/A</v>
      </c>
      <c r="R236" s="319" t="str">
        <f t="shared" si="4"/>
        <v>#N/A</v>
      </c>
      <c r="S236" s="314" t="str">
        <f t="shared" si="5"/>
        <v>#N/A</v>
      </c>
      <c r="T236" s="314" t="str">
        <f t="shared" si="6"/>
        <v>#N/A</v>
      </c>
      <c r="U236" s="314">
        <f t="shared" si="7"/>
        <v>0</v>
      </c>
      <c r="V236" s="314" t="str">
        <f>ifs($N236="",VLOOKUP($B236&amp;$E236,'VISIT DATA'!$A$2:$J244,7,FALSE), $N236="SWAB","OUTSA-RW",$N236="SWQU","OUTSA-SaQu", AND($L236="X",$M236="X",$N236="QUEST"),"OUT-UAQPre",$N236="QUEST","OUT-UAQ", $N236="Walk in","ColUATele")</f>
        <v>#N/A</v>
      </c>
      <c r="W236" s="314" t="str">
        <f t="shared" si="8"/>
        <v>#N/A</v>
      </c>
      <c r="X236" s="314" t="str">
        <f t="shared" si="9"/>
        <v/>
      </c>
      <c r="Y236" s="314" t="str">
        <f t="shared" si="10"/>
        <v/>
      </c>
      <c r="Z236" s="314" t="str">
        <f t="shared" si="11"/>
        <v> </v>
      </c>
      <c r="AA236" s="316"/>
    </row>
    <row r="237">
      <c r="A237" s="314" t="str">
        <f>IFS($B237=FALSE,"",$B237,VLOOKUP($B237,'PATIENT DATA (072721)'!A:C, 2, 0))</f>
        <v/>
      </c>
      <c r="B237" s="314"/>
      <c r="C237" s="316" t="str">
        <f>IF(COUNTIF('PATIENT DATA (072721)'!A:A, B237)=0, "X","✓")</f>
        <v>X</v>
      </c>
      <c r="D237" s="317" t="str">
        <f>IFS($B237=FALSE,"",$B237,VLOOKUP($B237,'PATIENT DATA (072721)'!A:C, 3, 0))</f>
        <v/>
      </c>
      <c r="E237" s="318"/>
      <c r="F237" s="315" t="str">
        <f>ifs($B237="","",$B237, VLOOKUP($B237&amp;$E237, 'VISIT DATA'!A:O,3,0))</f>
        <v/>
      </c>
      <c r="G237" s="314"/>
      <c r="H237" s="314" t="str">
        <f>ifs($B237="","",$B237, VLOOKUP($B237&amp;$E237, 'VISIT DATA'!$A:$O,13,0))</f>
        <v/>
      </c>
      <c r="I237" s="314" t="str">
        <f>VLOOKUP($B237&amp;$E237,'VISIT DATA'!A:J, 9, FALSE)</f>
        <v>#N/A</v>
      </c>
      <c r="J237" s="314" t="str">
        <f>VLOOKUP(B237&amp;E237,'VISIT DATA'!A:N,10,FALSE)</f>
        <v>#N/A</v>
      </c>
      <c r="K237" s="316"/>
      <c r="L237" s="314"/>
      <c r="M237" s="314"/>
      <c r="N237" s="316"/>
      <c r="O237" s="316" t="str">
        <f t="shared" si="1"/>
        <v>X</v>
      </c>
      <c r="P237" s="317" t="str">
        <f t="shared" si="2"/>
        <v>#N/A</v>
      </c>
      <c r="Q237" s="317" t="str">
        <f t="shared" si="3"/>
        <v>#N/A</v>
      </c>
      <c r="R237" s="319" t="str">
        <f t="shared" si="4"/>
        <v>#N/A</v>
      </c>
      <c r="S237" s="314" t="str">
        <f t="shared" si="5"/>
        <v>#N/A</v>
      </c>
      <c r="T237" s="314" t="str">
        <f t="shared" si="6"/>
        <v>#N/A</v>
      </c>
      <c r="U237" s="314">
        <f t="shared" si="7"/>
        <v>0</v>
      </c>
      <c r="V237" s="314" t="str">
        <f>ifs($N237="",VLOOKUP($B237&amp;$E237,'VISIT DATA'!$A$2:$J244,7,FALSE), $N237="SWAB","OUTSA-RW",$N237="SWQU","OUTSA-SaQu", AND($L237="X",$M237="X",$N237="QUEST"),"OUT-UAQPre",$N237="QUEST","OUT-UAQ", $N237="Walk in","ColUATele")</f>
        <v>#N/A</v>
      </c>
      <c r="W237" s="314" t="str">
        <f t="shared" si="8"/>
        <v>#N/A</v>
      </c>
      <c r="X237" s="314" t="str">
        <f t="shared" si="9"/>
        <v/>
      </c>
      <c r="Y237" s="314" t="str">
        <f t="shared" si="10"/>
        <v/>
      </c>
      <c r="Z237" s="314" t="str">
        <f t="shared" si="11"/>
        <v> </v>
      </c>
      <c r="AA237" s="316"/>
    </row>
    <row r="238">
      <c r="A238" s="314" t="str">
        <f>IFS($B238=FALSE,"",$B238,VLOOKUP($B238,'PATIENT DATA (072721)'!A:C, 2, 0))</f>
        <v/>
      </c>
      <c r="B238" s="314"/>
      <c r="C238" s="316" t="str">
        <f>IF(COUNTIF('PATIENT DATA (072721)'!A:A, B238)=0, "X","✓")</f>
        <v>X</v>
      </c>
      <c r="D238" s="317" t="str">
        <f>IFS($B238=FALSE,"",$B238,VLOOKUP($B238,'PATIENT DATA (072721)'!A:C, 3, 0))</f>
        <v/>
      </c>
      <c r="E238" s="318"/>
      <c r="F238" s="315" t="str">
        <f>ifs($B238="","",$B238, VLOOKUP($B238&amp;$E238, 'VISIT DATA'!A:O,3,0))</f>
        <v/>
      </c>
      <c r="G238" s="314"/>
      <c r="H238" s="314" t="str">
        <f>ifs($B238="","",$B238, VLOOKUP($B238&amp;$E238, 'VISIT DATA'!$A:$O,13,0))</f>
        <v/>
      </c>
      <c r="I238" s="314" t="str">
        <f>VLOOKUP($B238&amp;$E238,'VISIT DATA'!A:J, 9, FALSE)</f>
        <v>#N/A</v>
      </c>
      <c r="J238" s="314" t="str">
        <f>VLOOKUP(B238&amp;E238,'VISIT DATA'!A:N,10,FALSE)</f>
        <v>#N/A</v>
      </c>
      <c r="K238" s="316"/>
      <c r="L238" s="314"/>
      <c r="M238" s="314"/>
      <c r="N238" s="316"/>
      <c r="O238" s="316" t="str">
        <f t="shared" si="1"/>
        <v>X</v>
      </c>
      <c r="P238" s="317" t="str">
        <f t="shared" si="2"/>
        <v>#N/A</v>
      </c>
      <c r="Q238" s="317" t="str">
        <f t="shared" si="3"/>
        <v>#N/A</v>
      </c>
      <c r="R238" s="319" t="str">
        <f t="shared" si="4"/>
        <v>#N/A</v>
      </c>
      <c r="S238" s="314" t="str">
        <f t="shared" si="5"/>
        <v>#N/A</v>
      </c>
      <c r="T238" s="314" t="str">
        <f t="shared" si="6"/>
        <v>#N/A</v>
      </c>
      <c r="U238" s="314">
        <f t="shared" si="7"/>
        <v>0</v>
      </c>
      <c r="V238" s="314" t="str">
        <f>ifs($N238="",VLOOKUP($B238&amp;$E238,'VISIT DATA'!$A$2:$J244,7,FALSE), $N238="SWAB","OUTSA-RW",$N238="SWQU","OUTSA-SaQu", AND($L238="X",$M238="X",$N238="QUEST"),"OUT-UAQPre",$N238="QUEST","OUT-UAQ", $N238="Walk in","ColUATele")</f>
        <v>#N/A</v>
      </c>
      <c r="W238" s="314" t="str">
        <f t="shared" si="8"/>
        <v>#N/A</v>
      </c>
      <c r="X238" s="314" t="str">
        <f t="shared" si="9"/>
        <v/>
      </c>
      <c r="Y238" s="314" t="str">
        <f t="shared" si="10"/>
        <v/>
      </c>
      <c r="Z238" s="314" t="str">
        <f t="shared" si="11"/>
        <v> </v>
      </c>
      <c r="AA238" s="316"/>
    </row>
    <row r="239">
      <c r="A239" s="314" t="str">
        <f>IFS($B239=FALSE,"",$B239,VLOOKUP($B239,'PATIENT DATA (072721)'!A:C, 2, 0))</f>
        <v/>
      </c>
      <c r="B239" s="314"/>
      <c r="C239" s="316" t="str">
        <f>IF(COUNTIF('PATIENT DATA (072721)'!A:A, B239)=0, "X","✓")</f>
        <v>X</v>
      </c>
      <c r="D239" s="317" t="str">
        <f>IFS($B239=FALSE,"",$B239,VLOOKUP($B239,'PATIENT DATA (072721)'!A:C, 3, 0))</f>
        <v/>
      </c>
      <c r="E239" s="318"/>
      <c r="F239" s="315" t="str">
        <f>ifs($B239="","",$B239, VLOOKUP($B239&amp;$E239, 'VISIT DATA'!A:O,3,0))</f>
        <v/>
      </c>
      <c r="G239" s="314"/>
      <c r="H239" s="314" t="str">
        <f>ifs($B239="","",$B239, VLOOKUP($B239&amp;$E239, 'VISIT DATA'!$A:$O,13,0))</f>
        <v/>
      </c>
      <c r="I239" s="314" t="str">
        <f>VLOOKUP($B239&amp;$E239,'VISIT DATA'!A:J, 9, FALSE)</f>
        <v>#N/A</v>
      </c>
      <c r="J239" s="314" t="str">
        <f>VLOOKUP(B239&amp;E239,'VISIT DATA'!A:N,10,FALSE)</f>
        <v>#N/A</v>
      </c>
      <c r="K239" s="316"/>
      <c r="L239" s="314"/>
      <c r="M239" s="314"/>
      <c r="N239" s="316"/>
      <c r="O239" s="316" t="str">
        <f t="shared" si="1"/>
        <v>X</v>
      </c>
      <c r="P239" s="317" t="str">
        <f t="shared" si="2"/>
        <v>#N/A</v>
      </c>
      <c r="Q239" s="317" t="str">
        <f t="shared" si="3"/>
        <v>#N/A</v>
      </c>
      <c r="R239" s="319" t="str">
        <f t="shared" si="4"/>
        <v>#N/A</v>
      </c>
      <c r="S239" s="314" t="str">
        <f t="shared" si="5"/>
        <v>#N/A</v>
      </c>
      <c r="T239" s="314" t="str">
        <f t="shared" si="6"/>
        <v>#N/A</v>
      </c>
      <c r="U239" s="314">
        <f t="shared" si="7"/>
        <v>0</v>
      </c>
      <c r="V239" s="314" t="str">
        <f>ifs($N239="",VLOOKUP($B239&amp;$E239,'VISIT DATA'!$A$2:$J244,7,FALSE), $N239="SWAB","OUTSA-RW",$N239="SWQU","OUTSA-SaQu", AND($L239="X",$M239="X",$N239="QUEST"),"OUT-UAQPre",$N239="QUEST","OUT-UAQ", $N239="Walk in","ColUATele")</f>
        <v>#N/A</v>
      </c>
      <c r="W239" s="314" t="str">
        <f t="shared" si="8"/>
        <v>#N/A</v>
      </c>
      <c r="X239" s="314" t="str">
        <f t="shared" si="9"/>
        <v/>
      </c>
      <c r="Y239" s="314" t="str">
        <f t="shared" si="10"/>
        <v/>
      </c>
      <c r="Z239" s="314" t="str">
        <f t="shared" si="11"/>
        <v> </v>
      </c>
      <c r="AA239" s="316"/>
    </row>
    <row r="240">
      <c r="A240" s="314" t="str">
        <f>IFS($B240=FALSE,"",$B240,VLOOKUP($B240,'PATIENT DATA (072721)'!A:C, 2, 0))</f>
        <v/>
      </c>
      <c r="B240" s="314"/>
      <c r="C240" s="316" t="str">
        <f>IF(COUNTIF('PATIENT DATA (072721)'!A:A, B240)=0, "X","✓")</f>
        <v>X</v>
      </c>
      <c r="D240" s="317" t="str">
        <f>IFS($B240=FALSE,"",$B240,VLOOKUP($B240,'PATIENT DATA (072721)'!A:C, 3, 0))</f>
        <v/>
      </c>
      <c r="E240" s="318"/>
      <c r="F240" s="315" t="str">
        <f>ifs($B240="","",$B240, VLOOKUP($B240&amp;$E240, 'VISIT DATA'!A:O,3,0))</f>
        <v/>
      </c>
      <c r="G240" s="314"/>
      <c r="H240" s="314" t="str">
        <f>ifs($B240="","",$B240, VLOOKUP($B240&amp;$E240, 'VISIT DATA'!$A:$O,13,0))</f>
        <v/>
      </c>
      <c r="I240" s="314" t="str">
        <f>VLOOKUP($B240&amp;$E240,'VISIT DATA'!A:J, 9, FALSE)</f>
        <v>#N/A</v>
      </c>
      <c r="J240" s="314" t="str">
        <f>VLOOKUP(B240&amp;E240,'VISIT DATA'!A:N,10,FALSE)</f>
        <v>#N/A</v>
      </c>
      <c r="K240" s="316"/>
      <c r="L240" s="314"/>
      <c r="M240" s="314"/>
      <c r="N240" s="316"/>
      <c r="O240" s="316" t="str">
        <f t="shared" si="1"/>
        <v>X</v>
      </c>
      <c r="P240" s="317" t="str">
        <f t="shared" si="2"/>
        <v>#N/A</v>
      </c>
      <c r="Q240" s="317" t="str">
        <f t="shared" si="3"/>
        <v>#N/A</v>
      </c>
      <c r="R240" s="319" t="str">
        <f t="shared" si="4"/>
        <v>#N/A</v>
      </c>
      <c r="S240" s="314" t="str">
        <f t="shared" si="5"/>
        <v>#N/A</v>
      </c>
      <c r="T240" s="314" t="str">
        <f t="shared" si="6"/>
        <v>#N/A</v>
      </c>
      <c r="U240" s="314">
        <f t="shared" si="7"/>
        <v>0</v>
      </c>
      <c r="V240" s="314" t="str">
        <f>ifs($N240="",VLOOKUP($B240&amp;$E240,'VISIT DATA'!$A$2:$J244,7,FALSE), $N240="SWAB","OUTSA-RW",$N240="SWQU","OUTSA-SaQu", AND($L240="X",$M240="X",$N240="QUEST"),"OUT-UAQPre",$N240="QUEST","OUT-UAQ", $N240="Walk in","ColUATele")</f>
        <v>#N/A</v>
      </c>
      <c r="W240" s="314" t="str">
        <f t="shared" si="8"/>
        <v>#N/A</v>
      </c>
      <c r="X240" s="314" t="str">
        <f t="shared" si="9"/>
        <v/>
      </c>
      <c r="Y240" s="314" t="str">
        <f t="shared" si="10"/>
        <v/>
      </c>
      <c r="Z240" s="314" t="str">
        <f t="shared" si="11"/>
        <v> </v>
      </c>
      <c r="AA240" s="316"/>
    </row>
    <row r="241">
      <c r="A241" s="314" t="str">
        <f>IFS($B241=FALSE,"",$B241,VLOOKUP($B241,'PATIENT DATA (072721)'!A:C, 2, 0))</f>
        <v/>
      </c>
      <c r="B241" s="314"/>
      <c r="C241" s="316" t="str">
        <f>IF(COUNTIF('PATIENT DATA (072721)'!A:A, B241)=0, "X","✓")</f>
        <v>X</v>
      </c>
      <c r="D241" s="317" t="str">
        <f>IFS($B241=FALSE,"",$B241,VLOOKUP($B241,'PATIENT DATA (072721)'!A:C, 3, 0))</f>
        <v/>
      </c>
      <c r="E241" s="318"/>
      <c r="F241" s="315" t="str">
        <f>ifs($B241="","",$B241, VLOOKUP($B241&amp;$E241, 'VISIT DATA'!A:O,3,0))</f>
        <v/>
      </c>
      <c r="G241" s="314"/>
      <c r="H241" s="314" t="str">
        <f>ifs($B241="","",$B241, VLOOKUP($B241&amp;$E241, 'VISIT DATA'!$A:$O,13,0))</f>
        <v/>
      </c>
      <c r="I241" s="314" t="str">
        <f>VLOOKUP($B241&amp;$E241,'VISIT DATA'!A:J, 9, FALSE)</f>
        <v>#N/A</v>
      </c>
      <c r="J241" s="314" t="str">
        <f>VLOOKUP(B241&amp;E241,'VISIT DATA'!A:N,10,FALSE)</f>
        <v>#N/A</v>
      </c>
      <c r="K241" s="316"/>
      <c r="L241" s="314"/>
      <c r="M241" s="314"/>
      <c r="N241" s="316"/>
      <c r="O241" s="316" t="str">
        <f t="shared" si="1"/>
        <v>X</v>
      </c>
      <c r="P241" s="317" t="str">
        <f t="shared" si="2"/>
        <v>#N/A</v>
      </c>
      <c r="Q241" s="317" t="str">
        <f t="shared" si="3"/>
        <v>#N/A</v>
      </c>
      <c r="R241" s="319" t="str">
        <f t="shared" si="4"/>
        <v>#N/A</v>
      </c>
      <c r="S241" s="314" t="str">
        <f t="shared" si="5"/>
        <v>#N/A</v>
      </c>
      <c r="T241" s="314" t="str">
        <f t="shared" si="6"/>
        <v>#N/A</v>
      </c>
      <c r="U241" s="314">
        <f t="shared" si="7"/>
        <v>0</v>
      </c>
      <c r="V241" s="314" t="str">
        <f>ifs($N241="",VLOOKUP($B241&amp;$E241,'VISIT DATA'!$A$2:$J244,7,FALSE), $N241="SWAB","OUTSA-RW",$N241="SWQU","OUTSA-SaQu", AND($L241="X",$M241="X",$N241="QUEST"),"OUT-UAQPre",$N241="QUEST","OUT-UAQ", $N241="Walk in","ColUATele")</f>
        <v>#N/A</v>
      </c>
      <c r="W241" s="314" t="str">
        <f t="shared" si="8"/>
        <v>#N/A</v>
      </c>
      <c r="X241" s="314" t="str">
        <f t="shared" si="9"/>
        <v/>
      </c>
      <c r="Y241" s="314" t="str">
        <f t="shared" si="10"/>
        <v/>
      </c>
      <c r="Z241" s="314" t="str">
        <f t="shared" si="11"/>
        <v> </v>
      </c>
      <c r="AA241" s="316"/>
    </row>
    <row r="242">
      <c r="A242" s="314" t="str">
        <f>IFS($B242=FALSE,"",$B242,VLOOKUP($B242,'PATIENT DATA (072721)'!A:C, 2, 0))</f>
        <v/>
      </c>
      <c r="B242" s="314"/>
      <c r="C242" s="316" t="str">
        <f>IF(COUNTIF('PATIENT DATA (072721)'!A:A, B242)=0, "X","✓")</f>
        <v>X</v>
      </c>
      <c r="D242" s="317" t="str">
        <f>IFS($B242=FALSE,"",$B242,VLOOKUP($B242,'PATIENT DATA (072721)'!A:C, 3, 0))</f>
        <v/>
      </c>
      <c r="E242" s="318"/>
      <c r="F242" s="315" t="str">
        <f>ifs($B242="","",$B242, VLOOKUP($B242&amp;$E242, 'VISIT DATA'!A:O,3,0))</f>
        <v/>
      </c>
      <c r="G242" s="314"/>
      <c r="H242" s="314" t="str">
        <f>ifs($B242="","",$B242, VLOOKUP($B242&amp;$E242, 'VISIT DATA'!$A:$O,13,0))</f>
        <v/>
      </c>
      <c r="I242" s="314" t="str">
        <f>VLOOKUP($B242&amp;$E242,'VISIT DATA'!A:J, 9, FALSE)</f>
        <v>#N/A</v>
      </c>
      <c r="J242" s="314" t="str">
        <f>VLOOKUP(B242&amp;E242,'VISIT DATA'!A:N,10,FALSE)</f>
        <v>#N/A</v>
      </c>
      <c r="K242" s="316"/>
      <c r="L242" s="314"/>
      <c r="M242" s="314"/>
      <c r="N242" s="316"/>
      <c r="O242" s="316" t="str">
        <f t="shared" si="1"/>
        <v>X</v>
      </c>
      <c r="P242" s="317" t="str">
        <f t="shared" si="2"/>
        <v>#N/A</v>
      </c>
      <c r="Q242" s="317" t="str">
        <f t="shared" si="3"/>
        <v>#N/A</v>
      </c>
      <c r="R242" s="319" t="str">
        <f t="shared" si="4"/>
        <v>#N/A</v>
      </c>
      <c r="S242" s="314" t="str">
        <f t="shared" si="5"/>
        <v>#N/A</v>
      </c>
      <c r="T242" s="314" t="str">
        <f t="shared" si="6"/>
        <v>#N/A</v>
      </c>
      <c r="U242" s="314">
        <f t="shared" si="7"/>
        <v>0</v>
      </c>
      <c r="V242" s="314" t="str">
        <f>ifs($N242="",VLOOKUP($B242&amp;$E242,'VISIT DATA'!$A$2:$J244,7,FALSE), $N242="SWAB","OUTSA-RW",$N242="SWQU","OUTSA-SaQu", AND($L242="X",$M242="X",$N242="QUEST"),"OUT-UAQPre",$N242="QUEST","OUT-UAQ", $N242="Walk in","ColUATele")</f>
        <v>#N/A</v>
      </c>
      <c r="W242" s="314" t="str">
        <f t="shared" si="8"/>
        <v>#N/A</v>
      </c>
      <c r="X242" s="314" t="str">
        <f t="shared" si="9"/>
        <v/>
      </c>
      <c r="Y242" s="314" t="str">
        <f t="shared" si="10"/>
        <v/>
      </c>
      <c r="Z242" s="314" t="str">
        <f t="shared" si="11"/>
        <v> </v>
      </c>
      <c r="AA242" s="316"/>
    </row>
    <row r="243">
      <c r="A243" s="314" t="str">
        <f>IFS($B243=FALSE,"",$B243,VLOOKUP($B243,'PATIENT DATA (072721)'!A:C, 2, 0))</f>
        <v/>
      </c>
      <c r="B243" s="314"/>
      <c r="C243" s="316" t="str">
        <f>IF(COUNTIF('PATIENT DATA (072721)'!A:A, B243)=0, "X","✓")</f>
        <v>X</v>
      </c>
      <c r="D243" s="317" t="str">
        <f>IFS($B243=FALSE,"",$B243,VLOOKUP($B243,'PATIENT DATA (072721)'!A:C, 3, 0))</f>
        <v/>
      </c>
      <c r="E243" s="318"/>
      <c r="F243" s="315" t="str">
        <f>ifs($B243="","",$B243, VLOOKUP($B243&amp;$E243, 'VISIT DATA'!A:O,3,0))</f>
        <v/>
      </c>
      <c r="G243" s="314"/>
      <c r="H243" s="314" t="str">
        <f>ifs($B243="","",$B243, VLOOKUP($B243&amp;$E243, 'VISIT DATA'!$A:$O,13,0))</f>
        <v/>
      </c>
      <c r="I243" s="314" t="str">
        <f>VLOOKUP($B243&amp;$E243,'VISIT DATA'!A:J, 9, FALSE)</f>
        <v>#N/A</v>
      </c>
      <c r="J243" s="314" t="str">
        <f>VLOOKUP(B243&amp;E243,'VISIT DATA'!A:N,10,FALSE)</f>
        <v>#N/A</v>
      </c>
      <c r="K243" s="316"/>
      <c r="L243" s="314"/>
      <c r="M243" s="314"/>
      <c r="N243" s="316"/>
      <c r="O243" s="316" t="str">
        <f t="shared" si="1"/>
        <v>X</v>
      </c>
      <c r="P243" s="317" t="str">
        <f t="shared" si="2"/>
        <v>#N/A</v>
      </c>
      <c r="Q243" s="317" t="str">
        <f t="shared" si="3"/>
        <v>#N/A</v>
      </c>
      <c r="R243" s="319" t="str">
        <f t="shared" si="4"/>
        <v>#N/A</v>
      </c>
      <c r="S243" s="314" t="str">
        <f t="shared" si="5"/>
        <v>#N/A</v>
      </c>
      <c r="T243" s="314" t="str">
        <f t="shared" si="6"/>
        <v>#N/A</v>
      </c>
      <c r="U243" s="314">
        <f t="shared" si="7"/>
        <v>0</v>
      </c>
      <c r="V243" s="314" t="str">
        <f>ifs($N243="",VLOOKUP($B243&amp;$E243,'VISIT DATA'!$A$2:$J244,7,FALSE), $N243="SWAB","OUTSA-RW",$N243="SWQU","OUTSA-SaQu", AND($L243="X",$M243="X",$N243="QUEST"),"OUT-UAQPre",$N243="QUEST","OUT-UAQ", $N243="Walk in","ColUATele")</f>
        <v>#N/A</v>
      </c>
      <c r="W243" s="314" t="str">
        <f t="shared" si="8"/>
        <v>#N/A</v>
      </c>
      <c r="X243" s="314" t="str">
        <f t="shared" si="9"/>
        <v/>
      </c>
      <c r="Y243" s="314" t="str">
        <f t="shared" si="10"/>
        <v/>
      </c>
      <c r="Z243" s="314" t="str">
        <f t="shared" si="11"/>
        <v> </v>
      </c>
      <c r="AA243" s="316"/>
    </row>
    <row r="244">
      <c r="A244" s="314"/>
      <c r="B244" s="314">
        <v>10875.0</v>
      </c>
      <c r="C244" s="314"/>
      <c r="D244" s="314"/>
      <c r="E244" s="318"/>
      <c r="F244" s="315"/>
      <c r="G244" s="314"/>
      <c r="H244" s="314"/>
      <c r="I244" s="314"/>
      <c r="J244" s="314"/>
      <c r="K244" s="314" t="s">
        <v>6333</v>
      </c>
      <c r="L244" s="316">
        <f>COUNTIFS(K1:L80, "X")</f>
        <v>0</v>
      </c>
      <c r="M244" s="314" t="s">
        <v>6334</v>
      </c>
      <c r="N244" s="316">
        <f>COUNTIFS(M1:M80, "X")</f>
        <v>0</v>
      </c>
      <c r="O244" s="316"/>
      <c r="P244" s="316"/>
      <c r="Q244" s="316"/>
      <c r="R244" s="316"/>
      <c r="S244" s="316"/>
      <c r="T244" s="316"/>
      <c r="U244" s="316"/>
      <c r="V244" s="316"/>
      <c r="W244" s="316"/>
      <c r="X244" s="316"/>
      <c r="Y244" s="316"/>
      <c r="Z244" s="316"/>
      <c r="AA244" s="316"/>
    </row>
  </sheetData>
  <customSheetViews>
    <customSheetView guid="{20F5F3BA-172D-4727-943D-E296FD1F3EFA}" filter="1" showAutoFilter="1">
      <autoFilter ref="$A$1:$AA$117"/>
    </customSheetView>
  </customSheetViews>
  <dataValidations>
    <dataValidation type="list" allowBlank="1" showErrorMessage="1" sqref="H2:H243">
      <formula1>"CH,DA,DC,DM,FA,LM"</formula1>
    </dataValidation>
    <dataValidation type="list" allowBlank="1" showErrorMessage="1" sqref="J2:J243">
      <formula1>Data!$A$2:$A244</formula1>
    </dataValidation>
    <dataValidation type="custom" allowBlank="1" showDropDown="1" showInputMessage="1" showErrorMessage="1" prompt="CAPITALS" sqref="A1:A243">
      <formula1>ISERROR(SEARCH((exact(upper(B:N),B:N)),(A1)))</formula1>
    </dataValidation>
    <dataValidation type="list" allowBlank="1" showErrorMessage="1" sqref="F2:F243">
      <formula1>Data!$B$1:$B$44</formula1>
    </dataValidation>
    <dataValidation type="custom" allowBlank="1" showDropDown="1" showInputMessage="1" showErrorMessage="1" prompt="CAPITALS" sqref="B1:B243">
      <formula1>ISERROR(SEARCH((exact(upper(B:O),B:O)),(B1)))</formula1>
    </dataValidation>
    <dataValidation type="list" allowBlank="1" showErrorMessage="1" sqref="G2:G243">
      <formula1>"F,M"</formula1>
    </dataValidation>
    <dataValidation type="list" allowBlank="1" showErrorMessage="1" sqref="K2:M243">
      <formula1>"X"</formula1>
    </dataValidation>
    <dataValidation type="list" allowBlank="1" showInputMessage="1" showErrorMessage="1" prompt="Click and enter a value from range 'Insurance Data'!C2:C608" sqref="E2:E243">
      <formula1>Data!$C:$C</formula1>
    </dataValidation>
    <dataValidation type="list" allowBlank="1" showErrorMessage="1" sqref="I2:I243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28.29"/>
    <col customWidth="1" min="2" max="2" width="9.29"/>
    <col customWidth="1" min="3" max="3" width="2.14"/>
    <col customWidth="1" min="4" max="4" width="9.71"/>
    <col customWidth="1" min="5" max="5" width="10.71"/>
    <col customWidth="1" min="6" max="6" width="11.57"/>
    <col customWidth="1" min="7" max="7" width="12.71"/>
    <col customWidth="1" min="8" max="8" width="46.43"/>
    <col customWidth="1" min="9" max="9" width="8.29"/>
    <col customWidth="1" min="10" max="10" width="8.57"/>
    <col customWidth="1" min="11" max="11" width="7.57"/>
    <col customWidth="1" min="12" max="12" width="7.0"/>
    <col customWidth="1" min="13" max="13" width="2.14"/>
    <col customWidth="1" hidden="1" min="14" max="18" width="12.57"/>
    <col customWidth="1" hidden="1" min="19" max="19" width="2.14"/>
    <col customWidth="1" min="20" max="20" width="14.86"/>
    <col customWidth="1" hidden="1" min="21" max="22" width="34.57"/>
    <col customWidth="1" hidden="1" min="23" max="23" width="12.14"/>
    <col customWidth="1" hidden="1" min="24" max="24" width="1.57"/>
    <col customWidth="1" min="25" max="25" width="9.57"/>
  </cols>
  <sheetData>
    <row r="1">
      <c r="A1" s="204" t="s">
        <v>24</v>
      </c>
      <c r="B1" s="205" t="s">
        <v>6237</v>
      </c>
      <c r="C1" s="206"/>
      <c r="D1" s="207" t="s">
        <v>25</v>
      </c>
      <c r="E1" s="207" t="s">
        <v>21</v>
      </c>
      <c r="F1" s="240" t="s">
        <v>6335</v>
      </c>
      <c r="G1" s="209" t="s">
        <v>6206</v>
      </c>
      <c r="H1" s="209" t="s">
        <v>6135</v>
      </c>
      <c r="I1" s="208" t="s">
        <v>6337</v>
      </c>
      <c r="J1" s="208" t="s">
        <v>6338</v>
      </c>
      <c r="K1" s="208" t="s">
        <v>6339</v>
      </c>
      <c r="L1" s="210" t="s">
        <v>7</v>
      </c>
      <c r="M1" s="206"/>
      <c r="N1" s="207" t="s">
        <v>6188</v>
      </c>
      <c r="O1" s="208" t="s">
        <v>6319</v>
      </c>
      <c r="P1" s="208" t="s">
        <v>6132</v>
      </c>
      <c r="Q1" s="208" t="s">
        <v>6134</v>
      </c>
      <c r="R1" s="208" t="s">
        <v>6147</v>
      </c>
      <c r="S1" s="211"/>
      <c r="T1" s="212" t="s">
        <v>6320</v>
      </c>
      <c r="U1" s="207"/>
      <c r="V1" s="209"/>
      <c r="W1" s="208" t="s">
        <v>6321</v>
      </c>
      <c r="X1" s="213"/>
      <c r="Y1" s="241"/>
    </row>
    <row r="2">
      <c r="A2" s="214" t="str">
        <f>IFS($B2=FALSE,"",$B2,VLOOKUP($B2,'PATIENT DATA (072721)'!A:C, 2, 0))</f>
        <v>CUEVAS, AGUSTIN</v>
      </c>
      <c r="B2" s="215">
        <v>16128.0</v>
      </c>
      <c r="C2" s="216" t="str">
        <f>IF(COUNTIF('PATIENT DATA (072721)'!A:A, B2)=0, "X","✓")</f>
        <v>✓</v>
      </c>
      <c r="D2" s="226">
        <f>IFS($B2=FALSE,"",$B2,VLOOKUP($B2,'PATIENT DATA (072721)'!A:C, 3, 0))</f>
        <v>16663</v>
      </c>
      <c r="E2" s="218">
        <v>44567.0</v>
      </c>
      <c r="F2" s="219">
        <f>ifs($B2="","",$B2, VLOOKUP($B2&amp;$E2, 'VISIT DATA'!A:O,3,0))</f>
        <v>0.34375</v>
      </c>
      <c r="G2" s="222" t="str">
        <f>VLOOKUP($B2&amp;$E2,'VISIT DATA'!A:J, 9, FALSE)</f>
        <v>LOPEZ</v>
      </c>
      <c r="H2" s="223" t="str">
        <f>VLOOKUP(B2&amp;E2,'VISIT DATA'!A:N,10,FALSE)</f>
        <v>WELLCARE OF TEXAS HMO</v>
      </c>
      <c r="I2" s="242"/>
      <c r="J2" s="224" t="s">
        <v>6242</v>
      </c>
      <c r="K2" s="224" t="s">
        <v>6242</v>
      </c>
      <c r="L2" s="225"/>
      <c r="M2" s="216" t="str">
        <f t="shared" ref="M2:M99" si="1">IF(OR(I2 = "x",J2 = "x",K2 = "x"),"✓", "X")</f>
        <v>✓</v>
      </c>
      <c r="N2" s="226" t="str">
        <f t="shared" ref="N2:N99" si="2">ifs(SEARCH($N$1,$H2)&gt;=1,"X")</f>
        <v>#VALUE!</v>
      </c>
      <c r="O2" s="227" t="str">
        <f t="shared" ref="O2:O99" si="3">ifs(SEARCH($O$1,$H2)&gt;=1,"X")</f>
        <v>#VALUE!</v>
      </c>
      <c r="P2" s="228" t="str">
        <f t="shared" ref="P2:P99" si="4">ifs(SEARCH($P$1,$H2)&gt;=1,"X")</f>
        <v>#VALUE!</v>
      </c>
      <c r="Q2" s="220" t="str">
        <f t="shared" ref="Q2:Q99" si="5">ifs(SEARCH($Q$1,$H2)&gt;=1,"X")</f>
        <v>#VALUE!</v>
      </c>
      <c r="R2" s="220" t="str">
        <f t="shared" ref="R2:R99" si="6">ifs(SEARCH($R$1,$H2)&gt;=1,"X")</f>
        <v>#VALUE!</v>
      </c>
      <c r="S2" s="221">
        <f t="shared" ref="S2:S99" si="7">countif($N2:$R2,"X")</f>
        <v>0</v>
      </c>
      <c r="T2" s="229" t="str">
        <f>ifs($L2="",VLOOKUP($B2&amp;$E2,'VISIT DATA'!$A$2:$J100,7,FALSE), $L2="SWAB","OUTSA-RW",$L2="SWQU","OUTSA-SaQu", AND($J2="X",$K2="X",$L2="QUEST"),"OUT-UAQPre",$L2="QUEST","OUT-UAQ", $L2="Walk in","ColUATele")</f>
        <v>UA-Prelim</v>
      </c>
      <c r="U2" s="24" t="str">
        <f t="shared" ref="U2:U99" si="8">ifs($T2="UA-NWPT","UA-NWPT : UA New Patient",$T2="UA","UA : Urine Analysis In House",$T2="UA-Prelim","UA-Prelim : Preliminary UA Test",$T2="OUT-UAQ","OUT-UAQ : Quest Out UA",$T2="OUT-UAQPre", "OUT-UAQPre : OUT UA Prelim Quest",$T2="OUTSA-SaQu","OUTSA-SaQu : Saliva Out Quest",$T2="ColUATele","Collected Telemed",$T2="OUTUA-PrRW", "OUTUA-PrRW : OUT UA Prelimin Redwood",$T2="OUTUA-FURW", "OUTUA-FURW : OUT UA FU Redwood",$T2="OUTUA-NWRW", "OUTUA-NWRW : OUT UA New Redwood",$T2="OUTSA-RW", "OUTSA-RW : OUT Saliva Redwood")</f>
        <v>UA-Prelim : Preliminary UA Test</v>
      </c>
      <c r="V2" s="222" t="str">
        <f t="shared" ref="V2:V99" si="9">ifs($B2="","",and($I2="X",$J2="X",$K2="X",$L2="SWAB"), "ERROR",and($I2="X",$J2="X",$L2="SWAB"), "ERROR", and($J2="X",$L2="SWAB"), "OUTSA-RW : OUT Saliva Redwood", and($I2="X",$K2="X", $L2="SWAB"),"ERROR", and($K2="X",$L2="SWAB"), "OUTSA-RW : OUT Saliva Redwood", and($I2="X",$L2="SWAB"),"OUTSA-RW : OUT Saliva Redwood",and($I2="X",$J2="X"),"ERROR", and($I2="X",$K2="X"),"ERROR",and($K2="X",$S2=1), "OUTUA-PrRW : OUT UA Prelimin Redwood", and($I2="X",$S2=1), "OUTUA-NWRW : OUT UA New Redwood", and($J2="X",$S2=1), "OUTUA-FURW : OUT UA FU Redwood", and($J2="X",$K2="X",$S2=1), "OUTUA-PrRW : OUT UA Prelimin Redwood", $I2="X","UA-NWPT : UA New Patient", and($J2="X",$K2="X"),"UA-Prelim : Preliminary UA Test",and($J2="X",$L2="SWAB"),"OUTSA-RW : OUT Saliva Redwood",$J2="X","UA : Urine Analysis In House",$K2="X","UA-Prelim : Preliminary UA Test")</f>
        <v>UA-Prelim : Preliminary UA Test</v>
      </c>
      <c r="W2" s="222" t="str">
        <f t="shared" ref="W2:W99" si="10">IFS($B2="","",V2=U2,"MATCH",V2&lt;&gt;U2,"NO MATCH")</f>
        <v>MATCH</v>
      </c>
      <c r="X2" s="224" t="str">
        <f t="shared" ref="X2:X99" si="11">IF((countif($B$2:$B100,$B2)&gt;1),"Repeat"," ")</f>
        <v> </v>
      </c>
      <c r="Y2" s="243"/>
    </row>
    <row r="3">
      <c r="A3" s="214" t="str">
        <f>IFS($B3=FALSE,"",$B3,VLOOKUP($B3,'PATIENT DATA (072721)'!A:C, 2, 0))</f>
        <v>GUERRERO, ROBERT</v>
      </c>
      <c r="B3" s="215">
        <v>11940.0</v>
      </c>
      <c r="C3" s="216" t="str">
        <f>IF(COUNTIF('PATIENT DATA (072721)'!A:A, B3)=0, "X","✓")</f>
        <v>✓</v>
      </c>
      <c r="D3" s="226">
        <f>IFS($B3=FALSE,"",$B3,VLOOKUP($B3,'PATIENT DATA (072721)'!A:C, 3, 0))</f>
        <v>20958</v>
      </c>
      <c r="E3" s="218">
        <v>44567.0</v>
      </c>
      <c r="F3" s="219">
        <f>ifs($B3="","",$B3, VLOOKUP($B3&amp;$E3, 'VISIT DATA'!A:O,3,0))</f>
        <v>0.3333333333</v>
      </c>
      <c r="G3" s="222" t="str">
        <f>VLOOKUP($B3&amp;$E3,'VISIT DATA'!A:J, 9, FALSE)</f>
        <v>TORRES</v>
      </c>
      <c r="H3" s="223" t="str">
        <f>VLOOKUP(B3&amp;E3,'VISIT DATA'!A:N,10,FALSE)</f>
        <v>AMBETTER - SUPERIOR</v>
      </c>
      <c r="I3" s="224"/>
      <c r="J3" s="224" t="s">
        <v>6242</v>
      </c>
      <c r="K3" s="224"/>
      <c r="L3" s="225"/>
      <c r="M3" s="216" t="str">
        <f t="shared" si="1"/>
        <v>✓</v>
      </c>
      <c r="N3" s="226" t="str">
        <f t="shared" si="2"/>
        <v>#VALUE!</v>
      </c>
      <c r="O3" s="227" t="str">
        <f t="shared" si="3"/>
        <v>#VALUE!</v>
      </c>
      <c r="P3" s="228" t="str">
        <f t="shared" si="4"/>
        <v>#VALUE!</v>
      </c>
      <c r="Q3" s="220" t="str">
        <f t="shared" si="5"/>
        <v>#VALUE!</v>
      </c>
      <c r="R3" s="220" t="str">
        <f t="shared" si="6"/>
        <v>#VALUE!</v>
      </c>
      <c r="S3" s="221">
        <f t="shared" si="7"/>
        <v>0</v>
      </c>
      <c r="T3" s="229" t="str">
        <f>ifs($L3="",VLOOKUP($B3&amp;$E3,'VISIT DATA'!$A$2:$J100,7,FALSE), $L3="SWAB","OUTSA-RW",$L3="SWQU","OUTSA-SaQu", AND($J3="X",$K3="X",$L3="QUEST"),"OUT-UAQPre",$L3="QUEST","OUT-UAQ", $L3="Walk in","ColUATele")</f>
        <v>UA</v>
      </c>
      <c r="U3" s="24" t="str">
        <f t="shared" si="8"/>
        <v>UA : Urine Analysis In House</v>
      </c>
      <c r="V3" s="222" t="str">
        <f t="shared" si="9"/>
        <v>UA : Urine Analysis In House</v>
      </c>
      <c r="W3" s="222" t="str">
        <f t="shared" si="10"/>
        <v>MATCH</v>
      </c>
      <c r="X3" s="224" t="str">
        <f t="shared" si="11"/>
        <v> </v>
      </c>
      <c r="Y3" s="243"/>
    </row>
    <row r="4">
      <c r="A4" s="214" t="str">
        <f>IFS($B4=FALSE,"",$B4,VLOOKUP($B4,'PATIENT DATA (072721)'!A:C, 2, 0))</f>
        <v>ALFONSO, HERNAN C</v>
      </c>
      <c r="B4" s="215">
        <v>11568.0</v>
      </c>
      <c r="C4" s="216" t="str">
        <f>IF(COUNTIF('PATIENT DATA (072721)'!A:A, B4)=0, "X","✓")</f>
        <v>✓</v>
      </c>
      <c r="D4" s="226">
        <f>IFS($B4=FALSE,"",$B4,VLOOKUP($B4,'PATIENT DATA (072721)'!A:C, 3, 0))</f>
        <v>18906</v>
      </c>
      <c r="E4" s="218">
        <v>44567.0</v>
      </c>
      <c r="F4" s="219">
        <f>ifs($B4="","",$B4, VLOOKUP($B4&amp;$E4, 'VISIT DATA'!A:O,3,0))</f>
        <v>0.34375</v>
      </c>
      <c r="G4" s="222" t="str">
        <f>VLOOKUP($B4&amp;$E4,'VISIT DATA'!A:J, 9, FALSE)</f>
        <v>TORRES</v>
      </c>
      <c r="H4" s="223" t="str">
        <f>VLOOKUP(B4&amp;E4,'VISIT DATA'!A:N,10,FALSE)</f>
        <v>WELLMED - UHC DUAL COMPLETE SNP</v>
      </c>
      <c r="I4" s="242"/>
      <c r="J4" s="224" t="s">
        <v>6242</v>
      </c>
      <c r="K4" s="224"/>
      <c r="L4" s="225"/>
      <c r="M4" s="216" t="str">
        <f t="shared" si="1"/>
        <v>✓</v>
      </c>
      <c r="N4" s="226" t="str">
        <f t="shared" si="2"/>
        <v>X</v>
      </c>
      <c r="O4" s="227" t="str">
        <f t="shared" si="3"/>
        <v>#VALUE!</v>
      </c>
      <c r="P4" s="228" t="str">
        <f t="shared" si="4"/>
        <v>#VALUE!</v>
      </c>
      <c r="Q4" s="220" t="str">
        <f t="shared" si="5"/>
        <v>#VALUE!</v>
      </c>
      <c r="R4" s="220" t="str">
        <f t="shared" si="6"/>
        <v>#VALUE!</v>
      </c>
      <c r="S4" s="221">
        <f t="shared" si="7"/>
        <v>1</v>
      </c>
      <c r="T4" s="229" t="str">
        <f>ifs($L4="",VLOOKUP($B4&amp;$E4,'VISIT DATA'!$A$2:$J100,7,FALSE), $L4="SWAB","OUTSA-RW",$L4="SWQU","OUTSA-SaQu", AND($J4="X",$K4="X",$L4="QUEST"),"OUT-UAQPre",$L4="QUEST","OUT-UAQ", $L4="Walk in","ColUATele")</f>
        <v>OUTUA-FURW</v>
      </c>
      <c r="U4" s="24" t="str">
        <f t="shared" si="8"/>
        <v>OUTUA-FURW : OUT UA FU Redwood</v>
      </c>
      <c r="V4" s="222" t="str">
        <f t="shared" si="9"/>
        <v>OUTUA-FURW : OUT UA FU Redwood</v>
      </c>
      <c r="W4" s="222" t="str">
        <f t="shared" si="10"/>
        <v>MATCH</v>
      </c>
      <c r="X4" s="224" t="str">
        <f t="shared" si="11"/>
        <v> </v>
      </c>
      <c r="Y4" s="243"/>
    </row>
    <row r="5">
      <c r="A5" s="214" t="str">
        <f>IFS($B5=FALSE,"",$B5,VLOOKUP($B5,'PATIENT DATA (072721)'!A:C, 2, 0))</f>
        <v>GALLARDO, RODOLFO</v>
      </c>
      <c r="B5" s="215">
        <v>10479.0</v>
      </c>
      <c r="C5" s="216" t="str">
        <f>IF(COUNTIF('PATIENT DATA (072721)'!A:A, B5)=0, "X","✓")</f>
        <v>✓</v>
      </c>
      <c r="D5" s="226">
        <f>IFS($B5=FALSE,"",$B5,VLOOKUP($B5,'PATIENT DATA (072721)'!A:C, 3, 0))</f>
        <v>19822</v>
      </c>
      <c r="E5" s="218">
        <v>44567.0</v>
      </c>
      <c r="F5" s="219">
        <f>ifs($B5="","",$B5, VLOOKUP($B5&amp;$E5, 'VISIT DATA'!A:O,3,0))</f>
        <v>0.3541666667</v>
      </c>
      <c r="G5" s="222" t="str">
        <f>VLOOKUP($B5&amp;$E5,'VISIT DATA'!A:J, 9, FALSE)</f>
        <v>TORRES</v>
      </c>
      <c r="H5" s="223" t="str">
        <f>VLOOKUP(B5&amp;E5,'VISIT DATA'!A:N,10,FALSE)</f>
        <v>WELLMED - UHC DUAL COMPLETE HMO SNP</v>
      </c>
      <c r="I5" s="224"/>
      <c r="J5" s="224" t="s">
        <v>6242</v>
      </c>
      <c r="K5" s="224"/>
      <c r="L5" s="225"/>
      <c r="M5" s="216" t="str">
        <f t="shared" si="1"/>
        <v>✓</v>
      </c>
      <c r="N5" s="226" t="str">
        <f t="shared" si="2"/>
        <v>X</v>
      </c>
      <c r="O5" s="227" t="str">
        <f t="shared" si="3"/>
        <v>#VALUE!</v>
      </c>
      <c r="P5" s="228" t="str">
        <f t="shared" si="4"/>
        <v>#VALUE!</v>
      </c>
      <c r="Q5" s="220" t="str">
        <f t="shared" si="5"/>
        <v>#VALUE!</v>
      </c>
      <c r="R5" s="220" t="str">
        <f t="shared" si="6"/>
        <v>#VALUE!</v>
      </c>
      <c r="S5" s="221">
        <f t="shared" si="7"/>
        <v>1</v>
      </c>
      <c r="T5" s="229" t="str">
        <f>ifs($L5="",VLOOKUP($B5&amp;$E5,'VISIT DATA'!$A$2:$J100,7,FALSE), $L5="SWAB","OUTSA-RW",$L5="SWQU","OUTSA-SaQu", AND($J5="X",$K5="X",$L5="QUEST"),"OUT-UAQPre",$L5="QUEST","OUT-UAQ", $L5="Walk in","ColUATele")</f>
        <v>OUTUA-FURW</v>
      </c>
      <c r="U5" s="24" t="str">
        <f t="shared" si="8"/>
        <v>OUTUA-FURW : OUT UA FU Redwood</v>
      </c>
      <c r="V5" s="222" t="str">
        <f t="shared" si="9"/>
        <v>OUTUA-FURW : OUT UA FU Redwood</v>
      </c>
      <c r="W5" s="222" t="str">
        <f t="shared" si="10"/>
        <v>MATCH</v>
      </c>
      <c r="X5" s="224" t="str">
        <f t="shared" si="11"/>
        <v> </v>
      </c>
      <c r="Y5" s="243"/>
    </row>
    <row r="6">
      <c r="A6" s="214" t="str">
        <f>IFS($B6=FALSE,"",$B6,VLOOKUP($B6,'PATIENT DATA (072721)'!A:C, 2, 0))</f>
        <v>MARTINEZ, CONNIE</v>
      </c>
      <c r="B6" s="215">
        <v>9909.0</v>
      </c>
      <c r="C6" s="216" t="str">
        <f>IF(COUNTIF('PATIENT DATA (072721)'!A:A, B6)=0, "X","✓")</f>
        <v>✓</v>
      </c>
      <c r="D6" s="226">
        <f>IFS($B6=FALSE,"",$B6,VLOOKUP($B6,'PATIENT DATA (072721)'!A:C, 3, 0))</f>
        <v>22143</v>
      </c>
      <c r="E6" s="218">
        <v>44567.0</v>
      </c>
      <c r="F6" s="219" t="str">
        <f>ifs($B6="","",$B6, VLOOKUP($B6&amp;$E6, 'VISIT DATA'!A:O,3,0))</f>
        <v>#N/A</v>
      </c>
      <c r="G6" s="222" t="str">
        <f>VLOOKUP($B6&amp;$E6,'VISIT DATA'!A:J, 9, FALSE)</f>
        <v>#N/A</v>
      </c>
      <c r="H6" s="223" t="str">
        <f>VLOOKUP(B6&amp;E6,'VISIT DATA'!A:N,10,FALSE)</f>
        <v>#N/A</v>
      </c>
      <c r="I6" s="242"/>
      <c r="J6" s="224" t="s">
        <v>6242</v>
      </c>
      <c r="K6" s="224"/>
      <c r="L6" s="225"/>
      <c r="M6" s="216" t="str">
        <f t="shared" si="1"/>
        <v>✓</v>
      </c>
      <c r="N6" s="226" t="str">
        <f t="shared" si="2"/>
        <v>#N/A</v>
      </c>
      <c r="O6" s="227" t="str">
        <f t="shared" si="3"/>
        <v>#N/A</v>
      </c>
      <c r="P6" s="228" t="str">
        <f t="shared" si="4"/>
        <v>#N/A</v>
      </c>
      <c r="Q6" s="220" t="str">
        <f t="shared" si="5"/>
        <v>#N/A</v>
      </c>
      <c r="R6" s="220" t="str">
        <f t="shared" si="6"/>
        <v>#N/A</v>
      </c>
      <c r="S6" s="221">
        <f t="shared" si="7"/>
        <v>0</v>
      </c>
      <c r="T6" s="229" t="str">
        <f>ifs($L6="",VLOOKUP($B6&amp;$E6,'VISIT DATA'!$A$2:$J100,7,FALSE), $L6="SWAB","OUTSA-RW",$L6="SWQU","OUTSA-SaQu", AND($J6="X",$K6="X",$L6="QUEST"),"OUT-UAQPre",$L6="QUEST","OUT-UAQ", $L6="Walk in","ColUATele")</f>
        <v>#N/A</v>
      </c>
      <c r="U6" s="24" t="str">
        <f t="shared" si="8"/>
        <v>#N/A</v>
      </c>
      <c r="V6" s="222" t="str">
        <f t="shared" si="9"/>
        <v>UA : Urine Analysis In House</v>
      </c>
      <c r="W6" s="222" t="str">
        <f t="shared" si="10"/>
        <v>#N/A</v>
      </c>
      <c r="X6" s="224" t="str">
        <f t="shared" si="11"/>
        <v> </v>
      </c>
      <c r="Y6" s="243"/>
    </row>
    <row r="7">
      <c r="A7" s="214" t="str">
        <f>IFS($B7=FALSE,"",$B7,VLOOKUP($B7,'PATIENT DATA (072721)'!A:C, 2, 0))</f>
        <v>RANGEL, MARTIN</v>
      </c>
      <c r="B7" s="215">
        <v>12397.0</v>
      </c>
      <c r="C7" s="216" t="str">
        <f>IF(COUNTIF('PATIENT DATA (072721)'!A:A, B7)=0, "X","✓")</f>
        <v>✓</v>
      </c>
      <c r="D7" s="226">
        <f>IFS($B7=FALSE,"",$B7,VLOOKUP($B7,'PATIENT DATA (072721)'!A:C, 3, 0))</f>
        <v>24151</v>
      </c>
      <c r="E7" s="218">
        <v>44567.0</v>
      </c>
      <c r="F7" s="219">
        <f>ifs($B7="","",$B7, VLOOKUP($B7&amp;$E7, 'VISIT DATA'!A:O,3,0))</f>
        <v>0.3541666667</v>
      </c>
      <c r="G7" s="222" t="str">
        <f>VLOOKUP($B7&amp;$E7,'VISIT DATA'!A:J, 9, FALSE)</f>
        <v>MARTINEZ</v>
      </c>
      <c r="H7" s="223" t="str">
        <f>VLOOKUP(B7&amp;E7,'VISIT DATA'!A:N,10,FALSE)</f>
        <v>AMERIGROUP</v>
      </c>
      <c r="I7" s="242"/>
      <c r="J7" s="224" t="s">
        <v>6242</v>
      </c>
      <c r="K7" s="224" t="s">
        <v>6242</v>
      </c>
      <c r="L7" s="225"/>
      <c r="M7" s="216" t="str">
        <f t="shared" si="1"/>
        <v>✓</v>
      </c>
      <c r="N7" s="226" t="str">
        <f t="shared" si="2"/>
        <v>#VALUE!</v>
      </c>
      <c r="O7" s="227" t="str">
        <f t="shared" si="3"/>
        <v>#VALUE!</v>
      </c>
      <c r="P7" s="228" t="str">
        <f t="shared" si="4"/>
        <v>#VALUE!</v>
      </c>
      <c r="Q7" s="220" t="str">
        <f t="shared" si="5"/>
        <v>#VALUE!</v>
      </c>
      <c r="R7" s="220" t="str">
        <f t="shared" si="6"/>
        <v>#VALUE!</v>
      </c>
      <c r="S7" s="221">
        <f t="shared" si="7"/>
        <v>0</v>
      </c>
      <c r="T7" s="229" t="str">
        <f>ifs($L7="",VLOOKUP($B7&amp;$E7,'VISIT DATA'!$A$2:$J100,7,FALSE), $L7="SWAB","OUTSA-RW",$L7="SWQU","OUTSA-SaQu", AND($J7="X",$K7="X",$L7="QUEST"),"OUT-UAQPre",$L7="QUEST","OUT-UAQ", $L7="Walk in","ColUATele")</f>
        <v>UA-Prelim</v>
      </c>
      <c r="U7" s="24" t="str">
        <f t="shared" si="8"/>
        <v>UA-Prelim : Preliminary UA Test</v>
      </c>
      <c r="V7" s="222" t="str">
        <f t="shared" si="9"/>
        <v>UA-Prelim : Preliminary UA Test</v>
      </c>
      <c r="W7" s="222" t="str">
        <f t="shared" si="10"/>
        <v>MATCH</v>
      </c>
      <c r="X7" s="224" t="str">
        <f t="shared" si="11"/>
        <v> </v>
      </c>
      <c r="Y7" s="243"/>
    </row>
    <row r="8">
      <c r="A8" s="214" t="str">
        <f>IFS($B8=FALSE,"",$B8,VLOOKUP($B8,'PATIENT DATA (072721)'!A:C, 2, 0))</f>
        <v>RAMOS, VANESSA B</v>
      </c>
      <c r="B8" s="215">
        <v>15160.0</v>
      </c>
      <c r="C8" s="216" t="str">
        <f>IF(COUNTIF('PATIENT DATA (072721)'!A:A, B8)=0, "X","✓")</f>
        <v>✓</v>
      </c>
      <c r="D8" s="226">
        <f>IFS($B8=FALSE,"",$B8,VLOOKUP($B8,'PATIENT DATA (072721)'!A:C, 3, 0))</f>
        <v>29365</v>
      </c>
      <c r="E8" s="218">
        <v>44567.0</v>
      </c>
      <c r="F8" s="219" t="str">
        <f>ifs($B8="","",$B8, VLOOKUP($B8&amp;$E8, 'VISIT DATA'!A:O,3,0))</f>
        <v>#N/A</v>
      </c>
      <c r="G8" s="222" t="str">
        <f>VLOOKUP($B8&amp;$E8,'VISIT DATA'!A:J, 9, FALSE)</f>
        <v>#N/A</v>
      </c>
      <c r="H8" s="223" t="str">
        <f>VLOOKUP(B8&amp;E8,'VISIT DATA'!A:N,10,FALSE)</f>
        <v>#N/A</v>
      </c>
      <c r="I8" s="242"/>
      <c r="J8" s="224" t="s">
        <v>6242</v>
      </c>
      <c r="K8" s="224"/>
      <c r="L8" s="225"/>
      <c r="M8" s="216" t="str">
        <f t="shared" si="1"/>
        <v>✓</v>
      </c>
      <c r="N8" s="226" t="str">
        <f t="shared" si="2"/>
        <v>#N/A</v>
      </c>
      <c r="O8" s="227" t="str">
        <f t="shared" si="3"/>
        <v>#N/A</v>
      </c>
      <c r="P8" s="228" t="str">
        <f t="shared" si="4"/>
        <v>#N/A</v>
      </c>
      <c r="Q8" s="220" t="str">
        <f t="shared" si="5"/>
        <v>#N/A</v>
      </c>
      <c r="R8" s="220" t="str">
        <f t="shared" si="6"/>
        <v>#N/A</v>
      </c>
      <c r="S8" s="221">
        <f t="shared" si="7"/>
        <v>0</v>
      </c>
      <c r="T8" s="229" t="str">
        <f>ifs($L8="",VLOOKUP($B8&amp;$E8,'VISIT DATA'!$A$2:$J100,7,FALSE), $L8="SWAB","OUTSA-RW",$L8="SWQU","OUTSA-SaQu", AND($J8="X",$K8="X",$L8="QUEST"),"OUT-UAQPre",$L8="QUEST","OUT-UAQ", $L8="Walk in","ColUATele")</f>
        <v>#N/A</v>
      </c>
      <c r="U8" s="24" t="str">
        <f t="shared" si="8"/>
        <v>#N/A</v>
      </c>
      <c r="V8" s="222" t="str">
        <f t="shared" si="9"/>
        <v>UA : Urine Analysis In House</v>
      </c>
      <c r="W8" s="222" t="str">
        <f t="shared" si="10"/>
        <v>#N/A</v>
      </c>
      <c r="X8" s="224" t="str">
        <f t="shared" si="11"/>
        <v> </v>
      </c>
      <c r="Y8" s="243"/>
    </row>
    <row r="9">
      <c r="A9" s="214" t="str">
        <f>IFS($B9=FALSE,"",$B9,VLOOKUP($B9,'PATIENT DATA (072721)'!A:C, 2, 0))</f>
        <v>VALENTINO, KAREN J</v>
      </c>
      <c r="B9" s="215">
        <v>16260.0</v>
      </c>
      <c r="C9" s="216" t="str">
        <f>IF(COUNTIF('PATIENT DATA (072721)'!A:A, B9)=0, "X","✓")</f>
        <v>✓</v>
      </c>
      <c r="D9" s="226">
        <f>IFS($B9=FALSE,"",$B9,VLOOKUP($B9,'PATIENT DATA (072721)'!A:C, 3, 0))</f>
        <v>17025</v>
      </c>
      <c r="E9" s="218">
        <v>44567.0</v>
      </c>
      <c r="F9" s="219">
        <f>ifs($B9="","",$B9, VLOOKUP($B9&amp;$E9, 'VISIT DATA'!A:O,3,0))</f>
        <v>0.3854166667</v>
      </c>
      <c r="G9" s="222" t="str">
        <f>VLOOKUP($B9&amp;$E9,'VISIT DATA'!A:J, 9, FALSE)</f>
        <v>LOPEZ</v>
      </c>
      <c r="H9" s="223" t="str">
        <f>VLOOKUP(B9&amp;E9,'VISIT DATA'!A:N,10,FALSE)</f>
        <v>MEDICARE TEXAS</v>
      </c>
      <c r="I9" s="242"/>
      <c r="J9" s="224" t="s">
        <v>6242</v>
      </c>
      <c r="K9" s="224"/>
      <c r="L9" s="225"/>
      <c r="M9" s="216" t="str">
        <f t="shared" si="1"/>
        <v>✓</v>
      </c>
      <c r="N9" s="226" t="str">
        <f t="shared" si="2"/>
        <v>#VALUE!</v>
      </c>
      <c r="O9" s="227" t="str">
        <f t="shared" si="3"/>
        <v>#VALUE!</v>
      </c>
      <c r="P9" s="228" t="str">
        <f t="shared" si="4"/>
        <v>#VALUE!</v>
      </c>
      <c r="Q9" s="220" t="str">
        <f t="shared" si="5"/>
        <v>#VALUE!</v>
      </c>
      <c r="R9" s="220" t="str">
        <f t="shared" si="6"/>
        <v>#VALUE!</v>
      </c>
      <c r="S9" s="221">
        <f t="shared" si="7"/>
        <v>0</v>
      </c>
      <c r="T9" s="229" t="str">
        <f>ifs($L9="",VLOOKUP($B9&amp;$E9,'VISIT DATA'!$A$2:$J100,7,FALSE), $L9="SWAB","OUTSA-RW",$L9="SWQU","OUTSA-SaQu", AND($J9="X",$K9="X",$L9="QUEST"),"OUT-UAQPre",$L9="QUEST","OUT-UAQ", $L9="Walk in","ColUATele")</f>
        <v>UA</v>
      </c>
      <c r="U9" s="24" t="str">
        <f t="shared" si="8"/>
        <v>UA : Urine Analysis In House</v>
      </c>
      <c r="V9" s="222" t="str">
        <f t="shared" si="9"/>
        <v>UA : Urine Analysis In House</v>
      </c>
      <c r="W9" s="222" t="str">
        <f t="shared" si="10"/>
        <v>MATCH</v>
      </c>
      <c r="X9" s="224" t="str">
        <f t="shared" si="11"/>
        <v> </v>
      </c>
      <c r="Y9" s="243"/>
    </row>
    <row r="10">
      <c r="A10" s="214" t="str">
        <f>IFS($B10=FALSE,"",$B10,VLOOKUP($B10,'PATIENT DATA (072721)'!A:C, 2, 0))</f>
        <v>GONZALEZ, DAVID</v>
      </c>
      <c r="B10" s="215">
        <v>10903.0</v>
      </c>
      <c r="C10" s="216" t="str">
        <f>IF(COUNTIF('PATIENT DATA (072721)'!A:A, B10)=0, "X","✓")</f>
        <v>✓</v>
      </c>
      <c r="D10" s="226">
        <f>IFS($B10=FALSE,"",$B10,VLOOKUP($B10,'PATIENT DATA (072721)'!A:C, 3, 0))</f>
        <v>22992</v>
      </c>
      <c r="E10" s="218">
        <v>44567.0</v>
      </c>
      <c r="F10" s="219">
        <f>ifs($B10="","",$B10, VLOOKUP($B10&amp;$E10, 'VISIT DATA'!A:O,3,0))</f>
        <v>0.375</v>
      </c>
      <c r="G10" s="222" t="str">
        <f>VLOOKUP($B10&amp;$E10,'VISIT DATA'!A:J, 9, FALSE)</f>
        <v>TORRES</v>
      </c>
      <c r="H10" s="223" t="str">
        <f>VLOOKUP(B10&amp;E10,'VISIT DATA'!A:N,10,FALSE)</f>
        <v>HUMANA GOLD PLUS HMO</v>
      </c>
      <c r="I10" s="242"/>
      <c r="J10" s="224" t="s">
        <v>6242</v>
      </c>
      <c r="K10" s="224"/>
      <c r="L10" s="225"/>
      <c r="M10" s="216" t="str">
        <f t="shared" si="1"/>
        <v>✓</v>
      </c>
      <c r="N10" s="226" t="str">
        <f t="shared" si="2"/>
        <v>#VALUE!</v>
      </c>
      <c r="O10" s="227" t="str">
        <f t="shared" si="3"/>
        <v>#VALUE!</v>
      </c>
      <c r="P10" s="228" t="str">
        <f t="shared" si="4"/>
        <v>#VALUE!</v>
      </c>
      <c r="Q10" s="220" t="str">
        <f t="shared" si="5"/>
        <v>#VALUE!</v>
      </c>
      <c r="R10" s="220" t="str">
        <f t="shared" si="6"/>
        <v>#VALUE!</v>
      </c>
      <c r="S10" s="221">
        <f t="shared" si="7"/>
        <v>0</v>
      </c>
      <c r="T10" s="229" t="str">
        <f>ifs($L10="",VLOOKUP($B10&amp;$E10,'VISIT DATA'!$A$2:$J100,7,FALSE), $L10="SWAB","OUTSA-RW",$L10="SWQU","OUTSA-SaQu", AND($J10="X",$K10="X",$L10="QUEST"),"OUT-UAQPre",$L10="QUEST","OUT-UAQ", $L10="Walk in","ColUATele")</f>
        <v>UA</v>
      </c>
      <c r="U10" s="24" t="str">
        <f t="shared" si="8"/>
        <v>UA : Urine Analysis In House</v>
      </c>
      <c r="V10" s="222" t="str">
        <f t="shared" si="9"/>
        <v>UA : Urine Analysis In House</v>
      </c>
      <c r="W10" s="222" t="str">
        <f t="shared" si="10"/>
        <v>MATCH</v>
      </c>
      <c r="X10" s="224" t="str">
        <f t="shared" si="11"/>
        <v> </v>
      </c>
      <c r="Y10" s="243"/>
    </row>
    <row r="11">
      <c r="A11" s="214" t="str">
        <f>IFS($B11=FALSE,"",$B11,VLOOKUP($B11,'PATIENT DATA (072721)'!A:C, 2, 0))</f>
        <v>WHITEHEAD, CHRISTOPHER D</v>
      </c>
      <c r="B11" s="215">
        <v>12224.0</v>
      </c>
      <c r="C11" s="216" t="str">
        <f>IF(COUNTIF('PATIENT DATA (072721)'!A:A, B11)=0, "X","✓")</f>
        <v>✓</v>
      </c>
      <c r="D11" s="226">
        <f>IFS($B11=FALSE,"",$B11,VLOOKUP($B11,'PATIENT DATA (072721)'!A:C, 3, 0))</f>
        <v>28683</v>
      </c>
      <c r="E11" s="218">
        <v>44567.0</v>
      </c>
      <c r="F11" s="219">
        <f>ifs($B11="","",$B11, VLOOKUP($B11&amp;$E11, 'VISIT DATA'!A:O,3,0))</f>
        <v>0.3854166667</v>
      </c>
      <c r="G11" s="222" t="str">
        <f>VLOOKUP($B11&amp;$E11,'VISIT DATA'!A:J, 9, FALSE)</f>
        <v>TORRES</v>
      </c>
      <c r="H11" s="223" t="str">
        <f>VLOOKUP(B11&amp;E11,'VISIT DATA'!A:N,10,FALSE)</f>
        <v>TRICARE PRIME</v>
      </c>
      <c r="I11" s="242"/>
      <c r="J11" s="224" t="s">
        <v>6242</v>
      </c>
      <c r="K11" s="224"/>
      <c r="L11" s="225"/>
      <c r="M11" s="216" t="str">
        <f t="shared" si="1"/>
        <v>✓</v>
      </c>
      <c r="N11" s="226" t="str">
        <f t="shared" si="2"/>
        <v>#VALUE!</v>
      </c>
      <c r="O11" s="227" t="str">
        <f t="shared" si="3"/>
        <v>#VALUE!</v>
      </c>
      <c r="P11" s="228" t="str">
        <f t="shared" si="4"/>
        <v>#VALUE!</v>
      </c>
      <c r="Q11" s="220" t="str">
        <f t="shared" si="5"/>
        <v>#VALUE!</v>
      </c>
      <c r="R11" s="220" t="str">
        <f t="shared" si="6"/>
        <v>#VALUE!</v>
      </c>
      <c r="S11" s="221">
        <f t="shared" si="7"/>
        <v>0</v>
      </c>
      <c r="T11" s="229" t="str">
        <f>ifs($L11="",VLOOKUP($B11&amp;$E11,'VISIT DATA'!$A$2:$J100,7,FALSE), $L11="SWAB","OUTSA-RW",$L11="SWQU","OUTSA-SaQu", AND($J11="X",$K11="X",$L11="QUEST"),"OUT-UAQPre",$L11="QUEST","OUT-UAQ", $L11="Walk in","ColUATele")</f>
        <v>UA</v>
      </c>
      <c r="U11" s="24" t="str">
        <f t="shared" si="8"/>
        <v>UA : Urine Analysis In House</v>
      </c>
      <c r="V11" s="222" t="str">
        <f t="shared" si="9"/>
        <v>UA : Urine Analysis In House</v>
      </c>
      <c r="W11" s="222" t="str">
        <f t="shared" si="10"/>
        <v>MATCH</v>
      </c>
      <c r="X11" s="224" t="str">
        <f t="shared" si="11"/>
        <v> </v>
      </c>
      <c r="Y11" s="243"/>
    </row>
    <row r="12">
      <c r="A12" s="214" t="str">
        <f>IFS($B12=FALSE,"",$B12,VLOOKUP($B12,'PATIENT DATA (072721)'!A:C, 2, 0))</f>
        <v>PULIDO, MARGARITA</v>
      </c>
      <c r="B12" s="215">
        <v>16348.0</v>
      </c>
      <c r="C12" s="216" t="str">
        <f>IF(COUNTIF('PATIENT DATA (072721)'!A:A, B12)=0, "X","✓")</f>
        <v>✓</v>
      </c>
      <c r="D12" s="226">
        <f>IFS($B12=FALSE,"",$B12,VLOOKUP($B12,'PATIENT DATA (072721)'!A:C, 3, 0))</f>
        <v>15288</v>
      </c>
      <c r="E12" s="218">
        <v>44567.0</v>
      </c>
      <c r="F12" s="219">
        <f>ifs($B12="","",$B12, VLOOKUP($B12&amp;$E12, 'VISIT DATA'!A:O,3,0))</f>
        <v>0.3854166667</v>
      </c>
      <c r="G12" s="222" t="str">
        <f>VLOOKUP($B12&amp;$E12,'VISIT DATA'!A:J, 9, FALSE)</f>
        <v>LOPEZ</v>
      </c>
      <c r="H12" s="223" t="str">
        <f>VLOOKUP(B12&amp;E12,'VISIT DATA'!A:N,10,FALSE)</f>
        <v>HUMANA GOLD PLUS HMO</v>
      </c>
      <c r="I12" s="242"/>
      <c r="J12" s="224" t="s">
        <v>6242</v>
      </c>
      <c r="K12" s="224" t="s">
        <v>6242</v>
      </c>
      <c r="L12" s="225"/>
      <c r="M12" s="216" t="str">
        <f t="shared" si="1"/>
        <v>✓</v>
      </c>
      <c r="N12" s="226" t="str">
        <f t="shared" si="2"/>
        <v>#VALUE!</v>
      </c>
      <c r="O12" s="227" t="str">
        <f t="shared" si="3"/>
        <v>#VALUE!</v>
      </c>
      <c r="P12" s="228" t="str">
        <f t="shared" si="4"/>
        <v>#VALUE!</v>
      </c>
      <c r="Q12" s="220" t="str">
        <f t="shared" si="5"/>
        <v>#VALUE!</v>
      </c>
      <c r="R12" s="220" t="str">
        <f t="shared" si="6"/>
        <v>#VALUE!</v>
      </c>
      <c r="S12" s="221">
        <f t="shared" si="7"/>
        <v>0</v>
      </c>
      <c r="T12" s="229" t="str">
        <f>ifs($L12="",VLOOKUP($B12&amp;$E12,'VISIT DATA'!$A$2:$J100,7,FALSE), $L12="SWAB","OUTSA-RW",$L12="SWQU","OUTSA-SaQu", AND($J12="X",$K12="X",$L12="QUEST"),"OUT-UAQPre",$L12="QUEST","OUT-UAQ", $L12="Walk in","ColUATele")</f>
        <v>UA-Prelim</v>
      </c>
      <c r="U12" s="24" t="str">
        <f t="shared" si="8"/>
        <v>UA-Prelim : Preliminary UA Test</v>
      </c>
      <c r="V12" s="222" t="str">
        <f t="shared" si="9"/>
        <v>UA-Prelim : Preliminary UA Test</v>
      </c>
      <c r="W12" s="222" t="str">
        <f t="shared" si="10"/>
        <v>MATCH</v>
      </c>
      <c r="X12" s="224" t="str">
        <f t="shared" si="11"/>
        <v> </v>
      </c>
      <c r="Y12" s="243"/>
    </row>
    <row r="13">
      <c r="A13" s="214" t="str">
        <f>IFS($B13=FALSE,"",$B13,VLOOKUP($B13,'PATIENT DATA (072721)'!A:C, 2, 0))</f>
        <v>VILLANUEVA, CARMEN</v>
      </c>
      <c r="B13" s="215">
        <v>16792.0</v>
      </c>
      <c r="C13" s="216" t="str">
        <f>IF(COUNTIF('PATIENT DATA (072721)'!A:A, B13)=0, "X","✓")</f>
        <v>✓</v>
      </c>
      <c r="D13" s="226">
        <f>IFS($B13=FALSE,"",$B13,VLOOKUP($B13,'PATIENT DATA (072721)'!A:C, 3, 0))</f>
        <v>13375</v>
      </c>
      <c r="E13" s="218">
        <v>44567.0</v>
      </c>
      <c r="F13" s="219">
        <f>ifs($B13="","",$B13, VLOOKUP($B13&amp;$E13, 'VISIT DATA'!A:O,3,0))</f>
        <v>0.3854166667</v>
      </c>
      <c r="G13" s="222" t="str">
        <f>VLOOKUP($B13&amp;$E13,'VISIT DATA'!A:J, 9, FALSE)</f>
        <v>LOPEZ</v>
      </c>
      <c r="H13" s="223" t="str">
        <f>VLOOKUP(B13&amp;E13,'VISIT DATA'!A:N,10,FALSE)</f>
        <v>WELLMED - UHC DUAL COMPLETE SNP</v>
      </c>
      <c r="I13" s="242"/>
      <c r="J13" s="224" t="s">
        <v>6242</v>
      </c>
      <c r="K13" s="224"/>
      <c r="L13" s="225"/>
      <c r="M13" s="216" t="str">
        <f t="shared" si="1"/>
        <v>✓</v>
      </c>
      <c r="N13" s="226" t="str">
        <f t="shared" si="2"/>
        <v>X</v>
      </c>
      <c r="O13" s="227" t="str">
        <f t="shared" si="3"/>
        <v>#VALUE!</v>
      </c>
      <c r="P13" s="228" t="str">
        <f t="shared" si="4"/>
        <v>#VALUE!</v>
      </c>
      <c r="Q13" s="220" t="str">
        <f t="shared" si="5"/>
        <v>#VALUE!</v>
      </c>
      <c r="R13" s="220" t="str">
        <f t="shared" si="6"/>
        <v>#VALUE!</v>
      </c>
      <c r="S13" s="221">
        <f t="shared" si="7"/>
        <v>1</v>
      </c>
      <c r="T13" s="229" t="str">
        <f>ifs($L13="",VLOOKUP($B13&amp;$E13,'VISIT DATA'!$A$2:$J100,7,FALSE), $L13="SWAB","OUTSA-RW",$L13="SWQU","OUTSA-SaQu", AND($J13="X",$K13="X",$L13="QUEST"),"OUT-UAQPre",$L13="QUEST","OUT-UAQ", $L13="Walk in","ColUATele")</f>
        <v>OUTUA-FURW</v>
      </c>
      <c r="U13" s="24" t="str">
        <f t="shared" si="8"/>
        <v>OUTUA-FURW : OUT UA FU Redwood</v>
      </c>
      <c r="V13" s="222" t="str">
        <f t="shared" si="9"/>
        <v>OUTUA-FURW : OUT UA FU Redwood</v>
      </c>
      <c r="W13" s="222" t="str">
        <f t="shared" si="10"/>
        <v>MATCH</v>
      </c>
      <c r="X13" s="224" t="str">
        <f t="shared" si="11"/>
        <v> </v>
      </c>
      <c r="Y13" s="243"/>
    </row>
    <row r="14">
      <c r="A14" s="214" t="str">
        <f>IFS($B14=FALSE,"",$B14,VLOOKUP($B14,'PATIENT DATA (072721)'!A:C, 2, 0))</f>
        <v>ROMERO, JOSE</v>
      </c>
      <c r="B14" s="215">
        <v>10525.0</v>
      </c>
      <c r="C14" s="216" t="str">
        <f>IF(COUNTIF('PATIENT DATA (072721)'!A:A, B14)=0, "X","✓")</f>
        <v>✓</v>
      </c>
      <c r="D14" s="226">
        <f>IFS($B14=FALSE,"",$B14,VLOOKUP($B14,'PATIENT DATA (072721)'!A:C, 3, 0))</f>
        <v>21713</v>
      </c>
      <c r="E14" s="218">
        <v>44567.0</v>
      </c>
      <c r="F14" s="219" t="str">
        <f>ifs($B14="","",$B14, VLOOKUP($B14&amp;$E14, 'VISIT DATA'!A:O,3,0))</f>
        <v>#N/A</v>
      </c>
      <c r="G14" s="222" t="str">
        <f>VLOOKUP($B14&amp;$E14,'VISIT DATA'!A:J, 9, FALSE)</f>
        <v>#N/A</v>
      </c>
      <c r="H14" s="223" t="str">
        <f>VLOOKUP(B14&amp;E14,'VISIT DATA'!A:N,10,FALSE)</f>
        <v>#N/A</v>
      </c>
      <c r="I14" s="225"/>
      <c r="J14" s="224" t="s">
        <v>6242</v>
      </c>
      <c r="K14" s="224" t="s">
        <v>6242</v>
      </c>
      <c r="L14" s="225"/>
      <c r="M14" s="216" t="str">
        <f t="shared" si="1"/>
        <v>✓</v>
      </c>
      <c r="N14" s="226" t="str">
        <f t="shared" si="2"/>
        <v>#N/A</v>
      </c>
      <c r="O14" s="227" t="str">
        <f t="shared" si="3"/>
        <v>#N/A</v>
      </c>
      <c r="P14" s="228" t="str">
        <f t="shared" si="4"/>
        <v>#N/A</v>
      </c>
      <c r="Q14" s="220" t="str">
        <f t="shared" si="5"/>
        <v>#N/A</v>
      </c>
      <c r="R14" s="220" t="str">
        <f t="shared" si="6"/>
        <v>#N/A</v>
      </c>
      <c r="S14" s="221">
        <f t="shared" si="7"/>
        <v>0</v>
      </c>
      <c r="T14" s="229" t="str">
        <f>ifs($L14="",VLOOKUP($B14&amp;$E14,'VISIT DATA'!$A$2:$J100,7,FALSE), $L14="SWAB","OUTSA-RW",$L14="SWQU","OUTSA-SaQu", AND($J14="X",$K14="X",$L14="QUEST"),"OUT-UAQPre",$L14="QUEST","OUT-UAQ", $L14="Walk in","ColUATele")</f>
        <v>#N/A</v>
      </c>
      <c r="U14" s="24" t="str">
        <f t="shared" si="8"/>
        <v>#N/A</v>
      </c>
      <c r="V14" s="222" t="str">
        <f t="shared" si="9"/>
        <v>UA-Prelim : Preliminary UA Test</v>
      </c>
      <c r="W14" s="222" t="str">
        <f t="shared" si="10"/>
        <v>#N/A</v>
      </c>
      <c r="X14" s="224" t="str">
        <f t="shared" si="11"/>
        <v> </v>
      </c>
      <c r="Y14" s="244"/>
    </row>
    <row r="15">
      <c r="A15" s="214" t="str">
        <f>IFS($B15=FALSE,"",$B15,VLOOKUP($B15,'PATIENT DATA (072721)'!A:C, 2, 0))</f>
        <v>LOPEZ-RIOS, ELIZABETH</v>
      </c>
      <c r="B15" s="215">
        <v>13447.0</v>
      </c>
      <c r="C15" s="216" t="str">
        <f>IF(COUNTIF('PATIENT DATA (072721)'!A:A, B15)=0, "X","✓")</f>
        <v>✓</v>
      </c>
      <c r="D15" s="226">
        <f>IFS($B15=FALSE,"",$B15,VLOOKUP($B15,'PATIENT DATA (072721)'!A:C, 3, 0))</f>
        <v>24516</v>
      </c>
      <c r="E15" s="218">
        <v>44567.0</v>
      </c>
      <c r="F15" s="219">
        <f>ifs($B15="","",$B15, VLOOKUP($B15&amp;$E15, 'VISIT DATA'!A:O,3,0))</f>
        <v>0.3854166667</v>
      </c>
      <c r="G15" s="222" t="str">
        <f>VLOOKUP($B15&amp;$E15,'VISIT DATA'!A:J, 9, FALSE)</f>
        <v>MARTINEZ</v>
      </c>
      <c r="H15" s="223" t="str">
        <f>VLOOKUP(B15&amp;E15,'VISIT DATA'!A:N,10,FALSE)</f>
        <v>CHAMPVA</v>
      </c>
      <c r="I15" s="225"/>
      <c r="J15" s="224" t="s">
        <v>6242</v>
      </c>
      <c r="K15" s="224"/>
      <c r="L15" s="225"/>
      <c r="M15" s="216" t="str">
        <f t="shared" si="1"/>
        <v>✓</v>
      </c>
      <c r="N15" s="226" t="str">
        <f t="shared" si="2"/>
        <v>#VALUE!</v>
      </c>
      <c r="O15" s="227" t="str">
        <f t="shared" si="3"/>
        <v>#VALUE!</v>
      </c>
      <c r="P15" s="228" t="str">
        <f t="shared" si="4"/>
        <v>#VALUE!</v>
      </c>
      <c r="Q15" s="220" t="str">
        <f t="shared" si="5"/>
        <v>#VALUE!</v>
      </c>
      <c r="R15" s="220" t="str">
        <f t="shared" si="6"/>
        <v>#VALUE!</v>
      </c>
      <c r="S15" s="221">
        <f t="shared" si="7"/>
        <v>0</v>
      </c>
      <c r="T15" s="229" t="str">
        <f>ifs($L15="",VLOOKUP($B15&amp;$E15,'VISIT DATA'!$A$2:$J100,7,FALSE), $L15="SWAB","OUTSA-RW",$L15="SWQU","OUTSA-SaQu", AND($J15="X",$K15="X",$L15="QUEST"),"OUT-UAQPre",$L15="QUEST","OUT-UAQ", $L15="Walk in","ColUATele")</f>
        <v>UA</v>
      </c>
      <c r="U15" s="24" t="str">
        <f t="shared" si="8"/>
        <v>UA : Urine Analysis In House</v>
      </c>
      <c r="V15" s="222" t="str">
        <f t="shared" si="9"/>
        <v>UA : Urine Analysis In House</v>
      </c>
      <c r="W15" s="222" t="str">
        <f t="shared" si="10"/>
        <v>MATCH</v>
      </c>
      <c r="X15" s="224" t="str">
        <f t="shared" si="11"/>
        <v> </v>
      </c>
      <c r="Y15" s="244"/>
    </row>
    <row r="16">
      <c r="A16" s="214" t="str">
        <f>IFS($B16=FALSE,"",$B16,VLOOKUP($B16,'PATIENT DATA (072721)'!A:C, 2, 0))</f>
        <v>PETERSEN, SUSANA</v>
      </c>
      <c r="B16" s="215">
        <v>14821.0</v>
      </c>
      <c r="C16" s="216" t="str">
        <f>IF(COUNTIF('PATIENT DATA (072721)'!A:A, B16)=0, "X","✓")</f>
        <v>✓</v>
      </c>
      <c r="D16" s="226">
        <f>IFS($B16=FALSE,"",$B16,VLOOKUP($B16,'PATIENT DATA (072721)'!A:C, 3, 0))</f>
        <v>21380</v>
      </c>
      <c r="E16" s="218">
        <v>44567.0</v>
      </c>
      <c r="F16" s="219">
        <f>ifs($B16="","",$B16, VLOOKUP($B16&amp;$E16, 'VISIT DATA'!A:O,3,0))</f>
        <v>0.3958333333</v>
      </c>
      <c r="G16" s="222" t="str">
        <f>VLOOKUP($B16&amp;$E16,'VISIT DATA'!A:J, 9, FALSE)</f>
        <v>LOPEZ</v>
      </c>
      <c r="H16" s="223" t="str">
        <f>VLOOKUP(B16&amp;E16,'VISIT DATA'!A:N,10,FALSE)</f>
        <v>AMERIVANTAGE DUAL</v>
      </c>
      <c r="I16" s="224"/>
      <c r="J16" s="224" t="s">
        <v>6242</v>
      </c>
      <c r="K16" s="224" t="s">
        <v>6242</v>
      </c>
      <c r="L16" s="225"/>
      <c r="M16" s="216" t="str">
        <f t="shared" si="1"/>
        <v>✓</v>
      </c>
      <c r="N16" s="226" t="str">
        <f t="shared" si="2"/>
        <v>#VALUE!</v>
      </c>
      <c r="O16" s="227" t="str">
        <f t="shared" si="3"/>
        <v>#VALUE!</v>
      </c>
      <c r="P16" s="228" t="str">
        <f t="shared" si="4"/>
        <v>#VALUE!</v>
      </c>
      <c r="Q16" s="220" t="str">
        <f t="shared" si="5"/>
        <v>#VALUE!</v>
      </c>
      <c r="R16" s="220" t="str">
        <f t="shared" si="6"/>
        <v>#VALUE!</v>
      </c>
      <c r="S16" s="221">
        <f t="shared" si="7"/>
        <v>0</v>
      </c>
      <c r="T16" s="229" t="str">
        <f>ifs($L16="",VLOOKUP($B16&amp;$E16,'VISIT DATA'!$A$2:$J100,7,FALSE), $L16="SWAB","OUTSA-RW",$L16="SWQU","OUTSA-SaQu", AND($J16="X",$K16="X",$L16="QUEST"),"OUT-UAQPre",$L16="QUEST","OUT-UAQ", $L16="Walk in","ColUATele")</f>
        <v>UA-Prelim</v>
      </c>
      <c r="U16" s="24" t="str">
        <f t="shared" si="8"/>
        <v>UA-Prelim : Preliminary UA Test</v>
      </c>
      <c r="V16" s="222" t="str">
        <f t="shared" si="9"/>
        <v>UA-Prelim : Preliminary UA Test</v>
      </c>
      <c r="W16" s="222" t="str">
        <f t="shared" si="10"/>
        <v>MATCH</v>
      </c>
      <c r="X16" s="224" t="str">
        <f t="shared" si="11"/>
        <v> </v>
      </c>
      <c r="Y16" s="244"/>
    </row>
    <row r="17">
      <c r="A17" s="214" t="str">
        <f>IFS($B17=FALSE,"",$B17,VLOOKUP($B17,'PATIENT DATA (072721)'!A:C, 2, 0))</f>
        <v>BROWN, RENEE</v>
      </c>
      <c r="B17" s="215">
        <v>10407.0</v>
      </c>
      <c r="C17" s="216" t="str">
        <f>IF(COUNTIF('PATIENT DATA (072721)'!A:A, B17)=0, "X","✓")</f>
        <v>✓</v>
      </c>
      <c r="D17" s="226">
        <f>IFS($B17=FALSE,"",$B17,VLOOKUP($B17,'PATIENT DATA (072721)'!A:C, 3, 0))</f>
        <v>21435</v>
      </c>
      <c r="E17" s="218">
        <v>44567.0</v>
      </c>
      <c r="F17" s="219">
        <f>ifs($B17="","",$B17, VLOOKUP($B17&amp;$E17, 'VISIT DATA'!A:O,3,0))</f>
        <v>0.4166666667</v>
      </c>
      <c r="G17" s="222" t="str">
        <f>VLOOKUP($B17&amp;$E17,'VISIT DATA'!A:J, 9, FALSE)</f>
        <v>MARTINEZ</v>
      </c>
      <c r="H17" s="223" t="str">
        <f>VLOOKUP(B17&amp;E17,'VISIT DATA'!A:N,10,FALSE)</f>
        <v>WELLMED - UHC MEDICARE PPO</v>
      </c>
      <c r="I17" s="225"/>
      <c r="J17" s="224" t="s">
        <v>6242</v>
      </c>
      <c r="K17" s="224"/>
      <c r="L17" s="224"/>
      <c r="M17" s="216" t="str">
        <f t="shared" si="1"/>
        <v>✓</v>
      </c>
      <c r="N17" s="226" t="str">
        <f t="shared" si="2"/>
        <v>X</v>
      </c>
      <c r="O17" s="227" t="str">
        <f t="shared" si="3"/>
        <v>#VALUE!</v>
      </c>
      <c r="P17" s="228" t="str">
        <f t="shared" si="4"/>
        <v>#VALUE!</v>
      </c>
      <c r="Q17" s="220" t="str">
        <f t="shared" si="5"/>
        <v>#VALUE!</v>
      </c>
      <c r="R17" s="220" t="str">
        <f t="shared" si="6"/>
        <v>#VALUE!</v>
      </c>
      <c r="S17" s="221">
        <f t="shared" si="7"/>
        <v>1</v>
      </c>
      <c r="T17" s="229" t="str">
        <f>ifs($L17="",VLOOKUP($B17&amp;$E17,'VISIT DATA'!$A$2:$J100,7,FALSE), $L17="SWAB","OUTSA-RW",$L17="SWQU","OUTSA-SaQu", AND($J17="X",$K17="X",$L17="QUEST"),"OUT-UAQPre",$L17="QUEST","OUT-UAQ", $L17="Walk in","ColUATele")</f>
        <v>OUTUA-FURW</v>
      </c>
      <c r="U17" s="24" t="str">
        <f t="shared" si="8"/>
        <v>OUTUA-FURW : OUT UA FU Redwood</v>
      </c>
      <c r="V17" s="222" t="str">
        <f t="shared" si="9"/>
        <v>OUTUA-FURW : OUT UA FU Redwood</v>
      </c>
      <c r="W17" s="222" t="str">
        <f t="shared" si="10"/>
        <v>MATCH</v>
      </c>
      <c r="X17" s="224" t="str">
        <f t="shared" si="11"/>
        <v> </v>
      </c>
      <c r="Y17" s="245"/>
    </row>
    <row r="18">
      <c r="A18" s="214" t="str">
        <f>IFS($B18=FALSE,"",$B18,VLOOKUP($B18,'PATIENT DATA (072721)'!A:C, 2, 0))</f>
        <v>ENRIQUEZ GALLARDO, OCTAVIO</v>
      </c>
      <c r="B18" s="215">
        <v>15081.0</v>
      </c>
      <c r="C18" s="216" t="str">
        <f>IF(COUNTIF('PATIENT DATA (072721)'!A:A, B18)=0, "X","✓")</f>
        <v>✓</v>
      </c>
      <c r="D18" s="226">
        <f>IFS($B18=FALSE,"",$B18,VLOOKUP($B18,'PATIENT DATA (072721)'!A:C, 3, 0))</f>
        <v>22789</v>
      </c>
      <c r="E18" s="218">
        <v>44567.0</v>
      </c>
      <c r="F18" s="219">
        <f>ifs($B18="","",$B18, VLOOKUP($B18&amp;$E18, 'VISIT DATA'!A:O,3,0))</f>
        <v>0.3958333333</v>
      </c>
      <c r="G18" s="222" t="str">
        <f>VLOOKUP($B18&amp;$E18,'VISIT DATA'!A:J, 9, FALSE)</f>
        <v>MARTINEZ</v>
      </c>
      <c r="H18" s="223" t="str">
        <f>VLOOKUP(B18&amp;E18,'VISIT DATA'!A:N,10,FALSE)</f>
        <v>FRIDAY HEALTH PLAN</v>
      </c>
      <c r="I18" s="224"/>
      <c r="J18" s="224" t="s">
        <v>6242</v>
      </c>
      <c r="K18" s="224"/>
      <c r="L18" s="224"/>
      <c r="M18" s="216" t="str">
        <f t="shared" si="1"/>
        <v>✓</v>
      </c>
      <c r="N18" s="226" t="str">
        <f t="shared" si="2"/>
        <v>#VALUE!</v>
      </c>
      <c r="O18" s="227" t="str">
        <f t="shared" si="3"/>
        <v>#VALUE!</v>
      </c>
      <c r="P18" s="228" t="str">
        <f t="shared" si="4"/>
        <v>#VALUE!</v>
      </c>
      <c r="Q18" s="220" t="str">
        <f t="shared" si="5"/>
        <v>#VALUE!</v>
      </c>
      <c r="R18" s="220" t="str">
        <f t="shared" si="6"/>
        <v>#VALUE!</v>
      </c>
      <c r="S18" s="221">
        <f t="shared" si="7"/>
        <v>0</v>
      </c>
      <c r="T18" s="229" t="str">
        <f>ifs($L18="",VLOOKUP($B18&amp;$E18,'VISIT DATA'!$A$2:$J100,7,FALSE), $L18="SWAB","OUTSA-RW",$L18="SWQU","OUTSA-SaQu", AND($J18="X",$K18="X",$L18="QUEST"),"OUT-UAQPre",$L18="QUEST","OUT-UAQ", $L18="Walk in","ColUATele")</f>
        <v>UA</v>
      </c>
      <c r="U18" s="24" t="str">
        <f t="shared" si="8"/>
        <v>UA : Urine Analysis In House</v>
      </c>
      <c r="V18" s="222" t="str">
        <f t="shared" si="9"/>
        <v>UA : Urine Analysis In House</v>
      </c>
      <c r="W18" s="222" t="str">
        <f t="shared" si="10"/>
        <v>MATCH</v>
      </c>
      <c r="X18" s="224" t="str">
        <f t="shared" si="11"/>
        <v> </v>
      </c>
      <c r="Y18" s="244"/>
    </row>
    <row r="19">
      <c r="A19" s="214" t="str">
        <f>IFS($B19=FALSE,"",$B19,VLOOKUP($B19,'PATIENT DATA (072721)'!A:C, 2, 0))</f>
        <v>SANCHEZ, ROBERTO</v>
      </c>
      <c r="B19" s="215">
        <v>16046.0</v>
      </c>
      <c r="C19" s="216" t="str">
        <f>IF(COUNTIF('PATIENT DATA (072721)'!A:A, B19)=0, "X","✓")</f>
        <v>✓</v>
      </c>
      <c r="D19" s="226">
        <f>IFS($B19=FALSE,"",$B19,VLOOKUP($B19,'PATIENT DATA (072721)'!A:C, 3, 0))</f>
        <v>18837</v>
      </c>
      <c r="E19" s="218">
        <v>44567.0</v>
      </c>
      <c r="F19" s="219">
        <f>ifs($B19="","",$B19, VLOOKUP($B19&amp;$E19, 'VISIT DATA'!A:O,3,0))</f>
        <v>0.4166666667</v>
      </c>
      <c r="G19" s="222" t="str">
        <f>VLOOKUP($B19&amp;$E19,'VISIT DATA'!A:J, 9, FALSE)</f>
        <v>TORRES</v>
      </c>
      <c r="H19" s="223" t="str">
        <f>VLOOKUP(B19&amp;E19,'VISIT DATA'!A:N,10,FALSE)</f>
        <v>WELLMED - CIGNA HEALTHSPRING</v>
      </c>
      <c r="I19" s="225"/>
      <c r="J19" s="224" t="s">
        <v>6242</v>
      </c>
      <c r="K19" s="224" t="s">
        <v>6242</v>
      </c>
      <c r="L19" s="225"/>
      <c r="M19" s="216" t="str">
        <f t="shared" si="1"/>
        <v>✓</v>
      </c>
      <c r="N19" s="226" t="str">
        <f t="shared" si="2"/>
        <v>X</v>
      </c>
      <c r="O19" s="227" t="str">
        <f t="shared" si="3"/>
        <v>#VALUE!</v>
      </c>
      <c r="P19" s="228" t="str">
        <f t="shared" si="4"/>
        <v>#VALUE!</v>
      </c>
      <c r="Q19" s="220" t="str">
        <f t="shared" si="5"/>
        <v>#VALUE!</v>
      </c>
      <c r="R19" s="220" t="str">
        <f t="shared" si="6"/>
        <v>#VALUE!</v>
      </c>
      <c r="S19" s="221">
        <f t="shared" si="7"/>
        <v>1</v>
      </c>
      <c r="T19" s="229" t="str">
        <f>ifs($L19="",VLOOKUP($B19&amp;$E19,'VISIT DATA'!$A$2:$J100,7,FALSE), $L19="SWAB","OUTSA-RW",$L19="SWQU","OUTSA-SaQu", AND($J19="X",$K19="X",$L19="QUEST"),"OUT-UAQPre",$L19="QUEST","OUT-UAQ", $L19="Walk in","ColUATele")</f>
        <v>OUTUA-PrRW</v>
      </c>
      <c r="U19" s="24" t="str">
        <f t="shared" si="8"/>
        <v>OUTUA-PrRW : OUT UA Prelimin Redwood</v>
      </c>
      <c r="V19" s="222" t="str">
        <f t="shared" si="9"/>
        <v>OUTUA-PrRW : OUT UA Prelimin Redwood</v>
      </c>
      <c r="W19" s="222" t="str">
        <f t="shared" si="10"/>
        <v>MATCH</v>
      </c>
      <c r="X19" s="224" t="str">
        <f t="shared" si="11"/>
        <v> </v>
      </c>
      <c r="Y19" s="244"/>
    </row>
    <row r="20">
      <c r="A20" s="214" t="str">
        <f>IFS($B20=FALSE,"",$B20,VLOOKUP($B20,'PATIENT DATA (072721)'!A:C, 2, 0))</f>
        <v>BROWN, REGINALD</v>
      </c>
      <c r="B20" s="215">
        <v>9854.0</v>
      </c>
      <c r="C20" s="216" t="str">
        <f>IF(COUNTIF('PATIENT DATA (072721)'!A:A, B20)=0, "X","✓")</f>
        <v>✓</v>
      </c>
      <c r="D20" s="226">
        <f>IFS($B20=FALSE,"",$B20,VLOOKUP($B20,'PATIENT DATA (072721)'!A:C, 3, 0))</f>
        <v>21614</v>
      </c>
      <c r="E20" s="218">
        <v>44567.0</v>
      </c>
      <c r="F20" s="219">
        <f>ifs($B20="","",$B20, VLOOKUP($B20&amp;$E20, 'VISIT DATA'!A:O,3,0))</f>
        <v>0.4375</v>
      </c>
      <c r="G20" s="222" t="str">
        <f>VLOOKUP($B20&amp;$E20,'VISIT DATA'!A:J, 9, FALSE)</f>
        <v>TORRES</v>
      </c>
      <c r="H20" s="223" t="str">
        <f>VLOOKUP(B20&amp;E20,'VISIT DATA'!A:N,10,FALSE)</f>
        <v>MEDICARE TEXAS</v>
      </c>
      <c r="I20" s="225"/>
      <c r="J20" s="224" t="s">
        <v>6242</v>
      </c>
      <c r="K20" s="224"/>
      <c r="L20" s="224"/>
      <c r="M20" s="216" t="str">
        <f t="shared" si="1"/>
        <v>✓</v>
      </c>
      <c r="N20" s="226" t="str">
        <f t="shared" si="2"/>
        <v>#VALUE!</v>
      </c>
      <c r="O20" s="227" t="str">
        <f t="shared" si="3"/>
        <v>#VALUE!</v>
      </c>
      <c r="P20" s="228" t="str">
        <f t="shared" si="4"/>
        <v>#VALUE!</v>
      </c>
      <c r="Q20" s="220" t="str">
        <f t="shared" si="5"/>
        <v>#VALUE!</v>
      </c>
      <c r="R20" s="220" t="str">
        <f t="shared" si="6"/>
        <v>#VALUE!</v>
      </c>
      <c r="S20" s="221">
        <f t="shared" si="7"/>
        <v>0</v>
      </c>
      <c r="T20" s="229" t="str">
        <f>ifs($L20="",VLOOKUP($B20&amp;$E20,'VISIT DATA'!$A$2:$J100,7,FALSE), $L20="SWAB","OUTSA-RW",$L20="SWQU","OUTSA-SaQu", AND($J20="X",$K20="X",$L20="QUEST"),"OUT-UAQPre",$L20="QUEST","OUT-UAQ", $L20="Walk in","ColUATele")</f>
        <v>UA</v>
      </c>
      <c r="U20" s="24" t="str">
        <f t="shared" si="8"/>
        <v>UA : Urine Analysis In House</v>
      </c>
      <c r="V20" s="222" t="str">
        <f t="shared" si="9"/>
        <v>UA : Urine Analysis In House</v>
      </c>
      <c r="W20" s="222" t="str">
        <f t="shared" si="10"/>
        <v>MATCH</v>
      </c>
      <c r="X20" s="224" t="str">
        <f t="shared" si="11"/>
        <v> </v>
      </c>
      <c r="Y20" s="244"/>
    </row>
    <row r="21">
      <c r="A21" s="214" t="str">
        <f>IFS($B21=FALSE,"",$B21,VLOOKUP($B21,'PATIENT DATA (072721)'!A:C, 2, 0))</f>
        <v>CAMACHO, JUAN M</v>
      </c>
      <c r="B21" s="215">
        <v>17713.0</v>
      </c>
      <c r="C21" s="216" t="str">
        <f>IF(COUNTIF('PATIENT DATA (072721)'!A:A, B21)=0, "X","✓")</f>
        <v>✓</v>
      </c>
      <c r="D21" s="226">
        <f>IFS($B21=FALSE,"",$B21,VLOOKUP($B21,'PATIENT DATA (072721)'!A:C, 3, 0))</f>
        <v>21325</v>
      </c>
      <c r="E21" s="218">
        <v>44567.0</v>
      </c>
      <c r="F21" s="219">
        <f>ifs($B21="","",$B21, VLOOKUP($B21&amp;$E21, 'VISIT DATA'!A:O,3,0))</f>
        <v>0.4166666667</v>
      </c>
      <c r="G21" s="222" t="str">
        <f>VLOOKUP($B21&amp;$E21,'VISIT DATA'!A:J, 9, FALSE)</f>
        <v>LOPEZ</v>
      </c>
      <c r="H21" s="223" t="str">
        <f>VLOOKUP(B21&amp;E21,'VISIT DATA'!A:N,10,FALSE)</f>
        <v>AETNA</v>
      </c>
      <c r="I21" s="225"/>
      <c r="J21" s="224" t="s">
        <v>6242</v>
      </c>
      <c r="K21" s="224" t="s">
        <v>6242</v>
      </c>
      <c r="L21" s="225"/>
      <c r="M21" s="216" t="str">
        <f t="shared" si="1"/>
        <v>✓</v>
      </c>
      <c r="N21" s="226" t="str">
        <f t="shared" si="2"/>
        <v>#VALUE!</v>
      </c>
      <c r="O21" s="227" t="str">
        <f t="shared" si="3"/>
        <v>#VALUE!</v>
      </c>
      <c r="P21" s="228" t="str">
        <f t="shared" si="4"/>
        <v>#VALUE!</v>
      </c>
      <c r="Q21" s="220" t="str">
        <f t="shared" si="5"/>
        <v>#VALUE!</v>
      </c>
      <c r="R21" s="220" t="str">
        <f t="shared" si="6"/>
        <v>#VALUE!</v>
      </c>
      <c r="S21" s="221">
        <f t="shared" si="7"/>
        <v>0</v>
      </c>
      <c r="T21" s="229" t="str">
        <f>ifs($L21="",VLOOKUP($B21&amp;$E21,'VISIT DATA'!$A$2:$J100,7,FALSE), $L21="SWAB","OUTSA-RW",$L21="SWQU","OUTSA-SaQu", AND($J21="X",$K21="X",$L21="QUEST"),"OUT-UAQPre",$L21="QUEST","OUT-UAQ", $L21="Walk in","ColUATele")</f>
        <v>UA-Prelim</v>
      </c>
      <c r="U21" s="24" t="str">
        <f t="shared" si="8"/>
        <v>UA-Prelim : Preliminary UA Test</v>
      </c>
      <c r="V21" s="222" t="str">
        <f t="shared" si="9"/>
        <v>UA-Prelim : Preliminary UA Test</v>
      </c>
      <c r="W21" s="222" t="str">
        <f t="shared" si="10"/>
        <v>MATCH</v>
      </c>
      <c r="X21" s="224" t="str">
        <f t="shared" si="11"/>
        <v> </v>
      </c>
      <c r="Y21" s="244"/>
    </row>
    <row r="22">
      <c r="A22" s="214" t="str">
        <f>IFS($B22=FALSE,"",$B22,VLOOKUP($B22,'PATIENT DATA (072721)'!A:C, 2, 0))</f>
        <v>BROWN, DESIRIE</v>
      </c>
      <c r="B22" s="215">
        <v>9853.0</v>
      </c>
      <c r="C22" s="216" t="str">
        <f>IF(COUNTIF('PATIENT DATA (072721)'!A:A, B22)=0, "X","✓")</f>
        <v>✓</v>
      </c>
      <c r="D22" s="226">
        <f>IFS($B22=FALSE,"",$B22,VLOOKUP($B22,'PATIENT DATA (072721)'!A:C, 3, 0))</f>
        <v>23125</v>
      </c>
      <c r="E22" s="218">
        <v>44567.0</v>
      </c>
      <c r="F22" s="219">
        <f>ifs($B22="","",$B22, VLOOKUP($B22&amp;$E22, 'VISIT DATA'!A:O,3,0))</f>
        <v>0.46875</v>
      </c>
      <c r="G22" s="222" t="str">
        <f>VLOOKUP($B22&amp;$E22,'VISIT DATA'!A:J, 9, FALSE)</f>
        <v>LOPEZ</v>
      </c>
      <c r="H22" s="223" t="str">
        <f>VLOOKUP(B22&amp;E22,'VISIT DATA'!A:N,10,FALSE)</f>
        <v>UHC MEDICARE COMPLETE</v>
      </c>
      <c r="I22" s="225"/>
      <c r="J22" s="224" t="s">
        <v>6242</v>
      </c>
      <c r="K22" s="224"/>
      <c r="L22" s="225"/>
      <c r="M22" s="216" t="str">
        <f t="shared" si="1"/>
        <v>✓</v>
      </c>
      <c r="N22" s="226" t="str">
        <f t="shared" si="2"/>
        <v>#VALUE!</v>
      </c>
      <c r="O22" s="227" t="str">
        <f t="shared" si="3"/>
        <v>#VALUE!</v>
      </c>
      <c r="P22" s="228" t="str">
        <f t="shared" si="4"/>
        <v>#VALUE!</v>
      </c>
      <c r="Q22" s="220" t="str">
        <f t="shared" si="5"/>
        <v>#VALUE!</v>
      </c>
      <c r="R22" s="220" t="str">
        <f t="shared" si="6"/>
        <v>#VALUE!</v>
      </c>
      <c r="S22" s="221">
        <f t="shared" si="7"/>
        <v>0</v>
      </c>
      <c r="T22" s="229" t="str">
        <f>ifs($L22="",VLOOKUP($B22&amp;$E22,'VISIT DATA'!$A$2:$J100,7,FALSE), $L22="SWAB","OUTSA-RW",$L22="SWQU","OUTSA-SaQu", AND($J22="X",$K22="X",$L22="QUEST"),"OUT-UAQPre",$L22="QUEST","OUT-UAQ", $L22="Walk in","ColUATele")</f>
        <v>UA</v>
      </c>
      <c r="U22" s="24" t="str">
        <f t="shared" si="8"/>
        <v>UA : Urine Analysis In House</v>
      </c>
      <c r="V22" s="222" t="str">
        <f t="shared" si="9"/>
        <v>UA : Urine Analysis In House</v>
      </c>
      <c r="W22" s="222" t="str">
        <f t="shared" si="10"/>
        <v>MATCH</v>
      </c>
      <c r="X22" s="224" t="str">
        <f t="shared" si="11"/>
        <v> </v>
      </c>
      <c r="Y22" s="244"/>
    </row>
    <row r="23">
      <c r="A23" s="214" t="str">
        <f>IFS($B23=FALSE,"",$B23,VLOOKUP($B23,'PATIENT DATA (072721)'!A:C, 2, 0))</f>
        <v>BROWN, MARGIE</v>
      </c>
      <c r="B23" s="215">
        <v>11391.0</v>
      </c>
      <c r="C23" s="216" t="str">
        <f>IF(COUNTIF('PATIENT DATA (072721)'!A:A, B23)=0, "X","✓")</f>
        <v>✓</v>
      </c>
      <c r="D23" s="226">
        <f>IFS($B23=FALSE,"",$B23,VLOOKUP($B23,'PATIENT DATA (072721)'!A:C, 3, 0))</f>
        <v>21293</v>
      </c>
      <c r="E23" s="218">
        <v>44567.0</v>
      </c>
      <c r="F23" s="219">
        <f>ifs($B23="","",$B23, VLOOKUP($B23&amp;$E23, 'VISIT DATA'!A:O,3,0))</f>
        <v>0.4375</v>
      </c>
      <c r="G23" s="222" t="str">
        <f>VLOOKUP($B23&amp;$E23,'VISIT DATA'!A:J, 9, FALSE)</f>
        <v>TORRES</v>
      </c>
      <c r="H23" s="223" t="str">
        <f>VLOOKUP(B23&amp;E23,'VISIT DATA'!A:N,10,FALSE)</f>
        <v>HUMANA MEDICARE PPO</v>
      </c>
      <c r="I23" s="225"/>
      <c r="J23" s="224" t="s">
        <v>6242</v>
      </c>
      <c r="K23" s="224"/>
      <c r="L23" s="225"/>
      <c r="M23" s="216" t="str">
        <f t="shared" si="1"/>
        <v>✓</v>
      </c>
      <c r="N23" s="226" t="str">
        <f t="shared" si="2"/>
        <v>#VALUE!</v>
      </c>
      <c r="O23" s="227" t="str">
        <f t="shared" si="3"/>
        <v>#VALUE!</v>
      </c>
      <c r="P23" s="228" t="str">
        <f t="shared" si="4"/>
        <v>#VALUE!</v>
      </c>
      <c r="Q23" s="220" t="str">
        <f t="shared" si="5"/>
        <v>#VALUE!</v>
      </c>
      <c r="R23" s="220" t="str">
        <f t="shared" si="6"/>
        <v>#VALUE!</v>
      </c>
      <c r="S23" s="221">
        <f t="shared" si="7"/>
        <v>0</v>
      </c>
      <c r="T23" s="229" t="str">
        <f>ifs($L23="",VLOOKUP($B23&amp;$E23,'VISIT DATA'!$A$2:$J100,7,FALSE), $L23="SWAB","OUTSA-RW",$L23="SWQU","OUTSA-SaQu", AND($J23="X",$K23="X",$L23="QUEST"),"OUT-UAQPre",$L23="QUEST","OUT-UAQ", $L23="Walk in","ColUATele")</f>
        <v>UA</v>
      </c>
      <c r="U23" s="24" t="str">
        <f t="shared" si="8"/>
        <v>UA : Urine Analysis In House</v>
      </c>
      <c r="V23" s="222" t="str">
        <f t="shared" si="9"/>
        <v>UA : Urine Analysis In House</v>
      </c>
      <c r="W23" s="222" t="str">
        <f t="shared" si="10"/>
        <v>MATCH</v>
      </c>
      <c r="X23" s="224" t="str">
        <f t="shared" si="11"/>
        <v> </v>
      </c>
      <c r="Y23" s="244"/>
    </row>
    <row r="24">
      <c r="A24" s="214" t="str">
        <f>IFS($B24=FALSE,"",$B24,VLOOKUP($B24,'PATIENT DATA (072721)'!A:C, 2, 0))</f>
        <v>MARTINEZ, MERCEDES</v>
      </c>
      <c r="B24" s="215">
        <v>12464.0</v>
      </c>
      <c r="C24" s="216" t="str">
        <f>IF(COUNTIF('PATIENT DATA (072721)'!A:A, B24)=0, "X","✓")</f>
        <v>✓</v>
      </c>
      <c r="D24" s="226">
        <f>IFS($B24=FALSE,"",$B24,VLOOKUP($B24,'PATIENT DATA (072721)'!A:C, 3, 0))</f>
        <v>16294</v>
      </c>
      <c r="E24" s="218">
        <v>44567.0</v>
      </c>
      <c r="F24" s="219">
        <f>ifs($B24="","",$B24, VLOOKUP($B24&amp;$E24, 'VISIT DATA'!A:O,3,0))</f>
        <v>0.4375</v>
      </c>
      <c r="G24" s="222" t="str">
        <f>VLOOKUP($B24&amp;$E24,'VISIT DATA'!A:J, 9, FALSE)</f>
        <v>LOPEZ</v>
      </c>
      <c r="H24" s="223" t="str">
        <f>VLOOKUP(B24&amp;E24,'VISIT DATA'!A:N,10,FALSE)</f>
        <v>WELLMED - UHC DUAL COMPLETE SNP</v>
      </c>
      <c r="I24" s="225"/>
      <c r="J24" s="224" t="s">
        <v>6242</v>
      </c>
      <c r="K24" s="224"/>
      <c r="L24" s="225"/>
      <c r="M24" s="216" t="str">
        <f t="shared" si="1"/>
        <v>✓</v>
      </c>
      <c r="N24" s="226" t="str">
        <f t="shared" si="2"/>
        <v>X</v>
      </c>
      <c r="O24" s="227" t="str">
        <f t="shared" si="3"/>
        <v>#VALUE!</v>
      </c>
      <c r="P24" s="228" t="str">
        <f t="shared" si="4"/>
        <v>#VALUE!</v>
      </c>
      <c r="Q24" s="220" t="str">
        <f t="shared" si="5"/>
        <v>#VALUE!</v>
      </c>
      <c r="R24" s="220" t="str">
        <f t="shared" si="6"/>
        <v>#VALUE!</v>
      </c>
      <c r="S24" s="221">
        <f t="shared" si="7"/>
        <v>1</v>
      </c>
      <c r="T24" s="229" t="str">
        <f>ifs($L24="",VLOOKUP($B24&amp;$E24,'VISIT DATA'!$A$2:$J100,7,FALSE), $L24="SWAB","OUTSA-RW",$L24="SWQU","OUTSA-SaQu", AND($J24="X",$K24="X",$L24="QUEST"),"OUT-UAQPre",$L24="QUEST","OUT-UAQ", $L24="Walk in","ColUATele")</f>
        <v>OUTUA-FURW</v>
      </c>
      <c r="U24" s="24" t="str">
        <f t="shared" si="8"/>
        <v>OUTUA-FURW : OUT UA FU Redwood</v>
      </c>
      <c r="V24" s="222" t="str">
        <f t="shared" si="9"/>
        <v>OUTUA-FURW : OUT UA FU Redwood</v>
      </c>
      <c r="W24" s="222" t="str">
        <f t="shared" si="10"/>
        <v>MATCH</v>
      </c>
      <c r="X24" s="224" t="str">
        <f t="shared" si="11"/>
        <v> </v>
      </c>
      <c r="Y24" s="244"/>
    </row>
    <row r="25">
      <c r="A25" s="214" t="str">
        <f>IFS($B25=FALSE,"",$B25,VLOOKUP($B25,'PATIENT DATA (072721)'!A:C, 2, 0))</f>
        <v>MATA, ROLAND</v>
      </c>
      <c r="B25" s="215">
        <v>15806.0</v>
      </c>
      <c r="C25" s="216" t="str">
        <f>IF(COUNTIF('PATIENT DATA (072721)'!A:A, B25)=0, "X","✓")</f>
        <v>✓</v>
      </c>
      <c r="D25" s="226">
        <f>IFS($B25=FALSE,"",$B25,VLOOKUP($B25,'PATIENT DATA (072721)'!A:C, 3, 0))</f>
        <v>18664</v>
      </c>
      <c r="E25" s="218">
        <v>44567.0</v>
      </c>
      <c r="F25" s="219">
        <f>ifs($B25="","",$B25, VLOOKUP($B25&amp;$E25, 'VISIT DATA'!A:O,3,0))</f>
        <v>0.4479166667</v>
      </c>
      <c r="G25" s="222" t="str">
        <f>VLOOKUP($B25&amp;$E25,'VISIT DATA'!A:J, 9, FALSE)</f>
        <v>LOPEZ</v>
      </c>
      <c r="H25" s="223" t="str">
        <f>VLOOKUP(B25&amp;E25,'VISIT DATA'!A:N,10,FALSE)</f>
        <v>MEDICARE TEXAS</v>
      </c>
      <c r="I25" s="224"/>
      <c r="J25" s="224" t="s">
        <v>6242</v>
      </c>
      <c r="K25" s="224" t="s">
        <v>6242</v>
      </c>
      <c r="L25" s="225"/>
      <c r="M25" s="216" t="str">
        <f t="shared" si="1"/>
        <v>✓</v>
      </c>
      <c r="N25" s="226" t="str">
        <f t="shared" si="2"/>
        <v>#VALUE!</v>
      </c>
      <c r="O25" s="227" t="str">
        <f t="shared" si="3"/>
        <v>#VALUE!</v>
      </c>
      <c r="P25" s="228" t="str">
        <f t="shared" si="4"/>
        <v>#VALUE!</v>
      </c>
      <c r="Q25" s="220" t="str">
        <f t="shared" si="5"/>
        <v>#VALUE!</v>
      </c>
      <c r="R25" s="220" t="str">
        <f t="shared" si="6"/>
        <v>#VALUE!</v>
      </c>
      <c r="S25" s="221">
        <f t="shared" si="7"/>
        <v>0</v>
      </c>
      <c r="T25" s="229" t="str">
        <f>ifs($L25="",VLOOKUP($B25&amp;$E25,'VISIT DATA'!$A$2:$J100,7,FALSE), $L25="SWAB","OUTSA-RW",$L25="SWQU","OUTSA-SaQu", AND($J25="X",$K25="X",$L25="QUEST"),"OUT-UAQPre",$L25="QUEST","OUT-UAQ", $L25="Walk in","ColUATele")</f>
        <v>UA-Prelim</v>
      </c>
      <c r="U25" s="24" t="str">
        <f t="shared" si="8"/>
        <v>UA-Prelim : Preliminary UA Test</v>
      </c>
      <c r="V25" s="222" t="str">
        <f t="shared" si="9"/>
        <v>UA-Prelim : Preliminary UA Test</v>
      </c>
      <c r="W25" s="222" t="str">
        <f t="shared" si="10"/>
        <v>MATCH</v>
      </c>
      <c r="X25" s="224" t="str">
        <f t="shared" si="11"/>
        <v> </v>
      </c>
      <c r="Y25" s="244"/>
    </row>
    <row r="26">
      <c r="A26" s="214" t="str">
        <f>IFS($B26=FALSE,"",$B26,VLOOKUP($B26,'PATIENT DATA (072721)'!A:C, 2, 0))</f>
        <v>GUZMAN, ISIDRA G</v>
      </c>
      <c r="B26" s="215">
        <v>17350.0</v>
      </c>
      <c r="C26" s="216" t="str">
        <f>IF(COUNTIF('PATIENT DATA (072721)'!A:A, B26)=0, "X","✓")</f>
        <v>✓</v>
      </c>
      <c r="D26" s="226">
        <f>IFS($B26=FALSE,"",$B26,VLOOKUP($B26,'PATIENT DATA (072721)'!A:C, 3, 0))</f>
        <v>14746</v>
      </c>
      <c r="E26" s="218">
        <v>44567.0</v>
      </c>
      <c r="F26" s="219">
        <f>ifs($B26="","",$B26, VLOOKUP($B26&amp;$E26, 'VISIT DATA'!A:O,3,0))</f>
        <v>0.4270833333</v>
      </c>
      <c r="G26" s="222" t="str">
        <f>VLOOKUP($B26&amp;$E26,'VISIT DATA'!A:J, 9, FALSE)</f>
        <v>LOPEZ</v>
      </c>
      <c r="H26" s="223" t="str">
        <f>VLOOKUP(B26&amp;E26,'VISIT DATA'!A:N,10,FALSE)</f>
        <v>WELLMED - UHC CHRONIC COMPLETE HMO C-SNP</v>
      </c>
      <c r="I26" s="224"/>
      <c r="J26" s="224" t="s">
        <v>6242</v>
      </c>
      <c r="K26" s="224" t="s">
        <v>6242</v>
      </c>
      <c r="L26" s="224"/>
      <c r="M26" s="216" t="str">
        <f t="shared" si="1"/>
        <v>✓</v>
      </c>
      <c r="N26" s="226" t="str">
        <f t="shared" si="2"/>
        <v>X</v>
      </c>
      <c r="O26" s="227" t="str">
        <f t="shared" si="3"/>
        <v>#VALUE!</v>
      </c>
      <c r="P26" s="228" t="str">
        <f t="shared" si="4"/>
        <v>#VALUE!</v>
      </c>
      <c r="Q26" s="220" t="str">
        <f t="shared" si="5"/>
        <v>#VALUE!</v>
      </c>
      <c r="R26" s="220" t="str">
        <f t="shared" si="6"/>
        <v>#VALUE!</v>
      </c>
      <c r="S26" s="221">
        <f t="shared" si="7"/>
        <v>1</v>
      </c>
      <c r="T26" s="229" t="str">
        <f>ifs($L26="",VLOOKUP($B26&amp;$E26,'VISIT DATA'!$A$2:$J100,7,FALSE), $L26="SWAB","OUTSA-RW",$L26="SWQU","OUTSA-SaQu", AND($J26="X",$K26="X",$L26="QUEST"),"OUT-UAQPre",$L26="QUEST","OUT-UAQ", $L26="Walk in","ColUATele")</f>
        <v>OUTUA-PrRW</v>
      </c>
      <c r="U26" s="24" t="str">
        <f t="shared" si="8"/>
        <v>OUTUA-PrRW : OUT UA Prelimin Redwood</v>
      </c>
      <c r="V26" s="222" t="str">
        <f t="shared" si="9"/>
        <v>OUTUA-PrRW : OUT UA Prelimin Redwood</v>
      </c>
      <c r="W26" s="222" t="str">
        <f t="shared" si="10"/>
        <v>MATCH</v>
      </c>
      <c r="X26" s="224" t="str">
        <f t="shared" si="11"/>
        <v> </v>
      </c>
      <c r="Y26" s="245"/>
    </row>
    <row r="27">
      <c r="A27" s="214" t="str">
        <f>IFS($B27=FALSE,"",$B27,VLOOKUP($B27,'PATIENT DATA (072721)'!A:C, 2, 0))</f>
        <v>MENDEZ, JUAN</v>
      </c>
      <c r="B27" s="215">
        <v>17017.0</v>
      </c>
      <c r="C27" s="216" t="str">
        <f>IF(COUNTIF('PATIENT DATA (072721)'!A:A, B27)=0, "X","✓")</f>
        <v>✓</v>
      </c>
      <c r="D27" s="226">
        <f>IFS($B27=FALSE,"",$B27,VLOOKUP($B27,'PATIENT DATA (072721)'!A:C, 3, 0))</f>
        <v>29428</v>
      </c>
      <c r="E27" s="218">
        <v>44567.0</v>
      </c>
      <c r="F27" s="219">
        <f>ifs($B27="","",$B27, VLOOKUP($B27&amp;$E27, 'VISIT DATA'!A:O,3,0))</f>
        <v>0.4479166667</v>
      </c>
      <c r="G27" s="222" t="str">
        <f>VLOOKUP($B27&amp;$E27,'VISIT DATA'!A:J, 9, FALSE)</f>
        <v>LOPEZ</v>
      </c>
      <c r="H27" s="223" t="str">
        <f>VLOOKUP(B27&amp;E27,'VISIT DATA'!A:N,10,FALSE)</f>
        <v>AETNA</v>
      </c>
      <c r="I27" s="224"/>
      <c r="J27" s="224" t="s">
        <v>6242</v>
      </c>
      <c r="K27" s="224"/>
      <c r="L27" s="225"/>
      <c r="M27" s="216" t="str">
        <f t="shared" si="1"/>
        <v>✓</v>
      </c>
      <c r="N27" s="226" t="str">
        <f t="shared" si="2"/>
        <v>#VALUE!</v>
      </c>
      <c r="O27" s="227" t="str">
        <f t="shared" si="3"/>
        <v>#VALUE!</v>
      </c>
      <c r="P27" s="228" t="str">
        <f t="shared" si="4"/>
        <v>#VALUE!</v>
      </c>
      <c r="Q27" s="220" t="str">
        <f t="shared" si="5"/>
        <v>#VALUE!</v>
      </c>
      <c r="R27" s="220" t="str">
        <f t="shared" si="6"/>
        <v>#VALUE!</v>
      </c>
      <c r="S27" s="221">
        <f t="shared" si="7"/>
        <v>0</v>
      </c>
      <c r="T27" s="229" t="str">
        <f>ifs($L27="",VLOOKUP($B27&amp;$E27,'VISIT DATA'!$A$2:$J100,7,FALSE), $L27="SWAB","OUTSA-RW",$L27="SWQU","OUTSA-SaQu", AND($J27="X",$K27="X",$L27="QUEST"),"OUT-UAQPre",$L27="QUEST","OUT-UAQ", $L27="Walk in","ColUATele")</f>
        <v>UA</v>
      </c>
      <c r="U27" s="24" t="str">
        <f t="shared" si="8"/>
        <v>UA : Urine Analysis In House</v>
      </c>
      <c r="V27" s="222" t="str">
        <f t="shared" si="9"/>
        <v>UA : Urine Analysis In House</v>
      </c>
      <c r="W27" s="222" t="str">
        <f t="shared" si="10"/>
        <v>MATCH</v>
      </c>
      <c r="X27" s="224" t="str">
        <f t="shared" si="11"/>
        <v> </v>
      </c>
      <c r="Y27" s="244"/>
    </row>
    <row r="28">
      <c r="A28" s="214" t="str">
        <f>IFS($B28=FALSE,"",$B28,VLOOKUP($B28,'PATIENT DATA (072721)'!A:C, 2, 0))</f>
        <v>HOLGUIN, ROSA E</v>
      </c>
      <c r="B28" s="215">
        <v>16758.0</v>
      </c>
      <c r="C28" s="216" t="str">
        <f>IF(COUNTIF('PATIENT DATA (072721)'!A:A, B28)=0, "X","✓")</f>
        <v>✓</v>
      </c>
      <c r="D28" s="226">
        <f>IFS($B28=FALSE,"",$B28,VLOOKUP($B28,'PATIENT DATA (072721)'!A:C, 3, 0))</f>
        <v>19768</v>
      </c>
      <c r="E28" s="218">
        <v>44567.0</v>
      </c>
      <c r="F28" s="219">
        <f>ifs($B28="","",$B28, VLOOKUP($B28&amp;$E28, 'VISIT DATA'!A:O,3,0))</f>
        <v>0.46875</v>
      </c>
      <c r="G28" s="222" t="str">
        <f>VLOOKUP($B28&amp;$E28,'VISIT DATA'!A:J, 9, FALSE)</f>
        <v>LOPEZ</v>
      </c>
      <c r="H28" s="223" t="str">
        <f>VLOOKUP(B28&amp;E28,'VISIT DATA'!A:N,10,FALSE)</f>
        <v>WELLMED - HUMANA</v>
      </c>
      <c r="I28" s="224"/>
      <c r="J28" s="224" t="s">
        <v>6242</v>
      </c>
      <c r="K28" s="224"/>
      <c r="L28" s="225"/>
      <c r="M28" s="216" t="str">
        <f t="shared" si="1"/>
        <v>✓</v>
      </c>
      <c r="N28" s="226" t="str">
        <f t="shared" si="2"/>
        <v>X</v>
      </c>
      <c r="O28" s="227" t="str">
        <f t="shared" si="3"/>
        <v>#VALUE!</v>
      </c>
      <c r="P28" s="228" t="str">
        <f t="shared" si="4"/>
        <v>#VALUE!</v>
      </c>
      <c r="Q28" s="220" t="str">
        <f t="shared" si="5"/>
        <v>#VALUE!</v>
      </c>
      <c r="R28" s="220" t="str">
        <f t="shared" si="6"/>
        <v>#VALUE!</v>
      </c>
      <c r="S28" s="221">
        <f t="shared" si="7"/>
        <v>1</v>
      </c>
      <c r="T28" s="229" t="str">
        <f>ifs($L28="",VLOOKUP($B28&amp;$E28,'VISIT DATA'!$A$2:$J100,7,FALSE), $L28="SWAB","OUTSA-RW",$L28="SWQU","OUTSA-SaQu", AND($J28="X",$K28="X",$L28="QUEST"),"OUT-UAQPre",$L28="QUEST","OUT-UAQ", $L28="Walk in","ColUATele")</f>
        <v>OUTUA-FURW</v>
      </c>
      <c r="U28" s="24" t="str">
        <f t="shared" si="8"/>
        <v>OUTUA-FURW : OUT UA FU Redwood</v>
      </c>
      <c r="V28" s="222" t="str">
        <f t="shared" si="9"/>
        <v>OUTUA-FURW : OUT UA FU Redwood</v>
      </c>
      <c r="W28" s="222" t="str">
        <f t="shared" si="10"/>
        <v>MATCH</v>
      </c>
      <c r="X28" s="224" t="str">
        <f t="shared" si="11"/>
        <v> </v>
      </c>
      <c r="Y28" s="244"/>
    </row>
    <row r="29">
      <c r="A29" s="214" t="str">
        <f>IFS($B29=FALSE,"",$B29,VLOOKUP($B29,'PATIENT DATA (072721)'!A:C, 2, 0))</f>
        <v>MCDANIEL, BETTY F</v>
      </c>
      <c r="B29" s="215">
        <v>14085.0</v>
      </c>
      <c r="C29" s="216" t="str">
        <f>IF(COUNTIF('PATIENT DATA (072721)'!A:A, B29)=0, "X","✓")</f>
        <v>✓</v>
      </c>
      <c r="D29" s="226">
        <f>IFS($B29=FALSE,"",$B29,VLOOKUP($B29,'PATIENT DATA (072721)'!A:C, 3, 0))</f>
        <v>15888</v>
      </c>
      <c r="E29" s="218">
        <v>44567.0</v>
      </c>
      <c r="F29" s="219">
        <f>ifs($B29="","",$B29, VLOOKUP($B29&amp;$E29, 'VISIT DATA'!A:O,3,0))</f>
        <v>0.4583333333</v>
      </c>
      <c r="G29" s="222" t="str">
        <f>VLOOKUP($B29&amp;$E29,'VISIT DATA'!A:J, 9, FALSE)</f>
        <v>TORRES</v>
      </c>
      <c r="H29" s="223" t="str">
        <f>VLOOKUP(B29&amp;E29,'VISIT DATA'!A:N,10,FALSE)</f>
        <v>AMERIVANTAGE</v>
      </c>
      <c r="I29" s="224"/>
      <c r="J29" s="224" t="s">
        <v>6242</v>
      </c>
      <c r="K29" s="224"/>
      <c r="L29" s="224"/>
      <c r="M29" s="216" t="str">
        <f t="shared" si="1"/>
        <v>✓</v>
      </c>
      <c r="N29" s="226" t="str">
        <f t="shared" si="2"/>
        <v>#VALUE!</v>
      </c>
      <c r="O29" s="227" t="str">
        <f t="shared" si="3"/>
        <v>#VALUE!</v>
      </c>
      <c r="P29" s="228" t="str">
        <f t="shared" si="4"/>
        <v>#VALUE!</v>
      </c>
      <c r="Q29" s="220" t="str">
        <f t="shared" si="5"/>
        <v>#VALUE!</v>
      </c>
      <c r="R29" s="220" t="str">
        <f t="shared" si="6"/>
        <v>#VALUE!</v>
      </c>
      <c r="S29" s="221">
        <f t="shared" si="7"/>
        <v>0</v>
      </c>
      <c r="T29" s="229" t="str">
        <f>ifs($L29="",VLOOKUP($B29&amp;$E29,'VISIT DATA'!$A$2:$J100,7,FALSE), $L29="SWAB","OUTSA-RW",$L29="SWQU","OUTSA-SaQu", AND($J29="X",$K29="X",$L29="QUEST"),"OUT-UAQPre",$L29="QUEST","OUT-UAQ", $L29="Walk in","ColUATele")</f>
        <v>UA</v>
      </c>
      <c r="U29" s="24" t="str">
        <f t="shared" si="8"/>
        <v>UA : Urine Analysis In House</v>
      </c>
      <c r="V29" s="222" t="str">
        <f t="shared" si="9"/>
        <v>UA : Urine Analysis In House</v>
      </c>
      <c r="W29" s="222" t="str">
        <f t="shared" si="10"/>
        <v>MATCH</v>
      </c>
      <c r="X29" s="224" t="str">
        <f t="shared" si="11"/>
        <v> </v>
      </c>
      <c r="Y29" s="245"/>
    </row>
    <row r="30">
      <c r="A30" s="214" t="str">
        <f>IFS($B30=FALSE,"",$B30,VLOOKUP($B30,'PATIENT DATA (072721)'!A:C, 2, 0))</f>
        <v>HOLGUIN, NORMA</v>
      </c>
      <c r="B30" s="215">
        <v>10185.0</v>
      </c>
      <c r="C30" s="230" t="str">
        <f>IF(COUNTIF('PATIENT DATA (072721)'!A:A, B30)=0, "X","✓")</f>
        <v>✓</v>
      </c>
      <c r="D30" s="226">
        <f>IFS($B30=FALSE,"",$B30,VLOOKUP($B30,'PATIENT DATA (072721)'!A:C, 3, 0))</f>
        <v>24575</v>
      </c>
      <c r="E30" s="218">
        <v>44567.0</v>
      </c>
      <c r="F30" s="219" t="str">
        <f>ifs($B30="","",$B30, VLOOKUP($B30&amp;$E30, 'VISIT DATA'!A:O,3,0))</f>
        <v>#N/A</v>
      </c>
      <c r="G30" s="222" t="str">
        <f>VLOOKUP($B30&amp;$E30,'VISIT DATA'!A:J, 9, FALSE)</f>
        <v>#N/A</v>
      </c>
      <c r="H30" s="223" t="str">
        <f>VLOOKUP(B30&amp;E30,'VISIT DATA'!A:N,10,FALSE)</f>
        <v>#N/A</v>
      </c>
      <c r="I30" s="224"/>
      <c r="J30" s="224" t="s">
        <v>6242</v>
      </c>
      <c r="K30" s="224"/>
      <c r="L30" s="225"/>
      <c r="M30" s="216" t="str">
        <f t="shared" si="1"/>
        <v>✓</v>
      </c>
      <c r="N30" s="226" t="str">
        <f t="shared" si="2"/>
        <v>#N/A</v>
      </c>
      <c r="O30" s="227" t="str">
        <f t="shared" si="3"/>
        <v>#N/A</v>
      </c>
      <c r="P30" s="228" t="str">
        <f t="shared" si="4"/>
        <v>#N/A</v>
      </c>
      <c r="Q30" s="220" t="str">
        <f t="shared" si="5"/>
        <v>#N/A</v>
      </c>
      <c r="R30" s="220" t="str">
        <f t="shared" si="6"/>
        <v>#N/A</v>
      </c>
      <c r="S30" s="221">
        <f t="shared" si="7"/>
        <v>0</v>
      </c>
      <c r="T30" s="229" t="str">
        <f>ifs($L30="",VLOOKUP($B30&amp;$E30,'VISIT DATA'!$A$2:$J100,7,FALSE), $L30="SWAB","OUTSA-RW",$L30="SWQU","OUTSA-SaQu", AND($J30="X",$K30="X",$L30="QUEST"),"OUT-UAQPre",$L30="QUEST","OUT-UAQ", $L30="Walk in","ColUATele")</f>
        <v>#N/A</v>
      </c>
      <c r="U30" s="24" t="str">
        <f t="shared" si="8"/>
        <v>#N/A</v>
      </c>
      <c r="V30" s="222" t="str">
        <f t="shared" si="9"/>
        <v>UA : Urine Analysis In House</v>
      </c>
      <c r="W30" s="222" t="str">
        <f t="shared" si="10"/>
        <v>#N/A</v>
      </c>
      <c r="X30" s="224" t="str">
        <f t="shared" si="11"/>
        <v> </v>
      </c>
      <c r="Y30" s="244"/>
    </row>
    <row r="31">
      <c r="A31" s="214" t="str">
        <f>IFS($B31=FALSE,"",$B31,VLOOKUP($B31,'PATIENT DATA (072721)'!A:C, 2, 0))</f>
        <v>OCHOA, ELVIA N</v>
      </c>
      <c r="B31" s="215">
        <v>12778.0</v>
      </c>
      <c r="C31" s="230" t="str">
        <f>IF(COUNTIF('PATIENT DATA (072721)'!A:A, B31)=0, "X","✓")</f>
        <v>✓</v>
      </c>
      <c r="D31" s="226">
        <f>IFS($B31=FALSE,"",$B31,VLOOKUP($B31,'PATIENT DATA (072721)'!A:C, 3, 0))</f>
        <v>24069</v>
      </c>
      <c r="E31" s="218">
        <v>44567.0</v>
      </c>
      <c r="F31" s="219">
        <f>ifs($B31="","",$B31, VLOOKUP($B31&amp;$E31, 'VISIT DATA'!A:O,3,0))</f>
        <v>0.4895833333</v>
      </c>
      <c r="G31" s="222" t="str">
        <f>VLOOKUP($B31&amp;$E31,'VISIT DATA'!A:J, 9, FALSE)</f>
        <v>LOPEZ</v>
      </c>
      <c r="H31" s="223" t="str">
        <f>VLOOKUP(B31&amp;E31,'VISIT DATA'!A:N,10,FALSE)</f>
        <v>WELLMED - UHC DUAL COMPLETE SNP</v>
      </c>
      <c r="I31" s="225"/>
      <c r="J31" s="224" t="s">
        <v>6242</v>
      </c>
      <c r="K31" s="224" t="s">
        <v>6242</v>
      </c>
      <c r="L31" s="225"/>
      <c r="M31" s="216" t="str">
        <f t="shared" si="1"/>
        <v>✓</v>
      </c>
      <c r="N31" s="226" t="str">
        <f t="shared" si="2"/>
        <v>X</v>
      </c>
      <c r="O31" s="227" t="str">
        <f t="shared" si="3"/>
        <v>#VALUE!</v>
      </c>
      <c r="P31" s="228" t="str">
        <f t="shared" si="4"/>
        <v>#VALUE!</v>
      </c>
      <c r="Q31" s="220" t="str">
        <f t="shared" si="5"/>
        <v>#VALUE!</v>
      </c>
      <c r="R31" s="220" t="str">
        <f t="shared" si="6"/>
        <v>#VALUE!</v>
      </c>
      <c r="S31" s="221">
        <f t="shared" si="7"/>
        <v>1</v>
      </c>
      <c r="T31" s="229" t="str">
        <f>ifs($L31="",VLOOKUP($B31&amp;$E31,'VISIT DATA'!$A$2:$J100,7,FALSE), $L31="SWAB","OUTSA-RW",$L31="SWQU","OUTSA-SaQu", AND($J31="X",$K31="X",$L31="QUEST"),"OUT-UAQPre",$L31="QUEST","OUT-UAQ", $L31="Walk in","ColUATele")</f>
        <v>OUTUA-PrRW</v>
      </c>
      <c r="U31" s="24" t="str">
        <f t="shared" si="8"/>
        <v>OUTUA-PrRW : OUT UA Prelimin Redwood</v>
      </c>
      <c r="V31" s="222" t="str">
        <f t="shared" si="9"/>
        <v>OUTUA-PrRW : OUT UA Prelimin Redwood</v>
      </c>
      <c r="W31" s="222" t="str">
        <f t="shared" si="10"/>
        <v>MATCH</v>
      </c>
      <c r="X31" s="224" t="str">
        <f t="shared" si="11"/>
        <v> </v>
      </c>
      <c r="Y31" s="244"/>
    </row>
    <row r="32">
      <c r="A32" s="214" t="str">
        <f>IFS($B32=FALSE,"",$B32,VLOOKUP($B32,'PATIENT DATA (072721)'!A:C, 2, 0))</f>
        <v>BORDEN-ZACOUR, KRISTI</v>
      </c>
      <c r="B32" s="215">
        <v>13950.0</v>
      </c>
      <c r="C32" s="230" t="str">
        <f>IF(COUNTIF('PATIENT DATA (072721)'!A:A, B32)=0, "X","✓")</f>
        <v>✓</v>
      </c>
      <c r="D32" s="226">
        <f>IFS($B32=FALSE,"",$B32,VLOOKUP($B32,'PATIENT DATA (072721)'!A:C, 3, 0))</f>
        <v>21926</v>
      </c>
      <c r="E32" s="218">
        <v>44567.0</v>
      </c>
      <c r="F32" s="219">
        <f>ifs($B32="","",$B32, VLOOKUP($B32&amp;$E32, 'VISIT DATA'!A:O,3,0))</f>
        <v>0.5520833333</v>
      </c>
      <c r="G32" s="222" t="str">
        <f>VLOOKUP($B32&amp;$E32,'VISIT DATA'!A:J, 9, FALSE)</f>
        <v>LOPEZ</v>
      </c>
      <c r="H32" s="223" t="str">
        <f>VLOOKUP(B32&amp;E32,'VISIT DATA'!A:N,10,FALSE)</f>
        <v>MOLINA MARKETPLACE TEXAS</v>
      </c>
      <c r="I32" s="224"/>
      <c r="J32" s="224" t="s">
        <v>6242</v>
      </c>
      <c r="K32" s="224"/>
      <c r="L32" s="225"/>
      <c r="M32" s="216" t="str">
        <f t="shared" si="1"/>
        <v>✓</v>
      </c>
      <c r="N32" s="226" t="str">
        <f t="shared" si="2"/>
        <v>#VALUE!</v>
      </c>
      <c r="O32" s="227" t="str">
        <f t="shared" si="3"/>
        <v>X</v>
      </c>
      <c r="P32" s="228" t="str">
        <f t="shared" si="4"/>
        <v>#VALUE!</v>
      </c>
      <c r="Q32" s="220" t="str">
        <f t="shared" si="5"/>
        <v>#VALUE!</v>
      </c>
      <c r="R32" s="220" t="str">
        <f t="shared" si="6"/>
        <v>#VALUE!</v>
      </c>
      <c r="S32" s="221">
        <f t="shared" si="7"/>
        <v>1</v>
      </c>
      <c r="T32" s="229" t="str">
        <f>ifs($L32="",VLOOKUP($B32&amp;$E32,'VISIT DATA'!$A$2:$J100,7,FALSE), $L32="SWAB","OUTSA-RW",$L32="SWQU","OUTSA-SaQu", AND($J32="X",$K32="X",$L32="QUEST"),"OUT-UAQPre",$L32="QUEST","OUT-UAQ", $L32="Walk in","ColUATele")</f>
        <v>OUTUA-FURW</v>
      </c>
      <c r="U32" s="24" t="str">
        <f t="shared" si="8"/>
        <v>OUTUA-FURW : OUT UA FU Redwood</v>
      </c>
      <c r="V32" s="222" t="str">
        <f t="shared" si="9"/>
        <v>OUTUA-FURW : OUT UA FU Redwood</v>
      </c>
      <c r="W32" s="222" t="str">
        <f t="shared" si="10"/>
        <v>MATCH</v>
      </c>
      <c r="X32" s="224" t="str">
        <f t="shared" si="11"/>
        <v> </v>
      </c>
      <c r="Y32" s="244"/>
    </row>
    <row r="33">
      <c r="A33" s="214" t="str">
        <f>IFS($B33=FALSE,"",$B33,VLOOKUP($B33,'PATIENT DATA (072721)'!A:C, 2, 0))</f>
        <v>MACIEL, JUAN</v>
      </c>
      <c r="B33" s="215">
        <v>10399.0</v>
      </c>
      <c r="C33" s="230" t="str">
        <f>IF(COUNTIF('PATIENT DATA (072721)'!A:A, B33)=0, "X","✓")</f>
        <v>✓</v>
      </c>
      <c r="D33" s="226">
        <f>IFS($B33=FALSE,"",$B33,VLOOKUP($B33,'PATIENT DATA (072721)'!A:C, 3, 0))</f>
        <v>29259</v>
      </c>
      <c r="E33" s="218">
        <v>44567.0</v>
      </c>
      <c r="F33" s="219">
        <f>ifs($B33="","",$B33, VLOOKUP($B33&amp;$E33, 'VISIT DATA'!A:O,3,0))</f>
        <v>0.5416666667</v>
      </c>
      <c r="G33" s="222" t="str">
        <f>VLOOKUP($B33&amp;$E33,'VISIT DATA'!A:J, 9, FALSE)</f>
        <v>TORRES</v>
      </c>
      <c r="H33" s="223" t="str">
        <f>VLOOKUP(B33&amp;E33,'VISIT DATA'!A:N,10,FALSE)</f>
        <v>WPS VA - COMMUNITY CARE</v>
      </c>
      <c r="I33" s="225"/>
      <c r="J33" s="224" t="s">
        <v>6242</v>
      </c>
      <c r="K33" s="224"/>
      <c r="L33" s="225"/>
      <c r="M33" s="216" t="str">
        <f t="shared" si="1"/>
        <v>✓</v>
      </c>
      <c r="N33" s="226" t="str">
        <f t="shared" si="2"/>
        <v>#VALUE!</v>
      </c>
      <c r="O33" s="227" t="str">
        <f t="shared" si="3"/>
        <v>#VALUE!</v>
      </c>
      <c r="P33" s="228" t="str">
        <f t="shared" si="4"/>
        <v>#VALUE!</v>
      </c>
      <c r="Q33" s="220" t="str">
        <f t="shared" si="5"/>
        <v>#VALUE!</v>
      </c>
      <c r="R33" s="220" t="str">
        <f t="shared" si="6"/>
        <v>#VALUE!</v>
      </c>
      <c r="S33" s="221">
        <f t="shared" si="7"/>
        <v>0</v>
      </c>
      <c r="T33" s="229" t="str">
        <f>ifs($L33="",VLOOKUP($B33&amp;$E33,'VISIT DATA'!$A$2:$J100,7,FALSE), $L33="SWAB","OUTSA-RW",$L33="SWQU","OUTSA-SaQu", AND($J33="X",$K33="X",$L33="QUEST"),"OUT-UAQPre",$L33="QUEST","OUT-UAQ", $L33="Walk in","ColUATele")</f>
        <v>UA</v>
      </c>
      <c r="U33" s="24" t="str">
        <f t="shared" si="8"/>
        <v>UA : Urine Analysis In House</v>
      </c>
      <c r="V33" s="222" t="str">
        <f t="shared" si="9"/>
        <v>UA : Urine Analysis In House</v>
      </c>
      <c r="W33" s="222" t="str">
        <f t="shared" si="10"/>
        <v>MATCH</v>
      </c>
      <c r="X33" s="224" t="str">
        <f t="shared" si="11"/>
        <v> </v>
      </c>
      <c r="Y33" s="244"/>
    </row>
    <row r="34">
      <c r="A34" s="214" t="str">
        <f>IFS($B34=FALSE,"",$B34,VLOOKUP($B34,'PATIENT DATA (072721)'!A:C, 2, 0))</f>
        <v>OLIVER, TIFFANY G</v>
      </c>
      <c r="B34" s="215">
        <v>14729.0</v>
      </c>
      <c r="C34" s="230" t="str">
        <f>IF(COUNTIF('PATIENT DATA (072721)'!A:A, B34)=0, "X","✓")</f>
        <v>✓</v>
      </c>
      <c r="D34" s="226">
        <f>IFS($B34=FALSE,"",$B34,VLOOKUP($B34,'PATIENT DATA (072721)'!A:C, 3, 0))</f>
        <v>30461</v>
      </c>
      <c r="E34" s="218">
        <v>44567.0</v>
      </c>
      <c r="F34" s="219">
        <f>ifs($B34="","",$B34, VLOOKUP($B34&amp;$E34, 'VISIT DATA'!A:O,3,0))</f>
        <v>0.5729166667</v>
      </c>
      <c r="G34" s="222" t="str">
        <f>VLOOKUP($B34&amp;$E34,'VISIT DATA'!A:J, 9, FALSE)</f>
        <v>TORRES</v>
      </c>
      <c r="H34" s="223" t="str">
        <f>VLOOKUP(B34&amp;E34,'VISIT DATA'!A:N,10,FALSE)</f>
        <v>TRICARE PRIME</v>
      </c>
      <c r="I34" s="225"/>
      <c r="J34" s="224" t="s">
        <v>6242</v>
      </c>
      <c r="K34" s="224"/>
      <c r="L34" s="225"/>
      <c r="M34" s="216" t="str">
        <f t="shared" si="1"/>
        <v>✓</v>
      </c>
      <c r="N34" s="226" t="str">
        <f t="shared" si="2"/>
        <v>#VALUE!</v>
      </c>
      <c r="O34" s="227" t="str">
        <f t="shared" si="3"/>
        <v>#VALUE!</v>
      </c>
      <c r="P34" s="228" t="str">
        <f t="shared" si="4"/>
        <v>#VALUE!</v>
      </c>
      <c r="Q34" s="220" t="str">
        <f t="shared" si="5"/>
        <v>#VALUE!</v>
      </c>
      <c r="R34" s="220" t="str">
        <f t="shared" si="6"/>
        <v>#VALUE!</v>
      </c>
      <c r="S34" s="221">
        <f t="shared" si="7"/>
        <v>0</v>
      </c>
      <c r="T34" s="229" t="str">
        <f>ifs($L34="",VLOOKUP($B34&amp;$E34,'VISIT DATA'!$A$2:$J100,7,FALSE), $L34="SWAB","OUTSA-RW",$L34="SWQU","OUTSA-SaQu", AND($J34="X",$K34="X",$L34="QUEST"),"OUT-UAQPre",$L34="QUEST","OUT-UAQ", $L34="Walk in","ColUATele")</f>
        <v>UA</v>
      </c>
      <c r="U34" s="24" t="str">
        <f t="shared" si="8"/>
        <v>UA : Urine Analysis In House</v>
      </c>
      <c r="V34" s="222" t="str">
        <f t="shared" si="9"/>
        <v>UA : Urine Analysis In House</v>
      </c>
      <c r="W34" s="222" t="str">
        <f t="shared" si="10"/>
        <v>MATCH</v>
      </c>
      <c r="X34" s="224" t="str">
        <f t="shared" si="11"/>
        <v> </v>
      </c>
      <c r="Y34" s="244"/>
    </row>
    <row r="35">
      <c r="A35" s="214" t="str">
        <f>IFS($B35=FALSE,"",$B35,VLOOKUP($B35,'PATIENT DATA (072721)'!A:C, 2, 0))</f>
        <v>ZARATE, MARIA M</v>
      </c>
      <c r="B35" s="215">
        <v>16166.0</v>
      </c>
      <c r="C35" s="230" t="str">
        <f>IF(COUNTIF('PATIENT DATA (072721)'!A:A, B35)=0, "X","✓")</f>
        <v>✓</v>
      </c>
      <c r="D35" s="226">
        <f>IFS($B35=FALSE,"",$B35,VLOOKUP($B35,'PATIENT DATA (072721)'!A:C, 3, 0))</f>
        <v>21767</v>
      </c>
      <c r="E35" s="218">
        <v>44567.0</v>
      </c>
      <c r="F35" s="219">
        <f>ifs($B35="","",$B35, VLOOKUP($B35&amp;$E35, 'VISIT DATA'!A:O,3,0))</f>
        <v>0.5625</v>
      </c>
      <c r="G35" s="222" t="str">
        <f>VLOOKUP($B35&amp;$E35,'VISIT DATA'!A:J, 9, FALSE)</f>
        <v>MARTINEZ</v>
      </c>
      <c r="H35" s="223" t="str">
        <f>VLOOKUP(B35&amp;E35,'VISIT DATA'!A:N,10,FALSE)</f>
        <v>WELLCARE OF TEXAS</v>
      </c>
      <c r="I35" s="224"/>
      <c r="J35" s="224" t="s">
        <v>6242</v>
      </c>
      <c r="K35" s="224"/>
      <c r="L35" s="224"/>
      <c r="M35" s="216" t="str">
        <f t="shared" si="1"/>
        <v>✓</v>
      </c>
      <c r="N35" s="226" t="str">
        <f t="shared" si="2"/>
        <v>#VALUE!</v>
      </c>
      <c r="O35" s="227" t="str">
        <f t="shared" si="3"/>
        <v>#VALUE!</v>
      </c>
      <c r="P35" s="228" t="str">
        <f t="shared" si="4"/>
        <v>#VALUE!</v>
      </c>
      <c r="Q35" s="220" t="str">
        <f t="shared" si="5"/>
        <v>#VALUE!</v>
      </c>
      <c r="R35" s="220" t="str">
        <f t="shared" si="6"/>
        <v>#VALUE!</v>
      </c>
      <c r="S35" s="221">
        <f t="shared" si="7"/>
        <v>0</v>
      </c>
      <c r="T35" s="229" t="str">
        <f>ifs($L35="",VLOOKUP($B35&amp;$E35,'VISIT DATA'!$A$2:$J100,7,FALSE), $L35="SWAB","OUTSA-RW",$L35="SWQU","OUTSA-SaQu", AND($J35="X",$K35="X",$L35="QUEST"),"OUT-UAQPre",$L35="QUEST","OUT-UAQ", $L35="Walk in","ColUATele")</f>
        <v>UA</v>
      </c>
      <c r="U35" s="24" t="str">
        <f t="shared" si="8"/>
        <v>UA : Urine Analysis In House</v>
      </c>
      <c r="V35" s="222" t="str">
        <f t="shared" si="9"/>
        <v>UA : Urine Analysis In House</v>
      </c>
      <c r="W35" s="222" t="str">
        <f t="shared" si="10"/>
        <v>MATCH</v>
      </c>
      <c r="X35" s="224" t="str">
        <f t="shared" si="11"/>
        <v> </v>
      </c>
      <c r="Y35" s="244"/>
    </row>
    <row r="36">
      <c r="A36" s="214" t="str">
        <f>IFS($B36=FALSE,"",$B36,VLOOKUP($B36,'PATIENT DATA (072721)'!A:C, 2, 0))</f>
        <v>ARZATE, RICARDO</v>
      </c>
      <c r="B36" s="215">
        <v>12638.0</v>
      </c>
      <c r="C36" s="230" t="str">
        <f>IF(COUNTIF('PATIENT DATA (072721)'!A:A, B36)=0, "X","✓")</f>
        <v>✓</v>
      </c>
      <c r="D36" s="226">
        <f>IFS($B36=FALSE,"",$B36,VLOOKUP($B36,'PATIENT DATA (072721)'!A:C, 3, 0))</f>
        <v>25617</v>
      </c>
      <c r="E36" s="218">
        <v>44567.0</v>
      </c>
      <c r="F36" s="219">
        <f>ifs($B36="","",$B36, VLOOKUP($B36&amp;$E36, 'VISIT DATA'!A:O,3,0))</f>
        <v>0.5729166667</v>
      </c>
      <c r="G36" s="222" t="str">
        <f>VLOOKUP($B36&amp;$E36,'VISIT DATA'!A:J, 9, FALSE)</f>
        <v>LOPEZ</v>
      </c>
      <c r="H36" s="223" t="str">
        <f>VLOOKUP(B36&amp;E36,'VISIT DATA'!A:N,10,FALSE)</f>
        <v>BCBSTX PPO</v>
      </c>
      <c r="I36" s="225"/>
      <c r="J36" s="224" t="s">
        <v>6242</v>
      </c>
      <c r="K36" s="224"/>
      <c r="L36" s="225"/>
      <c r="M36" s="216" t="str">
        <f t="shared" si="1"/>
        <v>✓</v>
      </c>
      <c r="N36" s="226" t="str">
        <f t="shared" si="2"/>
        <v>#VALUE!</v>
      </c>
      <c r="O36" s="227" t="str">
        <f t="shared" si="3"/>
        <v>#VALUE!</v>
      </c>
      <c r="P36" s="228" t="str">
        <f t="shared" si="4"/>
        <v>#VALUE!</v>
      </c>
      <c r="Q36" s="220" t="str">
        <f t="shared" si="5"/>
        <v>#VALUE!</v>
      </c>
      <c r="R36" s="220" t="str">
        <f t="shared" si="6"/>
        <v>#VALUE!</v>
      </c>
      <c r="S36" s="221">
        <f t="shared" si="7"/>
        <v>0</v>
      </c>
      <c r="T36" s="229" t="str">
        <f>ifs($L36="",VLOOKUP($B36&amp;$E36,'VISIT DATA'!$A$2:$J100,7,FALSE), $L36="SWAB","OUTSA-RW",$L36="SWQU","OUTSA-SaQu", AND($J36="X",$K36="X",$L36="QUEST"),"OUT-UAQPre",$L36="QUEST","OUT-UAQ", $L36="Walk in","ColUATele")</f>
        <v>UA</v>
      </c>
      <c r="U36" s="24" t="str">
        <f t="shared" si="8"/>
        <v>UA : Urine Analysis In House</v>
      </c>
      <c r="V36" s="222" t="str">
        <f t="shared" si="9"/>
        <v>UA : Urine Analysis In House</v>
      </c>
      <c r="W36" s="222" t="str">
        <f t="shared" si="10"/>
        <v>MATCH</v>
      </c>
      <c r="X36" s="224" t="str">
        <f t="shared" si="11"/>
        <v> </v>
      </c>
      <c r="Y36" s="244"/>
    </row>
    <row r="37">
      <c r="A37" s="214" t="str">
        <f>IFS($B37=FALSE,"",$B37,VLOOKUP($B37,'PATIENT DATA (072721)'!A:C, 2, 0))</f>
        <v>ALEMAN, FELIX</v>
      </c>
      <c r="B37" s="215">
        <v>10392.0</v>
      </c>
      <c r="C37" s="230" t="str">
        <f>IF(COUNTIF('PATIENT DATA (072721)'!A:A, B37)=0, "X","✓")</f>
        <v>✓</v>
      </c>
      <c r="D37" s="226">
        <f>IFS($B37=FALSE,"",$B37,VLOOKUP($B37,'PATIENT DATA (072721)'!A:C, 3, 0))</f>
        <v>31105</v>
      </c>
      <c r="E37" s="218">
        <v>44567.0</v>
      </c>
      <c r="F37" s="219">
        <f>ifs($B37="","",$B37, VLOOKUP($B37&amp;$E37, 'VISIT DATA'!A:O,3,0))</f>
        <v>0.5625</v>
      </c>
      <c r="G37" s="222" t="str">
        <f>VLOOKUP($B37&amp;$E37,'VISIT DATA'!A:J, 9, FALSE)</f>
        <v>TORRES</v>
      </c>
      <c r="H37" s="223" t="str">
        <f>VLOOKUP(B37&amp;E37,'VISIT DATA'!A:N,10,FALSE)</f>
        <v>MEDICARE TEXAS</v>
      </c>
      <c r="I37" s="225"/>
      <c r="J37" s="224" t="s">
        <v>6242</v>
      </c>
      <c r="K37" s="224"/>
      <c r="L37" s="225"/>
      <c r="M37" s="216" t="str">
        <f t="shared" si="1"/>
        <v>✓</v>
      </c>
      <c r="N37" s="226" t="str">
        <f t="shared" si="2"/>
        <v>#VALUE!</v>
      </c>
      <c r="O37" s="227" t="str">
        <f t="shared" si="3"/>
        <v>#VALUE!</v>
      </c>
      <c r="P37" s="228" t="str">
        <f t="shared" si="4"/>
        <v>#VALUE!</v>
      </c>
      <c r="Q37" s="220" t="str">
        <f t="shared" si="5"/>
        <v>#VALUE!</v>
      </c>
      <c r="R37" s="220" t="str">
        <f t="shared" si="6"/>
        <v>#VALUE!</v>
      </c>
      <c r="S37" s="221">
        <f t="shared" si="7"/>
        <v>0</v>
      </c>
      <c r="T37" s="229" t="str">
        <f>ifs($L37="",VLOOKUP($B37&amp;$E37,'VISIT DATA'!$A$2:$J100,7,FALSE), $L37="SWAB","OUTSA-RW",$L37="SWQU","OUTSA-SaQu", AND($J37="X",$K37="X",$L37="QUEST"),"OUT-UAQPre",$L37="QUEST","OUT-UAQ", $L37="Walk in","ColUATele")</f>
        <v>UA</v>
      </c>
      <c r="U37" s="24" t="str">
        <f t="shared" si="8"/>
        <v>UA : Urine Analysis In House</v>
      </c>
      <c r="V37" s="222" t="str">
        <f t="shared" si="9"/>
        <v>UA : Urine Analysis In House</v>
      </c>
      <c r="W37" s="222" t="str">
        <f t="shared" si="10"/>
        <v>MATCH</v>
      </c>
      <c r="X37" s="224" t="str">
        <f t="shared" si="11"/>
        <v> </v>
      </c>
      <c r="Y37" s="244"/>
    </row>
    <row r="38">
      <c r="A38" s="214" t="str">
        <f>IFS($B38=FALSE,"",$B38,VLOOKUP($B38,'PATIENT DATA (072721)'!A:C, 2, 0))</f>
        <v>GASTON, JAMES H</v>
      </c>
      <c r="B38" s="215">
        <v>16167.0</v>
      </c>
      <c r="C38" s="230" t="str">
        <f>IF(COUNTIF('PATIENT DATA (072721)'!A:A, B38)=0, "X","✓")</f>
        <v>✓</v>
      </c>
      <c r="D38" s="226">
        <f>IFS($B38=FALSE,"",$B38,VLOOKUP($B38,'PATIENT DATA (072721)'!A:C, 3, 0))</f>
        <v>19877</v>
      </c>
      <c r="E38" s="218">
        <v>44567.0</v>
      </c>
      <c r="F38" s="219">
        <f>ifs($B38="","",$B38, VLOOKUP($B38&amp;$E38, 'VISIT DATA'!A:O,3,0))</f>
        <v>0.5625</v>
      </c>
      <c r="G38" s="222" t="str">
        <f>VLOOKUP($B38&amp;$E38,'VISIT DATA'!A:J, 9, FALSE)</f>
        <v>MARTINEZ</v>
      </c>
      <c r="H38" s="223" t="str">
        <f>VLOOKUP(B38&amp;E38,'VISIT DATA'!A:N,10,FALSE)</f>
        <v>WELLCARE OF TEXAS</v>
      </c>
      <c r="I38" s="225"/>
      <c r="J38" s="224" t="s">
        <v>6242</v>
      </c>
      <c r="K38" s="224"/>
      <c r="L38" s="225"/>
      <c r="M38" s="216" t="str">
        <f t="shared" si="1"/>
        <v>✓</v>
      </c>
      <c r="N38" s="226" t="str">
        <f t="shared" si="2"/>
        <v>#VALUE!</v>
      </c>
      <c r="O38" s="227" t="str">
        <f t="shared" si="3"/>
        <v>#VALUE!</v>
      </c>
      <c r="P38" s="228" t="str">
        <f t="shared" si="4"/>
        <v>#VALUE!</v>
      </c>
      <c r="Q38" s="220" t="str">
        <f t="shared" si="5"/>
        <v>#VALUE!</v>
      </c>
      <c r="R38" s="220" t="str">
        <f t="shared" si="6"/>
        <v>#VALUE!</v>
      </c>
      <c r="S38" s="221">
        <f t="shared" si="7"/>
        <v>0</v>
      </c>
      <c r="T38" s="229" t="str">
        <f>ifs($L38="",VLOOKUP($B38&amp;$E38,'VISIT DATA'!$A$2:$J100,7,FALSE), $L38="SWAB","OUTSA-RW",$L38="SWQU","OUTSA-SaQu", AND($J38="X",$K38="X",$L38="QUEST"),"OUT-UAQPre",$L38="QUEST","OUT-UAQ", $L38="Walk in","ColUATele")</f>
        <v>UA</v>
      </c>
      <c r="U38" s="24" t="str">
        <f t="shared" si="8"/>
        <v>UA : Urine Analysis In House</v>
      </c>
      <c r="V38" s="222" t="str">
        <f t="shared" si="9"/>
        <v>UA : Urine Analysis In House</v>
      </c>
      <c r="W38" s="222" t="str">
        <f t="shared" si="10"/>
        <v>MATCH</v>
      </c>
      <c r="X38" s="224" t="str">
        <f t="shared" si="11"/>
        <v> </v>
      </c>
      <c r="Y38" s="244"/>
    </row>
    <row r="39">
      <c r="A39" s="214" t="str">
        <f>IFS($B39=FALSE,"",$B39,VLOOKUP($B39,'PATIENT DATA (072721)'!A:C, 2, 0))</f>
        <v>PONCE SOLORZANO, ARMANDO</v>
      </c>
      <c r="B39" s="215">
        <v>16609.0</v>
      </c>
      <c r="C39" s="230" t="str">
        <f>IF(COUNTIF('PATIENT DATA (072721)'!A:A, B39)=0, "X","✓")</f>
        <v>✓</v>
      </c>
      <c r="D39" s="226">
        <f>IFS($B39=FALSE,"",$B39,VLOOKUP($B39,'PATIENT DATA (072721)'!A:C, 3, 0))</f>
        <v>19761</v>
      </c>
      <c r="E39" s="218">
        <v>44567.0</v>
      </c>
      <c r="F39" s="219">
        <f>ifs($B39="","",$B39, VLOOKUP($B39&amp;$E39, 'VISIT DATA'!A:O,3,0))</f>
        <v>0.5729166667</v>
      </c>
      <c r="G39" s="222" t="str">
        <f>VLOOKUP($B39&amp;$E39,'VISIT DATA'!A:J, 9, FALSE)</f>
        <v>LOPEZ</v>
      </c>
      <c r="H39" s="223" t="str">
        <f>VLOOKUP(B39&amp;E39,'VISIT DATA'!A:N,10,FALSE)</f>
        <v>AETNA</v>
      </c>
      <c r="I39" s="225"/>
      <c r="J39" s="224" t="s">
        <v>6242</v>
      </c>
      <c r="K39" s="224"/>
      <c r="L39" s="225"/>
      <c r="M39" s="216" t="str">
        <f t="shared" si="1"/>
        <v>✓</v>
      </c>
      <c r="N39" s="226" t="str">
        <f t="shared" si="2"/>
        <v>#VALUE!</v>
      </c>
      <c r="O39" s="227" t="str">
        <f t="shared" si="3"/>
        <v>#VALUE!</v>
      </c>
      <c r="P39" s="228" t="str">
        <f t="shared" si="4"/>
        <v>#VALUE!</v>
      </c>
      <c r="Q39" s="220" t="str">
        <f t="shared" si="5"/>
        <v>#VALUE!</v>
      </c>
      <c r="R39" s="220" t="str">
        <f t="shared" si="6"/>
        <v>#VALUE!</v>
      </c>
      <c r="S39" s="221">
        <f t="shared" si="7"/>
        <v>0</v>
      </c>
      <c r="T39" s="229" t="str">
        <f>ifs($L39="",VLOOKUP($B39&amp;$E39,'VISIT DATA'!$A$2:$J100,7,FALSE), $L39="SWAB","OUTSA-RW",$L39="SWQU","OUTSA-SaQu", AND($J39="X",$K39="X",$L39="QUEST"),"OUT-UAQPre",$L39="QUEST","OUT-UAQ", $L39="Walk in","ColUATele")</f>
        <v>UA</v>
      </c>
      <c r="U39" s="24" t="str">
        <f t="shared" si="8"/>
        <v>UA : Urine Analysis In House</v>
      </c>
      <c r="V39" s="222" t="str">
        <f t="shared" si="9"/>
        <v>UA : Urine Analysis In House</v>
      </c>
      <c r="W39" s="222" t="str">
        <f t="shared" si="10"/>
        <v>MATCH</v>
      </c>
      <c r="X39" s="224" t="str">
        <f t="shared" si="11"/>
        <v> </v>
      </c>
      <c r="Y39" s="244"/>
    </row>
    <row r="40">
      <c r="A40" s="214" t="str">
        <f>IFS($B40=FALSE,"",$B40,VLOOKUP($B40,'PATIENT DATA (072721)'!A:C, 2, 0))</f>
        <v>SINGH, VICTORIA</v>
      </c>
      <c r="B40" s="215">
        <v>10516.0</v>
      </c>
      <c r="C40" s="230" t="str">
        <f>IF(COUNTIF('PATIENT DATA (072721)'!A:A, B40)=0, "X","✓")</f>
        <v>✓</v>
      </c>
      <c r="D40" s="226">
        <f>IFS($B40=FALSE,"",$B40,VLOOKUP($B40,'PATIENT DATA (072721)'!A:C, 3, 0))</f>
        <v>25305</v>
      </c>
      <c r="E40" s="218">
        <v>44567.0</v>
      </c>
      <c r="F40" s="219">
        <f>ifs($B40="","",$B40, VLOOKUP($B40&amp;$E40, 'VISIT DATA'!A:O,3,0))</f>
        <v>0.625</v>
      </c>
      <c r="G40" s="222" t="str">
        <f>VLOOKUP($B40&amp;$E40,'VISIT DATA'!A:J, 9, FALSE)</f>
        <v>LOPEZ</v>
      </c>
      <c r="H40" s="223" t="str">
        <f>VLOOKUP(B40&amp;E40,'VISIT DATA'!A:N,10,FALSE)</f>
        <v>WELLMED - UHC DUAL COMPLETE SNP</v>
      </c>
      <c r="I40" s="224"/>
      <c r="J40" s="224" t="s">
        <v>6242</v>
      </c>
      <c r="K40" s="224"/>
      <c r="L40" s="225"/>
      <c r="M40" s="216" t="str">
        <f t="shared" si="1"/>
        <v>✓</v>
      </c>
      <c r="N40" s="226" t="str">
        <f t="shared" si="2"/>
        <v>X</v>
      </c>
      <c r="O40" s="227" t="str">
        <f t="shared" si="3"/>
        <v>#VALUE!</v>
      </c>
      <c r="P40" s="228" t="str">
        <f t="shared" si="4"/>
        <v>#VALUE!</v>
      </c>
      <c r="Q40" s="220" t="str">
        <f t="shared" si="5"/>
        <v>#VALUE!</v>
      </c>
      <c r="R40" s="220" t="str">
        <f t="shared" si="6"/>
        <v>#VALUE!</v>
      </c>
      <c r="S40" s="221">
        <f t="shared" si="7"/>
        <v>1</v>
      </c>
      <c r="T40" s="229" t="str">
        <f>ifs($L40="",VLOOKUP($B40&amp;$E40,'VISIT DATA'!$A$2:$J100,7,FALSE), $L40="SWAB","OUTSA-RW",$L40="SWQU","OUTSA-SaQu", AND($J40="X",$K40="X",$L40="QUEST"),"OUT-UAQPre",$L40="QUEST","OUT-UAQ", $L40="Walk in","ColUATele")</f>
        <v>OUTUA-FURW</v>
      </c>
      <c r="U40" s="24" t="str">
        <f t="shared" si="8"/>
        <v>OUTUA-FURW : OUT UA FU Redwood</v>
      </c>
      <c r="V40" s="222" t="str">
        <f t="shared" si="9"/>
        <v>OUTUA-FURW : OUT UA FU Redwood</v>
      </c>
      <c r="W40" s="222" t="str">
        <f t="shared" si="10"/>
        <v>MATCH</v>
      </c>
      <c r="X40" s="224" t="str">
        <f t="shared" si="11"/>
        <v> </v>
      </c>
      <c r="Y40" s="244"/>
    </row>
    <row r="41">
      <c r="A41" s="214" t="str">
        <f>IFS($B41=FALSE,"",$B41,VLOOKUP($B41,'PATIENT DATA (072721)'!A:C, 2, 0))</f>
        <v>LICHARD, JESSY</v>
      </c>
      <c r="B41" s="215">
        <v>9892.0</v>
      </c>
      <c r="C41" s="216" t="str">
        <f>IF(COUNTIF('PATIENT DATA (072721)'!A:A, B41)=0, "X","✓")</f>
        <v>✓</v>
      </c>
      <c r="D41" s="226">
        <f>IFS($B41=FALSE,"",$B41,VLOOKUP($B41,'PATIENT DATA (072721)'!A:C, 3, 0))</f>
        <v>24543</v>
      </c>
      <c r="E41" s="218">
        <v>44567.0</v>
      </c>
      <c r="F41" s="219">
        <f>ifs($B41="","",$B41, VLOOKUP($B41&amp;$E41, 'VISIT DATA'!A:O,3,0))</f>
        <v>0.6145833333</v>
      </c>
      <c r="G41" s="222" t="str">
        <f>VLOOKUP($B41&amp;$E41,'VISIT DATA'!A:J, 9, FALSE)</f>
        <v>LOPEZ</v>
      </c>
      <c r="H41" s="223" t="str">
        <f>VLOOKUP(B41&amp;E41,'VISIT DATA'!A:N,10,FALSE)</f>
        <v>WPS VA - COMMUNITY CARE</v>
      </c>
      <c r="I41" s="225"/>
      <c r="J41" s="224" t="s">
        <v>6242</v>
      </c>
      <c r="K41" s="224" t="s">
        <v>6242</v>
      </c>
      <c r="L41" s="225"/>
      <c r="M41" s="216" t="str">
        <f t="shared" si="1"/>
        <v>✓</v>
      </c>
      <c r="N41" s="226" t="str">
        <f t="shared" si="2"/>
        <v>#VALUE!</v>
      </c>
      <c r="O41" s="227" t="str">
        <f t="shared" si="3"/>
        <v>#VALUE!</v>
      </c>
      <c r="P41" s="228" t="str">
        <f t="shared" si="4"/>
        <v>#VALUE!</v>
      </c>
      <c r="Q41" s="220" t="str">
        <f t="shared" si="5"/>
        <v>#VALUE!</v>
      </c>
      <c r="R41" s="220" t="str">
        <f t="shared" si="6"/>
        <v>#VALUE!</v>
      </c>
      <c r="S41" s="221">
        <f t="shared" si="7"/>
        <v>0</v>
      </c>
      <c r="T41" s="229" t="str">
        <f>ifs($L41="",VLOOKUP($B41&amp;$E41,'VISIT DATA'!$A$2:$J100,7,FALSE), $L41="SWAB","OUTSA-RW",$L41="SWQU","OUTSA-SaQu", AND($J41="X",$K41="X",$L41="QUEST"),"OUT-UAQPre",$L41="QUEST","OUT-UAQ", $L41="Walk in","ColUATele")</f>
        <v>UA-Prelim</v>
      </c>
      <c r="U41" s="24" t="str">
        <f t="shared" si="8"/>
        <v>UA-Prelim : Preliminary UA Test</v>
      </c>
      <c r="V41" s="222" t="str">
        <f t="shared" si="9"/>
        <v>UA-Prelim : Preliminary UA Test</v>
      </c>
      <c r="W41" s="222" t="str">
        <f t="shared" si="10"/>
        <v>MATCH</v>
      </c>
      <c r="X41" s="224" t="str">
        <f t="shared" si="11"/>
        <v> </v>
      </c>
      <c r="Y41" s="244"/>
    </row>
    <row r="42">
      <c r="A42" s="214" t="str">
        <f>IFS($B42=FALSE,"",$B42,VLOOKUP($B42,'PATIENT DATA (072721)'!A:C, 2, 0))</f>
        <v>CORELLA, SYLVIA</v>
      </c>
      <c r="B42" s="215">
        <v>10015.0</v>
      </c>
      <c r="C42" s="216" t="str">
        <f>IF(COUNTIF('PATIENT DATA (072721)'!A:A, B42)=0, "X","✓")</f>
        <v>✓</v>
      </c>
      <c r="D42" s="226">
        <f>IFS($B42=FALSE,"",$B42,VLOOKUP($B42,'PATIENT DATA (072721)'!A:C, 3, 0))</f>
        <v>20741</v>
      </c>
      <c r="E42" s="218">
        <v>44567.0</v>
      </c>
      <c r="F42" s="219">
        <f>ifs($B42="","",$B42, VLOOKUP($B42&amp;$E42, 'VISIT DATA'!A:O,3,0))</f>
        <v>0.59375</v>
      </c>
      <c r="G42" s="222" t="str">
        <f>VLOOKUP($B42&amp;$E42,'VISIT DATA'!A:J, 9, FALSE)</f>
        <v>LOPEZ</v>
      </c>
      <c r="H42" s="223" t="str">
        <f>VLOOKUP(B42&amp;E42,'VISIT DATA'!A:N,10,FALSE)</f>
        <v>AETNA MEDICARE ADVANTAGE</v>
      </c>
      <c r="I42" s="225"/>
      <c r="J42" s="224" t="s">
        <v>6242</v>
      </c>
      <c r="K42" s="224"/>
      <c r="L42" s="225"/>
      <c r="M42" s="216" t="str">
        <f t="shared" si="1"/>
        <v>✓</v>
      </c>
      <c r="N42" s="226" t="str">
        <f t="shared" si="2"/>
        <v>#VALUE!</v>
      </c>
      <c r="O42" s="227" t="str">
        <f t="shared" si="3"/>
        <v>#VALUE!</v>
      </c>
      <c r="P42" s="228" t="str">
        <f t="shared" si="4"/>
        <v>#VALUE!</v>
      </c>
      <c r="Q42" s="220" t="str">
        <f t="shared" si="5"/>
        <v>#VALUE!</v>
      </c>
      <c r="R42" s="220" t="str">
        <f t="shared" si="6"/>
        <v>#VALUE!</v>
      </c>
      <c r="S42" s="221">
        <f t="shared" si="7"/>
        <v>0</v>
      </c>
      <c r="T42" s="229" t="str">
        <f>ifs($L42="",VLOOKUP($B42&amp;$E42,'VISIT DATA'!$A$2:$J100,7,FALSE), $L42="SWAB","OUTSA-RW",$L42="SWQU","OUTSA-SaQu", AND($J42="X",$K42="X",$L42="QUEST"),"OUT-UAQPre",$L42="QUEST","OUT-UAQ", $L42="Walk in","ColUATele")</f>
        <v>UA</v>
      </c>
      <c r="U42" s="24" t="str">
        <f t="shared" si="8"/>
        <v>UA : Urine Analysis In House</v>
      </c>
      <c r="V42" s="222" t="str">
        <f t="shared" si="9"/>
        <v>UA : Urine Analysis In House</v>
      </c>
      <c r="W42" s="222" t="str">
        <f t="shared" si="10"/>
        <v>MATCH</v>
      </c>
      <c r="X42" s="224" t="str">
        <f t="shared" si="11"/>
        <v> </v>
      </c>
      <c r="Y42" s="244"/>
    </row>
    <row r="43">
      <c r="A43" s="214" t="str">
        <f>IFS($B43=FALSE,"",$B43,VLOOKUP($B43,'PATIENT DATA (072721)'!A:C, 2, 0))</f>
        <v>LOERA, ELEAZAR</v>
      </c>
      <c r="B43" s="215">
        <v>13331.0</v>
      </c>
      <c r="C43" s="216" t="str">
        <f>IF(COUNTIF('PATIENT DATA (072721)'!A:A, B43)=0, "X","✓")</f>
        <v>✓</v>
      </c>
      <c r="D43" s="226">
        <f>IFS($B43=FALSE,"",$B43,VLOOKUP($B43,'PATIENT DATA (072721)'!A:C, 3, 0))</f>
        <v>17613</v>
      </c>
      <c r="E43" s="218">
        <v>44567.0</v>
      </c>
      <c r="F43" s="219">
        <f>ifs($B43="","",$B43, VLOOKUP($B43&amp;$E43, 'VISIT DATA'!A:O,3,0))</f>
        <v>0.59375</v>
      </c>
      <c r="G43" s="222" t="str">
        <f>VLOOKUP($B43&amp;$E43,'VISIT DATA'!A:J, 9, FALSE)</f>
        <v>MARTINEZ</v>
      </c>
      <c r="H43" s="223" t="str">
        <f>VLOOKUP(B43&amp;E43,'VISIT DATA'!A:N,10,FALSE)</f>
        <v>HUMANA MEDICARE PPO</v>
      </c>
      <c r="I43" s="225"/>
      <c r="J43" s="224" t="s">
        <v>6242</v>
      </c>
      <c r="K43" s="224" t="s">
        <v>6242</v>
      </c>
      <c r="L43" s="225"/>
      <c r="M43" s="216" t="str">
        <f t="shared" si="1"/>
        <v>✓</v>
      </c>
      <c r="N43" s="226" t="str">
        <f t="shared" si="2"/>
        <v>#VALUE!</v>
      </c>
      <c r="O43" s="227" t="str">
        <f t="shared" si="3"/>
        <v>#VALUE!</v>
      </c>
      <c r="P43" s="228" t="str">
        <f t="shared" si="4"/>
        <v>#VALUE!</v>
      </c>
      <c r="Q43" s="220" t="str">
        <f t="shared" si="5"/>
        <v>#VALUE!</v>
      </c>
      <c r="R43" s="220" t="str">
        <f t="shared" si="6"/>
        <v>#VALUE!</v>
      </c>
      <c r="S43" s="221">
        <f t="shared" si="7"/>
        <v>0</v>
      </c>
      <c r="T43" s="229" t="str">
        <f>ifs($L43="",VLOOKUP($B43&amp;$E43,'VISIT DATA'!$A$2:$J100,7,FALSE), $L43="SWAB","OUTSA-RW",$L43="SWQU","OUTSA-SaQu", AND($J43="X",$K43="X",$L43="QUEST"),"OUT-UAQPre",$L43="QUEST","OUT-UAQ", $L43="Walk in","ColUATele")</f>
        <v>UA-Prelim</v>
      </c>
      <c r="U43" s="24" t="str">
        <f t="shared" si="8"/>
        <v>UA-Prelim : Preliminary UA Test</v>
      </c>
      <c r="V43" s="222" t="str">
        <f t="shared" si="9"/>
        <v>UA-Prelim : Preliminary UA Test</v>
      </c>
      <c r="W43" s="222" t="str">
        <f t="shared" si="10"/>
        <v>MATCH</v>
      </c>
      <c r="X43" s="224" t="str">
        <f t="shared" si="11"/>
        <v> </v>
      </c>
      <c r="Y43" s="244"/>
    </row>
    <row r="44">
      <c r="A44" s="214" t="str">
        <f>IFS($B44=FALSE,"",$B44,VLOOKUP($B44,'PATIENT DATA (072721)'!A:C, 2, 0))</f>
        <v>PEREZ, ROSALIE A</v>
      </c>
      <c r="B44" s="215">
        <v>10632.0</v>
      </c>
      <c r="C44" s="216" t="str">
        <f>IF(COUNTIF('PATIENT DATA (072721)'!A:A, B44)=0, "X","✓")</f>
        <v>✓</v>
      </c>
      <c r="D44" s="226">
        <f>IFS($B44=FALSE,"",$B44,VLOOKUP($B44,'PATIENT DATA (072721)'!A:C, 3, 0))</f>
        <v>22528</v>
      </c>
      <c r="E44" s="218">
        <v>44567.0</v>
      </c>
      <c r="F44" s="219">
        <f>ifs($B44="","",$B44, VLOOKUP($B44&amp;$E44, 'VISIT DATA'!A:O,3,0))</f>
        <v>0.5833333333</v>
      </c>
      <c r="G44" s="222" t="str">
        <f>VLOOKUP($B44&amp;$E44,'VISIT DATA'!A:J, 9, FALSE)</f>
        <v>MARTINEZ</v>
      </c>
      <c r="H44" s="223" t="str">
        <f>VLOOKUP(B44&amp;E44,'VISIT DATA'!A:N,10,FALSE)</f>
        <v>MOLINA MEDICAID TEXAS</v>
      </c>
      <c r="I44" s="224"/>
      <c r="J44" s="224" t="s">
        <v>6242</v>
      </c>
      <c r="K44" s="224" t="s">
        <v>6242</v>
      </c>
      <c r="L44" s="225"/>
      <c r="M44" s="216" t="str">
        <f t="shared" si="1"/>
        <v>✓</v>
      </c>
      <c r="N44" s="226" t="str">
        <f t="shared" si="2"/>
        <v>#VALUE!</v>
      </c>
      <c r="O44" s="227" t="str">
        <f t="shared" si="3"/>
        <v>X</v>
      </c>
      <c r="P44" s="228" t="str">
        <f t="shared" si="4"/>
        <v>#VALUE!</v>
      </c>
      <c r="Q44" s="220" t="str">
        <f t="shared" si="5"/>
        <v>#VALUE!</v>
      </c>
      <c r="R44" s="220" t="str">
        <f t="shared" si="6"/>
        <v>#VALUE!</v>
      </c>
      <c r="S44" s="221">
        <f t="shared" si="7"/>
        <v>1</v>
      </c>
      <c r="T44" s="229" t="str">
        <f>ifs($L44="",VLOOKUP($B44&amp;$E44,'VISIT DATA'!$A$2:$J100,7,FALSE), $L44="SWAB","OUTSA-RW",$L44="SWQU","OUTSA-SaQu", AND($J44="X",$K44="X",$L44="QUEST"),"OUT-UAQPre",$L44="QUEST","OUT-UAQ", $L44="Walk in","ColUATele")</f>
        <v>OUTUA-PrRW</v>
      </c>
      <c r="U44" s="24" t="str">
        <f t="shared" si="8"/>
        <v>OUTUA-PrRW : OUT UA Prelimin Redwood</v>
      </c>
      <c r="V44" s="222" t="str">
        <f t="shared" si="9"/>
        <v>OUTUA-PrRW : OUT UA Prelimin Redwood</v>
      </c>
      <c r="W44" s="222" t="str">
        <f t="shared" si="10"/>
        <v>MATCH</v>
      </c>
      <c r="X44" s="224" t="str">
        <f t="shared" si="11"/>
        <v> </v>
      </c>
      <c r="Y44" s="244"/>
    </row>
    <row r="45">
      <c r="A45" s="214" t="str">
        <f>IFS($B45=FALSE,"",$B45,VLOOKUP($B45,'PATIENT DATA (072721)'!A:C, 2, 0))</f>
        <v>ARELLANO, ELISA</v>
      </c>
      <c r="B45" s="215">
        <v>15450.0</v>
      </c>
      <c r="C45" s="216" t="str">
        <f>IF(COUNTIF('PATIENT DATA (072721)'!A:A, B45)=0, "X","✓")</f>
        <v>✓</v>
      </c>
      <c r="D45" s="226">
        <f>IFS($B45=FALSE,"",$B45,VLOOKUP($B45,'PATIENT DATA (072721)'!A:C, 3, 0))</f>
        <v>15506</v>
      </c>
      <c r="E45" s="218">
        <v>44567.0</v>
      </c>
      <c r="F45" s="219">
        <f>ifs($B45="","",$B45, VLOOKUP($B45&amp;$E45, 'VISIT DATA'!A:O,3,0))</f>
        <v>0.6041666667</v>
      </c>
      <c r="G45" s="222" t="str">
        <f>VLOOKUP($B45&amp;$E45,'VISIT DATA'!A:J, 9, FALSE)</f>
        <v>TORRES</v>
      </c>
      <c r="H45" s="223" t="str">
        <f>VLOOKUP(B45&amp;E45,'VISIT DATA'!A:N,10,FALSE)</f>
        <v>WELLMED - UHC DUAL COMPLETE SNP</v>
      </c>
      <c r="I45" s="225"/>
      <c r="J45" s="224" t="s">
        <v>6242</v>
      </c>
      <c r="K45" s="224"/>
      <c r="L45" s="225"/>
      <c r="M45" s="216" t="str">
        <f t="shared" si="1"/>
        <v>✓</v>
      </c>
      <c r="N45" s="226" t="str">
        <f t="shared" si="2"/>
        <v>X</v>
      </c>
      <c r="O45" s="227" t="str">
        <f t="shared" si="3"/>
        <v>#VALUE!</v>
      </c>
      <c r="P45" s="228" t="str">
        <f t="shared" si="4"/>
        <v>#VALUE!</v>
      </c>
      <c r="Q45" s="220" t="str">
        <f t="shared" si="5"/>
        <v>#VALUE!</v>
      </c>
      <c r="R45" s="220" t="str">
        <f t="shared" si="6"/>
        <v>#VALUE!</v>
      </c>
      <c r="S45" s="221">
        <f t="shared" si="7"/>
        <v>1</v>
      </c>
      <c r="T45" s="229" t="str">
        <f>ifs($L45="",VLOOKUP($B45&amp;$E45,'VISIT DATA'!$A$2:$J100,7,FALSE), $L45="SWAB","OUTSA-RW",$L45="SWQU","OUTSA-SaQu", AND($J45="X",$K45="X",$L45="QUEST"),"OUT-UAQPre",$L45="QUEST","OUT-UAQ", $L45="Walk in","ColUATele")</f>
        <v>OUTUA-FURW</v>
      </c>
      <c r="U45" s="24" t="str">
        <f t="shared" si="8"/>
        <v>OUTUA-FURW : OUT UA FU Redwood</v>
      </c>
      <c r="V45" s="222" t="str">
        <f t="shared" si="9"/>
        <v>OUTUA-FURW : OUT UA FU Redwood</v>
      </c>
      <c r="W45" s="222" t="str">
        <f t="shared" si="10"/>
        <v>MATCH</v>
      </c>
      <c r="X45" s="224" t="str">
        <f t="shared" si="11"/>
        <v> </v>
      </c>
      <c r="Y45" s="244"/>
    </row>
    <row r="46">
      <c r="A46" s="214" t="str">
        <f>IFS($B46=FALSE,"",$B46,VLOOKUP($B46,'PATIENT DATA (072721)'!A:C, 2, 0))</f>
        <v>VALENZUELA, LAURA J</v>
      </c>
      <c r="B46" s="215">
        <v>13446.0</v>
      </c>
      <c r="C46" s="216" t="str">
        <f>IF(COUNTIF('PATIENT DATA (072721)'!A:A, B46)=0, "X","✓")</f>
        <v>✓</v>
      </c>
      <c r="D46" s="226">
        <f>IFS($B46=FALSE,"",$B46,VLOOKUP($B46,'PATIENT DATA (072721)'!A:C, 3, 0))</f>
        <v>22265</v>
      </c>
      <c r="E46" s="218">
        <v>44567.0</v>
      </c>
      <c r="F46" s="219">
        <f>ifs($B46="","",$B46, VLOOKUP($B46&amp;$E46, 'VISIT DATA'!A:O,3,0))</f>
        <v>0.625</v>
      </c>
      <c r="G46" s="222" t="str">
        <f>VLOOKUP($B46&amp;$E46,'VISIT DATA'!A:J, 9, FALSE)</f>
        <v>MARTINEZ</v>
      </c>
      <c r="H46" s="223" t="str">
        <f>VLOOKUP(B46&amp;E46,'VISIT DATA'!A:N,10,FALSE)</f>
        <v>MOLINA MEDICAID TEXAS</v>
      </c>
      <c r="I46" s="224"/>
      <c r="J46" s="224" t="s">
        <v>6242</v>
      </c>
      <c r="K46" s="224" t="s">
        <v>6242</v>
      </c>
      <c r="L46" s="225"/>
      <c r="M46" s="216" t="str">
        <f t="shared" si="1"/>
        <v>✓</v>
      </c>
      <c r="N46" s="226" t="str">
        <f t="shared" si="2"/>
        <v>#VALUE!</v>
      </c>
      <c r="O46" s="227" t="str">
        <f t="shared" si="3"/>
        <v>X</v>
      </c>
      <c r="P46" s="228" t="str">
        <f t="shared" si="4"/>
        <v>#VALUE!</v>
      </c>
      <c r="Q46" s="220" t="str">
        <f t="shared" si="5"/>
        <v>#VALUE!</v>
      </c>
      <c r="R46" s="220" t="str">
        <f t="shared" si="6"/>
        <v>#VALUE!</v>
      </c>
      <c r="S46" s="221">
        <f t="shared" si="7"/>
        <v>1</v>
      </c>
      <c r="T46" s="229" t="str">
        <f>ifs($L46="",VLOOKUP($B46&amp;$E46,'VISIT DATA'!$A$2:$J100,7,FALSE), $L46="SWAB","OUTSA-RW",$L46="SWQU","OUTSA-SaQu", AND($J46="X",$K46="X",$L46="QUEST"),"OUT-UAQPre",$L46="QUEST","OUT-UAQ", $L46="Walk in","ColUATele")</f>
        <v>OUTUA-PrRW</v>
      </c>
      <c r="U46" s="24" t="str">
        <f t="shared" si="8"/>
        <v>OUTUA-PrRW : OUT UA Prelimin Redwood</v>
      </c>
      <c r="V46" s="222" t="str">
        <f t="shared" si="9"/>
        <v>OUTUA-PrRW : OUT UA Prelimin Redwood</v>
      </c>
      <c r="W46" s="222" t="str">
        <f t="shared" si="10"/>
        <v>MATCH</v>
      </c>
      <c r="X46" s="224" t="str">
        <f t="shared" si="11"/>
        <v> </v>
      </c>
      <c r="Y46" s="244"/>
    </row>
    <row r="47">
      <c r="A47" s="214" t="str">
        <f>IFS($B47=FALSE,"",$B47,VLOOKUP($B47,'PATIENT DATA (072721)'!A:C, 2, 0))</f>
        <v>DAVIDSON, ADRIANA</v>
      </c>
      <c r="B47" s="215">
        <v>13544.0</v>
      </c>
      <c r="C47" s="230" t="str">
        <f>IF(COUNTIF('PATIENT DATA (072721)'!A:A, B47)=0, "X","✓")</f>
        <v>✓</v>
      </c>
      <c r="D47" s="226">
        <f>IFS($B47=FALSE,"",$B47,VLOOKUP($B47,'PATIENT DATA (072721)'!A:C, 3, 0))</f>
        <v>27937</v>
      </c>
      <c r="E47" s="218">
        <v>44567.0</v>
      </c>
      <c r="F47" s="219">
        <f>ifs($B47="","",$B47, VLOOKUP($B47&amp;$E47, 'VISIT DATA'!A:O,3,0))</f>
        <v>0.6354166667</v>
      </c>
      <c r="G47" s="222" t="str">
        <f>VLOOKUP($B47&amp;$E47,'VISIT DATA'!A:J, 9, FALSE)</f>
        <v>MARTINEZ</v>
      </c>
      <c r="H47" s="223" t="str">
        <f>VLOOKUP(B47&amp;E47,'VISIT DATA'!A:N,10,FALSE)</f>
        <v>BCBSTX PPO</v>
      </c>
      <c r="I47" s="225"/>
      <c r="J47" s="224" t="s">
        <v>6242</v>
      </c>
      <c r="K47" s="224"/>
      <c r="L47" s="225"/>
      <c r="M47" s="216" t="str">
        <f t="shared" si="1"/>
        <v>✓</v>
      </c>
      <c r="N47" s="226" t="str">
        <f t="shared" si="2"/>
        <v>#VALUE!</v>
      </c>
      <c r="O47" s="227" t="str">
        <f t="shared" si="3"/>
        <v>#VALUE!</v>
      </c>
      <c r="P47" s="228" t="str">
        <f t="shared" si="4"/>
        <v>#VALUE!</v>
      </c>
      <c r="Q47" s="220" t="str">
        <f t="shared" si="5"/>
        <v>#VALUE!</v>
      </c>
      <c r="R47" s="220" t="str">
        <f t="shared" si="6"/>
        <v>#VALUE!</v>
      </c>
      <c r="S47" s="221">
        <f t="shared" si="7"/>
        <v>0</v>
      </c>
      <c r="T47" s="229" t="str">
        <f>ifs($L47="",VLOOKUP($B47&amp;$E47,'VISIT DATA'!$A$2:$J100,7,FALSE), $L47="SWAB","OUTSA-RW",$L47="SWQU","OUTSA-SaQu", AND($J47="X",$K47="X",$L47="QUEST"),"OUT-UAQPre",$L47="QUEST","OUT-UAQ", $L47="Walk in","ColUATele")</f>
        <v>UA</v>
      </c>
      <c r="U47" s="24" t="str">
        <f t="shared" si="8"/>
        <v>UA : Urine Analysis In House</v>
      </c>
      <c r="V47" s="222" t="str">
        <f t="shared" si="9"/>
        <v>UA : Urine Analysis In House</v>
      </c>
      <c r="W47" s="222" t="str">
        <f t="shared" si="10"/>
        <v>MATCH</v>
      </c>
      <c r="X47" s="224" t="str">
        <f t="shared" si="11"/>
        <v> </v>
      </c>
      <c r="Y47" s="244"/>
    </row>
    <row r="48">
      <c r="A48" s="214" t="str">
        <f>IFS($B48=FALSE,"",$B48,VLOOKUP($B48,'PATIENT DATA (072721)'!A:C, 2, 0))</f>
        <v>CALDERA, GEMA</v>
      </c>
      <c r="B48" s="215">
        <v>15253.0</v>
      </c>
      <c r="C48" s="230" t="str">
        <f>IF(COUNTIF('PATIENT DATA (072721)'!A:A, B48)=0, "X","✓")</f>
        <v>✓</v>
      </c>
      <c r="D48" s="226">
        <f>IFS($B48=FALSE,"",$B48,VLOOKUP($B48,'PATIENT DATA (072721)'!A:C, 3, 0))</f>
        <v>24706</v>
      </c>
      <c r="E48" s="218">
        <v>44567.0</v>
      </c>
      <c r="F48" s="219">
        <f>ifs($B48="","",$B48, VLOOKUP($B48&amp;$E48, 'VISIT DATA'!A:O,3,0))</f>
        <v>0.6458333333</v>
      </c>
      <c r="G48" s="222" t="str">
        <f>VLOOKUP($B48&amp;$E48,'VISIT DATA'!A:J, 9, FALSE)</f>
        <v>MARTINEZ</v>
      </c>
      <c r="H48" s="223" t="str">
        <f>VLOOKUP(B48&amp;E48,'VISIT DATA'!A:N,10,FALSE)</f>
        <v>AMERIVANTAGE DUAL</v>
      </c>
      <c r="I48" s="225"/>
      <c r="J48" s="224" t="s">
        <v>6242</v>
      </c>
      <c r="K48" s="224" t="s">
        <v>6242</v>
      </c>
      <c r="L48" s="224"/>
      <c r="M48" s="216" t="str">
        <f t="shared" si="1"/>
        <v>✓</v>
      </c>
      <c r="N48" s="226" t="str">
        <f t="shared" si="2"/>
        <v>#VALUE!</v>
      </c>
      <c r="O48" s="227" t="str">
        <f t="shared" si="3"/>
        <v>#VALUE!</v>
      </c>
      <c r="P48" s="228" t="str">
        <f t="shared" si="4"/>
        <v>#VALUE!</v>
      </c>
      <c r="Q48" s="220" t="str">
        <f t="shared" si="5"/>
        <v>#VALUE!</v>
      </c>
      <c r="R48" s="220" t="str">
        <f t="shared" si="6"/>
        <v>#VALUE!</v>
      </c>
      <c r="S48" s="221">
        <f t="shared" si="7"/>
        <v>0</v>
      </c>
      <c r="T48" s="229" t="str">
        <f>ifs($L48="",VLOOKUP($B48&amp;$E48,'VISIT DATA'!$A$2:$J100,7,FALSE), $L48="SWAB","OUTSA-RW",$L48="SWQU","OUTSA-SaQu", AND($J48="X",$K48="X",$L48="QUEST"),"OUT-UAQPre",$L48="QUEST","OUT-UAQ", $L48="Walk in","ColUATele")</f>
        <v>UA-Prelim</v>
      </c>
      <c r="U48" s="24" t="str">
        <f t="shared" si="8"/>
        <v>UA-Prelim : Preliminary UA Test</v>
      </c>
      <c r="V48" s="222" t="str">
        <f t="shared" si="9"/>
        <v>UA-Prelim : Preliminary UA Test</v>
      </c>
      <c r="W48" s="222" t="str">
        <f t="shared" si="10"/>
        <v>MATCH</v>
      </c>
      <c r="X48" s="224" t="str">
        <f t="shared" si="11"/>
        <v> </v>
      </c>
      <c r="Y48" s="244"/>
    </row>
    <row r="49">
      <c r="A49" s="214" t="str">
        <f>IFS($B49=FALSE,"",$B49,VLOOKUP($B49,'PATIENT DATA (072721)'!A:C, 2, 0))</f>
        <v>MARIN, ESPERANZA</v>
      </c>
      <c r="B49" s="215">
        <v>16515.0</v>
      </c>
      <c r="C49" s="247" t="str">
        <f>IF(COUNTIF('PATIENT DATA (072721)'!A:A, B49)=0, "X","✓")</f>
        <v>✓</v>
      </c>
      <c r="D49" s="226">
        <f>IFS($B49=FALSE,"",$B49,VLOOKUP($B49,'PATIENT DATA (072721)'!A:C, 3, 0))</f>
        <v>17317</v>
      </c>
      <c r="E49" s="218">
        <v>44567.0</v>
      </c>
      <c r="F49" s="219">
        <f>ifs($B49="","",$B49, VLOOKUP($B49&amp;$E49, 'VISIT DATA'!A:O,3,0))</f>
        <v>0.6354166667</v>
      </c>
      <c r="G49" s="222" t="str">
        <f>VLOOKUP($B49&amp;$E49,'VISIT DATA'!A:J, 9, FALSE)</f>
        <v>TORRES</v>
      </c>
      <c r="H49" s="223" t="str">
        <f>VLOOKUP(B49&amp;E49,'VISIT DATA'!A:N,10,FALSE)</f>
        <v>HUMANA GOLD PLUS HMO</v>
      </c>
      <c r="I49" s="225"/>
      <c r="J49" s="224" t="s">
        <v>6242</v>
      </c>
      <c r="K49" s="224"/>
      <c r="L49" s="225"/>
      <c r="M49" s="247" t="str">
        <f t="shared" si="1"/>
        <v>✓</v>
      </c>
      <c r="N49" s="226" t="str">
        <f t="shared" si="2"/>
        <v>#VALUE!</v>
      </c>
      <c r="O49" s="227" t="str">
        <f t="shared" si="3"/>
        <v>#VALUE!</v>
      </c>
      <c r="P49" s="228" t="str">
        <f t="shared" si="4"/>
        <v>#VALUE!</v>
      </c>
      <c r="Q49" s="220" t="str">
        <f t="shared" si="5"/>
        <v>#VALUE!</v>
      </c>
      <c r="R49" s="220" t="str">
        <f t="shared" si="6"/>
        <v>#VALUE!</v>
      </c>
      <c r="S49" s="221">
        <f t="shared" si="7"/>
        <v>0</v>
      </c>
      <c r="T49" s="229" t="str">
        <f>ifs($L49="",VLOOKUP($B49&amp;$E49,'VISIT DATA'!$A$2:$J100,7,FALSE), $L49="SWAB","OUTSA-RW",$L49="SWQU","OUTSA-SaQu", AND($J49="X",$K49="X",$L49="QUEST"),"OUT-UAQPre",$L49="QUEST","OUT-UAQ", $L49="Walk in","ColUATele")</f>
        <v>UA</v>
      </c>
      <c r="U49" s="24" t="str">
        <f t="shared" si="8"/>
        <v>UA : Urine Analysis In House</v>
      </c>
      <c r="V49" s="222" t="str">
        <f t="shared" si="9"/>
        <v>UA : Urine Analysis In House</v>
      </c>
      <c r="W49" s="222" t="str">
        <f t="shared" si="10"/>
        <v>MATCH</v>
      </c>
      <c r="X49" s="224" t="str">
        <f t="shared" si="11"/>
        <v> </v>
      </c>
      <c r="Y49" s="244"/>
    </row>
    <row r="50">
      <c r="A50" s="248" t="str">
        <f>IFS($B50=FALSE,"",$B50,VLOOKUP($B50,'PATIENT DATA (072721)'!A:C, 2, 0))</f>
        <v>MARTINEZ, JARA</v>
      </c>
      <c r="B50" s="249">
        <v>15479.0</v>
      </c>
      <c r="C50" s="250" t="str">
        <f>IF(COUNTIF('PATIENT DATA (072721)'!A:A, B50)=0, "X","✓")</f>
        <v>✓</v>
      </c>
      <c r="D50" s="251">
        <f>IFS($B50=FALSE,"",$B50,VLOOKUP($B50,'PATIENT DATA (072721)'!A:C, 3, 0))</f>
        <v>28397</v>
      </c>
      <c r="E50" s="252">
        <v>44567.0</v>
      </c>
      <c r="F50" s="253">
        <f>ifs($B50="","",$B50, VLOOKUP($B50&amp;$E50, 'VISIT DATA'!A:O,3,0))</f>
        <v>0.6458333333</v>
      </c>
      <c r="G50" s="256" t="str">
        <f>VLOOKUP($B50&amp;$E50,'VISIT DATA'!A:J, 9, FALSE)</f>
        <v>MARTINEZ</v>
      </c>
      <c r="H50" s="257" t="str">
        <f>VLOOKUP(B50&amp;E50,'VISIT DATA'!A:N,10,FALSE)</f>
        <v>UNITED HEALTH CARE CHOICEPLUS</v>
      </c>
      <c r="I50" s="258"/>
      <c r="J50" s="259" t="s">
        <v>6242</v>
      </c>
      <c r="K50" s="259" t="s">
        <v>6242</v>
      </c>
      <c r="L50" s="258"/>
      <c r="M50" s="260" t="str">
        <f t="shared" si="1"/>
        <v>✓</v>
      </c>
      <c r="N50" s="226" t="str">
        <f t="shared" si="2"/>
        <v>#VALUE!</v>
      </c>
      <c r="O50" s="227" t="str">
        <f t="shared" si="3"/>
        <v>#VALUE!</v>
      </c>
      <c r="P50" s="228" t="str">
        <f t="shared" si="4"/>
        <v>#VALUE!</v>
      </c>
      <c r="Q50" s="220" t="str">
        <f t="shared" si="5"/>
        <v>#VALUE!</v>
      </c>
      <c r="R50" s="220" t="str">
        <f t="shared" si="6"/>
        <v>#VALUE!</v>
      </c>
      <c r="S50" s="221">
        <f t="shared" si="7"/>
        <v>0</v>
      </c>
      <c r="T50" s="261" t="str">
        <f>ifs($L50="",VLOOKUP($B50&amp;$E50,'VISIT DATA'!$A$2:$J100,7,FALSE), $L50="SWAB","OUTSA-RW",$L50="SWQU","OUTSA-SaQu", AND($J50="X",$K50="X",$L50="QUEST"),"OUT-UAQPre",$L50="QUEST","OUT-UAQ", $L50="Walk in","ColUATele")</f>
        <v>UA-Prelim</v>
      </c>
      <c r="U50" s="24" t="str">
        <f t="shared" si="8"/>
        <v>UA-Prelim : Preliminary UA Test</v>
      </c>
      <c r="V50" s="222" t="str">
        <f t="shared" si="9"/>
        <v>UA-Prelim : Preliminary UA Test</v>
      </c>
      <c r="W50" s="222" t="str">
        <f t="shared" si="10"/>
        <v>MATCH</v>
      </c>
      <c r="X50" s="224" t="str">
        <f t="shared" si="11"/>
        <v> </v>
      </c>
      <c r="Y50" s="244"/>
    </row>
    <row r="51">
      <c r="A51" s="214" t="str">
        <f>IFS($B51=FALSE,"",$B51,VLOOKUP($B51,'PATIENT DATA (072721)'!A:C, 2, 0))</f>
        <v>PORTILLO, MARIA R</v>
      </c>
      <c r="B51" s="215">
        <v>9337.0</v>
      </c>
      <c r="C51" s="230" t="str">
        <f>IF(COUNTIF('PATIENT DATA (072721)'!A:A, B51)=0, "X","✓")</f>
        <v>✓</v>
      </c>
      <c r="D51" s="226">
        <f>IFS($B51=FALSE,"",$B51,VLOOKUP($B51,'PATIENT DATA (072721)'!A:C, 3, 0))</f>
        <v>17297</v>
      </c>
      <c r="E51" s="218">
        <v>44567.0</v>
      </c>
      <c r="F51" s="219" t="str">
        <f>ifs($B51="","",$B51, VLOOKUP($B51&amp;$E51, 'VISIT DATA'!A:O,3,0))</f>
        <v>#N/A</v>
      </c>
      <c r="G51" s="262" t="str">
        <f>VLOOKUP($B51&amp;$E51,'VISIT DATA'!A:J, 9, FALSE)</f>
        <v>#N/A</v>
      </c>
      <c r="H51" s="223" t="str">
        <f>VLOOKUP(B51&amp;E51,'VISIT DATA'!A:N,10,FALSE)</f>
        <v>#N/A</v>
      </c>
      <c r="I51" s="225"/>
      <c r="J51" s="224" t="s">
        <v>6242</v>
      </c>
      <c r="K51" s="224"/>
      <c r="L51" s="225"/>
      <c r="M51" s="216" t="str">
        <f t="shared" si="1"/>
        <v>✓</v>
      </c>
      <c r="N51" s="226" t="str">
        <f t="shared" si="2"/>
        <v>#N/A</v>
      </c>
      <c r="O51" s="227" t="str">
        <f t="shared" si="3"/>
        <v>#N/A</v>
      </c>
      <c r="P51" s="228" t="str">
        <f t="shared" si="4"/>
        <v>#N/A</v>
      </c>
      <c r="Q51" s="220" t="str">
        <f t="shared" si="5"/>
        <v>#N/A</v>
      </c>
      <c r="R51" s="220" t="str">
        <f t="shared" si="6"/>
        <v>#N/A</v>
      </c>
      <c r="S51" s="221">
        <f t="shared" si="7"/>
        <v>0</v>
      </c>
      <c r="T51" s="229" t="str">
        <f>ifs($L51="",VLOOKUP($B51&amp;$E51,'VISIT DATA'!$A$2:$J100,7,FALSE), $L51="SWAB","OUTSA-RW",$L51="SWQU","OUTSA-SaQu", AND($J51="X",$K51="X",$L51="QUEST"),"OUT-UAQPre",$L51="QUEST","OUT-UAQ", $L51="Walk in","ColUATele")</f>
        <v>#N/A</v>
      </c>
      <c r="U51" s="24" t="str">
        <f t="shared" si="8"/>
        <v>#N/A</v>
      </c>
      <c r="V51" s="222" t="str">
        <f t="shared" si="9"/>
        <v>UA : Urine Analysis In House</v>
      </c>
      <c r="W51" s="222" t="str">
        <f t="shared" si="10"/>
        <v>#N/A</v>
      </c>
      <c r="X51" s="224" t="str">
        <f t="shared" si="11"/>
        <v> </v>
      </c>
      <c r="Y51" s="244"/>
    </row>
    <row r="52">
      <c r="A52" s="214" t="str">
        <f>IFS($B52=FALSE,"",$B52,VLOOKUP($B52,'PATIENT DATA (072721)'!A:C, 2, 0))</f>
        <v>JASSO, CECILIA</v>
      </c>
      <c r="B52" s="215">
        <v>10415.0</v>
      </c>
      <c r="C52" s="230" t="str">
        <f>IF(COUNTIF('PATIENT DATA (072721)'!A:A, B52)=0, "X","✓")</f>
        <v>✓</v>
      </c>
      <c r="D52" s="226">
        <f>IFS($B52=FALSE,"",$B52,VLOOKUP($B52,'PATIENT DATA (072721)'!A:C, 3, 0))</f>
        <v>25164</v>
      </c>
      <c r="E52" s="218">
        <v>44567.0</v>
      </c>
      <c r="F52" s="219">
        <f>ifs($B52="","",$B52, VLOOKUP($B52&amp;$E52, 'VISIT DATA'!A:O,3,0))</f>
        <v>0.6458333333</v>
      </c>
      <c r="G52" s="262" t="str">
        <f>VLOOKUP($B52&amp;$E52,'VISIT DATA'!A:J, 9, FALSE)</f>
        <v>TORRES</v>
      </c>
      <c r="H52" s="223" t="str">
        <f>VLOOKUP(B52&amp;E52,'VISIT DATA'!A:N,10,FALSE)</f>
        <v>MEDICARE TEXAS</v>
      </c>
      <c r="I52" s="225"/>
      <c r="J52" s="224" t="s">
        <v>6242</v>
      </c>
      <c r="K52" s="224"/>
      <c r="L52" s="225"/>
      <c r="M52" s="216" t="str">
        <f t="shared" si="1"/>
        <v>✓</v>
      </c>
      <c r="N52" s="226" t="str">
        <f t="shared" si="2"/>
        <v>#VALUE!</v>
      </c>
      <c r="O52" s="227" t="str">
        <f t="shared" si="3"/>
        <v>#VALUE!</v>
      </c>
      <c r="P52" s="228" t="str">
        <f t="shared" si="4"/>
        <v>#VALUE!</v>
      </c>
      <c r="Q52" s="220" t="str">
        <f t="shared" si="5"/>
        <v>#VALUE!</v>
      </c>
      <c r="R52" s="220" t="str">
        <f t="shared" si="6"/>
        <v>#VALUE!</v>
      </c>
      <c r="S52" s="221">
        <f t="shared" si="7"/>
        <v>0</v>
      </c>
      <c r="T52" s="229" t="str">
        <f>ifs($L52="",VLOOKUP($B52&amp;$E52,'VISIT DATA'!$A$2:$J100,7,FALSE), $L52="SWAB","OUTSA-RW",$L52="SWQU","OUTSA-SaQu", AND($J52="X",$K52="X",$L52="QUEST"),"OUT-UAQPre",$L52="QUEST","OUT-UAQ", $L52="Walk in","ColUATele")</f>
        <v>UA</v>
      </c>
      <c r="U52" s="24" t="str">
        <f t="shared" si="8"/>
        <v>UA : Urine Analysis In House</v>
      </c>
      <c r="V52" s="222" t="str">
        <f t="shared" si="9"/>
        <v>UA : Urine Analysis In House</v>
      </c>
      <c r="W52" s="222" t="str">
        <f t="shared" si="10"/>
        <v>MATCH</v>
      </c>
      <c r="X52" s="224" t="str">
        <f t="shared" si="11"/>
        <v> </v>
      </c>
      <c r="Y52" s="244"/>
    </row>
    <row r="53">
      <c r="A53" s="214" t="str">
        <f>IFS($B53=FALSE,"",$B53,VLOOKUP($B53,'PATIENT DATA (072721)'!A:C, 2, 0))</f>
        <v/>
      </c>
      <c r="B53" s="215"/>
      <c r="C53" s="230" t="str">
        <f>IF(COUNTIF('PATIENT DATA (072721)'!A:A, B53)=0, "X","✓")</f>
        <v>X</v>
      </c>
      <c r="D53" s="226" t="str">
        <f>IFS($B53=FALSE,"",$B53,VLOOKUP($B53,'PATIENT DATA (072721)'!A:C, 3, 0))</f>
        <v/>
      </c>
      <c r="E53" s="218">
        <v>44567.0</v>
      </c>
      <c r="F53" s="219" t="str">
        <f>ifs($B53="","",$B53, VLOOKUP($B53&amp;$E53, 'VISIT DATA'!A:O,3,0))</f>
        <v/>
      </c>
      <c r="G53" s="262" t="str">
        <f>VLOOKUP($B53&amp;$E53,'VISIT DATA'!A:J, 9, FALSE)</f>
        <v>#N/A</v>
      </c>
      <c r="H53" s="223" t="str">
        <f>VLOOKUP(B53&amp;E53,'VISIT DATA'!A:N,10,FALSE)</f>
        <v>#N/A</v>
      </c>
      <c r="I53" s="224"/>
      <c r="J53" s="224"/>
      <c r="K53" s="224"/>
      <c r="L53" s="225"/>
      <c r="M53" s="216" t="str">
        <f t="shared" si="1"/>
        <v>X</v>
      </c>
      <c r="N53" s="226" t="str">
        <f t="shared" si="2"/>
        <v>#N/A</v>
      </c>
      <c r="O53" s="227" t="str">
        <f t="shared" si="3"/>
        <v>#N/A</v>
      </c>
      <c r="P53" s="228" t="str">
        <f t="shared" si="4"/>
        <v>#N/A</v>
      </c>
      <c r="Q53" s="220" t="str">
        <f t="shared" si="5"/>
        <v>#N/A</v>
      </c>
      <c r="R53" s="220" t="str">
        <f t="shared" si="6"/>
        <v>#N/A</v>
      </c>
      <c r="S53" s="221">
        <f t="shared" si="7"/>
        <v>0</v>
      </c>
      <c r="T53" s="229" t="str">
        <f>ifs($L53="",VLOOKUP($B53&amp;$E53,'VISIT DATA'!$A$2:$J100,7,FALSE), $L53="SWAB","OUTSA-RW",$L53="SWQU","OUTSA-SaQu", AND($J53="X",$K53="X",$L53="QUEST"),"OUT-UAQPre",$L53="QUEST","OUT-UAQ", $L53="Walk in","ColUATele")</f>
        <v>#N/A</v>
      </c>
      <c r="U53" s="24" t="str">
        <f t="shared" si="8"/>
        <v>#N/A</v>
      </c>
      <c r="V53" s="222" t="str">
        <f t="shared" si="9"/>
        <v/>
      </c>
      <c r="W53" s="222" t="str">
        <f t="shared" si="10"/>
        <v/>
      </c>
      <c r="X53" s="224" t="str">
        <f t="shared" si="11"/>
        <v> </v>
      </c>
      <c r="Y53" s="244"/>
    </row>
    <row r="54">
      <c r="A54" s="214" t="str">
        <f>IFS($B54=FALSE,"",$B54,VLOOKUP($B54,'PATIENT DATA (072721)'!A:C, 2, 0))</f>
        <v/>
      </c>
      <c r="B54" s="215"/>
      <c r="C54" s="230" t="str">
        <f>IF(COUNTIF('PATIENT DATA (072721)'!A:A, B54)=0, "X","✓")</f>
        <v>X</v>
      </c>
      <c r="D54" s="226" t="str">
        <f>IFS($B54=FALSE,"",$B54,VLOOKUP($B54,'PATIENT DATA (072721)'!A:C, 3, 0))</f>
        <v/>
      </c>
      <c r="E54" s="218">
        <v>44567.0</v>
      </c>
      <c r="F54" s="219" t="str">
        <f>ifs($B54="","",$B54, VLOOKUP($B54&amp;$E54, 'VISIT DATA'!A:O,3,0))</f>
        <v/>
      </c>
      <c r="G54" s="262" t="str">
        <f>VLOOKUP($B54&amp;$E54,'VISIT DATA'!A:J, 9, FALSE)</f>
        <v>#N/A</v>
      </c>
      <c r="H54" s="223" t="str">
        <f>VLOOKUP(B54&amp;E54,'VISIT DATA'!A:N,10,FALSE)</f>
        <v>#N/A</v>
      </c>
      <c r="I54" s="225"/>
      <c r="J54" s="224"/>
      <c r="K54" s="224"/>
      <c r="L54" s="225"/>
      <c r="M54" s="216" t="str">
        <f t="shared" si="1"/>
        <v>X</v>
      </c>
      <c r="N54" s="226" t="str">
        <f t="shared" si="2"/>
        <v>#N/A</v>
      </c>
      <c r="O54" s="227" t="str">
        <f t="shared" si="3"/>
        <v>#N/A</v>
      </c>
      <c r="P54" s="228" t="str">
        <f t="shared" si="4"/>
        <v>#N/A</v>
      </c>
      <c r="Q54" s="220" t="str">
        <f t="shared" si="5"/>
        <v>#N/A</v>
      </c>
      <c r="R54" s="220" t="str">
        <f t="shared" si="6"/>
        <v>#N/A</v>
      </c>
      <c r="S54" s="221">
        <f t="shared" si="7"/>
        <v>0</v>
      </c>
      <c r="T54" s="229" t="str">
        <f>ifs($L54="",VLOOKUP($B54&amp;$E54,'VISIT DATA'!$A$2:$J100,7,FALSE), $L54="SWAB","OUTSA-RW",$L54="SWQU","OUTSA-SaQu", AND($J54="X",$K54="X",$L54="QUEST"),"OUT-UAQPre",$L54="QUEST","OUT-UAQ", $L54="Walk in","ColUATele")</f>
        <v>#N/A</v>
      </c>
      <c r="U54" s="24" t="str">
        <f t="shared" si="8"/>
        <v>#N/A</v>
      </c>
      <c r="V54" s="222" t="str">
        <f t="shared" si="9"/>
        <v/>
      </c>
      <c r="W54" s="222" t="str">
        <f t="shared" si="10"/>
        <v/>
      </c>
      <c r="X54" s="224" t="str">
        <f t="shared" si="11"/>
        <v> </v>
      </c>
      <c r="Y54" s="244"/>
    </row>
    <row r="55">
      <c r="A55" s="214" t="str">
        <f>IFS($B55=FALSE,"",$B55,VLOOKUP($B55,'PATIENT DATA (072721)'!A:C, 2, 0))</f>
        <v/>
      </c>
      <c r="B55" s="215"/>
      <c r="C55" s="230" t="str">
        <f>IF(COUNTIF('PATIENT DATA (072721)'!A:A, B55)=0, "X","✓")</f>
        <v>X</v>
      </c>
      <c r="D55" s="226" t="str">
        <f>IFS($B55=FALSE,"",$B55,VLOOKUP($B55,'PATIENT DATA (072721)'!A:C, 3, 0))</f>
        <v/>
      </c>
      <c r="E55" s="218">
        <v>44567.0</v>
      </c>
      <c r="F55" s="219" t="str">
        <f>ifs($B55="","",$B55, VLOOKUP($B55&amp;$E55, 'VISIT DATA'!A:O,3,0))</f>
        <v/>
      </c>
      <c r="G55" s="262" t="str">
        <f>VLOOKUP($B55&amp;$E55,'VISIT DATA'!A:J, 9, FALSE)</f>
        <v>#N/A</v>
      </c>
      <c r="H55" s="223" t="str">
        <f>VLOOKUP(B55&amp;E55,'VISIT DATA'!A:N,10,FALSE)</f>
        <v>#N/A</v>
      </c>
      <c r="I55" s="225"/>
      <c r="J55" s="224"/>
      <c r="K55" s="224"/>
      <c r="L55" s="225"/>
      <c r="M55" s="216" t="str">
        <f t="shared" si="1"/>
        <v>X</v>
      </c>
      <c r="N55" s="226" t="str">
        <f t="shared" si="2"/>
        <v>#N/A</v>
      </c>
      <c r="O55" s="227" t="str">
        <f t="shared" si="3"/>
        <v>#N/A</v>
      </c>
      <c r="P55" s="228" t="str">
        <f t="shared" si="4"/>
        <v>#N/A</v>
      </c>
      <c r="Q55" s="220" t="str">
        <f t="shared" si="5"/>
        <v>#N/A</v>
      </c>
      <c r="R55" s="220" t="str">
        <f t="shared" si="6"/>
        <v>#N/A</v>
      </c>
      <c r="S55" s="221">
        <f t="shared" si="7"/>
        <v>0</v>
      </c>
      <c r="T55" s="229" t="str">
        <f>ifs($L55="",VLOOKUP($B55&amp;$E55,'VISIT DATA'!$A$2:$J100,7,FALSE), $L55="SWAB","OUTSA-RW",$L55="SWQU","OUTSA-SaQu", AND($J55="X",$K55="X",$L55="QUEST"),"OUT-UAQPre",$L55="QUEST","OUT-UAQ", $L55="Walk in","ColUATele")</f>
        <v>#N/A</v>
      </c>
      <c r="U55" s="24" t="str">
        <f t="shared" si="8"/>
        <v>#N/A</v>
      </c>
      <c r="V55" s="222" t="str">
        <f t="shared" si="9"/>
        <v/>
      </c>
      <c r="W55" s="222" t="str">
        <f t="shared" si="10"/>
        <v/>
      </c>
      <c r="X55" s="224" t="str">
        <f t="shared" si="11"/>
        <v> </v>
      </c>
      <c r="Y55" s="244"/>
    </row>
    <row r="56">
      <c r="A56" s="214" t="str">
        <f>IFS($B56=FALSE,"",$B56,VLOOKUP($B56,'PATIENT DATA (072721)'!A:C, 2, 0))</f>
        <v/>
      </c>
      <c r="B56" s="215"/>
      <c r="C56" s="230" t="str">
        <f>IF(COUNTIF('PATIENT DATA (072721)'!A:A, B56)=0, "X","✓")</f>
        <v>X</v>
      </c>
      <c r="D56" s="226" t="str">
        <f>IFS($B56=FALSE,"",$B56,VLOOKUP($B56,'PATIENT DATA (072721)'!A:C, 3, 0))</f>
        <v/>
      </c>
      <c r="E56" s="218">
        <v>44567.0</v>
      </c>
      <c r="F56" s="219" t="str">
        <f>ifs($B56="","",$B56, VLOOKUP($B56&amp;$E56, 'VISIT DATA'!A:O,3,0))</f>
        <v/>
      </c>
      <c r="G56" s="262" t="str">
        <f>VLOOKUP($B56&amp;$E56,'VISIT DATA'!A:J, 9, FALSE)</f>
        <v>#N/A</v>
      </c>
      <c r="H56" s="223" t="str">
        <f>VLOOKUP(B56&amp;E56,'VISIT DATA'!A:N,10,FALSE)</f>
        <v>#N/A</v>
      </c>
      <c r="I56" s="225"/>
      <c r="J56" s="224"/>
      <c r="K56" s="224"/>
      <c r="L56" s="225"/>
      <c r="M56" s="216" t="str">
        <f t="shared" si="1"/>
        <v>X</v>
      </c>
      <c r="N56" s="226" t="str">
        <f t="shared" si="2"/>
        <v>#N/A</v>
      </c>
      <c r="O56" s="227" t="str">
        <f t="shared" si="3"/>
        <v>#N/A</v>
      </c>
      <c r="P56" s="228" t="str">
        <f t="shared" si="4"/>
        <v>#N/A</v>
      </c>
      <c r="Q56" s="220" t="str">
        <f t="shared" si="5"/>
        <v>#N/A</v>
      </c>
      <c r="R56" s="220" t="str">
        <f t="shared" si="6"/>
        <v>#N/A</v>
      </c>
      <c r="S56" s="221">
        <f t="shared" si="7"/>
        <v>0</v>
      </c>
      <c r="T56" s="229" t="str">
        <f>ifs($L56="",VLOOKUP($B56&amp;$E56,'VISIT DATA'!$A$2:$J100,7,FALSE), $L56="SWAB","OUTSA-RW",$L56="SWQU","OUTSA-SaQu", AND($J56="X",$K56="X",$L56="QUEST"),"OUT-UAQPre",$L56="QUEST","OUT-UAQ", $L56="Walk in","ColUATele")</f>
        <v>#N/A</v>
      </c>
      <c r="U56" s="24" t="str">
        <f t="shared" si="8"/>
        <v>#N/A</v>
      </c>
      <c r="V56" s="222" t="str">
        <f t="shared" si="9"/>
        <v/>
      </c>
      <c r="W56" s="222" t="str">
        <f t="shared" si="10"/>
        <v/>
      </c>
      <c r="X56" s="224" t="str">
        <f t="shared" si="11"/>
        <v> </v>
      </c>
      <c r="Y56" s="244"/>
    </row>
    <row r="57">
      <c r="A57" s="214" t="str">
        <f>IFS($B57=FALSE,"",$B57,VLOOKUP($B57,'PATIENT DATA (072721)'!A:C, 2, 0))</f>
        <v/>
      </c>
      <c r="B57" s="215"/>
      <c r="C57" s="230" t="str">
        <f>IF(COUNTIF('PATIENT DATA (072721)'!A:A, B57)=0, "X","✓")</f>
        <v>X</v>
      </c>
      <c r="D57" s="226" t="str">
        <f>IFS($B57=FALSE,"",$B57,VLOOKUP($B57,'PATIENT DATA (072721)'!A:C, 3, 0))</f>
        <v/>
      </c>
      <c r="E57" s="218">
        <v>44567.0</v>
      </c>
      <c r="F57" s="219" t="str">
        <f>ifs($B57="","",$B57, VLOOKUP($B57&amp;$E57, 'VISIT DATA'!A:O,3,0))</f>
        <v/>
      </c>
      <c r="G57" s="262" t="str">
        <f>VLOOKUP($B57&amp;$E57,'VISIT DATA'!A:J, 9, FALSE)</f>
        <v>#N/A</v>
      </c>
      <c r="H57" s="223" t="str">
        <f>VLOOKUP(B57&amp;E57,'VISIT DATA'!A:N,10,FALSE)</f>
        <v>#N/A</v>
      </c>
      <c r="I57" s="225"/>
      <c r="J57" s="224"/>
      <c r="K57" s="224"/>
      <c r="L57" s="225"/>
      <c r="M57" s="216" t="str">
        <f t="shared" si="1"/>
        <v>X</v>
      </c>
      <c r="N57" s="226" t="str">
        <f t="shared" si="2"/>
        <v>#N/A</v>
      </c>
      <c r="O57" s="227" t="str">
        <f t="shared" si="3"/>
        <v>#N/A</v>
      </c>
      <c r="P57" s="228" t="str">
        <f t="shared" si="4"/>
        <v>#N/A</v>
      </c>
      <c r="Q57" s="220" t="str">
        <f t="shared" si="5"/>
        <v>#N/A</v>
      </c>
      <c r="R57" s="220" t="str">
        <f t="shared" si="6"/>
        <v>#N/A</v>
      </c>
      <c r="S57" s="221">
        <f t="shared" si="7"/>
        <v>0</v>
      </c>
      <c r="T57" s="229" t="str">
        <f>ifs($L57="",VLOOKUP($B57&amp;$E57,'VISIT DATA'!$A$2:$J100,7,FALSE), $L57="SWAB","OUTSA-RW",$L57="SWQU","OUTSA-SaQu", AND($J57="X",$K57="X",$L57="QUEST"),"OUT-UAQPre",$L57="QUEST","OUT-UAQ", $L57="Walk in","ColUATele")</f>
        <v>#N/A</v>
      </c>
      <c r="U57" s="24" t="str">
        <f t="shared" si="8"/>
        <v>#N/A</v>
      </c>
      <c r="V57" s="222" t="str">
        <f t="shared" si="9"/>
        <v/>
      </c>
      <c r="W57" s="222" t="str">
        <f t="shared" si="10"/>
        <v/>
      </c>
      <c r="X57" s="224" t="str">
        <f t="shared" si="11"/>
        <v> </v>
      </c>
      <c r="Y57" s="244"/>
    </row>
    <row r="58">
      <c r="A58" s="214" t="str">
        <f>IFS($B58=FALSE,"",$B58,VLOOKUP($B58,'PATIENT DATA (072721)'!A:C, 2, 0))</f>
        <v/>
      </c>
      <c r="B58" s="215"/>
      <c r="C58" s="230" t="str">
        <f>IF(COUNTIF('PATIENT DATA (072721)'!A:A, B58)=0, "X","✓")</f>
        <v>X</v>
      </c>
      <c r="D58" s="226" t="str">
        <f>IFS($B58=FALSE,"",$B58,VLOOKUP($B58,'PATIENT DATA (072721)'!A:C, 3, 0))</f>
        <v/>
      </c>
      <c r="E58" s="218">
        <v>44567.0</v>
      </c>
      <c r="F58" s="219" t="str">
        <f>ifs($B58="","",$B58, VLOOKUP($B58&amp;$E58, 'VISIT DATA'!A:O,3,0))</f>
        <v/>
      </c>
      <c r="G58" s="262" t="str">
        <f>VLOOKUP($B58&amp;$E58,'VISIT DATA'!A:J, 9, FALSE)</f>
        <v>#N/A</v>
      </c>
      <c r="H58" s="223" t="str">
        <f>VLOOKUP(B58&amp;E58,'VISIT DATA'!A:N,10,FALSE)</f>
        <v>#N/A</v>
      </c>
      <c r="I58" s="224"/>
      <c r="J58" s="224"/>
      <c r="K58" s="224"/>
      <c r="L58" s="225"/>
      <c r="M58" s="216" t="str">
        <f t="shared" si="1"/>
        <v>X</v>
      </c>
      <c r="N58" s="226" t="str">
        <f t="shared" si="2"/>
        <v>#N/A</v>
      </c>
      <c r="O58" s="227" t="str">
        <f t="shared" si="3"/>
        <v>#N/A</v>
      </c>
      <c r="P58" s="228" t="str">
        <f t="shared" si="4"/>
        <v>#N/A</v>
      </c>
      <c r="Q58" s="220" t="str">
        <f t="shared" si="5"/>
        <v>#N/A</v>
      </c>
      <c r="R58" s="220" t="str">
        <f t="shared" si="6"/>
        <v>#N/A</v>
      </c>
      <c r="S58" s="221">
        <f t="shared" si="7"/>
        <v>0</v>
      </c>
      <c r="T58" s="229" t="str">
        <f>ifs($L58="",VLOOKUP($B58&amp;$E58,'VISIT DATA'!$A$2:$J100,7,FALSE), $L58="SWAB","OUTSA-RW",$L58="SWQU","OUTSA-SaQu", AND($J58="X",$K58="X",$L58="QUEST"),"OUT-UAQPre",$L58="QUEST","OUT-UAQ", $L58="Walk in","ColUATele")</f>
        <v>#N/A</v>
      </c>
      <c r="U58" s="24" t="str">
        <f t="shared" si="8"/>
        <v>#N/A</v>
      </c>
      <c r="V58" s="222" t="str">
        <f t="shared" si="9"/>
        <v/>
      </c>
      <c r="W58" s="222" t="str">
        <f t="shared" si="10"/>
        <v/>
      </c>
      <c r="X58" s="224" t="str">
        <f t="shared" si="11"/>
        <v> </v>
      </c>
      <c r="Y58" s="245"/>
    </row>
    <row r="59">
      <c r="A59" s="214" t="str">
        <f>IFS($B59=FALSE,"",$B59,VLOOKUP($B59,'PATIENT DATA (072721)'!A:C, 2, 0))</f>
        <v/>
      </c>
      <c r="B59" s="215"/>
      <c r="C59" s="230" t="str">
        <f>IF(COUNTIF('PATIENT DATA (072721)'!A:A, B59)=0, "X","✓")</f>
        <v>X</v>
      </c>
      <c r="D59" s="226" t="str">
        <f>IFS($B59=FALSE,"",$B59,VLOOKUP($B59,'PATIENT DATA (072721)'!A:C, 3, 0))</f>
        <v/>
      </c>
      <c r="E59" s="218">
        <v>44567.0</v>
      </c>
      <c r="F59" s="219" t="str">
        <f>ifs($B59="","",$B59, VLOOKUP($B59&amp;$E59, 'VISIT DATA'!A:O,3,0))</f>
        <v/>
      </c>
      <c r="G59" s="262" t="str">
        <f>VLOOKUP($B59&amp;$E59,'VISIT DATA'!A:J, 9, FALSE)</f>
        <v>#N/A</v>
      </c>
      <c r="H59" s="223" t="str">
        <f>VLOOKUP(B59&amp;E59,'VISIT DATA'!A:N,10,FALSE)</f>
        <v>#N/A</v>
      </c>
      <c r="I59" s="224"/>
      <c r="J59" s="224"/>
      <c r="K59" s="224"/>
      <c r="L59" s="225"/>
      <c r="M59" s="216" t="str">
        <f t="shared" si="1"/>
        <v>X</v>
      </c>
      <c r="N59" s="226" t="str">
        <f t="shared" si="2"/>
        <v>#N/A</v>
      </c>
      <c r="O59" s="227" t="str">
        <f t="shared" si="3"/>
        <v>#N/A</v>
      </c>
      <c r="P59" s="228" t="str">
        <f t="shared" si="4"/>
        <v>#N/A</v>
      </c>
      <c r="Q59" s="220" t="str">
        <f t="shared" si="5"/>
        <v>#N/A</v>
      </c>
      <c r="R59" s="220" t="str">
        <f t="shared" si="6"/>
        <v>#N/A</v>
      </c>
      <c r="S59" s="221">
        <f t="shared" si="7"/>
        <v>0</v>
      </c>
      <c r="T59" s="229" t="str">
        <f>ifs($L59="",VLOOKUP($B59&amp;$E59,'VISIT DATA'!$A$2:$J100,7,FALSE), $L59="SWAB","OUTSA-RW",$L59="SWQU","OUTSA-SaQu", AND($J59="X",$K59="X",$L59="QUEST"),"OUT-UAQPre",$L59="QUEST","OUT-UAQ", $L59="Walk in","ColUATele")</f>
        <v>#N/A</v>
      </c>
      <c r="U59" s="24" t="str">
        <f t="shared" si="8"/>
        <v>#N/A</v>
      </c>
      <c r="V59" s="222" t="str">
        <f t="shared" si="9"/>
        <v/>
      </c>
      <c r="W59" s="222" t="str">
        <f t="shared" si="10"/>
        <v/>
      </c>
      <c r="X59" s="224" t="str">
        <f t="shared" si="11"/>
        <v> </v>
      </c>
      <c r="Y59" s="244"/>
    </row>
    <row r="60">
      <c r="A60" s="214" t="str">
        <f>IFS($B60=FALSE,"",$B60,VLOOKUP($B60,'PATIENT DATA (072721)'!A:C, 2, 0))</f>
        <v/>
      </c>
      <c r="B60" s="215"/>
      <c r="C60" s="230" t="str">
        <f>IF(COUNTIF('PATIENT DATA (072721)'!A:A, B60)=0, "X","✓")</f>
        <v>X</v>
      </c>
      <c r="D60" s="226" t="str">
        <f>IFS($B60=FALSE,"",$B60,VLOOKUP($B60,'PATIENT DATA (072721)'!A:C, 3, 0))</f>
        <v/>
      </c>
      <c r="E60" s="218">
        <v>44567.0</v>
      </c>
      <c r="F60" s="219" t="str">
        <f>ifs($B60="","",$B60, VLOOKUP($B60&amp;$E60, 'VISIT DATA'!A:O,3,0))</f>
        <v/>
      </c>
      <c r="G60" s="262" t="str">
        <f>VLOOKUP($B60&amp;$E60,'VISIT DATA'!A:J, 9, FALSE)</f>
        <v>#N/A</v>
      </c>
      <c r="H60" s="223" t="str">
        <f>VLOOKUP(B60&amp;E60,'VISIT DATA'!A:N,10,FALSE)</f>
        <v>#N/A</v>
      </c>
      <c r="I60" s="225"/>
      <c r="J60" s="224"/>
      <c r="K60" s="224"/>
      <c r="L60" s="225"/>
      <c r="M60" s="216" t="str">
        <f t="shared" si="1"/>
        <v>X</v>
      </c>
      <c r="N60" s="226" t="str">
        <f t="shared" si="2"/>
        <v>#N/A</v>
      </c>
      <c r="O60" s="227" t="str">
        <f t="shared" si="3"/>
        <v>#N/A</v>
      </c>
      <c r="P60" s="228" t="str">
        <f t="shared" si="4"/>
        <v>#N/A</v>
      </c>
      <c r="Q60" s="220" t="str">
        <f t="shared" si="5"/>
        <v>#N/A</v>
      </c>
      <c r="R60" s="220" t="str">
        <f t="shared" si="6"/>
        <v>#N/A</v>
      </c>
      <c r="S60" s="221">
        <f t="shared" si="7"/>
        <v>0</v>
      </c>
      <c r="T60" s="229" t="str">
        <f>ifs($L60="",VLOOKUP($B60&amp;$E60,'VISIT DATA'!$A$2:$J100,7,FALSE), $L60="SWAB","OUTSA-RW",$L60="SWQU","OUTSA-SaQu", AND($J60="X",$K60="X",$L60="QUEST"),"OUT-UAQPre",$L60="QUEST","OUT-UAQ", $L60="Walk in","ColUATele")</f>
        <v>#N/A</v>
      </c>
      <c r="U60" s="24" t="str">
        <f t="shared" si="8"/>
        <v>#N/A</v>
      </c>
      <c r="V60" s="222" t="str">
        <f t="shared" si="9"/>
        <v/>
      </c>
      <c r="W60" s="222" t="str">
        <f t="shared" si="10"/>
        <v/>
      </c>
      <c r="X60" s="224" t="str">
        <f t="shared" si="11"/>
        <v> </v>
      </c>
      <c r="Y60" s="244"/>
    </row>
    <row r="61">
      <c r="A61" s="214" t="str">
        <f>IFS($B61=FALSE,"",$B61,VLOOKUP($B61,'PATIENT DATA (072721)'!A:C, 2, 0))</f>
        <v/>
      </c>
      <c r="B61" s="215"/>
      <c r="C61" s="230" t="str">
        <f>IF(COUNTIF('PATIENT DATA (072721)'!A:A, B61)=0, "X","✓")</f>
        <v>X</v>
      </c>
      <c r="D61" s="226" t="str">
        <f>IFS($B61=FALSE,"",$B61,VLOOKUP($B61,'PATIENT DATA (072721)'!A:C, 3, 0))</f>
        <v/>
      </c>
      <c r="E61" s="218">
        <v>44567.0</v>
      </c>
      <c r="F61" s="219" t="str">
        <f>ifs($B61="","",$B61, VLOOKUP($B61&amp;$E61, 'VISIT DATA'!A:O,3,0))</f>
        <v/>
      </c>
      <c r="G61" s="262" t="str">
        <f>VLOOKUP($B61&amp;$E61,'VISIT DATA'!A:J, 9, FALSE)</f>
        <v>#N/A</v>
      </c>
      <c r="H61" s="223" t="str">
        <f>VLOOKUP(B61&amp;E61,'VISIT DATA'!A:N,10,FALSE)</f>
        <v>#N/A</v>
      </c>
      <c r="I61" s="225"/>
      <c r="J61" s="224"/>
      <c r="K61" s="224"/>
      <c r="L61" s="225"/>
      <c r="M61" s="216" t="str">
        <f t="shared" si="1"/>
        <v>X</v>
      </c>
      <c r="N61" s="226" t="str">
        <f t="shared" si="2"/>
        <v>#N/A</v>
      </c>
      <c r="O61" s="227" t="str">
        <f t="shared" si="3"/>
        <v>#N/A</v>
      </c>
      <c r="P61" s="228" t="str">
        <f t="shared" si="4"/>
        <v>#N/A</v>
      </c>
      <c r="Q61" s="220" t="str">
        <f t="shared" si="5"/>
        <v>#N/A</v>
      </c>
      <c r="R61" s="220" t="str">
        <f t="shared" si="6"/>
        <v>#N/A</v>
      </c>
      <c r="S61" s="221">
        <f t="shared" si="7"/>
        <v>0</v>
      </c>
      <c r="T61" s="229" t="str">
        <f>ifs($L61="",VLOOKUP($B61&amp;$E61,'VISIT DATA'!$A$2:$J100,7,FALSE), $L61="SWAB","OUTSA-RW",$L61="SWQU","OUTSA-SaQu", AND($J61="X",$K61="X",$L61="QUEST"),"OUT-UAQPre",$L61="QUEST","OUT-UAQ", $L61="Walk in","ColUATele")</f>
        <v>#N/A</v>
      </c>
      <c r="U61" s="24" t="str">
        <f t="shared" si="8"/>
        <v>#N/A</v>
      </c>
      <c r="V61" s="222" t="str">
        <f t="shared" si="9"/>
        <v/>
      </c>
      <c r="W61" s="222" t="str">
        <f t="shared" si="10"/>
        <v/>
      </c>
      <c r="X61" s="224" t="str">
        <f t="shared" si="11"/>
        <v> </v>
      </c>
      <c r="Y61" s="244"/>
    </row>
    <row r="62">
      <c r="A62" s="214" t="str">
        <f>IFS($B62=FALSE,"",$B62,VLOOKUP($B62,'PATIENT DATA (072721)'!A:C, 2, 0))</f>
        <v/>
      </c>
      <c r="B62" s="215"/>
      <c r="C62" s="230" t="str">
        <f>IF(COUNTIF('PATIENT DATA (072721)'!A:A, B62)=0, "X","✓")</f>
        <v>X</v>
      </c>
      <c r="D62" s="226" t="str">
        <f>IFS($B62=FALSE,"",$B62,VLOOKUP($B62,'PATIENT DATA (072721)'!A:C, 3, 0))</f>
        <v/>
      </c>
      <c r="E62" s="218">
        <v>44567.0</v>
      </c>
      <c r="F62" s="219" t="str">
        <f>ifs($B62="","",$B62, VLOOKUP($B62&amp;$E62, 'VISIT DATA'!A:O,3,0))</f>
        <v/>
      </c>
      <c r="G62" s="262" t="str">
        <f>VLOOKUP($B62&amp;$E62,'VISIT DATA'!A:J, 9, FALSE)</f>
        <v>#N/A</v>
      </c>
      <c r="H62" s="223" t="str">
        <f>VLOOKUP(B62&amp;E62,'VISIT DATA'!A:N,10,FALSE)</f>
        <v>#N/A</v>
      </c>
      <c r="I62" s="225"/>
      <c r="J62" s="224"/>
      <c r="K62" s="224"/>
      <c r="L62" s="225"/>
      <c r="M62" s="216" t="str">
        <f t="shared" si="1"/>
        <v>X</v>
      </c>
      <c r="N62" s="226" t="str">
        <f t="shared" si="2"/>
        <v>#N/A</v>
      </c>
      <c r="O62" s="227" t="str">
        <f t="shared" si="3"/>
        <v>#N/A</v>
      </c>
      <c r="P62" s="228" t="str">
        <f t="shared" si="4"/>
        <v>#N/A</v>
      </c>
      <c r="Q62" s="220" t="str">
        <f t="shared" si="5"/>
        <v>#N/A</v>
      </c>
      <c r="R62" s="220" t="str">
        <f t="shared" si="6"/>
        <v>#N/A</v>
      </c>
      <c r="S62" s="221">
        <f t="shared" si="7"/>
        <v>0</v>
      </c>
      <c r="T62" s="229" t="str">
        <f>ifs($L62="",VLOOKUP($B62&amp;$E62,'VISIT DATA'!$A$2:$J100,7,FALSE), $L62="SWAB","OUTSA-RW",$L62="SWQU","OUTSA-SaQu", AND($J62="X",$K62="X",$L62="QUEST"),"OUT-UAQPre",$L62="QUEST","OUT-UAQ", $L62="Walk in","ColUATele")</f>
        <v>#N/A</v>
      </c>
      <c r="U62" s="24" t="str">
        <f t="shared" si="8"/>
        <v>#N/A</v>
      </c>
      <c r="V62" s="222" t="str">
        <f t="shared" si="9"/>
        <v/>
      </c>
      <c r="W62" s="222" t="str">
        <f t="shared" si="10"/>
        <v/>
      </c>
      <c r="X62" s="224" t="str">
        <f t="shared" si="11"/>
        <v> </v>
      </c>
      <c r="Y62" s="244"/>
    </row>
    <row r="63">
      <c r="A63" s="214" t="str">
        <f>IFS($B63=FALSE,"",$B63,VLOOKUP($B63,'PATIENT DATA (072721)'!A:C, 2, 0))</f>
        <v/>
      </c>
      <c r="B63" s="215"/>
      <c r="C63" s="230" t="str">
        <f>IF(COUNTIF('PATIENT DATA (072721)'!A:A, B63)=0, "X","✓")</f>
        <v>X</v>
      </c>
      <c r="D63" s="226" t="str">
        <f>IFS($B63=FALSE,"",$B63,VLOOKUP($B63,'PATIENT DATA (072721)'!A:C, 3, 0))</f>
        <v/>
      </c>
      <c r="E63" s="218">
        <v>44567.0</v>
      </c>
      <c r="F63" s="219" t="str">
        <f>ifs($B63="","",$B63, VLOOKUP($B63&amp;$E63, 'VISIT DATA'!A:O,3,0))</f>
        <v/>
      </c>
      <c r="G63" s="262" t="str">
        <f>VLOOKUP($B63&amp;$E63,'VISIT DATA'!A:J, 9, FALSE)</f>
        <v>#N/A</v>
      </c>
      <c r="H63" s="223" t="str">
        <f>VLOOKUP(B63&amp;E63,'VISIT DATA'!A:N,10,FALSE)</f>
        <v>#N/A</v>
      </c>
      <c r="I63" s="225"/>
      <c r="J63" s="224"/>
      <c r="K63" s="224"/>
      <c r="L63" s="225"/>
      <c r="M63" s="216" t="str">
        <f t="shared" si="1"/>
        <v>X</v>
      </c>
      <c r="N63" s="226" t="str">
        <f t="shared" si="2"/>
        <v>#N/A</v>
      </c>
      <c r="O63" s="227" t="str">
        <f t="shared" si="3"/>
        <v>#N/A</v>
      </c>
      <c r="P63" s="228" t="str">
        <f t="shared" si="4"/>
        <v>#N/A</v>
      </c>
      <c r="Q63" s="220" t="str">
        <f t="shared" si="5"/>
        <v>#N/A</v>
      </c>
      <c r="R63" s="220" t="str">
        <f t="shared" si="6"/>
        <v>#N/A</v>
      </c>
      <c r="S63" s="221">
        <f t="shared" si="7"/>
        <v>0</v>
      </c>
      <c r="T63" s="229" t="str">
        <f>ifs($L63="",VLOOKUP($B63&amp;$E63,'VISIT DATA'!$A$2:$J100,7,FALSE), $L63="SWAB","OUTSA-RW",$L63="SWQU","OUTSA-SaQu", AND($J63="X",$K63="X",$L63="QUEST"),"OUT-UAQPre",$L63="QUEST","OUT-UAQ", $L63="Walk in","ColUATele")</f>
        <v>#N/A</v>
      </c>
      <c r="U63" s="24" t="str">
        <f t="shared" si="8"/>
        <v>#N/A</v>
      </c>
      <c r="V63" s="222" t="str">
        <f t="shared" si="9"/>
        <v/>
      </c>
      <c r="W63" s="222" t="str">
        <f t="shared" si="10"/>
        <v/>
      </c>
      <c r="X63" s="224" t="str">
        <f t="shared" si="11"/>
        <v> </v>
      </c>
      <c r="Y63" s="244"/>
    </row>
    <row r="64">
      <c r="A64" s="214" t="str">
        <f>IFS($B64=FALSE,"",$B64,VLOOKUP($B64,'PATIENT DATA (072721)'!A:C, 2, 0))</f>
        <v/>
      </c>
      <c r="B64" s="215"/>
      <c r="C64" s="230" t="str">
        <f>IF(COUNTIF('PATIENT DATA (072721)'!A:A, B64)=0, "X","✓")</f>
        <v>X</v>
      </c>
      <c r="D64" s="226" t="str">
        <f>IFS($B64=FALSE,"",$B64,VLOOKUP($B64,'PATIENT DATA (072721)'!A:C, 3, 0))</f>
        <v/>
      </c>
      <c r="E64" s="218">
        <v>44567.0</v>
      </c>
      <c r="F64" s="219" t="str">
        <f>ifs($B64="","",$B64, VLOOKUP($B64&amp;$E64, 'VISIT DATA'!A:O,3,0))</f>
        <v/>
      </c>
      <c r="G64" s="262" t="str">
        <f>VLOOKUP($B64&amp;$E64,'VISIT DATA'!A:J, 9, FALSE)</f>
        <v>#N/A</v>
      </c>
      <c r="H64" s="223" t="str">
        <f>VLOOKUP(B64&amp;E64,'VISIT DATA'!A:N,10,FALSE)</f>
        <v>#N/A</v>
      </c>
      <c r="I64" s="225"/>
      <c r="J64" s="224"/>
      <c r="K64" s="224"/>
      <c r="L64" s="225"/>
      <c r="M64" s="216" t="str">
        <f t="shared" si="1"/>
        <v>X</v>
      </c>
      <c r="N64" s="226" t="str">
        <f t="shared" si="2"/>
        <v>#N/A</v>
      </c>
      <c r="O64" s="227" t="str">
        <f t="shared" si="3"/>
        <v>#N/A</v>
      </c>
      <c r="P64" s="228" t="str">
        <f t="shared" si="4"/>
        <v>#N/A</v>
      </c>
      <c r="Q64" s="220" t="str">
        <f t="shared" si="5"/>
        <v>#N/A</v>
      </c>
      <c r="R64" s="220" t="str">
        <f t="shared" si="6"/>
        <v>#N/A</v>
      </c>
      <c r="S64" s="221">
        <f t="shared" si="7"/>
        <v>0</v>
      </c>
      <c r="T64" s="229" t="str">
        <f>ifs($L64="",VLOOKUP($B64&amp;$E64,'VISIT DATA'!$A$2:$J100,7,FALSE), $L64="SWAB","OUTSA-RW",$L64="SWQU","OUTSA-SaQu", AND($J64="X",$K64="X",$L64="QUEST"),"OUT-UAQPre",$L64="QUEST","OUT-UAQ", $L64="Walk in","ColUATele")</f>
        <v>#N/A</v>
      </c>
      <c r="U64" s="24" t="str">
        <f t="shared" si="8"/>
        <v>#N/A</v>
      </c>
      <c r="V64" s="222" t="str">
        <f t="shared" si="9"/>
        <v/>
      </c>
      <c r="W64" s="222" t="str">
        <f t="shared" si="10"/>
        <v/>
      </c>
      <c r="X64" s="224" t="str">
        <f t="shared" si="11"/>
        <v> </v>
      </c>
      <c r="Y64" s="244"/>
    </row>
    <row r="65">
      <c r="A65" s="214" t="str">
        <f>IFS($B65=FALSE,"",$B65,VLOOKUP($B65,'PATIENT DATA (072721)'!A:C, 2, 0))</f>
        <v/>
      </c>
      <c r="B65" s="215"/>
      <c r="C65" s="230" t="str">
        <f>IF(COUNTIF('PATIENT DATA (072721)'!A:A, B65)=0, "X","✓")</f>
        <v>X</v>
      </c>
      <c r="D65" s="226" t="str">
        <f>IFS($B65=FALSE,"",$B65,VLOOKUP($B65,'PATIENT DATA (072721)'!A:C, 3, 0))</f>
        <v/>
      </c>
      <c r="E65" s="218">
        <v>44567.0</v>
      </c>
      <c r="F65" s="219" t="str">
        <f>ifs($B65="","",$B65, VLOOKUP($B65&amp;$E65, 'VISIT DATA'!A:O,3,0))</f>
        <v/>
      </c>
      <c r="G65" s="262" t="str">
        <f>VLOOKUP($B65&amp;$E65,'VISIT DATA'!A:J, 9, FALSE)</f>
        <v>#N/A</v>
      </c>
      <c r="H65" s="223" t="str">
        <f>VLOOKUP(B65&amp;E65,'VISIT DATA'!A:N,10,FALSE)</f>
        <v>#N/A</v>
      </c>
      <c r="I65" s="225"/>
      <c r="J65" s="224"/>
      <c r="K65" s="224"/>
      <c r="L65" s="225"/>
      <c r="M65" s="216" t="str">
        <f t="shared" si="1"/>
        <v>X</v>
      </c>
      <c r="N65" s="226" t="str">
        <f t="shared" si="2"/>
        <v>#N/A</v>
      </c>
      <c r="O65" s="227" t="str">
        <f t="shared" si="3"/>
        <v>#N/A</v>
      </c>
      <c r="P65" s="228" t="str">
        <f t="shared" si="4"/>
        <v>#N/A</v>
      </c>
      <c r="Q65" s="220" t="str">
        <f t="shared" si="5"/>
        <v>#N/A</v>
      </c>
      <c r="R65" s="220" t="str">
        <f t="shared" si="6"/>
        <v>#N/A</v>
      </c>
      <c r="S65" s="221">
        <f t="shared" si="7"/>
        <v>0</v>
      </c>
      <c r="T65" s="229" t="str">
        <f>ifs($L65="",VLOOKUP($B65&amp;$E65,'VISIT DATA'!$A$2:$J100,7,FALSE), $L65="SWAB","OUTSA-RW",$L65="SWQU","OUTSA-SaQu", AND($J65="X",$K65="X",$L65="QUEST"),"OUT-UAQPre",$L65="QUEST","OUT-UAQ", $L65="Walk in","ColUATele")</f>
        <v>#N/A</v>
      </c>
      <c r="U65" s="24" t="str">
        <f t="shared" si="8"/>
        <v>#N/A</v>
      </c>
      <c r="V65" s="222" t="str">
        <f t="shared" si="9"/>
        <v/>
      </c>
      <c r="W65" s="222" t="str">
        <f t="shared" si="10"/>
        <v/>
      </c>
      <c r="X65" s="224" t="str">
        <f t="shared" si="11"/>
        <v> </v>
      </c>
      <c r="Y65" s="244"/>
    </row>
    <row r="66">
      <c r="A66" s="214" t="str">
        <f>IFS($B66=FALSE,"",$B66,VLOOKUP($B66,'PATIENT DATA (072721)'!A:C, 2, 0))</f>
        <v/>
      </c>
      <c r="B66" s="215"/>
      <c r="C66" s="230" t="str">
        <f>IF(COUNTIF('PATIENT DATA (072721)'!A:A, B66)=0, "X","✓")</f>
        <v>X</v>
      </c>
      <c r="D66" s="226" t="str">
        <f>IFS($B66=FALSE,"",$B66,VLOOKUP($B66,'PATIENT DATA (072721)'!A:C, 3, 0))</f>
        <v/>
      </c>
      <c r="E66" s="218">
        <v>44567.0</v>
      </c>
      <c r="F66" s="219" t="str">
        <f>ifs($B66="","",$B66, VLOOKUP($B66&amp;$E66, 'VISIT DATA'!A:O,3,0))</f>
        <v/>
      </c>
      <c r="G66" s="262" t="str">
        <f>VLOOKUP($B66&amp;$E66,'VISIT DATA'!A:J, 9, FALSE)</f>
        <v>#N/A</v>
      </c>
      <c r="H66" s="223" t="str">
        <f>VLOOKUP(B66&amp;E66,'VISIT DATA'!A:N,10,FALSE)</f>
        <v>#N/A</v>
      </c>
      <c r="I66" s="225"/>
      <c r="J66" s="224"/>
      <c r="K66" s="224"/>
      <c r="L66" s="225"/>
      <c r="M66" s="216" t="str">
        <f t="shared" si="1"/>
        <v>X</v>
      </c>
      <c r="N66" s="226" t="str">
        <f t="shared" si="2"/>
        <v>#N/A</v>
      </c>
      <c r="O66" s="227" t="str">
        <f t="shared" si="3"/>
        <v>#N/A</v>
      </c>
      <c r="P66" s="228" t="str">
        <f t="shared" si="4"/>
        <v>#N/A</v>
      </c>
      <c r="Q66" s="220" t="str">
        <f t="shared" si="5"/>
        <v>#N/A</v>
      </c>
      <c r="R66" s="220" t="str">
        <f t="shared" si="6"/>
        <v>#N/A</v>
      </c>
      <c r="S66" s="221">
        <f t="shared" si="7"/>
        <v>0</v>
      </c>
      <c r="T66" s="229" t="str">
        <f>ifs($L66="",VLOOKUP($B66&amp;$E66,'VISIT DATA'!$A$2:$J100,7,FALSE), $L66="SWAB","OUTSA-RW",$L66="SWQU","OUTSA-SaQu", AND($J66="X",$K66="X",$L66="QUEST"),"OUT-UAQPre",$L66="QUEST","OUT-UAQ", $L66="Walk in","ColUATele")</f>
        <v>#N/A</v>
      </c>
      <c r="U66" s="24" t="str">
        <f t="shared" si="8"/>
        <v>#N/A</v>
      </c>
      <c r="V66" s="222" t="str">
        <f t="shared" si="9"/>
        <v/>
      </c>
      <c r="W66" s="222" t="str">
        <f t="shared" si="10"/>
        <v/>
      </c>
      <c r="X66" s="224" t="str">
        <f t="shared" si="11"/>
        <v> </v>
      </c>
      <c r="Y66" s="244"/>
    </row>
    <row r="67">
      <c r="A67" s="214" t="str">
        <f>IFS($B67=FALSE,"",$B67,VLOOKUP($B67,'PATIENT DATA (072721)'!A:C, 2, 0))</f>
        <v/>
      </c>
      <c r="B67" s="215"/>
      <c r="C67" s="230" t="str">
        <f>IF(COUNTIF('PATIENT DATA (072721)'!A:A, B67)=0, "X","✓")</f>
        <v>X</v>
      </c>
      <c r="D67" s="226" t="str">
        <f>IFS($B67=FALSE,"",$B67,VLOOKUP($B67,'PATIENT DATA (072721)'!A:C, 3, 0))</f>
        <v/>
      </c>
      <c r="E67" s="218">
        <v>44567.0</v>
      </c>
      <c r="F67" s="219" t="str">
        <f>ifs($B67="","",$B67, VLOOKUP($B67&amp;$E67, 'VISIT DATA'!A:O,3,0))</f>
        <v/>
      </c>
      <c r="G67" s="262" t="str">
        <f>VLOOKUP($B67&amp;$E67,'VISIT DATA'!A:J, 9, FALSE)</f>
        <v>#N/A</v>
      </c>
      <c r="H67" s="223" t="str">
        <f>VLOOKUP(B67&amp;E67,'VISIT DATA'!A:N,10,FALSE)</f>
        <v>#N/A</v>
      </c>
      <c r="I67" s="225"/>
      <c r="J67" s="224"/>
      <c r="K67" s="224"/>
      <c r="L67" s="225"/>
      <c r="M67" s="216" t="str">
        <f t="shared" si="1"/>
        <v>X</v>
      </c>
      <c r="N67" s="226" t="str">
        <f t="shared" si="2"/>
        <v>#N/A</v>
      </c>
      <c r="O67" s="227" t="str">
        <f t="shared" si="3"/>
        <v>#N/A</v>
      </c>
      <c r="P67" s="228" t="str">
        <f t="shared" si="4"/>
        <v>#N/A</v>
      </c>
      <c r="Q67" s="220" t="str">
        <f t="shared" si="5"/>
        <v>#N/A</v>
      </c>
      <c r="R67" s="220" t="str">
        <f t="shared" si="6"/>
        <v>#N/A</v>
      </c>
      <c r="S67" s="221">
        <f t="shared" si="7"/>
        <v>0</v>
      </c>
      <c r="T67" s="229" t="str">
        <f>ifs($L67="",VLOOKUP($B67&amp;$E67,'VISIT DATA'!$A$2:$J100,7,FALSE), $L67="SWAB","OUTSA-RW",$L67="SWQU","OUTSA-SaQu", AND($J67="X",$K67="X",$L67="QUEST"),"OUT-UAQPre",$L67="QUEST","OUT-UAQ", $L67="Walk in","ColUATele")</f>
        <v>#N/A</v>
      </c>
      <c r="U67" s="24" t="str">
        <f t="shared" si="8"/>
        <v>#N/A</v>
      </c>
      <c r="V67" s="222" t="str">
        <f t="shared" si="9"/>
        <v/>
      </c>
      <c r="W67" s="222" t="str">
        <f t="shared" si="10"/>
        <v/>
      </c>
      <c r="X67" s="224" t="str">
        <f t="shared" si="11"/>
        <v> </v>
      </c>
      <c r="Y67" s="244"/>
    </row>
    <row r="68">
      <c r="A68" s="214" t="str">
        <f>IFS($B68=FALSE,"",$B68,VLOOKUP($B68,'PATIENT DATA (072721)'!A:C, 2, 0))</f>
        <v/>
      </c>
      <c r="B68" s="215"/>
      <c r="C68" s="230" t="str">
        <f>IF(COUNTIF('PATIENT DATA (072721)'!A:A, B68)=0, "X","✓")</f>
        <v>X</v>
      </c>
      <c r="D68" s="226" t="str">
        <f>IFS($B68=FALSE,"",$B68,VLOOKUP($B68,'PATIENT DATA (072721)'!A:C, 3, 0))</f>
        <v/>
      </c>
      <c r="E68" s="218">
        <v>44567.0</v>
      </c>
      <c r="F68" s="219" t="str">
        <f>ifs($B68="","",$B68, VLOOKUP($B68&amp;$E68, 'VISIT DATA'!A:O,3,0))</f>
        <v/>
      </c>
      <c r="G68" s="262" t="str">
        <f>VLOOKUP($B68&amp;$E68,'VISIT DATA'!A:J, 9, FALSE)</f>
        <v>#N/A</v>
      </c>
      <c r="H68" s="223" t="str">
        <f>VLOOKUP(B68&amp;E68,'VISIT DATA'!A:N,10,FALSE)</f>
        <v>#N/A</v>
      </c>
      <c r="I68" s="225"/>
      <c r="J68" s="224"/>
      <c r="K68" s="224"/>
      <c r="L68" s="225"/>
      <c r="M68" s="216" t="str">
        <f t="shared" si="1"/>
        <v>X</v>
      </c>
      <c r="N68" s="226" t="str">
        <f t="shared" si="2"/>
        <v>#N/A</v>
      </c>
      <c r="O68" s="227" t="str">
        <f t="shared" si="3"/>
        <v>#N/A</v>
      </c>
      <c r="P68" s="228" t="str">
        <f t="shared" si="4"/>
        <v>#N/A</v>
      </c>
      <c r="Q68" s="220" t="str">
        <f t="shared" si="5"/>
        <v>#N/A</v>
      </c>
      <c r="R68" s="220" t="str">
        <f t="shared" si="6"/>
        <v>#N/A</v>
      </c>
      <c r="S68" s="221">
        <f t="shared" si="7"/>
        <v>0</v>
      </c>
      <c r="T68" s="229" t="str">
        <f>ifs($L68="",VLOOKUP($B68&amp;$E68,'VISIT DATA'!$A$2:$J100,7,FALSE), $L68="SWAB","OUTSA-RW",$L68="SWQU","OUTSA-SaQu", AND($J68="X",$K68="X",$L68="QUEST"),"OUT-UAQPre",$L68="QUEST","OUT-UAQ", $L68="Walk in","ColUATele")</f>
        <v>#N/A</v>
      </c>
      <c r="U68" s="24" t="str">
        <f t="shared" si="8"/>
        <v>#N/A</v>
      </c>
      <c r="V68" s="222" t="str">
        <f t="shared" si="9"/>
        <v/>
      </c>
      <c r="W68" s="222" t="str">
        <f t="shared" si="10"/>
        <v/>
      </c>
      <c r="X68" s="224" t="str">
        <f t="shared" si="11"/>
        <v> </v>
      </c>
      <c r="Y68" s="244"/>
    </row>
    <row r="69">
      <c r="A69" s="214" t="str">
        <f>IFS($B69=FALSE,"",$B69,VLOOKUP($B69,'PATIENT DATA (072721)'!A:C, 2, 0))</f>
        <v/>
      </c>
      <c r="B69" s="215"/>
      <c r="C69" s="230" t="str">
        <f>IF(COUNTIF('PATIENT DATA (072721)'!A:A, B69)=0, "X","✓")</f>
        <v>X</v>
      </c>
      <c r="D69" s="226" t="str">
        <f>IFS($B69=FALSE,"",$B69,VLOOKUP($B69,'PATIENT DATA (072721)'!A:C, 3, 0))</f>
        <v/>
      </c>
      <c r="E69" s="218">
        <v>44567.0</v>
      </c>
      <c r="F69" s="219" t="str">
        <f>ifs($B69="","",$B69, VLOOKUP($B69&amp;$E69, 'VISIT DATA'!A:O,3,0))</f>
        <v/>
      </c>
      <c r="G69" s="262" t="str">
        <f>VLOOKUP($B69&amp;$E69,'VISIT DATA'!A:J, 9, FALSE)</f>
        <v>#N/A</v>
      </c>
      <c r="H69" s="223" t="str">
        <f>VLOOKUP(B69&amp;E69,'VISIT DATA'!A:N,10,FALSE)</f>
        <v>#N/A</v>
      </c>
      <c r="I69" s="224"/>
      <c r="J69" s="224"/>
      <c r="K69" s="224"/>
      <c r="L69" s="225"/>
      <c r="M69" s="216" t="str">
        <f t="shared" si="1"/>
        <v>X</v>
      </c>
      <c r="N69" s="226" t="str">
        <f t="shared" si="2"/>
        <v>#N/A</v>
      </c>
      <c r="O69" s="227" t="str">
        <f t="shared" si="3"/>
        <v>#N/A</v>
      </c>
      <c r="P69" s="228" t="str">
        <f t="shared" si="4"/>
        <v>#N/A</v>
      </c>
      <c r="Q69" s="220" t="str">
        <f t="shared" si="5"/>
        <v>#N/A</v>
      </c>
      <c r="R69" s="220" t="str">
        <f t="shared" si="6"/>
        <v>#N/A</v>
      </c>
      <c r="S69" s="221">
        <f t="shared" si="7"/>
        <v>0</v>
      </c>
      <c r="T69" s="229" t="str">
        <f>ifs($L69="",VLOOKUP($B69&amp;$E69,'VISIT DATA'!$A$2:$J100,7,FALSE), $L69="SWAB","OUTSA-RW",$L69="SWQU","OUTSA-SaQu", AND($J69="X",$K69="X",$L69="QUEST"),"OUT-UAQPre",$L69="QUEST","OUT-UAQ", $L69="Walk in","ColUATele")</f>
        <v>#N/A</v>
      </c>
      <c r="U69" s="24" t="str">
        <f t="shared" si="8"/>
        <v>#N/A</v>
      </c>
      <c r="V69" s="222" t="str">
        <f t="shared" si="9"/>
        <v/>
      </c>
      <c r="W69" s="222" t="str">
        <f t="shared" si="10"/>
        <v/>
      </c>
      <c r="X69" s="224" t="str">
        <f t="shared" si="11"/>
        <v> </v>
      </c>
      <c r="Y69" s="244"/>
    </row>
    <row r="70">
      <c r="A70" s="214" t="str">
        <f>IFS($B70=FALSE,"",$B70,VLOOKUP($B70,'PATIENT DATA (072721)'!A:C, 2, 0))</f>
        <v/>
      </c>
      <c r="B70" s="215"/>
      <c r="C70" s="230" t="str">
        <f>IF(COUNTIF('PATIENT DATA (072721)'!A:A, B70)=0, "X","✓")</f>
        <v>X</v>
      </c>
      <c r="D70" s="226" t="str">
        <f>IFS($B70=FALSE,"",$B70,VLOOKUP($B70,'PATIENT DATA (072721)'!A:C, 3, 0))</f>
        <v/>
      </c>
      <c r="E70" s="218">
        <v>44567.0</v>
      </c>
      <c r="F70" s="219" t="str">
        <f>ifs($B70="","",$B70, VLOOKUP($B70&amp;$E70, 'VISIT DATA'!A:O,3,0))</f>
        <v/>
      </c>
      <c r="G70" s="262" t="str">
        <f>VLOOKUP($B70&amp;$E70,'VISIT DATA'!A:J, 9, FALSE)</f>
        <v>#N/A</v>
      </c>
      <c r="H70" s="223" t="str">
        <f>VLOOKUP(B70&amp;E70,'VISIT DATA'!A:N,10,FALSE)</f>
        <v>#N/A</v>
      </c>
      <c r="I70" s="224"/>
      <c r="J70" s="224"/>
      <c r="K70" s="224"/>
      <c r="L70" s="225"/>
      <c r="M70" s="216" t="str">
        <f t="shared" si="1"/>
        <v>X</v>
      </c>
      <c r="N70" s="226" t="str">
        <f t="shared" si="2"/>
        <v>#N/A</v>
      </c>
      <c r="O70" s="227" t="str">
        <f t="shared" si="3"/>
        <v>#N/A</v>
      </c>
      <c r="P70" s="228" t="str">
        <f t="shared" si="4"/>
        <v>#N/A</v>
      </c>
      <c r="Q70" s="220" t="str">
        <f t="shared" si="5"/>
        <v>#N/A</v>
      </c>
      <c r="R70" s="220" t="str">
        <f t="shared" si="6"/>
        <v>#N/A</v>
      </c>
      <c r="S70" s="221">
        <f t="shared" si="7"/>
        <v>0</v>
      </c>
      <c r="T70" s="229" t="str">
        <f>ifs($L70="",VLOOKUP($B70&amp;$E70,'VISIT DATA'!$A$2:$J100,7,FALSE), $L70="SWAB","OUTSA-RW",$L70="SWQU","OUTSA-SaQu", AND($J70="X",$K70="X",$L70="QUEST"),"OUT-UAQPre",$L70="QUEST","OUT-UAQ", $L70="Walk in","ColUATele")</f>
        <v>#N/A</v>
      </c>
      <c r="U70" s="24" t="str">
        <f t="shared" si="8"/>
        <v>#N/A</v>
      </c>
      <c r="V70" s="222" t="str">
        <f t="shared" si="9"/>
        <v/>
      </c>
      <c r="W70" s="222" t="str">
        <f t="shared" si="10"/>
        <v/>
      </c>
      <c r="X70" s="224" t="str">
        <f t="shared" si="11"/>
        <v> </v>
      </c>
      <c r="Y70" s="244"/>
    </row>
    <row r="71">
      <c r="A71" s="214" t="str">
        <f>IFS($B71=FALSE,"",$B71,VLOOKUP($B71,'PATIENT DATA (072721)'!A:C, 2, 0))</f>
        <v/>
      </c>
      <c r="B71" s="215"/>
      <c r="C71" s="230" t="str">
        <f>IF(COUNTIF('PATIENT DATA (072721)'!A:A, B71)=0, "X","✓")</f>
        <v>X</v>
      </c>
      <c r="D71" s="226" t="str">
        <f>IFS($B71=FALSE,"",$B71,VLOOKUP($B71,'PATIENT DATA (072721)'!A:C, 3, 0))</f>
        <v/>
      </c>
      <c r="E71" s="218">
        <v>44567.0</v>
      </c>
      <c r="F71" s="219" t="str">
        <f>ifs($B71="","",$B71, VLOOKUP($B71&amp;$E71, 'VISIT DATA'!A:O,3,0))</f>
        <v/>
      </c>
      <c r="G71" s="262" t="str">
        <f>VLOOKUP($B71&amp;$E71,'VISIT DATA'!A:J, 9, FALSE)</f>
        <v>#N/A</v>
      </c>
      <c r="H71" s="223" t="str">
        <f>VLOOKUP(B71&amp;E71,'VISIT DATA'!A:N,10,FALSE)</f>
        <v>#N/A</v>
      </c>
      <c r="I71" s="225"/>
      <c r="J71" s="224"/>
      <c r="K71" s="224"/>
      <c r="L71" s="225"/>
      <c r="M71" s="216" t="str">
        <f t="shared" si="1"/>
        <v>X</v>
      </c>
      <c r="N71" s="226" t="str">
        <f t="shared" si="2"/>
        <v>#N/A</v>
      </c>
      <c r="O71" s="227" t="str">
        <f t="shared" si="3"/>
        <v>#N/A</v>
      </c>
      <c r="P71" s="228" t="str">
        <f t="shared" si="4"/>
        <v>#N/A</v>
      </c>
      <c r="Q71" s="220" t="str">
        <f t="shared" si="5"/>
        <v>#N/A</v>
      </c>
      <c r="R71" s="220" t="str">
        <f t="shared" si="6"/>
        <v>#N/A</v>
      </c>
      <c r="S71" s="221">
        <f t="shared" si="7"/>
        <v>0</v>
      </c>
      <c r="T71" s="229" t="str">
        <f>ifs($L71="",VLOOKUP($B71&amp;$E71,'VISIT DATA'!$A$2:$J100,7,FALSE), $L71="SWAB","OUTSA-RW",$L71="SWQU","OUTSA-SaQu", AND($J71="X",$K71="X",$L71="QUEST"),"OUT-UAQPre",$L71="QUEST","OUT-UAQ", $L71="Walk in","ColUATele")</f>
        <v>#N/A</v>
      </c>
      <c r="U71" s="24" t="str">
        <f t="shared" si="8"/>
        <v>#N/A</v>
      </c>
      <c r="V71" s="222" t="str">
        <f t="shared" si="9"/>
        <v/>
      </c>
      <c r="W71" s="222" t="str">
        <f t="shared" si="10"/>
        <v/>
      </c>
      <c r="X71" s="224" t="str">
        <f t="shared" si="11"/>
        <v> </v>
      </c>
      <c r="Y71" s="244"/>
    </row>
    <row r="72">
      <c r="A72" s="214" t="str">
        <f>IFS($B72=FALSE,"",$B72,VLOOKUP($B72,'PATIENT DATA (072721)'!A:C, 2, 0))</f>
        <v/>
      </c>
      <c r="B72" s="215"/>
      <c r="C72" s="230" t="str">
        <f>IF(COUNTIF('PATIENT DATA (072721)'!A:A, B72)=0, "X","✓")</f>
        <v>X</v>
      </c>
      <c r="D72" s="226" t="str">
        <f>IFS($B72=FALSE,"",$B72,VLOOKUP($B72,'PATIENT DATA (072721)'!A:C, 3, 0))</f>
        <v/>
      </c>
      <c r="E72" s="218">
        <v>44567.0</v>
      </c>
      <c r="F72" s="219" t="str">
        <f>ifs($B72="","",$B72, VLOOKUP($B72&amp;$E72, 'VISIT DATA'!A:O,3,0))</f>
        <v/>
      </c>
      <c r="G72" s="262" t="str">
        <f>VLOOKUP($B72&amp;$E72,'VISIT DATA'!A:J, 9, FALSE)</f>
        <v>#N/A</v>
      </c>
      <c r="H72" s="223" t="str">
        <f>VLOOKUP(B72&amp;E72,'VISIT DATA'!A:N,10,FALSE)</f>
        <v>#N/A</v>
      </c>
      <c r="I72" s="225"/>
      <c r="J72" s="224"/>
      <c r="K72" s="224"/>
      <c r="L72" s="225"/>
      <c r="M72" s="216" t="str">
        <f t="shared" si="1"/>
        <v>X</v>
      </c>
      <c r="N72" s="226" t="str">
        <f t="shared" si="2"/>
        <v>#N/A</v>
      </c>
      <c r="O72" s="227" t="str">
        <f t="shared" si="3"/>
        <v>#N/A</v>
      </c>
      <c r="P72" s="228" t="str">
        <f t="shared" si="4"/>
        <v>#N/A</v>
      </c>
      <c r="Q72" s="220" t="str">
        <f t="shared" si="5"/>
        <v>#N/A</v>
      </c>
      <c r="R72" s="220" t="str">
        <f t="shared" si="6"/>
        <v>#N/A</v>
      </c>
      <c r="S72" s="221">
        <f t="shared" si="7"/>
        <v>0</v>
      </c>
      <c r="T72" s="229" t="str">
        <f>ifs($L72="",VLOOKUP($B72&amp;$E72,'VISIT DATA'!$A$2:$J100,7,FALSE), $L72="SWAB","OUTSA-RW",$L72="SWQU","OUTSA-SaQu", AND($J72="X",$K72="X",$L72="QUEST"),"OUT-UAQPre",$L72="QUEST","OUT-UAQ", $L72="Walk in","ColUATele")</f>
        <v>#N/A</v>
      </c>
      <c r="U72" s="24" t="str">
        <f t="shared" si="8"/>
        <v>#N/A</v>
      </c>
      <c r="V72" s="222" t="str">
        <f t="shared" si="9"/>
        <v/>
      </c>
      <c r="W72" s="222" t="str">
        <f t="shared" si="10"/>
        <v/>
      </c>
      <c r="X72" s="224" t="str">
        <f t="shared" si="11"/>
        <v> </v>
      </c>
      <c r="Y72" s="244"/>
    </row>
    <row r="73">
      <c r="A73" s="214" t="str">
        <f>IFS($B73=FALSE,"",$B73,VLOOKUP($B73,'PATIENT DATA (072721)'!A:C, 2, 0))</f>
        <v/>
      </c>
      <c r="B73" s="215"/>
      <c r="C73" s="230" t="str">
        <f>IF(COUNTIF('PATIENT DATA (072721)'!A:A, B73)=0, "X","✓")</f>
        <v>X</v>
      </c>
      <c r="D73" s="226" t="str">
        <f>IFS($B73=FALSE,"",$B73,VLOOKUP($B73,'PATIENT DATA (072721)'!A:C, 3, 0))</f>
        <v/>
      </c>
      <c r="E73" s="218">
        <v>44567.0</v>
      </c>
      <c r="F73" s="219" t="str">
        <f>ifs($B73="","",$B73, VLOOKUP($B73&amp;$E73, 'VISIT DATA'!A:O,3,0))</f>
        <v/>
      </c>
      <c r="G73" s="262" t="str">
        <f>VLOOKUP($B73&amp;$E73,'VISIT DATA'!A:J, 9, FALSE)</f>
        <v>#N/A</v>
      </c>
      <c r="H73" s="223" t="str">
        <f>VLOOKUP(B73&amp;E73,'VISIT DATA'!A:N,10,FALSE)</f>
        <v>#N/A</v>
      </c>
      <c r="I73" s="225"/>
      <c r="J73" s="224"/>
      <c r="K73" s="224"/>
      <c r="L73" s="225"/>
      <c r="M73" s="216" t="str">
        <f t="shared" si="1"/>
        <v>X</v>
      </c>
      <c r="N73" s="226" t="str">
        <f t="shared" si="2"/>
        <v>#N/A</v>
      </c>
      <c r="O73" s="227" t="str">
        <f t="shared" si="3"/>
        <v>#N/A</v>
      </c>
      <c r="P73" s="228" t="str">
        <f t="shared" si="4"/>
        <v>#N/A</v>
      </c>
      <c r="Q73" s="220" t="str">
        <f t="shared" si="5"/>
        <v>#N/A</v>
      </c>
      <c r="R73" s="220" t="str">
        <f t="shared" si="6"/>
        <v>#N/A</v>
      </c>
      <c r="S73" s="221">
        <f t="shared" si="7"/>
        <v>0</v>
      </c>
      <c r="T73" s="229" t="str">
        <f>ifs($L73="",VLOOKUP($B73&amp;$E73,'VISIT DATA'!$A$2:$J100,7,FALSE), $L73="SWAB","OUTSA-RW",$L73="SWQU","OUTSA-SaQu", AND($J73="X",$K73="X",$L73="QUEST"),"OUT-UAQPre",$L73="QUEST","OUT-UAQ", $L73="Walk in","ColUATele")</f>
        <v>#N/A</v>
      </c>
      <c r="U73" s="24" t="str">
        <f t="shared" si="8"/>
        <v>#N/A</v>
      </c>
      <c r="V73" s="222" t="str">
        <f t="shared" si="9"/>
        <v/>
      </c>
      <c r="W73" s="222" t="str">
        <f t="shared" si="10"/>
        <v/>
      </c>
      <c r="X73" s="224" t="str">
        <f t="shared" si="11"/>
        <v> </v>
      </c>
      <c r="Y73" s="244"/>
    </row>
    <row r="74">
      <c r="A74" s="214" t="str">
        <f>IFS($B74=FALSE,"",$B74,VLOOKUP($B74,'PATIENT DATA (072721)'!A:C, 2, 0))</f>
        <v/>
      </c>
      <c r="B74" s="215"/>
      <c r="C74" s="230" t="str">
        <f>IF(COUNTIF('PATIENT DATA (072721)'!A:A, B74)=0, "X","✓")</f>
        <v>X</v>
      </c>
      <c r="D74" s="226" t="str">
        <f>IFS($B74=FALSE,"",$B74,VLOOKUP($B74,'PATIENT DATA (072721)'!A:C, 3, 0))</f>
        <v/>
      </c>
      <c r="E74" s="218">
        <v>44567.0</v>
      </c>
      <c r="F74" s="219" t="str">
        <f>ifs($B74="","",$B74, VLOOKUP($B74&amp;$E74, 'VISIT DATA'!A:O,3,0))</f>
        <v/>
      </c>
      <c r="G74" s="262" t="str">
        <f>VLOOKUP($B74&amp;$E74,'VISIT DATA'!A:J, 9, FALSE)</f>
        <v>#N/A</v>
      </c>
      <c r="H74" s="223" t="str">
        <f>VLOOKUP(B74&amp;E74,'VISIT DATA'!A:N,10,FALSE)</f>
        <v>#N/A</v>
      </c>
      <c r="I74" s="225"/>
      <c r="J74" s="224"/>
      <c r="K74" s="224"/>
      <c r="L74" s="225"/>
      <c r="M74" s="216" t="str">
        <f t="shared" si="1"/>
        <v>X</v>
      </c>
      <c r="N74" s="226" t="str">
        <f t="shared" si="2"/>
        <v>#N/A</v>
      </c>
      <c r="O74" s="227" t="str">
        <f t="shared" si="3"/>
        <v>#N/A</v>
      </c>
      <c r="P74" s="228" t="str">
        <f t="shared" si="4"/>
        <v>#N/A</v>
      </c>
      <c r="Q74" s="220" t="str">
        <f t="shared" si="5"/>
        <v>#N/A</v>
      </c>
      <c r="R74" s="220" t="str">
        <f t="shared" si="6"/>
        <v>#N/A</v>
      </c>
      <c r="S74" s="221">
        <f t="shared" si="7"/>
        <v>0</v>
      </c>
      <c r="T74" s="229" t="str">
        <f>ifs($L74="",VLOOKUP($B74&amp;$E74,'VISIT DATA'!$A$2:$J100,7,FALSE), $L74="SWAB","OUTSA-RW",$L74="SWQU","OUTSA-SaQu", AND($J74="X",$K74="X",$L74="QUEST"),"OUT-UAQPre",$L74="QUEST","OUT-UAQ", $L74="Walk in","ColUATele")</f>
        <v>#N/A</v>
      </c>
      <c r="U74" s="24" t="str">
        <f t="shared" si="8"/>
        <v>#N/A</v>
      </c>
      <c r="V74" s="222" t="str">
        <f t="shared" si="9"/>
        <v/>
      </c>
      <c r="W74" s="222" t="str">
        <f t="shared" si="10"/>
        <v/>
      </c>
      <c r="X74" s="224" t="str">
        <f t="shared" si="11"/>
        <v> </v>
      </c>
      <c r="Y74" s="244"/>
    </row>
    <row r="75">
      <c r="A75" s="214" t="str">
        <f>IFS($B75=FALSE,"",$B75,VLOOKUP($B75,'PATIENT DATA (072721)'!A:C, 2, 0))</f>
        <v/>
      </c>
      <c r="B75" s="215"/>
      <c r="C75" s="230" t="str">
        <f>IF(COUNTIF('PATIENT DATA (072721)'!A:A, B75)=0, "X","✓")</f>
        <v>X</v>
      </c>
      <c r="D75" s="226" t="str">
        <f>IFS($B75=FALSE,"",$B75,VLOOKUP($B75,'PATIENT DATA (072721)'!A:C, 3, 0))</f>
        <v/>
      </c>
      <c r="E75" s="218">
        <v>44567.0</v>
      </c>
      <c r="F75" s="219" t="str">
        <f>ifs($B75="","",$B75, VLOOKUP($B75&amp;$E75, 'VISIT DATA'!A:O,3,0))</f>
        <v/>
      </c>
      <c r="G75" s="262" t="str">
        <f>VLOOKUP($B75&amp;$E75,'VISIT DATA'!A:J, 9, FALSE)</f>
        <v>#N/A</v>
      </c>
      <c r="H75" s="223" t="str">
        <f>VLOOKUP(B75&amp;E75,'VISIT DATA'!A:N,10,FALSE)</f>
        <v>#N/A</v>
      </c>
      <c r="I75" s="225"/>
      <c r="J75" s="224"/>
      <c r="K75" s="224"/>
      <c r="L75" s="225"/>
      <c r="M75" s="216" t="str">
        <f t="shared" si="1"/>
        <v>X</v>
      </c>
      <c r="N75" s="226" t="str">
        <f t="shared" si="2"/>
        <v>#N/A</v>
      </c>
      <c r="O75" s="227" t="str">
        <f t="shared" si="3"/>
        <v>#N/A</v>
      </c>
      <c r="P75" s="228" t="str">
        <f t="shared" si="4"/>
        <v>#N/A</v>
      </c>
      <c r="Q75" s="220" t="str">
        <f t="shared" si="5"/>
        <v>#N/A</v>
      </c>
      <c r="R75" s="220" t="str">
        <f t="shared" si="6"/>
        <v>#N/A</v>
      </c>
      <c r="S75" s="221">
        <f t="shared" si="7"/>
        <v>0</v>
      </c>
      <c r="T75" s="229" t="str">
        <f>ifs($L75="",VLOOKUP($B75&amp;$E75,'VISIT DATA'!$A$2:$J100,7,FALSE), $L75="SWAB","OUTSA-RW",$L75="SWQU","OUTSA-SaQu", AND($J75="X",$K75="X",$L75="QUEST"),"OUT-UAQPre",$L75="QUEST","OUT-UAQ", $L75="Walk in","ColUATele")</f>
        <v>#N/A</v>
      </c>
      <c r="U75" s="24" t="str">
        <f t="shared" si="8"/>
        <v>#N/A</v>
      </c>
      <c r="V75" s="222" t="str">
        <f t="shared" si="9"/>
        <v/>
      </c>
      <c r="W75" s="222" t="str">
        <f t="shared" si="10"/>
        <v/>
      </c>
      <c r="X75" s="224" t="str">
        <f t="shared" si="11"/>
        <v> </v>
      </c>
      <c r="Y75" s="244"/>
    </row>
    <row r="76">
      <c r="A76" s="214" t="str">
        <f>IFS($B76=FALSE,"",$B76,VLOOKUP($B76,'PATIENT DATA (072721)'!A:C, 2, 0))</f>
        <v/>
      </c>
      <c r="B76" s="215"/>
      <c r="C76" s="230" t="str">
        <f>IF(COUNTIF('PATIENT DATA (072721)'!A:A, B76)=0, "X","✓")</f>
        <v>X</v>
      </c>
      <c r="D76" s="226" t="str">
        <f>IFS($B76=FALSE,"",$B76,VLOOKUP($B76,'PATIENT DATA (072721)'!A:C, 3, 0))</f>
        <v/>
      </c>
      <c r="E76" s="218">
        <v>44567.0</v>
      </c>
      <c r="F76" s="219" t="str">
        <f>ifs($B76="","",$B76, VLOOKUP($B76&amp;$E76, 'VISIT DATA'!A:O,3,0))</f>
        <v/>
      </c>
      <c r="G76" s="262" t="str">
        <f>VLOOKUP($B76&amp;$E76,'VISIT DATA'!A:J, 9, FALSE)</f>
        <v>#N/A</v>
      </c>
      <c r="H76" s="223" t="str">
        <f>VLOOKUP(B76&amp;E76,'VISIT DATA'!A:N,10,FALSE)</f>
        <v>#N/A</v>
      </c>
      <c r="I76" s="225"/>
      <c r="J76" s="224"/>
      <c r="K76" s="224"/>
      <c r="L76" s="225"/>
      <c r="M76" s="216" t="str">
        <f t="shared" si="1"/>
        <v>X</v>
      </c>
      <c r="N76" s="226" t="str">
        <f t="shared" si="2"/>
        <v>#N/A</v>
      </c>
      <c r="O76" s="227" t="str">
        <f t="shared" si="3"/>
        <v>#N/A</v>
      </c>
      <c r="P76" s="228" t="str">
        <f t="shared" si="4"/>
        <v>#N/A</v>
      </c>
      <c r="Q76" s="220" t="str">
        <f t="shared" si="5"/>
        <v>#N/A</v>
      </c>
      <c r="R76" s="220" t="str">
        <f t="shared" si="6"/>
        <v>#N/A</v>
      </c>
      <c r="S76" s="221">
        <f t="shared" si="7"/>
        <v>0</v>
      </c>
      <c r="T76" s="229" t="str">
        <f>ifs($L76="",VLOOKUP($B76&amp;$E76,'VISIT DATA'!$A$2:$J100,7,FALSE), $L76="SWAB","OUTSA-RW",$L76="SWQU","OUTSA-SaQu", AND($J76="X",$K76="X",$L76="QUEST"),"OUT-UAQPre",$L76="QUEST","OUT-UAQ", $L76="Walk in","ColUATele")</f>
        <v>#N/A</v>
      </c>
      <c r="U76" s="24" t="str">
        <f t="shared" si="8"/>
        <v>#N/A</v>
      </c>
      <c r="V76" s="222" t="str">
        <f t="shared" si="9"/>
        <v/>
      </c>
      <c r="W76" s="222" t="str">
        <f t="shared" si="10"/>
        <v/>
      </c>
      <c r="X76" s="224" t="str">
        <f t="shared" si="11"/>
        <v> </v>
      </c>
      <c r="Y76" s="244"/>
    </row>
    <row r="77">
      <c r="A77" s="214" t="str">
        <f>IFS($B77=FALSE,"",$B77,VLOOKUP($B77,'PATIENT DATA (072721)'!A:C, 2, 0))</f>
        <v/>
      </c>
      <c r="B77" s="215"/>
      <c r="C77" s="230" t="str">
        <f>IF(COUNTIF('PATIENT DATA (072721)'!A:A, B77)=0, "X","✓")</f>
        <v>X</v>
      </c>
      <c r="D77" s="226" t="str">
        <f>IFS($B77=FALSE,"",$B77,VLOOKUP($B77,'PATIENT DATA (072721)'!A:C, 3, 0))</f>
        <v/>
      </c>
      <c r="E77" s="218">
        <v>44567.0</v>
      </c>
      <c r="F77" s="219" t="str">
        <f>ifs($B77="","",$B77, VLOOKUP($B77&amp;$E77, 'VISIT DATA'!A:O,3,0))</f>
        <v/>
      </c>
      <c r="G77" s="262" t="str">
        <f>VLOOKUP($B77&amp;$E77,'VISIT DATA'!A:J, 9, FALSE)</f>
        <v>#N/A</v>
      </c>
      <c r="H77" s="223" t="str">
        <f>VLOOKUP(B77&amp;E77,'VISIT DATA'!A:N,10,FALSE)</f>
        <v>#N/A</v>
      </c>
      <c r="I77" s="225"/>
      <c r="J77" s="224"/>
      <c r="K77" s="224"/>
      <c r="L77" s="225"/>
      <c r="M77" s="216" t="str">
        <f t="shared" si="1"/>
        <v>X</v>
      </c>
      <c r="N77" s="226" t="str">
        <f t="shared" si="2"/>
        <v>#N/A</v>
      </c>
      <c r="O77" s="227" t="str">
        <f t="shared" si="3"/>
        <v>#N/A</v>
      </c>
      <c r="P77" s="228" t="str">
        <f t="shared" si="4"/>
        <v>#N/A</v>
      </c>
      <c r="Q77" s="220" t="str">
        <f t="shared" si="5"/>
        <v>#N/A</v>
      </c>
      <c r="R77" s="220" t="str">
        <f t="shared" si="6"/>
        <v>#N/A</v>
      </c>
      <c r="S77" s="221">
        <f t="shared" si="7"/>
        <v>0</v>
      </c>
      <c r="T77" s="229" t="str">
        <f>ifs($L77="",VLOOKUP($B77&amp;$E77,'VISIT DATA'!$A$2:$J100,7,FALSE), $L77="SWAB","OUTSA-RW",$L77="SWQU","OUTSA-SaQu", AND($J77="X",$K77="X",$L77="QUEST"),"OUT-UAQPre",$L77="QUEST","OUT-UAQ", $L77="Walk in","ColUATele")</f>
        <v>#N/A</v>
      </c>
      <c r="U77" s="24" t="str">
        <f t="shared" si="8"/>
        <v>#N/A</v>
      </c>
      <c r="V77" s="222" t="str">
        <f t="shared" si="9"/>
        <v/>
      </c>
      <c r="W77" s="222" t="str">
        <f t="shared" si="10"/>
        <v/>
      </c>
      <c r="X77" s="224" t="str">
        <f t="shared" si="11"/>
        <v> </v>
      </c>
      <c r="Y77" s="244"/>
    </row>
    <row r="78">
      <c r="A78" s="214" t="str">
        <f>IFS($B78=FALSE,"",$B78,VLOOKUP($B78,'PATIENT DATA (072721)'!A:C, 2, 0))</f>
        <v/>
      </c>
      <c r="B78" s="215"/>
      <c r="C78" s="230" t="str">
        <f>IF(COUNTIF('PATIENT DATA (072721)'!A:A, B78)=0, "X","✓")</f>
        <v>X</v>
      </c>
      <c r="D78" s="226" t="str">
        <f>IFS($B78=FALSE,"",$B78,VLOOKUP($B78,'PATIENT DATA (072721)'!A:C, 3, 0))</f>
        <v/>
      </c>
      <c r="E78" s="218">
        <v>44567.0</v>
      </c>
      <c r="F78" s="219" t="str">
        <f>ifs($B78="","",$B78, VLOOKUP($B78&amp;$E78, 'VISIT DATA'!A:O,3,0))</f>
        <v/>
      </c>
      <c r="G78" s="262" t="str">
        <f>VLOOKUP($B78&amp;$E78,'VISIT DATA'!A:J, 9, FALSE)</f>
        <v>#N/A</v>
      </c>
      <c r="H78" s="223" t="str">
        <f>VLOOKUP(B78&amp;E78,'VISIT DATA'!A:N,10,FALSE)</f>
        <v>#N/A</v>
      </c>
      <c r="I78" s="225"/>
      <c r="J78" s="224"/>
      <c r="K78" s="224"/>
      <c r="L78" s="225"/>
      <c r="M78" s="216" t="str">
        <f t="shared" si="1"/>
        <v>X</v>
      </c>
      <c r="N78" s="226" t="str">
        <f t="shared" si="2"/>
        <v>#N/A</v>
      </c>
      <c r="O78" s="227" t="str">
        <f t="shared" si="3"/>
        <v>#N/A</v>
      </c>
      <c r="P78" s="228" t="str">
        <f t="shared" si="4"/>
        <v>#N/A</v>
      </c>
      <c r="Q78" s="220" t="str">
        <f t="shared" si="5"/>
        <v>#N/A</v>
      </c>
      <c r="R78" s="220" t="str">
        <f t="shared" si="6"/>
        <v>#N/A</v>
      </c>
      <c r="S78" s="221">
        <f t="shared" si="7"/>
        <v>0</v>
      </c>
      <c r="T78" s="229" t="str">
        <f>ifs($L78="",VLOOKUP($B78&amp;$E78,'VISIT DATA'!$A$2:$J100,7,FALSE), $L78="SWAB","OUTSA-RW",$L78="SWQU","OUTSA-SaQu", AND($J78="X",$K78="X",$L78="QUEST"),"OUT-UAQPre",$L78="QUEST","OUT-UAQ", $L78="Walk in","ColUATele")</f>
        <v>#N/A</v>
      </c>
      <c r="U78" s="24" t="str">
        <f t="shared" si="8"/>
        <v>#N/A</v>
      </c>
      <c r="V78" s="222" t="str">
        <f t="shared" si="9"/>
        <v/>
      </c>
      <c r="W78" s="222" t="str">
        <f t="shared" si="10"/>
        <v/>
      </c>
      <c r="X78" s="224" t="str">
        <f t="shared" si="11"/>
        <v> </v>
      </c>
      <c r="Y78" s="244"/>
    </row>
    <row r="79">
      <c r="A79" s="214" t="str">
        <f>IFS($B79=FALSE,"",$B79,VLOOKUP($B79,'PATIENT DATA (072721)'!A:C, 2, 0))</f>
        <v/>
      </c>
      <c r="B79" s="215"/>
      <c r="C79" s="230" t="str">
        <f>IF(COUNTIF('PATIENT DATA (072721)'!A:A, B79)=0, "X","✓")</f>
        <v>X</v>
      </c>
      <c r="D79" s="226" t="str">
        <f>IFS($B79=FALSE,"",$B79,VLOOKUP($B79,'PATIENT DATA (072721)'!A:C, 3, 0))</f>
        <v/>
      </c>
      <c r="E79" s="218">
        <v>44567.0</v>
      </c>
      <c r="F79" s="219" t="str">
        <f>ifs($B79="","",$B79, VLOOKUP($B79&amp;$E79, 'VISIT DATA'!A:O,3,0))</f>
        <v/>
      </c>
      <c r="G79" s="262" t="str">
        <f>VLOOKUP($B79&amp;$E79,'VISIT DATA'!A:J, 9, FALSE)</f>
        <v>#N/A</v>
      </c>
      <c r="H79" s="223" t="str">
        <f>VLOOKUP(B79&amp;E79,'VISIT DATA'!A:N,10,FALSE)</f>
        <v>#N/A</v>
      </c>
      <c r="I79" s="225"/>
      <c r="J79" s="224"/>
      <c r="K79" s="224"/>
      <c r="L79" s="225"/>
      <c r="M79" s="216" t="str">
        <f t="shared" si="1"/>
        <v>X</v>
      </c>
      <c r="N79" s="226" t="str">
        <f t="shared" si="2"/>
        <v>#N/A</v>
      </c>
      <c r="O79" s="227" t="str">
        <f t="shared" si="3"/>
        <v>#N/A</v>
      </c>
      <c r="P79" s="228" t="str">
        <f t="shared" si="4"/>
        <v>#N/A</v>
      </c>
      <c r="Q79" s="220" t="str">
        <f t="shared" si="5"/>
        <v>#N/A</v>
      </c>
      <c r="R79" s="220" t="str">
        <f t="shared" si="6"/>
        <v>#N/A</v>
      </c>
      <c r="S79" s="221">
        <f t="shared" si="7"/>
        <v>0</v>
      </c>
      <c r="T79" s="229" t="str">
        <f>ifs($L79="",VLOOKUP($B79&amp;$E79,'VISIT DATA'!$A$2:$J100,7,FALSE), $L79="SWAB","OUTSA-RW",$L79="SWQU","OUTSA-SaQu", AND($J79="X",$K79="X",$L79="QUEST"),"OUT-UAQPre",$L79="QUEST","OUT-UAQ", $L79="Walk in","ColUATele")</f>
        <v>#N/A</v>
      </c>
      <c r="U79" s="24" t="str">
        <f t="shared" si="8"/>
        <v>#N/A</v>
      </c>
      <c r="V79" s="222" t="str">
        <f t="shared" si="9"/>
        <v/>
      </c>
      <c r="W79" s="222" t="str">
        <f t="shared" si="10"/>
        <v/>
      </c>
      <c r="X79" s="224" t="str">
        <f t="shared" si="11"/>
        <v> </v>
      </c>
      <c r="Y79" s="244"/>
    </row>
    <row r="80">
      <c r="A80" s="214" t="str">
        <f>IFS($B80=FALSE,"",$B80,VLOOKUP($B80,'PATIENT DATA (072721)'!A:C, 2, 0))</f>
        <v/>
      </c>
      <c r="B80" s="215"/>
      <c r="C80" s="230" t="str">
        <f>IF(COUNTIF('PATIENT DATA (072721)'!A:A, B80)=0, "X","✓")</f>
        <v>X</v>
      </c>
      <c r="D80" s="226" t="str">
        <f>IFS($B80=FALSE,"",$B80,VLOOKUP($B80,'PATIENT DATA (072721)'!A:C, 3, 0))</f>
        <v/>
      </c>
      <c r="E80" s="218">
        <v>44567.0</v>
      </c>
      <c r="F80" s="219" t="str">
        <f>ifs($B80="","",$B80, VLOOKUP($B80&amp;$E80, 'VISIT DATA'!A:O,3,0))</f>
        <v/>
      </c>
      <c r="G80" s="262" t="str">
        <f>VLOOKUP($B80&amp;$E80,'VISIT DATA'!A:J, 9, FALSE)</f>
        <v>#N/A</v>
      </c>
      <c r="H80" s="223" t="str">
        <f>VLOOKUP(B80&amp;E80,'VISIT DATA'!A:N,10,FALSE)</f>
        <v>#N/A</v>
      </c>
      <c r="I80" s="225"/>
      <c r="J80" s="224"/>
      <c r="K80" s="224"/>
      <c r="L80" s="225"/>
      <c r="M80" s="216" t="str">
        <f t="shared" si="1"/>
        <v>X</v>
      </c>
      <c r="N80" s="226" t="str">
        <f t="shared" si="2"/>
        <v>#N/A</v>
      </c>
      <c r="O80" s="227" t="str">
        <f t="shared" si="3"/>
        <v>#N/A</v>
      </c>
      <c r="P80" s="228" t="str">
        <f t="shared" si="4"/>
        <v>#N/A</v>
      </c>
      <c r="Q80" s="220" t="str">
        <f t="shared" si="5"/>
        <v>#N/A</v>
      </c>
      <c r="R80" s="220" t="str">
        <f t="shared" si="6"/>
        <v>#N/A</v>
      </c>
      <c r="S80" s="221">
        <f t="shared" si="7"/>
        <v>0</v>
      </c>
      <c r="T80" s="229" t="str">
        <f>ifs($L80="",VLOOKUP($B80&amp;$E80,'VISIT DATA'!$A$2:$J100,7,FALSE), $L80="SWAB","OUTSA-RW",$L80="SWQU","OUTSA-SaQu", AND($J80="X",$K80="X",$L80="QUEST"),"OUT-UAQPre",$L80="QUEST","OUT-UAQ", $L80="Walk in","ColUATele")</f>
        <v>#N/A</v>
      </c>
      <c r="U80" s="24" t="str">
        <f t="shared" si="8"/>
        <v>#N/A</v>
      </c>
      <c r="V80" s="222" t="str">
        <f t="shared" si="9"/>
        <v/>
      </c>
      <c r="W80" s="222" t="str">
        <f t="shared" si="10"/>
        <v/>
      </c>
      <c r="X80" s="224" t="str">
        <f t="shared" si="11"/>
        <v> </v>
      </c>
      <c r="Y80" s="244"/>
    </row>
    <row r="81">
      <c r="A81" s="214" t="str">
        <f>IFS($B81=FALSE,"",$B81,VLOOKUP($B81,'PATIENT DATA (072721)'!A:C, 2, 0))</f>
        <v/>
      </c>
      <c r="B81" s="215"/>
      <c r="C81" s="230" t="str">
        <f>IF(COUNTIF('PATIENT DATA (072721)'!A:A, B81)=0, "X","✓")</f>
        <v>X</v>
      </c>
      <c r="D81" s="226" t="str">
        <f>IFS($B81=FALSE,"",$B81,VLOOKUP($B81,'PATIENT DATA (072721)'!A:C, 3, 0))</f>
        <v/>
      </c>
      <c r="E81" s="218">
        <v>44567.0</v>
      </c>
      <c r="F81" s="219" t="str">
        <f>ifs($B81="","",$B81, VLOOKUP($B81&amp;$E81, 'VISIT DATA'!A:O,3,0))</f>
        <v/>
      </c>
      <c r="G81" s="262" t="str">
        <f>VLOOKUP($B81&amp;$E81,'VISIT DATA'!A:J, 9, FALSE)</f>
        <v>#N/A</v>
      </c>
      <c r="H81" s="223" t="str">
        <f>VLOOKUP(B81&amp;E81,'VISIT DATA'!A:N,10,FALSE)</f>
        <v>#N/A</v>
      </c>
      <c r="I81" s="225"/>
      <c r="J81" s="224"/>
      <c r="K81" s="224"/>
      <c r="L81" s="225"/>
      <c r="M81" s="216" t="str">
        <f t="shared" si="1"/>
        <v>X</v>
      </c>
      <c r="N81" s="226" t="str">
        <f t="shared" si="2"/>
        <v>#N/A</v>
      </c>
      <c r="O81" s="227" t="str">
        <f t="shared" si="3"/>
        <v>#N/A</v>
      </c>
      <c r="P81" s="228" t="str">
        <f t="shared" si="4"/>
        <v>#N/A</v>
      </c>
      <c r="Q81" s="220" t="str">
        <f t="shared" si="5"/>
        <v>#N/A</v>
      </c>
      <c r="R81" s="220" t="str">
        <f t="shared" si="6"/>
        <v>#N/A</v>
      </c>
      <c r="S81" s="221">
        <f t="shared" si="7"/>
        <v>0</v>
      </c>
      <c r="T81" s="229" t="str">
        <f>ifs($L81="",VLOOKUP($B81&amp;$E81,'VISIT DATA'!$A$2:$J100,7,FALSE), $L81="SWAB","OUTSA-RW",$L81="SWQU","OUTSA-SaQu", AND($J81="X",$K81="X",$L81="QUEST"),"OUT-UAQPre",$L81="QUEST","OUT-UAQ", $L81="Walk in","ColUATele")</f>
        <v>#N/A</v>
      </c>
      <c r="U81" s="24" t="str">
        <f t="shared" si="8"/>
        <v>#N/A</v>
      </c>
      <c r="V81" s="222" t="str">
        <f t="shared" si="9"/>
        <v/>
      </c>
      <c r="W81" s="222" t="str">
        <f t="shared" si="10"/>
        <v/>
      </c>
      <c r="X81" s="224" t="str">
        <f t="shared" si="11"/>
        <v> </v>
      </c>
      <c r="Y81" s="244"/>
    </row>
    <row r="82">
      <c r="A82" s="214" t="str">
        <f>IFS($B82=FALSE,"",$B82,VLOOKUP($B82,'PATIENT DATA (072721)'!A:C, 2, 0))</f>
        <v/>
      </c>
      <c r="B82" s="215"/>
      <c r="C82" s="230" t="str">
        <f>IF(COUNTIF('PATIENT DATA (072721)'!A:A, B82)=0, "X","✓")</f>
        <v>X</v>
      </c>
      <c r="D82" s="226" t="str">
        <f>IFS($B82=FALSE,"",$B82,VLOOKUP($B82,'PATIENT DATA (072721)'!A:C, 3, 0))</f>
        <v/>
      </c>
      <c r="E82" s="218">
        <v>44567.0</v>
      </c>
      <c r="F82" s="219" t="str">
        <f>ifs($B82="","",$B82, VLOOKUP($B82&amp;$E82, 'VISIT DATA'!A:O,3,0))</f>
        <v/>
      </c>
      <c r="G82" s="262" t="str">
        <f>VLOOKUP($B82&amp;$E82,'VISIT DATA'!A:J, 9, FALSE)</f>
        <v>#N/A</v>
      </c>
      <c r="H82" s="223" t="str">
        <f>VLOOKUP(B82&amp;E82,'VISIT DATA'!A:N,10,FALSE)</f>
        <v>#N/A</v>
      </c>
      <c r="I82" s="225"/>
      <c r="J82" s="224"/>
      <c r="K82" s="224"/>
      <c r="L82" s="225"/>
      <c r="M82" s="216" t="str">
        <f t="shared" si="1"/>
        <v>X</v>
      </c>
      <c r="N82" s="226" t="str">
        <f t="shared" si="2"/>
        <v>#N/A</v>
      </c>
      <c r="O82" s="227" t="str">
        <f t="shared" si="3"/>
        <v>#N/A</v>
      </c>
      <c r="P82" s="228" t="str">
        <f t="shared" si="4"/>
        <v>#N/A</v>
      </c>
      <c r="Q82" s="220" t="str">
        <f t="shared" si="5"/>
        <v>#N/A</v>
      </c>
      <c r="R82" s="220" t="str">
        <f t="shared" si="6"/>
        <v>#N/A</v>
      </c>
      <c r="S82" s="221">
        <f t="shared" si="7"/>
        <v>0</v>
      </c>
      <c r="T82" s="229" t="str">
        <f>ifs($L82="",VLOOKUP($B82&amp;$E82,'VISIT DATA'!$A$2:$J100,7,FALSE), $L82="SWAB","OUTSA-RW",$L82="SWQU","OUTSA-SaQu", AND($J82="X",$K82="X",$L82="QUEST"),"OUT-UAQPre",$L82="QUEST","OUT-UAQ", $L82="Walk in","ColUATele")</f>
        <v>#N/A</v>
      </c>
      <c r="U82" s="24" t="str">
        <f t="shared" si="8"/>
        <v>#N/A</v>
      </c>
      <c r="V82" s="222" t="str">
        <f t="shared" si="9"/>
        <v/>
      </c>
      <c r="W82" s="222" t="str">
        <f t="shared" si="10"/>
        <v/>
      </c>
      <c r="X82" s="224" t="str">
        <f t="shared" si="11"/>
        <v> </v>
      </c>
      <c r="Y82" s="244"/>
    </row>
    <row r="83">
      <c r="A83" s="214" t="str">
        <f>IFS($B83=FALSE,"",$B83,VLOOKUP($B83,'PATIENT DATA (072721)'!A:C, 2, 0))</f>
        <v/>
      </c>
      <c r="B83" s="215"/>
      <c r="C83" s="230" t="str">
        <f>IF(COUNTIF('PATIENT DATA (072721)'!A:A, B83)=0, "X","✓")</f>
        <v>X</v>
      </c>
      <c r="D83" s="226" t="str">
        <f>IFS($B83=FALSE,"",$B83,VLOOKUP($B83,'PATIENT DATA (072721)'!A:C, 3, 0))</f>
        <v/>
      </c>
      <c r="E83" s="218">
        <v>44567.0</v>
      </c>
      <c r="F83" s="219" t="str">
        <f>ifs($B83="","",$B83, VLOOKUP($B83&amp;$E83, 'VISIT DATA'!A:O,3,0))</f>
        <v/>
      </c>
      <c r="G83" s="262" t="str">
        <f>VLOOKUP($B83&amp;$E83,'VISIT DATA'!A:J, 9, FALSE)</f>
        <v>#N/A</v>
      </c>
      <c r="H83" s="223" t="str">
        <f>VLOOKUP(B83&amp;E83,'VISIT DATA'!A:N,10,FALSE)</f>
        <v>#N/A</v>
      </c>
      <c r="I83" s="225"/>
      <c r="J83" s="224"/>
      <c r="K83" s="224"/>
      <c r="L83" s="225"/>
      <c r="M83" s="216" t="str">
        <f t="shared" si="1"/>
        <v>X</v>
      </c>
      <c r="N83" s="226" t="str">
        <f t="shared" si="2"/>
        <v>#N/A</v>
      </c>
      <c r="O83" s="227" t="str">
        <f t="shared" si="3"/>
        <v>#N/A</v>
      </c>
      <c r="P83" s="228" t="str">
        <f t="shared" si="4"/>
        <v>#N/A</v>
      </c>
      <c r="Q83" s="220" t="str">
        <f t="shared" si="5"/>
        <v>#N/A</v>
      </c>
      <c r="R83" s="220" t="str">
        <f t="shared" si="6"/>
        <v>#N/A</v>
      </c>
      <c r="S83" s="221">
        <f t="shared" si="7"/>
        <v>0</v>
      </c>
      <c r="T83" s="229" t="str">
        <f>ifs($L83="",VLOOKUP($B83&amp;$E83,'VISIT DATA'!$A$2:$J100,7,FALSE), $L83="SWAB","OUTSA-RW",$L83="SWQU","OUTSA-SaQu", AND($J83="X",$K83="X",$L83="QUEST"),"OUT-UAQPre",$L83="QUEST","OUT-UAQ", $L83="Walk in","ColUATele")</f>
        <v>#N/A</v>
      </c>
      <c r="U83" s="24" t="str">
        <f t="shared" si="8"/>
        <v>#N/A</v>
      </c>
      <c r="V83" s="222" t="str">
        <f t="shared" si="9"/>
        <v/>
      </c>
      <c r="W83" s="222" t="str">
        <f t="shared" si="10"/>
        <v/>
      </c>
      <c r="X83" s="224" t="str">
        <f t="shared" si="11"/>
        <v> </v>
      </c>
      <c r="Y83" s="244"/>
    </row>
    <row r="84">
      <c r="A84" s="214" t="str">
        <f>IFS($B84=FALSE,"",$B84,VLOOKUP($B84,'PATIENT DATA (072721)'!A:C, 2, 0))</f>
        <v/>
      </c>
      <c r="B84" s="215"/>
      <c r="C84" s="230" t="str">
        <f>IF(COUNTIF('PATIENT DATA (072721)'!A:A, B84)=0, "X","✓")</f>
        <v>X</v>
      </c>
      <c r="D84" s="226" t="str">
        <f>IFS($B84=FALSE,"",$B84,VLOOKUP($B84,'PATIENT DATA (072721)'!A:C, 3, 0))</f>
        <v/>
      </c>
      <c r="E84" s="218">
        <v>44567.0</v>
      </c>
      <c r="F84" s="219" t="str">
        <f>ifs($B84="","",$B84, VLOOKUP($B84&amp;$E84, 'VISIT DATA'!A:O,3,0))</f>
        <v/>
      </c>
      <c r="G84" s="262" t="str">
        <f>VLOOKUP($B84&amp;$E84,'VISIT DATA'!A:J, 9, FALSE)</f>
        <v>#N/A</v>
      </c>
      <c r="H84" s="223" t="str">
        <f>VLOOKUP(B84&amp;E84,'VISIT DATA'!A:N,10,FALSE)</f>
        <v>#N/A</v>
      </c>
      <c r="I84" s="225"/>
      <c r="J84" s="224"/>
      <c r="K84" s="224"/>
      <c r="L84" s="225"/>
      <c r="M84" s="216" t="str">
        <f t="shared" si="1"/>
        <v>X</v>
      </c>
      <c r="N84" s="226" t="str">
        <f t="shared" si="2"/>
        <v>#N/A</v>
      </c>
      <c r="O84" s="227" t="str">
        <f t="shared" si="3"/>
        <v>#N/A</v>
      </c>
      <c r="P84" s="228" t="str">
        <f t="shared" si="4"/>
        <v>#N/A</v>
      </c>
      <c r="Q84" s="220" t="str">
        <f t="shared" si="5"/>
        <v>#N/A</v>
      </c>
      <c r="R84" s="220" t="str">
        <f t="shared" si="6"/>
        <v>#N/A</v>
      </c>
      <c r="S84" s="221">
        <f t="shared" si="7"/>
        <v>0</v>
      </c>
      <c r="T84" s="229" t="str">
        <f>ifs($L84="",VLOOKUP($B84&amp;$E84,'VISIT DATA'!$A$2:$J100,7,FALSE), $L84="SWAB","OUTSA-RW",$L84="SWQU","OUTSA-SaQu", AND($J84="X",$K84="X",$L84="QUEST"),"OUT-UAQPre",$L84="QUEST","OUT-UAQ", $L84="Walk in","ColUATele")</f>
        <v>#N/A</v>
      </c>
      <c r="U84" s="24" t="str">
        <f t="shared" si="8"/>
        <v>#N/A</v>
      </c>
      <c r="V84" s="222" t="str">
        <f t="shared" si="9"/>
        <v/>
      </c>
      <c r="W84" s="222" t="str">
        <f t="shared" si="10"/>
        <v/>
      </c>
      <c r="X84" s="224" t="str">
        <f t="shared" si="11"/>
        <v> </v>
      </c>
      <c r="Y84" s="244"/>
    </row>
    <row r="85">
      <c r="A85" s="214" t="str">
        <f>IFS($B85=FALSE,"",$B85,VLOOKUP($B85,'PATIENT DATA (072721)'!A:C, 2, 0))</f>
        <v/>
      </c>
      <c r="B85" s="215"/>
      <c r="C85" s="230" t="str">
        <f>IF(COUNTIF('PATIENT DATA (072721)'!A:A, B85)=0, "X","✓")</f>
        <v>X</v>
      </c>
      <c r="D85" s="226" t="str">
        <f>IFS($B85=FALSE,"",$B85,VLOOKUP($B85,'PATIENT DATA (072721)'!A:C, 3, 0))</f>
        <v/>
      </c>
      <c r="E85" s="218">
        <v>44567.0</v>
      </c>
      <c r="F85" s="219" t="str">
        <f>ifs($B85="","",$B85, VLOOKUP($B85&amp;$E85, 'VISIT DATA'!A:O,3,0))</f>
        <v/>
      </c>
      <c r="G85" s="262" t="str">
        <f>VLOOKUP($B85&amp;$E85,'VISIT DATA'!A:J, 9, FALSE)</f>
        <v>#N/A</v>
      </c>
      <c r="H85" s="223" t="str">
        <f>VLOOKUP(B85&amp;E85,'VISIT DATA'!A:N,10,FALSE)</f>
        <v>#N/A</v>
      </c>
      <c r="I85" s="225"/>
      <c r="J85" s="224"/>
      <c r="K85" s="224"/>
      <c r="L85" s="225"/>
      <c r="M85" s="216" t="str">
        <f t="shared" si="1"/>
        <v>X</v>
      </c>
      <c r="N85" s="226" t="str">
        <f t="shared" si="2"/>
        <v>#N/A</v>
      </c>
      <c r="O85" s="227" t="str">
        <f t="shared" si="3"/>
        <v>#N/A</v>
      </c>
      <c r="P85" s="228" t="str">
        <f t="shared" si="4"/>
        <v>#N/A</v>
      </c>
      <c r="Q85" s="220" t="str">
        <f t="shared" si="5"/>
        <v>#N/A</v>
      </c>
      <c r="R85" s="220" t="str">
        <f t="shared" si="6"/>
        <v>#N/A</v>
      </c>
      <c r="S85" s="221">
        <f t="shared" si="7"/>
        <v>0</v>
      </c>
      <c r="T85" s="229" t="str">
        <f>ifs($L85="",VLOOKUP($B85&amp;$E85,'VISIT DATA'!$A$2:$J100,7,FALSE), $L85="SWAB","OUTSA-RW",$L85="SWQU","OUTSA-SaQu", AND($J85="X",$K85="X",$L85="QUEST"),"OUT-UAQPre",$L85="QUEST","OUT-UAQ", $L85="Walk in","ColUATele")</f>
        <v>#N/A</v>
      </c>
      <c r="U85" s="24" t="str">
        <f t="shared" si="8"/>
        <v>#N/A</v>
      </c>
      <c r="V85" s="222" t="str">
        <f t="shared" si="9"/>
        <v/>
      </c>
      <c r="W85" s="222" t="str">
        <f t="shared" si="10"/>
        <v/>
      </c>
      <c r="X85" s="224" t="str">
        <f t="shared" si="11"/>
        <v> </v>
      </c>
      <c r="Y85" s="244"/>
    </row>
    <row r="86">
      <c r="A86" s="214" t="str">
        <f>IFS($B86=FALSE,"",$B86,VLOOKUP($B86,'PATIENT DATA (072721)'!A:C, 2, 0))</f>
        <v/>
      </c>
      <c r="B86" s="215"/>
      <c r="C86" s="230" t="str">
        <f>IF(COUNTIF('PATIENT DATA (072721)'!A:A, B86)=0, "X","✓")</f>
        <v>X</v>
      </c>
      <c r="D86" s="226" t="str">
        <f>IFS($B86=FALSE,"",$B86,VLOOKUP($B86,'PATIENT DATA (072721)'!A:C, 3, 0))</f>
        <v/>
      </c>
      <c r="E86" s="218">
        <v>44567.0</v>
      </c>
      <c r="F86" s="219" t="str">
        <f>ifs($B86="","",$B86, VLOOKUP($B86&amp;$E86, 'VISIT DATA'!A:O,3,0))</f>
        <v/>
      </c>
      <c r="G86" s="262" t="str">
        <f>VLOOKUP($B86&amp;$E86,'VISIT DATA'!A:J, 9, FALSE)</f>
        <v>#N/A</v>
      </c>
      <c r="H86" s="223" t="str">
        <f>VLOOKUP(B86&amp;E86,'VISIT DATA'!A:N,10,FALSE)</f>
        <v>#N/A</v>
      </c>
      <c r="I86" s="225"/>
      <c r="J86" s="224"/>
      <c r="K86" s="224"/>
      <c r="L86" s="225"/>
      <c r="M86" s="216" t="str">
        <f t="shared" si="1"/>
        <v>X</v>
      </c>
      <c r="N86" s="226" t="str">
        <f t="shared" si="2"/>
        <v>#N/A</v>
      </c>
      <c r="O86" s="227" t="str">
        <f t="shared" si="3"/>
        <v>#N/A</v>
      </c>
      <c r="P86" s="228" t="str">
        <f t="shared" si="4"/>
        <v>#N/A</v>
      </c>
      <c r="Q86" s="220" t="str">
        <f t="shared" si="5"/>
        <v>#N/A</v>
      </c>
      <c r="R86" s="220" t="str">
        <f t="shared" si="6"/>
        <v>#N/A</v>
      </c>
      <c r="S86" s="221">
        <f t="shared" si="7"/>
        <v>0</v>
      </c>
      <c r="T86" s="229" t="str">
        <f>ifs($L86="",VLOOKUP($B86&amp;$E86,'VISIT DATA'!$A$2:$J100,7,FALSE), $L86="SWAB","OUTSA-RW",$L86="SWQU","OUTSA-SaQu", AND($J86="X",$K86="X",$L86="QUEST"),"OUT-UAQPre",$L86="QUEST","OUT-UAQ", $L86="Walk in","ColUATele")</f>
        <v>#N/A</v>
      </c>
      <c r="U86" s="24" t="str">
        <f t="shared" si="8"/>
        <v>#N/A</v>
      </c>
      <c r="V86" s="222" t="str">
        <f t="shared" si="9"/>
        <v/>
      </c>
      <c r="W86" s="222" t="str">
        <f t="shared" si="10"/>
        <v/>
      </c>
      <c r="X86" s="224" t="str">
        <f t="shared" si="11"/>
        <v> </v>
      </c>
      <c r="Y86" s="244"/>
    </row>
    <row r="87">
      <c r="A87" s="214" t="str">
        <f>IFS($B87=FALSE,"",$B87,VLOOKUP($B87,'PATIENT DATA (072721)'!A:C, 2, 0))</f>
        <v/>
      </c>
      <c r="B87" s="215"/>
      <c r="C87" s="230" t="str">
        <f>IF(COUNTIF('PATIENT DATA (072721)'!A:A, B87)=0, "X","✓")</f>
        <v>X</v>
      </c>
      <c r="D87" s="226" t="str">
        <f>IFS($B87=FALSE,"",$B87,VLOOKUP($B87,'PATIENT DATA (072721)'!A:C, 3, 0))</f>
        <v/>
      </c>
      <c r="E87" s="218">
        <v>44567.0</v>
      </c>
      <c r="F87" s="219" t="str">
        <f>ifs($B87="","",$B87, VLOOKUP($B87&amp;$E87, 'VISIT DATA'!A:O,3,0))</f>
        <v/>
      </c>
      <c r="G87" s="262" t="str">
        <f>VLOOKUP($B87&amp;$E87,'VISIT DATA'!A:J, 9, FALSE)</f>
        <v>#N/A</v>
      </c>
      <c r="H87" s="223" t="str">
        <f>VLOOKUP(B87&amp;E87,'VISIT DATA'!A:N,10,FALSE)</f>
        <v>#N/A</v>
      </c>
      <c r="I87" s="225"/>
      <c r="J87" s="224"/>
      <c r="K87" s="224"/>
      <c r="L87" s="225"/>
      <c r="M87" s="216" t="str">
        <f t="shared" si="1"/>
        <v>X</v>
      </c>
      <c r="N87" s="226" t="str">
        <f t="shared" si="2"/>
        <v>#N/A</v>
      </c>
      <c r="O87" s="227" t="str">
        <f t="shared" si="3"/>
        <v>#N/A</v>
      </c>
      <c r="P87" s="228" t="str">
        <f t="shared" si="4"/>
        <v>#N/A</v>
      </c>
      <c r="Q87" s="220" t="str">
        <f t="shared" si="5"/>
        <v>#N/A</v>
      </c>
      <c r="R87" s="220" t="str">
        <f t="shared" si="6"/>
        <v>#N/A</v>
      </c>
      <c r="S87" s="221">
        <f t="shared" si="7"/>
        <v>0</v>
      </c>
      <c r="T87" s="229" t="str">
        <f>ifs($L87="",VLOOKUP($B87&amp;$E87,'VISIT DATA'!$A$2:$J100,7,FALSE), $L87="SWAB","OUTSA-RW",$L87="SWQU","OUTSA-SaQu", AND($J87="X",$K87="X",$L87="QUEST"),"OUT-UAQPre",$L87="QUEST","OUT-UAQ", $L87="Walk in","ColUATele")</f>
        <v>#N/A</v>
      </c>
      <c r="U87" s="24" t="str">
        <f t="shared" si="8"/>
        <v>#N/A</v>
      </c>
      <c r="V87" s="222" t="str">
        <f t="shared" si="9"/>
        <v/>
      </c>
      <c r="W87" s="222" t="str">
        <f t="shared" si="10"/>
        <v/>
      </c>
      <c r="X87" s="224" t="str">
        <f t="shared" si="11"/>
        <v> </v>
      </c>
      <c r="Y87" s="244"/>
    </row>
    <row r="88">
      <c r="A88" s="214" t="str">
        <f>IFS($B88=FALSE,"",$B88,VLOOKUP($B88,'PATIENT DATA (072721)'!A:C, 2, 0))</f>
        <v/>
      </c>
      <c r="B88" s="215"/>
      <c r="C88" s="230" t="str">
        <f>IF(COUNTIF('PATIENT DATA (072721)'!A:A, B88)=0, "X","✓")</f>
        <v>X</v>
      </c>
      <c r="D88" s="226" t="str">
        <f>IFS($B88=FALSE,"",$B88,VLOOKUP($B88,'PATIENT DATA (072721)'!A:C, 3, 0))</f>
        <v/>
      </c>
      <c r="E88" s="218">
        <v>44567.0</v>
      </c>
      <c r="F88" s="219" t="str">
        <f>ifs($B88="","",$B88, VLOOKUP($B88&amp;$E88, 'VISIT DATA'!A:O,3,0))</f>
        <v/>
      </c>
      <c r="G88" s="262" t="str">
        <f>VLOOKUP($B88&amp;$E88,'VISIT DATA'!A:J, 9, FALSE)</f>
        <v>#N/A</v>
      </c>
      <c r="H88" s="223" t="str">
        <f>VLOOKUP(B88&amp;E88,'VISIT DATA'!A:N,10,FALSE)</f>
        <v>#N/A</v>
      </c>
      <c r="I88" s="225"/>
      <c r="J88" s="224"/>
      <c r="K88" s="224"/>
      <c r="L88" s="225"/>
      <c r="M88" s="216" t="str">
        <f t="shared" si="1"/>
        <v>X</v>
      </c>
      <c r="N88" s="226" t="str">
        <f t="shared" si="2"/>
        <v>#N/A</v>
      </c>
      <c r="O88" s="227" t="str">
        <f t="shared" si="3"/>
        <v>#N/A</v>
      </c>
      <c r="P88" s="228" t="str">
        <f t="shared" si="4"/>
        <v>#N/A</v>
      </c>
      <c r="Q88" s="220" t="str">
        <f t="shared" si="5"/>
        <v>#N/A</v>
      </c>
      <c r="R88" s="220" t="str">
        <f t="shared" si="6"/>
        <v>#N/A</v>
      </c>
      <c r="S88" s="221">
        <f t="shared" si="7"/>
        <v>0</v>
      </c>
      <c r="T88" s="229" t="str">
        <f>ifs($L88="",VLOOKUP($B88&amp;$E88,'VISIT DATA'!$A$2:$J100,7,FALSE), $L88="SWAB","OUTSA-RW",$L88="SWQU","OUTSA-SaQu", AND($J88="X",$K88="X",$L88="QUEST"),"OUT-UAQPre",$L88="QUEST","OUT-UAQ", $L88="Walk in","ColUATele")</f>
        <v>#N/A</v>
      </c>
      <c r="U88" s="24" t="str">
        <f t="shared" si="8"/>
        <v>#N/A</v>
      </c>
      <c r="V88" s="222" t="str">
        <f t="shared" si="9"/>
        <v/>
      </c>
      <c r="W88" s="222" t="str">
        <f t="shared" si="10"/>
        <v/>
      </c>
      <c r="X88" s="224" t="str">
        <f t="shared" si="11"/>
        <v> </v>
      </c>
      <c r="Y88" s="244"/>
    </row>
    <row r="89">
      <c r="A89" s="214" t="str">
        <f>IFS($B89=FALSE,"",$B89,VLOOKUP($B89,'PATIENT DATA (072721)'!A:C, 2, 0))</f>
        <v/>
      </c>
      <c r="B89" s="215"/>
      <c r="C89" s="230" t="str">
        <f>IF(COUNTIF('PATIENT DATA (072721)'!A:A, B89)=0, "X","✓")</f>
        <v>X</v>
      </c>
      <c r="D89" s="226" t="str">
        <f>IFS($B89=FALSE,"",$B89,VLOOKUP($B89,'PATIENT DATA (072721)'!A:C, 3, 0))</f>
        <v/>
      </c>
      <c r="E89" s="218">
        <v>44567.0</v>
      </c>
      <c r="F89" s="219" t="str">
        <f>ifs($B89="","",$B89, VLOOKUP($B89&amp;$E89, 'VISIT DATA'!A:O,3,0))</f>
        <v/>
      </c>
      <c r="G89" s="262" t="str">
        <f>VLOOKUP($B89&amp;$E89,'VISIT DATA'!A:J, 9, FALSE)</f>
        <v>#N/A</v>
      </c>
      <c r="H89" s="223" t="str">
        <f>VLOOKUP(B89&amp;E89,'VISIT DATA'!A:N,10,FALSE)</f>
        <v>#N/A</v>
      </c>
      <c r="I89" s="225"/>
      <c r="J89" s="224"/>
      <c r="K89" s="224"/>
      <c r="L89" s="225"/>
      <c r="M89" s="216" t="str">
        <f t="shared" si="1"/>
        <v>X</v>
      </c>
      <c r="N89" s="226" t="str">
        <f t="shared" si="2"/>
        <v>#N/A</v>
      </c>
      <c r="O89" s="227" t="str">
        <f t="shared" si="3"/>
        <v>#N/A</v>
      </c>
      <c r="P89" s="228" t="str">
        <f t="shared" si="4"/>
        <v>#N/A</v>
      </c>
      <c r="Q89" s="220" t="str">
        <f t="shared" si="5"/>
        <v>#N/A</v>
      </c>
      <c r="R89" s="220" t="str">
        <f t="shared" si="6"/>
        <v>#N/A</v>
      </c>
      <c r="S89" s="221">
        <f t="shared" si="7"/>
        <v>0</v>
      </c>
      <c r="T89" s="229" t="str">
        <f>ifs($L89="",VLOOKUP($B89&amp;$E89,'VISIT DATA'!$A$2:$J100,7,FALSE), $L89="SWAB","OUTSA-RW",$L89="SWQU","OUTSA-SaQu", AND($J89="X",$K89="X",$L89="QUEST"),"OUT-UAQPre",$L89="QUEST","OUT-UAQ", $L89="Walk in","ColUATele")</f>
        <v>#N/A</v>
      </c>
      <c r="U89" s="24" t="str">
        <f t="shared" si="8"/>
        <v>#N/A</v>
      </c>
      <c r="V89" s="222" t="str">
        <f t="shared" si="9"/>
        <v/>
      </c>
      <c r="W89" s="222" t="str">
        <f t="shared" si="10"/>
        <v/>
      </c>
      <c r="X89" s="224" t="str">
        <f t="shared" si="11"/>
        <v> </v>
      </c>
      <c r="Y89" s="244"/>
    </row>
    <row r="90">
      <c r="A90" s="214" t="str">
        <f>IFS($B90=FALSE,"",$B90,VLOOKUP($B90,'PATIENT DATA (072721)'!A:C, 2, 0))</f>
        <v/>
      </c>
      <c r="B90" s="215"/>
      <c r="C90" s="230" t="str">
        <f>IF(COUNTIF('PATIENT DATA (072721)'!A:A, B90)=0, "X","✓")</f>
        <v>X</v>
      </c>
      <c r="D90" s="226" t="str">
        <f>IFS($B90=FALSE,"",$B90,VLOOKUP($B90,'PATIENT DATA (072721)'!A:C, 3, 0))</f>
        <v/>
      </c>
      <c r="E90" s="218">
        <v>44567.0</v>
      </c>
      <c r="F90" s="219" t="str">
        <f>ifs($B90="","",$B90, VLOOKUP($B90&amp;$E90, 'VISIT DATA'!A:O,3,0))</f>
        <v/>
      </c>
      <c r="G90" s="262" t="str">
        <f>VLOOKUP($B90&amp;$E90,'VISIT DATA'!A:J, 9, FALSE)</f>
        <v>#N/A</v>
      </c>
      <c r="H90" s="223" t="str">
        <f>VLOOKUP(B90&amp;E90,'VISIT DATA'!A:N,10,FALSE)</f>
        <v>#N/A</v>
      </c>
      <c r="I90" s="225"/>
      <c r="J90" s="224"/>
      <c r="K90" s="224"/>
      <c r="L90" s="225"/>
      <c r="M90" s="216" t="str">
        <f t="shared" si="1"/>
        <v>X</v>
      </c>
      <c r="N90" s="226" t="str">
        <f t="shared" si="2"/>
        <v>#N/A</v>
      </c>
      <c r="O90" s="227" t="str">
        <f t="shared" si="3"/>
        <v>#N/A</v>
      </c>
      <c r="P90" s="228" t="str">
        <f t="shared" si="4"/>
        <v>#N/A</v>
      </c>
      <c r="Q90" s="220" t="str">
        <f t="shared" si="5"/>
        <v>#N/A</v>
      </c>
      <c r="R90" s="220" t="str">
        <f t="shared" si="6"/>
        <v>#N/A</v>
      </c>
      <c r="S90" s="221">
        <f t="shared" si="7"/>
        <v>0</v>
      </c>
      <c r="T90" s="229" t="str">
        <f>ifs($L90="",VLOOKUP($B90&amp;$E90,'VISIT DATA'!$A$2:$J100,7,FALSE), $L90="SWAB","OUTSA-RW",$L90="SWQU","OUTSA-SaQu", AND($J90="X",$K90="X",$L90="QUEST"),"OUT-UAQPre",$L90="QUEST","OUT-UAQ", $L90="Walk in","ColUATele")</f>
        <v>#N/A</v>
      </c>
      <c r="U90" s="24" t="str">
        <f t="shared" si="8"/>
        <v>#N/A</v>
      </c>
      <c r="V90" s="222" t="str">
        <f t="shared" si="9"/>
        <v/>
      </c>
      <c r="W90" s="222" t="str">
        <f t="shared" si="10"/>
        <v/>
      </c>
      <c r="X90" s="224" t="str">
        <f t="shared" si="11"/>
        <v> </v>
      </c>
      <c r="Y90" s="244"/>
    </row>
    <row r="91">
      <c r="A91" s="214" t="str">
        <f>IFS($B91=FALSE,"",$B91,VLOOKUP($B91,'PATIENT DATA (072721)'!A:C, 2, 0))</f>
        <v/>
      </c>
      <c r="B91" s="215"/>
      <c r="C91" s="230" t="str">
        <f>IF(COUNTIF('PATIENT DATA (072721)'!A:A, B91)=0, "X","✓")</f>
        <v>X</v>
      </c>
      <c r="D91" s="226" t="str">
        <f>IFS($B91=FALSE,"",$B91,VLOOKUP($B91,'PATIENT DATA (072721)'!A:C, 3, 0))</f>
        <v/>
      </c>
      <c r="E91" s="218">
        <v>44567.0</v>
      </c>
      <c r="F91" s="219" t="str">
        <f>ifs($B91="","",$B91, VLOOKUP($B91&amp;$E91, 'VISIT DATA'!A:O,3,0))</f>
        <v/>
      </c>
      <c r="G91" s="262" t="str">
        <f>VLOOKUP($B91&amp;$E91,'VISIT DATA'!A:J, 9, FALSE)</f>
        <v>#N/A</v>
      </c>
      <c r="H91" s="223" t="str">
        <f>VLOOKUP(B91&amp;E91,'VISIT DATA'!A:N,10,FALSE)</f>
        <v>#N/A</v>
      </c>
      <c r="I91" s="225"/>
      <c r="J91" s="224"/>
      <c r="K91" s="224"/>
      <c r="L91" s="225"/>
      <c r="M91" s="216" t="str">
        <f t="shared" si="1"/>
        <v>X</v>
      </c>
      <c r="N91" s="226" t="str">
        <f t="shared" si="2"/>
        <v>#N/A</v>
      </c>
      <c r="O91" s="227" t="str">
        <f t="shared" si="3"/>
        <v>#N/A</v>
      </c>
      <c r="P91" s="228" t="str">
        <f t="shared" si="4"/>
        <v>#N/A</v>
      </c>
      <c r="Q91" s="220" t="str">
        <f t="shared" si="5"/>
        <v>#N/A</v>
      </c>
      <c r="R91" s="220" t="str">
        <f t="shared" si="6"/>
        <v>#N/A</v>
      </c>
      <c r="S91" s="221">
        <f t="shared" si="7"/>
        <v>0</v>
      </c>
      <c r="T91" s="229" t="str">
        <f>ifs($L91="",VLOOKUP($B91&amp;$E91,'VISIT DATA'!$A$2:$J100,7,FALSE), $L91="SWAB","OUTSA-RW",$L91="SWQU","OUTSA-SaQu", AND($J91="X",$K91="X",$L91="QUEST"),"OUT-UAQPre",$L91="QUEST","OUT-UAQ", $L91="Walk in","ColUATele")</f>
        <v>#N/A</v>
      </c>
      <c r="U91" s="24" t="str">
        <f t="shared" si="8"/>
        <v>#N/A</v>
      </c>
      <c r="V91" s="222" t="str">
        <f t="shared" si="9"/>
        <v/>
      </c>
      <c r="W91" s="222" t="str">
        <f t="shared" si="10"/>
        <v/>
      </c>
      <c r="X91" s="224" t="str">
        <f t="shared" si="11"/>
        <v> </v>
      </c>
      <c r="Y91" s="244"/>
    </row>
    <row r="92">
      <c r="A92" s="214" t="str">
        <f>IFS($B92=FALSE,"",$B92,VLOOKUP($B92,'PATIENT DATA (072721)'!A:C, 2, 0))</f>
        <v/>
      </c>
      <c r="B92" s="215"/>
      <c r="C92" s="230" t="str">
        <f>IF(COUNTIF('PATIENT DATA (072721)'!A:A, B92)=0, "X","✓")</f>
        <v>X</v>
      </c>
      <c r="D92" s="226" t="str">
        <f>IFS($B92=FALSE,"",$B92,VLOOKUP($B92,'PATIENT DATA (072721)'!A:C, 3, 0))</f>
        <v/>
      </c>
      <c r="E92" s="218">
        <v>44567.0</v>
      </c>
      <c r="F92" s="219" t="str">
        <f>ifs($B92="","",$B92, VLOOKUP($B92&amp;$E92, 'VISIT DATA'!A:O,3,0))</f>
        <v/>
      </c>
      <c r="G92" s="262" t="str">
        <f>VLOOKUP($B92&amp;$E92,'VISIT DATA'!A:J, 9, FALSE)</f>
        <v>#N/A</v>
      </c>
      <c r="H92" s="223" t="str">
        <f>VLOOKUP(B92&amp;E92,'VISIT DATA'!A:N,10,FALSE)</f>
        <v>#N/A</v>
      </c>
      <c r="I92" s="225"/>
      <c r="J92" s="224"/>
      <c r="K92" s="224"/>
      <c r="L92" s="225"/>
      <c r="M92" s="216" t="str">
        <f t="shared" si="1"/>
        <v>X</v>
      </c>
      <c r="N92" s="226" t="str">
        <f t="shared" si="2"/>
        <v>#N/A</v>
      </c>
      <c r="O92" s="227" t="str">
        <f t="shared" si="3"/>
        <v>#N/A</v>
      </c>
      <c r="P92" s="228" t="str">
        <f t="shared" si="4"/>
        <v>#N/A</v>
      </c>
      <c r="Q92" s="220" t="str">
        <f t="shared" si="5"/>
        <v>#N/A</v>
      </c>
      <c r="R92" s="220" t="str">
        <f t="shared" si="6"/>
        <v>#N/A</v>
      </c>
      <c r="S92" s="221">
        <f t="shared" si="7"/>
        <v>0</v>
      </c>
      <c r="T92" s="229" t="str">
        <f>ifs($L92="",VLOOKUP($B92&amp;$E92,'VISIT DATA'!$A$2:$J100,7,FALSE), $L92="SWAB","OUTSA-RW",$L92="SWQU","OUTSA-SaQu", AND($J92="X",$K92="X",$L92="QUEST"),"OUT-UAQPre",$L92="QUEST","OUT-UAQ", $L92="Walk in","ColUATele")</f>
        <v>#N/A</v>
      </c>
      <c r="U92" s="24" t="str">
        <f t="shared" si="8"/>
        <v>#N/A</v>
      </c>
      <c r="V92" s="222" t="str">
        <f t="shared" si="9"/>
        <v/>
      </c>
      <c r="W92" s="222" t="str">
        <f t="shared" si="10"/>
        <v/>
      </c>
      <c r="X92" s="224" t="str">
        <f t="shared" si="11"/>
        <v> </v>
      </c>
      <c r="Y92" s="244"/>
    </row>
    <row r="93">
      <c r="A93" s="214" t="str">
        <f>IFS($B93=FALSE,"",$B93,VLOOKUP($B93,'PATIENT DATA (072721)'!A:C, 2, 0))</f>
        <v/>
      </c>
      <c r="B93" s="215"/>
      <c r="C93" s="230" t="str">
        <f>IF(COUNTIF('PATIENT DATA (072721)'!A:A, B93)=0, "X","✓")</f>
        <v>X</v>
      </c>
      <c r="D93" s="226" t="str">
        <f>IFS($B93=FALSE,"",$B93,VLOOKUP($B93,'PATIENT DATA (072721)'!A:C, 3, 0))</f>
        <v/>
      </c>
      <c r="E93" s="218">
        <v>44567.0</v>
      </c>
      <c r="F93" s="219" t="str">
        <f>ifs($B93="","",$B93, VLOOKUP($B93&amp;$E93, 'VISIT DATA'!A:O,3,0))</f>
        <v/>
      </c>
      <c r="G93" s="262" t="str">
        <f>VLOOKUP($B93&amp;$E93,'VISIT DATA'!A:J, 9, FALSE)</f>
        <v>#N/A</v>
      </c>
      <c r="H93" s="223" t="str">
        <f>VLOOKUP(B93&amp;E93,'VISIT DATA'!A:N,10,FALSE)</f>
        <v>#N/A</v>
      </c>
      <c r="I93" s="225"/>
      <c r="J93" s="224"/>
      <c r="K93" s="224"/>
      <c r="L93" s="225"/>
      <c r="M93" s="216" t="str">
        <f t="shared" si="1"/>
        <v>X</v>
      </c>
      <c r="N93" s="226" t="str">
        <f t="shared" si="2"/>
        <v>#N/A</v>
      </c>
      <c r="O93" s="227" t="str">
        <f t="shared" si="3"/>
        <v>#N/A</v>
      </c>
      <c r="P93" s="228" t="str">
        <f t="shared" si="4"/>
        <v>#N/A</v>
      </c>
      <c r="Q93" s="220" t="str">
        <f t="shared" si="5"/>
        <v>#N/A</v>
      </c>
      <c r="R93" s="220" t="str">
        <f t="shared" si="6"/>
        <v>#N/A</v>
      </c>
      <c r="S93" s="221">
        <f t="shared" si="7"/>
        <v>0</v>
      </c>
      <c r="T93" s="229" t="str">
        <f>ifs($L93="",VLOOKUP($B93&amp;$E93,'VISIT DATA'!$A$2:$J100,7,FALSE), $L93="SWAB","OUTSA-RW",$L93="SWQU","OUTSA-SaQu", AND($J93="X",$K93="X",$L93="QUEST"),"OUT-UAQPre",$L93="QUEST","OUT-UAQ", $L93="Walk in","ColUATele")</f>
        <v>#N/A</v>
      </c>
      <c r="U93" s="24" t="str">
        <f t="shared" si="8"/>
        <v>#N/A</v>
      </c>
      <c r="V93" s="222" t="str">
        <f t="shared" si="9"/>
        <v/>
      </c>
      <c r="W93" s="222" t="str">
        <f t="shared" si="10"/>
        <v/>
      </c>
      <c r="X93" s="224" t="str">
        <f t="shared" si="11"/>
        <v> </v>
      </c>
      <c r="Y93" s="244"/>
    </row>
    <row r="94">
      <c r="A94" s="214" t="str">
        <f>IFS($B94=FALSE,"",$B94,VLOOKUP($B94,'PATIENT DATA (072721)'!A:C, 2, 0))</f>
        <v/>
      </c>
      <c r="B94" s="215"/>
      <c r="C94" s="230" t="str">
        <f>IF(COUNTIF('PATIENT DATA (072721)'!A:A, B94)=0, "X","✓")</f>
        <v>X</v>
      </c>
      <c r="D94" s="226" t="str">
        <f>IFS($B94=FALSE,"",$B94,VLOOKUP($B94,'PATIENT DATA (072721)'!A:C, 3, 0))</f>
        <v/>
      </c>
      <c r="E94" s="218">
        <v>44567.0</v>
      </c>
      <c r="F94" s="219" t="str">
        <f>ifs($B94="","",$B94, VLOOKUP($B94&amp;$E94, 'VISIT DATA'!A:O,3,0))</f>
        <v/>
      </c>
      <c r="G94" s="262" t="str">
        <f>VLOOKUP($B94&amp;$E94,'VISIT DATA'!A:J, 9, FALSE)</f>
        <v>#N/A</v>
      </c>
      <c r="H94" s="223" t="str">
        <f>VLOOKUP(B94&amp;E94,'VISIT DATA'!A:N,10,FALSE)</f>
        <v>#N/A</v>
      </c>
      <c r="I94" s="225"/>
      <c r="J94" s="224"/>
      <c r="K94" s="224"/>
      <c r="L94" s="225"/>
      <c r="M94" s="216" t="str">
        <f t="shared" si="1"/>
        <v>X</v>
      </c>
      <c r="N94" s="226" t="str">
        <f t="shared" si="2"/>
        <v>#N/A</v>
      </c>
      <c r="O94" s="227" t="str">
        <f t="shared" si="3"/>
        <v>#N/A</v>
      </c>
      <c r="P94" s="228" t="str">
        <f t="shared" si="4"/>
        <v>#N/A</v>
      </c>
      <c r="Q94" s="220" t="str">
        <f t="shared" si="5"/>
        <v>#N/A</v>
      </c>
      <c r="R94" s="220" t="str">
        <f t="shared" si="6"/>
        <v>#N/A</v>
      </c>
      <c r="S94" s="221">
        <f t="shared" si="7"/>
        <v>0</v>
      </c>
      <c r="T94" s="229" t="str">
        <f>ifs($L94="",VLOOKUP($B94&amp;$E94,'VISIT DATA'!$A$2:$J100,7,FALSE), $L94="SWAB","OUTSA-RW",$L94="SWQU","OUTSA-SaQu", AND($J94="X",$K94="X",$L94="QUEST"),"OUT-UAQPre",$L94="QUEST","OUT-UAQ", $L94="Walk in","ColUATele")</f>
        <v>#N/A</v>
      </c>
      <c r="U94" s="24" t="str">
        <f t="shared" si="8"/>
        <v>#N/A</v>
      </c>
      <c r="V94" s="222" t="str">
        <f t="shared" si="9"/>
        <v/>
      </c>
      <c r="W94" s="222" t="str">
        <f t="shared" si="10"/>
        <v/>
      </c>
      <c r="X94" s="224" t="str">
        <f t="shared" si="11"/>
        <v> </v>
      </c>
      <c r="Y94" s="244"/>
    </row>
    <row r="95">
      <c r="A95" s="214" t="str">
        <f>IFS($B95=FALSE,"",$B95,VLOOKUP($B95,'PATIENT DATA (072721)'!A:C, 2, 0))</f>
        <v/>
      </c>
      <c r="B95" s="215"/>
      <c r="C95" s="230" t="str">
        <f>IF(COUNTIF('PATIENT DATA (072721)'!A:A, B95)=0, "X","✓")</f>
        <v>X</v>
      </c>
      <c r="D95" s="226" t="str">
        <f>IFS($B95=FALSE,"",$B95,VLOOKUP($B95,'PATIENT DATA (072721)'!A:C, 3, 0))</f>
        <v/>
      </c>
      <c r="E95" s="218">
        <v>44567.0</v>
      </c>
      <c r="F95" s="219" t="str">
        <f>ifs($B95="","",$B95, VLOOKUP($B95&amp;$E95, 'VISIT DATA'!A:O,3,0))</f>
        <v/>
      </c>
      <c r="G95" s="262" t="str">
        <f>VLOOKUP($B95&amp;$E95,'VISIT DATA'!A:J, 9, FALSE)</f>
        <v>#N/A</v>
      </c>
      <c r="H95" s="223" t="str">
        <f>VLOOKUP(B95&amp;E95,'VISIT DATA'!A:N,10,FALSE)</f>
        <v>#N/A</v>
      </c>
      <c r="I95" s="225"/>
      <c r="J95" s="224"/>
      <c r="K95" s="224"/>
      <c r="L95" s="225"/>
      <c r="M95" s="216" t="str">
        <f t="shared" si="1"/>
        <v>X</v>
      </c>
      <c r="N95" s="226" t="str">
        <f t="shared" si="2"/>
        <v>#N/A</v>
      </c>
      <c r="O95" s="227" t="str">
        <f t="shared" si="3"/>
        <v>#N/A</v>
      </c>
      <c r="P95" s="228" t="str">
        <f t="shared" si="4"/>
        <v>#N/A</v>
      </c>
      <c r="Q95" s="220" t="str">
        <f t="shared" si="5"/>
        <v>#N/A</v>
      </c>
      <c r="R95" s="220" t="str">
        <f t="shared" si="6"/>
        <v>#N/A</v>
      </c>
      <c r="S95" s="221">
        <f t="shared" si="7"/>
        <v>0</v>
      </c>
      <c r="T95" s="229" t="str">
        <f>ifs($L95="",VLOOKUP($B95&amp;$E95,'VISIT DATA'!$A$2:$J100,7,FALSE), $L95="SWAB","OUTSA-RW",$L95="SWQU","OUTSA-SaQu", AND($J95="X",$K95="X",$L95="QUEST"),"OUT-UAQPre",$L95="QUEST","OUT-UAQ", $L95="Walk in","ColUATele")</f>
        <v>#N/A</v>
      </c>
      <c r="U95" s="24" t="str">
        <f t="shared" si="8"/>
        <v>#N/A</v>
      </c>
      <c r="V95" s="222" t="str">
        <f t="shared" si="9"/>
        <v/>
      </c>
      <c r="W95" s="222" t="str">
        <f t="shared" si="10"/>
        <v/>
      </c>
      <c r="X95" s="224" t="str">
        <f t="shared" si="11"/>
        <v> </v>
      </c>
      <c r="Y95" s="244"/>
    </row>
    <row r="96">
      <c r="A96" s="214" t="str">
        <f>IFS($B96=FALSE,"",$B96,VLOOKUP($B96,'PATIENT DATA (072721)'!A:C, 2, 0))</f>
        <v/>
      </c>
      <c r="B96" s="215"/>
      <c r="C96" s="230" t="str">
        <f>IF(COUNTIF('PATIENT DATA (072721)'!A:A, B96)=0, "X","✓")</f>
        <v>X</v>
      </c>
      <c r="D96" s="226" t="str">
        <f>IFS($B96=FALSE,"",$B96,VLOOKUP($B96,'PATIENT DATA (072721)'!A:C, 3, 0))</f>
        <v/>
      </c>
      <c r="E96" s="218">
        <v>44567.0</v>
      </c>
      <c r="F96" s="219" t="str">
        <f>ifs($B96="","",$B96, VLOOKUP($B96&amp;$E96, 'VISIT DATA'!A:O,3,0))</f>
        <v/>
      </c>
      <c r="G96" s="262" t="str">
        <f>VLOOKUP($B96&amp;$E96,'VISIT DATA'!A:J, 9, FALSE)</f>
        <v>#N/A</v>
      </c>
      <c r="H96" s="223" t="str">
        <f>VLOOKUP(B96&amp;E96,'VISIT DATA'!A:N,10,FALSE)</f>
        <v>#N/A</v>
      </c>
      <c r="I96" s="225"/>
      <c r="J96" s="224"/>
      <c r="K96" s="224"/>
      <c r="L96" s="225"/>
      <c r="M96" s="216" t="str">
        <f t="shared" si="1"/>
        <v>X</v>
      </c>
      <c r="N96" s="226" t="str">
        <f t="shared" si="2"/>
        <v>#N/A</v>
      </c>
      <c r="O96" s="227" t="str">
        <f t="shared" si="3"/>
        <v>#N/A</v>
      </c>
      <c r="P96" s="228" t="str">
        <f t="shared" si="4"/>
        <v>#N/A</v>
      </c>
      <c r="Q96" s="220" t="str">
        <f t="shared" si="5"/>
        <v>#N/A</v>
      </c>
      <c r="R96" s="220" t="str">
        <f t="shared" si="6"/>
        <v>#N/A</v>
      </c>
      <c r="S96" s="221">
        <f t="shared" si="7"/>
        <v>0</v>
      </c>
      <c r="T96" s="229" t="str">
        <f>ifs($L96="",VLOOKUP($B96&amp;$E96,'VISIT DATA'!$A$2:$J100,7,FALSE), $L96="SWAB","OUTSA-RW",$L96="SWQU","OUTSA-SaQu", AND($J96="X",$K96="X",$L96="QUEST"),"OUT-UAQPre",$L96="QUEST","OUT-UAQ", $L96="Walk in","ColUATele")</f>
        <v>#N/A</v>
      </c>
      <c r="U96" s="24" t="str">
        <f t="shared" si="8"/>
        <v>#N/A</v>
      </c>
      <c r="V96" s="222" t="str">
        <f t="shared" si="9"/>
        <v/>
      </c>
      <c r="W96" s="222" t="str">
        <f t="shared" si="10"/>
        <v/>
      </c>
      <c r="X96" s="224" t="str">
        <f t="shared" si="11"/>
        <v> </v>
      </c>
      <c r="Y96" s="244"/>
    </row>
    <row r="97">
      <c r="A97" s="214" t="str">
        <f>IFS($B97=FALSE,"",$B97,VLOOKUP($B97,'PATIENT DATA (072721)'!A:C, 2, 0))</f>
        <v/>
      </c>
      <c r="B97" s="215"/>
      <c r="C97" s="230" t="str">
        <f>IF(COUNTIF('PATIENT DATA (072721)'!A:A, B97)=0, "X","✓")</f>
        <v>X</v>
      </c>
      <c r="D97" s="226" t="str">
        <f>IFS($B97=FALSE,"",$B97,VLOOKUP($B97,'PATIENT DATA (072721)'!A:C, 3, 0))</f>
        <v/>
      </c>
      <c r="E97" s="218">
        <v>44567.0</v>
      </c>
      <c r="F97" s="219" t="str">
        <f>ifs($B97="","",$B97, VLOOKUP($B97&amp;$E97, 'VISIT DATA'!A:O,3,0))</f>
        <v/>
      </c>
      <c r="G97" s="262" t="str">
        <f>VLOOKUP($B97&amp;$E97,'VISIT DATA'!A:J, 9, FALSE)</f>
        <v>#N/A</v>
      </c>
      <c r="H97" s="223" t="str">
        <f>VLOOKUP(B97&amp;E97,'VISIT DATA'!A:N,10,FALSE)</f>
        <v>#N/A</v>
      </c>
      <c r="I97" s="225"/>
      <c r="J97" s="224"/>
      <c r="K97" s="224"/>
      <c r="L97" s="225"/>
      <c r="M97" s="216" t="str">
        <f t="shared" si="1"/>
        <v>X</v>
      </c>
      <c r="N97" s="226" t="str">
        <f t="shared" si="2"/>
        <v>#N/A</v>
      </c>
      <c r="O97" s="227" t="str">
        <f t="shared" si="3"/>
        <v>#N/A</v>
      </c>
      <c r="P97" s="228" t="str">
        <f t="shared" si="4"/>
        <v>#N/A</v>
      </c>
      <c r="Q97" s="220" t="str">
        <f t="shared" si="5"/>
        <v>#N/A</v>
      </c>
      <c r="R97" s="220" t="str">
        <f t="shared" si="6"/>
        <v>#N/A</v>
      </c>
      <c r="S97" s="221">
        <f t="shared" si="7"/>
        <v>0</v>
      </c>
      <c r="T97" s="229" t="str">
        <f>ifs($L97="",VLOOKUP($B97&amp;$E97,'VISIT DATA'!$A$2:$J100,7,FALSE), $L97="SWAB","OUTSA-RW",$L97="SWQU","OUTSA-SaQu", AND($J97="X",$K97="X",$L97="QUEST"),"OUT-UAQPre",$L97="QUEST","OUT-UAQ", $L97="Walk in","ColUATele")</f>
        <v>#N/A</v>
      </c>
      <c r="U97" s="24" t="str">
        <f t="shared" si="8"/>
        <v>#N/A</v>
      </c>
      <c r="V97" s="222" t="str">
        <f t="shared" si="9"/>
        <v/>
      </c>
      <c r="W97" s="222" t="str">
        <f t="shared" si="10"/>
        <v/>
      </c>
      <c r="X97" s="224" t="str">
        <f t="shared" si="11"/>
        <v> </v>
      </c>
      <c r="Y97" s="244"/>
    </row>
    <row r="98">
      <c r="A98" s="214" t="str">
        <f>IFS($B98=FALSE,"",$B98,VLOOKUP($B98,'PATIENT DATA (072721)'!A:C, 2, 0))</f>
        <v/>
      </c>
      <c r="B98" s="215"/>
      <c r="C98" s="230" t="str">
        <f>IF(COUNTIF('PATIENT DATA (072721)'!A:A, B98)=0, "X","✓")</f>
        <v>X</v>
      </c>
      <c r="D98" s="226" t="str">
        <f>IFS($B98=FALSE,"",$B98,VLOOKUP($B98,'PATIENT DATA (072721)'!A:C, 3, 0))</f>
        <v/>
      </c>
      <c r="E98" s="218">
        <v>44567.0</v>
      </c>
      <c r="F98" s="219" t="str">
        <f>ifs($B98="","",$B98, VLOOKUP($B98&amp;$E98, 'VISIT DATA'!A:O,3,0))</f>
        <v/>
      </c>
      <c r="G98" s="262" t="str">
        <f>VLOOKUP($B98&amp;$E98,'VISIT DATA'!A:J, 9, FALSE)</f>
        <v>#N/A</v>
      </c>
      <c r="H98" s="223" t="str">
        <f>VLOOKUP(B98&amp;E98,'VISIT DATA'!A:N,10,FALSE)</f>
        <v>#N/A</v>
      </c>
      <c r="I98" s="225"/>
      <c r="J98" s="224"/>
      <c r="K98" s="224"/>
      <c r="L98" s="225"/>
      <c r="M98" s="216" t="str">
        <f t="shared" si="1"/>
        <v>X</v>
      </c>
      <c r="N98" s="226" t="str">
        <f t="shared" si="2"/>
        <v>#N/A</v>
      </c>
      <c r="O98" s="227" t="str">
        <f t="shared" si="3"/>
        <v>#N/A</v>
      </c>
      <c r="P98" s="228" t="str">
        <f t="shared" si="4"/>
        <v>#N/A</v>
      </c>
      <c r="Q98" s="220" t="str">
        <f t="shared" si="5"/>
        <v>#N/A</v>
      </c>
      <c r="R98" s="220" t="str">
        <f t="shared" si="6"/>
        <v>#N/A</v>
      </c>
      <c r="S98" s="221">
        <f t="shared" si="7"/>
        <v>0</v>
      </c>
      <c r="T98" s="229" t="str">
        <f>ifs($L98="",VLOOKUP($B98&amp;$E98,'VISIT DATA'!$A$2:$J100,7,FALSE), $L98="SWAB","OUTSA-RW",$L98="SWQU","OUTSA-SaQu", AND($J98="X",$K98="X",$L98="QUEST"),"OUT-UAQPre",$L98="QUEST","OUT-UAQ", $L98="Walk in","ColUATele")</f>
        <v>#N/A</v>
      </c>
      <c r="U98" s="24" t="str">
        <f t="shared" si="8"/>
        <v>#N/A</v>
      </c>
      <c r="V98" s="222" t="str">
        <f t="shared" si="9"/>
        <v/>
      </c>
      <c r="W98" s="222" t="str">
        <f t="shared" si="10"/>
        <v/>
      </c>
      <c r="X98" s="224" t="str">
        <f t="shared" si="11"/>
        <v> </v>
      </c>
      <c r="Y98" s="244"/>
    </row>
    <row r="99">
      <c r="A99" s="214" t="str">
        <f>IFS($B99=FALSE,"",$B99,VLOOKUP($B99,'PATIENT DATA (072721)'!A:C, 2, 0))</f>
        <v/>
      </c>
      <c r="B99" s="215"/>
      <c r="C99" s="230" t="str">
        <f>IF(COUNTIF('PATIENT DATA (072721)'!A:A, B99)=0, "X","✓")</f>
        <v>X</v>
      </c>
      <c r="D99" s="226" t="str">
        <f>IFS($B99=FALSE,"",$B99,VLOOKUP($B99,'PATIENT DATA (072721)'!A:C, 3, 0))</f>
        <v/>
      </c>
      <c r="E99" s="218">
        <v>44567.0</v>
      </c>
      <c r="F99" s="219" t="str">
        <f>ifs($B99="","",$B99, VLOOKUP($B99&amp;$E99, 'VISIT DATA'!A:O,3,0))</f>
        <v/>
      </c>
      <c r="G99" s="262" t="str">
        <f>VLOOKUP($B99&amp;$E99,'VISIT DATA'!A:J, 9, FALSE)</f>
        <v>#N/A</v>
      </c>
      <c r="H99" s="223" t="str">
        <f>VLOOKUP(B99&amp;E99,'VISIT DATA'!A:N,10,FALSE)</f>
        <v>#N/A</v>
      </c>
      <c r="I99" s="225"/>
      <c r="J99" s="224"/>
      <c r="K99" s="224"/>
      <c r="L99" s="225"/>
      <c r="M99" s="216" t="str">
        <f t="shared" si="1"/>
        <v>X</v>
      </c>
      <c r="N99" s="226" t="str">
        <f t="shared" si="2"/>
        <v>#N/A</v>
      </c>
      <c r="O99" s="227" t="str">
        <f t="shared" si="3"/>
        <v>#N/A</v>
      </c>
      <c r="P99" s="228" t="str">
        <f t="shared" si="4"/>
        <v>#N/A</v>
      </c>
      <c r="Q99" s="220" t="str">
        <f t="shared" si="5"/>
        <v>#N/A</v>
      </c>
      <c r="R99" s="220" t="str">
        <f t="shared" si="6"/>
        <v>#N/A</v>
      </c>
      <c r="S99" s="221">
        <f t="shared" si="7"/>
        <v>0</v>
      </c>
      <c r="T99" s="229" t="str">
        <f>ifs($L99="",VLOOKUP($B99&amp;$E99,'VISIT DATA'!$A$2:$J100,7,FALSE), $L99="SWAB","OUTSA-RW",$L99="SWQU","OUTSA-SaQu", AND($J99="X",$K99="X",$L99="QUEST"),"OUT-UAQPre",$L99="QUEST","OUT-UAQ", $L99="Walk in","ColUATele")</f>
        <v>#N/A</v>
      </c>
      <c r="U99" s="24" t="str">
        <f t="shared" si="8"/>
        <v>#N/A</v>
      </c>
      <c r="V99" s="222" t="str">
        <f t="shared" si="9"/>
        <v/>
      </c>
      <c r="W99" s="222" t="str">
        <f t="shared" si="10"/>
        <v/>
      </c>
      <c r="X99" s="224" t="str">
        <f t="shared" si="11"/>
        <v> </v>
      </c>
      <c r="Y99" s="244"/>
    </row>
    <row r="100">
      <c r="A100" s="232"/>
      <c r="B100" s="232"/>
      <c r="C100" s="232"/>
      <c r="D100" s="232"/>
      <c r="E100" s="263"/>
      <c r="F100" s="234"/>
      <c r="G100" s="232"/>
      <c r="H100" s="232"/>
      <c r="I100" s="236" t="s">
        <v>6333</v>
      </c>
      <c r="J100" s="237">
        <f>COUNTIFS(I1:J80, "X")</f>
        <v>51</v>
      </c>
      <c r="K100" s="236" t="s">
        <v>6334</v>
      </c>
      <c r="L100" s="237">
        <f>COUNTIFS(K1:K80, "X")</f>
        <v>16</v>
      </c>
      <c r="M100" s="238"/>
      <c r="N100" s="238"/>
      <c r="O100" s="238"/>
      <c r="P100" s="238"/>
      <c r="Q100" s="238"/>
      <c r="R100" s="238"/>
      <c r="S100" s="238"/>
      <c r="T100" s="239"/>
      <c r="U100" s="238"/>
      <c r="V100" s="238"/>
      <c r="W100" s="238"/>
      <c r="X100" s="238"/>
      <c r="Y100" s="238"/>
    </row>
  </sheetData>
  <customSheetViews>
    <customSheetView guid="{20F5F3BA-172D-4727-943D-E296FD1F3EFA}" filter="1" showAutoFilter="1">
      <autoFilter ref="$A$1:$Y$100"/>
    </customSheetView>
  </customSheetViews>
  <conditionalFormatting sqref="A1:V100">
    <cfRule type="expression" dxfId="5" priority="1">
      <formula>$V1="ERROR"</formula>
    </cfRule>
  </conditionalFormatting>
  <conditionalFormatting sqref="A1:X99">
    <cfRule type="expression" dxfId="5" priority="2">
      <formula>$W1="NO MATCH"</formula>
    </cfRule>
  </conditionalFormatting>
  <conditionalFormatting sqref="C2:C99 M2:M99">
    <cfRule type="containsText" dxfId="5" priority="3" operator="containsText" text="X">
      <formula>NOT(ISERROR(SEARCH(("X"),(C2))))</formula>
    </cfRule>
  </conditionalFormatting>
  <conditionalFormatting sqref="A1:X99">
    <cfRule type="expression" dxfId="4" priority="4">
      <formula>$X1="Repeat"</formula>
    </cfRule>
  </conditionalFormatting>
  <conditionalFormatting sqref="T2:T99">
    <cfRule type="expression" dxfId="10" priority="5">
      <formula>$L2="QUEST"</formula>
    </cfRule>
  </conditionalFormatting>
  <conditionalFormatting sqref="C2:C99 M2:M99">
    <cfRule type="containsText" dxfId="10" priority="6" operator="containsText" text="✓">
      <formula>NOT(ISERROR(SEARCH(("✓"),(C2))))</formula>
    </cfRule>
  </conditionalFormatting>
  <conditionalFormatting sqref="A1:S99">
    <cfRule type="expression" dxfId="20" priority="7">
      <formula>$H1="MOLINA DUAL COMPLETE NEW MEXICO"</formula>
    </cfRule>
  </conditionalFormatting>
  <conditionalFormatting sqref="A1:S99">
    <cfRule type="expression" dxfId="20" priority="8">
      <formula>$H1="MOLINA DUAL COMPLETE TEXAS"</formula>
    </cfRule>
  </conditionalFormatting>
  <conditionalFormatting sqref="A1:S99">
    <cfRule type="expression" dxfId="20" priority="9">
      <formula>$H1="MOLINA MARKETPLACE TEXAS"</formula>
    </cfRule>
  </conditionalFormatting>
  <conditionalFormatting sqref="I1:I99">
    <cfRule type="containsText" dxfId="6" priority="10" operator="containsText" text="x">
      <formula>NOT(ISERROR(SEARCH(("x"),(I1))))</formula>
    </cfRule>
  </conditionalFormatting>
  <conditionalFormatting sqref="K1:K99">
    <cfRule type="containsText" dxfId="21" priority="11" operator="containsText" text="X">
      <formula>NOT(ISERROR(SEARCH(("X"),(K1))))</formula>
    </cfRule>
  </conditionalFormatting>
  <conditionalFormatting sqref="J1:J99">
    <cfRule type="containsText" dxfId="22" priority="12" operator="containsText" text="X">
      <formula>NOT(ISERROR(SEARCH(("X"),(J1))))</formula>
    </cfRule>
  </conditionalFormatting>
  <conditionalFormatting sqref="C1:C99 M1:M99">
    <cfRule type="containsBlanks" dxfId="23" priority="13">
      <formula>LEN(TRIM(C1))=0</formula>
    </cfRule>
  </conditionalFormatting>
  <conditionalFormatting sqref="H1:H99 L1:M1 X1">
    <cfRule type="containsText" dxfId="24" priority="14" operator="containsText" text="Molina">
      <formula>NOT(ISERROR(SEARCH(("Molina"),(H1))))</formula>
    </cfRule>
  </conditionalFormatting>
  <conditionalFormatting sqref="I1:K99">
    <cfRule type="containsBlanks" dxfId="25" priority="15">
      <formula>LEN(TRIM(I1))=0</formula>
    </cfRule>
  </conditionalFormatting>
  <conditionalFormatting sqref="M1:M99 A2:L99 N2:X99">
    <cfRule type="expression" dxfId="10" priority="16">
      <formula>$L1="SWAB"</formula>
    </cfRule>
  </conditionalFormatting>
  <conditionalFormatting sqref="H1:H99">
    <cfRule type="containsText" dxfId="5" priority="17" operator="containsText" text="Self Pay">
      <formula>NOT(ISERROR(SEARCH(("Self Pay"),(H1))))</formula>
    </cfRule>
  </conditionalFormatting>
  <conditionalFormatting sqref="H1:H99">
    <cfRule type="containsText" dxfId="5" priority="18" operator="containsText" text="Self-Pay">
      <formula>NOT(ISERROR(SEARCH(("Self-Pay"),(H1))))</formula>
    </cfRule>
  </conditionalFormatting>
  <conditionalFormatting sqref="H1:H99">
    <cfRule type="containsText" dxfId="5" priority="19" operator="containsText" text="Third Party">
      <formula>NOT(ISERROR(SEARCH(("Third Party"),(H1))))</formula>
    </cfRule>
  </conditionalFormatting>
  <conditionalFormatting sqref="A1:S99">
    <cfRule type="expression" dxfId="26" priority="20">
      <formula>$H1="SUPERIOR HEALTH PLAN"</formula>
    </cfRule>
  </conditionalFormatting>
  <conditionalFormatting sqref="A1:S99">
    <cfRule type="expression" dxfId="26" priority="21">
      <formula>$H1="AMBETTER - SUPERIOR"</formula>
    </cfRule>
  </conditionalFormatting>
  <conditionalFormatting sqref="A1:S99">
    <cfRule type="expression" dxfId="19" priority="22">
      <formula>$H1="Wellmed - Humana"</formula>
    </cfRule>
  </conditionalFormatting>
  <conditionalFormatting sqref="A1:S99">
    <cfRule type="expression" dxfId="19" priority="23">
      <formula>$H1="WELLMED - AARP MEDICARE COMPLETE"</formula>
    </cfRule>
  </conditionalFormatting>
  <conditionalFormatting sqref="A1:S99">
    <cfRule type="expression" dxfId="19" priority="24">
      <formula>$H1="WELLMED - AMERIVANTAGE"</formula>
    </cfRule>
  </conditionalFormatting>
  <conditionalFormatting sqref="A1:S99">
    <cfRule type="expression" dxfId="19" priority="25">
      <formula>$H1="WELLMED - CIGNA HEALTHSPRING"</formula>
    </cfRule>
  </conditionalFormatting>
  <conditionalFormatting sqref="A1:S99">
    <cfRule type="expression" dxfId="19" priority="26">
      <formula>$H1="WELLMED - UHC CHRONIC COMPLETE HMO C-SNP"</formula>
    </cfRule>
  </conditionalFormatting>
  <conditionalFormatting sqref="A1:S99">
    <cfRule type="expression" dxfId="19" priority="27">
      <formula>$H1="WELLMED - UHC DUAL COMPLETE HMO SNP"</formula>
    </cfRule>
  </conditionalFormatting>
  <conditionalFormatting sqref="A1:S99">
    <cfRule type="expression" dxfId="19" priority="28">
      <formula>$H1="WELLMED - UHC DUAL COMPLETE SNP"</formula>
    </cfRule>
  </conditionalFormatting>
  <conditionalFormatting sqref="A1:S99">
    <cfRule type="expression" dxfId="20" priority="29">
      <formula>$H1="MOLINA DUAL COMPLETE NEW MEXICO"</formula>
    </cfRule>
  </conditionalFormatting>
  <conditionalFormatting sqref="A1:S99">
    <cfRule type="expression" dxfId="20" priority="30">
      <formula>$H1="MOLINA DUAL COMPLETE TEXAS"</formula>
    </cfRule>
  </conditionalFormatting>
  <conditionalFormatting sqref="A1:S99">
    <cfRule type="expression" dxfId="20" priority="31">
      <formula>$H1="MOLINA MARKETPLACE TEXAS"</formula>
    </cfRule>
  </conditionalFormatting>
  <conditionalFormatting sqref="A1:S99">
    <cfRule type="expression" dxfId="20" priority="32">
      <formula>$H1="MOLINA MEDICAID TEXAS"</formula>
    </cfRule>
  </conditionalFormatting>
  <conditionalFormatting sqref="A1:S99">
    <cfRule type="expression" dxfId="27" priority="33">
      <formula>$H1="HUMANA OPEN ACCESS PLAN"</formula>
    </cfRule>
  </conditionalFormatting>
  <conditionalFormatting sqref="A1:S99">
    <cfRule type="expression" dxfId="28" priority="34">
      <formula>$H1="HUMANA CHOICE CARE"</formula>
    </cfRule>
  </conditionalFormatting>
  <conditionalFormatting sqref="T1:U99">
    <cfRule type="expression" dxfId="11" priority="35">
      <formula>$T1="UA"</formula>
    </cfRule>
  </conditionalFormatting>
  <conditionalFormatting sqref="T1:U99">
    <cfRule type="expression" dxfId="12" priority="36">
      <formula>$T1="OUTUA-PrRW"</formula>
    </cfRule>
  </conditionalFormatting>
  <conditionalFormatting sqref="T1:U99">
    <cfRule type="expression" dxfId="12" priority="37">
      <formula>$T1="OUT-UAQPre"</formula>
    </cfRule>
  </conditionalFormatting>
  <conditionalFormatting sqref="T1:U99">
    <cfRule type="expression" dxfId="13" priority="38">
      <formula>$T1="UA-Prelim"</formula>
    </cfRule>
  </conditionalFormatting>
  <conditionalFormatting sqref="T1:U99">
    <cfRule type="expression" dxfId="6" priority="39">
      <formula>$T1="UA-NWPT"</formula>
    </cfRule>
  </conditionalFormatting>
  <conditionalFormatting sqref="L1:L100 M1:M99">
    <cfRule type="expression" dxfId="5" priority="40">
      <formula>$M1="X"</formula>
    </cfRule>
  </conditionalFormatting>
  <conditionalFormatting sqref="T1:U99">
    <cfRule type="expression" dxfId="10" priority="41">
      <formula>$T1="OUT-UAQ"</formula>
    </cfRule>
  </conditionalFormatting>
  <conditionalFormatting sqref="T1:U99">
    <cfRule type="expression" dxfId="10" priority="42">
      <formula>$T1="OUTUA-FURW"</formula>
    </cfRule>
  </conditionalFormatting>
  <conditionalFormatting sqref="T1:U99">
    <cfRule type="expression" dxfId="14" priority="43">
      <formula>$T1="OUTSA-SaQu"</formula>
    </cfRule>
  </conditionalFormatting>
  <conditionalFormatting sqref="T1:U99">
    <cfRule type="expression" dxfId="14" priority="44">
      <formula>$T1="OUTSA-RW"</formula>
    </cfRule>
  </conditionalFormatting>
  <dataValidations>
    <dataValidation type="list" allowBlank="1" showErrorMessage="1" sqref="H2:H99">
      <formula1>Data!$A$2:$A100</formula1>
    </dataValidation>
    <dataValidation type="list" allowBlank="1" showErrorMessage="1" sqref="F2:F99">
      <formula1>Data!$B$1:$B$44</formula1>
    </dataValidation>
    <dataValidation type="custom" allowBlank="1" showDropDown="1" showInputMessage="1" showErrorMessage="1" prompt="CAPITALS" sqref="A1:A99">
      <formula1>ISERROR(SEARCH((exact(upper(B:L),B:L)),(A1)))</formula1>
    </dataValidation>
    <dataValidation type="custom" allowBlank="1" showDropDown="1" showInputMessage="1" showErrorMessage="1" prompt="CAPITALS" sqref="B1:B99">
      <formula1>ISERROR(SEARCH((exact(upper(B:M),B:M)),(B1)))</formula1>
    </dataValidation>
    <dataValidation type="list" allowBlank="1" showErrorMessage="1" sqref="I2:K99">
      <formula1>"X"</formula1>
    </dataValidation>
    <dataValidation type="list" allowBlank="1" showInputMessage="1" showErrorMessage="1" prompt="Click and enter a value from range 'Insurance Data'!C2:C608" sqref="E2:E99">
      <formula1>Data!$C:$C</formula1>
    </dataValidation>
    <dataValidation type="list" allowBlank="1" showErrorMessage="1" sqref="G2:G99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2" width="8.43"/>
    <col customWidth="1" min="3" max="3" width="31.0"/>
    <col customWidth="1" min="4" max="5" width="7.86"/>
    <col customWidth="1" min="6" max="6" width="13.43"/>
    <col customWidth="1" min="7" max="7" width="10.86"/>
    <col customWidth="1" min="8" max="8" width="17.14"/>
    <col customWidth="1" min="9" max="9" width="43.57"/>
    <col customWidth="1" min="10" max="10" width="37.43"/>
  </cols>
  <sheetData>
    <row r="1">
      <c r="A1" s="320" t="s">
        <v>20</v>
      </c>
      <c r="B1" s="320" t="s">
        <v>6077</v>
      </c>
      <c r="C1" s="320" t="s">
        <v>24</v>
      </c>
      <c r="D1" s="320" t="s">
        <v>25</v>
      </c>
      <c r="E1" s="320" t="s">
        <v>21</v>
      </c>
      <c r="F1" s="320" t="s">
        <v>6204</v>
      </c>
      <c r="G1" s="320" t="s">
        <v>6205</v>
      </c>
      <c r="H1" s="320" t="s">
        <v>6206</v>
      </c>
      <c r="I1" s="320" t="s">
        <v>6135</v>
      </c>
      <c r="J1" s="320" t="s">
        <v>7</v>
      </c>
      <c r="K1" s="264"/>
      <c r="L1" s="264"/>
      <c r="M1" s="264"/>
      <c r="N1" s="264"/>
      <c r="O1" s="264"/>
      <c r="P1" s="264"/>
    </row>
    <row r="2">
      <c r="A2" s="19">
        <v>12538.0</v>
      </c>
      <c r="B2" s="321">
        <v>0.3229166666666667</v>
      </c>
      <c r="C2" s="316" t="s">
        <v>1522</v>
      </c>
      <c r="D2" s="322">
        <v>18832.0</v>
      </c>
      <c r="E2" s="322">
        <v>44564.0</v>
      </c>
      <c r="F2" s="19" t="s">
        <v>5</v>
      </c>
      <c r="G2" s="19" t="s">
        <v>6211</v>
      </c>
      <c r="H2" s="19" t="s">
        <v>6212</v>
      </c>
      <c r="I2" s="19" t="s">
        <v>6199</v>
      </c>
      <c r="J2" s="19"/>
      <c r="K2" s="264"/>
      <c r="L2" s="264"/>
      <c r="M2" s="323"/>
      <c r="N2" s="264"/>
      <c r="O2" s="264"/>
      <c r="P2" s="264"/>
    </row>
    <row r="3">
      <c r="A3" s="19">
        <v>17733.0</v>
      </c>
      <c r="B3" s="321">
        <v>0.34375</v>
      </c>
      <c r="C3" s="316" t="s">
        <v>6379</v>
      </c>
      <c r="D3" s="322">
        <v>22321.0</v>
      </c>
      <c r="E3" s="322">
        <v>44564.0</v>
      </c>
      <c r="F3" s="19" t="s">
        <v>6213</v>
      </c>
      <c r="G3" s="19" t="s">
        <v>6211</v>
      </c>
      <c r="H3" s="19" t="s">
        <v>6212</v>
      </c>
      <c r="I3" s="19" t="s">
        <v>6202</v>
      </c>
      <c r="J3" s="19"/>
      <c r="K3" s="264"/>
      <c r="L3" s="264"/>
      <c r="M3" s="323"/>
      <c r="N3" s="323"/>
      <c r="O3" s="264"/>
      <c r="P3" s="264"/>
    </row>
    <row r="4">
      <c r="A4" s="19">
        <v>17294.0</v>
      </c>
      <c r="B4" s="321">
        <v>0.3645833333333333</v>
      </c>
      <c r="C4" s="316" t="s">
        <v>5364</v>
      </c>
      <c r="D4" s="322">
        <v>28685.0</v>
      </c>
      <c r="E4" s="322">
        <v>44564.0</v>
      </c>
      <c r="F4" s="19" t="s">
        <v>6213</v>
      </c>
      <c r="G4" s="19" t="s">
        <v>6211</v>
      </c>
      <c r="H4" s="19" t="s">
        <v>6212</v>
      </c>
      <c r="I4" s="19" t="s">
        <v>6082</v>
      </c>
      <c r="J4" s="19"/>
      <c r="K4" s="264"/>
      <c r="L4" s="264"/>
      <c r="M4" s="323"/>
      <c r="N4" s="323"/>
      <c r="O4" s="264"/>
      <c r="P4" s="264"/>
    </row>
    <row r="5">
      <c r="A5" s="19">
        <v>15575.0</v>
      </c>
      <c r="B5" s="321">
        <v>0.3645833333333333</v>
      </c>
      <c r="C5" s="316" t="s">
        <v>3956</v>
      </c>
      <c r="D5" s="322">
        <v>25072.0</v>
      </c>
      <c r="E5" s="322">
        <v>44564.0</v>
      </c>
      <c r="F5" s="19" t="s">
        <v>5</v>
      </c>
      <c r="G5" s="19" t="s">
        <v>6211</v>
      </c>
      <c r="H5" s="19" t="s">
        <v>6212</v>
      </c>
      <c r="I5" s="19" t="s">
        <v>6082</v>
      </c>
      <c r="J5" s="19"/>
      <c r="K5" s="264"/>
      <c r="L5" s="264"/>
      <c r="M5" s="323"/>
      <c r="N5" s="323"/>
      <c r="O5" s="264"/>
      <c r="P5" s="264"/>
    </row>
    <row r="6">
      <c r="A6" s="19">
        <v>17730.0</v>
      </c>
      <c r="B6" s="321">
        <v>0.3958333333333333</v>
      </c>
      <c r="C6" s="316" t="s">
        <v>5771</v>
      </c>
      <c r="D6" s="322">
        <v>20478.0</v>
      </c>
      <c r="E6" s="322">
        <v>44564.0</v>
      </c>
      <c r="F6" s="19" t="s">
        <v>6213</v>
      </c>
      <c r="G6" s="19" t="s">
        <v>6211</v>
      </c>
      <c r="H6" s="19" t="s">
        <v>6212</v>
      </c>
      <c r="I6" s="19" t="s">
        <v>6161</v>
      </c>
      <c r="J6" s="19"/>
      <c r="K6" s="264"/>
      <c r="L6" s="264"/>
      <c r="M6" s="323"/>
      <c r="N6" s="323"/>
      <c r="O6" s="264"/>
      <c r="P6" s="264"/>
    </row>
    <row r="7">
      <c r="A7" s="19">
        <v>17744.0</v>
      </c>
      <c r="B7" s="321">
        <v>0.3958333333333333</v>
      </c>
      <c r="C7" s="316" t="s">
        <v>5929</v>
      </c>
      <c r="D7" s="322">
        <v>25802.0</v>
      </c>
      <c r="E7" s="322">
        <v>44564.0</v>
      </c>
      <c r="F7" s="19" t="s">
        <v>6214</v>
      </c>
      <c r="G7" s="19" t="s">
        <v>6211</v>
      </c>
      <c r="H7" s="19" t="s">
        <v>6212</v>
      </c>
      <c r="I7" s="19" t="s">
        <v>6142</v>
      </c>
      <c r="J7" s="19"/>
      <c r="K7" s="264"/>
      <c r="L7" s="264"/>
      <c r="M7" s="323"/>
      <c r="N7" s="323"/>
      <c r="O7" s="264"/>
      <c r="P7" s="264"/>
    </row>
    <row r="8">
      <c r="A8" s="19">
        <v>17379.0</v>
      </c>
      <c r="B8" s="321">
        <v>0.4166666666666667</v>
      </c>
      <c r="C8" s="316" t="s">
        <v>5934</v>
      </c>
      <c r="D8" s="322">
        <v>25124.0</v>
      </c>
      <c r="E8" s="322">
        <v>44564.0</v>
      </c>
      <c r="F8" s="19" t="s">
        <v>6213</v>
      </c>
      <c r="G8" s="19" t="s">
        <v>6211</v>
      </c>
      <c r="H8" s="19" t="s">
        <v>6212</v>
      </c>
      <c r="I8" s="19" t="s">
        <v>6199</v>
      </c>
      <c r="J8" s="19"/>
      <c r="K8" s="264"/>
      <c r="L8" s="264"/>
      <c r="M8" s="323"/>
      <c r="N8" s="323"/>
      <c r="O8" s="264"/>
      <c r="P8" s="264"/>
    </row>
    <row r="9">
      <c r="A9" s="19">
        <v>13863.0</v>
      </c>
      <c r="B9" s="321">
        <v>0.4166666666666667</v>
      </c>
      <c r="C9" s="316" t="s">
        <v>2565</v>
      </c>
      <c r="D9" s="322">
        <v>29842.0</v>
      </c>
      <c r="E9" s="322">
        <v>44564.0</v>
      </c>
      <c r="F9" s="19" t="s">
        <v>6215</v>
      </c>
      <c r="G9" s="19" t="s">
        <v>6211</v>
      </c>
      <c r="H9" s="19" t="s">
        <v>6212</v>
      </c>
      <c r="I9" s="19" t="s">
        <v>6174</v>
      </c>
      <c r="J9" s="19"/>
      <c r="K9" s="264"/>
      <c r="L9" s="264"/>
      <c r="M9" s="323"/>
      <c r="N9" s="264"/>
      <c r="O9" s="264"/>
      <c r="P9" s="264"/>
    </row>
    <row r="10">
      <c r="A10" s="19">
        <v>14035.0</v>
      </c>
      <c r="B10" s="321">
        <v>0.4270833333333333</v>
      </c>
      <c r="C10" s="316" t="s">
        <v>2693</v>
      </c>
      <c r="D10" s="322">
        <v>22362.0</v>
      </c>
      <c r="E10" s="322">
        <v>44564.0</v>
      </c>
      <c r="F10" s="19" t="s">
        <v>6216</v>
      </c>
      <c r="G10" s="19" t="s">
        <v>6211</v>
      </c>
      <c r="H10" s="19" t="s">
        <v>6212</v>
      </c>
      <c r="I10" s="19" t="s">
        <v>6192</v>
      </c>
      <c r="J10" s="19"/>
      <c r="K10" s="264"/>
      <c r="L10" s="264"/>
      <c r="M10" s="323"/>
      <c r="N10" s="323"/>
      <c r="O10" s="264"/>
      <c r="P10" s="264"/>
    </row>
    <row r="11">
      <c r="A11" s="19">
        <v>17799.0</v>
      </c>
      <c r="B11" s="321">
        <v>0.4479166666666667</v>
      </c>
      <c r="C11" s="316" t="s">
        <v>5937</v>
      </c>
      <c r="D11" s="322">
        <v>24580.0</v>
      </c>
      <c r="E11" s="322">
        <v>44564.0</v>
      </c>
      <c r="F11" s="19" t="s">
        <v>9</v>
      </c>
      <c r="G11" s="19" t="s">
        <v>9</v>
      </c>
      <c r="H11" s="19" t="s">
        <v>6212</v>
      </c>
      <c r="I11" s="19" t="s">
        <v>6082</v>
      </c>
      <c r="J11" s="19"/>
      <c r="K11" s="264"/>
      <c r="L11" s="264"/>
      <c r="M11" s="323"/>
      <c r="N11" s="323"/>
      <c r="O11" s="264"/>
      <c r="P11" s="264"/>
    </row>
    <row r="12">
      <c r="A12" s="19">
        <v>17799.0</v>
      </c>
      <c r="B12" s="321">
        <v>0.4479166666666667</v>
      </c>
      <c r="C12" s="316" t="s">
        <v>5937</v>
      </c>
      <c r="D12" s="322">
        <v>24580.0</v>
      </c>
      <c r="E12" s="322">
        <v>44564.0</v>
      </c>
      <c r="F12" s="19" t="s">
        <v>6213</v>
      </c>
      <c r="G12" s="19" t="s">
        <v>6211</v>
      </c>
      <c r="H12" s="19" t="s">
        <v>6212</v>
      </c>
      <c r="I12" s="19" t="s">
        <v>6082</v>
      </c>
      <c r="J12" s="19"/>
      <c r="K12" s="264"/>
      <c r="L12" s="264"/>
      <c r="M12" s="323"/>
      <c r="N12" s="323"/>
      <c r="O12" s="264"/>
      <c r="P12" s="264"/>
    </row>
    <row r="13">
      <c r="A13" s="19">
        <v>17658.0</v>
      </c>
      <c r="B13" s="321">
        <v>0.46875</v>
      </c>
      <c r="C13" s="316" t="s">
        <v>5936</v>
      </c>
      <c r="D13" s="322">
        <v>22123.0</v>
      </c>
      <c r="E13" s="322">
        <v>44564.0</v>
      </c>
      <c r="F13" s="19" t="s">
        <v>6213</v>
      </c>
      <c r="G13" s="19" t="s">
        <v>6211</v>
      </c>
      <c r="H13" s="19" t="s">
        <v>6212</v>
      </c>
      <c r="I13" s="19" t="s">
        <v>6099</v>
      </c>
      <c r="J13" s="19"/>
      <c r="K13" s="264"/>
      <c r="L13" s="264"/>
      <c r="M13" s="323"/>
      <c r="N13" s="323"/>
      <c r="O13" s="264"/>
      <c r="P13" s="264"/>
    </row>
    <row r="14">
      <c r="A14" s="19">
        <v>12990.0</v>
      </c>
      <c r="B14" s="321">
        <v>0.4791666666666667</v>
      </c>
      <c r="C14" s="316" t="s">
        <v>1881</v>
      </c>
      <c r="D14" s="322">
        <v>23448.0</v>
      </c>
      <c r="E14" s="322">
        <v>44564.0</v>
      </c>
      <c r="F14" s="19" t="s">
        <v>5</v>
      </c>
      <c r="G14" s="19" t="s">
        <v>6211</v>
      </c>
      <c r="H14" s="19" t="s">
        <v>6212</v>
      </c>
      <c r="I14" s="19" t="s">
        <v>6199</v>
      </c>
      <c r="J14" s="19"/>
      <c r="K14" s="264"/>
      <c r="L14" s="264"/>
      <c r="M14" s="323"/>
      <c r="N14" s="264"/>
      <c r="O14" s="264"/>
      <c r="P14" s="264"/>
    </row>
    <row r="15">
      <c r="A15" s="19">
        <v>17678.0</v>
      </c>
      <c r="B15" s="321">
        <v>0.5416666666666666</v>
      </c>
      <c r="C15" s="316" t="s">
        <v>5933</v>
      </c>
      <c r="D15" s="322">
        <v>16948.0</v>
      </c>
      <c r="E15" s="322">
        <v>44564.0</v>
      </c>
      <c r="F15" s="19" t="s">
        <v>6213</v>
      </c>
      <c r="G15" s="19" t="s">
        <v>6211</v>
      </c>
      <c r="H15" s="19" t="s">
        <v>6212</v>
      </c>
      <c r="I15" s="19" t="s">
        <v>6199</v>
      </c>
      <c r="J15" s="19"/>
      <c r="K15" s="264"/>
      <c r="L15" s="264"/>
      <c r="M15" s="323"/>
      <c r="N15" s="323"/>
      <c r="O15" s="264"/>
      <c r="P15" s="264"/>
    </row>
    <row r="16">
      <c r="A16" s="19">
        <v>17814.0</v>
      </c>
      <c r="B16" s="321">
        <v>0.5416666666666666</v>
      </c>
      <c r="C16" s="316" t="s">
        <v>6380</v>
      </c>
      <c r="D16" s="322">
        <v>27895.0</v>
      </c>
      <c r="E16" s="322">
        <v>44564.0</v>
      </c>
      <c r="F16" s="19" t="s">
        <v>6213</v>
      </c>
      <c r="G16" s="19" t="s">
        <v>6211</v>
      </c>
      <c r="H16" s="19" t="s">
        <v>6212</v>
      </c>
      <c r="I16" s="19" t="s">
        <v>6101</v>
      </c>
      <c r="J16" s="19"/>
      <c r="K16" s="264"/>
      <c r="L16" s="264"/>
      <c r="M16" s="323"/>
      <c r="N16" s="323"/>
      <c r="O16" s="264"/>
      <c r="P16" s="264"/>
    </row>
    <row r="17">
      <c r="A17" s="19">
        <v>17812.0</v>
      </c>
      <c r="B17" s="321">
        <v>0.5416666666666666</v>
      </c>
      <c r="C17" s="316" t="s">
        <v>6381</v>
      </c>
      <c r="D17" s="322">
        <v>21219.0</v>
      </c>
      <c r="E17" s="322">
        <v>44564.0</v>
      </c>
      <c r="F17" s="19" t="s">
        <v>6213</v>
      </c>
      <c r="G17" s="19" t="s">
        <v>6211</v>
      </c>
      <c r="H17" s="19" t="s">
        <v>6212</v>
      </c>
      <c r="I17" s="19" t="s">
        <v>6089</v>
      </c>
      <c r="J17" s="19"/>
      <c r="K17" s="264"/>
      <c r="L17" s="264"/>
      <c r="M17" s="323"/>
      <c r="N17" s="323"/>
      <c r="O17" s="264"/>
      <c r="P17" s="264"/>
    </row>
    <row r="18">
      <c r="A18" s="19">
        <v>17823.0</v>
      </c>
      <c r="B18" s="321">
        <v>0.5625</v>
      </c>
      <c r="C18" s="316" t="s">
        <v>6382</v>
      </c>
      <c r="D18" s="322">
        <v>26239.0</v>
      </c>
      <c r="E18" s="322">
        <v>44564.0</v>
      </c>
      <c r="F18" s="19" t="s">
        <v>6213</v>
      </c>
      <c r="G18" s="19" t="s">
        <v>6211</v>
      </c>
      <c r="H18" s="19" t="s">
        <v>6212</v>
      </c>
      <c r="I18" s="19" t="s">
        <v>6082</v>
      </c>
      <c r="J18" s="19"/>
      <c r="K18" s="264"/>
      <c r="L18" s="264"/>
      <c r="M18" s="323"/>
      <c r="N18" s="323"/>
      <c r="O18" s="264"/>
      <c r="P18" s="264"/>
    </row>
    <row r="19">
      <c r="A19" s="19">
        <v>17403.0</v>
      </c>
      <c r="B19" s="321">
        <v>0.59375</v>
      </c>
      <c r="C19" s="316" t="s">
        <v>5446</v>
      </c>
      <c r="D19" s="322">
        <v>26246.0</v>
      </c>
      <c r="E19" s="322">
        <v>44564.0</v>
      </c>
      <c r="F19" s="19" t="s">
        <v>6213</v>
      </c>
      <c r="G19" s="19" t="s">
        <v>6211</v>
      </c>
      <c r="H19" s="19" t="s">
        <v>6212</v>
      </c>
      <c r="I19" s="19" t="s">
        <v>6217</v>
      </c>
      <c r="J19" s="19"/>
      <c r="K19" s="264"/>
      <c r="L19" s="264"/>
      <c r="M19" s="323"/>
      <c r="N19" s="323"/>
      <c r="O19" s="264"/>
      <c r="P19" s="264"/>
    </row>
    <row r="20">
      <c r="A20" s="19">
        <v>9271.0</v>
      </c>
      <c r="B20" s="321">
        <v>0.59375</v>
      </c>
      <c r="C20" s="316" t="s">
        <v>125</v>
      </c>
      <c r="D20" s="322">
        <v>24708.0</v>
      </c>
      <c r="E20" s="322">
        <v>44564.0</v>
      </c>
      <c r="F20" s="19" t="s">
        <v>9</v>
      </c>
      <c r="G20" s="19" t="s">
        <v>9</v>
      </c>
      <c r="H20" s="19" t="s">
        <v>6212</v>
      </c>
      <c r="I20" s="19" t="s">
        <v>6137</v>
      </c>
      <c r="J20" s="19"/>
      <c r="K20" s="264"/>
      <c r="L20" s="264"/>
      <c r="M20" s="323"/>
      <c r="N20" s="264"/>
      <c r="O20" s="264"/>
      <c r="P20" s="264"/>
    </row>
    <row r="21">
      <c r="A21" s="19">
        <v>9271.0</v>
      </c>
      <c r="B21" s="321">
        <v>0.59375</v>
      </c>
      <c r="C21" s="316" t="s">
        <v>125</v>
      </c>
      <c r="D21" s="322">
        <v>24708.0</v>
      </c>
      <c r="E21" s="322">
        <v>44564.0</v>
      </c>
      <c r="F21" s="19" t="s">
        <v>5</v>
      </c>
      <c r="G21" s="19" t="s">
        <v>6211</v>
      </c>
      <c r="H21" s="19" t="s">
        <v>6212</v>
      </c>
      <c r="I21" s="19" t="s">
        <v>6137</v>
      </c>
      <c r="J21" s="19"/>
      <c r="K21" s="264"/>
      <c r="L21" s="264"/>
      <c r="M21" s="323"/>
      <c r="N21" s="264"/>
      <c r="O21" s="264"/>
      <c r="P21" s="264"/>
    </row>
    <row r="22">
      <c r="A22" s="19">
        <v>17694.0</v>
      </c>
      <c r="B22" s="321">
        <v>0.6145833333333334</v>
      </c>
      <c r="C22" s="316" t="s">
        <v>6383</v>
      </c>
      <c r="D22" s="322">
        <v>23052.0</v>
      </c>
      <c r="E22" s="322">
        <v>44564.0</v>
      </c>
      <c r="F22" s="19" t="s">
        <v>6213</v>
      </c>
      <c r="G22" s="19" t="s">
        <v>6211</v>
      </c>
      <c r="H22" s="19" t="s">
        <v>6212</v>
      </c>
      <c r="I22" s="19" t="s">
        <v>6130</v>
      </c>
      <c r="J22" s="19"/>
      <c r="K22" s="264"/>
      <c r="L22" s="264"/>
      <c r="M22" s="323"/>
      <c r="N22" s="323"/>
      <c r="O22" s="264"/>
      <c r="P22" s="264"/>
    </row>
    <row r="23">
      <c r="A23" s="19">
        <v>16037.0</v>
      </c>
      <c r="B23" s="321">
        <v>0.6354166666666666</v>
      </c>
      <c r="C23" s="316" t="s">
        <v>4371</v>
      </c>
      <c r="D23" s="322">
        <v>16788.0</v>
      </c>
      <c r="E23" s="322">
        <v>44564.0</v>
      </c>
      <c r="F23" s="19" t="s">
        <v>5</v>
      </c>
      <c r="G23" s="19" t="s">
        <v>6211</v>
      </c>
      <c r="H23" s="19" t="s">
        <v>6212</v>
      </c>
      <c r="I23" s="19" t="s">
        <v>6174</v>
      </c>
      <c r="J23" s="19"/>
      <c r="K23" s="264"/>
      <c r="L23" s="264"/>
      <c r="M23" s="323"/>
      <c r="N23" s="264"/>
      <c r="O23" s="264"/>
      <c r="P23" s="264"/>
    </row>
    <row r="24">
      <c r="A24" s="19">
        <v>17776.0</v>
      </c>
      <c r="B24" s="321">
        <v>0.7083333333333334</v>
      </c>
      <c r="C24" s="316" t="s">
        <v>6384</v>
      </c>
      <c r="D24" s="322">
        <v>18257.0</v>
      </c>
      <c r="E24" s="322">
        <v>44564.0</v>
      </c>
      <c r="F24" s="19" t="s">
        <v>9</v>
      </c>
      <c r="G24" s="19" t="s">
        <v>9</v>
      </c>
      <c r="H24" s="19" t="s">
        <v>6212</v>
      </c>
      <c r="I24" s="19" t="s">
        <v>6084</v>
      </c>
      <c r="J24" s="19"/>
      <c r="K24" s="264"/>
      <c r="L24" s="264"/>
      <c r="M24" s="323"/>
      <c r="N24" s="323"/>
      <c r="O24" s="264"/>
      <c r="P24" s="264"/>
    </row>
    <row r="25">
      <c r="A25" s="19">
        <v>17776.0</v>
      </c>
      <c r="B25" s="321">
        <v>0.7083333333333334</v>
      </c>
      <c r="C25" s="316" t="s">
        <v>6384</v>
      </c>
      <c r="D25" s="322">
        <v>18257.0</v>
      </c>
      <c r="E25" s="322">
        <v>44564.0</v>
      </c>
      <c r="F25" s="19" t="s">
        <v>6213</v>
      </c>
      <c r="G25" s="19" t="s">
        <v>6211</v>
      </c>
      <c r="H25" s="19" t="s">
        <v>6212</v>
      </c>
      <c r="I25" s="19" t="s">
        <v>6084</v>
      </c>
      <c r="J25" s="19"/>
      <c r="K25" s="264"/>
      <c r="L25" s="264"/>
      <c r="M25" s="323"/>
      <c r="N25" s="323"/>
      <c r="O25" s="264"/>
      <c r="P25" s="264"/>
    </row>
    <row r="26">
      <c r="A26" s="19">
        <v>17724.0</v>
      </c>
      <c r="B26" s="321">
        <v>0.7083333333333334</v>
      </c>
      <c r="C26" s="316" t="s">
        <v>5878</v>
      </c>
      <c r="D26" s="322">
        <v>20493.0</v>
      </c>
      <c r="E26" s="322">
        <v>44564.0</v>
      </c>
      <c r="F26" s="19" t="s">
        <v>6214</v>
      </c>
      <c r="G26" s="19" t="s">
        <v>6211</v>
      </c>
      <c r="H26" s="19" t="s">
        <v>6212</v>
      </c>
      <c r="I26" s="19" t="s">
        <v>6142</v>
      </c>
      <c r="J26" s="19"/>
      <c r="K26" s="264"/>
      <c r="L26" s="264"/>
      <c r="M26" s="323"/>
      <c r="N26" s="323"/>
      <c r="O26" s="264"/>
      <c r="P26" s="264"/>
    </row>
    <row r="27">
      <c r="A27" s="19">
        <v>17687.0</v>
      </c>
      <c r="B27" s="321">
        <v>0.7083333333333334</v>
      </c>
      <c r="C27" s="316" t="s">
        <v>5844</v>
      </c>
      <c r="D27" s="322">
        <v>23979.0</v>
      </c>
      <c r="E27" s="322">
        <v>44564.0</v>
      </c>
      <c r="F27" s="19" t="s">
        <v>6213</v>
      </c>
      <c r="G27" s="19" t="s">
        <v>6211</v>
      </c>
      <c r="H27" s="19" t="s">
        <v>6212</v>
      </c>
      <c r="I27" s="19" t="s">
        <v>6113</v>
      </c>
      <c r="J27" s="19"/>
      <c r="K27" s="264"/>
      <c r="L27" s="264"/>
      <c r="M27" s="323"/>
      <c r="N27" s="323"/>
      <c r="O27" s="264"/>
      <c r="P27" s="264"/>
    </row>
    <row r="28">
      <c r="A28" s="19">
        <v>17223.0</v>
      </c>
      <c r="B28" s="321">
        <v>0.7083333333333334</v>
      </c>
      <c r="C28" s="316" t="s">
        <v>5306</v>
      </c>
      <c r="D28" s="322">
        <v>29464.0</v>
      </c>
      <c r="E28" s="322">
        <v>44564.0</v>
      </c>
      <c r="F28" s="19" t="s">
        <v>6213</v>
      </c>
      <c r="G28" s="19" t="s">
        <v>6211</v>
      </c>
      <c r="H28" s="19" t="s">
        <v>6212</v>
      </c>
      <c r="I28" s="19" t="s">
        <v>6103</v>
      </c>
      <c r="J28" s="19"/>
      <c r="K28" s="264"/>
      <c r="L28" s="264"/>
      <c r="M28" s="323"/>
      <c r="N28" s="323"/>
      <c r="O28" s="264"/>
      <c r="P28" s="264"/>
    </row>
    <row r="29">
      <c r="A29" s="19">
        <v>13661.0</v>
      </c>
      <c r="B29" s="321">
        <v>0.7083333333333334</v>
      </c>
      <c r="C29" s="316" t="s">
        <v>2409</v>
      </c>
      <c r="D29" s="322">
        <v>27375.0</v>
      </c>
      <c r="E29" s="322">
        <v>44564.0</v>
      </c>
      <c r="F29" s="19" t="s">
        <v>5</v>
      </c>
      <c r="G29" s="19" t="s">
        <v>6211</v>
      </c>
      <c r="H29" s="19" t="s">
        <v>6212</v>
      </c>
      <c r="I29" s="19" t="s">
        <v>6174</v>
      </c>
      <c r="J29" s="19"/>
      <c r="K29" s="264"/>
      <c r="L29" s="264"/>
      <c r="M29" s="323"/>
      <c r="N29" s="264"/>
      <c r="O29" s="264"/>
      <c r="P29" s="264"/>
    </row>
    <row r="30">
      <c r="A30" s="19">
        <v>17565.0</v>
      </c>
      <c r="B30" s="321">
        <v>0.7083333333333334</v>
      </c>
      <c r="C30" s="316" t="s">
        <v>5564</v>
      </c>
      <c r="D30" s="322">
        <v>28296.0</v>
      </c>
      <c r="E30" s="322">
        <v>44564.0</v>
      </c>
      <c r="F30" s="19" t="s">
        <v>6213</v>
      </c>
      <c r="G30" s="19" t="s">
        <v>6211</v>
      </c>
      <c r="H30" s="19" t="s">
        <v>6212</v>
      </c>
      <c r="I30" s="19" t="s">
        <v>6148</v>
      </c>
      <c r="J30" s="19"/>
      <c r="K30" s="264"/>
      <c r="L30" s="264"/>
      <c r="M30" s="323"/>
      <c r="N30" s="323"/>
      <c r="O30" s="264"/>
      <c r="P30" s="264"/>
    </row>
    <row r="31">
      <c r="A31" s="19">
        <v>17781.0</v>
      </c>
      <c r="B31" s="321">
        <v>0.7083333333333334</v>
      </c>
      <c r="C31" s="316" t="s">
        <v>6385</v>
      </c>
      <c r="D31" s="322">
        <v>26061.0</v>
      </c>
      <c r="E31" s="322">
        <v>44564.0</v>
      </c>
      <c r="F31" s="19" t="s">
        <v>6213</v>
      </c>
      <c r="G31" s="19" t="s">
        <v>6211</v>
      </c>
      <c r="H31" s="19" t="s">
        <v>6212</v>
      </c>
      <c r="I31" s="19" t="s">
        <v>6386</v>
      </c>
      <c r="J31" s="19"/>
      <c r="K31" s="264"/>
      <c r="L31" s="264"/>
      <c r="M31" s="323"/>
      <c r="N31" s="323"/>
      <c r="O31" s="264"/>
      <c r="P31" s="264"/>
    </row>
    <row r="32">
      <c r="A32" s="19">
        <v>17729.0</v>
      </c>
      <c r="B32" s="321">
        <v>0.7083333333333334</v>
      </c>
      <c r="C32" s="316" t="s">
        <v>5806</v>
      </c>
      <c r="D32" s="322">
        <v>29966.0</v>
      </c>
      <c r="E32" s="322">
        <v>44564.0</v>
      </c>
      <c r="F32" s="19" t="s">
        <v>6213</v>
      </c>
      <c r="G32" s="19" t="s">
        <v>6211</v>
      </c>
      <c r="H32" s="19" t="s">
        <v>6212</v>
      </c>
      <c r="I32" s="19" t="s">
        <v>6154</v>
      </c>
      <c r="J32" s="19"/>
      <c r="K32" s="264"/>
      <c r="L32" s="264"/>
      <c r="M32" s="323"/>
      <c r="N32" s="323"/>
      <c r="O32" s="264"/>
      <c r="P32" s="264"/>
    </row>
    <row r="33">
      <c r="A33" s="19">
        <v>17785.0</v>
      </c>
      <c r="B33" s="321">
        <v>0.7083333333333334</v>
      </c>
      <c r="C33" s="316" t="s">
        <v>6387</v>
      </c>
      <c r="D33" s="322">
        <v>18287.0</v>
      </c>
      <c r="E33" s="322">
        <v>44564.0</v>
      </c>
      <c r="F33" s="19" t="s">
        <v>6213</v>
      </c>
      <c r="G33" s="19" t="s">
        <v>6211</v>
      </c>
      <c r="H33" s="19" t="s">
        <v>6212</v>
      </c>
      <c r="I33" s="19" t="s">
        <v>6103</v>
      </c>
      <c r="J33" s="19"/>
      <c r="K33" s="264"/>
      <c r="L33" s="264"/>
      <c r="M33" s="323"/>
      <c r="N33" s="323"/>
      <c r="O33" s="264"/>
      <c r="P33" s="264"/>
    </row>
    <row r="34">
      <c r="A34" s="19">
        <v>17640.0</v>
      </c>
      <c r="B34" s="321">
        <v>0.7083333333333334</v>
      </c>
      <c r="C34" s="316" t="s">
        <v>6388</v>
      </c>
      <c r="D34" s="322">
        <v>22120.0</v>
      </c>
      <c r="E34" s="322">
        <v>44564.0</v>
      </c>
      <c r="F34" s="19" t="s">
        <v>6214</v>
      </c>
      <c r="G34" s="19" t="s">
        <v>6211</v>
      </c>
      <c r="H34" s="19" t="s">
        <v>6212</v>
      </c>
      <c r="I34" s="19" t="s">
        <v>6138</v>
      </c>
      <c r="J34" s="19"/>
      <c r="K34" s="264"/>
      <c r="L34" s="264"/>
      <c r="M34" s="323"/>
      <c r="N34" s="323"/>
      <c r="O34" s="264"/>
      <c r="P34" s="264"/>
    </row>
    <row r="35">
      <c r="A35" s="19" t="s">
        <v>5924</v>
      </c>
      <c r="B35" s="321">
        <v>0.3333333333333333</v>
      </c>
      <c r="C35" s="316" t="s">
        <v>3140</v>
      </c>
      <c r="D35" s="322">
        <v>18872.0</v>
      </c>
      <c r="E35" s="322">
        <v>44564.0</v>
      </c>
      <c r="F35" s="19" t="s">
        <v>9</v>
      </c>
      <c r="G35" s="19" t="s">
        <v>9</v>
      </c>
      <c r="H35" s="19" t="s">
        <v>6219</v>
      </c>
      <c r="I35" s="19" t="s">
        <v>6137</v>
      </c>
      <c r="J35" s="19"/>
      <c r="K35" s="264"/>
      <c r="L35" s="264"/>
      <c r="M35" s="323"/>
      <c r="N35" s="323"/>
      <c r="O35" s="264"/>
      <c r="P35" s="264"/>
    </row>
    <row r="36">
      <c r="A36" s="19" t="s">
        <v>5924</v>
      </c>
      <c r="B36" s="321">
        <v>0.3333333333333333</v>
      </c>
      <c r="C36" s="316" t="s">
        <v>3140</v>
      </c>
      <c r="D36" s="322">
        <v>18872.0</v>
      </c>
      <c r="E36" s="322">
        <v>44564.0</v>
      </c>
      <c r="F36" s="19" t="s">
        <v>5</v>
      </c>
      <c r="G36" s="19" t="s">
        <v>6218</v>
      </c>
      <c r="H36" s="19" t="s">
        <v>6219</v>
      </c>
      <c r="I36" s="19" t="s">
        <v>6137</v>
      </c>
      <c r="J36" s="19"/>
      <c r="K36" s="264"/>
      <c r="L36" s="264"/>
      <c r="M36" s="323"/>
    </row>
    <row r="37">
      <c r="A37" s="19">
        <v>9592.0</v>
      </c>
      <c r="B37" s="321">
        <v>0.34375</v>
      </c>
      <c r="C37" s="316" t="s">
        <v>5938</v>
      </c>
      <c r="D37" s="322">
        <v>20695.0</v>
      </c>
      <c r="E37" s="322">
        <v>44564.0</v>
      </c>
      <c r="F37" s="19" t="s">
        <v>6216</v>
      </c>
      <c r="G37" s="19" t="s">
        <v>6218</v>
      </c>
      <c r="H37" s="19" t="s">
        <v>6219</v>
      </c>
      <c r="I37" s="19" t="s">
        <v>6195</v>
      </c>
      <c r="J37" s="19"/>
      <c r="K37" s="264"/>
      <c r="L37" s="264"/>
      <c r="M37" s="323"/>
      <c r="N37" s="323"/>
      <c r="O37" s="264"/>
      <c r="P37" s="264"/>
    </row>
    <row r="38">
      <c r="A38" s="19">
        <v>15807.0</v>
      </c>
      <c r="B38" s="321">
        <v>0.3541666666666667</v>
      </c>
      <c r="C38" s="316" t="s">
        <v>4167</v>
      </c>
      <c r="D38" s="322">
        <v>22632.0</v>
      </c>
      <c r="E38" s="322">
        <v>44564.0</v>
      </c>
      <c r="F38" s="19" t="s">
        <v>5</v>
      </c>
      <c r="G38" s="19" t="s">
        <v>6218</v>
      </c>
      <c r="H38" s="19" t="s">
        <v>6219</v>
      </c>
      <c r="I38" s="19" t="s">
        <v>6186</v>
      </c>
      <c r="J38" s="19"/>
      <c r="K38" s="264"/>
      <c r="L38" s="264"/>
      <c r="M38" s="323"/>
      <c r="N38" s="323"/>
      <c r="O38" s="264"/>
      <c r="P38" s="264"/>
    </row>
    <row r="39">
      <c r="A39" s="19">
        <v>9473.0</v>
      </c>
      <c r="B39" s="321">
        <v>0.3645833333333333</v>
      </c>
      <c r="C39" s="316" t="s">
        <v>178</v>
      </c>
      <c r="D39" s="322">
        <v>17984.0</v>
      </c>
      <c r="E39" s="322">
        <v>44564.0</v>
      </c>
      <c r="F39" s="19" t="s">
        <v>6216</v>
      </c>
      <c r="G39" s="19" t="s">
        <v>6218</v>
      </c>
      <c r="H39" s="19" t="s">
        <v>6219</v>
      </c>
      <c r="I39" s="19" t="s">
        <v>6196</v>
      </c>
      <c r="J39" s="19"/>
      <c r="K39" s="264"/>
      <c r="L39" s="264"/>
      <c r="M39" s="323"/>
      <c r="N39" s="264"/>
      <c r="O39" s="264"/>
      <c r="P39" s="264"/>
    </row>
    <row r="40">
      <c r="A40" s="19">
        <v>9861.0</v>
      </c>
      <c r="B40" s="321">
        <v>0.375</v>
      </c>
      <c r="C40" s="316" t="s">
        <v>325</v>
      </c>
      <c r="D40" s="322">
        <v>22756.0</v>
      </c>
      <c r="E40" s="322">
        <v>44564.0</v>
      </c>
      <c r="F40" s="19" t="s">
        <v>5</v>
      </c>
      <c r="G40" s="19" t="s">
        <v>6218</v>
      </c>
      <c r="H40" s="19" t="s">
        <v>6219</v>
      </c>
      <c r="I40" s="19" t="s">
        <v>6082</v>
      </c>
      <c r="J40" s="19"/>
      <c r="K40" s="264"/>
      <c r="L40" s="264"/>
      <c r="M40" s="323"/>
      <c r="N40" s="264"/>
      <c r="O40" s="264"/>
      <c r="P40" s="264"/>
    </row>
    <row r="41">
      <c r="A41" s="19">
        <v>16051.0</v>
      </c>
      <c r="B41" s="321">
        <v>0.3958333333333333</v>
      </c>
      <c r="C41" s="316" t="s">
        <v>4382</v>
      </c>
      <c r="D41" s="322">
        <v>24194.0</v>
      </c>
      <c r="E41" s="322">
        <v>44564.0</v>
      </c>
      <c r="F41" s="19" t="s">
        <v>6215</v>
      </c>
      <c r="G41" s="19" t="s">
        <v>6218</v>
      </c>
      <c r="H41" s="19" t="s">
        <v>6219</v>
      </c>
      <c r="I41" s="19" t="s">
        <v>6199</v>
      </c>
      <c r="J41" s="19"/>
      <c r="K41" s="264"/>
      <c r="L41" s="264"/>
      <c r="M41" s="323"/>
      <c r="N41" s="323"/>
      <c r="O41" s="264"/>
      <c r="P41" s="264"/>
    </row>
    <row r="42">
      <c r="A42" s="19">
        <v>10094.0</v>
      </c>
      <c r="B42" s="321">
        <v>0.4270833333333333</v>
      </c>
      <c r="C42" s="316" t="s">
        <v>410</v>
      </c>
      <c r="D42" s="322">
        <v>24190.0</v>
      </c>
      <c r="E42" s="322">
        <v>44564.0</v>
      </c>
      <c r="F42" s="19" t="s">
        <v>5</v>
      </c>
      <c r="G42" s="19" t="s">
        <v>6218</v>
      </c>
      <c r="H42" s="19" t="s">
        <v>6219</v>
      </c>
      <c r="I42" s="19" t="s">
        <v>6095</v>
      </c>
      <c r="J42" s="19"/>
      <c r="K42" s="264"/>
      <c r="L42" s="264"/>
      <c r="M42" s="323"/>
      <c r="N42" s="323"/>
      <c r="O42" s="264"/>
      <c r="P42" s="264"/>
    </row>
    <row r="43">
      <c r="A43" s="19">
        <v>17334.0</v>
      </c>
      <c r="B43" s="321">
        <v>0.4479166666666667</v>
      </c>
      <c r="C43" s="316" t="s">
        <v>5391</v>
      </c>
      <c r="D43" s="322">
        <v>25243.0</v>
      </c>
      <c r="E43" s="322">
        <v>44564.0</v>
      </c>
      <c r="F43" s="19" t="s">
        <v>6220</v>
      </c>
      <c r="G43" s="19" t="s">
        <v>6218</v>
      </c>
      <c r="H43" s="19" t="s">
        <v>6219</v>
      </c>
      <c r="I43" s="19" t="s">
        <v>6192</v>
      </c>
      <c r="J43" s="19"/>
      <c r="K43" s="264"/>
      <c r="L43" s="264"/>
      <c r="M43" s="323"/>
      <c r="N43" s="323"/>
      <c r="O43" s="264"/>
      <c r="P43" s="264"/>
    </row>
    <row r="44">
      <c r="A44" s="19">
        <v>14167.0</v>
      </c>
      <c r="B44" s="321">
        <v>0.4479166666666667</v>
      </c>
      <c r="C44" s="316" t="s">
        <v>2793</v>
      </c>
      <c r="D44" s="322">
        <v>30502.0</v>
      </c>
      <c r="E44" s="322">
        <v>44564.0</v>
      </c>
      <c r="F44" s="19" t="s">
        <v>5</v>
      </c>
      <c r="G44" s="19" t="s">
        <v>6218</v>
      </c>
      <c r="H44" s="19" t="s">
        <v>6219</v>
      </c>
      <c r="I44" s="19" t="s">
        <v>6199</v>
      </c>
      <c r="J44" s="19"/>
      <c r="K44" s="264"/>
      <c r="L44" s="264"/>
      <c r="M44" s="323"/>
      <c r="N44" s="264"/>
      <c r="O44" s="264"/>
      <c r="P44" s="264"/>
    </row>
    <row r="45">
      <c r="A45" s="19">
        <v>12697.0</v>
      </c>
      <c r="B45" s="321">
        <v>0.4583333333333333</v>
      </c>
      <c r="C45" s="316" t="s">
        <v>1638</v>
      </c>
      <c r="D45" s="322">
        <v>30536.0</v>
      </c>
      <c r="E45" s="322">
        <v>44564.0</v>
      </c>
      <c r="F45" s="19" t="s">
        <v>6215</v>
      </c>
      <c r="G45" s="19" t="s">
        <v>6218</v>
      </c>
      <c r="H45" s="19" t="s">
        <v>6219</v>
      </c>
      <c r="I45" s="19" t="s">
        <v>6084</v>
      </c>
      <c r="J45" s="19"/>
      <c r="K45" s="264"/>
      <c r="L45" s="264"/>
      <c r="M45" s="323"/>
      <c r="N45" s="323"/>
      <c r="O45" s="264"/>
      <c r="P45" s="264"/>
    </row>
    <row r="46">
      <c r="A46" s="19">
        <v>14392.0</v>
      </c>
      <c r="B46" s="321">
        <v>0.4583333333333333</v>
      </c>
      <c r="C46" s="316" t="s">
        <v>2976</v>
      </c>
      <c r="D46" s="322">
        <v>21549.0</v>
      </c>
      <c r="E46" s="322">
        <v>44564.0</v>
      </c>
      <c r="F46" s="19" t="s">
        <v>6215</v>
      </c>
      <c r="G46" s="19" t="s">
        <v>6218</v>
      </c>
      <c r="H46" s="19" t="s">
        <v>6219</v>
      </c>
      <c r="I46" s="19" t="s">
        <v>6083</v>
      </c>
      <c r="J46" s="19"/>
      <c r="K46" s="264"/>
      <c r="L46" s="264"/>
      <c r="M46" s="323"/>
      <c r="N46" s="323"/>
      <c r="O46" s="264"/>
      <c r="P46" s="264"/>
    </row>
    <row r="47">
      <c r="A47" s="19">
        <v>15307.0</v>
      </c>
      <c r="B47" s="321">
        <v>0.5520833333333334</v>
      </c>
      <c r="C47" s="316" t="s">
        <v>3728</v>
      </c>
      <c r="D47" s="322">
        <v>21690.0</v>
      </c>
      <c r="E47" s="322">
        <v>44564.0</v>
      </c>
      <c r="F47" s="19" t="s">
        <v>6216</v>
      </c>
      <c r="G47" s="19" t="s">
        <v>6218</v>
      </c>
      <c r="H47" s="19" t="s">
        <v>6219</v>
      </c>
      <c r="I47" s="19" t="s">
        <v>6196</v>
      </c>
      <c r="J47" s="19"/>
      <c r="K47" s="264"/>
      <c r="L47" s="264"/>
      <c r="M47" s="323"/>
      <c r="N47" s="264"/>
      <c r="O47" s="264"/>
      <c r="P47" s="264"/>
    </row>
    <row r="48">
      <c r="A48" s="19">
        <v>13234.0</v>
      </c>
      <c r="B48" s="321">
        <v>0.5625</v>
      </c>
      <c r="C48" s="316" t="s">
        <v>2078</v>
      </c>
      <c r="D48" s="322">
        <v>17399.0</v>
      </c>
      <c r="E48" s="322">
        <v>44564.0</v>
      </c>
      <c r="F48" s="19" t="s">
        <v>6215</v>
      </c>
      <c r="G48" s="19" t="s">
        <v>6218</v>
      </c>
      <c r="H48" s="19" t="s">
        <v>6219</v>
      </c>
      <c r="I48" s="19" t="s">
        <v>6187</v>
      </c>
      <c r="J48" s="19"/>
      <c r="K48" s="264"/>
      <c r="L48" s="264"/>
      <c r="M48" s="323"/>
      <c r="N48" s="264"/>
      <c r="O48" s="264"/>
      <c r="P48" s="264"/>
    </row>
    <row r="49">
      <c r="A49" s="19">
        <v>13273.0</v>
      </c>
      <c r="B49" s="321">
        <v>0.5729166666666666</v>
      </c>
      <c r="C49" s="316" t="s">
        <v>2106</v>
      </c>
      <c r="D49" s="322">
        <v>30146.0</v>
      </c>
      <c r="E49" s="322">
        <v>44564.0</v>
      </c>
      <c r="F49" s="19" t="s">
        <v>6215</v>
      </c>
      <c r="G49" s="19" t="s">
        <v>6218</v>
      </c>
      <c r="H49" s="19" t="s">
        <v>6219</v>
      </c>
      <c r="I49" s="19" t="s">
        <v>6154</v>
      </c>
      <c r="J49" s="19"/>
      <c r="K49" s="264"/>
      <c r="L49" s="264"/>
      <c r="M49" s="323"/>
      <c r="N49" s="323"/>
      <c r="O49" s="264"/>
      <c r="P49" s="264"/>
    </row>
    <row r="50">
      <c r="A50" s="19">
        <v>16449.0</v>
      </c>
      <c r="B50" s="321">
        <v>0.5833333333333334</v>
      </c>
      <c r="C50" s="316" t="s">
        <v>4697</v>
      </c>
      <c r="D50" s="322">
        <v>23434.0</v>
      </c>
      <c r="E50" s="322">
        <v>44564.0</v>
      </c>
      <c r="F50" s="19" t="s">
        <v>6216</v>
      </c>
      <c r="G50" s="19" t="s">
        <v>6218</v>
      </c>
      <c r="H50" s="19" t="s">
        <v>6219</v>
      </c>
      <c r="I50" s="19" t="s">
        <v>6187</v>
      </c>
      <c r="J50" s="19"/>
      <c r="K50" s="264"/>
      <c r="L50" s="264"/>
      <c r="M50" s="323"/>
      <c r="N50" s="323"/>
      <c r="O50" s="264"/>
      <c r="P50" s="264"/>
    </row>
    <row r="51">
      <c r="A51" s="19">
        <v>15772.0</v>
      </c>
      <c r="B51" s="321">
        <v>0.6145833333333334</v>
      </c>
      <c r="C51" s="316" t="s">
        <v>4136</v>
      </c>
      <c r="D51" s="322">
        <v>24343.0</v>
      </c>
      <c r="E51" s="322">
        <v>44564.0</v>
      </c>
      <c r="F51" s="19" t="s">
        <v>6220</v>
      </c>
      <c r="G51" s="19" t="s">
        <v>6218</v>
      </c>
      <c r="H51" s="19" t="s">
        <v>6219</v>
      </c>
      <c r="I51" s="19" t="s">
        <v>6193</v>
      </c>
      <c r="J51" s="19"/>
      <c r="K51" s="264"/>
      <c r="L51" s="264"/>
      <c r="M51" s="323"/>
      <c r="N51" s="323"/>
      <c r="O51" s="264"/>
      <c r="P51" s="264"/>
    </row>
    <row r="52">
      <c r="A52" s="19">
        <v>13442.0</v>
      </c>
      <c r="B52" s="321">
        <v>0.625</v>
      </c>
      <c r="C52" s="316" t="s">
        <v>2232</v>
      </c>
      <c r="D52" s="322">
        <v>19087.0</v>
      </c>
      <c r="E52" s="322">
        <v>44564.0</v>
      </c>
      <c r="F52" s="19" t="s">
        <v>6215</v>
      </c>
      <c r="G52" s="19" t="s">
        <v>6218</v>
      </c>
      <c r="H52" s="19" t="s">
        <v>6219</v>
      </c>
      <c r="I52" s="19" t="s">
        <v>6199</v>
      </c>
      <c r="J52" s="19"/>
      <c r="K52" s="264"/>
      <c r="L52" s="264"/>
      <c r="M52" s="323"/>
      <c r="N52" s="323"/>
      <c r="O52" s="264"/>
      <c r="P52" s="264"/>
    </row>
    <row r="53">
      <c r="A53" s="19">
        <v>15340.0</v>
      </c>
      <c r="B53" s="321">
        <v>0.6354166666666666</v>
      </c>
      <c r="C53" s="316" t="s">
        <v>3754</v>
      </c>
      <c r="D53" s="322">
        <v>20218.0</v>
      </c>
      <c r="E53" s="322">
        <v>44564.0</v>
      </c>
      <c r="F53" s="19" t="s">
        <v>6220</v>
      </c>
      <c r="G53" s="19" t="s">
        <v>6218</v>
      </c>
      <c r="H53" s="19" t="s">
        <v>6219</v>
      </c>
      <c r="I53" s="19" t="s">
        <v>6190</v>
      </c>
      <c r="J53" s="19"/>
      <c r="K53" s="264"/>
      <c r="L53" s="264"/>
      <c r="M53" s="323"/>
      <c r="N53" s="323"/>
      <c r="O53" s="264"/>
      <c r="P53" s="264"/>
    </row>
    <row r="54">
      <c r="A54" s="19">
        <v>14434.0</v>
      </c>
      <c r="B54" s="321">
        <v>0.6458333333333334</v>
      </c>
      <c r="C54" s="316" t="s">
        <v>3005</v>
      </c>
      <c r="D54" s="322">
        <v>22526.0</v>
      </c>
      <c r="E54" s="322">
        <v>44564.0</v>
      </c>
      <c r="F54" s="19" t="s">
        <v>5</v>
      </c>
      <c r="G54" s="19" t="s">
        <v>6218</v>
      </c>
      <c r="H54" s="19" t="s">
        <v>6219</v>
      </c>
      <c r="I54" s="19" t="s">
        <v>6130</v>
      </c>
      <c r="J54" s="19"/>
      <c r="K54" s="264"/>
      <c r="L54" s="264"/>
      <c r="M54" s="323"/>
      <c r="N54" s="264"/>
      <c r="O54" s="264"/>
      <c r="P54" s="264"/>
    </row>
    <row r="55">
      <c r="A55" s="19">
        <v>17157.0</v>
      </c>
      <c r="B55" s="321">
        <v>0.7083333333333334</v>
      </c>
      <c r="C55" s="316" t="s">
        <v>5251</v>
      </c>
      <c r="D55" s="322">
        <v>21795.0</v>
      </c>
      <c r="E55" s="322">
        <v>44564.0</v>
      </c>
      <c r="F55" s="19" t="s">
        <v>5</v>
      </c>
      <c r="G55" s="19" t="s">
        <v>6218</v>
      </c>
      <c r="H55" s="19" t="s">
        <v>6219</v>
      </c>
      <c r="I55" s="19" t="s">
        <v>6117</v>
      </c>
      <c r="J55" s="19"/>
      <c r="K55" s="264"/>
      <c r="L55" s="264"/>
      <c r="M55" s="323"/>
      <c r="N55" s="323"/>
      <c r="O55" s="264"/>
      <c r="P55" s="264"/>
    </row>
    <row r="56">
      <c r="A56" s="19">
        <v>15791.0</v>
      </c>
      <c r="B56" s="321">
        <v>0.7083333333333334</v>
      </c>
      <c r="C56" s="316" t="s">
        <v>4151</v>
      </c>
      <c r="D56" s="322">
        <v>21098.0</v>
      </c>
      <c r="E56" s="322">
        <v>44564.0</v>
      </c>
      <c r="F56" s="19" t="s">
        <v>5</v>
      </c>
      <c r="G56" s="19" t="s">
        <v>6218</v>
      </c>
      <c r="H56" s="19" t="s">
        <v>6219</v>
      </c>
      <c r="I56" s="19" t="s">
        <v>6091</v>
      </c>
      <c r="J56" s="19"/>
      <c r="K56" s="264"/>
      <c r="L56" s="264"/>
      <c r="M56" s="323"/>
      <c r="N56" s="323"/>
      <c r="O56" s="264"/>
      <c r="P56" s="264"/>
    </row>
    <row r="57">
      <c r="A57" s="19">
        <v>10780.0</v>
      </c>
      <c r="B57" s="321">
        <v>0.7083333333333334</v>
      </c>
      <c r="C57" s="316" t="s">
        <v>684</v>
      </c>
      <c r="D57" s="322">
        <v>17668.0</v>
      </c>
      <c r="E57" s="322">
        <v>44564.0</v>
      </c>
      <c r="F57" s="19" t="s">
        <v>6216</v>
      </c>
      <c r="G57" s="19" t="s">
        <v>6218</v>
      </c>
      <c r="H57" s="19" t="s">
        <v>6219</v>
      </c>
      <c r="I57" s="19" t="s">
        <v>6189</v>
      </c>
      <c r="J57" s="19"/>
      <c r="K57" s="264"/>
      <c r="L57" s="264"/>
      <c r="M57" s="323"/>
      <c r="N57" s="323"/>
      <c r="O57" s="264"/>
      <c r="P57" s="264"/>
    </row>
    <row r="58">
      <c r="A58" s="19">
        <v>16112.0</v>
      </c>
      <c r="B58" s="321">
        <v>0.7083333333333334</v>
      </c>
      <c r="C58" s="316" t="s">
        <v>4434</v>
      </c>
      <c r="D58" s="322">
        <v>19667.0</v>
      </c>
      <c r="E58" s="322">
        <v>44564.0</v>
      </c>
      <c r="F58" s="19" t="s">
        <v>6216</v>
      </c>
      <c r="G58" s="19" t="s">
        <v>6218</v>
      </c>
      <c r="H58" s="19" t="s">
        <v>6219</v>
      </c>
      <c r="I58" s="19" t="s">
        <v>6189</v>
      </c>
      <c r="J58" s="19"/>
      <c r="K58" s="264"/>
      <c r="L58" s="264"/>
      <c r="M58" s="323"/>
      <c r="N58" s="323"/>
      <c r="O58" s="264"/>
      <c r="P58" s="264"/>
    </row>
    <row r="59">
      <c r="A59" s="19">
        <v>13154.0</v>
      </c>
      <c r="B59" s="321">
        <v>0.7083333333333334</v>
      </c>
      <c r="C59" s="316" t="s">
        <v>2011</v>
      </c>
      <c r="D59" s="322">
        <v>21703.0</v>
      </c>
      <c r="E59" s="322">
        <v>44564.0</v>
      </c>
      <c r="F59" s="19" t="s">
        <v>5</v>
      </c>
      <c r="G59" s="19" t="s">
        <v>6218</v>
      </c>
      <c r="H59" s="19" t="s">
        <v>6219</v>
      </c>
      <c r="I59" s="19" t="s">
        <v>6094</v>
      </c>
      <c r="J59" s="19"/>
      <c r="K59" s="264"/>
      <c r="L59" s="264"/>
      <c r="M59" s="323"/>
      <c r="N59" s="323"/>
      <c r="O59" s="264"/>
      <c r="P59" s="264"/>
    </row>
    <row r="60">
      <c r="A60" s="19">
        <v>16796.0</v>
      </c>
      <c r="B60" s="321">
        <v>0.375</v>
      </c>
      <c r="C60" s="316" t="s">
        <v>4967</v>
      </c>
      <c r="D60" s="322">
        <v>12606.0</v>
      </c>
      <c r="E60" s="322">
        <v>44564.0</v>
      </c>
      <c r="F60" s="19" t="s">
        <v>5</v>
      </c>
      <c r="G60" s="19" t="s">
        <v>6211</v>
      </c>
      <c r="H60" s="19" t="s">
        <v>6221</v>
      </c>
      <c r="I60" s="19" t="s">
        <v>6137</v>
      </c>
      <c r="J60" s="19"/>
      <c r="K60" s="264"/>
      <c r="L60" s="264"/>
      <c r="M60" s="323"/>
      <c r="N60" s="264"/>
      <c r="O60" s="264"/>
      <c r="P60" s="264"/>
    </row>
    <row r="61">
      <c r="A61" s="19">
        <v>9199.0</v>
      </c>
      <c r="B61" s="321">
        <v>0.40625</v>
      </c>
      <c r="C61" s="316" t="s">
        <v>73</v>
      </c>
      <c r="D61" s="322">
        <v>17981.0</v>
      </c>
      <c r="E61" s="322">
        <v>44564.0</v>
      </c>
      <c r="F61" s="19" t="s">
        <v>5</v>
      </c>
      <c r="G61" s="19" t="s">
        <v>6211</v>
      </c>
      <c r="H61" s="19" t="s">
        <v>6221</v>
      </c>
      <c r="I61" s="19" t="s">
        <v>6137</v>
      </c>
      <c r="J61" s="19"/>
      <c r="K61" s="264"/>
      <c r="L61" s="264"/>
      <c r="M61" s="323"/>
      <c r="N61" s="264"/>
      <c r="O61" s="264"/>
      <c r="P61" s="264"/>
    </row>
    <row r="62">
      <c r="A62" s="19">
        <v>9838.0</v>
      </c>
      <c r="B62" s="321">
        <v>0.4583333333333333</v>
      </c>
      <c r="C62" s="316" t="s">
        <v>312</v>
      </c>
      <c r="D62" s="322">
        <v>27927.0</v>
      </c>
      <c r="E62" s="322">
        <v>44564.0</v>
      </c>
      <c r="F62" s="19" t="s">
        <v>6215</v>
      </c>
      <c r="G62" s="19" t="s">
        <v>6211</v>
      </c>
      <c r="H62" s="19" t="s">
        <v>6221</v>
      </c>
      <c r="I62" s="19" t="s">
        <v>6137</v>
      </c>
      <c r="J62" s="19"/>
      <c r="K62" s="264"/>
      <c r="L62" s="264"/>
      <c r="M62" s="323"/>
      <c r="N62" s="323"/>
      <c r="O62" s="264"/>
      <c r="P62" s="264"/>
    </row>
    <row r="63">
      <c r="A63" s="19">
        <v>9682.0</v>
      </c>
      <c r="B63" s="321">
        <v>0.4791666666666667</v>
      </c>
      <c r="C63" s="316" t="s">
        <v>257</v>
      </c>
      <c r="D63" s="322">
        <v>17001.0</v>
      </c>
      <c r="E63" s="322">
        <v>44564.0</v>
      </c>
      <c r="F63" s="19" t="s">
        <v>9</v>
      </c>
      <c r="G63" s="19" t="s">
        <v>9</v>
      </c>
      <c r="H63" s="19" t="s">
        <v>6221</v>
      </c>
      <c r="I63" s="19" t="s">
        <v>6137</v>
      </c>
      <c r="J63" s="19"/>
      <c r="K63" s="264"/>
      <c r="L63" s="264"/>
      <c r="M63" s="323"/>
      <c r="N63" s="323"/>
      <c r="O63" s="264"/>
      <c r="P63" s="264"/>
    </row>
    <row r="64">
      <c r="A64" s="19">
        <v>14125.0</v>
      </c>
      <c r="B64" s="321">
        <v>0.5520833333333334</v>
      </c>
      <c r="C64" s="316" t="s">
        <v>2764</v>
      </c>
      <c r="D64" s="322">
        <v>20213.0</v>
      </c>
      <c r="E64" s="322">
        <v>44564.0</v>
      </c>
      <c r="F64" s="19" t="s">
        <v>6216</v>
      </c>
      <c r="G64" s="19" t="s">
        <v>6211</v>
      </c>
      <c r="H64" s="19" t="s">
        <v>6221</v>
      </c>
      <c r="I64" s="19" t="s">
        <v>6192</v>
      </c>
      <c r="J64" s="19"/>
      <c r="K64" s="264"/>
      <c r="L64" s="264"/>
      <c r="M64" s="323"/>
      <c r="N64" s="323"/>
      <c r="O64" s="264"/>
      <c r="P64" s="264"/>
    </row>
    <row r="65">
      <c r="A65" s="19">
        <v>15670.0</v>
      </c>
      <c r="B65" s="321">
        <v>0.5625</v>
      </c>
      <c r="C65" s="316" t="s">
        <v>4041</v>
      </c>
      <c r="D65" s="322">
        <v>19901.0</v>
      </c>
      <c r="E65" s="322">
        <v>44564.0</v>
      </c>
      <c r="F65" s="19" t="s">
        <v>6216</v>
      </c>
      <c r="G65" s="19" t="s">
        <v>6211</v>
      </c>
      <c r="H65" s="19" t="s">
        <v>6221</v>
      </c>
      <c r="I65" s="19" t="s">
        <v>6190</v>
      </c>
      <c r="J65" s="19"/>
      <c r="K65" s="264"/>
      <c r="L65" s="264"/>
      <c r="M65" s="323"/>
      <c r="N65" s="323"/>
      <c r="O65" s="264"/>
      <c r="P65" s="264"/>
    </row>
    <row r="66">
      <c r="A66" s="19">
        <v>16675.0</v>
      </c>
      <c r="B66" s="321">
        <v>0.5833333333333334</v>
      </c>
      <c r="C66" s="316" t="s">
        <v>4869</v>
      </c>
      <c r="D66" s="322">
        <v>11940.0</v>
      </c>
      <c r="E66" s="322">
        <v>44564.0</v>
      </c>
      <c r="F66" s="19" t="s">
        <v>9</v>
      </c>
      <c r="G66" s="19" t="s">
        <v>9</v>
      </c>
      <c r="H66" s="19" t="s">
        <v>6221</v>
      </c>
      <c r="I66" s="19" t="s">
        <v>6137</v>
      </c>
      <c r="J66" s="19"/>
      <c r="K66" s="264"/>
      <c r="L66" s="264"/>
      <c r="M66" s="323"/>
      <c r="N66" s="323"/>
      <c r="O66" s="264"/>
      <c r="P66" s="264"/>
    </row>
    <row r="67">
      <c r="A67" s="19">
        <v>16675.0</v>
      </c>
      <c r="B67" s="321">
        <v>0.5833333333333334</v>
      </c>
      <c r="C67" s="316" t="s">
        <v>4869</v>
      </c>
      <c r="D67" s="322">
        <v>11940.0</v>
      </c>
      <c r="E67" s="322">
        <v>44564.0</v>
      </c>
      <c r="F67" s="19" t="s">
        <v>5</v>
      </c>
      <c r="G67" s="19" t="s">
        <v>6211</v>
      </c>
      <c r="H67" s="19" t="s">
        <v>6221</v>
      </c>
      <c r="I67" s="19" t="s">
        <v>6137</v>
      </c>
      <c r="J67" s="19"/>
      <c r="K67" s="264"/>
      <c r="L67" s="264"/>
      <c r="M67" s="323"/>
      <c r="N67" s="323"/>
      <c r="O67" s="264"/>
      <c r="P67" s="264"/>
    </row>
    <row r="68">
      <c r="A68" s="19">
        <v>16682.0</v>
      </c>
      <c r="B68" s="321">
        <v>0.6145833333333334</v>
      </c>
      <c r="C68" s="316" t="s">
        <v>4875</v>
      </c>
      <c r="D68" s="322">
        <v>20068.0</v>
      </c>
      <c r="E68" s="322">
        <v>44564.0</v>
      </c>
      <c r="F68" s="19" t="s">
        <v>6216</v>
      </c>
      <c r="G68" s="19" t="s">
        <v>6211</v>
      </c>
      <c r="H68" s="19" t="s">
        <v>6221</v>
      </c>
      <c r="I68" s="19" t="s">
        <v>6194</v>
      </c>
      <c r="J68" s="19"/>
      <c r="K68" s="264"/>
      <c r="L68" s="264"/>
      <c r="M68" s="323"/>
      <c r="N68" s="323"/>
      <c r="O68" s="264"/>
      <c r="P68" s="264"/>
    </row>
    <row r="69">
      <c r="A69" s="19">
        <v>10141.0</v>
      </c>
      <c r="B69" s="321">
        <v>0.6458333333333334</v>
      </c>
      <c r="C69" s="316" t="s">
        <v>425</v>
      </c>
      <c r="D69" s="322">
        <v>23797.0</v>
      </c>
      <c r="E69" s="322">
        <v>44564.0</v>
      </c>
      <c r="F69" s="19" t="s">
        <v>6216</v>
      </c>
      <c r="G69" s="19" t="s">
        <v>6211</v>
      </c>
      <c r="H69" s="19" t="s">
        <v>6221</v>
      </c>
      <c r="I69" s="19" t="s">
        <v>6190</v>
      </c>
      <c r="J69" s="19"/>
      <c r="K69" s="264"/>
      <c r="L69" s="264"/>
      <c r="M69" s="323"/>
      <c r="N69" s="323"/>
      <c r="O69" s="264"/>
      <c r="P69" s="264"/>
    </row>
    <row r="70">
      <c r="A70" s="19">
        <v>9930.0</v>
      </c>
      <c r="B70" s="321">
        <v>0.7083333333333334</v>
      </c>
      <c r="C70" s="316" t="s">
        <v>345</v>
      </c>
      <c r="D70" s="322">
        <v>20329.0</v>
      </c>
      <c r="E70" s="322">
        <v>44564.0</v>
      </c>
      <c r="F70" s="19" t="s">
        <v>5</v>
      </c>
      <c r="G70" s="19" t="s">
        <v>6211</v>
      </c>
      <c r="H70" s="19" t="s">
        <v>6221</v>
      </c>
      <c r="I70" s="19" t="s">
        <v>6137</v>
      </c>
      <c r="J70" s="19"/>
      <c r="K70" s="264"/>
      <c r="L70" s="264"/>
      <c r="M70" s="323"/>
      <c r="N70" s="323"/>
      <c r="O70" s="264"/>
      <c r="P70" s="264"/>
    </row>
    <row r="71">
      <c r="A71" s="19">
        <v>15804.0</v>
      </c>
      <c r="B71" s="321">
        <v>0.7083333333333334</v>
      </c>
      <c r="C71" s="316" t="s">
        <v>4164</v>
      </c>
      <c r="D71" s="322">
        <v>18291.0</v>
      </c>
      <c r="E71" s="322">
        <v>44564.0</v>
      </c>
      <c r="F71" s="19" t="s">
        <v>6216</v>
      </c>
      <c r="G71" s="19" t="s">
        <v>6211</v>
      </c>
      <c r="H71" s="19" t="s">
        <v>6221</v>
      </c>
      <c r="I71" s="19" t="s">
        <v>6196</v>
      </c>
      <c r="J71" s="19"/>
      <c r="K71" s="264"/>
      <c r="L71" s="264"/>
      <c r="M71" s="323"/>
      <c r="N71" s="323"/>
      <c r="O71" s="264"/>
      <c r="P71" s="264"/>
    </row>
    <row r="72">
      <c r="A72" s="19">
        <v>10873.0</v>
      </c>
      <c r="B72" s="321">
        <v>0.7083333333333334</v>
      </c>
      <c r="C72" s="316" t="s">
        <v>710</v>
      </c>
      <c r="D72" s="322">
        <v>8953.0</v>
      </c>
      <c r="E72" s="322">
        <v>44564.0</v>
      </c>
      <c r="F72" s="19" t="s">
        <v>6216</v>
      </c>
      <c r="G72" s="19" t="s">
        <v>6211</v>
      </c>
      <c r="H72" s="19" t="s">
        <v>6221</v>
      </c>
      <c r="I72" s="19" t="s">
        <v>6194</v>
      </c>
      <c r="J72" s="19"/>
      <c r="K72" s="264"/>
      <c r="L72" s="264"/>
      <c r="M72" s="323"/>
      <c r="N72" s="323"/>
      <c r="O72" s="264"/>
      <c r="P72" s="264"/>
    </row>
    <row r="73">
      <c r="A73" s="19">
        <v>15559.0</v>
      </c>
      <c r="B73" s="321">
        <v>0.7083333333333334</v>
      </c>
      <c r="C73" s="316" t="s">
        <v>3943</v>
      </c>
      <c r="D73" s="322">
        <v>15668.0</v>
      </c>
      <c r="E73" s="322">
        <v>44564.0</v>
      </c>
      <c r="F73" s="19" t="s">
        <v>5</v>
      </c>
      <c r="G73" s="19" t="s">
        <v>6211</v>
      </c>
      <c r="H73" s="19" t="s">
        <v>6221</v>
      </c>
      <c r="I73" s="19" t="s">
        <v>6082</v>
      </c>
      <c r="J73" s="19"/>
      <c r="K73" s="264"/>
      <c r="L73" s="264"/>
      <c r="M73" s="323"/>
      <c r="N73" s="323"/>
      <c r="O73" s="264"/>
      <c r="P73" s="264"/>
    </row>
    <row r="74">
      <c r="A74" s="19">
        <v>13084.0</v>
      </c>
      <c r="B74" s="321">
        <v>0.3333333333333333</v>
      </c>
      <c r="C74" s="316" t="s">
        <v>1958</v>
      </c>
      <c r="D74" s="322">
        <v>22740.0</v>
      </c>
      <c r="E74" s="322">
        <v>44564.0</v>
      </c>
      <c r="F74" s="19" t="s">
        <v>9</v>
      </c>
      <c r="G74" s="19" t="s">
        <v>9</v>
      </c>
      <c r="H74" s="19" t="s">
        <v>6222</v>
      </c>
      <c r="I74" s="19" t="s">
        <v>6085</v>
      </c>
      <c r="J74" s="19"/>
      <c r="K74" s="264"/>
      <c r="L74" s="264"/>
      <c r="M74" s="323"/>
      <c r="N74" s="323"/>
      <c r="O74" s="264"/>
      <c r="P74" s="264"/>
    </row>
    <row r="75">
      <c r="A75" s="19">
        <v>11670.0</v>
      </c>
      <c r="B75" s="321">
        <v>0.3645833333333333</v>
      </c>
      <c r="C75" s="316" t="s">
        <v>1051</v>
      </c>
      <c r="D75" s="322">
        <v>20486.0</v>
      </c>
      <c r="E75" s="322">
        <v>44564.0</v>
      </c>
      <c r="F75" s="19" t="s">
        <v>6216</v>
      </c>
      <c r="G75" s="19" t="s">
        <v>6218</v>
      </c>
      <c r="H75" s="19" t="s">
        <v>6222</v>
      </c>
      <c r="I75" s="19" t="s">
        <v>6196</v>
      </c>
      <c r="J75" s="19"/>
      <c r="K75" s="264"/>
      <c r="L75" s="264"/>
      <c r="M75" s="323"/>
      <c r="N75" s="264"/>
      <c r="O75" s="264"/>
      <c r="P75" s="264"/>
    </row>
    <row r="76">
      <c r="A76" s="19">
        <v>15198.0</v>
      </c>
      <c r="B76" s="321">
        <v>0.375</v>
      </c>
      <c r="C76" s="316" t="s">
        <v>3638</v>
      </c>
      <c r="D76" s="322">
        <v>21482.0</v>
      </c>
      <c r="E76" s="322">
        <v>44564.0</v>
      </c>
      <c r="F76" s="19" t="s">
        <v>6220</v>
      </c>
      <c r="G76" s="19" t="s">
        <v>6218</v>
      </c>
      <c r="H76" s="19" t="s">
        <v>6222</v>
      </c>
      <c r="I76" s="19" t="s">
        <v>6192</v>
      </c>
      <c r="J76" s="19"/>
      <c r="K76" s="264"/>
      <c r="L76" s="264"/>
      <c r="M76" s="323"/>
      <c r="N76" s="323"/>
      <c r="O76" s="264"/>
      <c r="P76" s="264"/>
    </row>
    <row r="77">
      <c r="A77" s="19">
        <v>11736.0</v>
      </c>
      <c r="B77" s="321">
        <v>0.3854166666666667</v>
      </c>
      <c r="C77" s="316" t="s">
        <v>1084</v>
      </c>
      <c r="D77" s="322">
        <v>21851.0</v>
      </c>
      <c r="E77" s="322">
        <v>44564.0</v>
      </c>
      <c r="F77" s="19" t="s">
        <v>5</v>
      </c>
      <c r="G77" s="19" t="s">
        <v>6218</v>
      </c>
      <c r="H77" s="19" t="s">
        <v>6222</v>
      </c>
      <c r="I77" s="19" t="s">
        <v>6091</v>
      </c>
      <c r="J77" s="19"/>
      <c r="K77" s="264"/>
      <c r="L77" s="264"/>
      <c r="M77" s="323"/>
      <c r="N77" s="323"/>
      <c r="O77" s="264"/>
      <c r="P77" s="264"/>
    </row>
    <row r="78">
      <c r="A78" s="19">
        <v>14001.0</v>
      </c>
      <c r="B78" s="321">
        <v>0.3958333333333333</v>
      </c>
      <c r="C78" s="316" t="s">
        <v>2664</v>
      </c>
      <c r="D78" s="322">
        <v>25773.0</v>
      </c>
      <c r="E78" s="322">
        <v>44564.0</v>
      </c>
      <c r="F78" s="19" t="s">
        <v>6216</v>
      </c>
      <c r="G78" s="19" t="s">
        <v>6218</v>
      </c>
      <c r="H78" s="19" t="s">
        <v>6222</v>
      </c>
      <c r="I78" s="19" t="s">
        <v>6142</v>
      </c>
      <c r="J78" s="19"/>
      <c r="K78" s="264"/>
      <c r="L78" s="264"/>
      <c r="M78" s="323"/>
      <c r="N78" s="264"/>
      <c r="O78" s="264"/>
      <c r="P78" s="264"/>
    </row>
    <row r="79">
      <c r="A79" s="19">
        <v>15702.0</v>
      </c>
      <c r="B79" s="321">
        <v>0.3958333333333333</v>
      </c>
      <c r="C79" s="316" t="s">
        <v>4070</v>
      </c>
      <c r="D79" s="322">
        <v>25899.0</v>
      </c>
      <c r="E79" s="322">
        <v>44564.0</v>
      </c>
      <c r="F79" s="19" t="s">
        <v>5</v>
      </c>
      <c r="G79" s="19" t="s">
        <v>6218</v>
      </c>
      <c r="H79" s="19" t="s">
        <v>6222</v>
      </c>
      <c r="I79" s="19" t="s">
        <v>6124</v>
      </c>
      <c r="J79" s="19"/>
      <c r="K79" s="264"/>
      <c r="L79" s="264"/>
      <c r="M79" s="323"/>
      <c r="N79" s="323"/>
      <c r="O79" s="264"/>
      <c r="P79" s="264"/>
    </row>
    <row r="80">
      <c r="A80" s="19">
        <v>14263.0</v>
      </c>
      <c r="B80" s="321">
        <v>0.40625</v>
      </c>
      <c r="C80" s="316" t="s">
        <v>2865</v>
      </c>
      <c r="D80" s="322">
        <v>23301.0</v>
      </c>
      <c r="E80" s="322">
        <v>44564.0</v>
      </c>
      <c r="F80" s="19" t="s">
        <v>5</v>
      </c>
      <c r="G80" s="19" t="s">
        <v>6218</v>
      </c>
      <c r="H80" s="19" t="s">
        <v>6222</v>
      </c>
      <c r="I80" s="19" t="s">
        <v>6095</v>
      </c>
      <c r="J80" s="19"/>
      <c r="K80" s="264"/>
      <c r="L80" s="264"/>
      <c r="M80" s="323"/>
      <c r="N80" s="323"/>
      <c r="O80" s="264"/>
      <c r="P80" s="264"/>
    </row>
    <row r="81">
      <c r="A81" s="19">
        <v>9878.0</v>
      </c>
      <c r="B81" s="321">
        <v>0.40625</v>
      </c>
      <c r="C81" s="316" t="s">
        <v>331</v>
      </c>
      <c r="D81" s="322">
        <v>26966.0</v>
      </c>
      <c r="E81" s="322">
        <v>44564.0</v>
      </c>
      <c r="F81" s="19" t="s">
        <v>5</v>
      </c>
      <c r="G81" s="19" t="s">
        <v>6218</v>
      </c>
      <c r="H81" s="19" t="s">
        <v>6222</v>
      </c>
      <c r="I81" s="19" t="s">
        <v>6126</v>
      </c>
      <c r="J81" s="19"/>
      <c r="K81" s="264"/>
      <c r="L81" s="264"/>
      <c r="M81" s="323"/>
      <c r="N81" s="264"/>
      <c r="O81" s="264"/>
      <c r="P81" s="264"/>
    </row>
    <row r="82">
      <c r="A82" s="19">
        <v>9651.0</v>
      </c>
      <c r="B82" s="321">
        <v>0.4270833333333333</v>
      </c>
      <c r="C82" s="316" t="s">
        <v>246</v>
      </c>
      <c r="D82" s="322">
        <v>22812.0</v>
      </c>
      <c r="E82" s="322">
        <v>44564.0</v>
      </c>
      <c r="F82" s="19" t="s">
        <v>6216</v>
      </c>
      <c r="G82" s="19" t="s">
        <v>6218</v>
      </c>
      <c r="H82" s="19" t="s">
        <v>6222</v>
      </c>
      <c r="I82" s="19" t="s">
        <v>6192</v>
      </c>
      <c r="J82" s="19"/>
      <c r="K82" s="264"/>
      <c r="L82" s="264"/>
      <c r="M82" s="323"/>
      <c r="N82" s="264"/>
      <c r="O82" s="264"/>
      <c r="P82" s="264"/>
    </row>
    <row r="83">
      <c r="A83" s="19">
        <v>16350.0</v>
      </c>
      <c r="B83" s="321">
        <v>0.4479166666666667</v>
      </c>
      <c r="C83" s="316" t="s">
        <v>4625</v>
      </c>
      <c r="D83" s="322">
        <v>22243.0</v>
      </c>
      <c r="E83" s="322">
        <v>44564.0</v>
      </c>
      <c r="F83" s="19" t="s">
        <v>5</v>
      </c>
      <c r="G83" s="19" t="s">
        <v>6218</v>
      </c>
      <c r="H83" s="19" t="s">
        <v>6222</v>
      </c>
      <c r="I83" s="19" t="s">
        <v>6117</v>
      </c>
      <c r="J83" s="19"/>
      <c r="K83" s="264"/>
      <c r="L83" s="264"/>
      <c r="M83" s="323"/>
      <c r="N83" s="323"/>
      <c r="O83" s="264"/>
      <c r="P83" s="264"/>
    </row>
    <row r="84">
      <c r="A84" s="19">
        <v>10573.0</v>
      </c>
      <c r="B84" s="321">
        <v>0.4583333333333333</v>
      </c>
      <c r="C84" s="316" t="s">
        <v>591</v>
      </c>
      <c r="D84" s="322">
        <v>23562.0</v>
      </c>
      <c r="E84" s="322">
        <v>44564.0</v>
      </c>
      <c r="F84" s="19" t="s">
        <v>6215</v>
      </c>
      <c r="G84" s="19" t="s">
        <v>6218</v>
      </c>
      <c r="H84" s="19" t="s">
        <v>6222</v>
      </c>
      <c r="I84" s="19" t="s">
        <v>6199</v>
      </c>
      <c r="J84" s="19"/>
      <c r="K84" s="264"/>
      <c r="L84" s="264"/>
      <c r="M84" s="323"/>
      <c r="N84" s="323"/>
      <c r="O84" s="264"/>
      <c r="P84" s="264"/>
    </row>
    <row r="85">
      <c r="A85" s="19">
        <v>10634.0</v>
      </c>
      <c r="B85" s="321">
        <v>0.46875</v>
      </c>
      <c r="C85" s="316" t="s">
        <v>619</v>
      </c>
      <c r="D85" s="322">
        <v>14961.0</v>
      </c>
      <c r="E85" s="322">
        <v>44564.0</v>
      </c>
      <c r="F85" s="19" t="s">
        <v>5</v>
      </c>
      <c r="G85" s="19" t="s">
        <v>6218</v>
      </c>
      <c r="H85" s="19" t="s">
        <v>6222</v>
      </c>
      <c r="I85" s="19" t="s">
        <v>6137</v>
      </c>
      <c r="J85" s="19"/>
      <c r="K85" s="264"/>
      <c r="L85" s="264"/>
      <c r="M85" s="323"/>
      <c r="N85" s="323"/>
      <c r="O85" s="264"/>
      <c r="P85" s="264"/>
    </row>
    <row r="86">
      <c r="A86" s="19">
        <v>12124.0</v>
      </c>
      <c r="B86" s="321">
        <v>0.5520833333333334</v>
      </c>
      <c r="C86" s="316" t="s">
        <v>1285</v>
      </c>
      <c r="D86" s="322">
        <v>13850.0</v>
      </c>
      <c r="E86" s="322">
        <v>44564.0</v>
      </c>
      <c r="F86" s="19" t="s">
        <v>6215</v>
      </c>
      <c r="G86" s="19" t="s">
        <v>6218</v>
      </c>
      <c r="H86" s="19" t="s">
        <v>6222</v>
      </c>
      <c r="I86" s="19" t="s">
        <v>6094</v>
      </c>
      <c r="J86" s="19"/>
      <c r="K86" s="264"/>
      <c r="L86" s="264"/>
      <c r="M86" s="323"/>
      <c r="N86" s="323"/>
      <c r="O86" s="264"/>
      <c r="P86" s="264"/>
    </row>
    <row r="87">
      <c r="A87" s="19">
        <v>10380.0</v>
      </c>
      <c r="B87" s="321">
        <v>0.5625</v>
      </c>
      <c r="C87" s="316" t="s">
        <v>524</v>
      </c>
      <c r="D87" s="322">
        <v>17576.0</v>
      </c>
      <c r="E87" s="322">
        <v>44564.0</v>
      </c>
      <c r="F87" s="19" t="s">
        <v>5</v>
      </c>
      <c r="G87" s="19" t="s">
        <v>6218</v>
      </c>
      <c r="H87" s="19" t="s">
        <v>6222</v>
      </c>
      <c r="I87" s="19" t="s">
        <v>6199</v>
      </c>
      <c r="J87" s="19"/>
      <c r="K87" s="264"/>
      <c r="L87" s="264"/>
      <c r="M87" s="323"/>
      <c r="N87" s="264"/>
      <c r="O87" s="264"/>
      <c r="P87" s="264"/>
    </row>
    <row r="88">
      <c r="A88" s="19">
        <v>10204.0</v>
      </c>
      <c r="B88" s="321">
        <v>0.5729166666666666</v>
      </c>
      <c r="C88" s="316" t="s">
        <v>455</v>
      </c>
      <c r="D88" s="322">
        <v>30612.0</v>
      </c>
      <c r="E88" s="322">
        <v>44564.0</v>
      </c>
      <c r="F88" s="19" t="s">
        <v>5</v>
      </c>
      <c r="G88" s="19" t="s">
        <v>6218</v>
      </c>
      <c r="H88" s="19" t="s">
        <v>6222</v>
      </c>
      <c r="I88" s="19" t="s">
        <v>6091</v>
      </c>
      <c r="J88" s="19"/>
      <c r="K88" s="264"/>
      <c r="L88" s="264"/>
      <c r="M88" s="323"/>
      <c r="N88" s="323"/>
      <c r="O88" s="264"/>
      <c r="P88" s="264"/>
    </row>
    <row r="89">
      <c r="A89" s="19">
        <v>9652.0</v>
      </c>
      <c r="B89" s="321">
        <v>0.5833333333333334</v>
      </c>
      <c r="C89" s="316" t="s">
        <v>247</v>
      </c>
      <c r="D89" s="322">
        <v>18328.0</v>
      </c>
      <c r="E89" s="322">
        <v>44564.0</v>
      </c>
      <c r="F89" s="19" t="s">
        <v>5</v>
      </c>
      <c r="G89" s="19" t="s">
        <v>6218</v>
      </c>
      <c r="H89" s="19" t="s">
        <v>6222</v>
      </c>
      <c r="I89" s="19" t="s">
        <v>6199</v>
      </c>
      <c r="J89" s="19"/>
      <c r="K89" s="264"/>
      <c r="L89" s="264"/>
      <c r="M89" s="323"/>
      <c r="N89" s="323"/>
      <c r="O89" s="264"/>
      <c r="P89" s="264"/>
    </row>
    <row r="90">
      <c r="A90" s="19">
        <v>12287.0</v>
      </c>
      <c r="B90" s="321">
        <v>0.625</v>
      </c>
      <c r="C90" s="316" t="s">
        <v>1366</v>
      </c>
      <c r="D90" s="322">
        <v>26721.0</v>
      </c>
      <c r="E90" s="322">
        <v>44564.0</v>
      </c>
      <c r="F90" s="19" t="s">
        <v>6216</v>
      </c>
      <c r="G90" s="19" t="s">
        <v>6218</v>
      </c>
      <c r="H90" s="19" t="s">
        <v>6222</v>
      </c>
      <c r="I90" s="19" t="s">
        <v>6196</v>
      </c>
      <c r="J90" s="19"/>
      <c r="K90" s="264"/>
      <c r="L90" s="264"/>
      <c r="M90" s="323"/>
      <c r="N90" s="323"/>
      <c r="O90" s="264"/>
      <c r="P90" s="264"/>
    </row>
    <row r="91">
      <c r="A91" s="19">
        <v>9593.0</v>
      </c>
      <c r="B91" s="321">
        <v>0.6354166666666666</v>
      </c>
      <c r="C91" s="316" t="s">
        <v>227</v>
      </c>
      <c r="D91" s="322">
        <v>23217.0</v>
      </c>
      <c r="E91" s="322">
        <v>44564.0</v>
      </c>
      <c r="F91" s="19" t="s">
        <v>5</v>
      </c>
      <c r="G91" s="19" t="s">
        <v>6218</v>
      </c>
      <c r="H91" s="19" t="s">
        <v>6222</v>
      </c>
      <c r="I91" s="19" t="s">
        <v>6199</v>
      </c>
      <c r="J91" s="19"/>
      <c r="K91" s="264"/>
      <c r="L91" s="264"/>
      <c r="M91" s="323"/>
      <c r="N91" s="264"/>
      <c r="O91" s="264"/>
      <c r="P91" s="264"/>
    </row>
    <row r="92">
      <c r="A92" s="19">
        <v>17105.0</v>
      </c>
      <c r="B92" s="321">
        <v>0.7083333333333334</v>
      </c>
      <c r="C92" s="316" t="s">
        <v>5209</v>
      </c>
      <c r="D92" s="322">
        <v>25263.0</v>
      </c>
      <c r="E92" s="322">
        <v>44564.0</v>
      </c>
      <c r="F92" s="19" t="s">
        <v>6215</v>
      </c>
      <c r="G92" s="19" t="s">
        <v>6218</v>
      </c>
      <c r="H92" s="19" t="s">
        <v>6222</v>
      </c>
      <c r="I92" s="19" t="s">
        <v>6091</v>
      </c>
      <c r="J92" s="19"/>
      <c r="K92" s="264"/>
      <c r="L92" s="264"/>
      <c r="M92" s="323"/>
      <c r="N92" s="323"/>
      <c r="O92" s="264"/>
      <c r="P92" s="264"/>
    </row>
    <row r="93">
      <c r="A93" s="19">
        <v>15328.0</v>
      </c>
      <c r="B93" s="321">
        <v>0.7083333333333334</v>
      </c>
      <c r="C93" s="316" t="s">
        <v>3743</v>
      </c>
      <c r="D93" s="322">
        <v>26212.0</v>
      </c>
      <c r="E93" s="322">
        <v>44564.0</v>
      </c>
      <c r="F93" s="19" t="s">
        <v>5</v>
      </c>
      <c r="G93" s="19" t="s">
        <v>6218</v>
      </c>
      <c r="H93" s="19" t="s">
        <v>6222</v>
      </c>
      <c r="I93" s="19" t="s">
        <v>6091</v>
      </c>
      <c r="J93" s="19"/>
      <c r="K93" s="264"/>
      <c r="L93" s="264"/>
      <c r="M93" s="323"/>
      <c r="N93" s="323"/>
      <c r="O93" s="264"/>
      <c r="P93" s="264"/>
    </row>
    <row r="94">
      <c r="A94" s="19">
        <v>17575.0</v>
      </c>
      <c r="B94" s="321">
        <v>0.7083333333333334</v>
      </c>
      <c r="C94" s="316" t="s">
        <v>5746</v>
      </c>
      <c r="D94" s="322">
        <v>30266.0</v>
      </c>
      <c r="E94" s="322">
        <v>44564.0</v>
      </c>
      <c r="F94" s="19" t="s">
        <v>6215</v>
      </c>
      <c r="G94" s="19" t="s">
        <v>6218</v>
      </c>
      <c r="H94" s="19" t="s">
        <v>6222</v>
      </c>
      <c r="I94" s="19" t="s">
        <v>6154</v>
      </c>
      <c r="J94" s="19"/>
      <c r="K94" s="264"/>
      <c r="L94" s="264"/>
      <c r="M94" s="323"/>
      <c r="N94" s="323"/>
      <c r="O94" s="264"/>
      <c r="P94" s="264"/>
    </row>
    <row r="95">
      <c r="A95" s="19">
        <v>11629.0</v>
      </c>
      <c r="B95" s="321">
        <v>0.7083333333333334</v>
      </c>
      <c r="C95" s="316" t="s">
        <v>1033</v>
      </c>
      <c r="D95" s="322">
        <v>11551.0</v>
      </c>
      <c r="E95" s="322">
        <v>44564.0</v>
      </c>
      <c r="F95" s="19" t="s">
        <v>6216</v>
      </c>
      <c r="G95" s="19" t="s">
        <v>6218</v>
      </c>
      <c r="H95" s="19" t="s">
        <v>6222</v>
      </c>
      <c r="I95" s="19" t="s">
        <v>6196</v>
      </c>
      <c r="J95" s="19"/>
      <c r="K95" s="264"/>
      <c r="L95" s="264"/>
      <c r="M95" s="323"/>
      <c r="N95" s="323"/>
      <c r="O95" s="264"/>
      <c r="P95" s="264"/>
    </row>
    <row r="96">
      <c r="A96" s="19">
        <v>12066.0</v>
      </c>
      <c r="B96" s="321">
        <v>0.7083333333333334</v>
      </c>
      <c r="C96" s="316" t="s">
        <v>1256</v>
      </c>
      <c r="D96" s="322">
        <v>21106.0</v>
      </c>
      <c r="E96" s="322">
        <v>44564.0</v>
      </c>
      <c r="F96" s="19" t="s">
        <v>6216</v>
      </c>
      <c r="G96" s="19" t="s">
        <v>6218</v>
      </c>
      <c r="H96" s="19" t="s">
        <v>6222</v>
      </c>
      <c r="I96" s="19" t="s">
        <v>6192</v>
      </c>
      <c r="J96" s="19"/>
      <c r="K96" s="264"/>
      <c r="L96" s="264"/>
      <c r="M96" s="323"/>
      <c r="N96" s="323"/>
      <c r="O96" s="264"/>
      <c r="P96" s="264"/>
    </row>
    <row r="97">
      <c r="A97" s="19">
        <v>16942.0</v>
      </c>
      <c r="B97" s="321">
        <v>0.4479166666666667</v>
      </c>
      <c r="C97" s="316" t="s">
        <v>5080</v>
      </c>
      <c r="D97" s="322">
        <v>21275.0</v>
      </c>
      <c r="E97" s="322">
        <v>44565.0</v>
      </c>
      <c r="F97" s="19" t="s">
        <v>6214</v>
      </c>
      <c r="G97" s="19" t="s">
        <v>6211</v>
      </c>
      <c r="H97" s="19" t="s">
        <v>6212</v>
      </c>
      <c r="I97" s="19" t="s">
        <v>6196</v>
      </c>
      <c r="J97" s="19"/>
      <c r="K97" s="264"/>
      <c r="L97" s="264"/>
      <c r="M97" s="323"/>
      <c r="N97" s="323"/>
      <c r="O97" s="264"/>
      <c r="P97" s="264"/>
    </row>
    <row r="98">
      <c r="A98" s="19">
        <v>17815.0</v>
      </c>
      <c r="B98" s="321">
        <v>0.4479166666666667</v>
      </c>
      <c r="C98" s="316" t="s">
        <v>6389</v>
      </c>
      <c r="D98" s="322">
        <v>26567.0</v>
      </c>
      <c r="E98" s="322">
        <v>44565.0</v>
      </c>
      <c r="F98" s="19" t="s">
        <v>6213</v>
      </c>
      <c r="G98" s="19" t="s">
        <v>6211</v>
      </c>
      <c r="H98" s="19" t="s">
        <v>6212</v>
      </c>
      <c r="I98" s="19" t="s">
        <v>6217</v>
      </c>
      <c r="J98" s="19"/>
      <c r="K98" s="264"/>
      <c r="L98" s="264"/>
      <c r="M98" s="323"/>
      <c r="N98" s="323"/>
      <c r="O98" s="264"/>
      <c r="P98" s="264"/>
    </row>
    <row r="99">
      <c r="A99" s="19">
        <v>17802.0</v>
      </c>
      <c r="B99" s="321">
        <v>0.4479166666666667</v>
      </c>
      <c r="C99" s="316" t="s">
        <v>6390</v>
      </c>
      <c r="D99" s="322">
        <v>17369.0</v>
      </c>
      <c r="E99" s="322">
        <v>44565.0</v>
      </c>
      <c r="F99" s="19" t="s">
        <v>6213</v>
      </c>
      <c r="G99" s="19" t="s">
        <v>6211</v>
      </c>
      <c r="H99" s="19" t="s">
        <v>6212</v>
      </c>
      <c r="I99" s="19" t="s">
        <v>6199</v>
      </c>
      <c r="J99" s="19"/>
      <c r="K99" s="264"/>
      <c r="L99" s="264"/>
      <c r="M99" s="323"/>
      <c r="N99" s="323"/>
      <c r="O99" s="264"/>
      <c r="P99" s="264"/>
    </row>
    <row r="100">
      <c r="A100" s="19">
        <v>11255.0</v>
      </c>
      <c r="B100" s="321">
        <v>0.4583333333333333</v>
      </c>
      <c r="C100" s="316" t="s">
        <v>883</v>
      </c>
      <c r="D100" s="322">
        <v>12029.0</v>
      </c>
      <c r="E100" s="322">
        <v>44565.0</v>
      </c>
      <c r="F100" s="19" t="s">
        <v>5</v>
      </c>
      <c r="G100" s="19" t="s">
        <v>6211</v>
      </c>
      <c r="H100" s="19" t="s">
        <v>6212</v>
      </c>
      <c r="I100" s="19" t="s">
        <v>6199</v>
      </c>
      <c r="J100" s="19"/>
      <c r="K100" s="264"/>
      <c r="L100" s="264"/>
      <c r="M100" s="323"/>
      <c r="N100" s="264"/>
      <c r="O100" s="264"/>
      <c r="P100" s="264"/>
    </row>
    <row r="101">
      <c r="A101" s="19">
        <v>17479.0</v>
      </c>
      <c r="B101" s="321">
        <v>0.46875</v>
      </c>
      <c r="C101" s="316" t="s">
        <v>5786</v>
      </c>
      <c r="D101" s="322">
        <v>25841.0</v>
      </c>
      <c r="E101" s="322">
        <v>44565.0</v>
      </c>
      <c r="F101" s="19" t="s">
        <v>6214</v>
      </c>
      <c r="G101" s="19" t="s">
        <v>6211</v>
      </c>
      <c r="H101" s="19" t="s">
        <v>6212</v>
      </c>
      <c r="I101" s="19" t="s">
        <v>6139</v>
      </c>
      <c r="J101" s="19"/>
      <c r="K101" s="264"/>
      <c r="L101" s="264"/>
      <c r="M101" s="323"/>
      <c r="N101" s="323"/>
      <c r="O101" s="264"/>
      <c r="P101" s="264"/>
    </row>
    <row r="102">
      <c r="A102" s="19">
        <v>17788.0</v>
      </c>
      <c r="B102" s="321">
        <v>0.46875</v>
      </c>
      <c r="C102" s="316" t="s">
        <v>5963</v>
      </c>
      <c r="D102" s="322">
        <v>11506.0</v>
      </c>
      <c r="E102" s="322">
        <v>44565.0</v>
      </c>
      <c r="F102" s="19" t="s">
        <v>6213</v>
      </c>
      <c r="G102" s="19" t="s">
        <v>6211</v>
      </c>
      <c r="H102" s="19" t="s">
        <v>6212</v>
      </c>
      <c r="I102" s="19" t="s">
        <v>6095</v>
      </c>
      <c r="J102" s="19"/>
      <c r="K102" s="264"/>
      <c r="L102" s="264"/>
      <c r="M102" s="323"/>
      <c r="N102" s="323"/>
      <c r="O102" s="264"/>
      <c r="P102" s="264"/>
    </row>
    <row r="103">
      <c r="A103" s="19">
        <v>16703.0</v>
      </c>
      <c r="B103" s="321">
        <v>0.5416666666666666</v>
      </c>
      <c r="C103" s="316" t="s">
        <v>4890</v>
      </c>
      <c r="D103" s="322">
        <v>22337.0</v>
      </c>
      <c r="E103" s="322">
        <v>44565.0</v>
      </c>
      <c r="F103" s="19" t="s">
        <v>5</v>
      </c>
      <c r="G103" s="19" t="s">
        <v>6211</v>
      </c>
      <c r="H103" s="19" t="s">
        <v>6212</v>
      </c>
      <c r="I103" s="19" t="s">
        <v>6118</v>
      </c>
      <c r="J103" s="19"/>
      <c r="K103" s="264"/>
      <c r="L103" s="264"/>
      <c r="M103" s="323"/>
      <c r="N103" s="264"/>
      <c r="O103" s="264"/>
      <c r="P103" s="264"/>
    </row>
    <row r="104">
      <c r="A104" s="19">
        <v>17738.0</v>
      </c>
      <c r="B104" s="321">
        <v>0.5625</v>
      </c>
      <c r="C104" s="316" t="s">
        <v>5903</v>
      </c>
      <c r="D104" s="322">
        <v>24348.0</v>
      </c>
      <c r="E104" s="322">
        <v>44565.0</v>
      </c>
      <c r="F104" s="19" t="s">
        <v>6213</v>
      </c>
      <c r="G104" s="19" t="s">
        <v>6211</v>
      </c>
      <c r="H104" s="19" t="s">
        <v>6212</v>
      </c>
      <c r="I104" s="19" t="s">
        <v>6091</v>
      </c>
      <c r="J104" s="19"/>
      <c r="K104" s="264"/>
      <c r="L104" s="264"/>
      <c r="M104" s="323"/>
      <c r="N104" s="323"/>
      <c r="O104" s="264"/>
      <c r="P104" s="264"/>
    </row>
    <row r="105">
      <c r="A105" s="19">
        <v>9273.0</v>
      </c>
      <c r="B105" s="321">
        <v>0.5625</v>
      </c>
      <c r="C105" s="316" t="s">
        <v>127</v>
      </c>
      <c r="D105" s="322">
        <v>32428.0</v>
      </c>
      <c r="E105" s="322">
        <v>44565.0</v>
      </c>
      <c r="F105" s="19" t="s">
        <v>5</v>
      </c>
      <c r="G105" s="19" t="s">
        <v>6211</v>
      </c>
      <c r="H105" s="19" t="s">
        <v>6212</v>
      </c>
      <c r="I105" s="19" t="s">
        <v>6083</v>
      </c>
      <c r="J105" s="19"/>
      <c r="K105" s="264"/>
      <c r="L105" s="264"/>
      <c r="M105" s="323"/>
      <c r="N105" s="264"/>
      <c r="O105" s="264"/>
      <c r="P105" s="264"/>
    </row>
    <row r="106">
      <c r="A106" s="19">
        <v>17371.0</v>
      </c>
      <c r="B106" s="321">
        <v>0.59375</v>
      </c>
      <c r="C106" s="316" t="s">
        <v>5420</v>
      </c>
      <c r="D106" s="322">
        <v>31691.0</v>
      </c>
      <c r="E106" s="322">
        <v>44565.0</v>
      </c>
      <c r="F106" s="19" t="s">
        <v>6213</v>
      </c>
      <c r="G106" s="19" t="s">
        <v>6211</v>
      </c>
      <c r="H106" s="19" t="s">
        <v>6212</v>
      </c>
      <c r="I106" s="19" t="s">
        <v>6126</v>
      </c>
      <c r="J106" s="19"/>
      <c r="K106" s="264"/>
      <c r="L106" s="264"/>
      <c r="M106" s="323"/>
      <c r="N106" s="323"/>
      <c r="O106" s="264"/>
      <c r="P106" s="264"/>
    </row>
    <row r="107">
      <c r="A107" s="19">
        <v>17826.0</v>
      </c>
      <c r="B107" s="321">
        <v>0.59375</v>
      </c>
      <c r="C107" s="316" t="s">
        <v>5953</v>
      </c>
      <c r="D107" s="322">
        <v>23296.0</v>
      </c>
      <c r="E107" s="322">
        <v>44565.0</v>
      </c>
      <c r="F107" s="19" t="s">
        <v>6213</v>
      </c>
      <c r="G107" s="19" t="s">
        <v>6211</v>
      </c>
      <c r="H107" s="19" t="s">
        <v>6212</v>
      </c>
      <c r="I107" s="19" t="s">
        <v>6120</v>
      </c>
      <c r="J107" s="19"/>
      <c r="K107" s="264"/>
      <c r="L107" s="264"/>
      <c r="M107" s="323"/>
      <c r="N107" s="323"/>
      <c r="O107" s="264"/>
      <c r="P107" s="264"/>
    </row>
    <row r="108">
      <c r="A108" s="19">
        <v>9918.0</v>
      </c>
      <c r="B108" s="321">
        <v>0.6041666666666666</v>
      </c>
      <c r="C108" s="316" t="s">
        <v>341</v>
      </c>
      <c r="D108" s="322">
        <v>19828.0</v>
      </c>
      <c r="E108" s="322">
        <v>44565.0</v>
      </c>
      <c r="F108" s="19" t="s">
        <v>6216</v>
      </c>
      <c r="G108" s="19" t="s">
        <v>6211</v>
      </c>
      <c r="H108" s="19" t="s">
        <v>6212</v>
      </c>
      <c r="I108" s="19" t="s">
        <v>6194</v>
      </c>
      <c r="J108" s="19"/>
      <c r="K108" s="264"/>
      <c r="L108" s="264"/>
      <c r="M108" s="323"/>
      <c r="N108" s="323"/>
      <c r="O108" s="264"/>
      <c r="P108" s="264"/>
    </row>
    <row r="109">
      <c r="A109" s="19">
        <v>17807.0</v>
      </c>
      <c r="B109" s="321">
        <v>0.6145833333333334</v>
      </c>
      <c r="C109" s="316" t="s">
        <v>6391</v>
      </c>
      <c r="D109" s="322">
        <v>27578.0</v>
      </c>
      <c r="E109" s="322">
        <v>44565.0</v>
      </c>
      <c r="F109" s="19" t="s">
        <v>6213</v>
      </c>
      <c r="G109" s="19" t="s">
        <v>6211</v>
      </c>
      <c r="H109" s="19" t="s">
        <v>6212</v>
      </c>
      <c r="I109" s="19" t="s">
        <v>6199</v>
      </c>
      <c r="J109" s="19"/>
      <c r="K109" s="264"/>
      <c r="L109" s="264"/>
      <c r="M109" s="323"/>
      <c r="N109" s="323"/>
      <c r="O109" s="264"/>
      <c r="P109" s="264"/>
    </row>
    <row r="110">
      <c r="A110" s="19">
        <v>17818.0</v>
      </c>
      <c r="B110" s="321">
        <v>0.6145833333333334</v>
      </c>
      <c r="C110" s="316" t="s">
        <v>5923</v>
      </c>
      <c r="D110" s="322">
        <v>18630.0</v>
      </c>
      <c r="E110" s="322">
        <v>44565.0</v>
      </c>
      <c r="F110" s="19" t="s">
        <v>6213</v>
      </c>
      <c r="G110" s="19" t="s">
        <v>6211</v>
      </c>
      <c r="H110" s="19" t="s">
        <v>6212</v>
      </c>
      <c r="I110" s="19" t="s">
        <v>6101</v>
      </c>
      <c r="J110" s="19"/>
      <c r="K110" s="264"/>
      <c r="L110" s="264"/>
      <c r="M110" s="323"/>
      <c r="N110" s="323"/>
      <c r="O110" s="264"/>
      <c r="P110" s="264"/>
    </row>
    <row r="111">
      <c r="A111" s="19">
        <v>16455.0</v>
      </c>
      <c r="B111" s="321">
        <v>0.6458333333333334</v>
      </c>
      <c r="C111" s="316" t="s">
        <v>4701</v>
      </c>
      <c r="D111" s="322">
        <v>27691.0</v>
      </c>
      <c r="E111" s="322">
        <v>44565.0</v>
      </c>
      <c r="F111" s="19" t="s">
        <v>6213</v>
      </c>
      <c r="G111" s="19" t="s">
        <v>6211</v>
      </c>
      <c r="H111" s="19" t="s">
        <v>6212</v>
      </c>
      <c r="I111" s="19" t="s">
        <v>6126</v>
      </c>
      <c r="J111" s="19"/>
      <c r="K111" s="264"/>
      <c r="L111" s="264"/>
      <c r="M111" s="323"/>
      <c r="N111" s="323"/>
      <c r="O111" s="264"/>
      <c r="P111" s="264"/>
    </row>
    <row r="112">
      <c r="A112" s="19">
        <v>17716.0</v>
      </c>
      <c r="B112" s="321">
        <v>0.6666666666666666</v>
      </c>
      <c r="C112" s="316" t="s">
        <v>5848</v>
      </c>
      <c r="D112" s="322">
        <v>17940.0</v>
      </c>
      <c r="E112" s="322">
        <v>44565.0</v>
      </c>
      <c r="F112" s="19" t="s">
        <v>6392</v>
      </c>
      <c r="G112" s="19" t="s">
        <v>9</v>
      </c>
      <c r="H112" s="19" t="s">
        <v>6212</v>
      </c>
      <c r="I112" s="19" t="s">
        <v>6190</v>
      </c>
      <c r="J112" s="19"/>
      <c r="K112" s="264"/>
      <c r="L112" s="264"/>
      <c r="M112" s="323"/>
      <c r="N112" s="323"/>
      <c r="O112" s="264"/>
      <c r="P112" s="264"/>
    </row>
    <row r="113">
      <c r="A113" s="19">
        <v>17716.0</v>
      </c>
      <c r="B113" s="321">
        <v>0.6666666666666666</v>
      </c>
      <c r="C113" s="316" t="s">
        <v>5848</v>
      </c>
      <c r="D113" s="322">
        <v>17940.0</v>
      </c>
      <c r="E113" s="322">
        <v>44565.0</v>
      </c>
      <c r="F113" s="19" t="s">
        <v>6214</v>
      </c>
      <c r="G113" s="19" t="s">
        <v>6211</v>
      </c>
      <c r="H113" s="19" t="s">
        <v>6212</v>
      </c>
      <c r="I113" s="19" t="s">
        <v>6190</v>
      </c>
      <c r="J113" s="19"/>
      <c r="K113" s="264"/>
      <c r="L113" s="264"/>
      <c r="M113" s="323"/>
      <c r="N113" s="323"/>
      <c r="O113" s="264"/>
      <c r="P113" s="264"/>
    </row>
    <row r="114">
      <c r="A114" s="19">
        <v>10693.0</v>
      </c>
      <c r="B114" s="321">
        <v>0.6979166666666666</v>
      </c>
      <c r="C114" s="316" t="s">
        <v>641</v>
      </c>
      <c r="D114" s="322">
        <v>27131.0</v>
      </c>
      <c r="E114" s="322">
        <v>44565.0</v>
      </c>
      <c r="F114" s="19" t="s">
        <v>6216</v>
      </c>
      <c r="G114" s="19" t="s">
        <v>6211</v>
      </c>
      <c r="H114" s="19" t="s">
        <v>6212</v>
      </c>
      <c r="I114" s="19" t="s">
        <v>6139</v>
      </c>
      <c r="J114" s="19"/>
      <c r="K114" s="264"/>
      <c r="L114" s="264"/>
      <c r="M114" s="323"/>
      <c r="N114" s="264"/>
      <c r="O114" s="264"/>
      <c r="P114" s="264"/>
    </row>
    <row r="115">
      <c r="A115" s="19">
        <v>17795.0</v>
      </c>
      <c r="B115" s="321">
        <v>0.7083333333333334</v>
      </c>
      <c r="C115" s="316" t="s">
        <v>6393</v>
      </c>
      <c r="D115" s="322">
        <v>27896.0</v>
      </c>
      <c r="E115" s="322">
        <v>44565.0</v>
      </c>
      <c r="F115" s="19" t="s">
        <v>9</v>
      </c>
      <c r="G115" s="19" t="s">
        <v>9</v>
      </c>
      <c r="H115" s="19" t="s">
        <v>6212</v>
      </c>
      <c r="I115" s="19" t="s">
        <v>6137</v>
      </c>
      <c r="J115" s="19"/>
      <c r="K115" s="264"/>
      <c r="L115" s="264"/>
      <c r="M115" s="323"/>
      <c r="N115" s="323"/>
      <c r="O115" s="264"/>
      <c r="P115" s="264"/>
    </row>
    <row r="116">
      <c r="A116" s="19">
        <v>10761.0</v>
      </c>
      <c r="B116" s="321">
        <v>0.7083333333333334</v>
      </c>
      <c r="C116" s="316" t="s">
        <v>674</v>
      </c>
      <c r="D116" s="322">
        <v>25774.0</v>
      </c>
      <c r="E116" s="322">
        <v>44565.0</v>
      </c>
      <c r="F116" s="19" t="s">
        <v>6216</v>
      </c>
      <c r="G116" s="19" t="s">
        <v>6218</v>
      </c>
      <c r="H116" s="19" t="s">
        <v>6212</v>
      </c>
      <c r="I116" s="19" t="s">
        <v>6189</v>
      </c>
      <c r="J116" s="19"/>
      <c r="K116" s="264"/>
      <c r="L116" s="264"/>
      <c r="M116" s="323"/>
      <c r="N116" s="323"/>
      <c r="O116" s="264"/>
      <c r="P116" s="264"/>
    </row>
    <row r="117">
      <c r="A117" s="19">
        <v>17796.0</v>
      </c>
      <c r="B117" s="321">
        <v>0.7083333333333334</v>
      </c>
      <c r="C117" s="316" t="s">
        <v>5905</v>
      </c>
      <c r="D117" s="322">
        <v>10923.0</v>
      </c>
      <c r="E117" s="322">
        <v>44565.0</v>
      </c>
      <c r="F117" s="19" t="s">
        <v>6214</v>
      </c>
      <c r="G117" s="19" t="s">
        <v>6211</v>
      </c>
      <c r="H117" s="19" t="s">
        <v>6212</v>
      </c>
      <c r="I117" s="19" t="s">
        <v>6189</v>
      </c>
      <c r="J117" s="19"/>
      <c r="K117" s="264"/>
      <c r="L117" s="264"/>
      <c r="M117" s="323"/>
      <c r="N117" s="323"/>
      <c r="O117" s="264"/>
      <c r="P117" s="264"/>
    </row>
    <row r="118">
      <c r="A118" s="19">
        <v>17173.0</v>
      </c>
      <c r="B118" s="321">
        <v>0.7083333333333334</v>
      </c>
      <c r="C118" s="316" t="s">
        <v>5263</v>
      </c>
      <c r="D118" s="322">
        <v>29239.0</v>
      </c>
      <c r="E118" s="322">
        <v>44565.0</v>
      </c>
      <c r="F118" s="19" t="s">
        <v>6213</v>
      </c>
      <c r="G118" s="19" t="s">
        <v>6211</v>
      </c>
      <c r="H118" s="19" t="s">
        <v>6212</v>
      </c>
      <c r="I118" s="19" t="s">
        <v>6091</v>
      </c>
      <c r="J118" s="19"/>
      <c r="K118" s="264"/>
      <c r="L118" s="264"/>
      <c r="M118" s="323"/>
      <c r="N118" s="323"/>
      <c r="O118" s="264"/>
      <c r="P118" s="264"/>
    </row>
    <row r="119">
      <c r="A119" s="19">
        <v>15175.0</v>
      </c>
      <c r="B119" s="321">
        <v>0.7083333333333334</v>
      </c>
      <c r="C119" s="316" t="s">
        <v>3620</v>
      </c>
      <c r="D119" s="322">
        <v>14364.0</v>
      </c>
      <c r="E119" s="322">
        <v>44565.0</v>
      </c>
      <c r="F119" s="19" t="s">
        <v>6215</v>
      </c>
      <c r="G119" s="19" t="s">
        <v>6211</v>
      </c>
      <c r="H119" s="19" t="s">
        <v>6212</v>
      </c>
      <c r="I119" s="19" t="s">
        <v>6137</v>
      </c>
      <c r="J119" s="19"/>
      <c r="K119" s="264"/>
      <c r="L119" s="264"/>
      <c r="M119" s="323"/>
      <c r="N119" s="323"/>
      <c r="O119" s="264"/>
      <c r="P119" s="264"/>
    </row>
    <row r="120">
      <c r="A120" s="19">
        <v>17688.0</v>
      </c>
      <c r="B120" s="321">
        <v>0.7083333333333334</v>
      </c>
      <c r="C120" s="316" t="s">
        <v>5801</v>
      </c>
      <c r="D120" s="322">
        <v>21857.0</v>
      </c>
      <c r="E120" s="322">
        <v>44565.0</v>
      </c>
      <c r="F120" s="19" t="s">
        <v>6213</v>
      </c>
      <c r="G120" s="19" t="s">
        <v>6211</v>
      </c>
      <c r="H120" s="19" t="s">
        <v>6212</v>
      </c>
      <c r="I120" s="19" t="s">
        <v>6192</v>
      </c>
      <c r="J120" s="19"/>
      <c r="K120" s="264"/>
      <c r="L120" s="264"/>
      <c r="M120" s="323"/>
      <c r="N120" s="323"/>
      <c r="O120" s="264"/>
      <c r="P120" s="264"/>
    </row>
    <row r="121">
      <c r="A121" s="19">
        <v>17196.0</v>
      </c>
      <c r="B121" s="321">
        <v>0.7083333333333334</v>
      </c>
      <c r="C121" s="316" t="s">
        <v>5758</v>
      </c>
      <c r="D121" s="322">
        <v>29902.0</v>
      </c>
      <c r="E121" s="322">
        <v>44565.0</v>
      </c>
      <c r="F121" s="19" t="s">
        <v>6213</v>
      </c>
      <c r="G121" s="19" t="s">
        <v>6211</v>
      </c>
      <c r="H121" s="19" t="s">
        <v>6212</v>
      </c>
      <c r="I121" s="19" t="s">
        <v>6117</v>
      </c>
      <c r="J121" s="19"/>
      <c r="K121" s="264"/>
      <c r="L121" s="264"/>
      <c r="M121" s="323"/>
      <c r="N121" s="323"/>
      <c r="O121" s="264"/>
      <c r="P121" s="264"/>
    </row>
    <row r="122">
      <c r="A122" s="19">
        <v>17412.0</v>
      </c>
      <c r="B122" s="321">
        <v>0.7083333333333334</v>
      </c>
      <c r="C122" s="316" t="s">
        <v>5946</v>
      </c>
      <c r="D122" s="322">
        <v>21695.0</v>
      </c>
      <c r="E122" s="322">
        <v>44565.0</v>
      </c>
      <c r="F122" s="19" t="s">
        <v>6213</v>
      </c>
      <c r="G122" s="19" t="s">
        <v>6211</v>
      </c>
      <c r="H122" s="19" t="s">
        <v>6212</v>
      </c>
      <c r="I122" s="19" t="s">
        <v>6199</v>
      </c>
      <c r="J122" s="19"/>
      <c r="K122" s="264"/>
      <c r="L122" s="264"/>
      <c r="M122" s="323"/>
      <c r="N122" s="323"/>
      <c r="O122" s="264"/>
      <c r="P122" s="264"/>
    </row>
    <row r="123">
      <c r="A123" s="19">
        <v>16941.0</v>
      </c>
      <c r="B123" s="321">
        <v>0.7083333333333334</v>
      </c>
      <c r="C123" s="316" t="s">
        <v>5079</v>
      </c>
      <c r="D123" s="322">
        <v>21789.0</v>
      </c>
      <c r="E123" s="322">
        <v>44565.0</v>
      </c>
      <c r="F123" s="19" t="s">
        <v>5</v>
      </c>
      <c r="G123" s="19" t="s">
        <v>6211</v>
      </c>
      <c r="H123" s="19" t="s">
        <v>6212</v>
      </c>
      <c r="I123" s="19" t="s">
        <v>6094</v>
      </c>
      <c r="J123" s="19"/>
      <c r="K123" s="264"/>
      <c r="L123" s="264"/>
      <c r="M123" s="323"/>
      <c r="N123" s="264"/>
      <c r="O123" s="264"/>
      <c r="P123" s="264"/>
    </row>
    <row r="124">
      <c r="A124" s="19">
        <v>17759.0</v>
      </c>
      <c r="B124" s="321">
        <v>0.7083333333333334</v>
      </c>
      <c r="C124" s="316" t="s">
        <v>5834</v>
      </c>
      <c r="D124" s="322">
        <v>13627.0</v>
      </c>
      <c r="E124" s="322">
        <v>44565.0</v>
      </c>
      <c r="F124" s="19" t="s">
        <v>6214</v>
      </c>
      <c r="G124" s="19" t="s">
        <v>6211</v>
      </c>
      <c r="H124" s="19" t="s">
        <v>6212</v>
      </c>
      <c r="I124" s="19" t="s">
        <v>6196</v>
      </c>
      <c r="J124" s="19"/>
      <c r="K124" s="264"/>
      <c r="L124" s="264"/>
      <c r="M124" s="323"/>
      <c r="N124" s="323"/>
      <c r="O124" s="264"/>
      <c r="P124" s="264"/>
    </row>
    <row r="125">
      <c r="A125" s="19">
        <v>17214.0</v>
      </c>
      <c r="B125" s="321">
        <v>0.7083333333333334</v>
      </c>
      <c r="C125" s="316" t="s">
        <v>5298</v>
      </c>
      <c r="D125" s="322">
        <v>27931.0</v>
      </c>
      <c r="E125" s="322">
        <v>44565.0</v>
      </c>
      <c r="F125" s="19" t="s">
        <v>6213</v>
      </c>
      <c r="G125" s="19" t="s">
        <v>6211</v>
      </c>
      <c r="H125" s="19" t="s">
        <v>6212</v>
      </c>
      <c r="I125" s="19" t="s">
        <v>6099</v>
      </c>
      <c r="J125" s="19"/>
      <c r="K125" s="264"/>
      <c r="L125" s="264"/>
      <c r="M125" s="323"/>
      <c r="N125" s="323"/>
      <c r="O125" s="264"/>
      <c r="P125" s="264"/>
    </row>
    <row r="126">
      <c r="A126" s="19">
        <v>17795.0</v>
      </c>
      <c r="B126" s="321">
        <v>0.7083333333333334</v>
      </c>
      <c r="C126" s="316" t="s">
        <v>6393</v>
      </c>
      <c r="D126" s="322">
        <v>27896.0</v>
      </c>
      <c r="E126" s="322">
        <v>44565.0</v>
      </c>
      <c r="F126" s="19" t="s">
        <v>6213</v>
      </c>
      <c r="G126" s="19" t="s">
        <v>6211</v>
      </c>
      <c r="H126" s="19" t="s">
        <v>6212</v>
      </c>
      <c r="I126" s="19" t="s">
        <v>6137</v>
      </c>
      <c r="J126" s="19"/>
      <c r="K126" s="264"/>
      <c r="L126" s="264"/>
      <c r="M126" s="323"/>
      <c r="N126" s="323"/>
      <c r="O126" s="264"/>
      <c r="P126" s="264"/>
    </row>
    <row r="127">
      <c r="A127" s="19">
        <v>17415.0</v>
      </c>
      <c r="B127" s="321">
        <v>0.7083333333333334</v>
      </c>
      <c r="C127" s="316" t="s">
        <v>5453</v>
      </c>
      <c r="D127" s="322">
        <v>27400.0</v>
      </c>
      <c r="E127" s="322">
        <v>44565.0</v>
      </c>
      <c r="F127" s="19" t="s">
        <v>6213</v>
      </c>
      <c r="G127" s="19" t="s">
        <v>6211</v>
      </c>
      <c r="H127" s="19" t="s">
        <v>6212</v>
      </c>
      <c r="I127" s="19" t="s">
        <v>6199</v>
      </c>
      <c r="J127" s="19"/>
      <c r="K127" s="264"/>
      <c r="L127" s="264"/>
      <c r="M127" s="323"/>
      <c r="N127" s="323"/>
      <c r="O127" s="264"/>
      <c r="P127" s="264"/>
    </row>
    <row r="128">
      <c r="A128" s="19">
        <v>12993.0</v>
      </c>
      <c r="B128" s="321">
        <v>0.7083333333333334</v>
      </c>
      <c r="C128" s="316" t="s">
        <v>1883</v>
      </c>
      <c r="D128" s="322">
        <v>19819.0</v>
      </c>
      <c r="E128" s="322">
        <v>44565.0</v>
      </c>
      <c r="F128" s="19" t="s">
        <v>5</v>
      </c>
      <c r="G128" s="19" t="s">
        <v>6211</v>
      </c>
      <c r="H128" s="19" t="s">
        <v>6212</v>
      </c>
      <c r="I128" s="19" t="s">
        <v>6196</v>
      </c>
      <c r="J128" s="19"/>
      <c r="K128" s="264"/>
      <c r="L128" s="264"/>
      <c r="M128" s="323"/>
      <c r="N128" s="323"/>
      <c r="O128" s="264"/>
      <c r="P128" s="264"/>
    </row>
    <row r="129">
      <c r="A129" s="19">
        <v>17545.0</v>
      </c>
      <c r="B129" s="321">
        <v>0.7083333333333334</v>
      </c>
      <c r="C129" s="316" t="s">
        <v>6394</v>
      </c>
      <c r="D129" s="322">
        <v>20813.0</v>
      </c>
      <c r="E129" s="322">
        <v>44565.0</v>
      </c>
      <c r="F129" s="19" t="s">
        <v>6213</v>
      </c>
      <c r="G129" s="19" t="s">
        <v>6211</v>
      </c>
      <c r="H129" s="19" t="s">
        <v>6212</v>
      </c>
      <c r="I129" s="19" t="s">
        <v>6130</v>
      </c>
      <c r="J129" s="19"/>
      <c r="K129" s="264"/>
      <c r="L129" s="264"/>
      <c r="M129" s="323"/>
      <c r="N129" s="323"/>
      <c r="O129" s="264"/>
      <c r="P129" s="264"/>
    </row>
    <row r="130">
      <c r="A130" s="19">
        <v>13331.0</v>
      </c>
      <c r="B130" s="321">
        <v>0.7083333333333334</v>
      </c>
      <c r="C130" s="316" t="s">
        <v>2153</v>
      </c>
      <c r="D130" s="322">
        <v>17613.0</v>
      </c>
      <c r="E130" s="322">
        <v>44565.0</v>
      </c>
      <c r="F130" s="19" t="s">
        <v>5</v>
      </c>
      <c r="G130" s="19" t="s">
        <v>6211</v>
      </c>
      <c r="H130" s="19" t="s">
        <v>6212</v>
      </c>
      <c r="I130" s="19" t="s">
        <v>6095</v>
      </c>
      <c r="J130" s="19"/>
      <c r="K130" s="264"/>
      <c r="L130" s="264"/>
      <c r="M130" s="323"/>
      <c r="N130" s="323"/>
      <c r="O130" s="264"/>
      <c r="P130" s="264"/>
    </row>
    <row r="131">
      <c r="A131" s="19">
        <v>10780.0</v>
      </c>
      <c r="B131" s="321">
        <v>0.34375</v>
      </c>
      <c r="C131" s="316" t="s">
        <v>684</v>
      </c>
      <c r="D131" s="322">
        <v>17668.0</v>
      </c>
      <c r="E131" s="322">
        <v>44565.0</v>
      </c>
      <c r="F131" s="19" t="s">
        <v>6216</v>
      </c>
      <c r="G131" s="19" t="s">
        <v>6218</v>
      </c>
      <c r="H131" s="19" t="s">
        <v>6219</v>
      </c>
      <c r="I131" s="19" t="s">
        <v>6189</v>
      </c>
      <c r="J131" s="19"/>
      <c r="K131" s="264"/>
      <c r="L131" s="264"/>
      <c r="M131" s="323"/>
      <c r="N131" s="323"/>
      <c r="O131" s="264"/>
      <c r="P131" s="264"/>
    </row>
    <row r="132">
      <c r="A132" s="19">
        <v>14212.0</v>
      </c>
      <c r="B132" s="321">
        <v>0.3541666666666667</v>
      </c>
      <c r="C132" s="316" t="s">
        <v>2827</v>
      </c>
      <c r="D132" s="322">
        <v>21952.0</v>
      </c>
      <c r="E132" s="322">
        <v>44565.0</v>
      </c>
      <c r="F132" s="19" t="s">
        <v>6215</v>
      </c>
      <c r="G132" s="19" t="s">
        <v>6218</v>
      </c>
      <c r="H132" s="19" t="s">
        <v>6219</v>
      </c>
      <c r="I132" s="19" t="s">
        <v>6091</v>
      </c>
      <c r="J132" s="19"/>
      <c r="K132" s="264"/>
      <c r="L132" s="264"/>
      <c r="M132" s="323"/>
      <c r="N132" s="323"/>
      <c r="O132" s="264"/>
      <c r="P132" s="264"/>
    </row>
    <row r="133">
      <c r="A133" s="19">
        <v>9630.0</v>
      </c>
      <c r="B133" s="321">
        <v>0.375</v>
      </c>
      <c r="C133" s="316" t="s">
        <v>241</v>
      </c>
      <c r="D133" s="322">
        <v>26628.0</v>
      </c>
      <c r="E133" s="322">
        <v>44565.0</v>
      </c>
      <c r="F133" s="19" t="s">
        <v>5</v>
      </c>
      <c r="G133" s="19" t="s">
        <v>6218</v>
      </c>
      <c r="H133" s="19" t="s">
        <v>6219</v>
      </c>
      <c r="I133" s="19" t="s">
        <v>6199</v>
      </c>
      <c r="J133" s="19"/>
      <c r="K133" s="264"/>
      <c r="L133" s="264"/>
      <c r="M133" s="323"/>
      <c r="N133" s="323"/>
      <c r="O133" s="264"/>
      <c r="P133" s="264"/>
    </row>
    <row r="134">
      <c r="A134" s="19">
        <v>16505.0</v>
      </c>
      <c r="B134" s="321">
        <v>0.3958333333333333</v>
      </c>
      <c r="C134" s="316" t="s">
        <v>4741</v>
      </c>
      <c r="D134" s="322">
        <v>21464.0</v>
      </c>
      <c r="E134" s="322">
        <v>44565.0</v>
      </c>
      <c r="F134" s="19" t="s">
        <v>6216</v>
      </c>
      <c r="G134" s="19" t="s">
        <v>6218</v>
      </c>
      <c r="H134" s="19" t="s">
        <v>6219</v>
      </c>
      <c r="I134" s="19" t="s">
        <v>6195</v>
      </c>
      <c r="J134" s="19"/>
      <c r="K134" s="264"/>
      <c r="L134" s="264"/>
      <c r="M134" s="323"/>
      <c r="N134" s="323"/>
      <c r="O134" s="264"/>
      <c r="P134" s="264"/>
    </row>
    <row r="135">
      <c r="A135" s="19">
        <v>12749.0</v>
      </c>
      <c r="B135" s="321">
        <v>0.3958333333333333</v>
      </c>
      <c r="C135" s="316" t="s">
        <v>1678</v>
      </c>
      <c r="D135" s="322">
        <v>14564.0</v>
      </c>
      <c r="E135" s="322">
        <v>44565.0</v>
      </c>
      <c r="F135" s="19" t="s">
        <v>5</v>
      </c>
      <c r="G135" s="19" t="s">
        <v>6218</v>
      </c>
      <c r="H135" s="19" t="s">
        <v>6219</v>
      </c>
      <c r="I135" s="19" t="s">
        <v>6137</v>
      </c>
      <c r="J135" s="19"/>
      <c r="K135" s="264"/>
      <c r="L135" s="264"/>
      <c r="M135" s="323"/>
      <c r="N135" s="323"/>
      <c r="O135" s="264"/>
      <c r="P135" s="264"/>
    </row>
    <row r="136">
      <c r="A136" s="19">
        <v>15046.0</v>
      </c>
      <c r="B136" s="321">
        <v>0.4166666666666667</v>
      </c>
      <c r="C136" s="316" t="s">
        <v>3509</v>
      </c>
      <c r="D136" s="322">
        <v>35872.0</v>
      </c>
      <c r="E136" s="322">
        <v>44565.0</v>
      </c>
      <c r="F136" s="19" t="s">
        <v>6215</v>
      </c>
      <c r="G136" s="19" t="s">
        <v>6218</v>
      </c>
      <c r="H136" s="19" t="s">
        <v>6219</v>
      </c>
      <c r="I136" s="19" t="s">
        <v>6154</v>
      </c>
      <c r="J136" s="19"/>
      <c r="K136" s="264"/>
      <c r="L136" s="264"/>
      <c r="M136" s="323"/>
      <c r="N136" s="323"/>
      <c r="O136" s="264"/>
      <c r="P136" s="264"/>
    </row>
    <row r="137">
      <c r="A137" s="19">
        <v>10741.0</v>
      </c>
      <c r="B137" s="321">
        <v>0.4270833333333333</v>
      </c>
      <c r="C137" s="316" t="s">
        <v>664</v>
      </c>
      <c r="D137" s="322">
        <v>18129.0</v>
      </c>
      <c r="E137" s="322">
        <v>44565.0</v>
      </c>
      <c r="F137" s="19" t="s">
        <v>5</v>
      </c>
      <c r="G137" s="19" t="s">
        <v>6218</v>
      </c>
      <c r="H137" s="19" t="s">
        <v>6219</v>
      </c>
      <c r="I137" s="19" t="s">
        <v>6199</v>
      </c>
      <c r="J137" s="19"/>
      <c r="K137" s="264"/>
      <c r="L137" s="264"/>
      <c r="M137" s="323"/>
      <c r="N137" s="323"/>
      <c r="O137" s="264"/>
      <c r="P137" s="264"/>
    </row>
    <row r="138">
      <c r="A138" s="19">
        <v>15862.0</v>
      </c>
      <c r="B138" s="321">
        <v>0.4375</v>
      </c>
      <c r="C138" s="316" t="s">
        <v>4217</v>
      </c>
      <c r="D138" s="322">
        <v>15971.0</v>
      </c>
      <c r="E138" s="322">
        <v>44565.0</v>
      </c>
      <c r="F138" s="19" t="s">
        <v>6220</v>
      </c>
      <c r="G138" s="19" t="s">
        <v>6218</v>
      </c>
      <c r="H138" s="19" t="s">
        <v>6219</v>
      </c>
      <c r="I138" s="19" t="s">
        <v>6196</v>
      </c>
      <c r="J138" s="19"/>
      <c r="K138" s="264"/>
      <c r="L138" s="264"/>
      <c r="M138" s="323"/>
      <c r="N138" s="323"/>
      <c r="O138" s="264"/>
      <c r="P138" s="264"/>
    </row>
    <row r="139">
      <c r="A139" s="19">
        <v>13887.0</v>
      </c>
      <c r="B139" s="321">
        <v>0.5416666666666666</v>
      </c>
      <c r="C139" s="316" t="s">
        <v>2583</v>
      </c>
      <c r="D139" s="322">
        <v>26068.0</v>
      </c>
      <c r="E139" s="322">
        <v>44565.0</v>
      </c>
      <c r="F139" s="19" t="s">
        <v>6216</v>
      </c>
      <c r="G139" s="19" t="s">
        <v>6218</v>
      </c>
      <c r="H139" s="19" t="s">
        <v>6219</v>
      </c>
      <c r="I139" s="19" t="s">
        <v>6192</v>
      </c>
      <c r="J139" s="19"/>
      <c r="K139" s="264"/>
      <c r="L139" s="264"/>
      <c r="M139" s="323"/>
      <c r="N139" s="323"/>
      <c r="O139" s="264"/>
      <c r="P139" s="264"/>
    </row>
    <row r="140">
      <c r="A140" s="19">
        <v>10055.0</v>
      </c>
      <c r="B140" s="321">
        <v>0.5625</v>
      </c>
      <c r="C140" s="316" t="s">
        <v>393</v>
      </c>
      <c r="D140" s="322">
        <v>22515.0</v>
      </c>
      <c r="E140" s="322">
        <v>44565.0</v>
      </c>
      <c r="F140" s="19" t="s">
        <v>5</v>
      </c>
      <c r="G140" s="19" t="s">
        <v>6218</v>
      </c>
      <c r="H140" s="19" t="s">
        <v>6219</v>
      </c>
      <c r="I140" s="19" t="s">
        <v>6199</v>
      </c>
      <c r="J140" s="19"/>
      <c r="K140" s="264"/>
      <c r="L140" s="264"/>
      <c r="M140" s="323"/>
      <c r="N140" s="264"/>
      <c r="O140" s="264"/>
      <c r="P140" s="264"/>
    </row>
    <row r="141">
      <c r="A141" s="19">
        <v>9775.0</v>
      </c>
      <c r="B141" s="321">
        <v>0.5833333333333334</v>
      </c>
      <c r="C141" s="316" t="s">
        <v>285</v>
      </c>
      <c r="D141" s="322">
        <v>16906.0</v>
      </c>
      <c r="E141" s="322">
        <v>44565.0</v>
      </c>
      <c r="F141" s="19" t="s">
        <v>6215</v>
      </c>
      <c r="G141" s="19" t="s">
        <v>6218</v>
      </c>
      <c r="H141" s="19" t="s">
        <v>6219</v>
      </c>
      <c r="I141" s="19" t="s">
        <v>6094</v>
      </c>
      <c r="J141" s="19"/>
      <c r="K141" s="264"/>
      <c r="L141" s="264"/>
      <c r="M141" s="323"/>
      <c r="N141" s="323"/>
      <c r="O141" s="264"/>
      <c r="P141" s="264"/>
    </row>
    <row r="142">
      <c r="A142" s="19">
        <v>13240.0</v>
      </c>
      <c r="B142" s="321">
        <v>0.59375</v>
      </c>
      <c r="C142" s="316" t="s">
        <v>2081</v>
      </c>
      <c r="D142" s="322">
        <v>14574.0</v>
      </c>
      <c r="E142" s="322">
        <v>44565.0</v>
      </c>
      <c r="F142" s="19" t="s">
        <v>5</v>
      </c>
      <c r="G142" s="19" t="s">
        <v>6218</v>
      </c>
      <c r="H142" s="19" t="s">
        <v>6219</v>
      </c>
      <c r="I142" s="19" t="s">
        <v>6158</v>
      </c>
      <c r="J142" s="19"/>
      <c r="K142" s="264"/>
      <c r="L142" s="264"/>
      <c r="M142" s="323"/>
      <c r="N142" s="323"/>
      <c r="O142" s="264"/>
      <c r="P142" s="264"/>
    </row>
    <row r="143">
      <c r="A143" s="19">
        <v>15703.0</v>
      </c>
      <c r="B143" s="321">
        <v>0.6145833333333334</v>
      </c>
      <c r="C143" s="316" t="s">
        <v>4071</v>
      </c>
      <c r="D143" s="322">
        <v>22279.0</v>
      </c>
      <c r="E143" s="322">
        <v>44565.0</v>
      </c>
      <c r="F143" s="19" t="s">
        <v>6216</v>
      </c>
      <c r="G143" s="19" t="s">
        <v>6218</v>
      </c>
      <c r="H143" s="19" t="s">
        <v>6219</v>
      </c>
      <c r="I143" s="19" t="s">
        <v>6142</v>
      </c>
      <c r="J143" s="19"/>
      <c r="K143" s="264"/>
      <c r="L143" s="264"/>
      <c r="M143" s="323"/>
      <c r="N143" s="323"/>
      <c r="O143" s="264"/>
      <c r="P143" s="264"/>
    </row>
    <row r="144">
      <c r="A144" s="19">
        <v>15534.0</v>
      </c>
      <c r="B144" s="321">
        <v>0.6354166666666666</v>
      </c>
      <c r="C144" s="316" t="s">
        <v>3919</v>
      </c>
      <c r="D144" s="322">
        <v>23905.0</v>
      </c>
      <c r="E144" s="322">
        <v>44565.0</v>
      </c>
      <c r="F144" s="19" t="s">
        <v>5</v>
      </c>
      <c r="G144" s="19" t="s">
        <v>6218</v>
      </c>
      <c r="H144" s="19" t="s">
        <v>6219</v>
      </c>
      <c r="I144" s="19" t="s">
        <v>6117</v>
      </c>
      <c r="J144" s="19"/>
      <c r="K144" s="264"/>
      <c r="L144" s="264"/>
      <c r="M144" s="323"/>
      <c r="N144" s="264"/>
      <c r="O144" s="264"/>
      <c r="P144" s="264"/>
    </row>
    <row r="145">
      <c r="A145" s="19">
        <v>11037.0</v>
      </c>
      <c r="B145" s="321">
        <v>0.6458333333333334</v>
      </c>
      <c r="C145" s="316" t="s">
        <v>779</v>
      </c>
      <c r="D145" s="322">
        <v>30904.0</v>
      </c>
      <c r="E145" s="322">
        <v>44565.0</v>
      </c>
      <c r="F145" s="19" t="s">
        <v>5</v>
      </c>
      <c r="G145" s="19" t="s">
        <v>6218</v>
      </c>
      <c r="H145" s="19" t="s">
        <v>6219</v>
      </c>
      <c r="I145" s="19" t="s">
        <v>6089</v>
      </c>
      <c r="J145" s="19"/>
      <c r="K145" s="264"/>
      <c r="L145" s="264"/>
      <c r="M145" s="323"/>
      <c r="N145" s="264"/>
      <c r="O145" s="264"/>
      <c r="P145" s="264"/>
    </row>
    <row r="146">
      <c r="A146" s="19">
        <v>12662.0</v>
      </c>
      <c r="B146" s="321">
        <v>0.6458333333333334</v>
      </c>
      <c r="C146" s="316" t="s">
        <v>1612</v>
      </c>
      <c r="D146" s="322">
        <v>25947.0</v>
      </c>
      <c r="E146" s="322">
        <v>44565.0</v>
      </c>
      <c r="F146" s="19" t="s">
        <v>5</v>
      </c>
      <c r="G146" s="19" t="s">
        <v>6218</v>
      </c>
      <c r="H146" s="19" t="s">
        <v>6219</v>
      </c>
      <c r="I146" s="19" t="s">
        <v>6091</v>
      </c>
      <c r="J146" s="19"/>
      <c r="K146" s="264"/>
      <c r="L146" s="264"/>
      <c r="M146" s="323"/>
      <c r="N146" s="264"/>
      <c r="O146" s="264"/>
      <c r="P146" s="264"/>
    </row>
    <row r="147">
      <c r="A147" s="19">
        <v>15892.0</v>
      </c>
      <c r="B147" s="321">
        <v>0.7083333333333334</v>
      </c>
      <c r="C147" s="316" t="s">
        <v>4246</v>
      </c>
      <c r="D147" s="322">
        <v>23446.0</v>
      </c>
      <c r="E147" s="322">
        <v>44565.0</v>
      </c>
      <c r="F147" s="19" t="s">
        <v>6215</v>
      </c>
      <c r="G147" s="19" t="s">
        <v>6218</v>
      </c>
      <c r="H147" s="19" t="s">
        <v>6219</v>
      </c>
      <c r="I147" s="19" t="s">
        <v>6145</v>
      </c>
      <c r="J147" s="19"/>
      <c r="K147" s="264"/>
      <c r="L147" s="264"/>
      <c r="M147" s="323"/>
      <c r="N147" s="323"/>
      <c r="O147" s="264"/>
      <c r="P147" s="264"/>
    </row>
    <row r="148">
      <c r="A148" s="19">
        <v>14910.0</v>
      </c>
      <c r="B148" s="321">
        <v>0.7083333333333334</v>
      </c>
      <c r="C148" s="316" t="s">
        <v>3402</v>
      </c>
      <c r="D148" s="322">
        <v>22333.0</v>
      </c>
      <c r="E148" s="322">
        <v>44565.0</v>
      </c>
      <c r="F148" s="19" t="s">
        <v>5</v>
      </c>
      <c r="G148" s="19" t="s">
        <v>6218</v>
      </c>
      <c r="H148" s="19" t="s">
        <v>6219</v>
      </c>
      <c r="I148" s="19" t="s">
        <v>6130</v>
      </c>
      <c r="J148" s="19"/>
      <c r="K148" s="264"/>
      <c r="L148" s="264"/>
      <c r="M148" s="323"/>
      <c r="N148" s="264"/>
      <c r="O148" s="264"/>
      <c r="P148" s="264"/>
    </row>
    <row r="149">
      <c r="A149" s="19">
        <v>9676.0</v>
      </c>
      <c r="B149" s="321">
        <v>0.7083333333333334</v>
      </c>
      <c r="C149" s="316" t="s">
        <v>254</v>
      </c>
      <c r="D149" s="322">
        <v>20831.0</v>
      </c>
      <c r="E149" s="322">
        <v>44565.0</v>
      </c>
      <c r="F149" s="19" t="s">
        <v>5</v>
      </c>
      <c r="G149" s="19" t="s">
        <v>6218</v>
      </c>
      <c r="H149" s="19" t="s">
        <v>6219</v>
      </c>
      <c r="I149" s="19" t="s">
        <v>6199</v>
      </c>
      <c r="J149" s="19"/>
      <c r="K149" s="264"/>
      <c r="L149" s="264"/>
      <c r="M149" s="323"/>
      <c r="N149" s="323"/>
      <c r="O149" s="264"/>
      <c r="P149" s="264"/>
    </row>
    <row r="150">
      <c r="A150" s="19">
        <v>17400.0</v>
      </c>
      <c r="B150" s="321">
        <v>0.7083333333333334</v>
      </c>
      <c r="C150" s="316" t="s">
        <v>5443</v>
      </c>
      <c r="D150" s="322">
        <v>22359.0</v>
      </c>
      <c r="E150" s="322">
        <v>44565.0</v>
      </c>
      <c r="F150" s="19" t="s">
        <v>6215</v>
      </c>
      <c r="G150" s="19" t="s">
        <v>6218</v>
      </c>
      <c r="H150" s="19" t="s">
        <v>6219</v>
      </c>
      <c r="I150" s="19" t="s">
        <v>6082</v>
      </c>
      <c r="J150" s="19"/>
      <c r="K150" s="264"/>
      <c r="L150" s="264"/>
      <c r="M150" s="323"/>
      <c r="N150" s="323"/>
      <c r="O150" s="264"/>
      <c r="P150" s="264"/>
    </row>
    <row r="151">
      <c r="A151" s="19">
        <v>16235.0</v>
      </c>
      <c r="B151" s="321">
        <v>0.40625</v>
      </c>
      <c r="C151" s="316" t="s">
        <v>4536</v>
      </c>
      <c r="D151" s="322">
        <v>21675.0</v>
      </c>
      <c r="E151" s="322">
        <v>44565.0</v>
      </c>
      <c r="F151" s="19" t="s">
        <v>6216</v>
      </c>
      <c r="G151" s="19" t="s">
        <v>6211</v>
      </c>
      <c r="H151" s="19" t="s">
        <v>6221</v>
      </c>
      <c r="I151" s="19" t="s">
        <v>6189</v>
      </c>
      <c r="J151" s="19"/>
      <c r="K151" s="264"/>
      <c r="L151" s="264"/>
      <c r="M151" s="323"/>
      <c r="N151" s="264"/>
      <c r="O151" s="264"/>
      <c r="P151" s="264"/>
    </row>
    <row r="152">
      <c r="A152" s="19">
        <v>15069.0</v>
      </c>
      <c r="B152" s="321">
        <v>0.4479166666666667</v>
      </c>
      <c r="C152" s="316" t="s">
        <v>3531</v>
      </c>
      <c r="D152" s="322">
        <v>17192.0</v>
      </c>
      <c r="E152" s="322">
        <v>44565.0</v>
      </c>
      <c r="F152" s="19" t="s">
        <v>6216</v>
      </c>
      <c r="G152" s="19" t="s">
        <v>6211</v>
      </c>
      <c r="H152" s="19" t="s">
        <v>6221</v>
      </c>
      <c r="I152" s="19" t="s">
        <v>6193</v>
      </c>
      <c r="J152" s="19"/>
      <c r="K152" s="264"/>
      <c r="L152" s="264"/>
      <c r="M152" s="323"/>
      <c r="N152" s="323"/>
      <c r="O152" s="264"/>
      <c r="P152" s="264"/>
    </row>
    <row r="153">
      <c r="A153" s="19">
        <v>14880.0</v>
      </c>
      <c r="B153" s="321">
        <v>0.4791666666666667</v>
      </c>
      <c r="C153" s="316" t="s">
        <v>3378</v>
      </c>
      <c r="D153" s="322">
        <v>18785.0</v>
      </c>
      <c r="E153" s="322">
        <v>44565.0</v>
      </c>
      <c r="F153" s="19" t="s">
        <v>6220</v>
      </c>
      <c r="G153" s="19" t="s">
        <v>6211</v>
      </c>
      <c r="H153" s="19" t="s">
        <v>6221</v>
      </c>
      <c r="I153" s="19" t="s">
        <v>6196</v>
      </c>
      <c r="J153" s="19"/>
      <c r="K153" s="264"/>
      <c r="L153" s="264"/>
      <c r="M153" s="323"/>
      <c r="N153" s="264"/>
      <c r="O153" s="264"/>
      <c r="P153" s="264"/>
    </row>
    <row r="154">
      <c r="A154" s="19">
        <v>15952.0</v>
      </c>
      <c r="B154" s="321">
        <v>0.4895833333333333</v>
      </c>
      <c r="C154" s="316" t="s">
        <v>4297</v>
      </c>
      <c r="D154" s="322">
        <v>21231.0</v>
      </c>
      <c r="E154" s="322">
        <v>44565.0</v>
      </c>
      <c r="F154" s="19" t="s">
        <v>6216</v>
      </c>
      <c r="G154" s="19" t="s">
        <v>6211</v>
      </c>
      <c r="H154" s="19" t="s">
        <v>6221</v>
      </c>
      <c r="I154" s="19" t="s">
        <v>6192</v>
      </c>
      <c r="J154" s="19"/>
      <c r="K154" s="264"/>
      <c r="L154" s="264"/>
      <c r="M154" s="323"/>
      <c r="N154" s="323"/>
      <c r="O154" s="264"/>
      <c r="P154" s="264"/>
    </row>
    <row r="155">
      <c r="A155" s="19">
        <v>10875.0</v>
      </c>
      <c r="B155" s="321">
        <v>0.5833333333333334</v>
      </c>
      <c r="C155" s="316" t="s">
        <v>711</v>
      </c>
      <c r="D155" s="322">
        <v>19553.0</v>
      </c>
      <c r="E155" s="322">
        <v>44565.0</v>
      </c>
      <c r="F155" s="19" t="s">
        <v>6216</v>
      </c>
      <c r="G155" s="19" t="s">
        <v>6211</v>
      </c>
      <c r="H155" s="19" t="s">
        <v>6221</v>
      </c>
      <c r="I155" s="19" t="s">
        <v>6196</v>
      </c>
      <c r="J155" s="19"/>
      <c r="K155" s="264"/>
      <c r="L155" s="264"/>
      <c r="M155" s="323"/>
      <c r="N155" s="323"/>
      <c r="O155" s="264"/>
      <c r="P155" s="264"/>
    </row>
    <row r="156">
      <c r="A156" s="19">
        <v>9163.0</v>
      </c>
      <c r="B156" s="321">
        <v>0.59375</v>
      </c>
      <c r="C156" s="19" t="s">
        <v>48</v>
      </c>
      <c r="D156" s="322">
        <v>17275.0</v>
      </c>
      <c r="E156" s="322">
        <v>44565.0</v>
      </c>
      <c r="F156" s="19" t="s">
        <v>9</v>
      </c>
      <c r="G156" s="19" t="s">
        <v>9</v>
      </c>
      <c r="H156" s="19" t="s">
        <v>6221</v>
      </c>
      <c r="I156" s="19" t="s">
        <v>6137</v>
      </c>
      <c r="J156" s="19"/>
      <c r="K156" s="264"/>
      <c r="L156" s="264"/>
      <c r="M156" s="323"/>
      <c r="N156" s="264"/>
      <c r="O156" s="264"/>
      <c r="P156" s="264"/>
    </row>
    <row r="157">
      <c r="A157" s="19">
        <v>15388.0</v>
      </c>
      <c r="B157" s="321">
        <v>0.6354166666666666</v>
      </c>
      <c r="C157" s="316" t="s">
        <v>3797</v>
      </c>
      <c r="D157" s="322">
        <v>20125.0</v>
      </c>
      <c r="E157" s="322">
        <v>44565.0</v>
      </c>
      <c r="F157" s="19" t="s">
        <v>6216</v>
      </c>
      <c r="G157" s="19" t="s">
        <v>6211</v>
      </c>
      <c r="H157" s="19" t="s">
        <v>6221</v>
      </c>
      <c r="I157" s="19" t="s">
        <v>6196</v>
      </c>
      <c r="J157" s="19"/>
      <c r="K157" s="264"/>
      <c r="L157" s="264"/>
      <c r="M157" s="323"/>
      <c r="N157" s="264"/>
      <c r="O157" s="264"/>
      <c r="P157" s="264"/>
    </row>
    <row r="158">
      <c r="A158" s="19">
        <v>17241.0</v>
      </c>
      <c r="B158" s="321">
        <v>0.7083333333333334</v>
      </c>
      <c r="C158" s="316" t="s">
        <v>5321</v>
      </c>
      <c r="D158" s="322">
        <v>24347.0</v>
      </c>
      <c r="E158" s="322">
        <v>44565.0</v>
      </c>
      <c r="F158" s="19" t="s">
        <v>5</v>
      </c>
      <c r="G158" s="19" t="s">
        <v>6211</v>
      </c>
      <c r="H158" s="19" t="s">
        <v>6221</v>
      </c>
      <c r="I158" s="19" t="s">
        <v>6137</v>
      </c>
      <c r="J158" s="19"/>
      <c r="K158" s="264"/>
      <c r="L158" s="264"/>
      <c r="M158" s="323"/>
      <c r="N158" s="264"/>
      <c r="O158" s="264"/>
      <c r="P158" s="264"/>
    </row>
    <row r="159">
      <c r="A159" s="19">
        <v>13739.0</v>
      </c>
      <c r="B159" s="321">
        <v>0.7083333333333334</v>
      </c>
      <c r="C159" s="316" t="s">
        <v>2469</v>
      </c>
      <c r="D159" s="322">
        <v>22361.0</v>
      </c>
      <c r="E159" s="322">
        <v>44565.0</v>
      </c>
      <c r="F159" s="19" t="s">
        <v>6220</v>
      </c>
      <c r="G159" s="19" t="s">
        <v>6211</v>
      </c>
      <c r="H159" s="19" t="s">
        <v>6221</v>
      </c>
      <c r="I159" s="19" t="s">
        <v>6196</v>
      </c>
      <c r="J159" s="19"/>
      <c r="K159" s="264"/>
      <c r="L159" s="264"/>
      <c r="M159" s="323"/>
      <c r="N159" s="323"/>
      <c r="O159" s="264"/>
      <c r="P159" s="264"/>
    </row>
    <row r="160">
      <c r="A160" s="19">
        <v>16490.0</v>
      </c>
      <c r="B160" s="321">
        <v>0.7083333333333334</v>
      </c>
      <c r="C160" s="316" t="s">
        <v>4728</v>
      </c>
      <c r="D160" s="322">
        <v>17970.0</v>
      </c>
      <c r="E160" s="322">
        <v>44565.0</v>
      </c>
      <c r="F160" s="19" t="s">
        <v>6216</v>
      </c>
      <c r="G160" s="19" t="s">
        <v>6211</v>
      </c>
      <c r="H160" s="19" t="s">
        <v>6221</v>
      </c>
      <c r="I160" s="19" t="s">
        <v>6196</v>
      </c>
      <c r="J160" s="19"/>
      <c r="K160" s="264"/>
      <c r="L160" s="264"/>
      <c r="M160" s="323"/>
      <c r="N160" s="323"/>
      <c r="O160" s="264"/>
      <c r="P160" s="264"/>
    </row>
    <row r="161">
      <c r="A161" s="19">
        <v>14715.0</v>
      </c>
      <c r="B161" s="321">
        <v>0.7083333333333334</v>
      </c>
      <c r="C161" s="316" t="s">
        <v>3238</v>
      </c>
      <c r="D161" s="322">
        <v>13388.0</v>
      </c>
      <c r="E161" s="322">
        <v>44565.0</v>
      </c>
      <c r="F161" s="19" t="s">
        <v>6216</v>
      </c>
      <c r="G161" s="19" t="s">
        <v>6211</v>
      </c>
      <c r="H161" s="19" t="s">
        <v>6221</v>
      </c>
      <c r="I161" s="19" t="s">
        <v>6189</v>
      </c>
      <c r="J161" s="19"/>
      <c r="K161" s="264"/>
      <c r="L161" s="264"/>
      <c r="M161" s="323"/>
      <c r="N161" s="323"/>
      <c r="O161" s="264"/>
      <c r="P161" s="264"/>
    </row>
    <row r="162">
      <c r="A162" s="19">
        <v>15119.0</v>
      </c>
      <c r="B162" s="321">
        <v>0.7083333333333334</v>
      </c>
      <c r="C162" s="316" t="s">
        <v>3576</v>
      </c>
      <c r="D162" s="322">
        <v>19946.0</v>
      </c>
      <c r="E162" s="322">
        <v>44565.0</v>
      </c>
      <c r="F162" s="19" t="s">
        <v>6216</v>
      </c>
      <c r="G162" s="19" t="s">
        <v>6211</v>
      </c>
      <c r="H162" s="19" t="s">
        <v>6221</v>
      </c>
      <c r="I162" s="19" t="s">
        <v>6189</v>
      </c>
      <c r="J162" s="19"/>
      <c r="K162" s="264"/>
      <c r="L162" s="264"/>
      <c r="M162" s="323"/>
      <c r="N162" s="323"/>
      <c r="O162" s="264"/>
      <c r="P162" s="264"/>
    </row>
    <row r="163">
      <c r="A163" s="19">
        <v>10023.0</v>
      </c>
      <c r="B163" s="321">
        <v>0.7083333333333334</v>
      </c>
      <c r="C163" s="316" t="s">
        <v>376</v>
      </c>
      <c r="D163" s="322">
        <v>17761.0</v>
      </c>
      <c r="E163" s="322">
        <v>44565.0</v>
      </c>
      <c r="F163" s="19" t="s">
        <v>6216</v>
      </c>
      <c r="G163" s="19" t="s">
        <v>6211</v>
      </c>
      <c r="H163" s="19" t="s">
        <v>6221</v>
      </c>
      <c r="I163" s="19" t="s">
        <v>6196</v>
      </c>
      <c r="J163" s="19"/>
      <c r="K163" s="264"/>
      <c r="L163" s="264"/>
      <c r="M163" s="323"/>
      <c r="N163" s="323"/>
      <c r="O163" s="264"/>
      <c r="P163" s="264"/>
    </row>
    <row r="164">
      <c r="A164" s="19">
        <v>15842.0</v>
      </c>
      <c r="B164" s="321">
        <v>0.7083333333333334</v>
      </c>
      <c r="C164" s="316" t="s">
        <v>4197</v>
      </c>
      <c r="D164" s="322">
        <v>18789.0</v>
      </c>
      <c r="E164" s="322">
        <v>44565.0</v>
      </c>
      <c r="F164" s="19" t="s">
        <v>6220</v>
      </c>
      <c r="G164" s="19" t="s">
        <v>6211</v>
      </c>
      <c r="H164" s="19" t="s">
        <v>6221</v>
      </c>
      <c r="I164" s="19" t="s">
        <v>6196</v>
      </c>
      <c r="J164" s="19"/>
      <c r="K164" s="264"/>
      <c r="L164" s="264"/>
      <c r="M164" s="323"/>
      <c r="N164" s="323"/>
      <c r="O164" s="264"/>
      <c r="P164" s="264"/>
    </row>
    <row r="165">
      <c r="A165" s="19">
        <v>17630.0</v>
      </c>
      <c r="B165" s="321">
        <v>0.7083333333333334</v>
      </c>
      <c r="C165" s="316" t="s">
        <v>5594</v>
      </c>
      <c r="D165" s="322">
        <v>16735.0</v>
      </c>
      <c r="E165" s="322">
        <v>44565.0</v>
      </c>
      <c r="F165" s="19" t="s">
        <v>6216</v>
      </c>
      <c r="G165" s="19" t="s">
        <v>6211</v>
      </c>
      <c r="H165" s="19" t="s">
        <v>6221</v>
      </c>
      <c r="I165" s="19" t="s">
        <v>6192</v>
      </c>
      <c r="J165" s="19"/>
      <c r="K165" s="264"/>
      <c r="L165" s="264"/>
      <c r="M165" s="323"/>
      <c r="N165" s="323"/>
      <c r="O165" s="264"/>
      <c r="P165" s="264"/>
    </row>
    <row r="166">
      <c r="A166" s="19">
        <v>16773.0</v>
      </c>
      <c r="B166" s="321">
        <v>0.7083333333333334</v>
      </c>
      <c r="C166" s="316" t="s">
        <v>4948</v>
      </c>
      <c r="D166" s="322">
        <v>13956.0</v>
      </c>
      <c r="E166" s="322">
        <v>44565.0</v>
      </c>
      <c r="F166" s="19" t="s">
        <v>6216</v>
      </c>
      <c r="G166" s="19" t="s">
        <v>6211</v>
      </c>
      <c r="H166" s="19" t="s">
        <v>6221</v>
      </c>
      <c r="I166" s="19" t="s">
        <v>6196</v>
      </c>
      <c r="J166" s="19"/>
      <c r="K166" s="264"/>
      <c r="L166" s="264"/>
      <c r="M166" s="323"/>
      <c r="N166" s="323"/>
      <c r="O166" s="264"/>
      <c r="P166" s="264"/>
    </row>
    <row r="167">
      <c r="A167" s="19">
        <v>17241.0</v>
      </c>
      <c r="B167" s="321">
        <v>0.71875</v>
      </c>
      <c r="C167" s="316" t="s">
        <v>5321</v>
      </c>
      <c r="D167" s="322">
        <v>24347.0</v>
      </c>
      <c r="E167" s="322">
        <v>44565.0</v>
      </c>
      <c r="F167" s="19" t="s">
        <v>9</v>
      </c>
      <c r="G167" s="19" t="s">
        <v>9</v>
      </c>
      <c r="H167" s="19" t="s">
        <v>6221</v>
      </c>
      <c r="I167" s="19" t="s">
        <v>6137</v>
      </c>
      <c r="J167" s="19"/>
      <c r="K167" s="264"/>
      <c r="L167" s="264"/>
      <c r="M167" s="323"/>
      <c r="N167" s="264"/>
      <c r="O167" s="264"/>
      <c r="P167" s="264"/>
    </row>
    <row r="168">
      <c r="A168" s="19">
        <v>13850.0</v>
      </c>
      <c r="B168" s="321">
        <v>0.3541666666666667</v>
      </c>
      <c r="C168" s="316" t="s">
        <v>2556</v>
      </c>
      <c r="D168" s="322">
        <v>27494.0</v>
      </c>
      <c r="E168" s="322">
        <v>44565.0</v>
      </c>
      <c r="F168" s="19" t="s">
        <v>5</v>
      </c>
      <c r="G168" s="19" t="s">
        <v>6218</v>
      </c>
      <c r="H168" s="19" t="s">
        <v>6222</v>
      </c>
      <c r="I168" s="19" t="s">
        <v>6202</v>
      </c>
      <c r="J168" s="19"/>
      <c r="K168" s="264"/>
      <c r="L168" s="264"/>
      <c r="M168" s="323"/>
      <c r="N168" s="323"/>
      <c r="O168" s="264"/>
      <c r="P168" s="264"/>
    </row>
    <row r="169">
      <c r="A169" s="19">
        <v>17372.0</v>
      </c>
      <c r="B169" s="321">
        <v>0.40625</v>
      </c>
      <c r="C169" s="316" t="s">
        <v>5421</v>
      </c>
      <c r="D169" s="322">
        <v>28927.0</v>
      </c>
      <c r="E169" s="322">
        <v>44565.0</v>
      </c>
      <c r="F169" s="19" t="s">
        <v>6215</v>
      </c>
      <c r="G169" s="19" t="s">
        <v>6218</v>
      </c>
      <c r="H169" s="19" t="s">
        <v>6222</v>
      </c>
      <c r="I169" s="19" t="s">
        <v>6126</v>
      </c>
      <c r="J169" s="19"/>
      <c r="K169" s="264"/>
      <c r="L169" s="264"/>
      <c r="M169" s="323"/>
      <c r="N169" s="323"/>
      <c r="O169" s="264"/>
      <c r="P169" s="264"/>
    </row>
    <row r="170">
      <c r="A170" s="19">
        <v>9171.0</v>
      </c>
      <c r="B170" s="321">
        <v>0.4166666666666667</v>
      </c>
      <c r="C170" s="316" t="s">
        <v>55</v>
      </c>
      <c r="D170" s="322">
        <v>20896.0</v>
      </c>
      <c r="E170" s="322">
        <v>44565.0</v>
      </c>
      <c r="F170" s="19" t="s">
        <v>5</v>
      </c>
      <c r="G170" s="19" t="s">
        <v>6218</v>
      </c>
      <c r="H170" s="19" t="s">
        <v>6222</v>
      </c>
      <c r="I170" s="19" t="s">
        <v>6083</v>
      </c>
      <c r="J170" s="19"/>
      <c r="K170" s="264"/>
      <c r="L170" s="264"/>
      <c r="M170" s="323"/>
      <c r="N170" s="264"/>
      <c r="O170" s="264"/>
      <c r="P170" s="264"/>
    </row>
    <row r="171">
      <c r="A171" s="19">
        <v>13800.0</v>
      </c>
      <c r="B171" s="321">
        <v>0.4375</v>
      </c>
      <c r="C171" s="316" t="s">
        <v>2520</v>
      </c>
      <c r="D171" s="322">
        <v>21061.0</v>
      </c>
      <c r="E171" s="322">
        <v>44565.0</v>
      </c>
      <c r="F171" s="19" t="s">
        <v>6215</v>
      </c>
      <c r="G171" s="19" t="s">
        <v>6218</v>
      </c>
      <c r="H171" s="19" t="s">
        <v>6222</v>
      </c>
      <c r="I171" s="19" t="s">
        <v>6117</v>
      </c>
      <c r="J171" s="19"/>
      <c r="K171" s="264"/>
      <c r="L171" s="264"/>
      <c r="M171" s="323"/>
      <c r="N171" s="323"/>
      <c r="O171" s="264"/>
      <c r="P171" s="264"/>
    </row>
    <row r="172">
      <c r="A172" s="19">
        <v>15648.0</v>
      </c>
      <c r="B172" s="321">
        <v>0.4583333333333333</v>
      </c>
      <c r="C172" s="316" t="s">
        <v>4021</v>
      </c>
      <c r="D172" s="322">
        <v>25882.0</v>
      </c>
      <c r="E172" s="322">
        <v>44565.0</v>
      </c>
      <c r="F172" s="19" t="s">
        <v>6392</v>
      </c>
      <c r="G172" s="19" t="s">
        <v>9</v>
      </c>
      <c r="H172" s="19" t="s">
        <v>6222</v>
      </c>
      <c r="I172" s="19" t="s">
        <v>6196</v>
      </c>
      <c r="J172" s="19"/>
      <c r="K172" s="264"/>
      <c r="L172" s="264"/>
      <c r="M172" s="323"/>
      <c r="N172" s="264"/>
      <c r="O172" s="264"/>
      <c r="P172" s="264"/>
    </row>
    <row r="173">
      <c r="A173" s="19">
        <v>15648.0</v>
      </c>
      <c r="B173" s="321">
        <v>0.4583333333333333</v>
      </c>
      <c r="C173" s="316" t="s">
        <v>4021</v>
      </c>
      <c r="D173" s="322">
        <v>25882.0</v>
      </c>
      <c r="E173" s="322">
        <v>44565.0</v>
      </c>
      <c r="F173" s="19" t="s">
        <v>6220</v>
      </c>
      <c r="G173" s="19" t="s">
        <v>6218</v>
      </c>
      <c r="H173" s="19" t="s">
        <v>6222</v>
      </c>
      <c r="I173" s="19" t="s">
        <v>6196</v>
      </c>
      <c r="J173" s="19"/>
      <c r="K173" s="264"/>
      <c r="L173" s="264"/>
      <c r="M173" s="323"/>
      <c r="N173" s="264"/>
      <c r="O173" s="264"/>
      <c r="P173" s="264"/>
    </row>
    <row r="174">
      <c r="A174" s="19">
        <v>12593.0</v>
      </c>
      <c r="B174" s="321">
        <v>0.5416666666666666</v>
      </c>
      <c r="C174" s="316" t="s">
        <v>1562</v>
      </c>
      <c r="D174" s="322">
        <v>30103.0</v>
      </c>
      <c r="E174" s="322">
        <v>44565.0</v>
      </c>
      <c r="F174" s="19" t="s">
        <v>6216</v>
      </c>
      <c r="G174" s="19" t="s">
        <v>6218</v>
      </c>
      <c r="H174" s="19" t="s">
        <v>6222</v>
      </c>
      <c r="I174" s="19" t="s">
        <v>6142</v>
      </c>
      <c r="J174" s="19"/>
      <c r="K174" s="264"/>
      <c r="L174" s="264"/>
      <c r="M174" s="323"/>
      <c r="N174" s="323"/>
      <c r="O174" s="264"/>
      <c r="P174" s="264"/>
    </row>
    <row r="175">
      <c r="A175" s="19">
        <v>10400.0</v>
      </c>
      <c r="B175" s="321">
        <v>0.5416666666666666</v>
      </c>
      <c r="C175" s="316" t="s">
        <v>533</v>
      </c>
      <c r="D175" s="322">
        <v>23351.0</v>
      </c>
      <c r="E175" s="322">
        <v>44565.0</v>
      </c>
      <c r="F175" s="19" t="s">
        <v>5</v>
      </c>
      <c r="G175" s="19" t="s">
        <v>6218</v>
      </c>
      <c r="H175" s="19" t="s">
        <v>6222</v>
      </c>
      <c r="I175" s="19" t="s">
        <v>6099</v>
      </c>
      <c r="J175" s="19"/>
      <c r="K175" s="264"/>
      <c r="L175" s="264"/>
      <c r="M175" s="323"/>
      <c r="N175" s="264"/>
      <c r="O175" s="264"/>
      <c r="P175" s="264"/>
    </row>
    <row r="176">
      <c r="A176" s="19">
        <v>15483.0</v>
      </c>
      <c r="B176" s="321">
        <v>0.5520833333333334</v>
      </c>
      <c r="C176" s="316" t="s">
        <v>6395</v>
      </c>
      <c r="D176" s="322">
        <v>27630.0</v>
      </c>
      <c r="E176" s="322">
        <v>44565.0</v>
      </c>
      <c r="F176" s="19" t="s">
        <v>5</v>
      </c>
      <c r="G176" s="19" t="s">
        <v>6218</v>
      </c>
      <c r="H176" s="19" t="s">
        <v>6222</v>
      </c>
      <c r="I176" s="19" t="s">
        <v>6091</v>
      </c>
      <c r="J176" s="19"/>
      <c r="K176" s="264"/>
      <c r="L176" s="264"/>
      <c r="M176" s="323"/>
      <c r="N176" s="323"/>
      <c r="O176" s="264"/>
      <c r="P176" s="264"/>
    </row>
    <row r="177">
      <c r="A177" s="19">
        <v>11355.0</v>
      </c>
      <c r="B177" s="321">
        <v>0.5625</v>
      </c>
      <c r="C177" s="316" t="s">
        <v>917</v>
      </c>
      <c r="D177" s="322">
        <v>21117.0</v>
      </c>
      <c r="E177" s="322">
        <v>44565.0</v>
      </c>
      <c r="F177" s="19" t="s">
        <v>6220</v>
      </c>
      <c r="G177" s="19" t="s">
        <v>6218</v>
      </c>
      <c r="H177" s="19" t="s">
        <v>6222</v>
      </c>
      <c r="I177" s="19" t="s">
        <v>6196</v>
      </c>
      <c r="J177" s="19"/>
      <c r="K177" s="264"/>
      <c r="L177" s="264"/>
      <c r="M177" s="323"/>
      <c r="N177" s="323"/>
      <c r="O177" s="264"/>
      <c r="P177" s="264"/>
    </row>
    <row r="178">
      <c r="A178" s="19">
        <v>12499.0</v>
      </c>
      <c r="B178" s="321">
        <v>0.5729166666666666</v>
      </c>
      <c r="C178" s="316" t="s">
        <v>1500</v>
      </c>
      <c r="D178" s="322">
        <v>20699.0</v>
      </c>
      <c r="E178" s="322">
        <v>44565.0</v>
      </c>
      <c r="F178" s="19" t="s">
        <v>6216</v>
      </c>
      <c r="G178" s="19" t="s">
        <v>6218</v>
      </c>
      <c r="H178" s="19" t="s">
        <v>6222</v>
      </c>
      <c r="I178" s="19" t="s">
        <v>6196</v>
      </c>
      <c r="J178" s="19"/>
      <c r="K178" s="264"/>
      <c r="L178" s="264"/>
      <c r="M178" s="323"/>
      <c r="N178" s="323"/>
      <c r="O178" s="264"/>
      <c r="P178" s="264"/>
    </row>
    <row r="179">
      <c r="A179" s="19">
        <v>12552.0</v>
      </c>
      <c r="B179" s="321">
        <v>0.5833333333333334</v>
      </c>
      <c r="C179" s="316" t="s">
        <v>1534</v>
      </c>
      <c r="D179" s="322">
        <v>28248.0</v>
      </c>
      <c r="E179" s="322">
        <v>44565.0</v>
      </c>
      <c r="F179" s="19" t="s">
        <v>6216</v>
      </c>
      <c r="G179" s="19" t="s">
        <v>6218</v>
      </c>
      <c r="H179" s="19" t="s">
        <v>6222</v>
      </c>
      <c r="I179" s="19" t="s">
        <v>6142</v>
      </c>
      <c r="J179" s="19"/>
      <c r="K179" s="264"/>
      <c r="L179" s="264"/>
      <c r="M179" s="323"/>
      <c r="N179" s="264"/>
      <c r="O179" s="264"/>
      <c r="P179" s="264"/>
    </row>
    <row r="180">
      <c r="A180" s="19">
        <v>10801.0</v>
      </c>
      <c r="B180" s="321">
        <v>0.6041666666666666</v>
      </c>
      <c r="C180" s="316" t="s">
        <v>693</v>
      </c>
      <c r="D180" s="322">
        <v>28794.0</v>
      </c>
      <c r="E180" s="322">
        <v>44565.0</v>
      </c>
      <c r="F180" s="19" t="s">
        <v>6215</v>
      </c>
      <c r="G180" s="19" t="s">
        <v>6218</v>
      </c>
      <c r="H180" s="19" t="s">
        <v>6222</v>
      </c>
      <c r="I180" s="19" t="s">
        <v>6082</v>
      </c>
      <c r="J180" s="19"/>
      <c r="K180" s="264"/>
      <c r="L180" s="264"/>
      <c r="M180" s="323"/>
      <c r="N180" s="323"/>
      <c r="O180" s="264"/>
      <c r="P180" s="264"/>
    </row>
    <row r="181">
      <c r="A181" s="19">
        <v>13604.0</v>
      </c>
      <c r="B181" s="321">
        <v>0.625</v>
      </c>
      <c r="C181" s="316" t="s">
        <v>6396</v>
      </c>
      <c r="D181" s="322">
        <v>24561.0</v>
      </c>
      <c r="E181" s="322">
        <v>44565.0</v>
      </c>
      <c r="F181" s="19" t="s">
        <v>5</v>
      </c>
      <c r="G181" s="19" t="s">
        <v>6218</v>
      </c>
      <c r="H181" s="19" t="s">
        <v>6222</v>
      </c>
      <c r="I181" s="19" t="s">
        <v>6117</v>
      </c>
      <c r="J181" s="19"/>
      <c r="K181" s="264"/>
      <c r="L181" s="264"/>
      <c r="M181" s="323"/>
      <c r="N181" s="323"/>
      <c r="O181" s="264"/>
      <c r="P181" s="264"/>
    </row>
    <row r="182">
      <c r="A182" s="19">
        <v>15671.0</v>
      </c>
      <c r="B182" s="321">
        <v>0.6458333333333334</v>
      </c>
      <c r="C182" s="316" t="s">
        <v>4042</v>
      </c>
      <c r="D182" s="322">
        <v>23935.0</v>
      </c>
      <c r="E182" s="322">
        <v>44565.0</v>
      </c>
      <c r="F182" s="19" t="s">
        <v>6216</v>
      </c>
      <c r="G182" s="19" t="s">
        <v>6218</v>
      </c>
      <c r="H182" s="19" t="s">
        <v>6222</v>
      </c>
      <c r="I182" s="19" t="s">
        <v>6196</v>
      </c>
      <c r="J182" s="19"/>
      <c r="K182" s="264"/>
      <c r="L182" s="264"/>
      <c r="M182" s="323"/>
      <c r="N182" s="323"/>
      <c r="O182" s="264"/>
      <c r="P182" s="264"/>
    </row>
    <row r="183">
      <c r="A183" s="19">
        <v>15228.0</v>
      </c>
      <c r="B183" s="321">
        <v>0.7083333333333334</v>
      </c>
      <c r="C183" s="316" t="s">
        <v>3664</v>
      </c>
      <c r="D183" s="322">
        <v>22233.0</v>
      </c>
      <c r="E183" s="322">
        <v>44565.0</v>
      </c>
      <c r="F183" s="19" t="s">
        <v>5</v>
      </c>
      <c r="G183" s="19" t="s">
        <v>6218</v>
      </c>
      <c r="H183" s="19" t="s">
        <v>6222</v>
      </c>
      <c r="I183" s="19" t="s">
        <v>6130</v>
      </c>
      <c r="J183" s="19"/>
      <c r="K183" s="264"/>
      <c r="L183" s="264"/>
      <c r="M183" s="323"/>
      <c r="N183" s="323"/>
      <c r="O183" s="264"/>
      <c r="P183" s="264"/>
    </row>
    <row r="184">
      <c r="A184" s="19">
        <v>9357.0</v>
      </c>
      <c r="B184" s="321">
        <v>0.7083333333333334</v>
      </c>
      <c r="C184" s="316" t="s">
        <v>143</v>
      </c>
      <c r="D184" s="322">
        <v>25107.0</v>
      </c>
      <c r="E184" s="322">
        <v>44565.0</v>
      </c>
      <c r="F184" s="19" t="s">
        <v>9</v>
      </c>
      <c r="G184" s="19" t="s">
        <v>9</v>
      </c>
      <c r="H184" s="19" t="s">
        <v>6222</v>
      </c>
      <c r="I184" s="19" t="s">
        <v>6137</v>
      </c>
      <c r="J184" s="19"/>
      <c r="K184" s="264"/>
      <c r="L184" s="264"/>
      <c r="M184" s="323"/>
      <c r="N184" s="323"/>
      <c r="O184" s="264"/>
      <c r="P184" s="264"/>
    </row>
    <row r="185">
      <c r="A185" s="19">
        <v>9357.0</v>
      </c>
      <c r="B185" s="321">
        <v>0.7083333333333334</v>
      </c>
      <c r="C185" s="316" t="s">
        <v>143</v>
      </c>
      <c r="D185" s="322">
        <v>25107.0</v>
      </c>
      <c r="E185" s="322">
        <v>44565.0</v>
      </c>
      <c r="F185" s="19" t="s">
        <v>5</v>
      </c>
      <c r="G185" s="19" t="s">
        <v>6218</v>
      </c>
      <c r="H185" s="19" t="s">
        <v>6222</v>
      </c>
      <c r="I185" s="19" t="s">
        <v>6137</v>
      </c>
      <c r="J185" s="19"/>
      <c r="K185" s="264"/>
      <c r="L185" s="264"/>
      <c r="M185" s="323"/>
      <c r="N185" s="323"/>
      <c r="O185" s="264"/>
      <c r="P185" s="264"/>
    </row>
    <row r="186">
      <c r="A186" s="19">
        <v>11342.0</v>
      </c>
      <c r="B186" s="321">
        <v>0.7083333333333334</v>
      </c>
      <c r="C186" s="316" t="s">
        <v>912</v>
      </c>
      <c r="D186" s="322">
        <v>23571.0</v>
      </c>
      <c r="E186" s="322">
        <v>44565.0</v>
      </c>
      <c r="F186" s="19" t="s">
        <v>6216</v>
      </c>
      <c r="G186" s="19" t="s">
        <v>6218</v>
      </c>
      <c r="H186" s="19" t="s">
        <v>6222</v>
      </c>
      <c r="I186" s="19" t="s">
        <v>6192</v>
      </c>
      <c r="J186" s="19"/>
      <c r="K186" s="264"/>
      <c r="L186" s="264"/>
      <c r="M186" s="323"/>
      <c r="N186" s="323"/>
      <c r="O186" s="264"/>
      <c r="P186" s="264"/>
    </row>
    <row r="187">
      <c r="A187" s="19">
        <v>12190.0</v>
      </c>
      <c r="B187" s="321">
        <v>0.7083333333333334</v>
      </c>
      <c r="C187" s="316" t="s">
        <v>1316</v>
      </c>
      <c r="D187" s="322">
        <v>16791.0</v>
      </c>
      <c r="E187" s="322">
        <v>44565.0</v>
      </c>
      <c r="F187" s="19" t="s">
        <v>9</v>
      </c>
      <c r="G187" s="19" t="s">
        <v>9</v>
      </c>
      <c r="H187" s="19" t="s">
        <v>6222</v>
      </c>
      <c r="I187" s="19" t="s">
        <v>6137</v>
      </c>
      <c r="J187" s="19"/>
      <c r="K187" s="264"/>
      <c r="L187" s="264"/>
      <c r="M187" s="323"/>
      <c r="N187" s="323"/>
      <c r="O187" s="264"/>
      <c r="P187" s="264"/>
    </row>
    <row r="188">
      <c r="A188" s="19">
        <v>12190.0</v>
      </c>
      <c r="B188" s="321">
        <v>0.7083333333333334</v>
      </c>
      <c r="C188" s="316" t="s">
        <v>1316</v>
      </c>
      <c r="D188" s="322">
        <v>16791.0</v>
      </c>
      <c r="E188" s="322">
        <v>44565.0</v>
      </c>
      <c r="F188" s="19" t="s">
        <v>6215</v>
      </c>
      <c r="G188" s="19" t="s">
        <v>6218</v>
      </c>
      <c r="H188" s="19" t="s">
        <v>6222</v>
      </c>
      <c r="I188" s="19" t="s">
        <v>6137</v>
      </c>
      <c r="J188" s="19"/>
      <c r="K188" s="264"/>
      <c r="L188" s="264"/>
      <c r="M188" s="323"/>
      <c r="N188" s="323"/>
      <c r="O188" s="264"/>
      <c r="P188" s="264"/>
    </row>
    <row r="189">
      <c r="A189" s="19">
        <v>12614.0</v>
      </c>
      <c r="B189" s="321">
        <v>0.7083333333333334</v>
      </c>
      <c r="C189" s="316" t="s">
        <v>1576</v>
      </c>
      <c r="D189" s="322">
        <v>21378.0</v>
      </c>
      <c r="E189" s="322">
        <v>44565.0</v>
      </c>
      <c r="F189" s="19" t="s">
        <v>6215</v>
      </c>
      <c r="G189" s="19" t="s">
        <v>6218</v>
      </c>
      <c r="H189" s="19" t="s">
        <v>6222</v>
      </c>
      <c r="I189" s="19" t="s">
        <v>6199</v>
      </c>
      <c r="J189" s="19"/>
      <c r="K189" s="264"/>
      <c r="L189" s="264"/>
      <c r="M189" s="323"/>
      <c r="N189" s="323"/>
      <c r="O189" s="264"/>
      <c r="P189" s="264"/>
    </row>
    <row r="190">
      <c r="A190" s="19">
        <v>9172.0</v>
      </c>
      <c r="B190" s="321">
        <v>0.7083333333333334</v>
      </c>
      <c r="C190" s="316" t="s">
        <v>56</v>
      </c>
      <c r="D190" s="322">
        <v>21800.0</v>
      </c>
      <c r="E190" s="322">
        <v>44565.0</v>
      </c>
      <c r="F190" s="19" t="s">
        <v>5</v>
      </c>
      <c r="G190" s="19" t="s">
        <v>6218</v>
      </c>
      <c r="H190" s="19" t="s">
        <v>6222</v>
      </c>
      <c r="I190" s="19" t="s">
        <v>6199</v>
      </c>
      <c r="J190" s="19"/>
      <c r="K190" s="264"/>
      <c r="L190" s="264"/>
      <c r="M190" s="323"/>
      <c r="N190" s="323"/>
      <c r="O190" s="264"/>
      <c r="P190" s="264"/>
    </row>
    <row r="191">
      <c r="A191" s="19">
        <v>16794.0</v>
      </c>
      <c r="B191" s="321">
        <v>0.3854166666666667</v>
      </c>
      <c r="C191" s="316" t="s">
        <v>4965</v>
      </c>
      <c r="D191" s="322">
        <v>18089.0</v>
      </c>
      <c r="E191" s="322">
        <v>44566.0</v>
      </c>
      <c r="F191" s="19" t="s">
        <v>5</v>
      </c>
      <c r="G191" s="19" t="s">
        <v>6211</v>
      </c>
      <c r="H191" s="19" t="s">
        <v>6212</v>
      </c>
      <c r="I191" s="19" t="s">
        <v>6095</v>
      </c>
      <c r="J191" s="19"/>
      <c r="K191" s="264"/>
      <c r="L191" s="264"/>
      <c r="M191" s="323"/>
      <c r="N191" s="323"/>
      <c r="O191" s="264"/>
      <c r="P191" s="264"/>
    </row>
    <row r="192">
      <c r="A192" s="19">
        <v>15916.0</v>
      </c>
      <c r="B192" s="321">
        <v>0.4270833333333333</v>
      </c>
      <c r="C192" s="316" t="s">
        <v>4267</v>
      </c>
      <c r="D192" s="322">
        <v>24736.0</v>
      </c>
      <c r="E192" s="322">
        <v>44566.0</v>
      </c>
      <c r="F192" s="19" t="s">
        <v>6220</v>
      </c>
      <c r="G192" s="19" t="s">
        <v>6211</v>
      </c>
      <c r="H192" s="19" t="s">
        <v>6212</v>
      </c>
      <c r="I192" s="19" t="s">
        <v>6142</v>
      </c>
      <c r="J192" s="19"/>
      <c r="K192" s="264"/>
      <c r="L192" s="264"/>
      <c r="M192" s="323"/>
      <c r="N192" s="323"/>
      <c r="O192" s="264"/>
      <c r="P192" s="264"/>
    </row>
    <row r="193">
      <c r="A193" s="19">
        <v>13739.0</v>
      </c>
      <c r="B193" s="321">
        <v>0.4270833333333333</v>
      </c>
      <c r="C193" s="316" t="s">
        <v>2469</v>
      </c>
      <c r="D193" s="322">
        <v>22361.0</v>
      </c>
      <c r="E193" s="322">
        <v>44566.0</v>
      </c>
      <c r="F193" s="19" t="s">
        <v>6220</v>
      </c>
      <c r="G193" s="19" t="s">
        <v>6211</v>
      </c>
      <c r="H193" s="19" t="s">
        <v>6212</v>
      </c>
      <c r="I193" s="19" t="s">
        <v>6196</v>
      </c>
      <c r="J193" s="19"/>
      <c r="K193" s="264"/>
      <c r="L193" s="264"/>
      <c r="M193" s="323"/>
      <c r="N193" s="323"/>
      <c r="O193" s="264"/>
      <c r="P193" s="264"/>
    </row>
    <row r="194">
      <c r="A194" s="19">
        <v>17790.0</v>
      </c>
      <c r="B194" s="321">
        <v>0.4583333333333333</v>
      </c>
      <c r="C194" s="316" t="s">
        <v>5839</v>
      </c>
      <c r="D194" s="322">
        <v>13836.0</v>
      </c>
      <c r="E194" s="322">
        <v>44566.0</v>
      </c>
      <c r="F194" s="19" t="s">
        <v>9</v>
      </c>
      <c r="G194" s="19" t="s">
        <v>9</v>
      </c>
      <c r="H194" s="19" t="s">
        <v>6212</v>
      </c>
      <c r="I194" s="19" t="s">
        <v>6137</v>
      </c>
      <c r="J194" s="19"/>
      <c r="K194" s="264"/>
      <c r="L194" s="264"/>
      <c r="M194" s="323"/>
      <c r="N194" s="264"/>
      <c r="O194" s="264"/>
      <c r="P194" s="264"/>
    </row>
    <row r="195">
      <c r="A195" s="19">
        <v>11727.0</v>
      </c>
      <c r="B195" s="321">
        <v>0.4583333333333333</v>
      </c>
      <c r="C195" s="316" t="s">
        <v>1080</v>
      </c>
      <c r="D195" s="322">
        <v>17812.0</v>
      </c>
      <c r="E195" s="322">
        <v>44566.0</v>
      </c>
      <c r="F195" s="19" t="s">
        <v>6220</v>
      </c>
      <c r="G195" s="19" t="s">
        <v>6211</v>
      </c>
      <c r="H195" s="19" t="s">
        <v>6212</v>
      </c>
      <c r="I195" s="19" t="s">
        <v>6190</v>
      </c>
      <c r="J195" s="19"/>
      <c r="K195" s="264"/>
      <c r="L195" s="264"/>
      <c r="M195" s="323"/>
      <c r="N195" s="323"/>
      <c r="O195" s="264"/>
      <c r="P195" s="264"/>
    </row>
    <row r="196">
      <c r="A196" s="19">
        <v>14194.0</v>
      </c>
      <c r="B196" s="321">
        <v>0.46875</v>
      </c>
      <c r="C196" s="316" t="s">
        <v>2815</v>
      </c>
      <c r="D196" s="322">
        <v>25721.0</v>
      </c>
      <c r="E196" s="322">
        <v>44566.0</v>
      </c>
      <c r="F196" s="19" t="s">
        <v>6215</v>
      </c>
      <c r="G196" s="19" t="s">
        <v>6211</v>
      </c>
      <c r="H196" s="19" t="s">
        <v>6212</v>
      </c>
      <c r="I196" s="19" t="s">
        <v>6154</v>
      </c>
      <c r="J196" s="19"/>
      <c r="K196" s="264"/>
      <c r="L196" s="264"/>
      <c r="M196" s="323"/>
      <c r="N196" s="323"/>
      <c r="O196" s="264"/>
      <c r="P196" s="264"/>
    </row>
    <row r="197">
      <c r="A197" s="19">
        <v>14144.0</v>
      </c>
      <c r="B197" s="321">
        <v>0.4895833333333333</v>
      </c>
      <c r="C197" s="316" t="s">
        <v>2782</v>
      </c>
      <c r="D197" s="322">
        <v>15387.0</v>
      </c>
      <c r="E197" s="322">
        <v>44566.0</v>
      </c>
      <c r="F197" s="19" t="s">
        <v>6216</v>
      </c>
      <c r="G197" s="19" t="s">
        <v>6211</v>
      </c>
      <c r="H197" s="19" t="s">
        <v>6212</v>
      </c>
      <c r="I197" s="19" t="s">
        <v>6189</v>
      </c>
      <c r="J197" s="19"/>
      <c r="K197" s="264"/>
      <c r="L197" s="264"/>
      <c r="M197" s="323"/>
      <c r="N197" s="323"/>
      <c r="O197" s="264"/>
      <c r="P197" s="264"/>
    </row>
    <row r="198">
      <c r="A198" s="19">
        <v>17861.0</v>
      </c>
      <c r="B198" s="321">
        <v>0.5520833333333334</v>
      </c>
      <c r="C198" s="316" t="s">
        <v>6397</v>
      </c>
      <c r="D198" s="322">
        <v>21685.0</v>
      </c>
      <c r="E198" s="322">
        <v>44566.0</v>
      </c>
      <c r="F198" s="19" t="s">
        <v>6213</v>
      </c>
      <c r="G198" s="19" t="s">
        <v>6211</v>
      </c>
      <c r="H198" s="19" t="s">
        <v>6212</v>
      </c>
      <c r="I198" s="19" t="s">
        <v>6130</v>
      </c>
      <c r="J198" s="19"/>
      <c r="K198" s="264"/>
      <c r="L198" s="264"/>
      <c r="M198" s="323"/>
      <c r="N198" s="323"/>
      <c r="O198" s="264"/>
      <c r="P198" s="264"/>
    </row>
    <row r="199">
      <c r="A199" s="19">
        <v>17778.0</v>
      </c>
      <c r="B199" s="321">
        <v>0.5729166666666666</v>
      </c>
      <c r="C199" s="316" t="s">
        <v>5909</v>
      </c>
      <c r="D199" s="322">
        <v>19156.0</v>
      </c>
      <c r="E199" s="322">
        <v>44566.0</v>
      </c>
      <c r="F199" s="19" t="s">
        <v>6214</v>
      </c>
      <c r="G199" s="19" t="s">
        <v>6211</v>
      </c>
      <c r="H199" s="19" t="s">
        <v>6212</v>
      </c>
      <c r="I199" s="19" t="s">
        <v>6195</v>
      </c>
      <c r="J199" s="19"/>
      <c r="K199" s="264"/>
      <c r="L199" s="264"/>
      <c r="M199" s="323"/>
      <c r="N199" s="323"/>
      <c r="O199" s="264"/>
      <c r="P199" s="264"/>
    </row>
    <row r="200">
      <c r="A200" s="19">
        <v>15901.0</v>
      </c>
      <c r="B200" s="321">
        <v>0.5729166666666666</v>
      </c>
      <c r="C200" s="316" t="s">
        <v>4255</v>
      </c>
      <c r="D200" s="322">
        <v>21182.0</v>
      </c>
      <c r="E200" s="322">
        <v>44566.0</v>
      </c>
      <c r="F200" s="19" t="s">
        <v>5</v>
      </c>
      <c r="G200" s="19" t="s">
        <v>6211</v>
      </c>
      <c r="H200" s="19" t="s">
        <v>6212</v>
      </c>
      <c r="I200" s="19" t="s">
        <v>6185</v>
      </c>
      <c r="J200" s="19"/>
      <c r="K200" s="264"/>
      <c r="L200" s="264"/>
      <c r="M200" s="323"/>
      <c r="N200" s="264"/>
      <c r="O200" s="264"/>
      <c r="P200" s="264"/>
    </row>
    <row r="201">
      <c r="A201" s="19">
        <v>17795.0</v>
      </c>
      <c r="B201" s="321">
        <v>0.6041666666666666</v>
      </c>
      <c r="C201" s="316" t="s">
        <v>6393</v>
      </c>
      <c r="D201" s="322">
        <v>27896.0</v>
      </c>
      <c r="E201" s="322">
        <v>44566.0</v>
      </c>
      <c r="F201" s="19" t="s">
        <v>6213</v>
      </c>
      <c r="G201" s="19" t="s">
        <v>6211</v>
      </c>
      <c r="H201" s="19" t="s">
        <v>6212</v>
      </c>
      <c r="I201" s="19" t="s">
        <v>6137</v>
      </c>
      <c r="J201" s="19"/>
      <c r="K201" s="264"/>
      <c r="L201" s="264"/>
      <c r="M201" s="323"/>
      <c r="N201" s="323"/>
      <c r="O201" s="264"/>
      <c r="P201" s="264"/>
    </row>
    <row r="202">
      <c r="A202" s="19">
        <v>12462.0</v>
      </c>
      <c r="B202" s="321">
        <v>0.625</v>
      </c>
      <c r="C202" s="316" t="s">
        <v>5795</v>
      </c>
      <c r="D202" s="322">
        <v>34256.0</v>
      </c>
      <c r="E202" s="322">
        <v>44566.0</v>
      </c>
      <c r="F202" s="19" t="s">
        <v>5</v>
      </c>
      <c r="G202" s="19" t="s">
        <v>6211</v>
      </c>
      <c r="H202" s="19" t="s">
        <v>6212</v>
      </c>
      <c r="I202" s="19" t="s">
        <v>6103</v>
      </c>
      <c r="J202" s="19"/>
      <c r="K202" s="264"/>
      <c r="L202" s="264"/>
      <c r="M202" s="323"/>
      <c r="N202" s="323"/>
      <c r="O202" s="264"/>
      <c r="P202" s="264"/>
    </row>
    <row r="203">
      <c r="A203" s="19">
        <v>12625.0</v>
      </c>
      <c r="B203" s="321">
        <v>0.6354166666666666</v>
      </c>
      <c r="C203" s="316" t="s">
        <v>1585</v>
      </c>
      <c r="D203" s="322">
        <v>15668.0</v>
      </c>
      <c r="E203" s="322">
        <v>44566.0</v>
      </c>
      <c r="F203" s="19" t="s">
        <v>5</v>
      </c>
      <c r="G203" s="19" t="s">
        <v>6211</v>
      </c>
      <c r="H203" s="19" t="s">
        <v>6212</v>
      </c>
      <c r="I203" s="19" t="s">
        <v>6187</v>
      </c>
      <c r="J203" s="19"/>
      <c r="K203" s="264"/>
      <c r="L203" s="264"/>
      <c r="M203" s="323"/>
      <c r="N203" s="323"/>
      <c r="O203" s="264"/>
      <c r="P203" s="264"/>
    </row>
    <row r="204">
      <c r="A204" s="19">
        <v>10011.0</v>
      </c>
      <c r="B204" s="321">
        <v>0.7083333333333334</v>
      </c>
      <c r="C204" s="316" t="s">
        <v>369</v>
      </c>
      <c r="D204" s="322">
        <v>30920.0</v>
      </c>
      <c r="E204" s="322">
        <v>44566.0</v>
      </c>
      <c r="F204" s="19" t="s">
        <v>5</v>
      </c>
      <c r="G204" s="19" t="s">
        <v>6211</v>
      </c>
      <c r="H204" s="19" t="s">
        <v>6212</v>
      </c>
      <c r="I204" s="19" t="s">
        <v>6091</v>
      </c>
      <c r="J204" s="19"/>
      <c r="K204" s="264"/>
      <c r="L204" s="264"/>
      <c r="M204" s="323"/>
      <c r="N204" s="323"/>
      <c r="O204" s="264"/>
      <c r="P204" s="264"/>
    </row>
    <row r="205">
      <c r="A205" s="19">
        <v>16935.0</v>
      </c>
      <c r="B205" s="321">
        <v>0.7083333333333334</v>
      </c>
      <c r="C205" s="316" t="s">
        <v>5074</v>
      </c>
      <c r="D205" s="322">
        <v>25212.0</v>
      </c>
      <c r="E205" s="322">
        <v>44566.0</v>
      </c>
      <c r="F205" s="19" t="s">
        <v>6216</v>
      </c>
      <c r="G205" s="19" t="s">
        <v>6211</v>
      </c>
      <c r="H205" s="19" t="s">
        <v>6212</v>
      </c>
      <c r="I205" s="19" t="s">
        <v>6189</v>
      </c>
      <c r="J205" s="19"/>
      <c r="K205" s="264"/>
      <c r="L205" s="264"/>
      <c r="M205" s="323"/>
      <c r="N205" s="323"/>
      <c r="O205" s="264"/>
      <c r="P205" s="264"/>
    </row>
    <row r="206">
      <c r="A206" s="19">
        <v>10762.0</v>
      </c>
      <c r="B206" s="321">
        <v>0.7083333333333334</v>
      </c>
      <c r="C206" s="316" t="s">
        <v>675</v>
      </c>
      <c r="D206" s="322">
        <v>28401.0</v>
      </c>
      <c r="E206" s="322">
        <v>44566.0</v>
      </c>
      <c r="F206" s="19" t="s">
        <v>5</v>
      </c>
      <c r="G206" s="19" t="s">
        <v>6211</v>
      </c>
      <c r="H206" s="19" t="s">
        <v>6212</v>
      </c>
      <c r="I206" s="19" t="s">
        <v>6154</v>
      </c>
      <c r="J206" s="19"/>
      <c r="K206" s="264"/>
      <c r="L206" s="264"/>
      <c r="M206" s="323"/>
      <c r="N206" s="264"/>
      <c r="O206" s="264"/>
      <c r="P206" s="264"/>
    </row>
    <row r="207">
      <c r="A207" s="19">
        <v>17734.0</v>
      </c>
      <c r="B207" s="321">
        <v>0.7083333333333334</v>
      </c>
      <c r="C207" s="316" t="s">
        <v>5847</v>
      </c>
      <c r="D207" s="322">
        <v>18166.0</v>
      </c>
      <c r="E207" s="322">
        <v>44566.0</v>
      </c>
      <c r="F207" s="19" t="s">
        <v>6214</v>
      </c>
      <c r="G207" s="19" t="s">
        <v>6211</v>
      </c>
      <c r="H207" s="19" t="s">
        <v>6212</v>
      </c>
      <c r="I207" s="19" t="s">
        <v>6196</v>
      </c>
      <c r="J207" s="19"/>
      <c r="K207" s="264"/>
      <c r="L207" s="264"/>
      <c r="M207" s="323"/>
      <c r="N207" s="323"/>
      <c r="O207" s="264"/>
      <c r="P207" s="264"/>
    </row>
    <row r="208">
      <c r="A208" s="19">
        <v>17789.0</v>
      </c>
      <c r="B208" s="321">
        <v>0.7083333333333334</v>
      </c>
      <c r="C208" s="316" t="s">
        <v>5891</v>
      </c>
      <c r="D208" s="322">
        <v>22877.0</v>
      </c>
      <c r="E208" s="322">
        <v>44566.0</v>
      </c>
      <c r="F208" s="19" t="s">
        <v>9</v>
      </c>
      <c r="G208" s="19" t="s">
        <v>9</v>
      </c>
      <c r="H208" s="19" t="s">
        <v>6212</v>
      </c>
      <c r="I208" s="19" t="s">
        <v>6094</v>
      </c>
      <c r="J208" s="19"/>
      <c r="K208" s="264"/>
      <c r="L208" s="264"/>
      <c r="M208" s="323"/>
      <c r="N208" s="323"/>
      <c r="O208" s="264"/>
      <c r="P208" s="264"/>
    </row>
    <row r="209">
      <c r="A209" s="19">
        <v>17789.0</v>
      </c>
      <c r="B209" s="321">
        <v>0.7083333333333334</v>
      </c>
      <c r="C209" s="316" t="s">
        <v>5891</v>
      </c>
      <c r="D209" s="322">
        <v>22877.0</v>
      </c>
      <c r="E209" s="322">
        <v>44566.0</v>
      </c>
      <c r="F209" s="19" t="s">
        <v>6213</v>
      </c>
      <c r="G209" s="19" t="s">
        <v>6211</v>
      </c>
      <c r="H209" s="19" t="s">
        <v>6212</v>
      </c>
      <c r="I209" s="19" t="s">
        <v>6094</v>
      </c>
      <c r="J209" s="19"/>
      <c r="K209" s="264"/>
      <c r="L209" s="264"/>
      <c r="M209" s="323"/>
      <c r="N209" s="323"/>
      <c r="O209" s="264"/>
      <c r="P209" s="264"/>
    </row>
    <row r="210">
      <c r="A210" s="19">
        <v>17824.0</v>
      </c>
      <c r="B210" s="321">
        <v>0.7083333333333334</v>
      </c>
      <c r="C210" s="316" t="s">
        <v>6398</v>
      </c>
      <c r="D210" s="322">
        <v>34075.0</v>
      </c>
      <c r="E210" s="322">
        <v>44566.0</v>
      </c>
      <c r="F210" s="19" t="s">
        <v>6213</v>
      </c>
      <c r="G210" s="19" t="s">
        <v>6211</v>
      </c>
      <c r="H210" s="19" t="s">
        <v>6212</v>
      </c>
      <c r="I210" s="19" t="s">
        <v>6155</v>
      </c>
      <c r="J210" s="19"/>
      <c r="K210" s="264"/>
      <c r="L210" s="264"/>
      <c r="M210" s="323"/>
      <c r="N210" s="323"/>
      <c r="O210" s="264"/>
      <c r="P210" s="264"/>
    </row>
    <row r="211">
      <c r="A211" s="19">
        <v>9722.0</v>
      </c>
      <c r="B211" s="321">
        <v>0.7083333333333334</v>
      </c>
      <c r="C211" s="316" t="s">
        <v>271</v>
      </c>
      <c r="D211" s="322">
        <v>14366.0</v>
      </c>
      <c r="E211" s="322">
        <v>44566.0</v>
      </c>
      <c r="F211" s="19" t="s">
        <v>6216</v>
      </c>
      <c r="G211" s="19" t="s">
        <v>6211</v>
      </c>
      <c r="H211" s="19" t="s">
        <v>6212</v>
      </c>
      <c r="I211" s="19" t="s">
        <v>6190</v>
      </c>
      <c r="J211" s="19"/>
      <c r="K211" s="264"/>
      <c r="L211" s="264"/>
      <c r="M211" s="323"/>
      <c r="N211" s="323"/>
      <c r="O211" s="264"/>
      <c r="P211" s="264"/>
    </row>
    <row r="212">
      <c r="A212" s="19">
        <v>17795.0</v>
      </c>
      <c r="B212" s="321">
        <v>0.7083333333333334</v>
      </c>
      <c r="C212" s="316" t="s">
        <v>6393</v>
      </c>
      <c r="D212" s="322">
        <v>27896.0</v>
      </c>
      <c r="E212" s="322">
        <v>44566.0</v>
      </c>
      <c r="F212" s="19" t="s">
        <v>9</v>
      </c>
      <c r="G212" s="19" t="s">
        <v>9</v>
      </c>
      <c r="H212" s="19" t="s">
        <v>6212</v>
      </c>
      <c r="I212" s="19" t="s">
        <v>6137</v>
      </c>
      <c r="J212" s="19"/>
      <c r="K212" s="264"/>
      <c r="L212" s="264"/>
      <c r="M212" s="323"/>
      <c r="N212" s="323"/>
      <c r="O212" s="264"/>
      <c r="P212" s="264"/>
    </row>
    <row r="213">
      <c r="A213" s="19">
        <v>17438.0</v>
      </c>
      <c r="B213" s="321">
        <v>0.7083333333333334</v>
      </c>
      <c r="C213" s="316" t="s">
        <v>5472</v>
      </c>
      <c r="D213" s="322">
        <v>30556.0</v>
      </c>
      <c r="E213" s="322">
        <v>44566.0</v>
      </c>
      <c r="F213" s="19" t="s">
        <v>6213</v>
      </c>
      <c r="G213" s="19" t="s">
        <v>6211</v>
      </c>
      <c r="H213" s="19" t="s">
        <v>6212</v>
      </c>
      <c r="I213" s="19" t="s">
        <v>6146</v>
      </c>
      <c r="J213" s="19"/>
      <c r="K213" s="264"/>
      <c r="L213" s="264"/>
      <c r="M213" s="323"/>
      <c r="N213" s="323"/>
      <c r="O213" s="264"/>
      <c r="P213" s="264"/>
    </row>
    <row r="214">
      <c r="A214" s="19">
        <v>9508.0</v>
      </c>
      <c r="B214" s="321">
        <v>0.7083333333333334</v>
      </c>
      <c r="C214" s="316" t="s">
        <v>194</v>
      </c>
      <c r="D214" s="322">
        <v>28138.0</v>
      </c>
      <c r="E214" s="322">
        <v>44566.0</v>
      </c>
      <c r="F214" s="19" t="s">
        <v>5</v>
      </c>
      <c r="G214" s="19" t="s">
        <v>6211</v>
      </c>
      <c r="H214" s="19" t="s">
        <v>6212</v>
      </c>
      <c r="I214" s="19" t="s">
        <v>6117</v>
      </c>
      <c r="J214" s="19"/>
      <c r="K214" s="264"/>
      <c r="L214" s="264"/>
      <c r="M214" s="323"/>
      <c r="N214" s="323"/>
      <c r="O214" s="264"/>
      <c r="P214" s="264"/>
    </row>
    <row r="215">
      <c r="A215" s="19">
        <v>11883.0</v>
      </c>
      <c r="B215" s="321">
        <v>0.3333333333333333</v>
      </c>
      <c r="C215" s="316" t="s">
        <v>1171</v>
      </c>
      <c r="D215" s="322">
        <v>18355.0</v>
      </c>
      <c r="E215" s="322">
        <v>44566.0</v>
      </c>
      <c r="F215" s="19" t="s">
        <v>5</v>
      </c>
      <c r="G215" s="19" t="s">
        <v>6218</v>
      </c>
      <c r="H215" s="19" t="s">
        <v>6219</v>
      </c>
      <c r="I215" s="19" t="s">
        <v>6199</v>
      </c>
      <c r="J215" s="19"/>
      <c r="K215" s="264"/>
      <c r="L215" s="264"/>
      <c r="M215" s="323"/>
      <c r="N215" s="323"/>
      <c r="O215" s="264"/>
      <c r="P215" s="264"/>
    </row>
    <row r="216">
      <c r="A216" s="19">
        <v>15643.0</v>
      </c>
      <c r="B216" s="321">
        <v>0.34375</v>
      </c>
      <c r="C216" s="316" t="s">
        <v>4016</v>
      </c>
      <c r="D216" s="322">
        <v>26218.0</v>
      </c>
      <c r="E216" s="322">
        <v>44566.0</v>
      </c>
      <c r="F216" s="19" t="s">
        <v>5</v>
      </c>
      <c r="G216" s="19" t="s">
        <v>6218</v>
      </c>
      <c r="H216" s="19" t="s">
        <v>6219</v>
      </c>
      <c r="I216" s="19" t="s">
        <v>6158</v>
      </c>
      <c r="J216" s="19"/>
      <c r="K216" s="264"/>
      <c r="L216" s="264"/>
      <c r="M216" s="323"/>
      <c r="N216" s="323"/>
      <c r="O216" s="264"/>
      <c r="P216" s="264"/>
    </row>
    <row r="217">
      <c r="A217" s="19">
        <v>16941.0</v>
      </c>
      <c r="B217" s="321">
        <v>0.3645833333333333</v>
      </c>
      <c r="C217" s="316" t="s">
        <v>5079</v>
      </c>
      <c r="D217" s="322">
        <v>21789.0</v>
      </c>
      <c r="E217" s="322">
        <v>44566.0</v>
      </c>
      <c r="F217" s="19" t="s">
        <v>5</v>
      </c>
      <c r="G217" s="19" t="s">
        <v>6218</v>
      </c>
      <c r="H217" s="19" t="s">
        <v>6219</v>
      </c>
      <c r="I217" s="19" t="s">
        <v>6094</v>
      </c>
      <c r="J217" s="19"/>
      <c r="K217" s="264"/>
      <c r="L217" s="264"/>
      <c r="M217" s="323"/>
      <c r="N217" s="264"/>
      <c r="O217" s="264"/>
      <c r="P217" s="264"/>
    </row>
    <row r="218">
      <c r="A218" s="19">
        <v>15573.0</v>
      </c>
      <c r="B218" s="321">
        <v>0.375</v>
      </c>
      <c r="C218" s="316" t="s">
        <v>3954</v>
      </c>
      <c r="D218" s="322">
        <v>26123.0</v>
      </c>
      <c r="E218" s="322">
        <v>44566.0</v>
      </c>
      <c r="F218" s="19" t="s">
        <v>6224</v>
      </c>
      <c r="G218" s="19" t="s">
        <v>6218</v>
      </c>
      <c r="H218" s="19" t="s">
        <v>6219</v>
      </c>
      <c r="I218" s="19" t="s">
        <v>6142</v>
      </c>
      <c r="J218" s="19"/>
      <c r="K218" s="264"/>
      <c r="L218" s="264"/>
      <c r="M218" s="323"/>
      <c r="N218" s="323"/>
      <c r="O218" s="264"/>
      <c r="P218" s="264"/>
    </row>
    <row r="219">
      <c r="A219" s="19">
        <v>15713.0</v>
      </c>
      <c r="B219" s="321">
        <v>0.40625</v>
      </c>
      <c r="C219" s="316" t="s">
        <v>4081</v>
      </c>
      <c r="D219" s="322">
        <v>18132.0</v>
      </c>
      <c r="E219" s="322">
        <v>44566.0</v>
      </c>
      <c r="F219" s="19" t="s">
        <v>5</v>
      </c>
      <c r="G219" s="19" t="s">
        <v>6218</v>
      </c>
      <c r="H219" s="19" t="s">
        <v>6219</v>
      </c>
      <c r="I219" s="19" t="s">
        <v>6199</v>
      </c>
      <c r="J219" s="19"/>
      <c r="K219" s="264"/>
      <c r="L219" s="264"/>
      <c r="M219" s="323"/>
      <c r="N219" s="323"/>
      <c r="O219" s="264"/>
      <c r="P219" s="264"/>
    </row>
    <row r="220">
      <c r="A220" s="19">
        <v>12305.0</v>
      </c>
      <c r="B220" s="321">
        <v>0.4583333333333333</v>
      </c>
      <c r="C220" s="316" t="s">
        <v>1378</v>
      </c>
      <c r="D220" s="322">
        <v>21728.0</v>
      </c>
      <c r="E220" s="322">
        <v>44566.0</v>
      </c>
      <c r="F220" s="19" t="s">
        <v>6216</v>
      </c>
      <c r="G220" s="19" t="s">
        <v>6218</v>
      </c>
      <c r="H220" s="19" t="s">
        <v>6219</v>
      </c>
      <c r="I220" s="19" t="s">
        <v>6192</v>
      </c>
      <c r="J220" s="19"/>
      <c r="K220" s="264"/>
      <c r="L220" s="264"/>
      <c r="M220" s="323"/>
      <c r="N220" s="323"/>
      <c r="O220" s="264"/>
      <c r="P220" s="264"/>
    </row>
    <row r="221">
      <c r="A221" s="19">
        <v>11518.0</v>
      </c>
      <c r="B221" s="321">
        <v>0.4583333333333333</v>
      </c>
      <c r="C221" s="316" t="s">
        <v>992</v>
      </c>
      <c r="D221" s="322">
        <v>20702.0</v>
      </c>
      <c r="E221" s="322">
        <v>44566.0</v>
      </c>
      <c r="F221" s="19" t="s">
        <v>6216</v>
      </c>
      <c r="G221" s="19" t="s">
        <v>6218</v>
      </c>
      <c r="H221" s="19" t="s">
        <v>6219</v>
      </c>
      <c r="I221" s="19" t="s">
        <v>6196</v>
      </c>
      <c r="J221" s="19"/>
      <c r="K221" s="264"/>
      <c r="L221" s="264"/>
      <c r="M221" s="323"/>
      <c r="N221" s="323"/>
      <c r="O221" s="264"/>
      <c r="P221" s="264"/>
    </row>
    <row r="222">
      <c r="A222" s="19">
        <v>16705.0</v>
      </c>
      <c r="B222" s="321">
        <v>0.5416666666666666</v>
      </c>
      <c r="C222" s="316" t="s">
        <v>718</v>
      </c>
      <c r="D222" s="322">
        <v>20001.0</v>
      </c>
      <c r="E222" s="322">
        <v>44566.0</v>
      </c>
      <c r="F222" s="19" t="s">
        <v>6216</v>
      </c>
      <c r="G222" s="19" t="s">
        <v>6218</v>
      </c>
      <c r="H222" s="19" t="s">
        <v>6219</v>
      </c>
      <c r="I222" s="19" t="s">
        <v>6189</v>
      </c>
      <c r="J222" s="19"/>
      <c r="K222" s="264"/>
      <c r="L222" s="264"/>
      <c r="M222" s="323"/>
      <c r="N222" s="323"/>
      <c r="O222" s="264"/>
      <c r="P222" s="264"/>
    </row>
    <row r="223">
      <c r="A223" s="19">
        <v>16875.0</v>
      </c>
      <c r="B223" s="321">
        <v>0.5416666666666666</v>
      </c>
      <c r="C223" s="316" t="s">
        <v>5025</v>
      </c>
      <c r="D223" s="322">
        <v>19869.0</v>
      </c>
      <c r="E223" s="322">
        <v>44566.0</v>
      </c>
      <c r="F223" s="19" t="s">
        <v>5</v>
      </c>
      <c r="G223" s="19" t="s">
        <v>6218</v>
      </c>
      <c r="H223" s="19" t="s">
        <v>6219</v>
      </c>
      <c r="I223" s="19" t="s">
        <v>6199</v>
      </c>
      <c r="J223" s="19"/>
      <c r="K223" s="264"/>
      <c r="L223" s="264"/>
      <c r="M223" s="323"/>
      <c r="N223" s="323"/>
      <c r="O223" s="264"/>
      <c r="P223" s="264"/>
    </row>
    <row r="224">
      <c r="A224" s="19">
        <v>15987.0</v>
      </c>
      <c r="B224" s="321">
        <v>0.5416666666666666</v>
      </c>
      <c r="C224" s="316" t="s">
        <v>4328</v>
      </c>
      <c r="D224" s="322">
        <v>17734.0</v>
      </c>
      <c r="E224" s="322">
        <v>44566.0</v>
      </c>
      <c r="F224" s="19" t="s">
        <v>6220</v>
      </c>
      <c r="G224" s="19" t="s">
        <v>6218</v>
      </c>
      <c r="H224" s="19" t="s">
        <v>6219</v>
      </c>
      <c r="I224" s="19" t="s">
        <v>6195</v>
      </c>
      <c r="J224" s="19"/>
      <c r="K224" s="264"/>
      <c r="L224" s="264"/>
      <c r="M224" s="323"/>
      <c r="N224" s="323"/>
      <c r="O224" s="264"/>
      <c r="P224" s="264"/>
    </row>
    <row r="225">
      <c r="A225" s="19">
        <v>14987.0</v>
      </c>
      <c r="B225" s="321">
        <v>0.5833333333333334</v>
      </c>
      <c r="C225" s="316" t="s">
        <v>3464</v>
      </c>
      <c r="D225" s="322">
        <v>27390.0</v>
      </c>
      <c r="E225" s="322">
        <v>44566.0</v>
      </c>
      <c r="F225" s="19" t="s">
        <v>6220</v>
      </c>
      <c r="G225" s="19" t="s">
        <v>6218</v>
      </c>
      <c r="H225" s="19" t="s">
        <v>6219</v>
      </c>
      <c r="I225" s="19" t="s">
        <v>6195</v>
      </c>
      <c r="J225" s="19"/>
      <c r="K225" s="264"/>
      <c r="L225" s="264"/>
      <c r="M225" s="323"/>
      <c r="N225" s="264"/>
      <c r="O225" s="264"/>
      <c r="P225" s="264"/>
    </row>
    <row r="226">
      <c r="A226" s="19">
        <v>15749.0</v>
      </c>
      <c r="B226" s="321">
        <v>0.625</v>
      </c>
      <c r="C226" s="316" t="s">
        <v>4116</v>
      </c>
      <c r="D226" s="322">
        <v>30064.0</v>
      </c>
      <c r="E226" s="322">
        <v>44566.0</v>
      </c>
      <c r="F226" s="19" t="s">
        <v>5</v>
      </c>
      <c r="G226" s="19" t="s">
        <v>6218</v>
      </c>
      <c r="H226" s="19" t="s">
        <v>6219</v>
      </c>
      <c r="I226" s="19" t="s">
        <v>6154</v>
      </c>
      <c r="J226" s="19"/>
      <c r="K226" s="264"/>
      <c r="L226" s="264"/>
      <c r="M226" s="323"/>
      <c r="N226" s="323"/>
      <c r="O226" s="264"/>
      <c r="P226" s="264"/>
    </row>
    <row r="227">
      <c r="A227" s="19">
        <v>16202.0</v>
      </c>
      <c r="B227" s="321">
        <v>0.6354166666666666</v>
      </c>
      <c r="C227" s="316" t="s">
        <v>4510</v>
      </c>
      <c r="D227" s="322">
        <v>24456.0</v>
      </c>
      <c r="E227" s="322">
        <v>44566.0</v>
      </c>
      <c r="F227" s="19" t="s">
        <v>5</v>
      </c>
      <c r="G227" s="19" t="s">
        <v>6218</v>
      </c>
      <c r="H227" s="19" t="s">
        <v>6219</v>
      </c>
      <c r="I227" s="19" t="s">
        <v>6117</v>
      </c>
      <c r="J227" s="19"/>
      <c r="K227" s="264"/>
      <c r="L227" s="264"/>
      <c r="M227" s="323"/>
      <c r="N227" s="264"/>
      <c r="O227" s="264"/>
      <c r="P227" s="264"/>
    </row>
    <row r="228">
      <c r="A228" s="19">
        <v>15870.0</v>
      </c>
      <c r="B228" s="321">
        <v>0.7083333333333334</v>
      </c>
      <c r="C228" s="316" t="s">
        <v>4224</v>
      </c>
      <c r="D228" s="322">
        <v>23931.0</v>
      </c>
      <c r="E228" s="322">
        <v>44566.0</v>
      </c>
      <c r="F228" s="19" t="s">
        <v>6216</v>
      </c>
      <c r="G228" s="19" t="s">
        <v>6218</v>
      </c>
      <c r="H228" s="19" t="s">
        <v>6219</v>
      </c>
      <c r="I228" s="19" t="s">
        <v>6142</v>
      </c>
      <c r="J228" s="19"/>
      <c r="K228" s="264"/>
      <c r="L228" s="264"/>
      <c r="M228" s="323"/>
      <c r="N228" s="323"/>
      <c r="O228" s="264"/>
      <c r="P228" s="264"/>
    </row>
    <row r="229">
      <c r="A229" s="19">
        <v>10571.0</v>
      </c>
      <c r="B229" s="321">
        <v>0.7083333333333334</v>
      </c>
      <c r="C229" s="316" t="s">
        <v>590</v>
      </c>
      <c r="D229" s="322">
        <v>21775.0</v>
      </c>
      <c r="E229" s="322">
        <v>44566.0</v>
      </c>
      <c r="F229" s="19" t="s">
        <v>5</v>
      </c>
      <c r="G229" s="19" t="s">
        <v>6218</v>
      </c>
      <c r="H229" s="19" t="s">
        <v>6219</v>
      </c>
      <c r="I229" s="19" t="s">
        <v>6199</v>
      </c>
      <c r="J229" s="19"/>
      <c r="K229" s="264"/>
      <c r="L229" s="264"/>
      <c r="M229" s="323"/>
      <c r="N229" s="323"/>
      <c r="O229" s="264"/>
      <c r="P229" s="264"/>
    </row>
    <row r="230">
      <c r="A230" s="19">
        <v>16088.0</v>
      </c>
      <c r="B230" s="321">
        <v>0.7083333333333334</v>
      </c>
      <c r="C230" s="316" t="s">
        <v>4416</v>
      </c>
      <c r="D230" s="322">
        <v>19588.0</v>
      </c>
      <c r="E230" s="322">
        <v>44566.0</v>
      </c>
      <c r="F230" s="19" t="s">
        <v>5</v>
      </c>
      <c r="G230" s="19" t="s">
        <v>6218</v>
      </c>
      <c r="H230" s="19" t="s">
        <v>6219</v>
      </c>
      <c r="I230" s="19" t="s">
        <v>6117</v>
      </c>
      <c r="J230" s="19"/>
      <c r="K230" s="264"/>
      <c r="L230" s="264"/>
      <c r="M230" s="323"/>
      <c r="N230" s="323"/>
      <c r="O230" s="264"/>
      <c r="P230" s="264"/>
    </row>
    <row r="231">
      <c r="A231" s="19">
        <v>15039.0</v>
      </c>
      <c r="B231" s="321">
        <v>0.71875</v>
      </c>
      <c r="C231" s="316" t="s">
        <v>3503</v>
      </c>
      <c r="D231" s="322">
        <v>19466.0</v>
      </c>
      <c r="E231" s="322">
        <v>44566.0</v>
      </c>
      <c r="F231" s="19" t="s">
        <v>6220</v>
      </c>
      <c r="G231" s="19" t="s">
        <v>6218</v>
      </c>
      <c r="H231" s="19" t="s">
        <v>6219</v>
      </c>
      <c r="I231" s="19" t="s">
        <v>6196</v>
      </c>
      <c r="J231" s="19"/>
      <c r="K231" s="264"/>
      <c r="L231" s="264"/>
      <c r="M231" s="323"/>
      <c r="N231" s="323"/>
      <c r="O231" s="264"/>
      <c r="P231" s="264"/>
    </row>
    <row r="232">
      <c r="A232" s="19">
        <v>15574.0</v>
      </c>
      <c r="B232" s="321">
        <v>0.71875</v>
      </c>
      <c r="C232" s="316" t="s">
        <v>3955</v>
      </c>
      <c r="D232" s="322">
        <v>24427.0</v>
      </c>
      <c r="E232" s="322">
        <v>44566.0</v>
      </c>
      <c r="F232" s="19" t="s">
        <v>6215</v>
      </c>
      <c r="G232" s="19" t="s">
        <v>6218</v>
      </c>
      <c r="H232" s="19" t="s">
        <v>6219</v>
      </c>
      <c r="I232" s="19" t="s">
        <v>6137</v>
      </c>
      <c r="J232" s="19"/>
      <c r="K232" s="264"/>
      <c r="L232" s="264"/>
      <c r="M232" s="323"/>
      <c r="N232" s="323"/>
      <c r="O232" s="264"/>
      <c r="P232" s="264"/>
    </row>
    <row r="233">
      <c r="A233" s="19">
        <v>9716.0</v>
      </c>
      <c r="B233" s="321">
        <v>0.3645833333333333</v>
      </c>
      <c r="C233" s="316" t="s">
        <v>268</v>
      </c>
      <c r="D233" s="322">
        <v>20692.0</v>
      </c>
      <c r="E233" s="322">
        <v>44566.0</v>
      </c>
      <c r="F233" s="19" t="s">
        <v>6216</v>
      </c>
      <c r="G233" s="19" t="s">
        <v>6218</v>
      </c>
      <c r="H233" s="19" t="s">
        <v>6222</v>
      </c>
      <c r="I233" s="19" t="s">
        <v>6196</v>
      </c>
      <c r="J233" s="19"/>
      <c r="K233" s="264"/>
      <c r="L233" s="264"/>
      <c r="M233" s="323"/>
      <c r="N233" s="323"/>
      <c r="O233" s="264"/>
      <c r="P233" s="264"/>
    </row>
    <row r="234">
      <c r="A234" s="19">
        <v>12250.0</v>
      </c>
      <c r="B234" s="321">
        <v>0.375</v>
      </c>
      <c r="C234" s="316" t="s">
        <v>1344</v>
      </c>
      <c r="D234" s="322">
        <v>23723.0</v>
      </c>
      <c r="E234" s="322">
        <v>44566.0</v>
      </c>
      <c r="F234" s="19" t="s">
        <v>5</v>
      </c>
      <c r="G234" s="19" t="s">
        <v>6218</v>
      </c>
      <c r="H234" s="19" t="s">
        <v>6222</v>
      </c>
      <c r="I234" s="19" t="s">
        <v>6154</v>
      </c>
      <c r="J234" s="19"/>
      <c r="K234" s="264"/>
      <c r="L234" s="264"/>
      <c r="M234" s="323"/>
      <c r="N234" s="323"/>
      <c r="O234" s="264"/>
      <c r="P234" s="264"/>
    </row>
    <row r="235">
      <c r="A235" s="19">
        <v>15653.0</v>
      </c>
      <c r="B235" s="321">
        <v>0.4479166666666667</v>
      </c>
      <c r="C235" s="316" t="s">
        <v>4025</v>
      </c>
      <c r="D235" s="322">
        <v>18431.0</v>
      </c>
      <c r="E235" s="322">
        <v>44566.0</v>
      </c>
      <c r="F235" s="19" t="s">
        <v>6220</v>
      </c>
      <c r="G235" s="19" t="s">
        <v>6218</v>
      </c>
      <c r="H235" s="19" t="s">
        <v>6222</v>
      </c>
      <c r="I235" s="19" t="s">
        <v>6100</v>
      </c>
      <c r="J235" s="19"/>
      <c r="K235" s="264"/>
      <c r="L235" s="264"/>
      <c r="M235" s="323"/>
      <c r="N235" s="323"/>
      <c r="O235" s="264"/>
      <c r="P235" s="264"/>
    </row>
    <row r="236">
      <c r="A236" s="19">
        <v>17186.0</v>
      </c>
      <c r="B236" s="321">
        <v>0.5729166666666666</v>
      </c>
      <c r="C236" s="316" t="s">
        <v>5274</v>
      </c>
      <c r="D236" s="322">
        <v>32887.0</v>
      </c>
      <c r="E236" s="322">
        <v>44566.0</v>
      </c>
      <c r="F236" s="19" t="s">
        <v>6215</v>
      </c>
      <c r="G236" s="19" t="s">
        <v>6218</v>
      </c>
      <c r="H236" s="19" t="s">
        <v>6222</v>
      </c>
      <c r="I236" s="19" t="s">
        <v>6126</v>
      </c>
      <c r="J236" s="19"/>
      <c r="K236" s="264"/>
      <c r="L236" s="264"/>
      <c r="M236" s="323"/>
      <c r="N236" s="323"/>
      <c r="O236" s="264"/>
      <c r="P236" s="264"/>
    </row>
    <row r="237">
      <c r="A237" s="19" t="s">
        <v>6399</v>
      </c>
      <c r="B237" s="321">
        <v>0.59375</v>
      </c>
      <c r="C237" s="316" t="s">
        <v>2411</v>
      </c>
      <c r="D237" s="322">
        <v>27283.0</v>
      </c>
      <c r="E237" s="322">
        <v>44566.0</v>
      </c>
      <c r="F237" s="19" t="s">
        <v>6220</v>
      </c>
      <c r="G237" s="19" t="s">
        <v>6218</v>
      </c>
      <c r="H237" s="19" t="s">
        <v>6222</v>
      </c>
      <c r="I237" s="19" t="s">
        <v>6142</v>
      </c>
      <c r="J237" s="19"/>
      <c r="K237" s="264"/>
      <c r="L237" s="264"/>
      <c r="M237" s="323"/>
      <c r="N237" s="324"/>
      <c r="O237" s="324"/>
      <c r="P237" s="324"/>
    </row>
    <row r="238">
      <c r="A238" s="19">
        <v>13784.0</v>
      </c>
      <c r="B238" s="321">
        <v>0.6041666666666666</v>
      </c>
      <c r="C238" s="316" t="s">
        <v>2508</v>
      </c>
      <c r="D238" s="322">
        <v>21088.0</v>
      </c>
      <c r="E238" s="322">
        <v>44566.0</v>
      </c>
      <c r="F238" s="19" t="s">
        <v>6216</v>
      </c>
      <c r="G238" s="19" t="s">
        <v>6218</v>
      </c>
      <c r="H238" s="19" t="s">
        <v>6222</v>
      </c>
      <c r="I238" s="19" t="s">
        <v>6142</v>
      </c>
      <c r="J238" s="19"/>
      <c r="K238" s="264"/>
      <c r="L238" s="264"/>
      <c r="M238" s="323"/>
      <c r="N238" s="264"/>
      <c r="O238" s="264"/>
      <c r="P238" s="264"/>
    </row>
    <row r="239">
      <c r="A239" s="19">
        <v>17241.0</v>
      </c>
      <c r="B239" s="321">
        <v>0.625</v>
      </c>
      <c r="C239" s="316" t="s">
        <v>5321</v>
      </c>
      <c r="D239" s="322">
        <v>24347.0</v>
      </c>
      <c r="E239" s="322">
        <v>44566.0</v>
      </c>
      <c r="F239" s="19" t="s">
        <v>9</v>
      </c>
      <c r="G239" s="19" t="s">
        <v>9</v>
      </c>
      <c r="H239" s="19" t="s">
        <v>6222</v>
      </c>
      <c r="I239" s="19" t="s">
        <v>6137</v>
      </c>
      <c r="J239" s="19"/>
      <c r="K239" s="264"/>
      <c r="L239" s="264"/>
      <c r="M239" s="323"/>
      <c r="N239" s="264"/>
      <c r="O239" s="264"/>
      <c r="P239" s="264"/>
    </row>
    <row r="240">
      <c r="A240" s="19">
        <v>17241.0</v>
      </c>
      <c r="B240" s="321">
        <v>0.625</v>
      </c>
      <c r="C240" s="316" t="s">
        <v>5321</v>
      </c>
      <c r="D240" s="322">
        <v>24347.0</v>
      </c>
      <c r="E240" s="322">
        <v>44566.0</v>
      </c>
      <c r="F240" s="19" t="s">
        <v>5</v>
      </c>
      <c r="G240" s="19" t="s">
        <v>6218</v>
      </c>
      <c r="H240" s="19" t="s">
        <v>6222</v>
      </c>
      <c r="I240" s="19" t="s">
        <v>6137</v>
      </c>
      <c r="J240" s="19"/>
      <c r="K240" s="264"/>
      <c r="L240" s="264"/>
      <c r="M240" s="323"/>
      <c r="N240" s="264"/>
      <c r="O240" s="264"/>
      <c r="P240" s="264"/>
    </row>
    <row r="241">
      <c r="A241" s="19">
        <v>9987.0</v>
      </c>
      <c r="B241" s="321">
        <v>0.7083333333333334</v>
      </c>
      <c r="C241" s="316" t="s">
        <v>363</v>
      </c>
      <c r="D241" s="322">
        <v>25661.0</v>
      </c>
      <c r="E241" s="322">
        <v>44566.0</v>
      </c>
      <c r="F241" s="19" t="s">
        <v>5</v>
      </c>
      <c r="G241" s="19" t="s">
        <v>6218</v>
      </c>
      <c r="H241" s="19" t="s">
        <v>6222</v>
      </c>
      <c r="I241" s="19" t="s">
        <v>6117</v>
      </c>
      <c r="J241" s="19"/>
      <c r="K241" s="264"/>
      <c r="L241" s="264"/>
      <c r="M241" s="323"/>
      <c r="N241" s="323"/>
      <c r="O241" s="264"/>
      <c r="P241" s="264"/>
    </row>
    <row r="242">
      <c r="A242" s="19">
        <v>15629.0</v>
      </c>
      <c r="B242" s="321">
        <v>0.7083333333333334</v>
      </c>
      <c r="C242" s="316" t="s">
        <v>4004</v>
      </c>
      <c r="D242" s="322">
        <v>14499.0</v>
      </c>
      <c r="E242" s="322">
        <v>44566.0</v>
      </c>
      <c r="F242" s="19" t="s">
        <v>5</v>
      </c>
      <c r="G242" s="19" t="s">
        <v>6218</v>
      </c>
      <c r="H242" s="19" t="s">
        <v>6222</v>
      </c>
      <c r="I242" s="19" t="s">
        <v>6137</v>
      </c>
      <c r="J242" s="19"/>
      <c r="K242" s="264"/>
      <c r="L242" s="264"/>
      <c r="M242" s="323"/>
      <c r="N242" s="323"/>
      <c r="O242" s="264"/>
      <c r="P242" s="264"/>
    </row>
    <row r="243">
      <c r="A243" s="19">
        <v>9683.0</v>
      </c>
      <c r="B243" s="321">
        <v>0.7083333333333334</v>
      </c>
      <c r="C243" s="316" t="s">
        <v>258</v>
      </c>
      <c r="D243" s="322">
        <v>29811.0</v>
      </c>
      <c r="E243" s="322">
        <v>44566.0</v>
      </c>
      <c r="F243" s="19" t="s">
        <v>5</v>
      </c>
      <c r="G243" s="19" t="s">
        <v>6218</v>
      </c>
      <c r="H243" s="19" t="s">
        <v>6222</v>
      </c>
      <c r="I243" s="19" t="s">
        <v>6089</v>
      </c>
      <c r="J243" s="19"/>
      <c r="K243" s="264"/>
      <c r="L243" s="264"/>
      <c r="M243" s="323"/>
      <c r="N243" s="264"/>
      <c r="O243" s="264"/>
      <c r="P243" s="264"/>
    </row>
    <row r="244">
      <c r="A244" s="19">
        <v>15729.0</v>
      </c>
      <c r="B244" s="321">
        <v>0.7083333333333334</v>
      </c>
      <c r="C244" s="316" t="s">
        <v>4096</v>
      </c>
      <c r="D244" s="322">
        <v>27327.0</v>
      </c>
      <c r="E244" s="322">
        <v>44566.0</v>
      </c>
      <c r="F244" s="19" t="s">
        <v>6215</v>
      </c>
      <c r="G244" s="19" t="s">
        <v>6218</v>
      </c>
      <c r="H244" s="19" t="s">
        <v>6222</v>
      </c>
      <c r="I244" s="19" t="s">
        <v>6117</v>
      </c>
      <c r="J244" s="19"/>
      <c r="K244" s="264"/>
      <c r="L244" s="264"/>
      <c r="M244" s="323"/>
      <c r="N244" s="264"/>
      <c r="O244" s="264"/>
      <c r="P244" s="264"/>
    </row>
    <row r="245">
      <c r="A245" s="19">
        <v>15328.0</v>
      </c>
      <c r="B245" s="321">
        <v>0.7083333333333334</v>
      </c>
      <c r="C245" s="316" t="s">
        <v>3743</v>
      </c>
      <c r="D245" s="322">
        <v>26212.0</v>
      </c>
      <c r="E245" s="322">
        <v>44566.0</v>
      </c>
      <c r="F245" s="19" t="s">
        <v>5</v>
      </c>
      <c r="G245" s="19" t="s">
        <v>6218</v>
      </c>
      <c r="H245" s="19" t="s">
        <v>6222</v>
      </c>
      <c r="I245" s="19" t="s">
        <v>6091</v>
      </c>
      <c r="J245" s="19"/>
      <c r="K245" s="264"/>
      <c r="L245" s="264"/>
      <c r="M245" s="323"/>
      <c r="N245" s="323"/>
      <c r="O245" s="264"/>
      <c r="P245" s="264"/>
    </row>
    <row r="246">
      <c r="A246" s="19">
        <v>14850.0</v>
      </c>
      <c r="B246" s="321">
        <v>0.7083333333333334</v>
      </c>
      <c r="C246" s="316" t="s">
        <v>3352</v>
      </c>
      <c r="D246" s="322">
        <v>19056.0</v>
      </c>
      <c r="E246" s="322">
        <v>44566.0</v>
      </c>
      <c r="F246" s="19" t="s">
        <v>6220</v>
      </c>
      <c r="G246" s="19" t="s">
        <v>6218</v>
      </c>
      <c r="H246" s="19" t="s">
        <v>6222</v>
      </c>
      <c r="I246" s="19" t="s">
        <v>6194</v>
      </c>
      <c r="J246" s="19"/>
      <c r="K246" s="264"/>
      <c r="L246" s="264"/>
      <c r="M246" s="323"/>
      <c r="N246" s="264"/>
      <c r="O246" s="264"/>
      <c r="P246" s="264"/>
    </row>
    <row r="247">
      <c r="A247" s="19">
        <v>17348.0</v>
      </c>
      <c r="B247" s="321">
        <v>0.7083333333333334</v>
      </c>
      <c r="C247" s="316" t="s">
        <v>5401</v>
      </c>
      <c r="D247" s="322">
        <v>24346.0</v>
      </c>
      <c r="E247" s="322">
        <v>44566.0</v>
      </c>
      <c r="F247" s="19" t="s">
        <v>6215</v>
      </c>
      <c r="G247" s="19" t="s">
        <v>6218</v>
      </c>
      <c r="H247" s="19" t="s">
        <v>6222</v>
      </c>
      <c r="I247" s="19" t="s">
        <v>6400</v>
      </c>
      <c r="J247" s="19"/>
      <c r="K247" s="264"/>
      <c r="L247" s="264"/>
      <c r="M247" s="323"/>
      <c r="N247" s="323"/>
      <c r="O247" s="264"/>
      <c r="P247" s="264"/>
    </row>
    <row r="248">
      <c r="A248" s="19">
        <v>10984.0</v>
      </c>
      <c r="B248" s="321">
        <v>0.71875</v>
      </c>
      <c r="C248" s="316" t="s">
        <v>753</v>
      </c>
      <c r="D248" s="322">
        <v>23057.0</v>
      </c>
      <c r="E248" s="322">
        <v>44566.0</v>
      </c>
      <c r="F248" s="19" t="s">
        <v>6224</v>
      </c>
      <c r="G248" s="19" t="s">
        <v>6218</v>
      </c>
      <c r="H248" s="19" t="s">
        <v>6222</v>
      </c>
      <c r="I248" s="19" t="s">
        <v>6199</v>
      </c>
      <c r="J248" s="19"/>
      <c r="K248" s="264"/>
      <c r="L248" s="264"/>
      <c r="M248" s="323"/>
      <c r="N248" s="264"/>
      <c r="O248" s="264"/>
      <c r="P248" s="264"/>
    </row>
    <row r="249">
      <c r="A249" s="19">
        <v>15195.0</v>
      </c>
      <c r="B249" s="321">
        <v>0.71875</v>
      </c>
      <c r="C249" s="316" t="s">
        <v>3635</v>
      </c>
      <c r="D249" s="322">
        <v>33286.0</v>
      </c>
      <c r="E249" s="322">
        <v>44566.0</v>
      </c>
      <c r="F249" s="19" t="s">
        <v>5</v>
      </c>
      <c r="G249" s="19" t="s">
        <v>6218</v>
      </c>
      <c r="H249" s="19" t="s">
        <v>6222</v>
      </c>
      <c r="I249" s="19" t="s">
        <v>6089</v>
      </c>
      <c r="J249" s="19"/>
      <c r="K249" s="264"/>
      <c r="L249" s="264"/>
      <c r="M249" s="323"/>
      <c r="N249" s="323"/>
      <c r="O249" s="264"/>
      <c r="P249" s="264"/>
    </row>
    <row r="250">
      <c r="A250" s="19">
        <v>16128.0</v>
      </c>
      <c r="B250" s="321">
        <v>0.34375</v>
      </c>
      <c r="C250" s="316" t="s">
        <v>4450</v>
      </c>
      <c r="D250" s="322">
        <v>16663.0</v>
      </c>
      <c r="E250" s="322">
        <v>44567.0</v>
      </c>
      <c r="F250" s="19" t="s">
        <v>6215</v>
      </c>
      <c r="G250" s="19" t="s">
        <v>6211</v>
      </c>
      <c r="H250" s="19" t="s">
        <v>6212</v>
      </c>
      <c r="I250" s="19" t="s">
        <v>6187</v>
      </c>
      <c r="J250" s="19"/>
      <c r="K250" s="264"/>
      <c r="L250" s="264"/>
      <c r="M250" s="323"/>
      <c r="N250" s="323"/>
      <c r="O250" s="264"/>
      <c r="P250" s="264"/>
    </row>
    <row r="251">
      <c r="A251" s="19">
        <v>16348.0</v>
      </c>
      <c r="B251" s="321">
        <v>0.3854166666666667</v>
      </c>
      <c r="C251" s="316" t="s">
        <v>4623</v>
      </c>
      <c r="D251" s="322">
        <v>15288.0</v>
      </c>
      <c r="E251" s="322">
        <v>44567.0</v>
      </c>
      <c r="F251" s="19" t="s">
        <v>6215</v>
      </c>
      <c r="G251" s="19" t="s">
        <v>6211</v>
      </c>
      <c r="H251" s="19" t="s">
        <v>6212</v>
      </c>
      <c r="I251" s="19" t="s">
        <v>6094</v>
      </c>
      <c r="J251" s="19"/>
      <c r="K251" s="264"/>
      <c r="L251" s="264"/>
      <c r="M251" s="323"/>
      <c r="N251" s="323"/>
      <c r="O251" s="264"/>
      <c r="P251" s="264"/>
    </row>
    <row r="252">
      <c r="A252" s="19">
        <v>16260.0</v>
      </c>
      <c r="B252" s="321">
        <v>0.3854166666666667</v>
      </c>
      <c r="C252" s="316" t="s">
        <v>4559</v>
      </c>
      <c r="D252" s="322">
        <v>17025.0</v>
      </c>
      <c r="E252" s="322">
        <v>44567.0</v>
      </c>
      <c r="F252" s="19" t="s">
        <v>5</v>
      </c>
      <c r="G252" s="19" t="s">
        <v>6211</v>
      </c>
      <c r="H252" s="19" t="s">
        <v>6212</v>
      </c>
      <c r="I252" s="19" t="s">
        <v>6137</v>
      </c>
      <c r="J252" s="19"/>
      <c r="K252" s="264"/>
      <c r="L252" s="264"/>
      <c r="M252" s="323"/>
      <c r="N252" s="323"/>
      <c r="O252" s="264"/>
      <c r="P252" s="264"/>
    </row>
    <row r="253">
      <c r="A253" s="19">
        <v>16792.0</v>
      </c>
      <c r="B253" s="321">
        <v>0.3854166666666667</v>
      </c>
      <c r="C253" s="316" t="s">
        <v>4963</v>
      </c>
      <c r="D253" s="322">
        <v>13375.0</v>
      </c>
      <c r="E253" s="322">
        <v>44567.0</v>
      </c>
      <c r="F253" s="19" t="s">
        <v>6216</v>
      </c>
      <c r="G253" s="19" t="s">
        <v>6211</v>
      </c>
      <c r="H253" s="19" t="s">
        <v>6212</v>
      </c>
      <c r="I253" s="19" t="s">
        <v>6196</v>
      </c>
      <c r="J253" s="19"/>
      <c r="K253" s="264"/>
      <c r="L253" s="264"/>
      <c r="M253" s="323"/>
      <c r="N253" s="323"/>
      <c r="O253" s="264"/>
      <c r="P253" s="264"/>
    </row>
    <row r="254">
      <c r="A254" s="19">
        <v>14821.0</v>
      </c>
      <c r="B254" s="321">
        <v>0.3958333333333333</v>
      </c>
      <c r="C254" s="316" t="s">
        <v>3327</v>
      </c>
      <c r="D254" s="322">
        <v>21380.0</v>
      </c>
      <c r="E254" s="322">
        <v>44567.0</v>
      </c>
      <c r="F254" s="19" t="s">
        <v>6215</v>
      </c>
      <c r="G254" s="19" t="s">
        <v>6211</v>
      </c>
      <c r="H254" s="19" t="s">
        <v>6212</v>
      </c>
      <c r="I254" s="19" t="s">
        <v>6084</v>
      </c>
      <c r="J254" s="19"/>
      <c r="K254" s="264"/>
      <c r="L254" s="264"/>
      <c r="M254" s="323"/>
      <c r="N254" s="323"/>
      <c r="O254" s="264"/>
      <c r="P254" s="264"/>
    </row>
    <row r="255">
      <c r="A255" s="19">
        <v>16897.0</v>
      </c>
      <c r="B255" s="321">
        <v>0.40625</v>
      </c>
      <c r="C255" s="316" t="s">
        <v>5045</v>
      </c>
      <c r="D255" s="322">
        <v>14946.0</v>
      </c>
      <c r="E255" s="322">
        <v>44567.0</v>
      </c>
      <c r="F255" s="19" t="s">
        <v>9</v>
      </c>
      <c r="G255" s="19" t="s">
        <v>9</v>
      </c>
      <c r="H255" s="19" t="s">
        <v>6212</v>
      </c>
      <c r="I255" s="19" t="s">
        <v>6137</v>
      </c>
      <c r="J255" s="19"/>
      <c r="K255" s="264"/>
      <c r="L255" s="264"/>
      <c r="M255" s="323"/>
      <c r="N255" s="323"/>
      <c r="O255" s="264"/>
      <c r="P255" s="264"/>
    </row>
    <row r="256">
      <c r="A256" s="19">
        <v>17713.0</v>
      </c>
      <c r="B256" s="321">
        <v>0.4166666666666667</v>
      </c>
      <c r="C256" s="316" t="s">
        <v>5630</v>
      </c>
      <c r="D256" s="322">
        <v>21325.0</v>
      </c>
      <c r="E256" s="322">
        <v>44567.0</v>
      </c>
      <c r="F256" s="19" t="s">
        <v>6215</v>
      </c>
      <c r="G256" s="19" t="s">
        <v>6211</v>
      </c>
      <c r="H256" s="19" t="s">
        <v>6212</v>
      </c>
      <c r="I256" s="19" t="s">
        <v>6082</v>
      </c>
      <c r="J256" s="19"/>
      <c r="K256" s="264"/>
      <c r="L256" s="264"/>
      <c r="M256" s="323"/>
      <c r="N256" s="323"/>
      <c r="O256" s="264"/>
      <c r="P256" s="264"/>
    </row>
    <row r="257">
      <c r="A257" s="19">
        <v>9853.0</v>
      </c>
      <c r="B257" s="321">
        <v>0.4166666666666667</v>
      </c>
      <c r="C257" s="316" t="s">
        <v>320</v>
      </c>
      <c r="D257" s="322">
        <v>23125.0</v>
      </c>
      <c r="E257" s="322">
        <v>44567.0</v>
      </c>
      <c r="F257" s="19" t="s">
        <v>5</v>
      </c>
      <c r="G257" s="19" t="s">
        <v>6211</v>
      </c>
      <c r="H257" s="19" t="s">
        <v>6212</v>
      </c>
      <c r="I257" s="19" t="s">
        <v>6158</v>
      </c>
      <c r="J257" s="19"/>
      <c r="K257" s="264"/>
      <c r="L257" s="264"/>
      <c r="M257" s="323"/>
      <c r="N257" s="264"/>
      <c r="O257" s="264"/>
      <c r="P257" s="264"/>
    </row>
    <row r="258">
      <c r="A258" s="19">
        <v>17350.0</v>
      </c>
      <c r="B258" s="321">
        <v>0.4270833333333333</v>
      </c>
      <c r="C258" s="316" t="s">
        <v>5403</v>
      </c>
      <c r="D258" s="322">
        <v>14746.0</v>
      </c>
      <c r="E258" s="322">
        <v>44567.0</v>
      </c>
      <c r="F258" s="19" t="s">
        <v>6220</v>
      </c>
      <c r="G258" s="19" t="s">
        <v>6211</v>
      </c>
      <c r="H258" s="19" t="s">
        <v>6212</v>
      </c>
      <c r="I258" s="19" t="s">
        <v>6194</v>
      </c>
      <c r="J258" s="19"/>
      <c r="K258" s="264"/>
      <c r="L258" s="264"/>
      <c r="M258" s="323"/>
      <c r="N258" s="323"/>
      <c r="O258" s="264"/>
      <c r="P258" s="264"/>
    </row>
    <row r="259">
      <c r="A259" s="19">
        <v>12464.0</v>
      </c>
      <c r="B259" s="321">
        <v>0.4375</v>
      </c>
      <c r="C259" s="316" t="s">
        <v>1477</v>
      </c>
      <c r="D259" s="322">
        <v>16294.0</v>
      </c>
      <c r="E259" s="322">
        <v>44567.0</v>
      </c>
      <c r="F259" s="19" t="s">
        <v>6216</v>
      </c>
      <c r="G259" s="19" t="s">
        <v>6211</v>
      </c>
      <c r="H259" s="19" t="s">
        <v>6212</v>
      </c>
      <c r="I259" s="19" t="s">
        <v>6196</v>
      </c>
      <c r="J259" s="19"/>
      <c r="K259" s="264"/>
      <c r="L259" s="264"/>
      <c r="M259" s="323"/>
      <c r="N259" s="323"/>
      <c r="O259" s="264"/>
      <c r="P259" s="264"/>
    </row>
    <row r="260">
      <c r="A260" s="19">
        <v>15806.0</v>
      </c>
      <c r="B260" s="321">
        <v>0.4479166666666667</v>
      </c>
      <c r="C260" s="316" t="s">
        <v>4166</v>
      </c>
      <c r="D260" s="322">
        <v>18664.0</v>
      </c>
      <c r="E260" s="322">
        <v>44567.0</v>
      </c>
      <c r="F260" s="19" t="s">
        <v>6215</v>
      </c>
      <c r="G260" s="19" t="s">
        <v>6211</v>
      </c>
      <c r="H260" s="19" t="s">
        <v>6212</v>
      </c>
      <c r="I260" s="19" t="s">
        <v>6137</v>
      </c>
      <c r="J260" s="19"/>
      <c r="K260" s="264"/>
      <c r="L260" s="264"/>
      <c r="M260" s="323"/>
      <c r="N260" s="323"/>
      <c r="O260" s="264"/>
      <c r="P260" s="264"/>
    </row>
    <row r="261">
      <c r="A261" s="19">
        <v>17017.0</v>
      </c>
      <c r="B261" s="321">
        <v>0.4479166666666667</v>
      </c>
      <c r="C261" s="316" t="s">
        <v>5138</v>
      </c>
      <c r="D261" s="322">
        <v>29428.0</v>
      </c>
      <c r="E261" s="322">
        <v>44567.0</v>
      </c>
      <c r="F261" s="19" t="s">
        <v>5</v>
      </c>
      <c r="G261" s="19" t="s">
        <v>6211</v>
      </c>
      <c r="H261" s="19" t="s">
        <v>6212</v>
      </c>
      <c r="I261" s="19" t="s">
        <v>6082</v>
      </c>
      <c r="J261" s="19"/>
      <c r="K261" s="264"/>
      <c r="L261" s="264"/>
      <c r="M261" s="323"/>
      <c r="N261" s="323"/>
      <c r="O261" s="264"/>
      <c r="P261" s="264"/>
    </row>
    <row r="262">
      <c r="A262" s="19">
        <v>16758.0</v>
      </c>
      <c r="B262" s="321">
        <v>0.46875</v>
      </c>
      <c r="C262" s="316" t="s">
        <v>4933</v>
      </c>
      <c r="D262" s="322">
        <v>19768.0</v>
      </c>
      <c r="E262" s="322">
        <v>44567.0</v>
      </c>
      <c r="F262" s="19" t="s">
        <v>6216</v>
      </c>
      <c r="G262" s="19" t="s">
        <v>6211</v>
      </c>
      <c r="H262" s="19" t="s">
        <v>6212</v>
      </c>
      <c r="I262" s="19" t="s">
        <v>6193</v>
      </c>
      <c r="J262" s="19"/>
      <c r="K262" s="264"/>
      <c r="L262" s="264"/>
      <c r="M262" s="323"/>
      <c r="N262" s="323"/>
      <c r="O262" s="264"/>
      <c r="P262" s="264"/>
    </row>
    <row r="263">
      <c r="A263" s="19">
        <v>12778.0</v>
      </c>
      <c r="B263" s="321">
        <v>0.4895833333333333</v>
      </c>
      <c r="C263" s="316" t="s">
        <v>1702</v>
      </c>
      <c r="D263" s="322">
        <v>24069.0</v>
      </c>
      <c r="E263" s="322">
        <v>44567.0</v>
      </c>
      <c r="F263" s="19" t="s">
        <v>6220</v>
      </c>
      <c r="G263" s="19" t="s">
        <v>6211</v>
      </c>
      <c r="H263" s="19" t="s">
        <v>6212</v>
      </c>
      <c r="I263" s="19" t="s">
        <v>6196</v>
      </c>
      <c r="J263" s="19"/>
      <c r="K263" s="264"/>
      <c r="L263" s="264"/>
      <c r="M263" s="323"/>
      <c r="N263" s="323"/>
      <c r="O263" s="264"/>
      <c r="P263" s="264"/>
    </row>
    <row r="264">
      <c r="A264" s="19">
        <v>13950.0</v>
      </c>
      <c r="B264" s="321">
        <v>0.5520833333333334</v>
      </c>
      <c r="C264" s="316" t="s">
        <v>2634</v>
      </c>
      <c r="D264" s="322">
        <v>21926.0</v>
      </c>
      <c r="E264" s="322">
        <v>44567.0</v>
      </c>
      <c r="F264" s="19" t="s">
        <v>6216</v>
      </c>
      <c r="G264" s="19" t="s">
        <v>6211</v>
      </c>
      <c r="H264" s="19" t="s">
        <v>6212</v>
      </c>
      <c r="I264" s="19" t="s">
        <v>6139</v>
      </c>
      <c r="J264" s="19"/>
      <c r="K264" s="264"/>
      <c r="L264" s="264"/>
      <c r="M264" s="323"/>
      <c r="N264" s="323"/>
      <c r="O264" s="264"/>
      <c r="P264" s="264"/>
    </row>
    <row r="265">
      <c r="A265" s="19">
        <v>10516.0</v>
      </c>
      <c r="B265" s="321">
        <v>0.5520833333333334</v>
      </c>
      <c r="C265" s="316" t="s">
        <v>580</v>
      </c>
      <c r="D265" s="322">
        <v>25305.0</v>
      </c>
      <c r="E265" s="322">
        <v>44567.0</v>
      </c>
      <c r="F265" s="19" t="s">
        <v>6216</v>
      </c>
      <c r="G265" s="19" t="s">
        <v>6211</v>
      </c>
      <c r="H265" s="19" t="s">
        <v>6212</v>
      </c>
      <c r="I265" s="19" t="s">
        <v>6196</v>
      </c>
      <c r="J265" s="19"/>
      <c r="K265" s="264"/>
      <c r="L265" s="264"/>
      <c r="M265" s="323"/>
      <c r="N265" s="323"/>
      <c r="O265" s="264"/>
      <c r="P265" s="264"/>
    </row>
    <row r="266">
      <c r="A266" s="19">
        <v>12638.0</v>
      </c>
      <c r="B266" s="321">
        <v>0.5729166666666666</v>
      </c>
      <c r="C266" s="316" t="s">
        <v>1595</v>
      </c>
      <c r="D266" s="322">
        <v>25617.0</v>
      </c>
      <c r="E266" s="322">
        <v>44567.0</v>
      </c>
      <c r="F266" s="19" t="s">
        <v>5</v>
      </c>
      <c r="G266" s="19" t="s">
        <v>6211</v>
      </c>
      <c r="H266" s="19" t="s">
        <v>6212</v>
      </c>
      <c r="I266" s="19" t="s">
        <v>6117</v>
      </c>
      <c r="J266" s="19"/>
      <c r="K266" s="264"/>
      <c r="L266" s="264"/>
      <c r="M266" s="264"/>
      <c r="N266" s="264"/>
      <c r="O266" s="264"/>
      <c r="P266" s="264"/>
    </row>
    <row r="267">
      <c r="A267" s="19">
        <v>16609.0</v>
      </c>
      <c r="B267" s="321">
        <v>0.5729166666666666</v>
      </c>
      <c r="C267" s="316" t="s">
        <v>4817</v>
      </c>
      <c r="D267" s="322">
        <v>19761.0</v>
      </c>
      <c r="E267" s="322">
        <v>44567.0</v>
      </c>
      <c r="F267" s="19" t="s">
        <v>5</v>
      </c>
      <c r="G267" s="19" t="s">
        <v>6211</v>
      </c>
      <c r="H267" s="19" t="s">
        <v>6212</v>
      </c>
      <c r="I267" s="19" t="s">
        <v>6082</v>
      </c>
      <c r="J267" s="19"/>
      <c r="K267" s="264"/>
      <c r="L267" s="264"/>
      <c r="M267" s="323"/>
      <c r="N267" s="323"/>
      <c r="O267" s="264"/>
      <c r="P267" s="264"/>
    </row>
    <row r="268">
      <c r="A268" s="19">
        <v>10015.0</v>
      </c>
      <c r="B268" s="321">
        <v>0.59375</v>
      </c>
      <c r="C268" s="316" t="s">
        <v>372</v>
      </c>
      <c r="D268" s="322">
        <v>20741.0</v>
      </c>
      <c r="E268" s="322">
        <v>44567.0</v>
      </c>
      <c r="F268" s="19" t="s">
        <v>5</v>
      </c>
      <c r="G268" s="19" t="s">
        <v>6211</v>
      </c>
      <c r="H268" s="19" t="s">
        <v>6212</v>
      </c>
      <c r="I268" s="19" t="s">
        <v>6085</v>
      </c>
      <c r="J268" s="19"/>
      <c r="K268" s="264"/>
      <c r="L268" s="264"/>
      <c r="M268" s="323"/>
      <c r="N268" s="323"/>
      <c r="O268" s="264"/>
      <c r="P268" s="264"/>
    </row>
    <row r="269">
      <c r="A269" s="19">
        <v>9892.0</v>
      </c>
      <c r="B269" s="321">
        <v>0.6041666666666666</v>
      </c>
      <c r="C269" s="316" t="s">
        <v>335</v>
      </c>
      <c r="D269" s="322">
        <v>24543.0</v>
      </c>
      <c r="E269" s="322">
        <v>44567.0</v>
      </c>
      <c r="F269" s="19" t="s">
        <v>6215</v>
      </c>
      <c r="G269" s="19" t="s">
        <v>6211</v>
      </c>
      <c r="H269" s="19" t="s">
        <v>6212</v>
      </c>
      <c r="I269" s="19" t="s">
        <v>6199</v>
      </c>
      <c r="J269" s="19"/>
      <c r="K269" s="264"/>
      <c r="L269" s="264"/>
      <c r="M269" s="323"/>
      <c r="N269" s="264"/>
      <c r="O269" s="264"/>
      <c r="P269" s="264"/>
    </row>
    <row r="270">
      <c r="A270" s="19">
        <v>15508.0</v>
      </c>
      <c r="B270" s="321">
        <v>0.7083333333333334</v>
      </c>
      <c r="C270" s="316" t="s">
        <v>5194</v>
      </c>
      <c r="D270" s="322">
        <v>25256.0</v>
      </c>
      <c r="E270" s="322">
        <v>44567.0</v>
      </c>
      <c r="F270" s="19" t="s">
        <v>6216</v>
      </c>
      <c r="G270" s="19" t="s">
        <v>6211</v>
      </c>
      <c r="H270" s="19" t="s">
        <v>6212</v>
      </c>
      <c r="I270" s="19" t="s">
        <v>6142</v>
      </c>
      <c r="J270" s="19"/>
      <c r="K270" s="264"/>
      <c r="L270" s="264"/>
      <c r="M270" s="323"/>
      <c r="N270" s="323"/>
      <c r="O270" s="264"/>
      <c r="P270" s="264"/>
    </row>
    <row r="271">
      <c r="A271" s="19">
        <v>14826.0</v>
      </c>
      <c r="B271" s="321">
        <v>0.7083333333333334</v>
      </c>
      <c r="C271" s="316" t="s">
        <v>3330</v>
      </c>
      <c r="D271" s="322">
        <v>16646.0</v>
      </c>
      <c r="E271" s="322">
        <v>44567.0</v>
      </c>
      <c r="F271" s="19" t="s">
        <v>9</v>
      </c>
      <c r="G271" s="19" t="s">
        <v>9</v>
      </c>
      <c r="H271" s="19" t="s">
        <v>6212</v>
      </c>
      <c r="I271" s="19" t="s">
        <v>6137</v>
      </c>
      <c r="J271" s="19"/>
      <c r="K271" s="264"/>
      <c r="L271" s="264"/>
      <c r="M271" s="323"/>
      <c r="N271" s="323"/>
      <c r="O271" s="264"/>
      <c r="P271" s="264"/>
    </row>
    <row r="272">
      <c r="A272" s="19">
        <v>14826.0</v>
      </c>
      <c r="B272" s="321">
        <v>0.7083333333333334</v>
      </c>
      <c r="C272" s="316" t="s">
        <v>3330</v>
      </c>
      <c r="D272" s="322">
        <v>16646.0</v>
      </c>
      <c r="E272" s="322">
        <v>44567.0</v>
      </c>
      <c r="F272" s="19" t="s">
        <v>6215</v>
      </c>
      <c r="G272" s="19" t="s">
        <v>6211</v>
      </c>
      <c r="H272" s="19" t="s">
        <v>6212</v>
      </c>
      <c r="I272" s="19" t="s">
        <v>6137</v>
      </c>
      <c r="J272" s="19"/>
      <c r="K272" s="264"/>
      <c r="L272" s="264"/>
      <c r="M272" s="323"/>
      <c r="N272" s="323"/>
      <c r="O272" s="264"/>
      <c r="P272" s="264"/>
    </row>
    <row r="273">
      <c r="A273" s="19">
        <v>13946.0</v>
      </c>
      <c r="B273" s="321">
        <v>0.7083333333333334</v>
      </c>
      <c r="C273" s="316" t="s">
        <v>2631</v>
      </c>
      <c r="D273" s="322">
        <v>26251.0</v>
      </c>
      <c r="E273" s="322">
        <v>44567.0</v>
      </c>
      <c r="F273" s="19" t="s">
        <v>5</v>
      </c>
      <c r="G273" s="19" t="s">
        <v>6211</v>
      </c>
      <c r="H273" s="19" t="s">
        <v>6212</v>
      </c>
      <c r="I273" s="19" t="s">
        <v>6199</v>
      </c>
      <c r="J273" s="19"/>
      <c r="K273" s="264"/>
      <c r="L273" s="264"/>
      <c r="M273" s="323"/>
      <c r="N273" s="323"/>
      <c r="O273" s="264"/>
      <c r="P273" s="264"/>
    </row>
    <row r="274">
      <c r="A274" s="19">
        <v>9286.0</v>
      </c>
      <c r="B274" s="321">
        <v>0.7083333333333334</v>
      </c>
      <c r="C274" s="316" t="s">
        <v>133</v>
      </c>
      <c r="D274" s="322">
        <v>14829.0</v>
      </c>
      <c r="E274" s="322">
        <v>44567.0</v>
      </c>
      <c r="F274" s="19" t="s">
        <v>5</v>
      </c>
      <c r="G274" s="19" t="s">
        <v>6211</v>
      </c>
      <c r="H274" s="19" t="s">
        <v>6212</v>
      </c>
      <c r="I274" s="19" t="s">
        <v>6137</v>
      </c>
      <c r="J274" s="19"/>
      <c r="K274" s="264"/>
      <c r="L274" s="264"/>
      <c r="M274" s="323"/>
      <c r="N274" s="323"/>
      <c r="O274" s="264"/>
      <c r="P274" s="264"/>
    </row>
    <row r="275">
      <c r="A275" s="19">
        <v>15057.0</v>
      </c>
      <c r="B275" s="321">
        <v>0.7083333333333334</v>
      </c>
      <c r="C275" s="316" t="s">
        <v>3519</v>
      </c>
      <c r="D275" s="322">
        <v>28968.0</v>
      </c>
      <c r="E275" s="322">
        <v>44567.0</v>
      </c>
      <c r="F275" s="19" t="s">
        <v>6216</v>
      </c>
      <c r="G275" s="19" t="s">
        <v>6211</v>
      </c>
      <c r="H275" s="19" t="s">
        <v>6212</v>
      </c>
      <c r="I275" s="19" t="s">
        <v>6196</v>
      </c>
      <c r="J275" s="19"/>
      <c r="K275" s="264"/>
      <c r="L275" s="264"/>
      <c r="M275" s="323"/>
      <c r="N275" s="323"/>
      <c r="O275" s="264"/>
      <c r="P275" s="264"/>
    </row>
    <row r="276">
      <c r="A276" s="19">
        <v>12397.0</v>
      </c>
      <c r="B276" s="321">
        <v>0.3541666666666667</v>
      </c>
      <c r="C276" s="316" t="s">
        <v>1436</v>
      </c>
      <c r="D276" s="322">
        <v>24151.0</v>
      </c>
      <c r="E276" s="322">
        <v>44567.0</v>
      </c>
      <c r="F276" s="19" t="s">
        <v>6215</v>
      </c>
      <c r="G276" s="19" t="s">
        <v>6218</v>
      </c>
      <c r="H276" s="19" t="s">
        <v>6219</v>
      </c>
      <c r="I276" s="19" t="s">
        <v>6091</v>
      </c>
      <c r="J276" s="19"/>
      <c r="K276" s="264"/>
      <c r="L276" s="264"/>
      <c r="M276" s="323"/>
      <c r="N276" s="323"/>
      <c r="O276" s="264"/>
      <c r="P276" s="264"/>
    </row>
    <row r="277">
      <c r="A277" s="19">
        <v>15160.0</v>
      </c>
      <c r="B277" s="321">
        <v>0.375</v>
      </c>
      <c r="C277" s="316" t="s">
        <v>3607</v>
      </c>
      <c r="D277" s="322">
        <v>29365.0</v>
      </c>
      <c r="E277" s="322">
        <v>44567.0</v>
      </c>
      <c r="F277" s="19" t="s">
        <v>5</v>
      </c>
      <c r="G277" s="19" t="s">
        <v>6218</v>
      </c>
      <c r="H277" s="19" t="s">
        <v>6219</v>
      </c>
      <c r="I277" s="19" t="s">
        <v>6148</v>
      </c>
      <c r="J277" s="19"/>
      <c r="K277" s="264"/>
      <c r="L277" s="264"/>
      <c r="M277" s="323"/>
      <c r="N277" s="264"/>
      <c r="O277" s="264"/>
      <c r="P277" s="264"/>
    </row>
    <row r="278">
      <c r="A278" s="19">
        <v>13447.0</v>
      </c>
      <c r="B278" s="321">
        <v>0.3854166666666667</v>
      </c>
      <c r="C278" s="316" t="s">
        <v>2237</v>
      </c>
      <c r="D278" s="322">
        <v>24516.0</v>
      </c>
      <c r="E278" s="322">
        <v>44567.0</v>
      </c>
      <c r="F278" s="19" t="s">
        <v>5</v>
      </c>
      <c r="G278" s="19" t="s">
        <v>6218</v>
      </c>
      <c r="H278" s="19" t="s">
        <v>6219</v>
      </c>
      <c r="I278" s="19" t="s">
        <v>6119</v>
      </c>
      <c r="J278" s="19"/>
      <c r="K278" s="264"/>
      <c r="L278" s="264"/>
      <c r="M278" s="323"/>
      <c r="N278" s="264"/>
      <c r="O278" s="264"/>
      <c r="P278" s="264"/>
    </row>
    <row r="279">
      <c r="A279" s="19">
        <v>15081.0</v>
      </c>
      <c r="B279" s="321">
        <v>0.3958333333333333</v>
      </c>
      <c r="C279" s="316" t="s">
        <v>3541</v>
      </c>
      <c r="D279" s="322">
        <v>22789.0</v>
      </c>
      <c r="E279" s="322">
        <v>44567.0</v>
      </c>
      <c r="F279" s="19" t="s">
        <v>5</v>
      </c>
      <c r="G279" s="19" t="s">
        <v>6218</v>
      </c>
      <c r="H279" s="19" t="s">
        <v>6219</v>
      </c>
      <c r="I279" s="19" t="s">
        <v>6130</v>
      </c>
      <c r="J279" s="19"/>
      <c r="K279" s="264"/>
      <c r="L279" s="264"/>
      <c r="M279" s="323"/>
      <c r="N279" s="323"/>
      <c r="O279" s="264"/>
      <c r="P279" s="264"/>
    </row>
    <row r="280">
      <c r="A280" s="19">
        <v>10407.0</v>
      </c>
      <c r="B280" s="321">
        <v>0.4166666666666667</v>
      </c>
      <c r="C280" s="316" t="s">
        <v>534</v>
      </c>
      <c r="D280" s="322">
        <v>21435.0</v>
      </c>
      <c r="E280" s="322">
        <v>44567.0</v>
      </c>
      <c r="F280" s="19" t="s">
        <v>6216</v>
      </c>
      <c r="G280" s="19" t="s">
        <v>6218</v>
      </c>
      <c r="H280" s="19" t="s">
        <v>6219</v>
      </c>
      <c r="I280" s="19" t="s">
        <v>6223</v>
      </c>
      <c r="J280" s="19"/>
      <c r="K280" s="264"/>
      <c r="L280" s="264"/>
      <c r="M280" s="323"/>
      <c r="N280" s="264"/>
      <c r="O280" s="264"/>
      <c r="P280" s="264"/>
    </row>
    <row r="281">
      <c r="A281" s="19">
        <v>16167.0</v>
      </c>
      <c r="B281" s="321">
        <v>0.5625</v>
      </c>
      <c r="C281" s="316" t="s">
        <v>4482</v>
      </c>
      <c r="D281" s="322">
        <v>19877.0</v>
      </c>
      <c r="E281" s="322">
        <v>44567.0</v>
      </c>
      <c r="F281" s="19" t="s">
        <v>5</v>
      </c>
      <c r="G281" s="19" t="s">
        <v>6218</v>
      </c>
      <c r="H281" s="19" t="s">
        <v>6219</v>
      </c>
      <c r="I281" s="19" t="s">
        <v>6186</v>
      </c>
      <c r="J281" s="19"/>
      <c r="K281" s="264"/>
      <c r="L281" s="264"/>
      <c r="M281" s="323"/>
      <c r="N281" s="323"/>
      <c r="O281" s="264"/>
      <c r="P281" s="264"/>
    </row>
    <row r="282">
      <c r="A282" s="19">
        <v>16166.0</v>
      </c>
      <c r="B282" s="321">
        <v>0.5625</v>
      </c>
      <c r="C282" s="316" t="s">
        <v>4481</v>
      </c>
      <c r="D282" s="322">
        <v>21767.0</v>
      </c>
      <c r="E282" s="322">
        <v>44567.0</v>
      </c>
      <c r="F282" s="19" t="s">
        <v>5</v>
      </c>
      <c r="G282" s="19" t="s">
        <v>6218</v>
      </c>
      <c r="H282" s="19" t="s">
        <v>6219</v>
      </c>
      <c r="I282" s="19" t="s">
        <v>6186</v>
      </c>
      <c r="J282" s="19"/>
      <c r="K282" s="264"/>
      <c r="L282" s="264"/>
      <c r="M282" s="323"/>
      <c r="N282" s="323"/>
      <c r="O282" s="264"/>
      <c r="P282" s="264"/>
    </row>
    <row r="283">
      <c r="A283" s="19">
        <v>10632.0</v>
      </c>
      <c r="B283" s="321">
        <v>0.5833333333333334</v>
      </c>
      <c r="C283" s="316" t="s">
        <v>617</v>
      </c>
      <c r="D283" s="322">
        <v>22528.0</v>
      </c>
      <c r="E283" s="322">
        <v>44567.0</v>
      </c>
      <c r="F283" s="19" t="s">
        <v>6220</v>
      </c>
      <c r="G283" s="19" t="s">
        <v>6218</v>
      </c>
      <c r="H283" s="19" t="s">
        <v>6219</v>
      </c>
      <c r="I283" s="19" t="s">
        <v>6142</v>
      </c>
      <c r="J283" s="19"/>
      <c r="K283" s="264"/>
      <c r="L283" s="264"/>
      <c r="M283" s="323"/>
      <c r="N283" s="323"/>
      <c r="O283" s="264"/>
      <c r="P283" s="264"/>
    </row>
    <row r="284">
      <c r="A284" s="19">
        <v>13331.0</v>
      </c>
      <c r="B284" s="321">
        <v>0.59375</v>
      </c>
      <c r="C284" s="316" t="s">
        <v>2153</v>
      </c>
      <c r="D284" s="322">
        <v>17613.0</v>
      </c>
      <c r="E284" s="322">
        <v>44567.0</v>
      </c>
      <c r="F284" s="19" t="s">
        <v>6215</v>
      </c>
      <c r="G284" s="19" t="s">
        <v>6218</v>
      </c>
      <c r="H284" s="19" t="s">
        <v>6219</v>
      </c>
      <c r="I284" s="19" t="s">
        <v>6095</v>
      </c>
      <c r="J284" s="19"/>
      <c r="K284" s="264"/>
      <c r="L284" s="264"/>
      <c r="M284" s="323"/>
      <c r="N284" s="323"/>
      <c r="O284" s="264"/>
      <c r="P284" s="264"/>
    </row>
    <row r="285">
      <c r="A285" s="19">
        <v>13446.0</v>
      </c>
      <c r="B285" s="321">
        <v>0.625</v>
      </c>
      <c r="C285" s="316" t="s">
        <v>2236</v>
      </c>
      <c r="D285" s="322">
        <v>22265.0</v>
      </c>
      <c r="E285" s="322">
        <v>44567.0</v>
      </c>
      <c r="F285" s="19" t="s">
        <v>6220</v>
      </c>
      <c r="G285" s="19" t="s">
        <v>6218</v>
      </c>
      <c r="H285" s="19" t="s">
        <v>6219</v>
      </c>
      <c r="I285" s="19" t="s">
        <v>6142</v>
      </c>
      <c r="J285" s="19"/>
      <c r="K285" s="264"/>
      <c r="L285" s="264"/>
      <c r="M285" s="323"/>
      <c r="N285" s="323"/>
      <c r="O285" s="264"/>
      <c r="P285" s="264"/>
    </row>
    <row r="286">
      <c r="A286" s="19">
        <v>13544.0</v>
      </c>
      <c r="B286" s="321">
        <v>0.6354166666666666</v>
      </c>
      <c r="C286" s="316" t="s">
        <v>2316</v>
      </c>
      <c r="D286" s="322">
        <v>27937.0</v>
      </c>
      <c r="E286" s="322">
        <v>44567.0</v>
      </c>
      <c r="F286" s="19" t="s">
        <v>5</v>
      </c>
      <c r="G286" s="19" t="s">
        <v>6218</v>
      </c>
      <c r="H286" s="19" t="s">
        <v>6219</v>
      </c>
      <c r="I286" s="19" t="s">
        <v>6117</v>
      </c>
      <c r="J286" s="19"/>
      <c r="K286" s="264"/>
      <c r="L286" s="264"/>
      <c r="M286" s="323"/>
      <c r="N286" s="323"/>
      <c r="O286" s="264"/>
      <c r="P286" s="264"/>
    </row>
    <row r="287">
      <c r="A287" s="19">
        <v>15253.0</v>
      </c>
      <c r="B287" s="321">
        <v>0.6458333333333334</v>
      </c>
      <c r="C287" s="316" t="s">
        <v>3686</v>
      </c>
      <c r="D287" s="322">
        <v>24706.0</v>
      </c>
      <c r="E287" s="322">
        <v>44567.0</v>
      </c>
      <c r="F287" s="19" t="s">
        <v>6215</v>
      </c>
      <c r="G287" s="19" t="s">
        <v>6218</v>
      </c>
      <c r="H287" s="19" t="s">
        <v>6219</v>
      </c>
      <c r="I287" s="19" t="s">
        <v>6084</v>
      </c>
      <c r="J287" s="19"/>
      <c r="K287" s="264"/>
      <c r="L287" s="264"/>
      <c r="M287" s="323"/>
      <c r="N287" s="323"/>
      <c r="O287" s="264"/>
      <c r="P287" s="264"/>
    </row>
    <row r="288">
      <c r="A288" s="19">
        <v>15479.0</v>
      </c>
      <c r="B288" s="321">
        <v>0.6458333333333334</v>
      </c>
      <c r="C288" s="316" t="s">
        <v>3871</v>
      </c>
      <c r="D288" s="322">
        <v>28397.0</v>
      </c>
      <c r="E288" s="322">
        <v>44567.0</v>
      </c>
      <c r="F288" s="19" t="s">
        <v>6215</v>
      </c>
      <c r="G288" s="19" t="s">
        <v>6218</v>
      </c>
      <c r="H288" s="19" t="s">
        <v>6219</v>
      </c>
      <c r="I288" s="19" t="s">
        <v>6202</v>
      </c>
      <c r="J288" s="19"/>
      <c r="K288" s="264"/>
      <c r="L288" s="264"/>
      <c r="M288" s="323"/>
      <c r="N288" s="323"/>
      <c r="O288" s="264"/>
      <c r="P288" s="264"/>
    </row>
    <row r="289">
      <c r="A289" s="19">
        <v>9300.0</v>
      </c>
      <c r="B289" s="321">
        <v>0.7083333333333334</v>
      </c>
      <c r="C289" s="316" t="s">
        <v>135</v>
      </c>
      <c r="D289" s="322">
        <v>32377.0</v>
      </c>
      <c r="E289" s="322">
        <v>44567.0</v>
      </c>
      <c r="F289" s="19" t="s">
        <v>5</v>
      </c>
      <c r="G289" s="19" t="s">
        <v>6218</v>
      </c>
      <c r="H289" s="19" t="s">
        <v>6219</v>
      </c>
      <c r="I289" s="19" t="s">
        <v>6154</v>
      </c>
      <c r="J289" s="19"/>
      <c r="K289" s="264"/>
      <c r="L289" s="264"/>
      <c r="M289" s="323"/>
      <c r="N289" s="323"/>
      <c r="O289" s="264"/>
      <c r="P289" s="264"/>
    </row>
    <row r="290">
      <c r="A290" s="19">
        <v>13602.0</v>
      </c>
      <c r="B290" s="321">
        <v>0.7083333333333334</v>
      </c>
      <c r="C290" s="316" t="s">
        <v>2362</v>
      </c>
      <c r="D290" s="322">
        <v>24396.0</v>
      </c>
      <c r="E290" s="322">
        <v>44567.0</v>
      </c>
      <c r="F290" s="19" t="s">
        <v>6215</v>
      </c>
      <c r="G290" s="19" t="s">
        <v>6218</v>
      </c>
      <c r="H290" s="19" t="s">
        <v>6219</v>
      </c>
      <c r="I290" s="19" t="s">
        <v>6117</v>
      </c>
      <c r="J290" s="19"/>
      <c r="K290" s="264"/>
      <c r="L290" s="264"/>
      <c r="M290" s="323"/>
      <c r="N290" s="264"/>
      <c r="O290" s="264"/>
      <c r="P290" s="264"/>
    </row>
    <row r="291">
      <c r="A291" s="19">
        <v>13183.0</v>
      </c>
      <c r="B291" s="321">
        <v>0.71875</v>
      </c>
      <c r="C291" s="316" t="s">
        <v>2036</v>
      </c>
      <c r="D291" s="322">
        <v>32643.0</v>
      </c>
      <c r="E291" s="322">
        <v>44567.0</v>
      </c>
      <c r="F291" s="19" t="s">
        <v>5</v>
      </c>
      <c r="G291" s="19" t="s">
        <v>6218</v>
      </c>
      <c r="H291" s="19" t="s">
        <v>6219</v>
      </c>
      <c r="I291" s="19" t="s">
        <v>6199</v>
      </c>
      <c r="J291" s="19"/>
      <c r="K291" s="264"/>
      <c r="L291" s="264"/>
      <c r="M291" s="323"/>
      <c r="N291" s="323"/>
      <c r="O291" s="264"/>
      <c r="P291" s="264"/>
    </row>
    <row r="292">
      <c r="A292" s="19">
        <v>12879.0</v>
      </c>
      <c r="B292" s="321">
        <v>0.71875</v>
      </c>
      <c r="C292" s="316" t="s">
        <v>1788</v>
      </c>
      <c r="D292" s="322">
        <v>20311.0</v>
      </c>
      <c r="E292" s="322">
        <v>44567.0</v>
      </c>
      <c r="F292" s="19" t="s">
        <v>6215</v>
      </c>
      <c r="G292" s="19" t="s">
        <v>6218</v>
      </c>
      <c r="H292" s="19" t="s">
        <v>6219</v>
      </c>
      <c r="I292" s="19" t="s">
        <v>6083</v>
      </c>
      <c r="J292" s="19"/>
      <c r="K292" s="264"/>
      <c r="L292" s="264"/>
      <c r="M292" s="323"/>
      <c r="N292" s="323"/>
      <c r="O292" s="264"/>
      <c r="P292" s="264"/>
    </row>
    <row r="293">
      <c r="A293" s="19">
        <v>11940.0</v>
      </c>
      <c r="B293" s="321">
        <v>0.3333333333333333</v>
      </c>
      <c r="C293" s="316" t="s">
        <v>1196</v>
      </c>
      <c r="D293" s="322">
        <v>20958.0</v>
      </c>
      <c r="E293" s="322">
        <v>44567.0</v>
      </c>
      <c r="F293" s="19" t="s">
        <v>5</v>
      </c>
      <c r="G293" s="19" t="s">
        <v>6218</v>
      </c>
      <c r="H293" s="19" t="s">
        <v>6222</v>
      </c>
      <c r="I293" s="19" t="s">
        <v>6089</v>
      </c>
      <c r="J293" s="19"/>
      <c r="K293" s="264"/>
      <c r="L293" s="264"/>
      <c r="M293" s="323"/>
      <c r="N293" s="323"/>
      <c r="O293" s="264"/>
      <c r="P293" s="264"/>
    </row>
    <row r="294">
      <c r="A294" s="19">
        <v>11568.0</v>
      </c>
      <c r="B294" s="321">
        <v>0.34375</v>
      </c>
      <c r="C294" s="316" t="s">
        <v>1011</v>
      </c>
      <c r="D294" s="322">
        <v>18906.0</v>
      </c>
      <c r="E294" s="322">
        <v>44567.0</v>
      </c>
      <c r="F294" s="19" t="s">
        <v>6216</v>
      </c>
      <c r="G294" s="19" t="s">
        <v>6218</v>
      </c>
      <c r="H294" s="19" t="s">
        <v>6222</v>
      </c>
      <c r="I294" s="19" t="s">
        <v>6196</v>
      </c>
      <c r="J294" s="19"/>
      <c r="K294" s="264"/>
      <c r="L294" s="264"/>
      <c r="M294" s="323"/>
      <c r="N294" s="323"/>
      <c r="O294" s="264"/>
      <c r="P294" s="264"/>
    </row>
    <row r="295">
      <c r="A295" s="19">
        <v>10479.0</v>
      </c>
      <c r="B295" s="321">
        <v>0.3541666666666667</v>
      </c>
      <c r="C295" s="316" t="s">
        <v>564</v>
      </c>
      <c r="D295" s="322">
        <v>19822.0</v>
      </c>
      <c r="E295" s="322">
        <v>44567.0</v>
      </c>
      <c r="F295" s="19" t="s">
        <v>6216</v>
      </c>
      <c r="G295" s="19" t="s">
        <v>6218</v>
      </c>
      <c r="H295" s="19" t="s">
        <v>6222</v>
      </c>
      <c r="I295" s="19" t="s">
        <v>6195</v>
      </c>
      <c r="J295" s="19"/>
      <c r="K295" s="264"/>
      <c r="L295" s="264"/>
      <c r="M295" s="323"/>
      <c r="N295" s="323"/>
      <c r="O295" s="264"/>
      <c r="P295" s="264"/>
    </row>
    <row r="296">
      <c r="A296" s="19">
        <v>9909.0</v>
      </c>
      <c r="B296" s="321">
        <v>0.375</v>
      </c>
      <c r="C296" s="316" t="s">
        <v>339</v>
      </c>
      <c r="D296" s="322">
        <v>22143.0</v>
      </c>
      <c r="E296" s="322">
        <v>44567.0</v>
      </c>
      <c r="F296" s="19" t="s">
        <v>6216</v>
      </c>
      <c r="G296" s="19" t="s">
        <v>6218</v>
      </c>
      <c r="H296" s="19" t="s">
        <v>6222</v>
      </c>
      <c r="I296" s="19" t="s">
        <v>6189</v>
      </c>
      <c r="J296" s="19"/>
      <c r="K296" s="264"/>
      <c r="L296" s="264"/>
      <c r="M296" s="323"/>
      <c r="N296" s="323"/>
      <c r="O296" s="264"/>
      <c r="P296" s="264"/>
    </row>
    <row r="297">
      <c r="A297" s="19">
        <v>10903.0</v>
      </c>
      <c r="B297" s="321">
        <v>0.375</v>
      </c>
      <c r="C297" s="316" t="s">
        <v>718</v>
      </c>
      <c r="D297" s="322">
        <v>22992.0</v>
      </c>
      <c r="E297" s="322">
        <v>44567.0</v>
      </c>
      <c r="F297" s="19" t="s">
        <v>5</v>
      </c>
      <c r="G297" s="19" t="s">
        <v>6218</v>
      </c>
      <c r="H297" s="19" t="s">
        <v>6222</v>
      </c>
      <c r="I297" s="19" t="s">
        <v>6094</v>
      </c>
      <c r="J297" s="19"/>
      <c r="K297" s="264"/>
      <c r="L297" s="264"/>
      <c r="M297" s="323"/>
      <c r="N297" s="264"/>
      <c r="O297" s="264"/>
      <c r="P297" s="264"/>
    </row>
    <row r="298">
      <c r="A298" s="19">
        <v>12224.0</v>
      </c>
      <c r="B298" s="321">
        <v>0.3854166666666667</v>
      </c>
      <c r="C298" s="316" t="s">
        <v>1331</v>
      </c>
      <c r="D298" s="322">
        <v>28683.0</v>
      </c>
      <c r="E298" s="322">
        <v>44567.0</v>
      </c>
      <c r="F298" s="19" t="s">
        <v>5</v>
      </c>
      <c r="G298" s="19" t="s">
        <v>6218</v>
      </c>
      <c r="H298" s="19" t="s">
        <v>6222</v>
      </c>
      <c r="I298" s="19" t="s">
        <v>6154</v>
      </c>
      <c r="J298" s="19"/>
      <c r="K298" s="264"/>
      <c r="L298" s="264"/>
      <c r="M298" s="323"/>
      <c r="N298" s="323"/>
      <c r="O298" s="264"/>
      <c r="P298" s="264"/>
    </row>
    <row r="299">
      <c r="A299" s="19">
        <v>10525.0</v>
      </c>
      <c r="B299" s="321">
        <v>0.40625</v>
      </c>
      <c r="C299" s="316" t="s">
        <v>587</v>
      </c>
      <c r="D299" s="322">
        <v>21713.0</v>
      </c>
      <c r="E299" s="322">
        <v>44567.0</v>
      </c>
      <c r="F299" s="19" t="s">
        <v>6215</v>
      </c>
      <c r="G299" s="19" t="s">
        <v>6218</v>
      </c>
      <c r="H299" s="19" t="s">
        <v>6222</v>
      </c>
      <c r="I299" s="19" t="s">
        <v>6199</v>
      </c>
      <c r="J299" s="19"/>
      <c r="K299" s="264"/>
      <c r="L299" s="264"/>
      <c r="M299" s="323"/>
      <c r="N299" s="264"/>
      <c r="O299" s="264"/>
      <c r="P299" s="264"/>
    </row>
    <row r="300">
      <c r="A300" s="19">
        <v>16046.0</v>
      </c>
      <c r="B300" s="321">
        <v>0.4166666666666667</v>
      </c>
      <c r="C300" s="316" t="s">
        <v>4377</v>
      </c>
      <c r="D300" s="322">
        <v>18837.0</v>
      </c>
      <c r="E300" s="322">
        <v>44567.0</v>
      </c>
      <c r="F300" s="19" t="s">
        <v>6220</v>
      </c>
      <c r="G300" s="19" t="s">
        <v>6218</v>
      </c>
      <c r="H300" s="19" t="s">
        <v>6222</v>
      </c>
      <c r="I300" s="19" t="s">
        <v>6192</v>
      </c>
      <c r="J300" s="19"/>
      <c r="K300" s="264"/>
      <c r="L300" s="264"/>
      <c r="M300" s="323"/>
      <c r="N300" s="323"/>
      <c r="O300" s="264"/>
      <c r="P300" s="264"/>
    </row>
    <row r="301">
      <c r="A301" s="19">
        <v>9854.0</v>
      </c>
      <c r="B301" s="321">
        <v>0.4375</v>
      </c>
      <c r="C301" s="316" t="s">
        <v>321</v>
      </c>
      <c r="D301" s="322">
        <v>21614.0</v>
      </c>
      <c r="E301" s="322">
        <v>44567.0</v>
      </c>
      <c r="F301" s="19" t="s">
        <v>9</v>
      </c>
      <c r="G301" s="19" t="s">
        <v>9</v>
      </c>
      <c r="H301" s="19" t="s">
        <v>6222</v>
      </c>
      <c r="I301" s="19" t="s">
        <v>6137</v>
      </c>
      <c r="J301" s="19"/>
      <c r="K301" s="264"/>
      <c r="L301" s="264"/>
      <c r="M301" s="323"/>
      <c r="N301" s="264"/>
      <c r="O301" s="264"/>
      <c r="P301" s="264"/>
    </row>
    <row r="302">
      <c r="A302" s="19">
        <v>11391.0</v>
      </c>
      <c r="B302" s="321">
        <v>0.4375</v>
      </c>
      <c r="C302" s="316" t="s">
        <v>936</v>
      </c>
      <c r="D302" s="322">
        <v>21293.0</v>
      </c>
      <c r="E302" s="322">
        <v>44567.0</v>
      </c>
      <c r="F302" s="19" t="s">
        <v>5</v>
      </c>
      <c r="G302" s="19" t="s">
        <v>6218</v>
      </c>
      <c r="H302" s="19" t="s">
        <v>6222</v>
      </c>
      <c r="I302" s="19" t="s">
        <v>6095</v>
      </c>
      <c r="J302" s="19"/>
      <c r="K302" s="264"/>
      <c r="L302" s="264"/>
      <c r="M302" s="323"/>
      <c r="N302" s="323"/>
      <c r="O302" s="264"/>
      <c r="P302" s="264"/>
    </row>
    <row r="303">
      <c r="A303" s="19">
        <v>9854.0</v>
      </c>
      <c r="B303" s="321">
        <v>0.4375</v>
      </c>
      <c r="C303" s="316" t="s">
        <v>321</v>
      </c>
      <c r="D303" s="322">
        <v>21614.0</v>
      </c>
      <c r="E303" s="322">
        <v>44567.0</v>
      </c>
      <c r="F303" s="19" t="s">
        <v>5</v>
      </c>
      <c r="G303" s="19" t="s">
        <v>6218</v>
      </c>
      <c r="H303" s="19" t="s">
        <v>6222</v>
      </c>
      <c r="I303" s="19" t="s">
        <v>6137</v>
      </c>
      <c r="J303" s="19"/>
      <c r="K303" s="264"/>
      <c r="L303" s="264"/>
      <c r="M303" s="323"/>
      <c r="N303" s="264"/>
      <c r="O303" s="264"/>
      <c r="P303" s="264"/>
    </row>
    <row r="304">
      <c r="A304" s="19">
        <v>10185.0</v>
      </c>
      <c r="B304" s="321">
        <v>0.4583333333333333</v>
      </c>
      <c r="C304" s="316" t="s">
        <v>449</v>
      </c>
      <c r="D304" s="322">
        <v>24575.0</v>
      </c>
      <c r="E304" s="322">
        <v>44567.0</v>
      </c>
      <c r="F304" s="19" t="s">
        <v>6215</v>
      </c>
      <c r="G304" s="19" t="s">
        <v>6218</v>
      </c>
      <c r="H304" s="19" t="s">
        <v>6222</v>
      </c>
      <c r="I304" s="19" t="s">
        <v>6094</v>
      </c>
      <c r="J304" s="19"/>
      <c r="K304" s="264"/>
      <c r="L304" s="264"/>
      <c r="M304" s="323"/>
      <c r="N304" s="323"/>
      <c r="O304" s="264"/>
      <c r="P304" s="264"/>
    </row>
    <row r="305">
      <c r="A305" s="19">
        <v>14085.0</v>
      </c>
      <c r="B305" s="321">
        <v>0.4583333333333333</v>
      </c>
      <c r="C305" s="316" t="s">
        <v>2730</v>
      </c>
      <c r="D305" s="322">
        <v>15888.0</v>
      </c>
      <c r="E305" s="322">
        <v>44567.0</v>
      </c>
      <c r="F305" s="19" t="s">
        <v>5</v>
      </c>
      <c r="G305" s="19" t="s">
        <v>6218</v>
      </c>
      <c r="H305" s="19" t="s">
        <v>6222</v>
      </c>
      <c r="I305" s="19" t="s">
        <v>6083</v>
      </c>
      <c r="J305" s="19"/>
      <c r="K305" s="264"/>
      <c r="L305" s="264"/>
      <c r="M305" s="323"/>
      <c r="N305" s="323"/>
      <c r="O305" s="264"/>
      <c r="P305" s="264"/>
    </row>
    <row r="306">
      <c r="A306" s="19">
        <v>10399.0</v>
      </c>
      <c r="B306" s="321">
        <v>0.5416666666666666</v>
      </c>
      <c r="C306" s="316" t="s">
        <v>532</v>
      </c>
      <c r="D306" s="322">
        <v>29259.0</v>
      </c>
      <c r="E306" s="322">
        <v>44567.0</v>
      </c>
      <c r="F306" s="19" t="s">
        <v>5</v>
      </c>
      <c r="G306" s="19" t="s">
        <v>6218</v>
      </c>
      <c r="H306" s="19" t="s">
        <v>6222</v>
      </c>
      <c r="I306" s="19" t="s">
        <v>6199</v>
      </c>
      <c r="J306" s="19"/>
      <c r="K306" s="264"/>
      <c r="L306" s="264"/>
      <c r="M306" s="323"/>
      <c r="N306" s="323"/>
      <c r="O306" s="264"/>
      <c r="P306" s="264"/>
    </row>
    <row r="307">
      <c r="A307" s="19">
        <v>10392.0</v>
      </c>
      <c r="B307" s="321">
        <v>0.5625</v>
      </c>
      <c r="C307" s="316" t="s">
        <v>527</v>
      </c>
      <c r="D307" s="322">
        <v>31105.0</v>
      </c>
      <c r="E307" s="322">
        <v>44567.0</v>
      </c>
      <c r="F307" s="19" t="s">
        <v>6224</v>
      </c>
      <c r="G307" s="19" t="s">
        <v>6218</v>
      </c>
      <c r="H307" s="19" t="s">
        <v>6222</v>
      </c>
      <c r="I307" s="19" t="s">
        <v>6137</v>
      </c>
      <c r="J307" s="19"/>
      <c r="K307" s="264"/>
      <c r="L307" s="264"/>
      <c r="M307" s="323"/>
      <c r="N307" s="323"/>
      <c r="O307" s="264"/>
      <c r="P307" s="264"/>
    </row>
    <row r="308">
      <c r="A308" s="19">
        <v>10392.0</v>
      </c>
      <c r="B308" s="321">
        <v>0.5625</v>
      </c>
      <c r="C308" s="316" t="s">
        <v>527</v>
      </c>
      <c r="D308" s="322">
        <v>31105.0</v>
      </c>
      <c r="E308" s="322">
        <v>44567.0</v>
      </c>
      <c r="F308" s="19" t="s">
        <v>9</v>
      </c>
      <c r="G308" s="19" t="s">
        <v>9</v>
      </c>
      <c r="H308" s="19" t="s">
        <v>6222</v>
      </c>
      <c r="I308" s="19" t="s">
        <v>6137</v>
      </c>
      <c r="J308" s="19"/>
      <c r="K308" s="264"/>
      <c r="L308" s="264"/>
      <c r="M308" s="323"/>
      <c r="N308" s="323"/>
      <c r="O308" s="264"/>
      <c r="P308" s="264"/>
    </row>
    <row r="309">
      <c r="A309" s="19">
        <v>14729.0</v>
      </c>
      <c r="B309" s="321">
        <v>0.5729166666666666</v>
      </c>
      <c r="C309" s="316" t="s">
        <v>3252</v>
      </c>
      <c r="D309" s="322">
        <v>30461.0</v>
      </c>
      <c r="E309" s="322">
        <v>44567.0</v>
      </c>
      <c r="F309" s="19" t="s">
        <v>5</v>
      </c>
      <c r="G309" s="19" t="s">
        <v>6218</v>
      </c>
      <c r="H309" s="19" t="s">
        <v>6222</v>
      </c>
      <c r="I309" s="19" t="s">
        <v>6154</v>
      </c>
      <c r="J309" s="19"/>
      <c r="K309" s="264"/>
      <c r="L309" s="264"/>
      <c r="M309" s="323"/>
      <c r="N309" s="323"/>
      <c r="O309" s="264"/>
      <c r="P309" s="264"/>
    </row>
    <row r="310">
      <c r="A310" s="19">
        <v>15450.0</v>
      </c>
      <c r="B310" s="321">
        <v>0.6041666666666666</v>
      </c>
      <c r="C310" s="316" t="s">
        <v>3844</v>
      </c>
      <c r="D310" s="322">
        <v>15506.0</v>
      </c>
      <c r="E310" s="322">
        <v>44567.0</v>
      </c>
      <c r="F310" s="19" t="s">
        <v>6216</v>
      </c>
      <c r="G310" s="19" t="s">
        <v>6218</v>
      </c>
      <c r="H310" s="19" t="s">
        <v>6222</v>
      </c>
      <c r="I310" s="19" t="s">
        <v>6196</v>
      </c>
      <c r="J310" s="19"/>
      <c r="K310" s="264"/>
      <c r="L310" s="264"/>
      <c r="M310" s="323"/>
      <c r="N310" s="323"/>
      <c r="O310" s="264"/>
      <c r="P310" s="264"/>
    </row>
    <row r="311">
      <c r="A311" s="19">
        <v>16515.0</v>
      </c>
      <c r="B311" s="321">
        <v>0.6354166666666666</v>
      </c>
      <c r="C311" s="316" t="s">
        <v>4750</v>
      </c>
      <c r="D311" s="322">
        <v>17317.0</v>
      </c>
      <c r="E311" s="322">
        <v>44567.0</v>
      </c>
      <c r="F311" s="19" t="s">
        <v>5</v>
      </c>
      <c r="G311" s="19" t="s">
        <v>6218</v>
      </c>
      <c r="H311" s="19" t="s">
        <v>6222</v>
      </c>
      <c r="I311" s="19" t="s">
        <v>6094</v>
      </c>
      <c r="J311" s="19"/>
      <c r="K311" s="264"/>
      <c r="L311" s="264"/>
      <c r="M311" s="323"/>
      <c r="N311" s="323"/>
      <c r="O311" s="264"/>
      <c r="P311" s="264"/>
    </row>
    <row r="312">
      <c r="A312" s="19">
        <v>10415.0</v>
      </c>
      <c r="B312" s="321">
        <v>0.6458333333333334</v>
      </c>
      <c r="C312" s="316" t="s">
        <v>537</v>
      </c>
      <c r="D312" s="322">
        <v>25164.0</v>
      </c>
      <c r="E312" s="322">
        <v>44567.0</v>
      </c>
      <c r="F312" s="19" t="s">
        <v>9</v>
      </c>
      <c r="G312" s="19" t="s">
        <v>9</v>
      </c>
      <c r="H312" s="19" t="s">
        <v>6222</v>
      </c>
      <c r="I312" s="19" t="s">
        <v>6137</v>
      </c>
      <c r="J312" s="19"/>
      <c r="K312" s="264"/>
      <c r="L312" s="264"/>
      <c r="M312" s="323"/>
      <c r="N312" s="323"/>
      <c r="O312" s="264"/>
      <c r="P312" s="264"/>
    </row>
    <row r="313">
      <c r="A313" s="19">
        <v>10415.0</v>
      </c>
      <c r="B313" s="321">
        <v>0.6458333333333334</v>
      </c>
      <c r="C313" s="316" t="s">
        <v>537</v>
      </c>
      <c r="D313" s="322">
        <v>25164.0</v>
      </c>
      <c r="E313" s="322">
        <v>44567.0</v>
      </c>
      <c r="F313" s="19" t="s">
        <v>5</v>
      </c>
      <c r="G313" s="19" t="s">
        <v>6218</v>
      </c>
      <c r="H313" s="19" t="s">
        <v>6222</v>
      </c>
      <c r="I313" s="19" t="s">
        <v>6137</v>
      </c>
      <c r="J313" s="19"/>
      <c r="K313" s="264"/>
      <c r="L313" s="264"/>
      <c r="M313" s="323"/>
      <c r="N313" s="323"/>
      <c r="O313" s="264"/>
      <c r="P313" s="264"/>
    </row>
    <row r="314">
      <c r="A314" s="19">
        <v>17622.0</v>
      </c>
      <c r="B314" s="321">
        <v>0.7083333333333334</v>
      </c>
      <c r="C314" s="316" t="s">
        <v>5592</v>
      </c>
      <c r="D314" s="322">
        <v>25548.0</v>
      </c>
      <c r="E314" s="322">
        <v>44567.0</v>
      </c>
      <c r="F314" s="19" t="s">
        <v>6220</v>
      </c>
      <c r="G314" s="19" t="s">
        <v>6218</v>
      </c>
      <c r="H314" s="19" t="s">
        <v>6222</v>
      </c>
      <c r="I314" s="19" t="s">
        <v>6196</v>
      </c>
      <c r="J314" s="19"/>
      <c r="K314" s="264"/>
      <c r="L314" s="264"/>
      <c r="M314" s="323"/>
      <c r="N314" s="323"/>
      <c r="O314" s="264"/>
      <c r="P314" s="264"/>
    </row>
    <row r="315">
      <c r="A315" s="19">
        <v>13293.0</v>
      </c>
      <c r="B315" s="321">
        <v>0.7083333333333334</v>
      </c>
      <c r="C315" s="316" t="s">
        <v>2123</v>
      </c>
      <c r="D315" s="322">
        <v>30806.0</v>
      </c>
      <c r="E315" s="322">
        <v>44567.0</v>
      </c>
      <c r="F315" s="19" t="s">
        <v>5</v>
      </c>
      <c r="G315" s="19" t="s">
        <v>6218</v>
      </c>
      <c r="H315" s="19" t="s">
        <v>6222</v>
      </c>
      <c r="I315" s="19" t="s">
        <v>6117</v>
      </c>
      <c r="J315" s="19"/>
      <c r="K315" s="264"/>
      <c r="L315" s="264"/>
      <c r="M315" s="323"/>
      <c r="N315" s="323"/>
      <c r="O315" s="264"/>
      <c r="P315" s="264"/>
    </row>
    <row r="316">
      <c r="A316" s="19">
        <v>12289.0</v>
      </c>
      <c r="B316" s="321">
        <v>0.7083333333333334</v>
      </c>
      <c r="C316" s="316" t="s">
        <v>1368</v>
      </c>
      <c r="D316" s="322">
        <v>15105.0</v>
      </c>
      <c r="E316" s="322">
        <v>44567.0</v>
      </c>
      <c r="F316" s="19" t="s">
        <v>9</v>
      </c>
      <c r="G316" s="19" t="s">
        <v>9</v>
      </c>
      <c r="H316" s="19" t="s">
        <v>6222</v>
      </c>
      <c r="I316" s="19" t="s">
        <v>6137</v>
      </c>
      <c r="J316" s="19"/>
      <c r="K316" s="264"/>
      <c r="L316" s="264"/>
      <c r="M316" s="323"/>
      <c r="N316" s="323"/>
      <c r="O316" s="264"/>
      <c r="P316" s="264"/>
    </row>
    <row r="317">
      <c r="A317" s="19">
        <v>12289.0</v>
      </c>
      <c r="B317" s="321">
        <v>0.7083333333333334</v>
      </c>
      <c r="C317" s="316" t="s">
        <v>1368</v>
      </c>
      <c r="D317" s="322">
        <v>15105.0</v>
      </c>
      <c r="E317" s="322">
        <v>44567.0</v>
      </c>
      <c r="F317" s="19" t="s">
        <v>5</v>
      </c>
      <c r="G317" s="19" t="s">
        <v>6218</v>
      </c>
      <c r="H317" s="19" t="s">
        <v>6222</v>
      </c>
      <c r="I317" s="19" t="s">
        <v>6137</v>
      </c>
      <c r="J317" s="19"/>
      <c r="K317" s="264"/>
      <c r="L317" s="264"/>
      <c r="M317" s="323"/>
      <c r="N317" s="323"/>
      <c r="O317" s="264"/>
      <c r="P317" s="264"/>
    </row>
    <row r="318">
      <c r="A318" s="19">
        <v>16404.0</v>
      </c>
      <c r="B318" s="321">
        <v>0.7083333333333334</v>
      </c>
      <c r="C318" s="316" t="s">
        <v>4668</v>
      </c>
      <c r="D318" s="322">
        <v>21743.0</v>
      </c>
      <c r="E318" s="322">
        <v>44567.0</v>
      </c>
      <c r="F318" s="19" t="s">
        <v>6215</v>
      </c>
      <c r="G318" s="19" t="s">
        <v>6218</v>
      </c>
      <c r="H318" s="19" t="s">
        <v>6222</v>
      </c>
      <c r="I318" s="19" t="s">
        <v>6199</v>
      </c>
      <c r="J318" s="19"/>
      <c r="K318" s="264"/>
      <c r="L318" s="264"/>
      <c r="M318" s="323"/>
      <c r="N318" s="323"/>
      <c r="O318" s="264"/>
      <c r="P318" s="264"/>
    </row>
    <row r="319">
      <c r="A319" s="19">
        <v>16220.0</v>
      </c>
      <c r="B319" s="321">
        <v>0.7083333333333334</v>
      </c>
      <c r="C319" s="316" t="s">
        <v>2121</v>
      </c>
      <c r="D319" s="322">
        <v>15500.0</v>
      </c>
      <c r="E319" s="322">
        <v>44567.0</v>
      </c>
      <c r="F319" s="19" t="s">
        <v>6216</v>
      </c>
      <c r="G319" s="19" t="s">
        <v>6218</v>
      </c>
      <c r="H319" s="19" t="s">
        <v>6222</v>
      </c>
      <c r="I319" s="19" t="s">
        <v>6195</v>
      </c>
      <c r="J319" s="19"/>
      <c r="K319" s="264"/>
      <c r="L319" s="264"/>
      <c r="M319" s="323"/>
      <c r="N319" s="323"/>
      <c r="O319" s="264"/>
      <c r="P319" s="264"/>
    </row>
    <row r="320">
      <c r="A320" s="19">
        <v>12148.0</v>
      </c>
      <c r="B320" s="321">
        <v>0.71875</v>
      </c>
      <c r="C320" s="316" t="s">
        <v>4077</v>
      </c>
      <c r="D320" s="322">
        <v>19436.0</v>
      </c>
      <c r="E320" s="322">
        <v>44567.0</v>
      </c>
      <c r="F320" s="19" t="s">
        <v>5</v>
      </c>
      <c r="G320" s="19" t="s">
        <v>6218</v>
      </c>
      <c r="H320" s="19" t="s">
        <v>6222</v>
      </c>
      <c r="I320" s="19" t="s">
        <v>6084</v>
      </c>
      <c r="J320" s="19"/>
      <c r="K320" s="264"/>
      <c r="L320" s="264"/>
      <c r="M320" s="323"/>
      <c r="N320" s="323"/>
      <c r="O320" s="264"/>
      <c r="P320" s="264"/>
    </row>
    <row r="321">
      <c r="A321" s="316"/>
      <c r="B321" s="325"/>
      <c r="C321" s="316"/>
      <c r="D321" s="326"/>
      <c r="E321" s="326"/>
      <c r="F321" s="316"/>
      <c r="G321" s="316"/>
      <c r="H321" s="316"/>
      <c r="I321" s="19"/>
      <c r="J321" s="316"/>
      <c r="K321" s="264"/>
      <c r="L321" s="264"/>
      <c r="M321" s="264"/>
      <c r="N321" s="264"/>
      <c r="O321" s="264"/>
      <c r="P321" s="264"/>
    </row>
    <row r="322">
      <c r="A322" s="316"/>
      <c r="B322" s="325"/>
      <c r="C322" s="316"/>
      <c r="D322" s="326"/>
      <c r="E322" s="326"/>
      <c r="F322" s="316"/>
      <c r="G322" s="316"/>
      <c r="H322" s="316"/>
      <c r="I322" s="19"/>
      <c r="J322" s="316"/>
      <c r="K322" s="264"/>
      <c r="L322" s="264"/>
      <c r="M322" s="264"/>
      <c r="N322" s="264"/>
      <c r="O322" s="264"/>
      <c r="P322" s="264"/>
    </row>
  </sheetData>
  <autoFilter ref="$A$1:$P$32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28.29"/>
    <col customWidth="1" min="2" max="2" width="9.29"/>
    <col customWidth="1" min="3" max="4" width="7.86"/>
    <col customWidth="1" min="5" max="5" width="8.43"/>
    <col customWidth="1" min="6" max="6" width="7.43"/>
    <col customWidth="1" min="7" max="7" width="11.14"/>
    <col customWidth="1" min="8" max="8" width="13.0"/>
    <col customWidth="1" min="9" max="9" width="43.57"/>
    <col customWidth="1" min="10" max="10" width="8.0"/>
    <col customWidth="1" min="11" max="11" width="6.71"/>
    <col customWidth="1" min="12" max="12" width="7.57"/>
    <col customWidth="1" min="13" max="13" width="9.86"/>
  </cols>
  <sheetData>
    <row r="1">
      <c r="A1" s="204" t="s">
        <v>24</v>
      </c>
      <c r="B1" s="205" t="s">
        <v>6237</v>
      </c>
      <c r="C1" s="308" t="s">
        <v>25</v>
      </c>
      <c r="D1" s="207" t="s">
        <v>21</v>
      </c>
      <c r="E1" s="208" t="s">
        <v>6077</v>
      </c>
      <c r="F1" s="208" t="s">
        <v>6318</v>
      </c>
      <c r="G1" s="209" t="s">
        <v>2</v>
      </c>
      <c r="H1" s="209" t="s">
        <v>6206</v>
      </c>
      <c r="I1" s="209" t="s">
        <v>6135</v>
      </c>
      <c r="J1" s="208" t="s">
        <v>6238</v>
      </c>
      <c r="K1" s="208" t="s">
        <v>6239</v>
      </c>
      <c r="L1" s="208" t="s">
        <v>6240</v>
      </c>
      <c r="M1" s="210" t="s">
        <v>7</v>
      </c>
    </row>
    <row r="2">
      <c r="A2" s="310" t="s">
        <v>6401</v>
      </c>
      <c r="B2" s="215">
        <v>9353.0</v>
      </c>
      <c r="C2" s="309">
        <v>11841.0</v>
      </c>
      <c r="D2" s="218">
        <v>44568.0</v>
      </c>
      <c r="E2" s="219">
        <v>0.34097222222222223</v>
      </c>
      <c r="F2" s="220" t="s">
        <v>6323</v>
      </c>
      <c r="G2" s="221" t="s">
        <v>15</v>
      </c>
      <c r="H2" s="222" t="s">
        <v>6219</v>
      </c>
      <c r="I2" s="223" t="s">
        <v>6137</v>
      </c>
      <c r="J2" s="242"/>
      <c r="K2" s="224" t="s">
        <v>6242</v>
      </c>
      <c r="L2" s="224"/>
      <c r="M2" s="225"/>
    </row>
    <row r="3">
      <c r="A3" s="310" t="s">
        <v>6402</v>
      </c>
      <c r="B3" s="215">
        <v>15851.0</v>
      </c>
      <c r="C3" s="309">
        <v>23918.0</v>
      </c>
      <c r="D3" s="218">
        <v>44568.0</v>
      </c>
      <c r="E3" s="219">
        <v>0.3541666666666667</v>
      </c>
      <c r="F3" s="220" t="s">
        <v>6323</v>
      </c>
      <c r="G3" s="221" t="s">
        <v>14</v>
      </c>
      <c r="H3" s="222" t="s">
        <v>6222</v>
      </c>
      <c r="I3" s="223" t="s">
        <v>6082</v>
      </c>
      <c r="J3" s="224"/>
      <c r="K3" s="224" t="s">
        <v>6242</v>
      </c>
      <c r="L3" s="224"/>
      <c r="M3" s="225"/>
    </row>
    <row r="4">
      <c r="A4" s="310" t="s">
        <v>6403</v>
      </c>
      <c r="B4" s="215">
        <v>14172.0</v>
      </c>
      <c r="C4" s="309">
        <v>17875.0</v>
      </c>
      <c r="D4" s="218">
        <v>44568.0</v>
      </c>
      <c r="E4" s="219">
        <v>0.3597222222222222</v>
      </c>
      <c r="F4" s="220" t="s">
        <v>6328</v>
      </c>
      <c r="G4" s="221" t="s">
        <v>15</v>
      </c>
      <c r="H4" s="222" t="s">
        <v>6219</v>
      </c>
      <c r="I4" s="223" t="s">
        <v>6404</v>
      </c>
      <c r="J4" s="242"/>
      <c r="K4" s="224" t="s">
        <v>6242</v>
      </c>
      <c r="L4" s="224" t="s">
        <v>6242</v>
      </c>
      <c r="M4" s="225"/>
    </row>
    <row r="5">
      <c r="A5" s="310" t="s">
        <v>1385</v>
      </c>
      <c r="B5" s="215">
        <v>12316.0</v>
      </c>
      <c r="C5" s="309">
        <v>21955.0</v>
      </c>
      <c r="D5" s="218">
        <v>21922.0</v>
      </c>
      <c r="E5" s="219">
        <v>0.3645833333333333</v>
      </c>
      <c r="F5" s="220" t="s">
        <v>6328</v>
      </c>
      <c r="G5" s="221" t="s">
        <v>14</v>
      </c>
      <c r="H5" s="222" t="s">
        <v>6222</v>
      </c>
      <c r="I5" s="223" t="s">
        <v>6196</v>
      </c>
      <c r="J5" s="224"/>
      <c r="K5" s="224" t="s">
        <v>6242</v>
      </c>
      <c r="L5" s="224" t="s">
        <v>6242</v>
      </c>
      <c r="M5" s="225"/>
    </row>
    <row r="6">
      <c r="A6" s="310" t="s">
        <v>6405</v>
      </c>
      <c r="B6" s="215">
        <v>14839.0</v>
      </c>
      <c r="C6" s="309">
        <v>23343.0</v>
      </c>
      <c r="D6" s="218">
        <v>44568.0</v>
      </c>
      <c r="E6" s="219">
        <v>0.37430555555555556</v>
      </c>
      <c r="F6" s="220" t="s">
        <v>6323</v>
      </c>
      <c r="G6" s="221" t="s">
        <v>13</v>
      </c>
      <c r="H6" s="222" t="s">
        <v>6212</v>
      </c>
      <c r="I6" s="223" t="s">
        <v>6196</v>
      </c>
      <c r="J6" s="242"/>
      <c r="K6" s="224" t="s">
        <v>6242</v>
      </c>
      <c r="L6" s="224"/>
      <c r="M6" s="225"/>
    </row>
    <row r="7">
      <c r="A7" s="310" t="s">
        <v>6406</v>
      </c>
      <c r="B7" s="215">
        <v>13005.0</v>
      </c>
      <c r="C7" s="309">
        <v>22674.0</v>
      </c>
      <c r="D7" s="218">
        <v>44568.0</v>
      </c>
      <c r="E7" s="219">
        <v>0.35208333333333336</v>
      </c>
      <c r="F7" s="220" t="s">
        <v>6328</v>
      </c>
      <c r="G7" s="221" t="s">
        <v>15</v>
      </c>
      <c r="H7" s="222" t="s">
        <v>6219</v>
      </c>
      <c r="I7" s="223" t="s">
        <v>6189</v>
      </c>
      <c r="J7" s="242"/>
      <c r="K7" s="224" t="s">
        <v>6242</v>
      </c>
      <c r="L7" s="224"/>
      <c r="M7" s="225"/>
    </row>
    <row r="8">
      <c r="A8" s="310" t="s">
        <v>6407</v>
      </c>
      <c r="B8" s="215">
        <v>15383.0</v>
      </c>
      <c r="C8" s="309">
        <v>18387.0</v>
      </c>
      <c r="D8" s="218">
        <v>44568.0</v>
      </c>
      <c r="E8" s="219">
        <v>0.38055555555555554</v>
      </c>
      <c r="F8" s="220" t="s">
        <v>6323</v>
      </c>
      <c r="G8" s="221" t="s">
        <v>13</v>
      </c>
      <c r="H8" s="222" t="s">
        <v>6212</v>
      </c>
      <c r="I8" s="223" t="s">
        <v>6408</v>
      </c>
      <c r="J8" s="242"/>
      <c r="K8" s="224" t="s">
        <v>6242</v>
      </c>
      <c r="L8" s="224"/>
      <c r="M8" s="225"/>
    </row>
    <row r="9">
      <c r="A9" s="310" t="s">
        <v>6409</v>
      </c>
      <c r="B9" s="215">
        <v>15359.0</v>
      </c>
      <c r="C9" s="309">
        <v>29328.0</v>
      </c>
      <c r="D9" s="218">
        <v>44568.0</v>
      </c>
      <c r="E9" s="219">
        <v>0.3854166666666667</v>
      </c>
      <c r="F9" s="220" t="s">
        <v>6323</v>
      </c>
      <c r="G9" s="221" t="s">
        <v>14</v>
      </c>
      <c r="H9" s="222" t="s">
        <v>6222</v>
      </c>
      <c r="I9" s="223" t="s">
        <v>6091</v>
      </c>
      <c r="J9" s="242"/>
      <c r="K9" s="224" t="s">
        <v>6242</v>
      </c>
      <c r="L9" s="224" t="s">
        <v>6242</v>
      </c>
      <c r="M9" s="225"/>
    </row>
    <row r="10">
      <c r="A10" s="310" t="s">
        <v>6410</v>
      </c>
      <c r="B10" s="215">
        <v>9239.0</v>
      </c>
      <c r="C10" s="309">
        <v>17941.0</v>
      </c>
      <c r="D10" s="218">
        <v>44568.0</v>
      </c>
      <c r="E10" s="219">
        <v>0.3854166666666667</v>
      </c>
      <c r="F10" s="220" t="s">
        <v>6328</v>
      </c>
      <c r="G10" s="221" t="s">
        <v>14</v>
      </c>
      <c r="H10" s="222" t="s">
        <v>6222</v>
      </c>
      <c r="I10" s="223" t="s">
        <v>6404</v>
      </c>
      <c r="J10" s="242"/>
      <c r="K10" s="224" t="s">
        <v>6242</v>
      </c>
      <c r="L10" s="224"/>
      <c r="M10" s="224"/>
    </row>
    <row r="11">
      <c r="A11" s="310" t="s">
        <v>2787</v>
      </c>
      <c r="B11" s="215">
        <v>14156.0</v>
      </c>
      <c r="C11" s="309">
        <v>18022.0</v>
      </c>
      <c r="D11" s="218">
        <v>44568.0</v>
      </c>
      <c r="E11" s="219">
        <v>0.39305555555555555</v>
      </c>
      <c r="F11" s="220" t="s">
        <v>6323</v>
      </c>
      <c r="G11" s="221" t="s">
        <v>15</v>
      </c>
      <c r="H11" s="222" t="s">
        <v>6219</v>
      </c>
      <c r="I11" s="223" t="s">
        <v>6100</v>
      </c>
      <c r="J11" s="242"/>
      <c r="K11" s="224" t="s">
        <v>6242</v>
      </c>
      <c r="L11" s="224" t="s">
        <v>6242</v>
      </c>
      <c r="M11" s="225"/>
    </row>
    <row r="12">
      <c r="A12" s="310" t="s">
        <v>6411</v>
      </c>
      <c r="B12" s="215">
        <v>16119.0</v>
      </c>
      <c r="C12" s="309">
        <v>22435.0</v>
      </c>
      <c r="D12" s="218">
        <v>44568.0</v>
      </c>
      <c r="E12" s="219">
        <v>0.39861111111111114</v>
      </c>
      <c r="F12" s="220" t="s">
        <v>6328</v>
      </c>
      <c r="G12" s="221" t="s">
        <v>13</v>
      </c>
      <c r="H12" s="222" t="s">
        <v>6212</v>
      </c>
      <c r="I12" s="223" t="s">
        <v>6117</v>
      </c>
      <c r="J12" s="242"/>
      <c r="K12" s="224" t="s">
        <v>6242</v>
      </c>
      <c r="L12" s="224" t="s">
        <v>6242</v>
      </c>
      <c r="M12" s="225"/>
    </row>
    <row r="13">
      <c r="A13" s="310" t="s">
        <v>3967</v>
      </c>
      <c r="B13" s="215">
        <v>15589.0</v>
      </c>
      <c r="C13" s="309">
        <v>24482.0</v>
      </c>
      <c r="D13" s="218">
        <v>44568.0</v>
      </c>
      <c r="E13" s="219">
        <v>0.40625</v>
      </c>
      <c r="F13" s="220" t="s">
        <v>6323</v>
      </c>
      <c r="G13" s="221" t="s">
        <v>14</v>
      </c>
      <c r="H13" s="222" t="s">
        <v>6222</v>
      </c>
      <c r="I13" s="223" t="s">
        <v>6196</v>
      </c>
      <c r="J13" s="242"/>
      <c r="K13" s="224" t="s">
        <v>6242</v>
      </c>
      <c r="L13" s="224" t="s">
        <v>6242</v>
      </c>
      <c r="M13" s="225"/>
    </row>
    <row r="14">
      <c r="A14" s="310" t="s">
        <v>6412</v>
      </c>
      <c r="B14" s="215">
        <v>11931.0</v>
      </c>
      <c r="C14" s="309">
        <v>22360.0</v>
      </c>
      <c r="D14" s="218">
        <v>44568.0</v>
      </c>
      <c r="E14" s="219">
        <v>0.4152777777777778</v>
      </c>
      <c r="F14" s="220" t="s">
        <v>6323</v>
      </c>
      <c r="G14" s="221" t="s">
        <v>13</v>
      </c>
      <c r="H14" s="222" t="s">
        <v>6212</v>
      </c>
      <c r="I14" s="223" t="s">
        <v>6413</v>
      </c>
      <c r="J14" s="225"/>
      <c r="K14" s="224" t="s">
        <v>6242</v>
      </c>
      <c r="L14" s="224"/>
      <c r="M14" s="225"/>
    </row>
    <row r="15">
      <c r="A15" s="310" t="s">
        <v>6414</v>
      </c>
      <c r="B15" s="215">
        <v>13283.0</v>
      </c>
      <c r="C15" s="309">
        <v>28196.0</v>
      </c>
      <c r="D15" s="218">
        <v>44568.0</v>
      </c>
      <c r="E15" s="219">
        <v>0.4166666666666667</v>
      </c>
      <c r="F15" s="220" t="s">
        <v>6328</v>
      </c>
      <c r="G15" s="221" t="s">
        <v>15</v>
      </c>
      <c r="H15" s="222" t="s">
        <v>6219</v>
      </c>
      <c r="I15" s="223" t="s">
        <v>6404</v>
      </c>
      <c r="J15" s="225"/>
      <c r="K15" s="224" t="s">
        <v>6242</v>
      </c>
      <c r="L15" s="224" t="s">
        <v>6242</v>
      </c>
      <c r="M15" s="225"/>
    </row>
    <row r="16">
      <c r="A16" s="310" t="s">
        <v>913</v>
      </c>
      <c r="B16" s="215">
        <v>11345.0</v>
      </c>
      <c r="C16" s="309">
        <v>23642.0</v>
      </c>
      <c r="D16" s="218">
        <v>44568.0</v>
      </c>
      <c r="E16" s="219">
        <v>0.41875</v>
      </c>
      <c r="F16" s="220" t="s">
        <v>6328</v>
      </c>
      <c r="G16" s="221" t="s">
        <v>15</v>
      </c>
      <c r="H16" s="222" t="s">
        <v>6219</v>
      </c>
      <c r="I16" s="223" t="s">
        <v>6089</v>
      </c>
      <c r="J16" s="224"/>
      <c r="K16" s="224" t="s">
        <v>6242</v>
      </c>
      <c r="L16" s="224"/>
      <c r="M16" s="225"/>
    </row>
    <row r="17">
      <c r="A17" s="310" t="s">
        <v>5491</v>
      </c>
      <c r="B17" s="215">
        <v>17462.0</v>
      </c>
      <c r="C17" s="309">
        <v>25328.0</v>
      </c>
      <c r="D17" s="218">
        <v>44568.0</v>
      </c>
      <c r="E17" s="219">
        <v>0.4215277777777778</v>
      </c>
      <c r="F17" s="220" t="s">
        <v>6323</v>
      </c>
      <c r="G17" s="221" t="s">
        <v>15</v>
      </c>
      <c r="H17" s="222" t="s">
        <v>6219</v>
      </c>
      <c r="I17" s="223" t="s">
        <v>6142</v>
      </c>
      <c r="J17" s="225"/>
      <c r="K17" s="224" t="s">
        <v>6242</v>
      </c>
      <c r="L17" s="224" t="s">
        <v>6242</v>
      </c>
      <c r="M17" s="224"/>
    </row>
    <row r="18">
      <c r="A18" s="310" t="s">
        <v>767</v>
      </c>
      <c r="B18" s="215">
        <v>11012.0</v>
      </c>
      <c r="C18" s="309">
        <v>23539.0</v>
      </c>
      <c r="D18" s="218">
        <v>44568.0</v>
      </c>
      <c r="E18" s="219">
        <v>0.4270833333333333</v>
      </c>
      <c r="F18" s="220" t="s">
        <v>6328</v>
      </c>
      <c r="G18" s="221" t="s">
        <v>14</v>
      </c>
      <c r="H18" s="222" t="s">
        <v>6222</v>
      </c>
      <c r="I18" s="223" t="s">
        <v>6091</v>
      </c>
      <c r="J18" s="224"/>
      <c r="K18" s="224" t="s">
        <v>6242</v>
      </c>
      <c r="L18" s="224" t="s">
        <v>6242</v>
      </c>
      <c r="M18" s="224"/>
    </row>
    <row r="19">
      <c r="A19" s="310" t="s">
        <v>6415</v>
      </c>
      <c r="B19" s="215">
        <v>13835.0</v>
      </c>
      <c r="C19" s="309">
        <v>18179.0</v>
      </c>
      <c r="D19" s="218">
        <v>44568.0</v>
      </c>
      <c r="E19" s="219">
        <v>0.42916666666666664</v>
      </c>
      <c r="F19" s="220" t="s">
        <v>6328</v>
      </c>
      <c r="G19" s="221" t="s">
        <v>13</v>
      </c>
      <c r="H19" s="222" t="s">
        <v>6212</v>
      </c>
      <c r="I19" s="223" t="s">
        <v>6404</v>
      </c>
      <c r="J19" s="225"/>
      <c r="K19" s="224" t="s">
        <v>6242</v>
      </c>
      <c r="L19" s="224" t="s">
        <v>6242</v>
      </c>
      <c r="M19" s="225"/>
    </row>
    <row r="20">
      <c r="A20" s="310" t="s">
        <v>6416</v>
      </c>
      <c r="B20" s="215">
        <v>16178.0</v>
      </c>
      <c r="C20" s="309">
        <v>16356.0</v>
      </c>
      <c r="D20" s="218">
        <v>44568.0</v>
      </c>
      <c r="E20" s="219">
        <v>0.4340277777777778</v>
      </c>
      <c r="F20" s="220" t="s">
        <v>6323</v>
      </c>
      <c r="G20" s="221" t="s">
        <v>15</v>
      </c>
      <c r="H20" s="222" t="s">
        <v>6219</v>
      </c>
      <c r="I20" s="223" t="s">
        <v>6137</v>
      </c>
      <c r="J20" s="225"/>
      <c r="K20" s="224" t="s">
        <v>6242</v>
      </c>
      <c r="L20" s="224" t="s">
        <v>6242</v>
      </c>
      <c r="M20" s="224"/>
    </row>
    <row r="21">
      <c r="A21" s="310" t="s">
        <v>1180</v>
      </c>
      <c r="B21" s="215">
        <v>11903.0</v>
      </c>
      <c r="C21" s="309">
        <v>21184.0</v>
      </c>
      <c r="D21" s="218">
        <v>44568.0</v>
      </c>
      <c r="E21" s="219">
        <v>0.4479166666666667</v>
      </c>
      <c r="F21" s="220" t="s">
        <v>6323</v>
      </c>
      <c r="G21" s="221" t="s">
        <v>14</v>
      </c>
      <c r="H21" s="222" t="s">
        <v>6222</v>
      </c>
      <c r="I21" s="223" t="s">
        <v>6417</v>
      </c>
      <c r="J21" s="224"/>
      <c r="K21" s="224" t="s">
        <v>6242</v>
      </c>
      <c r="L21" s="224" t="s">
        <v>6242</v>
      </c>
      <c r="M21" s="225"/>
    </row>
    <row r="22">
      <c r="A22" s="310" t="s">
        <v>2747</v>
      </c>
      <c r="B22" s="215">
        <v>14103.0</v>
      </c>
      <c r="C22" s="309">
        <v>16960.0</v>
      </c>
      <c r="D22" s="218">
        <v>44568.0</v>
      </c>
      <c r="E22" s="219">
        <v>0.4479166666666667</v>
      </c>
      <c r="F22" s="220" t="s">
        <v>6328</v>
      </c>
      <c r="G22" s="221" t="s">
        <v>14</v>
      </c>
      <c r="H22" s="222" t="s">
        <v>6222</v>
      </c>
      <c r="I22" s="223" t="s">
        <v>6404</v>
      </c>
      <c r="J22" s="225"/>
      <c r="K22" s="224" t="s">
        <v>6242</v>
      </c>
      <c r="L22" s="224"/>
      <c r="M22" s="225"/>
    </row>
    <row r="23">
      <c r="A23" s="310" t="s">
        <v>6418</v>
      </c>
      <c r="B23" s="215">
        <v>9683.0</v>
      </c>
      <c r="C23" s="309">
        <v>29811.0</v>
      </c>
      <c r="D23" s="218">
        <v>44568.0</v>
      </c>
      <c r="E23" s="219">
        <v>0.44027777777777777</v>
      </c>
      <c r="F23" s="220" t="s">
        <v>6328</v>
      </c>
      <c r="G23" s="221" t="s">
        <v>15</v>
      </c>
      <c r="H23" s="222" t="s">
        <v>6219</v>
      </c>
      <c r="I23" s="223" t="s">
        <v>6089</v>
      </c>
      <c r="J23" s="225"/>
      <c r="K23" s="224" t="s">
        <v>6242</v>
      </c>
      <c r="L23" s="224"/>
      <c r="M23" s="225"/>
    </row>
    <row r="24">
      <c r="A24" s="310" t="s">
        <v>1788</v>
      </c>
      <c r="B24" s="215">
        <v>12879.0</v>
      </c>
      <c r="C24" s="309">
        <v>20311.0</v>
      </c>
      <c r="D24" s="218">
        <v>44568.0</v>
      </c>
      <c r="E24" s="219">
        <v>0.4583333333333333</v>
      </c>
      <c r="F24" s="220" t="s">
        <v>6328</v>
      </c>
      <c r="G24" s="221" t="s">
        <v>14</v>
      </c>
      <c r="H24" s="222" t="s">
        <v>6222</v>
      </c>
      <c r="I24" s="223" t="s">
        <v>6083</v>
      </c>
      <c r="J24" s="225"/>
      <c r="K24" s="224" t="s">
        <v>6242</v>
      </c>
      <c r="L24" s="224"/>
      <c r="M24" s="225"/>
    </row>
    <row r="25">
      <c r="A25" s="310" t="s">
        <v>6419</v>
      </c>
      <c r="B25" s="215">
        <v>14126.0</v>
      </c>
      <c r="C25" s="309">
        <v>18823.0</v>
      </c>
      <c r="D25" s="218">
        <v>44568.0</v>
      </c>
      <c r="E25" s="219">
        <v>0.4701388888888889</v>
      </c>
      <c r="F25" s="220" t="s">
        <v>6328</v>
      </c>
      <c r="G25" s="221" t="s">
        <v>13</v>
      </c>
      <c r="H25" s="222" t="s">
        <v>6212</v>
      </c>
      <c r="I25" s="223" t="s">
        <v>6404</v>
      </c>
      <c r="J25" s="224"/>
      <c r="K25" s="224" t="s">
        <v>6242</v>
      </c>
      <c r="L25" s="224" t="s">
        <v>6242</v>
      </c>
      <c r="M25" s="225"/>
    </row>
    <row r="26">
      <c r="A26" s="310" t="s">
        <v>6420</v>
      </c>
      <c r="B26" s="215">
        <v>15765.0</v>
      </c>
      <c r="C26" s="309">
        <v>23265.0</v>
      </c>
      <c r="D26" s="218">
        <v>44568.0</v>
      </c>
      <c r="E26" s="219">
        <v>0.47291666666666665</v>
      </c>
      <c r="F26" s="220" t="s">
        <v>6323</v>
      </c>
      <c r="G26" s="221" t="s">
        <v>13</v>
      </c>
      <c r="H26" s="222" t="s">
        <v>6212</v>
      </c>
      <c r="I26" s="223" t="s">
        <v>6408</v>
      </c>
      <c r="J26" s="224"/>
      <c r="K26" s="224" t="s">
        <v>6242</v>
      </c>
      <c r="L26" s="224" t="s">
        <v>6242</v>
      </c>
      <c r="M26" s="224"/>
    </row>
    <row r="27">
      <c r="A27" s="310" t="s">
        <v>818</v>
      </c>
      <c r="B27" s="215">
        <v>11116.0</v>
      </c>
      <c r="C27" s="309">
        <v>17610.0</v>
      </c>
      <c r="D27" s="218">
        <v>44568.0</v>
      </c>
      <c r="E27" s="219">
        <v>0.4791666666666667</v>
      </c>
      <c r="F27" s="220" t="s">
        <v>6328</v>
      </c>
      <c r="G27" s="221" t="s">
        <v>14</v>
      </c>
      <c r="H27" s="222" t="s">
        <v>6222</v>
      </c>
      <c r="I27" s="223" t="s">
        <v>6137</v>
      </c>
      <c r="J27" s="224"/>
      <c r="K27" s="224" t="s">
        <v>6242</v>
      </c>
      <c r="L27" s="224" t="s">
        <v>6242</v>
      </c>
      <c r="M27" s="225"/>
    </row>
    <row r="28">
      <c r="A28" s="310" t="s">
        <v>6421</v>
      </c>
      <c r="B28" s="215">
        <v>15993.0</v>
      </c>
      <c r="C28" s="309">
        <v>30933.0</v>
      </c>
      <c r="D28" s="218">
        <v>44562.0</v>
      </c>
      <c r="E28" s="219">
        <v>0.4791666666666667</v>
      </c>
      <c r="F28" s="220" t="s">
        <v>6323</v>
      </c>
      <c r="G28" s="221" t="s">
        <v>14</v>
      </c>
      <c r="H28" s="222" t="s">
        <v>6222</v>
      </c>
      <c r="I28" s="223" t="s">
        <v>6142</v>
      </c>
      <c r="J28" s="224"/>
      <c r="K28" s="224" t="s">
        <v>6242</v>
      </c>
      <c r="L28" s="224"/>
      <c r="M28" s="225"/>
    </row>
    <row r="29">
      <c r="A29" s="310" t="s">
        <v>6422</v>
      </c>
      <c r="B29" s="215">
        <v>16818.0</v>
      </c>
      <c r="C29" s="309">
        <v>19668.0</v>
      </c>
      <c r="D29" s="218">
        <v>44568.0</v>
      </c>
      <c r="E29" s="219">
        <v>0.47708333333333336</v>
      </c>
      <c r="F29" s="220" t="s">
        <v>6323</v>
      </c>
      <c r="G29" s="221" t="s">
        <v>13</v>
      </c>
      <c r="H29" s="222" t="s">
        <v>6212</v>
      </c>
      <c r="I29" s="223" t="s">
        <v>6423</v>
      </c>
      <c r="J29" s="224"/>
      <c r="K29" s="224" t="s">
        <v>6242</v>
      </c>
      <c r="L29" s="224"/>
      <c r="M29" s="224"/>
    </row>
    <row r="30">
      <c r="A30" s="310" t="s">
        <v>6424</v>
      </c>
      <c r="B30" s="215">
        <v>11523.0</v>
      </c>
      <c r="C30" s="309">
        <v>16133.0</v>
      </c>
      <c r="D30" s="218">
        <v>44568.0</v>
      </c>
      <c r="E30" s="219">
        <v>0.48194444444444445</v>
      </c>
      <c r="F30" s="231" t="s">
        <v>6328</v>
      </c>
      <c r="G30" s="221" t="s">
        <v>15</v>
      </c>
      <c r="H30" s="222" t="s">
        <v>6219</v>
      </c>
      <c r="I30" s="223" t="s">
        <v>6094</v>
      </c>
      <c r="J30" s="224"/>
      <c r="K30" s="224" t="s">
        <v>6242</v>
      </c>
      <c r="L30" s="224"/>
      <c r="M30" s="225"/>
    </row>
    <row r="31">
      <c r="A31" s="310" t="s">
        <v>6425</v>
      </c>
      <c r="B31" s="215">
        <v>16124.0</v>
      </c>
      <c r="C31" s="309">
        <v>16746.0</v>
      </c>
      <c r="D31" s="218">
        <v>44562.0</v>
      </c>
      <c r="E31" s="219">
        <v>0.5097222222222222</v>
      </c>
      <c r="F31" s="231" t="s">
        <v>6328</v>
      </c>
      <c r="G31" s="221" t="s">
        <v>15</v>
      </c>
      <c r="H31" s="222" t="s">
        <v>6219</v>
      </c>
      <c r="I31" s="223" t="s">
        <v>6094</v>
      </c>
      <c r="J31" s="225"/>
      <c r="K31" s="224" t="s">
        <v>6242</v>
      </c>
      <c r="L31" s="224"/>
      <c r="M31" s="225"/>
    </row>
    <row r="32">
      <c r="A32" s="310" t="s">
        <v>6426</v>
      </c>
      <c r="B32" s="215">
        <v>14858.0</v>
      </c>
      <c r="C32" s="309">
        <v>33442.0</v>
      </c>
      <c r="D32" s="218">
        <v>44568.0</v>
      </c>
      <c r="E32" s="219">
        <v>0.5520833333333334</v>
      </c>
      <c r="F32" s="231" t="s">
        <v>6328</v>
      </c>
      <c r="G32" s="221" t="s">
        <v>14</v>
      </c>
      <c r="H32" s="222" t="s">
        <v>6222</v>
      </c>
      <c r="I32" s="223" t="s">
        <v>6091</v>
      </c>
      <c r="J32" s="224"/>
      <c r="K32" s="224" t="s">
        <v>6242</v>
      </c>
      <c r="L32" s="224"/>
      <c r="M32" s="225"/>
    </row>
    <row r="33">
      <c r="A33" s="310" t="s">
        <v>815</v>
      </c>
      <c r="B33" s="215">
        <v>11113.0</v>
      </c>
      <c r="C33" s="309">
        <v>19005.0</v>
      </c>
      <c r="D33" s="218">
        <v>44568.0</v>
      </c>
      <c r="E33" s="219">
        <v>0.5625</v>
      </c>
      <c r="F33" s="231" t="s">
        <v>6328</v>
      </c>
      <c r="G33" s="221" t="s">
        <v>14</v>
      </c>
      <c r="H33" s="222" t="s">
        <v>6222</v>
      </c>
      <c r="I33" s="223" t="s">
        <v>6189</v>
      </c>
      <c r="J33" s="225"/>
      <c r="K33" s="224" t="s">
        <v>6242</v>
      </c>
      <c r="L33" s="224"/>
      <c r="M33" s="225"/>
    </row>
    <row r="34">
      <c r="A34" s="310" t="s">
        <v>2971</v>
      </c>
      <c r="B34" s="215">
        <v>14386.0</v>
      </c>
      <c r="C34" s="309">
        <v>19365.0</v>
      </c>
      <c r="D34" s="218">
        <v>44568.0</v>
      </c>
      <c r="E34" s="219">
        <v>0.5625</v>
      </c>
      <c r="F34" s="231" t="s">
        <v>6323</v>
      </c>
      <c r="G34" s="221" t="s">
        <v>14</v>
      </c>
      <c r="H34" s="222" t="s">
        <v>6222</v>
      </c>
      <c r="I34" s="223" t="s">
        <v>6196</v>
      </c>
      <c r="J34" s="225"/>
      <c r="K34" s="224"/>
      <c r="L34" s="224"/>
      <c r="M34" s="225"/>
    </row>
    <row r="35">
      <c r="A35" s="310" t="s">
        <v>6427</v>
      </c>
      <c r="B35" s="215">
        <v>14718.0</v>
      </c>
      <c r="C35" s="309">
        <v>19516.0</v>
      </c>
      <c r="D35" s="218">
        <v>44568.0</v>
      </c>
      <c r="E35" s="219">
        <v>0.06805555555555555</v>
      </c>
      <c r="F35" s="231" t="s">
        <v>6323</v>
      </c>
      <c r="G35" s="221" t="s">
        <v>13</v>
      </c>
      <c r="H35" s="222" t="s">
        <v>6212</v>
      </c>
      <c r="I35" s="223" t="s">
        <v>6189</v>
      </c>
      <c r="J35" s="224"/>
      <c r="K35" s="224" t="s">
        <v>6242</v>
      </c>
      <c r="L35" s="224" t="s">
        <v>6242</v>
      </c>
      <c r="M35" s="224"/>
    </row>
    <row r="36">
      <c r="A36" s="310" t="s">
        <v>6428</v>
      </c>
      <c r="B36" s="215">
        <v>9813.0</v>
      </c>
      <c r="C36" s="309">
        <v>19008.0</v>
      </c>
      <c r="D36" s="218">
        <v>44568.0</v>
      </c>
      <c r="E36" s="219">
        <v>0.5833333333333334</v>
      </c>
      <c r="F36" s="231" t="s">
        <v>6328</v>
      </c>
      <c r="G36" s="221" t="s">
        <v>14</v>
      </c>
      <c r="H36" s="222" t="s">
        <v>6219</v>
      </c>
      <c r="I36" s="223" t="s">
        <v>6117</v>
      </c>
      <c r="J36" s="225"/>
      <c r="K36" s="224" t="s">
        <v>6242</v>
      </c>
      <c r="L36" s="224"/>
      <c r="M36" s="225"/>
    </row>
    <row r="37">
      <c r="A37" s="310" t="s">
        <v>6429</v>
      </c>
      <c r="B37" s="215">
        <v>15024.0</v>
      </c>
      <c r="C37" s="309">
        <v>20328.0</v>
      </c>
      <c r="D37" s="218">
        <v>44568.0</v>
      </c>
      <c r="E37" s="219">
        <v>0.09027777777777778</v>
      </c>
      <c r="F37" s="231" t="s">
        <v>6323</v>
      </c>
      <c r="G37" s="221" t="s">
        <v>13</v>
      </c>
      <c r="H37" s="222" t="s">
        <v>6212</v>
      </c>
      <c r="I37" s="223" t="s">
        <v>6430</v>
      </c>
      <c r="J37" s="225"/>
      <c r="K37" s="224" t="s">
        <v>6242</v>
      </c>
      <c r="L37" s="224"/>
      <c r="M37" s="225"/>
    </row>
    <row r="38">
      <c r="A38" s="310" t="s">
        <v>6431</v>
      </c>
      <c r="B38" s="215">
        <v>13293.0</v>
      </c>
      <c r="C38" s="309">
        <v>30806.0</v>
      </c>
      <c r="D38" s="218">
        <v>44568.0</v>
      </c>
      <c r="E38" s="219">
        <v>0.6020833333333333</v>
      </c>
      <c r="F38" s="231" t="s">
        <v>6323</v>
      </c>
      <c r="G38" s="221" t="s">
        <v>15</v>
      </c>
      <c r="H38" s="222" t="s">
        <v>6222</v>
      </c>
      <c r="I38" s="223" t="s">
        <v>6117</v>
      </c>
      <c r="J38" s="225"/>
      <c r="K38" s="224" t="s">
        <v>6242</v>
      </c>
      <c r="L38" s="224"/>
      <c r="M38" s="225"/>
    </row>
    <row r="39">
      <c r="A39" s="310" t="s">
        <v>4792</v>
      </c>
      <c r="B39" s="215">
        <v>16571.0</v>
      </c>
      <c r="C39" s="309">
        <v>14391.0</v>
      </c>
      <c r="D39" s="218">
        <v>44568.0</v>
      </c>
      <c r="E39" s="219">
        <v>0.6041666666666666</v>
      </c>
      <c r="F39" s="231" t="s">
        <v>6323</v>
      </c>
      <c r="G39" s="221" t="s">
        <v>14</v>
      </c>
      <c r="H39" s="222" t="s">
        <v>6222</v>
      </c>
      <c r="I39" s="223" t="s">
        <v>6196</v>
      </c>
      <c r="J39" s="225"/>
      <c r="K39" s="224" t="s">
        <v>6242</v>
      </c>
      <c r="L39" s="224"/>
      <c r="M39" s="225"/>
    </row>
    <row r="40">
      <c r="A40" s="310" t="s">
        <v>6432</v>
      </c>
      <c r="B40" s="215">
        <v>15779.0</v>
      </c>
      <c r="C40" s="309">
        <v>21259.0</v>
      </c>
      <c r="D40" s="218">
        <v>44568.0</v>
      </c>
      <c r="E40" s="219">
        <v>0.6076388888888888</v>
      </c>
      <c r="F40" s="231" t="s">
        <v>6323</v>
      </c>
      <c r="G40" s="221" t="s">
        <v>15</v>
      </c>
      <c r="H40" s="222" t="s">
        <v>6219</v>
      </c>
      <c r="I40" s="223" t="s">
        <v>6142</v>
      </c>
      <c r="J40" s="224"/>
      <c r="K40" s="224" t="s">
        <v>6242</v>
      </c>
      <c r="L40" s="224"/>
      <c r="M40" s="225"/>
    </row>
    <row r="41">
      <c r="A41" s="310" t="s">
        <v>135</v>
      </c>
      <c r="B41" s="215">
        <v>9300.0</v>
      </c>
      <c r="C41" s="309">
        <v>32377.0</v>
      </c>
      <c r="D41" s="218">
        <v>44568.0</v>
      </c>
      <c r="E41" s="219">
        <v>0.6145833333333334</v>
      </c>
      <c r="F41" s="220" t="s">
        <v>6323</v>
      </c>
      <c r="G41" s="221" t="s">
        <v>14</v>
      </c>
      <c r="H41" s="222" t="s">
        <v>6222</v>
      </c>
      <c r="I41" s="223" t="s">
        <v>6154</v>
      </c>
      <c r="J41" s="225"/>
      <c r="K41" s="224"/>
      <c r="L41" s="224"/>
      <c r="M41" s="225"/>
    </row>
    <row r="42">
      <c r="A42" s="310" t="s">
        <v>6433</v>
      </c>
      <c r="B42" s="215">
        <v>17432.0</v>
      </c>
      <c r="C42" s="309">
        <v>28960.0</v>
      </c>
      <c r="D42" s="218">
        <v>44568.0</v>
      </c>
      <c r="E42" s="219">
        <v>0.12361111111111112</v>
      </c>
      <c r="F42" s="220" t="s">
        <v>6328</v>
      </c>
      <c r="G42" s="221" t="s">
        <v>13</v>
      </c>
      <c r="H42" s="222" t="s">
        <v>6212</v>
      </c>
      <c r="I42" s="223" t="s">
        <v>6434</v>
      </c>
      <c r="J42" s="225"/>
      <c r="K42" s="224" t="s">
        <v>6242</v>
      </c>
      <c r="L42" s="224" t="s">
        <v>6242</v>
      </c>
      <c r="M42" s="225"/>
    </row>
    <row r="43">
      <c r="A43" s="310" t="s">
        <v>6435</v>
      </c>
      <c r="B43" s="215">
        <v>9863.0</v>
      </c>
      <c r="C43" s="309">
        <v>17578.0</v>
      </c>
      <c r="D43" s="218">
        <v>44568.0</v>
      </c>
      <c r="E43" s="219">
        <v>0.5833333333333334</v>
      </c>
      <c r="F43" s="220" t="s">
        <v>6323</v>
      </c>
      <c r="G43" s="221" t="s">
        <v>15</v>
      </c>
      <c r="H43" s="222" t="s">
        <v>6219</v>
      </c>
      <c r="I43" s="223" t="s">
        <v>6100</v>
      </c>
      <c r="J43" s="225"/>
      <c r="K43" s="224" t="s">
        <v>6242</v>
      </c>
      <c r="L43" s="224"/>
      <c r="M43" s="225"/>
    </row>
    <row r="44">
      <c r="A44" s="310" t="s">
        <v>6436</v>
      </c>
      <c r="B44" s="215">
        <v>17470.0</v>
      </c>
      <c r="C44" s="309">
        <v>34674.0</v>
      </c>
      <c r="D44" s="218">
        <v>44568.0</v>
      </c>
      <c r="E44" s="219">
        <v>0.625</v>
      </c>
      <c r="F44" s="220" t="s">
        <v>6328</v>
      </c>
      <c r="G44" s="221" t="s">
        <v>14</v>
      </c>
      <c r="H44" s="222" t="s">
        <v>6222</v>
      </c>
      <c r="I44" s="223" t="s">
        <v>6126</v>
      </c>
      <c r="J44" s="224"/>
      <c r="K44" s="224" t="s">
        <v>6341</v>
      </c>
      <c r="L44" s="224" t="s">
        <v>6341</v>
      </c>
      <c r="M44" s="225"/>
    </row>
    <row r="45">
      <c r="A45" s="310" t="s">
        <v>6437</v>
      </c>
      <c r="B45" s="215">
        <v>15857.0</v>
      </c>
      <c r="C45" s="309">
        <v>20924.0</v>
      </c>
      <c r="D45" s="218">
        <v>44568.0</v>
      </c>
      <c r="E45" s="219">
        <v>0.6145833333333334</v>
      </c>
      <c r="F45" s="220" t="s">
        <v>6328</v>
      </c>
      <c r="G45" s="221" t="s">
        <v>15</v>
      </c>
      <c r="H45" s="222" t="s">
        <v>6219</v>
      </c>
      <c r="I45" s="223" t="s">
        <v>6142</v>
      </c>
      <c r="J45" s="225"/>
      <c r="K45" s="224" t="s">
        <v>6242</v>
      </c>
      <c r="L45" s="224"/>
      <c r="M45" s="225"/>
    </row>
    <row r="46">
      <c r="A46" s="310" t="s">
        <v>1564</v>
      </c>
      <c r="B46" s="215">
        <v>12597.0</v>
      </c>
      <c r="C46" s="309">
        <v>30610.0</v>
      </c>
      <c r="D46" s="218">
        <v>44568.0</v>
      </c>
      <c r="E46" s="219">
        <v>0.6666666666666666</v>
      </c>
      <c r="F46" s="220" t="s">
        <v>6328</v>
      </c>
      <c r="G46" s="221" t="s">
        <v>14</v>
      </c>
      <c r="H46" s="222" t="s">
        <v>6222</v>
      </c>
      <c r="I46" s="223" t="s">
        <v>6101</v>
      </c>
      <c r="J46" s="224"/>
      <c r="K46" s="224" t="s">
        <v>6242</v>
      </c>
      <c r="L46" s="224"/>
      <c r="M46" s="225"/>
    </row>
    <row r="47">
      <c r="A47" s="310" t="s">
        <v>3646</v>
      </c>
      <c r="B47" s="215">
        <v>15209.0</v>
      </c>
      <c r="C47" s="309">
        <v>14594.0</v>
      </c>
      <c r="D47" s="218">
        <v>44568.0</v>
      </c>
      <c r="E47" s="219">
        <v>0.6666666666666666</v>
      </c>
      <c r="F47" s="220" t="s">
        <v>6328</v>
      </c>
      <c r="G47" s="221" t="s">
        <v>14</v>
      </c>
      <c r="H47" s="222" t="s">
        <v>6222</v>
      </c>
      <c r="I47" s="223" t="s">
        <v>6196</v>
      </c>
      <c r="J47" s="225"/>
      <c r="K47" s="224" t="s">
        <v>6242</v>
      </c>
      <c r="L47" s="224" t="s">
        <v>6242</v>
      </c>
      <c r="M47" s="225"/>
    </row>
    <row r="48">
      <c r="A48" s="310" t="s">
        <v>1578</v>
      </c>
      <c r="B48" s="215">
        <v>12617.0</v>
      </c>
      <c r="C48" s="309">
        <v>25468.0</v>
      </c>
      <c r="D48" s="218">
        <v>44568.0</v>
      </c>
      <c r="E48" s="219">
        <v>0.6666666666666666</v>
      </c>
      <c r="F48" s="220" t="s">
        <v>6328</v>
      </c>
      <c r="G48" s="221" t="s">
        <v>14</v>
      </c>
      <c r="H48" s="222" t="s">
        <v>6222</v>
      </c>
      <c r="I48" s="223" t="s">
        <v>6404</v>
      </c>
      <c r="J48" s="225"/>
      <c r="K48" s="224" t="s">
        <v>6242</v>
      </c>
      <c r="L48" s="224"/>
      <c r="M48" s="224"/>
    </row>
    <row r="49">
      <c r="A49" s="310" t="s">
        <v>4948</v>
      </c>
      <c r="B49" s="215">
        <v>16773.0</v>
      </c>
      <c r="C49" s="309">
        <v>13956.0</v>
      </c>
      <c r="D49" s="218">
        <v>44568.0</v>
      </c>
      <c r="E49" s="219">
        <v>0.6875</v>
      </c>
      <c r="F49" s="220" t="s">
        <v>6323</v>
      </c>
      <c r="G49" s="221" t="s">
        <v>15</v>
      </c>
      <c r="H49" s="222" t="s">
        <v>6219</v>
      </c>
      <c r="I49" s="223" t="s">
        <v>6196</v>
      </c>
      <c r="J49" s="225"/>
      <c r="K49" s="224" t="s">
        <v>6242</v>
      </c>
      <c r="L49" s="224"/>
      <c r="M49" s="225"/>
    </row>
    <row r="50">
      <c r="A50" s="311" t="s">
        <v>6438</v>
      </c>
      <c r="B50" s="249">
        <v>15227.0</v>
      </c>
      <c r="C50" s="312">
        <v>27243.0</v>
      </c>
      <c r="D50" s="252">
        <v>44568.0</v>
      </c>
      <c r="E50" s="219">
        <v>0.7069444444444445</v>
      </c>
      <c r="F50" s="254" t="s">
        <v>6323</v>
      </c>
      <c r="G50" s="255" t="s">
        <v>15</v>
      </c>
      <c r="H50" s="256" t="s">
        <v>6219</v>
      </c>
      <c r="I50" s="257" t="s">
        <v>6189</v>
      </c>
      <c r="J50" s="258"/>
      <c r="K50" s="259" t="s">
        <v>6242</v>
      </c>
      <c r="L50" s="259"/>
      <c r="M50" s="258"/>
    </row>
    <row r="51">
      <c r="A51" s="214"/>
      <c r="B51" s="215"/>
      <c r="C51" s="309"/>
      <c r="D51" s="218"/>
      <c r="E51" s="219"/>
      <c r="F51" s="231"/>
      <c r="G51" s="221"/>
      <c r="H51" s="262"/>
      <c r="I51" s="223"/>
      <c r="J51" s="225"/>
      <c r="K51" s="224"/>
      <c r="L51" s="224"/>
      <c r="M51" s="225"/>
    </row>
    <row r="52">
      <c r="A52" s="214"/>
      <c r="B52" s="215"/>
      <c r="C52" s="309"/>
      <c r="D52" s="218"/>
      <c r="E52" s="219"/>
      <c r="F52" s="231"/>
      <c r="G52" s="221"/>
      <c r="H52" s="262"/>
      <c r="I52" s="223"/>
      <c r="J52" s="225"/>
      <c r="K52" s="224"/>
      <c r="L52" s="224"/>
      <c r="M52" s="225"/>
    </row>
    <row r="53">
      <c r="A53" s="214"/>
      <c r="B53" s="215"/>
      <c r="C53" s="309"/>
      <c r="D53" s="218"/>
      <c r="E53" s="219"/>
      <c r="F53" s="231"/>
      <c r="G53" s="221"/>
      <c r="H53" s="262"/>
      <c r="I53" s="223"/>
      <c r="J53" s="224"/>
      <c r="K53" s="224"/>
      <c r="L53" s="224"/>
      <c r="M53" s="225"/>
    </row>
    <row r="54">
      <c r="A54" s="214"/>
      <c r="B54" s="215"/>
      <c r="C54" s="309"/>
      <c r="D54" s="218"/>
      <c r="E54" s="219"/>
      <c r="F54" s="231"/>
      <c r="G54" s="221"/>
      <c r="H54" s="262"/>
      <c r="I54" s="223"/>
      <c r="J54" s="225"/>
      <c r="K54" s="224"/>
      <c r="L54" s="224"/>
      <c r="M54" s="225"/>
    </row>
    <row r="55">
      <c r="A55" s="214"/>
      <c r="B55" s="215"/>
      <c r="C55" s="309"/>
      <c r="D55" s="218"/>
      <c r="E55" s="219"/>
      <c r="F55" s="231"/>
      <c r="G55" s="221"/>
      <c r="H55" s="262"/>
      <c r="I55" s="223"/>
      <c r="J55" s="225"/>
      <c r="K55" s="224"/>
      <c r="L55" s="224"/>
      <c r="M55" s="225"/>
    </row>
    <row r="56">
      <c r="A56" s="214"/>
      <c r="B56" s="215"/>
      <c r="C56" s="309"/>
      <c r="D56" s="218"/>
      <c r="E56" s="219"/>
      <c r="F56" s="231"/>
      <c r="G56" s="221"/>
      <c r="H56" s="262"/>
      <c r="I56" s="223"/>
      <c r="J56" s="225"/>
      <c r="K56" s="224"/>
      <c r="L56" s="224"/>
      <c r="M56" s="225"/>
    </row>
    <row r="57">
      <c r="A57" s="214"/>
      <c r="B57" s="215"/>
      <c r="C57" s="309"/>
      <c r="D57" s="218"/>
      <c r="E57" s="219"/>
      <c r="F57" s="231"/>
      <c r="G57" s="221"/>
      <c r="H57" s="262"/>
      <c r="I57" s="223"/>
      <c r="J57" s="225"/>
      <c r="K57" s="224"/>
      <c r="L57" s="224"/>
      <c r="M57" s="225"/>
    </row>
    <row r="58">
      <c r="A58" s="214"/>
      <c r="B58" s="215"/>
      <c r="C58" s="309"/>
      <c r="D58" s="218"/>
      <c r="E58" s="219"/>
      <c r="F58" s="231"/>
      <c r="G58" s="221"/>
      <c r="H58" s="262"/>
      <c r="I58" s="223"/>
      <c r="J58" s="224"/>
      <c r="K58" s="224"/>
      <c r="L58" s="224"/>
      <c r="M58" s="225"/>
    </row>
    <row r="59">
      <c r="A59" s="214"/>
      <c r="B59" s="215"/>
      <c r="C59" s="309"/>
      <c r="D59" s="218"/>
      <c r="E59" s="219"/>
      <c r="F59" s="231"/>
      <c r="G59" s="221"/>
      <c r="H59" s="262"/>
      <c r="I59" s="223"/>
      <c r="J59" s="224"/>
      <c r="K59" s="224"/>
      <c r="L59" s="224"/>
      <c r="M59" s="225"/>
    </row>
    <row r="60">
      <c r="A60" s="214"/>
      <c r="B60" s="215"/>
      <c r="C60" s="309"/>
      <c r="D60" s="218"/>
      <c r="E60" s="219"/>
      <c r="F60" s="231"/>
      <c r="G60" s="221"/>
      <c r="H60" s="262"/>
      <c r="I60" s="223"/>
      <c r="J60" s="225"/>
      <c r="K60" s="224"/>
      <c r="L60" s="224"/>
      <c r="M60" s="225"/>
    </row>
    <row r="61">
      <c r="A61" s="214"/>
      <c r="B61" s="215"/>
      <c r="C61" s="309"/>
      <c r="D61" s="218"/>
      <c r="E61" s="219"/>
      <c r="F61" s="231"/>
      <c r="G61" s="221"/>
      <c r="H61" s="262"/>
      <c r="I61" s="223"/>
      <c r="J61" s="225"/>
      <c r="K61" s="224"/>
      <c r="L61" s="224"/>
      <c r="M61" s="225"/>
    </row>
    <row r="62">
      <c r="A62" s="214"/>
      <c r="B62" s="215"/>
      <c r="C62" s="309"/>
      <c r="D62" s="218"/>
      <c r="E62" s="219"/>
      <c r="F62" s="231"/>
      <c r="G62" s="221"/>
      <c r="H62" s="262"/>
      <c r="I62" s="223"/>
      <c r="J62" s="225"/>
      <c r="K62" s="224"/>
      <c r="L62" s="224"/>
      <c r="M62" s="225"/>
    </row>
    <row r="63">
      <c r="A63" s="214"/>
      <c r="B63" s="215"/>
      <c r="C63" s="309"/>
      <c r="D63" s="218"/>
      <c r="E63" s="219"/>
      <c r="F63" s="231"/>
      <c r="G63" s="221"/>
      <c r="H63" s="262"/>
      <c r="I63" s="223"/>
      <c r="J63" s="225"/>
      <c r="K63" s="224"/>
      <c r="L63" s="224"/>
      <c r="M63" s="225"/>
    </row>
    <row r="64">
      <c r="A64" s="214"/>
      <c r="B64" s="215"/>
      <c r="C64" s="309"/>
      <c r="D64" s="218"/>
      <c r="E64" s="219"/>
      <c r="F64" s="231"/>
      <c r="G64" s="221"/>
      <c r="H64" s="262"/>
      <c r="I64" s="223"/>
      <c r="J64" s="225"/>
      <c r="K64" s="224"/>
      <c r="L64" s="224"/>
      <c r="M64" s="225"/>
    </row>
    <row r="65">
      <c r="A65" s="214"/>
      <c r="B65" s="215"/>
      <c r="C65" s="309"/>
      <c r="D65" s="218"/>
      <c r="E65" s="219"/>
      <c r="F65" s="231"/>
      <c r="G65" s="221"/>
      <c r="H65" s="262"/>
      <c r="I65" s="223"/>
      <c r="J65" s="225"/>
      <c r="K65" s="224"/>
      <c r="L65" s="224"/>
      <c r="M65" s="225"/>
    </row>
    <row r="66">
      <c r="A66" s="214"/>
      <c r="B66" s="215"/>
      <c r="C66" s="309"/>
      <c r="D66" s="218"/>
      <c r="E66" s="219"/>
      <c r="F66" s="231"/>
      <c r="G66" s="221"/>
      <c r="H66" s="262"/>
      <c r="I66" s="223"/>
      <c r="J66" s="225"/>
      <c r="K66" s="224"/>
      <c r="L66" s="224"/>
      <c r="M66" s="225"/>
    </row>
    <row r="67">
      <c r="A67" s="214"/>
      <c r="B67" s="215"/>
      <c r="C67" s="309"/>
      <c r="D67" s="218"/>
      <c r="E67" s="219"/>
      <c r="F67" s="231"/>
      <c r="G67" s="221"/>
      <c r="H67" s="262"/>
      <c r="I67" s="223"/>
      <c r="J67" s="225"/>
      <c r="K67" s="224"/>
      <c r="L67" s="224"/>
      <c r="M67" s="225"/>
    </row>
    <row r="68">
      <c r="A68" s="214"/>
      <c r="B68" s="215"/>
      <c r="C68" s="309"/>
      <c r="D68" s="218"/>
      <c r="E68" s="219"/>
      <c r="F68" s="231"/>
      <c r="G68" s="221"/>
      <c r="H68" s="262"/>
      <c r="I68" s="223"/>
      <c r="J68" s="225"/>
      <c r="K68" s="224"/>
      <c r="L68" s="224"/>
      <c r="M68" s="225"/>
    </row>
    <row r="69">
      <c r="A69" s="214"/>
      <c r="B69" s="215"/>
      <c r="C69" s="309"/>
      <c r="D69" s="218"/>
      <c r="E69" s="219"/>
      <c r="F69" s="231"/>
      <c r="G69" s="221"/>
      <c r="H69" s="262"/>
      <c r="I69" s="223"/>
      <c r="J69" s="224"/>
      <c r="K69" s="224"/>
      <c r="L69" s="224"/>
      <c r="M69" s="225"/>
    </row>
    <row r="70">
      <c r="A70" s="214"/>
      <c r="B70" s="215"/>
      <c r="C70" s="309"/>
      <c r="D70" s="218"/>
      <c r="E70" s="219"/>
      <c r="F70" s="231"/>
      <c r="G70" s="221"/>
      <c r="H70" s="262"/>
      <c r="I70" s="223"/>
      <c r="J70" s="224"/>
      <c r="K70" s="224"/>
      <c r="L70" s="224"/>
      <c r="M70" s="225"/>
    </row>
    <row r="71">
      <c r="A71" s="214"/>
      <c r="B71" s="215"/>
      <c r="C71" s="309"/>
      <c r="D71" s="218"/>
      <c r="E71" s="219"/>
      <c r="F71" s="231"/>
      <c r="G71" s="221"/>
      <c r="H71" s="262"/>
      <c r="I71" s="223"/>
      <c r="J71" s="225"/>
      <c r="K71" s="224"/>
      <c r="L71" s="224"/>
      <c r="M71" s="225"/>
    </row>
    <row r="72">
      <c r="A72" s="214"/>
      <c r="B72" s="215"/>
      <c r="C72" s="309"/>
      <c r="D72" s="218"/>
      <c r="E72" s="219"/>
      <c r="F72" s="231"/>
      <c r="G72" s="221"/>
      <c r="H72" s="262"/>
      <c r="I72" s="223"/>
      <c r="J72" s="225"/>
      <c r="K72" s="224"/>
      <c r="L72" s="224"/>
      <c r="M72" s="225"/>
    </row>
    <row r="73">
      <c r="A73" s="214"/>
      <c r="B73" s="215"/>
      <c r="C73" s="309"/>
      <c r="D73" s="218"/>
      <c r="E73" s="219"/>
      <c r="F73" s="231"/>
      <c r="G73" s="221"/>
      <c r="H73" s="262"/>
      <c r="I73" s="223"/>
      <c r="J73" s="225"/>
      <c r="K73" s="224"/>
      <c r="L73" s="224"/>
      <c r="M73" s="225"/>
    </row>
    <row r="74">
      <c r="A74" s="214"/>
      <c r="B74" s="215"/>
      <c r="C74" s="309"/>
      <c r="D74" s="218"/>
      <c r="E74" s="219"/>
      <c r="F74" s="231"/>
      <c r="G74" s="221"/>
      <c r="H74" s="262"/>
      <c r="I74" s="223"/>
      <c r="J74" s="225"/>
      <c r="K74" s="224"/>
      <c r="L74" s="224"/>
      <c r="M74" s="225"/>
    </row>
    <row r="75">
      <c r="A75" s="214"/>
      <c r="B75" s="215"/>
      <c r="C75" s="309"/>
      <c r="D75" s="218"/>
      <c r="E75" s="219"/>
      <c r="F75" s="231"/>
      <c r="G75" s="221"/>
      <c r="H75" s="262"/>
      <c r="I75" s="223"/>
      <c r="J75" s="225"/>
      <c r="K75" s="224"/>
      <c r="L75" s="224"/>
      <c r="M75" s="225"/>
    </row>
    <row r="76">
      <c r="A76" s="214"/>
      <c r="B76" s="215"/>
      <c r="C76" s="309"/>
      <c r="D76" s="218"/>
      <c r="E76" s="219"/>
      <c r="F76" s="231"/>
      <c r="G76" s="221"/>
      <c r="H76" s="262"/>
      <c r="I76" s="223"/>
      <c r="J76" s="225"/>
      <c r="K76" s="224"/>
      <c r="L76" s="224"/>
      <c r="M76" s="225"/>
    </row>
    <row r="77">
      <c r="A77" s="214"/>
      <c r="B77" s="215"/>
      <c r="C77" s="309"/>
      <c r="D77" s="218"/>
      <c r="E77" s="219"/>
      <c r="F77" s="231"/>
      <c r="G77" s="221"/>
      <c r="H77" s="262"/>
      <c r="I77" s="223"/>
      <c r="J77" s="225"/>
      <c r="K77" s="224"/>
      <c r="L77" s="224"/>
      <c r="M77" s="225"/>
    </row>
    <row r="78">
      <c r="A78" s="214"/>
      <c r="B78" s="215"/>
      <c r="C78" s="309"/>
      <c r="D78" s="218"/>
      <c r="E78" s="219"/>
      <c r="F78" s="231"/>
      <c r="G78" s="221"/>
      <c r="H78" s="262"/>
      <c r="I78" s="223"/>
      <c r="J78" s="225"/>
      <c r="K78" s="224"/>
      <c r="L78" s="224"/>
      <c r="M78" s="225"/>
    </row>
    <row r="79">
      <c r="A79" s="214"/>
      <c r="B79" s="215"/>
      <c r="C79" s="309"/>
      <c r="D79" s="218"/>
      <c r="E79" s="219"/>
      <c r="F79" s="231"/>
      <c r="G79" s="221"/>
      <c r="H79" s="262"/>
      <c r="I79" s="223"/>
      <c r="J79" s="225"/>
      <c r="K79" s="224"/>
      <c r="L79" s="224"/>
      <c r="M79" s="225"/>
    </row>
    <row r="80">
      <c r="A80" s="214"/>
      <c r="B80" s="215"/>
      <c r="C80" s="309"/>
      <c r="D80" s="218"/>
      <c r="E80" s="219"/>
      <c r="F80" s="231"/>
      <c r="G80" s="221"/>
      <c r="H80" s="262"/>
      <c r="I80" s="223"/>
      <c r="J80" s="225"/>
      <c r="K80" s="224"/>
      <c r="L80" s="224"/>
      <c r="M80" s="225"/>
    </row>
    <row r="81">
      <c r="A81" s="214"/>
      <c r="B81" s="215"/>
      <c r="C81" s="309"/>
      <c r="D81" s="218"/>
      <c r="E81" s="219"/>
      <c r="F81" s="231"/>
      <c r="G81" s="221"/>
      <c r="H81" s="262"/>
      <c r="I81" s="223"/>
      <c r="J81" s="225"/>
      <c r="K81" s="224"/>
      <c r="L81" s="224"/>
      <c r="M81" s="225"/>
    </row>
    <row r="82">
      <c r="A82" s="214"/>
      <c r="B82" s="215"/>
      <c r="C82" s="309"/>
      <c r="D82" s="218"/>
      <c r="E82" s="219"/>
      <c r="F82" s="231"/>
      <c r="G82" s="221"/>
      <c r="H82" s="262"/>
      <c r="I82" s="223"/>
      <c r="J82" s="225"/>
      <c r="K82" s="224"/>
      <c r="L82" s="224"/>
      <c r="M82" s="225"/>
    </row>
    <row r="83">
      <c r="A83" s="214"/>
      <c r="B83" s="215"/>
      <c r="C83" s="309"/>
      <c r="D83" s="218"/>
      <c r="E83" s="219"/>
      <c r="F83" s="231"/>
      <c r="G83" s="221"/>
      <c r="H83" s="262"/>
      <c r="I83" s="223"/>
      <c r="J83" s="225"/>
      <c r="K83" s="224"/>
      <c r="L83" s="224"/>
      <c r="M83" s="225"/>
    </row>
    <row r="84">
      <c r="A84" s="214"/>
      <c r="B84" s="215"/>
      <c r="C84" s="309"/>
      <c r="D84" s="218"/>
      <c r="E84" s="219"/>
      <c r="F84" s="231"/>
      <c r="G84" s="221"/>
      <c r="H84" s="262"/>
      <c r="I84" s="223"/>
      <c r="J84" s="225"/>
      <c r="K84" s="224"/>
      <c r="L84" s="224"/>
      <c r="M84" s="225"/>
    </row>
    <row r="85">
      <c r="A85" s="214"/>
      <c r="B85" s="215"/>
      <c r="C85" s="309"/>
      <c r="D85" s="218"/>
      <c r="E85" s="219"/>
      <c r="F85" s="231"/>
      <c r="G85" s="221"/>
      <c r="H85" s="262"/>
      <c r="I85" s="223"/>
      <c r="J85" s="225"/>
      <c r="K85" s="224"/>
      <c r="L85" s="224"/>
      <c r="M85" s="225"/>
    </row>
    <row r="86">
      <c r="A86" s="214"/>
      <c r="B86" s="215"/>
      <c r="C86" s="309"/>
      <c r="D86" s="218"/>
      <c r="E86" s="219"/>
      <c r="F86" s="231"/>
      <c r="G86" s="221"/>
      <c r="H86" s="262"/>
      <c r="I86" s="223"/>
      <c r="J86" s="225"/>
      <c r="K86" s="224"/>
      <c r="L86" s="224"/>
      <c r="M86" s="225"/>
    </row>
    <row r="87">
      <c r="A87" s="214"/>
      <c r="B87" s="215"/>
      <c r="C87" s="309"/>
      <c r="D87" s="218"/>
      <c r="E87" s="219"/>
      <c r="F87" s="231"/>
      <c r="G87" s="221"/>
      <c r="H87" s="262"/>
      <c r="I87" s="223"/>
      <c r="J87" s="225"/>
      <c r="K87" s="224"/>
      <c r="L87" s="224"/>
      <c r="M87" s="225"/>
    </row>
    <row r="88">
      <c r="A88" s="214"/>
      <c r="B88" s="215"/>
      <c r="C88" s="309"/>
      <c r="D88" s="218"/>
      <c r="E88" s="219"/>
      <c r="F88" s="231"/>
      <c r="G88" s="221"/>
      <c r="H88" s="262"/>
      <c r="I88" s="223"/>
      <c r="J88" s="225"/>
      <c r="K88" s="224"/>
      <c r="L88" s="224"/>
      <c r="M88" s="225"/>
    </row>
    <row r="89">
      <c r="A89" s="214"/>
      <c r="B89" s="215"/>
      <c r="C89" s="309"/>
      <c r="D89" s="218"/>
      <c r="E89" s="219"/>
      <c r="F89" s="231"/>
      <c r="G89" s="221"/>
      <c r="H89" s="262"/>
      <c r="I89" s="223"/>
      <c r="J89" s="225"/>
      <c r="K89" s="224"/>
      <c r="L89" s="224"/>
      <c r="M89" s="225"/>
    </row>
    <row r="90">
      <c r="A90" s="214"/>
      <c r="B90" s="215"/>
      <c r="C90" s="309"/>
      <c r="D90" s="218"/>
      <c r="E90" s="219"/>
      <c r="F90" s="231"/>
      <c r="G90" s="221"/>
      <c r="H90" s="262"/>
      <c r="I90" s="223"/>
      <c r="J90" s="225"/>
      <c r="K90" s="224"/>
      <c r="L90" s="224"/>
      <c r="M90" s="225"/>
    </row>
    <row r="91">
      <c r="A91" s="214"/>
      <c r="B91" s="215"/>
      <c r="C91" s="309"/>
      <c r="D91" s="218"/>
      <c r="E91" s="219"/>
      <c r="F91" s="231"/>
      <c r="G91" s="221"/>
      <c r="H91" s="262"/>
      <c r="I91" s="223"/>
      <c r="J91" s="225"/>
      <c r="K91" s="224"/>
      <c r="L91" s="224"/>
      <c r="M91" s="225"/>
    </row>
    <row r="92">
      <c r="A92" s="214"/>
      <c r="B92" s="215"/>
      <c r="C92" s="309"/>
      <c r="D92" s="218"/>
      <c r="E92" s="219"/>
      <c r="F92" s="231"/>
      <c r="G92" s="221"/>
      <c r="H92" s="262"/>
      <c r="I92" s="223"/>
      <c r="J92" s="225"/>
      <c r="K92" s="224"/>
      <c r="L92" s="224"/>
      <c r="M92" s="225"/>
    </row>
    <row r="93">
      <c r="A93" s="214"/>
      <c r="B93" s="215"/>
      <c r="C93" s="309"/>
      <c r="D93" s="218"/>
      <c r="E93" s="219"/>
      <c r="F93" s="231"/>
      <c r="G93" s="221"/>
      <c r="H93" s="262"/>
      <c r="I93" s="223"/>
      <c r="J93" s="225"/>
      <c r="K93" s="224"/>
      <c r="L93" s="224"/>
      <c r="M93" s="225"/>
    </row>
    <row r="94">
      <c r="A94" s="214"/>
      <c r="B94" s="215"/>
      <c r="C94" s="309"/>
      <c r="D94" s="218"/>
      <c r="E94" s="219"/>
      <c r="F94" s="231"/>
      <c r="G94" s="221"/>
      <c r="H94" s="262"/>
      <c r="I94" s="223"/>
      <c r="J94" s="225"/>
      <c r="K94" s="224"/>
      <c r="L94" s="224"/>
      <c r="M94" s="225"/>
    </row>
    <row r="95">
      <c r="A95" s="214"/>
      <c r="B95" s="215"/>
      <c r="C95" s="309"/>
      <c r="D95" s="218"/>
      <c r="E95" s="219"/>
      <c r="F95" s="231"/>
      <c r="G95" s="221"/>
      <c r="H95" s="262"/>
      <c r="I95" s="223"/>
      <c r="J95" s="225"/>
      <c r="K95" s="224"/>
      <c r="L95" s="224"/>
      <c r="M95" s="225"/>
    </row>
    <row r="96">
      <c r="A96" s="214"/>
      <c r="B96" s="215"/>
      <c r="C96" s="309"/>
      <c r="D96" s="218"/>
      <c r="E96" s="219"/>
      <c r="F96" s="231"/>
      <c r="G96" s="221"/>
      <c r="H96" s="262"/>
      <c r="I96" s="223"/>
      <c r="J96" s="225"/>
      <c r="K96" s="224"/>
      <c r="L96" s="224"/>
      <c r="M96" s="225"/>
    </row>
    <row r="97">
      <c r="A97" s="214"/>
      <c r="B97" s="215"/>
      <c r="C97" s="309"/>
      <c r="D97" s="218"/>
      <c r="E97" s="219"/>
      <c r="F97" s="231"/>
      <c r="G97" s="221"/>
      <c r="H97" s="262"/>
      <c r="I97" s="223"/>
      <c r="J97" s="225"/>
      <c r="K97" s="224"/>
      <c r="L97" s="224"/>
      <c r="M97" s="225"/>
    </row>
    <row r="98">
      <c r="A98" s="214"/>
      <c r="B98" s="215"/>
      <c r="C98" s="309"/>
      <c r="D98" s="218"/>
      <c r="E98" s="219"/>
      <c r="F98" s="231"/>
      <c r="G98" s="221"/>
      <c r="H98" s="262"/>
      <c r="I98" s="223"/>
      <c r="J98" s="225"/>
      <c r="K98" s="224"/>
      <c r="L98" s="224"/>
      <c r="M98" s="225"/>
    </row>
    <row r="99">
      <c r="A99" s="214"/>
      <c r="B99" s="215"/>
      <c r="C99" s="309"/>
      <c r="D99" s="218"/>
      <c r="E99" s="219"/>
      <c r="F99" s="231"/>
      <c r="G99" s="221"/>
      <c r="H99" s="262"/>
      <c r="I99" s="223"/>
      <c r="J99" s="225"/>
      <c r="K99" s="224"/>
      <c r="L99" s="224"/>
      <c r="M99" s="225"/>
    </row>
    <row r="100">
      <c r="A100" s="232"/>
      <c r="B100" s="232"/>
      <c r="C100" s="313"/>
      <c r="D100" s="263"/>
      <c r="E100" s="234"/>
      <c r="F100" s="232"/>
      <c r="G100" s="235"/>
      <c r="H100" s="232"/>
      <c r="I100" s="232"/>
      <c r="J100" s="236" t="s">
        <v>6333</v>
      </c>
      <c r="K100" s="237">
        <f>COUNTIFS(J1:K80, "X")</f>
        <v>47</v>
      </c>
      <c r="L100" s="236" t="s">
        <v>6334</v>
      </c>
      <c r="M100" s="237">
        <f>COUNTIFS(L1:L80, "X")</f>
        <v>19</v>
      </c>
    </row>
  </sheetData>
  <customSheetViews>
    <customSheetView guid="{20F5F3BA-172D-4727-943D-E296FD1F3EFA}" filter="1" showAutoFilter="1">
      <autoFilter ref="$A$1:$M$100"/>
    </customSheetView>
  </customSheetViews>
  <conditionalFormatting sqref="A1:M100">
    <cfRule type="expression" dxfId="5" priority="1">
      <formula>#REF!="ERROR"</formula>
    </cfRule>
  </conditionalFormatting>
  <conditionalFormatting sqref="A1:M99">
    <cfRule type="expression" dxfId="5" priority="2">
      <formula>#REF!="NO MATCH"</formula>
    </cfRule>
  </conditionalFormatting>
  <conditionalFormatting sqref="A1:M99">
    <cfRule type="expression" dxfId="4" priority="3">
      <formula>#REF!="Repeat"</formula>
    </cfRule>
  </conditionalFormatting>
  <conditionalFormatting sqref="A1:M99">
    <cfRule type="expression" dxfId="20" priority="4">
      <formula>$I1="MOLINA DUAL COMPLETE NEW MEXICO"</formula>
    </cfRule>
  </conditionalFormatting>
  <conditionalFormatting sqref="A1:M99">
    <cfRule type="expression" dxfId="20" priority="5">
      <formula>$I1="MOLINA DUAL COMPLETE TEXAS"</formula>
    </cfRule>
  </conditionalFormatting>
  <conditionalFormatting sqref="A1:M99">
    <cfRule type="expression" dxfId="20" priority="6">
      <formula>$I1="MOLINA MARKETPLACE TEXAS"</formula>
    </cfRule>
  </conditionalFormatting>
  <conditionalFormatting sqref="J1:J99">
    <cfRule type="containsText" dxfId="6" priority="7" operator="containsText" text="x">
      <formula>NOT(ISERROR(SEARCH(("x"),(J1))))</formula>
    </cfRule>
  </conditionalFormatting>
  <conditionalFormatting sqref="L1:L99">
    <cfRule type="containsText" dxfId="21" priority="8" operator="containsText" text="X">
      <formula>NOT(ISERROR(SEARCH(("X"),(L1))))</formula>
    </cfRule>
  </conditionalFormatting>
  <conditionalFormatting sqref="K1:K99">
    <cfRule type="containsText" dxfId="22" priority="9" operator="containsText" text="X">
      <formula>NOT(ISERROR(SEARCH(("X"),(K1))))</formula>
    </cfRule>
  </conditionalFormatting>
  <conditionalFormatting sqref="I1:I99 M1">
    <cfRule type="containsText" dxfId="24" priority="10" operator="containsText" text="Molina">
      <formula>NOT(ISERROR(SEARCH(("Molina"),(I1))))</formula>
    </cfRule>
  </conditionalFormatting>
  <conditionalFormatting sqref="J1:L99">
    <cfRule type="containsBlanks" dxfId="25" priority="11">
      <formula>LEN(TRIM(J1))=0</formula>
    </cfRule>
  </conditionalFormatting>
  <conditionalFormatting sqref="A2:M99">
    <cfRule type="expression" dxfId="10" priority="12">
      <formula>$M2="SWAB"</formula>
    </cfRule>
  </conditionalFormatting>
  <conditionalFormatting sqref="I1:I99">
    <cfRule type="containsText" dxfId="5" priority="13" operator="containsText" text="Self Pay">
      <formula>NOT(ISERROR(SEARCH(("Self Pay"),(I1))))</formula>
    </cfRule>
  </conditionalFormatting>
  <conditionalFormatting sqref="I1:I99">
    <cfRule type="containsText" dxfId="5" priority="14" operator="containsText" text="Self-Pay">
      <formula>NOT(ISERROR(SEARCH(("Self-Pay"),(I1))))</formula>
    </cfRule>
  </conditionalFormatting>
  <conditionalFormatting sqref="I1:I99">
    <cfRule type="containsText" dxfId="5" priority="15" operator="containsText" text="Third Party">
      <formula>NOT(ISERROR(SEARCH(("Third Party"),(I1))))</formula>
    </cfRule>
  </conditionalFormatting>
  <conditionalFormatting sqref="A1:M99">
    <cfRule type="expression" dxfId="26" priority="16">
      <formula>$I1="SUPERIOR HEALTH PLAN"</formula>
    </cfRule>
  </conditionalFormatting>
  <conditionalFormatting sqref="A1:M99">
    <cfRule type="expression" dxfId="26" priority="17">
      <formula>$I1="AMBETTER - SUPERIOR"</formula>
    </cfRule>
  </conditionalFormatting>
  <conditionalFormatting sqref="A1:M99">
    <cfRule type="expression" dxfId="19" priority="18">
      <formula>$I1="Wellmed - Humana"</formula>
    </cfRule>
  </conditionalFormatting>
  <conditionalFormatting sqref="A1:M99">
    <cfRule type="expression" dxfId="19" priority="19">
      <formula>$I1="WELLMED - AARP MEDICARE COMPLETE"</formula>
    </cfRule>
  </conditionalFormatting>
  <conditionalFormatting sqref="A1:M99">
    <cfRule type="expression" dxfId="19" priority="20">
      <formula>$I1="WELLMED - AMERIVANTAGE"</formula>
    </cfRule>
  </conditionalFormatting>
  <conditionalFormatting sqref="A1:M99">
    <cfRule type="expression" dxfId="19" priority="21">
      <formula>$I1="WELLMED - CIGNA HEALTHSPRING"</formula>
    </cfRule>
  </conditionalFormatting>
  <conditionalFormatting sqref="A1:M99">
    <cfRule type="expression" dxfId="19" priority="22">
      <formula>$I1="WELLMED - UHC CHRONIC COMPLETE HMO C-SNP"</formula>
    </cfRule>
  </conditionalFormatting>
  <conditionalFormatting sqref="A1:M99">
    <cfRule type="expression" dxfId="19" priority="23">
      <formula>$I1="WELLMED - UHC DUAL COMPLETE HMO SNP"</formula>
    </cfRule>
  </conditionalFormatting>
  <conditionalFormatting sqref="A1:M99">
    <cfRule type="expression" dxfId="19" priority="24">
      <formula>$I1="WELLMED - UHC DUAL COMPLETE SNP"</formula>
    </cfRule>
  </conditionalFormatting>
  <conditionalFormatting sqref="A1:M99">
    <cfRule type="expression" dxfId="20" priority="25">
      <formula>$I1="MOLINA DUAL COMPLETE NEW MEXICO"</formula>
    </cfRule>
  </conditionalFormatting>
  <conditionalFormatting sqref="A1:M99">
    <cfRule type="expression" dxfId="20" priority="26">
      <formula>$I1="MOLINA DUAL COMPLETE TEXAS"</formula>
    </cfRule>
  </conditionalFormatting>
  <conditionalFormatting sqref="A1:M99">
    <cfRule type="expression" dxfId="20" priority="27">
      <formula>$I1="MOLINA MARKETPLACE TEXAS"</formula>
    </cfRule>
  </conditionalFormatting>
  <conditionalFormatting sqref="A1:M99">
    <cfRule type="expression" dxfId="20" priority="28">
      <formula>$I1="MOLINA MEDICAID TEXAS"</formula>
    </cfRule>
  </conditionalFormatting>
  <conditionalFormatting sqref="A1:M99">
    <cfRule type="expression" dxfId="27" priority="29">
      <formula>$I1="HUMANA OPEN ACCESS PLAN"</formula>
    </cfRule>
  </conditionalFormatting>
  <conditionalFormatting sqref="A1:M99">
    <cfRule type="expression" dxfId="28" priority="30">
      <formula>$I1="HUMANA CHOICE CARE"</formula>
    </cfRule>
  </conditionalFormatting>
  <conditionalFormatting sqref="M1:M100">
    <cfRule type="expression" dxfId="5" priority="31">
      <formula>#REF!="X"</formula>
    </cfRule>
  </conditionalFormatting>
  <dataValidations>
    <dataValidation type="custom" allowBlank="1" showDropDown="1" showInputMessage="1" showErrorMessage="1" prompt="CAPITALS" sqref="B1:B99">
      <formula1>ISERROR(SEARCH((exact(upper(B:M),B:M)),(B1)))</formula1>
    </dataValidation>
    <dataValidation type="custom" allowBlank="1" showDropDown="1" showInputMessage="1" showErrorMessage="1" prompt="CAPITALS" sqref="A1:A99">
      <formula1>ISERROR(SEARCH((exact(upper(B:M),B:M)),(A1)))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1.57"/>
    <col customWidth="1" min="2" max="2" width="6.43"/>
    <col customWidth="1" min="3" max="3" width="2.14"/>
    <col customWidth="1" min="4" max="4" width="9.71"/>
    <col customWidth="1" min="5" max="5" width="10.71"/>
    <col customWidth="1" min="6" max="6" width="11.57"/>
    <col customWidth="1" min="7" max="7" width="8.43"/>
    <col customWidth="1" min="8" max="8" width="8.29"/>
    <col customWidth="1" min="9" max="9" width="12.71"/>
    <col customWidth="1" min="10" max="10" width="36.71"/>
    <col customWidth="1" min="11" max="11" width="8.29"/>
    <col customWidth="1" min="12" max="12" width="8.57"/>
    <col customWidth="1" min="13" max="13" width="7.57"/>
    <col customWidth="1" min="14" max="14" width="7.0"/>
    <col customWidth="1" min="15" max="15" width="2.14"/>
    <col customWidth="1" hidden="1" min="16" max="20" width="12.57"/>
    <col customWidth="1" hidden="1" min="21" max="21" width="2.14"/>
    <col customWidth="1" min="22" max="22" width="14.86"/>
    <col customWidth="1" hidden="1" min="23" max="24" width="34.57"/>
    <col customWidth="1" hidden="1" min="25" max="25" width="12.14"/>
    <col customWidth="1" hidden="1" min="26" max="26" width="1.57"/>
    <col customWidth="1" min="27" max="27" width="9.57"/>
  </cols>
  <sheetData>
    <row r="1">
      <c r="A1" s="204" t="s">
        <v>24</v>
      </c>
      <c r="B1" s="205" t="s">
        <v>6237</v>
      </c>
      <c r="C1" s="206"/>
      <c r="D1" s="207" t="s">
        <v>25</v>
      </c>
      <c r="E1" s="207"/>
      <c r="F1" s="240" t="s">
        <v>6335</v>
      </c>
      <c r="G1" s="208" t="s">
        <v>6336</v>
      </c>
      <c r="H1" s="209" t="s">
        <v>2</v>
      </c>
      <c r="I1" s="209" t="s">
        <v>6206</v>
      </c>
      <c r="J1" s="209" t="s">
        <v>6135</v>
      </c>
      <c r="K1" s="208" t="s">
        <v>6337</v>
      </c>
      <c r="L1" s="208" t="s">
        <v>6338</v>
      </c>
      <c r="M1" s="208" t="s">
        <v>6339</v>
      </c>
      <c r="N1" s="210" t="s">
        <v>7</v>
      </c>
      <c r="O1" s="206"/>
      <c r="P1" s="207" t="s">
        <v>6188</v>
      </c>
      <c r="Q1" s="208" t="s">
        <v>6319</v>
      </c>
      <c r="R1" s="208" t="s">
        <v>6132</v>
      </c>
      <c r="S1" s="208" t="s">
        <v>6134</v>
      </c>
      <c r="T1" s="208" t="s">
        <v>6147</v>
      </c>
      <c r="U1" s="211"/>
      <c r="V1" s="212" t="s">
        <v>6320</v>
      </c>
      <c r="W1" s="207"/>
      <c r="X1" s="209"/>
      <c r="Y1" s="208" t="s">
        <v>6321</v>
      </c>
      <c r="Z1" s="213"/>
      <c r="AA1" s="241"/>
    </row>
    <row r="2">
      <c r="A2" s="214" t="str">
        <f>IFS($B2=FALSE,"",$B2,VLOOKUP($B2,'PATIENT DATA (072721)'!A:C, 2, 0))</f>
        <v>GALLARDO, MARIA D</v>
      </c>
      <c r="B2" s="215">
        <v>9353.0</v>
      </c>
      <c r="C2" s="216" t="str">
        <f>IF(COUNTIF('PATIENT DATA (072721)'!A:A, B2)=0, "X","✓")</f>
        <v>✓</v>
      </c>
      <c r="D2" s="226">
        <f>IFS($B2=FALSE,"",$B2,VLOOKUP($B2,'PATIENT DATA (072721)'!A:C, 3, 0))</f>
        <v>11841</v>
      </c>
      <c r="E2" s="218">
        <v>44568.0</v>
      </c>
      <c r="F2" s="219">
        <f>ifs($B2="","",$B2, VLOOKUP($B2&amp;$E2, 'VISIT DATA'!A:O,3,0))</f>
        <v>0.3333333333</v>
      </c>
      <c r="G2" s="220" t="s">
        <v>6323</v>
      </c>
      <c r="H2" s="221" t="s">
        <v>15</v>
      </c>
      <c r="I2" s="222" t="str">
        <f>VLOOKUP($B2&amp;$E2,'VISIT DATA'!A:J, 9, FALSE)</f>
        <v>MARTINEZ</v>
      </c>
      <c r="J2" s="223" t="str">
        <f>VLOOKUP(B2&amp;E2,'VISIT DATA'!A:N,10,FALSE)</f>
        <v>MEDICARE TEXAS</v>
      </c>
      <c r="K2" s="242"/>
      <c r="L2" s="224" t="s">
        <v>6242</v>
      </c>
      <c r="M2" s="224"/>
      <c r="N2" s="225"/>
      <c r="O2" s="216" t="str">
        <f t="shared" ref="O2:O99" si="1">IF(OR(K2 = "x",L2 = "x",M2 = "x"),"✓", "X")</f>
        <v>✓</v>
      </c>
      <c r="P2" s="226" t="str">
        <f t="shared" ref="P2:P99" si="2">ifs(SEARCH($P$1,$J2)&gt;=1,"X")</f>
        <v>#VALUE!</v>
      </c>
      <c r="Q2" s="227" t="str">
        <f t="shared" ref="Q2:Q99" si="3">ifs(SEARCH($Q$1,$J2)&gt;=1,"X")</f>
        <v>#VALUE!</v>
      </c>
      <c r="R2" s="228" t="str">
        <f t="shared" ref="R2:R99" si="4">ifs(SEARCH($R$1,$J2)&gt;=1,"X")</f>
        <v>#VALUE!</v>
      </c>
      <c r="S2" s="220" t="str">
        <f t="shared" ref="S2:S99" si="5">ifs(SEARCH($S$1,$J2)&gt;=1,"X")</f>
        <v>#VALUE!</v>
      </c>
      <c r="T2" s="220" t="str">
        <f t="shared" ref="T2:T99" si="6">ifs(SEARCH($T$1,$J2)&gt;=1,"X")</f>
        <v>#VALUE!</v>
      </c>
      <c r="U2" s="221">
        <f t="shared" ref="U2:U99" si="7">countif($P2:$T2,"X")</f>
        <v>0</v>
      </c>
      <c r="V2" s="229" t="str">
        <f>ifs($N2="",VLOOKUP($B2&amp;$E2,'VISIT DATA'!$A$2:$J100,7,FALSE), $N2="SWAB","OUTSA-RW",$N2="SWQU","OUTSA-SaQu", AND($L2="X",$M2="X",$N2="QUEST"),"OUT-UAQPre",$N2="QUEST","OUT-UAQ", $N2="Walk in","ColUATele")</f>
        <v>UA</v>
      </c>
      <c r="W2" s="24" t="str">
        <f t="shared" ref="W2:W99" si="8">ifs($V2="UA-NWPT","UA-NWPT : UA New Patient",$V2="UA","UA : Urine Analysis In House",$V2="UA-Prelim","UA-Prelim : Preliminary UA Test",$V2="OUT-UAQ","OUT-UAQ : Quest Out UA",$V2="OUT-UAQPre", "OUT-UAQPre : OUT UA Prelim Quest",$V2="OUTSA-SaQu","OUTSA-SaQu : Saliva Out Quest",$V2="ColUATele","Collected Telemed",$V2="OUTUA-PrRW", "OUTUA-PrRW : OUT UA Prelimin Redwood",$V2="OUTUA-FURW", "OUTUA-FURW : OUT UA FU Redwood",$V2="OUTUA-NWRW", "OUTUA-NWRW : OUT UA New Redwood",$V2="OUTSA-RW", "OUTSA-RW : OUT Saliva Redwood")</f>
        <v>UA : Urine Analysis In House</v>
      </c>
      <c r="X2" s="222" t="str">
        <f t="shared" ref="X2:X99" si="9">ifs($B2="","",and($K2="X",$L2="X",$M2="X",$N2="SWAB"), "ERROR",and($K2="X",$L2="X",$N2="SWAB"), "ERROR", and($L2="X",$N2="SWAB"), "OUTSA-RW : OUT Saliva Redwood", and($K2="X",$M2="X", $N2="SWAB"),"ERROR", and($M2="X",$N2="SWAB"), "OUTSA-RW : OUT Saliva Redwood", and($K2="X",$N2="SWAB"),"OUTSA-RW : OUT Saliva Redwood",and($K2="X",$L2="X"),"ERROR", and($K2="X",$M2="X"),"ERROR",and($M2="X",$U2=1), "OUTUA-PrRW : OUT UA Prelimin Redwood", and($K2="X",$U2=1), "OUTUA-NWRW : OUT UA New Redwood", and($L2="X",$U2=1), "OUTUA-FURW : OUT UA FU Redwood", and($L2="X",$M2="X",$U2=1), "OUTUA-PrRW : OUT UA Prelimin Redwood", $K2="X","UA-NWPT : UA New Patient", and($L2="X",$M2="X"),"UA-Prelim : Preliminary UA Test",and($L2="X",$N2="SWAB"),"OUTSA-RW : OUT Saliva Redwood",$L2="X","UA : Urine Analysis In House",$M2="X","UA-Prelim : Preliminary UA Test")</f>
        <v>UA : Urine Analysis In House</v>
      </c>
      <c r="Y2" s="222" t="str">
        <f t="shared" ref="Y2:Y99" si="10">IFS($B2="","",X2=W2,"MATCH",X2&lt;&gt;W2,"NO MATCH")</f>
        <v>MATCH</v>
      </c>
      <c r="Z2" s="224" t="str">
        <f t="shared" ref="Z2:Z99" si="11">IF((countif($B$2:$B100,$B2)&gt;1),"Repeat"," ")</f>
        <v> </v>
      </c>
      <c r="AA2" s="243"/>
    </row>
    <row r="3">
      <c r="A3" s="214" t="str">
        <f>IFS($B3=FALSE,"",$B3,VLOOKUP($B3,'PATIENT DATA (072721)'!A:C, 2, 0))</f>
        <v>BORREGO, NORA P</v>
      </c>
      <c r="B3" s="215">
        <v>15851.0</v>
      </c>
      <c r="C3" s="216" t="str">
        <f>IF(COUNTIF('PATIENT DATA (072721)'!A:A, B3)=0, "X","✓")</f>
        <v>✓</v>
      </c>
      <c r="D3" s="226">
        <f>IFS($B3=FALSE,"",$B3,VLOOKUP($B3,'PATIENT DATA (072721)'!A:C, 3, 0))</f>
        <v>23918</v>
      </c>
      <c r="E3" s="218">
        <v>44568.0</v>
      </c>
      <c r="F3" s="219">
        <f>ifs($B3="","",$B3, VLOOKUP($B3&amp;$E3, 'VISIT DATA'!A:O,3,0))</f>
        <v>0.3333333333</v>
      </c>
      <c r="G3" s="220" t="s">
        <v>6323</v>
      </c>
      <c r="H3" s="221" t="s">
        <v>14</v>
      </c>
      <c r="I3" s="222" t="str">
        <f>VLOOKUP($B3&amp;$E3,'VISIT DATA'!A:J, 9, FALSE)</f>
        <v>TORRES</v>
      </c>
      <c r="J3" s="223" t="str">
        <f>VLOOKUP(B3&amp;E3,'VISIT DATA'!A:N,10,FALSE)</f>
        <v>AETNA</v>
      </c>
      <c r="K3" s="224"/>
      <c r="L3" s="224" t="s">
        <v>6242</v>
      </c>
      <c r="M3" s="224"/>
      <c r="N3" s="225"/>
      <c r="O3" s="216" t="str">
        <f t="shared" si="1"/>
        <v>✓</v>
      </c>
      <c r="P3" s="226" t="str">
        <f t="shared" si="2"/>
        <v>#VALUE!</v>
      </c>
      <c r="Q3" s="227" t="str">
        <f t="shared" si="3"/>
        <v>#VALUE!</v>
      </c>
      <c r="R3" s="228" t="str">
        <f t="shared" si="4"/>
        <v>#VALUE!</v>
      </c>
      <c r="S3" s="220" t="str">
        <f t="shared" si="5"/>
        <v>#VALUE!</v>
      </c>
      <c r="T3" s="220" t="str">
        <f t="shared" si="6"/>
        <v>#VALUE!</v>
      </c>
      <c r="U3" s="221">
        <f t="shared" si="7"/>
        <v>0</v>
      </c>
      <c r="V3" s="229" t="str">
        <f>ifs($N3="",VLOOKUP($B3&amp;$E3,'VISIT DATA'!$A$2:$J100,7,FALSE), $N3="SWAB","OUTSA-RW",$N3="SWQU","OUTSA-SaQu", AND($L3="X",$M3="X",$N3="QUEST"),"OUT-UAQPre",$N3="QUEST","OUT-UAQ", $N3="Walk in","ColUATele")</f>
        <v>UA</v>
      </c>
      <c r="W3" s="24" t="str">
        <f t="shared" si="8"/>
        <v>UA : Urine Analysis In House</v>
      </c>
      <c r="X3" s="222" t="str">
        <f t="shared" si="9"/>
        <v>UA : Urine Analysis In House</v>
      </c>
      <c r="Y3" s="222" t="str">
        <f t="shared" si="10"/>
        <v>MATCH</v>
      </c>
      <c r="Z3" s="224" t="str">
        <f t="shared" si="11"/>
        <v> </v>
      </c>
      <c r="AA3" s="243"/>
    </row>
    <row r="4">
      <c r="A4" s="214" t="str">
        <f>IFS($B4=FALSE,"",$B4,VLOOKUP($B4,'PATIENT DATA (072721)'!A:C, 2, 0))</f>
        <v>MARTINEZ, DIONEL S</v>
      </c>
      <c r="B4" s="215">
        <v>14172.0</v>
      </c>
      <c r="C4" s="216" t="str">
        <f>IF(COUNTIF('PATIENT DATA (072721)'!A:A, B4)=0, "X","✓")</f>
        <v>✓</v>
      </c>
      <c r="D4" s="226">
        <f>IFS($B4=FALSE,"",$B4,VLOOKUP($B4,'PATIENT DATA (072721)'!A:C, 3, 0))</f>
        <v>17875</v>
      </c>
      <c r="E4" s="218">
        <v>44568.0</v>
      </c>
      <c r="F4" s="219">
        <f>ifs($B4="","",$B4, VLOOKUP($B4&amp;$E4, 'VISIT DATA'!A:O,3,0))</f>
        <v>0.3645833333</v>
      </c>
      <c r="G4" s="220" t="s">
        <v>6328</v>
      </c>
      <c r="H4" s="221" t="s">
        <v>15</v>
      </c>
      <c r="I4" s="222" t="str">
        <f>VLOOKUP($B4&amp;$E4,'VISIT DATA'!A:J, 9, FALSE)</f>
        <v>MARTINEZ</v>
      </c>
      <c r="J4" s="223" t="str">
        <f>VLOOKUP(B4&amp;E4,'VISIT DATA'!A:N,10,FALSE)</f>
        <v>WPS VA - COMMUNITY CARE</v>
      </c>
      <c r="K4" s="242"/>
      <c r="L4" s="224" t="s">
        <v>6242</v>
      </c>
      <c r="M4" s="224" t="s">
        <v>6242</v>
      </c>
      <c r="N4" s="225"/>
      <c r="O4" s="216" t="str">
        <f t="shared" si="1"/>
        <v>✓</v>
      </c>
      <c r="P4" s="226" t="str">
        <f t="shared" si="2"/>
        <v>#VALUE!</v>
      </c>
      <c r="Q4" s="227" t="str">
        <f t="shared" si="3"/>
        <v>#VALUE!</v>
      </c>
      <c r="R4" s="228" t="str">
        <f t="shared" si="4"/>
        <v>#VALUE!</v>
      </c>
      <c r="S4" s="220" t="str">
        <f t="shared" si="5"/>
        <v>#VALUE!</v>
      </c>
      <c r="T4" s="220" t="str">
        <f t="shared" si="6"/>
        <v>#VALUE!</v>
      </c>
      <c r="U4" s="221">
        <f t="shared" si="7"/>
        <v>0</v>
      </c>
      <c r="V4" s="229" t="str">
        <f>ifs($N4="",VLOOKUP($B4&amp;$E4,'VISIT DATA'!$A$2:$J100,7,FALSE), $N4="SWAB","OUTSA-RW",$N4="SWQU","OUTSA-SaQu", AND($L4="X",$M4="X",$N4="QUEST"),"OUT-UAQPre",$N4="QUEST","OUT-UAQ", $N4="Walk in","ColUATele")</f>
        <v>UA-Prelim</v>
      </c>
      <c r="W4" s="24" t="str">
        <f t="shared" si="8"/>
        <v>UA-Prelim : Preliminary UA Test</v>
      </c>
      <c r="X4" s="222" t="str">
        <f t="shared" si="9"/>
        <v>UA-Prelim : Preliminary UA Test</v>
      </c>
      <c r="Y4" s="222" t="str">
        <f t="shared" si="10"/>
        <v>MATCH</v>
      </c>
      <c r="Z4" s="224" t="str">
        <f t="shared" si="11"/>
        <v> </v>
      </c>
      <c r="AA4" s="243"/>
    </row>
    <row r="5">
      <c r="A5" s="214" t="str">
        <f>IFS($B5=FALSE,"",$B5,VLOOKUP($B5,'PATIENT DATA (072721)'!A:C, 2, 0))</f>
        <v>MARTINEZ, VICTOR</v>
      </c>
      <c r="B5" s="215">
        <v>12316.0</v>
      </c>
      <c r="C5" s="216" t="str">
        <f>IF(COUNTIF('PATIENT DATA (072721)'!A:A, B5)=0, "X","✓")</f>
        <v>✓</v>
      </c>
      <c r="D5" s="226">
        <f>IFS($B5=FALSE,"",$B5,VLOOKUP($B5,'PATIENT DATA (072721)'!A:C, 3, 0))</f>
        <v>21955</v>
      </c>
      <c r="E5" s="218">
        <v>44568.0</v>
      </c>
      <c r="F5" s="219">
        <f>ifs($B5="","",$B5, VLOOKUP($B5&amp;$E5, 'VISIT DATA'!A:O,3,0))</f>
        <v>0.3541666667</v>
      </c>
      <c r="G5" s="220" t="s">
        <v>6328</v>
      </c>
      <c r="H5" s="221" t="s">
        <v>14</v>
      </c>
      <c r="I5" s="222" t="str">
        <f>VLOOKUP($B5&amp;$E5,'VISIT DATA'!A:J, 9, FALSE)</f>
        <v>TORRES</v>
      </c>
      <c r="J5" s="223" t="str">
        <f>VLOOKUP(B5&amp;E5,'VISIT DATA'!A:N,10,FALSE)</f>
        <v>WELLMED - UHC DUAL COMPLETE SNP</v>
      </c>
      <c r="K5" s="224"/>
      <c r="L5" s="224" t="s">
        <v>6242</v>
      </c>
      <c r="M5" s="224" t="s">
        <v>6242</v>
      </c>
      <c r="N5" s="225"/>
      <c r="O5" s="216" t="str">
        <f t="shared" si="1"/>
        <v>✓</v>
      </c>
      <c r="P5" s="226" t="str">
        <f t="shared" si="2"/>
        <v>X</v>
      </c>
      <c r="Q5" s="227" t="str">
        <f t="shared" si="3"/>
        <v>#VALUE!</v>
      </c>
      <c r="R5" s="228" t="str">
        <f t="shared" si="4"/>
        <v>#VALUE!</v>
      </c>
      <c r="S5" s="220" t="str">
        <f t="shared" si="5"/>
        <v>#VALUE!</v>
      </c>
      <c r="T5" s="220" t="str">
        <f t="shared" si="6"/>
        <v>#VALUE!</v>
      </c>
      <c r="U5" s="221">
        <f t="shared" si="7"/>
        <v>1</v>
      </c>
      <c r="V5" s="229" t="str">
        <f>ifs($N5="",VLOOKUP($B5&amp;$E5,'VISIT DATA'!$A$2:$J100,7,FALSE), $N5="SWAB","OUTSA-RW",$N5="SWQU","OUTSA-SaQu", AND($L5="X",$M5="X",$N5="QUEST"),"OUT-UAQPre",$N5="QUEST","OUT-UAQ", $N5="Walk in","ColUATele")</f>
        <v>OUTUA-PrRW</v>
      </c>
      <c r="W5" s="24" t="str">
        <f t="shared" si="8"/>
        <v>OUTUA-PrRW : OUT UA Prelimin Redwood</v>
      </c>
      <c r="X5" s="222" t="str">
        <f t="shared" si="9"/>
        <v>OUTUA-PrRW : OUT UA Prelimin Redwood</v>
      </c>
      <c r="Y5" s="222" t="str">
        <f t="shared" si="10"/>
        <v>MATCH</v>
      </c>
      <c r="Z5" s="224" t="str">
        <f t="shared" si="11"/>
        <v> </v>
      </c>
      <c r="AA5" s="243"/>
    </row>
    <row r="6">
      <c r="A6" s="214" t="str">
        <f>IFS($B6=FALSE,"",$B6,VLOOKUP($B6,'PATIENT DATA (072721)'!A:C, 2, 0))</f>
        <v>PATTERSON, EVA</v>
      </c>
      <c r="B6" s="215">
        <v>14839.0</v>
      </c>
      <c r="C6" s="216" t="str">
        <f>IF(COUNTIF('PATIENT DATA (072721)'!A:A, B6)=0, "X","✓")</f>
        <v>✓</v>
      </c>
      <c r="D6" s="226">
        <f>IFS($B6=FALSE,"",$B6,VLOOKUP($B6,'PATIENT DATA (072721)'!A:C, 3, 0))</f>
        <v>23343</v>
      </c>
      <c r="E6" s="218">
        <v>44568.0</v>
      </c>
      <c r="F6" s="219">
        <f>ifs($B6="","",$B6, VLOOKUP($B6&amp;$E6, 'VISIT DATA'!A:O,3,0))</f>
        <v>0.3125</v>
      </c>
      <c r="G6" s="220" t="s">
        <v>6323</v>
      </c>
      <c r="H6" s="221" t="s">
        <v>13</v>
      </c>
      <c r="I6" s="222" t="str">
        <f>VLOOKUP($B6&amp;$E6,'VISIT DATA'!A:J, 9, FALSE)</f>
        <v>LOPEZ</v>
      </c>
      <c r="J6" s="223" t="str">
        <f>VLOOKUP(B6&amp;E6,'VISIT DATA'!A:N,10,FALSE)</f>
        <v>WELLMED - UHC DUAL COMPLETE SNP</v>
      </c>
      <c r="K6" s="242"/>
      <c r="L6" s="224" t="s">
        <v>6242</v>
      </c>
      <c r="M6" s="224"/>
      <c r="N6" s="225"/>
      <c r="O6" s="216" t="str">
        <f t="shared" si="1"/>
        <v>✓</v>
      </c>
      <c r="P6" s="226" t="str">
        <f t="shared" si="2"/>
        <v>X</v>
      </c>
      <c r="Q6" s="227" t="str">
        <f t="shared" si="3"/>
        <v>#VALUE!</v>
      </c>
      <c r="R6" s="228" t="str">
        <f t="shared" si="4"/>
        <v>#VALUE!</v>
      </c>
      <c r="S6" s="220" t="str">
        <f t="shared" si="5"/>
        <v>#VALUE!</v>
      </c>
      <c r="T6" s="220" t="str">
        <f t="shared" si="6"/>
        <v>#VALUE!</v>
      </c>
      <c r="U6" s="221">
        <f t="shared" si="7"/>
        <v>1</v>
      </c>
      <c r="V6" s="229" t="str">
        <f>ifs($N6="",VLOOKUP($B6&amp;$E6,'VISIT DATA'!$A$2:$J100,7,FALSE), $N6="SWAB","OUTSA-RW",$N6="SWQU","OUTSA-SaQu", AND($L6="X",$M6="X",$N6="QUEST"),"OUT-UAQPre",$N6="QUEST","OUT-UAQ", $N6="Walk in","ColUATele")</f>
        <v>OUTUA-FURW</v>
      </c>
      <c r="W6" s="24" t="str">
        <f t="shared" si="8"/>
        <v>OUTUA-FURW : OUT UA FU Redwood</v>
      </c>
      <c r="X6" s="222" t="str">
        <f t="shared" si="9"/>
        <v>OUTUA-FURW : OUT UA FU Redwood</v>
      </c>
      <c r="Y6" s="222" t="str">
        <f t="shared" si="10"/>
        <v>MATCH</v>
      </c>
      <c r="Z6" s="224" t="str">
        <f t="shared" si="11"/>
        <v> </v>
      </c>
      <c r="AA6" s="243"/>
    </row>
    <row r="7">
      <c r="A7" s="214" t="str">
        <f>IFS($B7=FALSE,"",$B7,VLOOKUP($B7,'PATIENT DATA (072721)'!A:C, 2, 0))</f>
        <v>SILVAS, ANTONIO L</v>
      </c>
      <c r="B7" s="215">
        <v>13005.0</v>
      </c>
      <c r="C7" s="216" t="str">
        <f>IF(COUNTIF('PATIENT DATA (072721)'!A:A, B7)=0, "X","✓")</f>
        <v>✓</v>
      </c>
      <c r="D7" s="226">
        <f>IFS($B7=FALSE,"",$B7,VLOOKUP($B7,'PATIENT DATA (072721)'!A:C, 3, 0))</f>
        <v>22674</v>
      </c>
      <c r="E7" s="218">
        <v>44568.0</v>
      </c>
      <c r="F7" s="219">
        <f>ifs($B7="","",$B7, VLOOKUP($B7&amp;$E7, 'VISIT DATA'!A:O,3,0))</f>
        <v>0.34375</v>
      </c>
      <c r="G7" s="220" t="s">
        <v>6328</v>
      </c>
      <c r="H7" s="221" t="s">
        <v>15</v>
      </c>
      <c r="I7" s="222" t="str">
        <f>VLOOKUP($B7&amp;$E7,'VISIT DATA'!A:J, 9, FALSE)</f>
        <v>MARTINEZ</v>
      </c>
      <c r="J7" s="223" t="str">
        <f>VLOOKUP(B7&amp;E7,'VISIT DATA'!A:N,10,FALSE)</f>
        <v>WELLMED - AARP MEDICARE COMPLETE</v>
      </c>
      <c r="K7" s="242"/>
      <c r="L7" s="224" t="s">
        <v>6242</v>
      </c>
      <c r="M7" s="224"/>
      <c r="N7" s="225"/>
      <c r="O7" s="216" t="str">
        <f t="shared" si="1"/>
        <v>✓</v>
      </c>
      <c r="P7" s="226" t="str">
        <f t="shared" si="2"/>
        <v>X</v>
      </c>
      <c r="Q7" s="227" t="str">
        <f t="shared" si="3"/>
        <v>#VALUE!</v>
      </c>
      <c r="R7" s="228" t="str">
        <f t="shared" si="4"/>
        <v>#VALUE!</v>
      </c>
      <c r="S7" s="220" t="str">
        <f t="shared" si="5"/>
        <v>#VALUE!</v>
      </c>
      <c r="T7" s="220" t="str">
        <f t="shared" si="6"/>
        <v>#VALUE!</v>
      </c>
      <c r="U7" s="221">
        <f t="shared" si="7"/>
        <v>1</v>
      </c>
      <c r="V7" s="229" t="str">
        <f>ifs($N7="",VLOOKUP($B7&amp;$E7,'VISIT DATA'!$A$2:$J100,7,FALSE), $N7="SWAB","OUTSA-RW",$N7="SWQU","OUTSA-SaQu", AND($L7="X",$M7="X",$N7="QUEST"),"OUT-UAQPre",$N7="QUEST","OUT-UAQ", $N7="Walk in","ColUATele")</f>
        <v>OUTUA-FURW</v>
      </c>
      <c r="W7" s="24" t="str">
        <f t="shared" si="8"/>
        <v>OUTUA-FURW : OUT UA FU Redwood</v>
      </c>
      <c r="X7" s="222" t="str">
        <f t="shared" si="9"/>
        <v>OUTUA-FURW : OUT UA FU Redwood</v>
      </c>
      <c r="Y7" s="222" t="str">
        <f t="shared" si="10"/>
        <v>MATCH</v>
      </c>
      <c r="Z7" s="224" t="str">
        <f t="shared" si="11"/>
        <v> </v>
      </c>
      <c r="AA7" s="243"/>
    </row>
    <row r="8">
      <c r="A8" s="214" t="str">
        <f>IFS($B8=FALSE,"",$B8,VLOOKUP($B8,'PATIENT DATA (072721)'!A:C, 2, 0))</f>
        <v>HERMOSILLO, GLORIA E</v>
      </c>
      <c r="B8" s="215">
        <v>15383.0</v>
      </c>
      <c r="C8" s="216" t="str">
        <f>IF(COUNTIF('PATIENT DATA (072721)'!A:A, B8)=0, "X","✓")</f>
        <v>✓</v>
      </c>
      <c r="D8" s="226">
        <f>IFS($B8=FALSE,"",$B8,VLOOKUP($B8,'PATIENT DATA (072721)'!A:C, 3, 0))</f>
        <v>18387</v>
      </c>
      <c r="E8" s="218">
        <v>44568.0</v>
      </c>
      <c r="F8" s="219">
        <f>ifs($B8="","",$B8, VLOOKUP($B8&amp;$E8, 'VISIT DATA'!A:O,3,0))</f>
        <v>0.3645833333</v>
      </c>
      <c r="G8" s="220" t="s">
        <v>6323</v>
      </c>
      <c r="H8" s="221" t="s">
        <v>13</v>
      </c>
      <c r="I8" s="222" t="str">
        <f>VLOOKUP($B8&amp;$E8,'VISIT DATA'!A:J, 9, FALSE)</f>
        <v>LOPEZ</v>
      </c>
      <c r="J8" s="223" t="str">
        <f>VLOOKUP(B8&amp;E8,'VISIT DATA'!A:N,10,FALSE)</f>
        <v>WELLMED - CIGNA HEALTHSPRING</v>
      </c>
      <c r="K8" s="242"/>
      <c r="L8" s="224" t="s">
        <v>6242</v>
      </c>
      <c r="M8" s="224"/>
      <c r="N8" s="225"/>
      <c r="O8" s="216" t="str">
        <f t="shared" si="1"/>
        <v>✓</v>
      </c>
      <c r="P8" s="226" t="str">
        <f t="shared" si="2"/>
        <v>X</v>
      </c>
      <c r="Q8" s="227" t="str">
        <f t="shared" si="3"/>
        <v>#VALUE!</v>
      </c>
      <c r="R8" s="228" t="str">
        <f t="shared" si="4"/>
        <v>#VALUE!</v>
      </c>
      <c r="S8" s="220" t="str">
        <f t="shared" si="5"/>
        <v>#VALUE!</v>
      </c>
      <c r="T8" s="220" t="str">
        <f t="shared" si="6"/>
        <v>#VALUE!</v>
      </c>
      <c r="U8" s="221">
        <f t="shared" si="7"/>
        <v>1</v>
      </c>
      <c r="V8" s="229" t="str">
        <f>ifs($N8="",VLOOKUP($B8&amp;$E8,'VISIT DATA'!$A$2:$J100,7,FALSE), $N8="SWAB","OUTSA-RW",$N8="SWQU","OUTSA-SaQu", AND($L8="X",$M8="X",$N8="QUEST"),"OUT-UAQPre",$N8="QUEST","OUT-UAQ", $N8="Walk in","ColUATele")</f>
        <v>OUTUA-FURW</v>
      </c>
      <c r="W8" s="24" t="str">
        <f t="shared" si="8"/>
        <v>OUTUA-FURW : OUT UA FU Redwood</v>
      </c>
      <c r="X8" s="222" t="str">
        <f t="shared" si="9"/>
        <v>OUTUA-FURW : OUT UA FU Redwood</v>
      </c>
      <c r="Y8" s="222" t="str">
        <f t="shared" si="10"/>
        <v>MATCH</v>
      </c>
      <c r="Z8" s="224" t="str">
        <f t="shared" si="11"/>
        <v> </v>
      </c>
      <c r="AA8" s="243"/>
    </row>
    <row r="9">
      <c r="A9" s="214" t="str">
        <f>IFS($B9=FALSE,"",$B9,VLOOKUP($B9,'PATIENT DATA (072721)'!A:C, 2, 0))</f>
        <v>MARTINEZ, DINA V</v>
      </c>
      <c r="B9" s="215">
        <v>15359.0</v>
      </c>
      <c r="C9" s="216" t="str">
        <f>IF(COUNTIF('PATIENT DATA (072721)'!A:A, B9)=0, "X","✓")</f>
        <v>✓</v>
      </c>
      <c r="D9" s="226">
        <f>IFS($B9=FALSE,"",$B9,VLOOKUP($B9,'PATIENT DATA (072721)'!A:C, 3, 0))</f>
        <v>29328</v>
      </c>
      <c r="E9" s="218">
        <v>44568.0</v>
      </c>
      <c r="F9" s="219">
        <f>ifs($B9="","",$B9, VLOOKUP($B9&amp;$E9, 'VISIT DATA'!A:O,3,0))</f>
        <v>0.375</v>
      </c>
      <c r="G9" s="220" t="s">
        <v>6323</v>
      </c>
      <c r="H9" s="221" t="s">
        <v>14</v>
      </c>
      <c r="I9" s="222" t="str">
        <f>VLOOKUP($B9&amp;$E9,'VISIT DATA'!A:J, 9, FALSE)</f>
        <v>TORRES</v>
      </c>
      <c r="J9" s="223" t="str">
        <f>VLOOKUP(B9&amp;E9,'VISIT DATA'!A:N,10,FALSE)</f>
        <v>AMERIGROUP</v>
      </c>
      <c r="K9" s="242"/>
      <c r="L9" s="224" t="s">
        <v>6242</v>
      </c>
      <c r="M9" s="224" t="s">
        <v>6242</v>
      </c>
      <c r="N9" s="225"/>
      <c r="O9" s="216" t="str">
        <f t="shared" si="1"/>
        <v>✓</v>
      </c>
      <c r="P9" s="226" t="str">
        <f t="shared" si="2"/>
        <v>#VALUE!</v>
      </c>
      <c r="Q9" s="227" t="str">
        <f t="shared" si="3"/>
        <v>#VALUE!</v>
      </c>
      <c r="R9" s="228" t="str">
        <f t="shared" si="4"/>
        <v>#VALUE!</v>
      </c>
      <c r="S9" s="220" t="str">
        <f t="shared" si="5"/>
        <v>#VALUE!</v>
      </c>
      <c r="T9" s="220" t="str">
        <f t="shared" si="6"/>
        <v>#VALUE!</v>
      </c>
      <c r="U9" s="221">
        <f t="shared" si="7"/>
        <v>0</v>
      </c>
      <c r="V9" s="229" t="str">
        <f>ifs($N9="",VLOOKUP($B9&amp;$E9,'VISIT DATA'!$A$2:$J100,7,FALSE), $N9="SWAB","OUTSA-RW",$N9="SWQU","OUTSA-SaQu", AND($L9="X",$M9="X",$N9="QUEST"),"OUT-UAQPre",$N9="QUEST","OUT-UAQ", $N9="Walk in","ColUATele")</f>
        <v>UA-Prelim</v>
      </c>
      <c r="W9" s="24" t="str">
        <f t="shared" si="8"/>
        <v>UA-Prelim : Preliminary UA Test</v>
      </c>
      <c r="X9" s="222" t="str">
        <f t="shared" si="9"/>
        <v>UA-Prelim : Preliminary UA Test</v>
      </c>
      <c r="Y9" s="222" t="str">
        <f t="shared" si="10"/>
        <v>MATCH</v>
      </c>
      <c r="Z9" s="224" t="str">
        <f t="shared" si="11"/>
        <v> </v>
      </c>
      <c r="AA9" s="243"/>
    </row>
    <row r="10">
      <c r="A10" s="214" t="str">
        <f>IFS($B10=FALSE,"",$B10,VLOOKUP($B10,'PATIENT DATA (072721)'!A:C, 2, 0))</f>
        <v>FARR, AVERY W</v>
      </c>
      <c r="B10" s="215">
        <v>9239.0</v>
      </c>
      <c r="C10" s="216" t="str">
        <f>IF(COUNTIF('PATIENT DATA (072721)'!A:A, B10)=0, "X","✓")</f>
        <v>✓</v>
      </c>
      <c r="D10" s="226">
        <f>IFS($B10=FALSE,"",$B10,VLOOKUP($B10,'PATIENT DATA (072721)'!A:C, 3, 0))</f>
        <v>17941</v>
      </c>
      <c r="E10" s="218">
        <v>44568.0</v>
      </c>
      <c r="F10" s="219">
        <f>ifs($B10="","",$B10, VLOOKUP($B10&amp;$E10, 'VISIT DATA'!A:O,3,0))</f>
        <v>0.3958333333</v>
      </c>
      <c r="G10" s="220" t="s">
        <v>6328</v>
      </c>
      <c r="H10" s="221" t="s">
        <v>14</v>
      </c>
      <c r="I10" s="222" t="str">
        <f>VLOOKUP($B10&amp;$E10,'VISIT DATA'!A:J, 9, FALSE)</f>
        <v>TORRES</v>
      </c>
      <c r="J10" s="223" t="str">
        <f>VLOOKUP(B10&amp;E10,'VISIT DATA'!A:N,10,FALSE)</f>
        <v>WPS VA - COMMUNITY CARE</v>
      </c>
      <c r="K10" s="242"/>
      <c r="L10" s="224" t="s">
        <v>6242</v>
      </c>
      <c r="M10" s="224"/>
      <c r="N10" s="225"/>
      <c r="O10" s="216" t="str">
        <f t="shared" si="1"/>
        <v>✓</v>
      </c>
      <c r="P10" s="226" t="str">
        <f t="shared" si="2"/>
        <v>#VALUE!</v>
      </c>
      <c r="Q10" s="227" t="str">
        <f t="shared" si="3"/>
        <v>#VALUE!</v>
      </c>
      <c r="R10" s="228" t="str">
        <f t="shared" si="4"/>
        <v>#VALUE!</v>
      </c>
      <c r="S10" s="220" t="str">
        <f t="shared" si="5"/>
        <v>#VALUE!</v>
      </c>
      <c r="T10" s="220" t="str">
        <f t="shared" si="6"/>
        <v>#VALUE!</v>
      </c>
      <c r="U10" s="221">
        <f t="shared" si="7"/>
        <v>0</v>
      </c>
      <c r="V10" s="229" t="str">
        <f>ifs($N10="",VLOOKUP($B10&amp;$E10,'VISIT DATA'!$A$2:$J100,7,FALSE), $N10="SWAB","OUTSA-RW",$N10="SWQU","OUTSA-SaQu", AND($L10="X",$M10="X",$N10="QUEST"),"OUT-UAQPre",$N10="QUEST","OUT-UAQ", $N10="Walk in","ColUATele")</f>
        <v>UA</v>
      </c>
      <c r="W10" s="24" t="str">
        <f t="shared" si="8"/>
        <v>UA : Urine Analysis In House</v>
      </c>
      <c r="X10" s="222" t="str">
        <f t="shared" si="9"/>
        <v>UA : Urine Analysis In House</v>
      </c>
      <c r="Y10" s="222" t="str">
        <f t="shared" si="10"/>
        <v>MATCH</v>
      </c>
      <c r="Z10" s="224" t="str">
        <f t="shared" si="11"/>
        <v> </v>
      </c>
      <c r="AA10" s="243"/>
    </row>
    <row r="11">
      <c r="A11" s="214" t="str">
        <f>IFS($B11=FALSE,"",$B11,VLOOKUP($B11,'PATIENT DATA (072721)'!A:C, 2, 0))</f>
        <v>RAMIREZ, GUADALUPE</v>
      </c>
      <c r="B11" s="215">
        <v>14156.0</v>
      </c>
      <c r="C11" s="216" t="str">
        <f>IF(COUNTIF('PATIENT DATA (072721)'!A:A, B11)=0, "X","✓")</f>
        <v>✓</v>
      </c>
      <c r="D11" s="226">
        <f>IFS($B11=FALSE,"",$B11,VLOOKUP($B11,'PATIENT DATA (072721)'!A:C, 3, 0))</f>
        <v>18022</v>
      </c>
      <c r="E11" s="218">
        <v>44568.0</v>
      </c>
      <c r="F11" s="219">
        <f>ifs($B11="","",$B11, VLOOKUP($B11&amp;$E11, 'VISIT DATA'!A:O,3,0))</f>
        <v>0.375</v>
      </c>
      <c r="G11" s="220" t="s">
        <v>6323</v>
      </c>
      <c r="H11" s="221" t="s">
        <v>15</v>
      </c>
      <c r="I11" s="222" t="str">
        <f>VLOOKUP($B11&amp;$E11,'VISIT DATA'!A:J, 9, FALSE)</f>
        <v>MARTINEZ</v>
      </c>
      <c r="J11" s="223" t="str">
        <f>VLOOKUP(B11&amp;E11,'VISIT DATA'!A:N,10,FALSE)</f>
        <v>MOLINA DUAL COMPLETE TEXAS</v>
      </c>
      <c r="K11" s="242"/>
      <c r="L11" s="224" t="s">
        <v>6242</v>
      </c>
      <c r="M11" s="224" t="s">
        <v>6242</v>
      </c>
      <c r="N11" s="225"/>
      <c r="O11" s="216" t="str">
        <f t="shared" si="1"/>
        <v>✓</v>
      </c>
      <c r="P11" s="226" t="str">
        <f t="shared" si="2"/>
        <v>#VALUE!</v>
      </c>
      <c r="Q11" s="227" t="str">
        <f t="shared" si="3"/>
        <v>X</v>
      </c>
      <c r="R11" s="228" t="str">
        <f t="shared" si="4"/>
        <v>#VALUE!</v>
      </c>
      <c r="S11" s="220" t="str">
        <f t="shared" si="5"/>
        <v>#VALUE!</v>
      </c>
      <c r="T11" s="220" t="str">
        <f t="shared" si="6"/>
        <v>#VALUE!</v>
      </c>
      <c r="U11" s="221">
        <f t="shared" si="7"/>
        <v>1</v>
      </c>
      <c r="V11" s="229" t="str">
        <f>ifs($N11="",VLOOKUP($B11&amp;$E11,'VISIT DATA'!$A$2:$J100,7,FALSE), $N11="SWAB","OUTSA-RW",$N11="SWQU","OUTSA-SaQu", AND($L11="X",$M11="X",$N11="QUEST"),"OUT-UAQPre",$N11="QUEST","OUT-UAQ", $N11="Walk in","ColUATele")</f>
        <v>OUTUA-PrRW</v>
      </c>
      <c r="W11" s="24" t="str">
        <f t="shared" si="8"/>
        <v>OUTUA-PrRW : OUT UA Prelimin Redwood</v>
      </c>
      <c r="X11" s="222" t="str">
        <f t="shared" si="9"/>
        <v>OUTUA-PrRW : OUT UA Prelimin Redwood</v>
      </c>
      <c r="Y11" s="222" t="str">
        <f t="shared" si="10"/>
        <v>MATCH</v>
      </c>
      <c r="Z11" s="224" t="str">
        <f t="shared" si="11"/>
        <v> </v>
      </c>
      <c r="AA11" s="243"/>
    </row>
    <row r="12">
      <c r="A12" s="214" t="str">
        <f>IFS($B12=FALSE,"",$B12,VLOOKUP($B12,'PATIENT DATA (072721)'!A:C, 2, 0))</f>
        <v>HERNANDEZ, RAUL M</v>
      </c>
      <c r="B12" s="215">
        <v>16119.0</v>
      </c>
      <c r="C12" s="216" t="str">
        <f>IF(COUNTIF('PATIENT DATA (072721)'!A:A, B12)=0, "X","✓")</f>
        <v>✓</v>
      </c>
      <c r="D12" s="226">
        <f>IFS($B12=FALSE,"",$B12,VLOOKUP($B12,'PATIENT DATA (072721)'!A:C, 3, 0))</f>
        <v>22435</v>
      </c>
      <c r="E12" s="218">
        <v>44568.0</v>
      </c>
      <c r="F12" s="219">
        <f>ifs($B12="","",$B12, VLOOKUP($B12&amp;$E12, 'VISIT DATA'!A:O,3,0))</f>
        <v>0.3854166667</v>
      </c>
      <c r="G12" s="220" t="s">
        <v>6328</v>
      </c>
      <c r="H12" s="221" t="s">
        <v>13</v>
      </c>
      <c r="I12" s="222" t="str">
        <f>VLOOKUP($B12&amp;$E12,'VISIT DATA'!A:J, 9, FALSE)</f>
        <v>LOPEZ</v>
      </c>
      <c r="J12" s="223" t="str">
        <f>VLOOKUP(B12&amp;E12,'VISIT DATA'!A:N,10,FALSE)</f>
        <v>BCBSTX PPO</v>
      </c>
      <c r="K12" s="242"/>
      <c r="L12" s="224" t="s">
        <v>6242</v>
      </c>
      <c r="M12" s="224" t="s">
        <v>6242</v>
      </c>
      <c r="N12" s="225"/>
      <c r="O12" s="216" t="str">
        <f t="shared" si="1"/>
        <v>✓</v>
      </c>
      <c r="P12" s="226" t="str">
        <f t="shared" si="2"/>
        <v>#VALUE!</v>
      </c>
      <c r="Q12" s="227" t="str">
        <f t="shared" si="3"/>
        <v>#VALUE!</v>
      </c>
      <c r="R12" s="228" t="str">
        <f t="shared" si="4"/>
        <v>#VALUE!</v>
      </c>
      <c r="S12" s="220" t="str">
        <f t="shared" si="5"/>
        <v>#VALUE!</v>
      </c>
      <c r="T12" s="220" t="str">
        <f t="shared" si="6"/>
        <v>#VALUE!</v>
      </c>
      <c r="U12" s="221">
        <f t="shared" si="7"/>
        <v>0</v>
      </c>
      <c r="V12" s="229" t="str">
        <f>ifs($N12="",VLOOKUP($B12&amp;$E12,'VISIT DATA'!$A$2:$J100,7,FALSE), $N12="SWAB","OUTSA-RW",$N12="SWQU","OUTSA-SaQu", AND($L12="X",$M12="X",$N12="QUEST"),"OUT-UAQPre",$N12="QUEST","OUT-UAQ", $N12="Walk in","ColUATele")</f>
        <v>UA-Prelim</v>
      </c>
      <c r="W12" s="24" t="str">
        <f t="shared" si="8"/>
        <v>UA-Prelim : Preliminary UA Test</v>
      </c>
      <c r="X12" s="222" t="str">
        <f t="shared" si="9"/>
        <v>UA-Prelim : Preliminary UA Test</v>
      </c>
      <c r="Y12" s="222" t="str">
        <f t="shared" si="10"/>
        <v>MATCH</v>
      </c>
      <c r="Z12" s="224" t="str">
        <f t="shared" si="11"/>
        <v> </v>
      </c>
      <c r="AA12" s="243"/>
    </row>
    <row r="13">
      <c r="A13" s="214" t="str">
        <f>IFS($B13=FALSE,"",$B13,VLOOKUP($B13,'PATIENT DATA (072721)'!A:C, 2, 0))</f>
        <v>RUIZ, GRACIELA</v>
      </c>
      <c r="B13" s="215">
        <v>15589.0</v>
      </c>
      <c r="C13" s="216" t="str">
        <f>IF(COUNTIF('PATIENT DATA (072721)'!A:A, B13)=0, "X","✓")</f>
        <v>✓</v>
      </c>
      <c r="D13" s="226">
        <f>IFS($B13=FALSE,"",$B13,VLOOKUP($B13,'PATIENT DATA (072721)'!A:C, 3, 0))</f>
        <v>24482</v>
      </c>
      <c r="E13" s="218">
        <v>44568.0</v>
      </c>
      <c r="F13" s="219">
        <f>ifs($B13="","",$B13, VLOOKUP($B13&amp;$E13, 'VISIT DATA'!A:O,3,0))</f>
        <v>0.40625</v>
      </c>
      <c r="G13" s="220" t="s">
        <v>6323</v>
      </c>
      <c r="H13" s="221" t="s">
        <v>14</v>
      </c>
      <c r="I13" s="222" t="str">
        <f>VLOOKUP($B13&amp;$E13,'VISIT DATA'!A:J, 9, FALSE)</f>
        <v>TORRES</v>
      </c>
      <c r="J13" s="223" t="str">
        <f>VLOOKUP(B13&amp;E13,'VISIT DATA'!A:N,10,FALSE)</f>
        <v>WELLMED - UHC DUAL COMPLETE SNP</v>
      </c>
      <c r="K13" s="242"/>
      <c r="L13" s="224" t="s">
        <v>6242</v>
      </c>
      <c r="M13" s="224" t="s">
        <v>6242</v>
      </c>
      <c r="N13" s="225"/>
      <c r="O13" s="216" t="str">
        <f t="shared" si="1"/>
        <v>✓</v>
      </c>
      <c r="P13" s="226" t="str">
        <f t="shared" si="2"/>
        <v>X</v>
      </c>
      <c r="Q13" s="227" t="str">
        <f t="shared" si="3"/>
        <v>#VALUE!</v>
      </c>
      <c r="R13" s="228" t="str">
        <f t="shared" si="4"/>
        <v>#VALUE!</v>
      </c>
      <c r="S13" s="220" t="str">
        <f t="shared" si="5"/>
        <v>#VALUE!</v>
      </c>
      <c r="T13" s="220" t="str">
        <f t="shared" si="6"/>
        <v>#VALUE!</v>
      </c>
      <c r="U13" s="221">
        <f t="shared" si="7"/>
        <v>1</v>
      </c>
      <c r="V13" s="229" t="str">
        <f>ifs($N13="",VLOOKUP($B13&amp;$E13,'VISIT DATA'!$A$2:$J100,7,FALSE), $N13="SWAB","OUTSA-RW",$N13="SWQU","OUTSA-SaQu", AND($L13="X",$M13="X",$N13="QUEST"),"OUT-UAQPre",$N13="QUEST","OUT-UAQ", $N13="Walk in","ColUATele")</f>
        <v>OUTUA-PrRW</v>
      </c>
      <c r="W13" s="24" t="str">
        <f t="shared" si="8"/>
        <v>OUTUA-PrRW : OUT UA Prelimin Redwood</v>
      </c>
      <c r="X13" s="222" t="str">
        <f t="shared" si="9"/>
        <v>OUTUA-PrRW : OUT UA Prelimin Redwood</v>
      </c>
      <c r="Y13" s="222" t="str">
        <f t="shared" si="10"/>
        <v>MATCH</v>
      </c>
      <c r="Z13" s="224" t="str">
        <f t="shared" si="11"/>
        <v> </v>
      </c>
      <c r="AA13" s="243"/>
    </row>
    <row r="14">
      <c r="A14" s="214" t="str">
        <f>IFS($B14=FALSE,"",$B14,VLOOKUP($B14,'PATIENT DATA (072721)'!A:C, 2, 0))</f>
        <v>FLORES, MARICELA</v>
      </c>
      <c r="B14" s="215">
        <v>11931.0</v>
      </c>
      <c r="C14" s="216" t="str">
        <f>IF(COUNTIF('PATIENT DATA (072721)'!A:A, B14)=0, "X","✓")</f>
        <v>✓</v>
      </c>
      <c r="D14" s="226">
        <f>IFS($B14=FALSE,"",$B14,VLOOKUP($B14,'PATIENT DATA (072721)'!A:C, 3, 0))</f>
        <v>22360</v>
      </c>
      <c r="E14" s="218">
        <v>44568.0</v>
      </c>
      <c r="F14" s="219" t="str">
        <f>ifs($B14="","",$B14, VLOOKUP($B14&amp;$E14, 'VISIT DATA'!A:O,3,0))</f>
        <v>#N/A</v>
      </c>
      <c r="G14" s="220" t="s">
        <v>6323</v>
      </c>
      <c r="H14" s="221" t="s">
        <v>13</v>
      </c>
      <c r="I14" s="222" t="str">
        <f>VLOOKUP($B14&amp;$E14,'VISIT DATA'!A:J, 9, FALSE)</f>
        <v>#N/A</v>
      </c>
      <c r="J14" s="223" t="str">
        <f>VLOOKUP(B14&amp;E14,'VISIT DATA'!A:N,10,FALSE)</f>
        <v>#N/A</v>
      </c>
      <c r="K14" s="225"/>
      <c r="L14" s="224" t="s">
        <v>6242</v>
      </c>
      <c r="M14" s="224"/>
      <c r="N14" s="225"/>
      <c r="O14" s="216" t="str">
        <f t="shared" si="1"/>
        <v>✓</v>
      </c>
      <c r="P14" s="226" t="str">
        <f t="shared" si="2"/>
        <v>#N/A</v>
      </c>
      <c r="Q14" s="227" t="str">
        <f t="shared" si="3"/>
        <v>#N/A</v>
      </c>
      <c r="R14" s="228" t="str">
        <f t="shared" si="4"/>
        <v>#N/A</v>
      </c>
      <c r="S14" s="220" t="str">
        <f t="shared" si="5"/>
        <v>#N/A</v>
      </c>
      <c r="T14" s="220" t="str">
        <f t="shared" si="6"/>
        <v>#N/A</v>
      </c>
      <c r="U14" s="221">
        <f t="shared" si="7"/>
        <v>0</v>
      </c>
      <c r="V14" s="229" t="str">
        <f>ifs($N14="",VLOOKUP($B14&amp;$E14,'VISIT DATA'!$A$2:$J100,7,FALSE), $N14="SWAB","OUTSA-RW",$N14="SWQU","OUTSA-SaQu", AND($L14="X",$M14="X",$N14="QUEST"),"OUT-UAQPre",$N14="QUEST","OUT-UAQ", $N14="Walk in","ColUATele")</f>
        <v>#N/A</v>
      </c>
      <c r="W14" s="24" t="str">
        <f t="shared" si="8"/>
        <v>#N/A</v>
      </c>
      <c r="X14" s="222" t="str">
        <f t="shared" si="9"/>
        <v>UA : Urine Analysis In House</v>
      </c>
      <c r="Y14" s="222" t="str">
        <f t="shared" si="10"/>
        <v>#N/A</v>
      </c>
      <c r="Z14" s="224" t="str">
        <f t="shared" si="11"/>
        <v> </v>
      </c>
      <c r="AA14" s="244"/>
    </row>
    <row r="15">
      <c r="A15" s="214" t="str">
        <f>IFS($B15=FALSE,"",$B15,VLOOKUP($B15,'PATIENT DATA (072721)'!A:C, 2, 0))</f>
        <v>GLASCO, STEVEN E</v>
      </c>
      <c r="B15" s="215">
        <v>13283.0</v>
      </c>
      <c r="C15" s="216" t="str">
        <f>IF(COUNTIF('PATIENT DATA (072721)'!A:A, B15)=0, "X","✓")</f>
        <v>✓</v>
      </c>
      <c r="D15" s="226">
        <f>IFS($B15=FALSE,"",$B15,VLOOKUP($B15,'PATIENT DATA (072721)'!A:C, 3, 0))</f>
        <v>28196</v>
      </c>
      <c r="E15" s="218">
        <v>44568.0</v>
      </c>
      <c r="F15" s="219">
        <f>ifs($B15="","",$B15, VLOOKUP($B15&amp;$E15, 'VISIT DATA'!A:O,3,0))</f>
        <v>0.3958333333</v>
      </c>
      <c r="G15" s="220" t="s">
        <v>6328</v>
      </c>
      <c r="H15" s="221" t="s">
        <v>15</v>
      </c>
      <c r="I15" s="222" t="str">
        <f>VLOOKUP($B15&amp;$E15,'VISIT DATA'!A:J, 9, FALSE)</f>
        <v>MARTINEZ</v>
      </c>
      <c r="J15" s="223" t="str">
        <f>VLOOKUP(B15&amp;E15,'VISIT DATA'!A:N,10,FALSE)</f>
        <v>WPS VA - COMMUNITY CARE</v>
      </c>
      <c r="K15" s="225"/>
      <c r="L15" s="224" t="s">
        <v>6242</v>
      </c>
      <c r="M15" s="224" t="s">
        <v>6242</v>
      </c>
      <c r="N15" s="225"/>
      <c r="O15" s="216" t="str">
        <f t="shared" si="1"/>
        <v>✓</v>
      </c>
      <c r="P15" s="226" t="str">
        <f t="shared" si="2"/>
        <v>#VALUE!</v>
      </c>
      <c r="Q15" s="227" t="str">
        <f t="shared" si="3"/>
        <v>#VALUE!</v>
      </c>
      <c r="R15" s="228" t="str">
        <f t="shared" si="4"/>
        <v>#VALUE!</v>
      </c>
      <c r="S15" s="220" t="str">
        <f t="shared" si="5"/>
        <v>#VALUE!</v>
      </c>
      <c r="T15" s="220" t="str">
        <f t="shared" si="6"/>
        <v>#VALUE!</v>
      </c>
      <c r="U15" s="221">
        <f t="shared" si="7"/>
        <v>0</v>
      </c>
      <c r="V15" s="229" t="str">
        <f>ifs($N15="",VLOOKUP($B15&amp;$E15,'VISIT DATA'!$A$2:$J100,7,FALSE), $N15="SWAB","OUTSA-RW",$N15="SWQU","OUTSA-SaQu", AND($L15="X",$M15="X",$N15="QUEST"),"OUT-UAQPre",$N15="QUEST","OUT-UAQ", $N15="Walk in","ColUATele")</f>
        <v>UA-Prelim</v>
      </c>
      <c r="W15" s="24" t="str">
        <f t="shared" si="8"/>
        <v>UA-Prelim : Preliminary UA Test</v>
      </c>
      <c r="X15" s="222" t="str">
        <f t="shared" si="9"/>
        <v>UA-Prelim : Preliminary UA Test</v>
      </c>
      <c r="Y15" s="222" t="str">
        <f t="shared" si="10"/>
        <v>MATCH</v>
      </c>
      <c r="Z15" s="224" t="str">
        <f t="shared" si="11"/>
        <v> </v>
      </c>
      <c r="AA15" s="244"/>
    </row>
    <row r="16">
      <c r="A16" s="214" t="str">
        <f>IFS($B16=FALSE,"",$B16,VLOOKUP($B16,'PATIENT DATA (072721)'!A:C, 2, 0))</f>
        <v>HERNANDEZ, JESUS</v>
      </c>
      <c r="B16" s="215">
        <v>11345.0</v>
      </c>
      <c r="C16" s="216" t="str">
        <f>IF(COUNTIF('PATIENT DATA (072721)'!A:A, B16)=0, "X","✓")</f>
        <v>✓</v>
      </c>
      <c r="D16" s="226">
        <f>IFS($B16=FALSE,"",$B16,VLOOKUP($B16,'PATIENT DATA (072721)'!A:C, 3, 0))</f>
        <v>23642</v>
      </c>
      <c r="E16" s="218">
        <v>44568.0</v>
      </c>
      <c r="F16" s="219" t="str">
        <f>ifs($B16="","",$B16, VLOOKUP($B16&amp;$E16, 'VISIT DATA'!A:O,3,0))</f>
        <v>#N/A</v>
      </c>
      <c r="G16" s="220" t="s">
        <v>6328</v>
      </c>
      <c r="H16" s="221" t="s">
        <v>15</v>
      </c>
      <c r="I16" s="222" t="str">
        <f>VLOOKUP($B16&amp;$E16,'VISIT DATA'!A:J, 9, FALSE)</f>
        <v>#N/A</v>
      </c>
      <c r="J16" s="223" t="str">
        <f>VLOOKUP(B16&amp;E16,'VISIT DATA'!A:N,10,FALSE)</f>
        <v>#N/A</v>
      </c>
      <c r="K16" s="224"/>
      <c r="L16" s="224" t="s">
        <v>6242</v>
      </c>
      <c r="M16" s="224"/>
      <c r="N16" s="225"/>
      <c r="O16" s="216" t="str">
        <f t="shared" si="1"/>
        <v>✓</v>
      </c>
      <c r="P16" s="226" t="str">
        <f t="shared" si="2"/>
        <v>#N/A</v>
      </c>
      <c r="Q16" s="227" t="str">
        <f t="shared" si="3"/>
        <v>#N/A</v>
      </c>
      <c r="R16" s="228" t="str">
        <f t="shared" si="4"/>
        <v>#N/A</v>
      </c>
      <c r="S16" s="220" t="str">
        <f t="shared" si="5"/>
        <v>#N/A</v>
      </c>
      <c r="T16" s="220" t="str">
        <f t="shared" si="6"/>
        <v>#N/A</v>
      </c>
      <c r="U16" s="221">
        <f t="shared" si="7"/>
        <v>0</v>
      </c>
      <c r="V16" s="229" t="str">
        <f>ifs($N16="",VLOOKUP($B16&amp;$E16,'VISIT DATA'!$A$2:$J100,7,FALSE), $N16="SWAB","OUTSA-RW",$N16="SWQU","OUTSA-SaQu", AND($L16="X",$M16="X",$N16="QUEST"),"OUT-UAQPre",$N16="QUEST","OUT-UAQ", $N16="Walk in","ColUATele")</f>
        <v>#N/A</v>
      </c>
      <c r="W16" s="24" t="str">
        <f t="shared" si="8"/>
        <v>#N/A</v>
      </c>
      <c r="X16" s="222" t="str">
        <f t="shared" si="9"/>
        <v>UA : Urine Analysis In House</v>
      </c>
      <c r="Y16" s="222" t="str">
        <f t="shared" si="10"/>
        <v>#N/A</v>
      </c>
      <c r="Z16" s="224" t="str">
        <f t="shared" si="11"/>
        <v> </v>
      </c>
      <c r="AA16" s="244"/>
    </row>
    <row r="17">
      <c r="A17" s="214" t="str">
        <f>IFS($B17=FALSE,"",$B17,VLOOKUP($B17,'PATIENT DATA (072721)'!A:C, 2, 0))</f>
        <v>MONTES, EDNA</v>
      </c>
      <c r="B17" s="215">
        <v>17462.0</v>
      </c>
      <c r="C17" s="216" t="str">
        <f>IF(COUNTIF('PATIENT DATA (072721)'!A:A, B17)=0, "X","✓")</f>
        <v>✓</v>
      </c>
      <c r="D17" s="226">
        <f>IFS($B17=FALSE,"",$B17,VLOOKUP($B17,'PATIENT DATA (072721)'!A:C, 3, 0))</f>
        <v>25331</v>
      </c>
      <c r="E17" s="218">
        <v>44568.0</v>
      </c>
      <c r="F17" s="219">
        <f>ifs($B17="","",$B17, VLOOKUP($B17&amp;$E17, 'VISIT DATA'!A:O,3,0))</f>
        <v>0.40625</v>
      </c>
      <c r="G17" s="220" t="s">
        <v>6323</v>
      </c>
      <c r="H17" s="221" t="s">
        <v>15</v>
      </c>
      <c r="I17" s="222" t="str">
        <f>VLOOKUP($B17&amp;$E17,'VISIT DATA'!A:J, 9, FALSE)</f>
        <v>MARTINEZ</v>
      </c>
      <c r="J17" s="223" t="str">
        <f>VLOOKUP(B17&amp;E17,'VISIT DATA'!A:N,10,FALSE)</f>
        <v>MOLINA MEDICAID TEXAS</v>
      </c>
      <c r="K17" s="225"/>
      <c r="L17" s="224" t="s">
        <v>6242</v>
      </c>
      <c r="M17" s="224" t="s">
        <v>6242</v>
      </c>
      <c r="N17" s="224"/>
      <c r="O17" s="216" t="str">
        <f t="shared" si="1"/>
        <v>✓</v>
      </c>
      <c r="P17" s="226" t="str">
        <f t="shared" si="2"/>
        <v>#VALUE!</v>
      </c>
      <c r="Q17" s="227" t="str">
        <f t="shared" si="3"/>
        <v>X</v>
      </c>
      <c r="R17" s="228" t="str">
        <f t="shared" si="4"/>
        <v>#VALUE!</v>
      </c>
      <c r="S17" s="220" t="str">
        <f t="shared" si="5"/>
        <v>#VALUE!</v>
      </c>
      <c r="T17" s="220" t="str">
        <f t="shared" si="6"/>
        <v>#VALUE!</v>
      </c>
      <c r="U17" s="221">
        <f t="shared" si="7"/>
        <v>1</v>
      </c>
      <c r="V17" s="229" t="str">
        <f>ifs($N17="",VLOOKUP($B17&amp;$E17,'VISIT DATA'!$A$2:$J100,7,FALSE), $N17="SWAB","OUTSA-RW",$N17="SWQU","OUTSA-SaQu", AND($L17="X",$M17="X",$N17="QUEST"),"OUT-UAQPre",$N17="QUEST","OUT-UAQ", $N17="Walk in","ColUATele")</f>
        <v>OUTUA-PrRW</v>
      </c>
      <c r="W17" s="24" t="str">
        <f t="shared" si="8"/>
        <v>OUTUA-PrRW : OUT UA Prelimin Redwood</v>
      </c>
      <c r="X17" s="222" t="str">
        <f t="shared" si="9"/>
        <v>OUTUA-PrRW : OUT UA Prelimin Redwood</v>
      </c>
      <c r="Y17" s="222" t="str">
        <f t="shared" si="10"/>
        <v>MATCH</v>
      </c>
      <c r="Z17" s="224" t="str">
        <f t="shared" si="11"/>
        <v> </v>
      </c>
      <c r="AA17" s="245"/>
    </row>
    <row r="18">
      <c r="A18" s="214" t="str">
        <f>IFS($B18=FALSE,"",$B18,VLOOKUP($B18,'PATIENT DATA (072721)'!A:C, 2, 0))</f>
        <v>RAMIREZ, MARTIN</v>
      </c>
      <c r="B18" s="215">
        <v>11012.0</v>
      </c>
      <c r="C18" s="216" t="str">
        <f>IF(COUNTIF('PATIENT DATA (072721)'!A:A, B18)=0, "X","✓")</f>
        <v>✓</v>
      </c>
      <c r="D18" s="226">
        <f>IFS($B18=FALSE,"",$B18,VLOOKUP($B18,'PATIENT DATA (072721)'!A:C, 3, 0))</f>
        <v>23539</v>
      </c>
      <c r="E18" s="218">
        <v>44568.0</v>
      </c>
      <c r="F18" s="219">
        <f>ifs($B18="","",$B18, VLOOKUP($B18&amp;$E18, 'VISIT DATA'!A:O,3,0))</f>
        <v>0.4270833333</v>
      </c>
      <c r="G18" s="220" t="s">
        <v>6328</v>
      </c>
      <c r="H18" s="221" t="s">
        <v>14</v>
      </c>
      <c r="I18" s="222" t="str">
        <f>VLOOKUP($B18&amp;$E18,'VISIT DATA'!A:J, 9, FALSE)</f>
        <v>TORRES</v>
      </c>
      <c r="J18" s="223" t="str">
        <f>VLOOKUP(B18&amp;E18,'VISIT DATA'!A:N,10,FALSE)</f>
        <v>AMERIGROUP</v>
      </c>
      <c r="K18" s="224"/>
      <c r="L18" s="224" t="s">
        <v>6242</v>
      </c>
      <c r="M18" s="224" t="s">
        <v>6242</v>
      </c>
      <c r="N18" s="224"/>
      <c r="O18" s="216" t="str">
        <f t="shared" si="1"/>
        <v>✓</v>
      </c>
      <c r="P18" s="226" t="str">
        <f t="shared" si="2"/>
        <v>#VALUE!</v>
      </c>
      <c r="Q18" s="227" t="str">
        <f t="shared" si="3"/>
        <v>#VALUE!</v>
      </c>
      <c r="R18" s="228" t="str">
        <f t="shared" si="4"/>
        <v>#VALUE!</v>
      </c>
      <c r="S18" s="220" t="str">
        <f t="shared" si="5"/>
        <v>#VALUE!</v>
      </c>
      <c r="T18" s="220" t="str">
        <f t="shared" si="6"/>
        <v>#VALUE!</v>
      </c>
      <c r="U18" s="221">
        <f t="shared" si="7"/>
        <v>0</v>
      </c>
      <c r="V18" s="229" t="str">
        <f>ifs($N18="",VLOOKUP($B18&amp;$E18,'VISIT DATA'!$A$2:$J100,7,FALSE), $N18="SWAB","OUTSA-RW",$N18="SWQU","OUTSA-SaQu", AND($L18="X",$M18="X",$N18="QUEST"),"OUT-UAQPre",$N18="QUEST","OUT-UAQ", $N18="Walk in","ColUATele")</f>
        <v>UA-Prelim</v>
      </c>
      <c r="W18" s="24" t="str">
        <f t="shared" si="8"/>
        <v>UA-Prelim : Preliminary UA Test</v>
      </c>
      <c r="X18" s="222" t="str">
        <f t="shared" si="9"/>
        <v>UA-Prelim : Preliminary UA Test</v>
      </c>
      <c r="Y18" s="222" t="str">
        <f t="shared" si="10"/>
        <v>MATCH</v>
      </c>
      <c r="Z18" s="224" t="str">
        <f t="shared" si="11"/>
        <v> </v>
      </c>
      <c r="AA18" s="244"/>
    </row>
    <row r="19">
      <c r="A19" s="214" t="str">
        <f>IFS($B19=FALSE,"",$B19,VLOOKUP($B19,'PATIENT DATA (072721)'!A:C, 2, 0))</f>
        <v>CUSKEY, LARRY</v>
      </c>
      <c r="B19" s="215">
        <v>13835.0</v>
      </c>
      <c r="C19" s="216" t="str">
        <f>IF(COUNTIF('PATIENT DATA (072721)'!A:A, B19)=0, "X","✓")</f>
        <v>✓</v>
      </c>
      <c r="D19" s="226">
        <f>IFS($B19=FALSE,"",$B19,VLOOKUP($B19,'PATIENT DATA (072721)'!A:C, 3, 0))</f>
        <v>18179</v>
      </c>
      <c r="E19" s="218">
        <v>44568.0</v>
      </c>
      <c r="F19" s="219">
        <f>ifs($B19="","",$B19, VLOOKUP($B19&amp;$E19, 'VISIT DATA'!A:O,3,0))</f>
        <v>0.4166666667</v>
      </c>
      <c r="G19" s="220" t="s">
        <v>6328</v>
      </c>
      <c r="H19" s="221" t="s">
        <v>13</v>
      </c>
      <c r="I19" s="222" t="str">
        <f>VLOOKUP($B19&amp;$E19,'VISIT DATA'!A:J, 9, FALSE)</f>
        <v>LOPEZ</v>
      </c>
      <c r="J19" s="223" t="str">
        <f>VLOOKUP(B19&amp;E19,'VISIT DATA'!A:N,10,FALSE)</f>
        <v>WPS VA - COMMUNITY CARE</v>
      </c>
      <c r="K19" s="225"/>
      <c r="L19" s="224" t="s">
        <v>6242</v>
      </c>
      <c r="M19" s="224" t="s">
        <v>6242</v>
      </c>
      <c r="N19" s="225"/>
      <c r="O19" s="216" t="str">
        <f t="shared" si="1"/>
        <v>✓</v>
      </c>
      <c r="P19" s="226" t="str">
        <f t="shared" si="2"/>
        <v>#VALUE!</v>
      </c>
      <c r="Q19" s="227" t="str">
        <f t="shared" si="3"/>
        <v>#VALUE!</v>
      </c>
      <c r="R19" s="228" t="str">
        <f t="shared" si="4"/>
        <v>#VALUE!</v>
      </c>
      <c r="S19" s="220" t="str">
        <f t="shared" si="5"/>
        <v>#VALUE!</v>
      </c>
      <c r="T19" s="220" t="str">
        <f t="shared" si="6"/>
        <v>#VALUE!</v>
      </c>
      <c r="U19" s="221">
        <f t="shared" si="7"/>
        <v>0</v>
      </c>
      <c r="V19" s="229" t="str">
        <f>ifs($N19="",VLOOKUP($B19&amp;$E19,'VISIT DATA'!$A$2:$J100,7,FALSE), $N19="SWAB","OUTSA-RW",$N19="SWQU","OUTSA-SaQu", AND($L19="X",$M19="X",$N19="QUEST"),"OUT-UAQPre",$N19="QUEST","OUT-UAQ", $N19="Walk in","ColUATele")</f>
        <v>UA-Prelim</v>
      </c>
      <c r="W19" s="24" t="str">
        <f t="shared" si="8"/>
        <v>UA-Prelim : Preliminary UA Test</v>
      </c>
      <c r="X19" s="222" t="str">
        <f t="shared" si="9"/>
        <v>UA-Prelim : Preliminary UA Test</v>
      </c>
      <c r="Y19" s="222" t="str">
        <f t="shared" si="10"/>
        <v>MATCH</v>
      </c>
      <c r="Z19" s="224" t="str">
        <f t="shared" si="11"/>
        <v> </v>
      </c>
      <c r="AA19" s="244"/>
    </row>
    <row r="20">
      <c r="A20" s="214" t="str">
        <f>IFS($B20=FALSE,"",$B20,VLOOKUP($B20,'PATIENT DATA (072721)'!A:C, 2, 0))</f>
        <v>HUNT, SHARON A</v>
      </c>
      <c r="B20" s="215">
        <v>16178.0</v>
      </c>
      <c r="C20" s="216" t="str">
        <f>IF(COUNTIF('PATIENT DATA (072721)'!A:A, B20)=0, "X","✓")</f>
        <v>✓</v>
      </c>
      <c r="D20" s="226">
        <f>IFS($B20=FALSE,"",$B20,VLOOKUP($B20,'PATIENT DATA (072721)'!A:C, 3, 0))</f>
        <v>16356</v>
      </c>
      <c r="E20" s="218">
        <v>44568.0</v>
      </c>
      <c r="F20" s="219">
        <f>ifs($B20="","",$B20, VLOOKUP($B20&amp;$E20, 'VISIT DATA'!A:O,3,0))</f>
        <v>0.4479166667</v>
      </c>
      <c r="G20" s="220" t="s">
        <v>6323</v>
      </c>
      <c r="H20" s="221" t="s">
        <v>15</v>
      </c>
      <c r="I20" s="222" t="str">
        <f>VLOOKUP($B20&amp;$E20,'VISIT DATA'!A:J, 9, FALSE)</f>
        <v>MARTINEZ</v>
      </c>
      <c r="J20" s="223" t="str">
        <f>VLOOKUP(B20&amp;E20,'VISIT DATA'!A:N,10,FALSE)</f>
        <v>MEDICARE TEXAS</v>
      </c>
      <c r="K20" s="225"/>
      <c r="L20" s="224" t="s">
        <v>6242</v>
      </c>
      <c r="M20" s="224" t="s">
        <v>6242</v>
      </c>
      <c r="N20" s="224"/>
      <c r="O20" s="216" t="str">
        <f t="shared" si="1"/>
        <v>✓</v>
      </c>
      <c r="P20" s="226" t="str">
        <f t="shared" si="2"/>
        <v>#VALUE!</v>
      </c>
      <c r="Q20" s="227" t="str">
        <f t="shared" si="3"/>
        <v>#VALUE!</v>
      </c>
      <c r="R20" s="228" t="str">
        <f t="shared" si="4"/>
        <v>#VALUE!</v>
      </c>
      <c r="S20" s="220" t="str">
        <f t="shared" si="5"/>
        <v>#VALUE!</v>
      </c>
      <c r="T20" s="220" t="str">
        <f t="shared" si="6"/>
        <v>#VALUE!</v>
      </c>
      <c r="U20" s="221">
        <f t="shared" si="7"/>
        <v>0</v>
      </c>
      <c r="V20" s="229" t="str">
        <f>ifs($N20="",VLOOKUP($B20&amp;$E20,'VISIT DATA'!$A$2:$J100,7,FALSE), $N20="SWAB","OUTSA-RW",$N20="SWQU","OUTSA-SaQu", AND($L20="X",$M20="X",$N20="QUEST"),"OUT-UAQPre",$N20="QUEST","OUT-UAQ", $N20="Walk in","ColUATele")</f>
        <v>UA-Prelim</v>
      </c>
      <c r="W20" s="24" t="str">
        <f t="shared" si="8"/>
        <v>UA-Prelim : Preliminary UA Test</v>
      </c>
      <c r="X20" s="222" t="str">
        <f t="shared" si="9"/>
        <v>UA-Prelim : Preliminary UA Test</v>
      </c>
      <c r="Y20" s="222" t="str">
        <f t="shared" si="10"/>
        <v>MATCH</v>
      </c>
      <c r="Z20" s="224" t="str">
        <f t="shared" si="11"/>
        <v> </v>
      </c>
      <c r="AA20" s="244"/>
    </row>
    <row r="21">
      <c r="A21" s="214" t="str">
        <f>IFS($B21=FALSE,"",$B21,VLOOKUP($B21,'PATIENT DATA (072721)'!A:C, 2, 0))</f>
        <v>BAQUERA, CYNTHIA</v>
      </c>
      <c r="B21" s="215">
        <v>11903.0</v>
      </c>
      <c r="C21" s="216" t="str">
        <f>IF(COUNTIF('PATIENT DATA (072721)'!A:A, B21)=0, "X","✓")</f>
        <v>✓</v>
      </c>
      <c r="D21" s="226">
        <f>IFS($B21=FALSE,"",$B21,VLOOKUP($B21,'PATIENT DATA (072721)'!A:C, 3, 0))</f>
        <v>21184</v>
      </c>
      <c r="E21" s="218">
        <v>44568.0</v>
      </c>
      <c r="F21" s="219">
        <f>ifs($B21="","",$B21, VLOOKUP($B21&amp;$E21, 'VISIT DATA'!A:O,3,0))</f>
        <v>0.4166666667</v>
      </c>
      <c r="G21" s="220" t="s">
        <v>6323</v>
      </c>
      <c r="H21" s="221" t="s">
        <v>14</v>
      </c>
      <c r="I21" s="222" t="str">
        <f>VLOOKUP($B21&amp;$E21,'VISIT DATA'!A:J, 9, FALSE)</f>
        <v>TORRES</v>
      </c>
      <c r="J21" s="223" t="str">
        <f>VLOOKUP(B21&amp;E21,'VISIT DATA'!A:N,10,FALSE)</f>
        <v>AMBETTER - SUPERIOR</v>
      </c>
      <c r="K21" s="225"/>
      <c r="L21" s="224" t="s">
        <v>6242</v>
      </c>
      <c r="M21" s="224" t="s">
        <v>6242</v>
      </c>
      <c r="N21" s="225"/>
      <c r="O21" s="216" t="str">
        <f t="shared" si="1"/>
        <v>✓</v>
      </c>
      <c r="P21" s="226" t="str">
        <f t="shared" si="2"/>
        <v>#VALUE!</v>
      </c>
      <c r="Q21" s="227" t="str">
        <f t="shared" si="3"/>
        <v>#VALUE!</v>
      </c>
      <c r="R21" s="228" t="str">
        <f t="shared" si="4"/>
        <v>#VALUE!</v>
      </c>
      <c r="S21" s="220" t="str">
        <f t="shared" si="5"/>
        <v>#VALUE!</v>
      </c>
      <c r="T21" s="220" t="str">
        <f t="shared" si="6"/>
        <v>#VALUE!</v>
      </c>
      <c r="U21" s="221">
        <f t="shared" si="7"/>
        <v>0</v>
      </c>
      <c r="V21" s="229" t="str">
        <f>ifs($N21="",VLOOKUP($B21&amp;$E21,'VISIT DATA'!$A$2:$J100,7,FALSE), $N21="SWAB","OUTSA-RW",$N21="SWQU","OUTSA-SaQu", AND($L21="X",$M21="X",$N21="QUEST"),"OUT-UAQPre",$N21="QUEST","OUT-UAQ", $N21="Walk in","ColUATele")</f>
        <v>UA-Prelim</v>
      </c>
      <c r="W21" s="24" t="str">
        <f t="shared" si="8"/>
        <v>UA-Prelim : Preliminary UA Test</v>
      </c>
      <c r="X21" s="222" t="str">
        <f t="shared" si="9"/>
        <v>UA-Prelim : Preliminary UA Test</v>
      </c>
      <c r="Y21" s="222" t="str">
        <f t="shared" si="10"/>
        <v>MATCH</v>
      </c>
      <c r="Z21" s="224" t="str">
        <f t="shared" si="11"/>
        <v> </v>
      </c>
      <c r="AA21" s="244"/>
    </row>
    <row r="22">
      <c r="A22" s="214" t="str">
        <f>IFS($B22=FALSE,"",$B22,VLOOKUP($B22,'PATIENT DATA (072721)'!A:C, 2, 0))</f>
        <v>CAMPOS, JOSE ABRAHAM</v>
      </c>
      <c r="B22" s="215">
        <v>14103.0</v>
      </c>
      <c r="C22" s="216" t="str">
        <f>IF(COUNTIF('PATIENT DATA (072721)'!A:A, B22)=0, "X","✓")</f>
        <v>✓</v>
      </c>
      <c r="D22" s="226">
        <f>IFS($B22=FALSE,"",$B22,VLOOKUP($B22,'PATIENT DATA (072721)'!A:C, 3, 0))</f>
        <v>16960</v>
      </c>
      <c r="E22" s="218">
        <v>44568.0</v>
      </c>
      <c r="F22" s="219">
        <f>ifs($B22="","",$B22, VLOOKUP($B22&amp;$E22, 'VISIT DATA'!A:O,3,0))</f>
        <v>0.4375</v>
      </c>
      <c r="G22" s="220" t="s">
        <v>6328</v>
      </c>
      <c r="H22" s="221" t="s">
        <v>14</v>
      </c>
      <c r="I22" s="222" t="str">
        <f>VLOOKUP($B22&amp;$E22,'VISIT DATA'!A:J, 9, FALSE)</f>
        <v>TORRES</v>
      </c>
      <c r="J22" s="223" t="str">
        <f>VLOOKUP(B22&amp;E22,'VISIT DATA'!A:N,10,FALSE)</f>
        <v>WPS VA - COMMUNITY CARE</v>
      </c>
      <c r="K22" s="225"/>
      <c r="L22" s="224" t="s">
        <v>6242</v>
      </c>
      <c r="M22" s="224"/>
      <c r="N22" s="225"/>
      <c r="O22" s="216" t="str">
        <f t="shared" si="1"/>
        <v>✓</v>
      </c>
      <c r="P22" s="226" t="str">
        <f t="shared" si="2"/>
        <v>#VALUE!</v>
      </c>
      <c r="Q22" s="227" t="str">
        <f t="shared" si="3"/>
        <v>#VALUE!</v>
      </c>
      <c r="R22" s="228" t="str">
        <f t="shared" si="4"/>
        <v>#VALUE!</v>
      </c>
      <c r="S22" s="220" t="str">
        <f t="shared" si="5"/>
        <v>#VALUE!</v>
      </c>
      <c r="T22" s="220" t="str">
        <f t="shared" si="6"/>
        <v>#VALUE!</v>
      </c>
      <c r="U22" s="221">
        <f t="shared" si="7"/>
        <v>0</v>
      </c>
      <c r="V22" s="229" t="str">
        <f>ifs($N22="",VLOOKUP($B22&amp;$E22,'VISIT DATA'!$A$2:$J100,7,FALSE), $N22="SWAB","OUTSA-RW",$N22="SWQU","OUTSA-SaQu", AND($L22="X",$M22="X",$N22="QUEST"),"OUT-UAQPre",$N22="QUEST","OUT-UAQ", $N22="Walk in","ColUATele")</f>
        <v>UA</v>
      </c>
      <c r="W22" s="24" t="str">
        <f t="shared" si="8"/>
        <v>UA : Urine Analysis In House</v>
      </c>
      <c r="X22" s="222" t="str">
        <f t="shared" si="9"/>
        <v>UA : Urine Analysis In House</v>
      </c>
      <c r="Y22" s="222" t="str">
        <f t="shared" si="10"/>
        <v>MATCH</v>
      </c>
      <c r="Z22" s="224" t="str">
        <f t="shared" si="11"/>
        <v> </v>
      </c>
      <c r="AA22" s="244"/>
    </row>
    <row r="23">
      <c r="A23" s="214" t="str">
        <f>IFS($B23=FALSE,"",$B23,VLOOKUP($B23,'PATIENT DATA (072721)'!A:C, 2, 0))</f>
        <v>MURDOCK, ROBERT S</v>
      </c>
      <c r="B23" s="215">
        <v>9683.0</v>
      </c>
      <c r="C23" s="216" t="str">
        <f>IF(COUNTIF('PATIENT DATA (072721)'!A:A, B23)=0, "X","✓")</f>
        <v>✓</v>
      </c>
      <c r="D23" s="226">
        <f>IFS($B23=FALSE,"",$B23,VLOOKUP($B23,'PATIENT DATA (072721)'!A:C, 3, 0))</f>
        <v>29811</v>
      </c>
      <c r="E23" s="218">
        <v>44568.0</v>
      </c>
      <c r="F23" s="219" t="str">
        <f>ifs($B23="","",$B23, VLOOKUP($B23&amp;$E23, 'VISIT DATA'!A:O,3,0))</f>
        <v>#N/A</v>
      </c>
      <c r="G23" s="220" t="s">
        <v>6328</v>
      </c>
      <c r="H23" s="221" t="s">
        <v>15</v>
      </c>
      <c r="I23" s="222" t="str">
        <f>VLOOKUP($B23&amp;$E23,'VISIT DATA'!A:J, 9, FALSE)</f>
        <v>#N/A</v>
      </c>
      <c r="J23" s="223" t="str">
        <f>VLOOKUP(B23&amp;E23,'VISIT DATA'!A:N,10,FALSE)</f>
        <v>#N/A</v>
      </c>
      <c r="K23" s="225"/>
      <c r="L23" s="224" t="s">
        <v>6242</v>
      </c>
      <c r="M23" s="224"/>
      <c r="N23" s="225"/>
      <c r="O23" s="216" t="str">
        <f t="shared" si="1"/>
        <v>✓</v>
      </c>
      <c r="P23" s="226" t="str">
        <f t="shared" si="2"/>
        <v>#N/A</v>
      </c>
      <c r="Q23" s="227" t="str">
        <f t="shared" si="3"/>
        <v>#N/A</v>
      </c>
      <c r="R23" s="228" t="str">
        <f t="shared" si="4"/>
        <v>#N/A</v>
      </c>
      <c r="S23" s="220" t="str">
        <f t="shared" si="5"/>
        <v>#N/A</v>
      </c>
      <c r="T23" s="220" t="str">
        <f t="shared" si="6"/>
        <v>#N/A</v>
      </c>
      <c r="U23" s="221">
        <f t="shared" si="7"/>
        <v>0</v>
      </c>
      <c r="V23" s="229" t="str">
        <f>ifs($N23="",VLOOKUP($B23&amp;$E23,'VISIT DATA'!$A$2:$J100,7,FALSE), $N23="SWAB","OUTSA-RW",$N23="SWQU","OUTSA-SaQu", AND($L23="X",$M23="X",$N23="QUEST"),"OUT-UAQPre",$N23="QUEST","OUT-UAQ", $N23="Walk in","ColUATele")</f>
        <v>#N/A</v>
      </c>
      <c r="W23" s="24" t="str">
        <f t="shared" si="8"/>
        <v>#N/A</v>
      </c>
      <c r="X23" s="222" t="str">
        <f t="shared" si="9"/>
        <v>UA : Urine Analysis In House</v>
      </c>
      <c r="Y23" s="222" t="str">
        <f t="shared" si="10"/>
        <v>#N/A</v>
      </c>
      <c r="Z23" s="224" t="str">
        <f t="shared" si="11"/>
        <v> </v>
      </c>
      <c r="AA23" s="244"/>
    </row>
    <row r="24">
      <c r="A24" s="214" t="str">
        <f>IFS($B24=FALSE,"",$B24,VLOOKUP($B24,'PATIENT DATA (072721)'!A:C, 2, 0))</f>
        <v>BARRERAS, LORENZO</v>
      </c>
      <c r="B24" s="215">
        <v>12879.0</v>
      </c>
      <c r="C24" s="216" t="str">
        <f>IF(COUNTIF('PATIENT DATA (072721)'!A:A, B24)=0, "X","✓")</f>
        <v>✓</v>
      </c>
      <c r="D24" s="226">
        <f>IFS($B24=FALSE,"",$B24,VLOOKUP($B24,'PATIENT DATA (072721)'!A:C, 3, 0))</f>
        <v>20311</v>
      </c>
      <c r="E24" s="218">
        <v>44568.0</v>
      </c>
      <c r="F24" s="219" t="str">
        <f>ifs($B24="","",$B24, VLOOKUP($B24&amp;$E24, 'VISIT DATA'!A:O,3,0))</f>
        <v>#N/A</v>
      </c>
      <c r="G24" s="220" t="s">
        <v>6328</v>
      </c>
      <c r="H24" s="221" t="s">
        <v>14</v>
      </c>
      <c r="I24" s="222" t="str">
        <f>VLOOKUP($B24&amp;$E24,'VISIT DATA'!A:J, 9, FALSE)</f>
        <v>#N/A</v>
      </c>
      <c r="J24" s="223" t="str">
        <f>VLOOKUP(B24&amp;E24,'VISIT DATA'!A:N,10,FALSE)</f>
        <v>#N/A</v>
      </c>
      <c r="K24" s="225"/>
      <c r="L24" s="224" t="s">
        <v>6242</v>
      </c>
      <c r="M24" s="224"/>
      <c r="N24" s="225"/>
      <c r="O24" s="216" t="str">
        <f t="shared" si="1"/>
        <v>✓</v>
      </c>
      <c r="P24" s="226" t="str">
        <f t="shared" si="2"/>
        <v>#N/A</v>
      </c>
      <c r="Q24" s="227" t="str">
        <f t="shared" si="3"/>
        <v>#N/A</v>
      </c>
      <c r="R24" s="228" t="str">
        <f t="shared" si="4"/>
        <v>#N/A</v>
      </c>
      <c r="S24" s="220" t="str">
        <f t="shared" si="5"/>
        <v>#N/A</v>
      </c>
      <c r="T24" s="220" t="str">
        <f t="shared" si="6"/>
        <v>#N/A</v>
      </c>
      <c r="U24" s="221">
        <f t="shared" si="7"/>
        <v>0</v>
      </c>
      <c r="V24" s="229" t="str">
        <f>ifs($N24="",VLOOKUP($B24&amp;$E24,'VISIT DATA'!$A$2:$J100,7,FALSE), $N24="SWAB","OUTSA-RW",$N24="SWQU","OUTSA-SaQu", AND($L24="X",$M24="X",$N24="QUEST"),"OUT-UAQPre",$N24="QUEST","OUT-UAQ", $N24="Walk in","ColUATele")</f>
        <v>#N/A</v>
      </c>
      <c r="W24" s="24" t="str">
        <f t="shared" si="8"/>
        <v>#N/A</v>
      </c>
      <c r="X24" s="222" t="str">
        <f t="shared" si="9"/>
        <v>UA : Urine Analysis In House</v>
      </c>
      <c r="Y24" s="222" t="str">
        <f t="shared" si="10"/>
        <v>#N/A</v>
      </c>
      <c r="Z24" s="224" t="str">
        <f t="shared" si="11"/>
        <v> </v>
      </c>
      <c r="AA24" s="244"/>
    </row>
    <row r="25">
      <c r="A25" s="214" t="str">
        <f>IFS($B25=FALSE,"",$B25,VLOOKUP($B25,'PATIENT DATA (072721)'!A:C, 2, 0))</f>
        <v>PENDELTON, JOHN</v>
      </c>
      <c r="B25" s="215">
        <v>14126.0</v>
      </c>
      <c r="C25" s="216" t="str">
        <f>IF(COUNTIF('PATIENT DATA (072721)'!A:A, B25)=0, "X","✓")</f>
        <v>✓</v>
      </c>
      <c r="D25" s="226">
        <f>IFS($B25=FALSE,"",$B25,VLOOKUP($B25,'PATIENT DATA (072721)'!A:C, 3, 0))</f>
        <v>18823</v>
      </c>
      <c r="E25" s="218">
        <v>44568.0</v>
      </c>
      <c r="F25" s="219">
        <f>ifs($B25="","",$B25, VLOOKUP($B25&amp;$E25, 'VISIT DATA'!A:O,3,0))</f>
        <v>0.4479166667</v>
      </c>
      <c r="G25" s="220" t="s">
        <v>6328</v>
      </c>
      <c r="H25" s="221" t="s">
        <v>13</v>
      </c>
      <c r="I25" s="222" t="str">
        <f>VLOOKUP($B25&amp;$E25,'VISIT DATA'!A:J, 9, FALSE)</f>
        <v>LOPEZ</v>
      </c>
      <c r="J25" s="223" t="str">
        <f>VLOOKUP(B25&amp;E25,'VISIT DATA'!A:N,10,FALSE)</f>
        <v>WPS VA - COMMUNITY CARE</v>
      </c>
      <c r="K25" s="224"/>
      <c r="L25" s="224" t="s">
        <v>6242</v>
      </c>
      <c r="M25" s="224" t="s">
        <v>6242</v>
      </c>
      <c r="N25" s="225"/>
      <c r="O25" s="216" t="str">
        <f t="shared" si="1"/>
        <v>✓</v>
      </c>
      <c r="P25" s="226" t="str">
        <f t="shared" si="2"/>
        <v>#VALUE!</v>
      </c>
      <c r="Q25" s="227" t="str">
        <f t="shared" si="3"/>
        <v>#VALUE!</v>
      </c>
      <c r="R25" s="228" t="str">
        <f t="shared" si="4"/>
        <v>#VALUE!</v>
      </c>
      <c r="S25" s="220" t="str">
        <f t="shared" si="5"/>
        <v>#VALUE!</v>
      </c>
      <c r="T25" s="220" t="str">
        <f t="shared" si="6"/>
        <v>#VALUE!</v>
      </c>
      <c r="U25" s="221">
        <f t="shared" si="7"/>
        <v>0</v>
      </c>
      <c r="V25" s="229" t="str">
        <f>ifs($N25="",VLOOKUP($B25&amp;$E25,'VISIT DATA'!$A$2:$J100,7,FALSE), $N25="SWAB","OUTSA-RW",$N25="SWQU","OUTSA-SaQu", AND($L25="X",$M25="X",$N25="QUEST"),"OUT-UAQPre",$N25="QUEST","OUT-UAQ", $N25="Walk in","ColUATele")</f>
        <v>UA-Prelim</v>
      </c>
      <c r="W25" s="24" t="str">
        <f t="shared" si="8"/>
        <v>UA-Prelim : Preliminary UA Test</v>
      </c>
      <c r="X25" s="222" t="str">
        <f t="shared" si="9"/>
        <v>UA-Prelim : Preliminary UA Test</v>
      </c>
      <c r="Y25" s="222" t="str">
        <f t="shared" si="10"/>
        <v>MATCH</v>
      </c>
      <c r="Z25" s="224" t="str">
        <f t="shared" si="11"/>
        <v> </v>
      </c>
      <c r="AA25" s="244"/>
    </row>
    <row r="26">
      <c r="A26" s="214" t="str">
        <f>IFS($B26=FALSE,"",$B26,VLOOKUP($B26,'PATIENT DATA (072721)'!A:C, 2, 0))</f>
        <v>PEREZ, ERNESTINA</v>
      </c>
      <c r="B26" s="215">
        <v>15765.0</v>
      </c>
      <c r="C26" s="216" t="str">
        <f>IF(COUNTIF('PATIENT DATA (072721)'!A:A, B26)=0, "X","✓")</f>
        <v>✓</v>
      </c>
      <c r="D26" s="226">
        <f>IFS($B26=FALSE,"",$B26,VLOOKUP($B26,'PATIENT DATA (072721)'!A:C, 3, 0))</f>
        <v>23265</v>
      </c>
      <c r="E26" s="218">
        <v>44568.0</v>
      </c>
      <c r="F26" s="219">
        <f>ifs($B26="","",$B26, VLOOKUP($B26&amp;$E26, 'VISIT DATA'!A:O,3,0))</f>
        <v>0.4479166667</v>
      </c>
      <c r="G26" s="220" t="s">
        <v>6323</v>
      </c>
      <c r="H26" s="221" t="s">
        <v>13</v>
      </c>
      <c r="I26" s="222" t="str">
        <f>VLOOKUP($B26&amp;$E26,'VISIT DATA'!A:J, 9, FALSE)</f>
        <v>LOPEZ</v>
      </c>
      <c r="J26" s="223" t="str">
        <f>VLOOKUP(B26&amp;E26,'VISIT DATA'!A:N,10,FALSE)</f>
        <v>WELLMED - CIGNA HEALTHSPRING</v>
      </c>
      <c r="K26" s="224"/>
      <c r="L26" s="224" t="s">
        <v>6242</v>
      </c>
      <c r="M26" s="224" t="s">
        <v>6242</v>
      </c>
      <c r="N26" s="224"/>
      <c r="O26" s="216" t="str">
        <f t="shared" si="1"/>
        <v>✓</v>
      </c>
      <c r="P26" s="226" t="str">
        <f t="shared" si="2"/>
        <v>X</v>
      </c>
      <c r="Q26" s="227" t="str">
        <f t="shared" si="3"/>
        <v>#VALUE!</v>
      </c>
      <c r="R26" s="228" t="str">
        <f t="shared" si="4"/>
        <v>#VALUE!</v>
      </c>
      <c r="S26" s="220" t="str">
        <f t="shared" si="5"/>
        <v>#VALUE!</v>
      </c>
      <c r="T26" s="220" t="str">
        <f t="shared" si="6"/>
        <v>#VALUE!</v>
      </c>
      <c r="U26" s="221">
        <f t="shared" si="7"/>
        <v>1</v>
      </c>
      <c r="V26" s="229" t="str">
        <f>ifs($N26="",VLOOKUP($B26&amp;$E26,'VISIT DATA'!$A$2:$J100,7,FALSE), $N26="SWAB","OUTSA-RW",$N26="SWQU","OUTSA-SaQu", AND($L26="X",$M26="X",$N26="QUEST"),"OUT-UAQPre",$N26="QUEST","OUT-UAQ", $N26="Walk in","ColUATele")</f>
        <v>OUTUA-PrRW</v>
      </c>
      <c r="W26" s="24" t="str">
        <f t="shared" si="8"/>
        <v>OUTUA-PrRW : OUT UA Prelimin Redwood</v>
      </c>
      <c r="X26" s="222" t="str">
        <f t="shared" si="9"/>
        <v>OUTUA-PrRW : OUT UA Prelimin Redwood</v>
      </c>
      <c r="Y26" s="222" t="str">
        <f t="shared" si="10"/>
        <v>MATCH</v>
      </c>
      <c r="Z26" s="224" t="str">
        <f t="shared" si="11"/>
        <v> </v>
      </c>
      <c r="AA26" s="245"/>
    </row>
    <row r="27">
      <c r="A27" s="214" t="str">
        <f>IFS($B27=FALSE,"",$B27,VLOOKUP($B27,'PATIENT DATA (072721)'!A:C, 2, 0))</f>
        <v>MENDEZ, JOSE</v>
      </c>
      <c r="B27" s="215">
        <v>11116.0</v>
      </c>
      <c r="C27" s="216" t="str">
        <f>IF(COUNTIF('PATIENT DATA (072721)'!A:A, B27)=0, "X","✓")</f>
        <v>✓</v>
      </c>
      <c r="D27" s="226">
        <f>IFS($B27=FALSE,"",$B27,VLOOKUP($B27,'PATIENT DATA (072721)'!A:C, 3, 0))</f>
        <v>17610</v>
      </c>
      <c r="E27" s="218">
        <v>44568.0</v>
      </c>
      <c r="F27" s="219">
        <f>ifs($B27="","",$B27, VLOOKUP($B27&amp;$E27, 'VISIT DATA'!A:O,3,0))</f>
        <v>0.4375</v>
      </c>
      <c r="G27" s="220" t="s">
        <v>6328</v>
      </c>
      <c r="H27" s="221" t="s">
        <v>14</v>
      </c>
      <c r="I27" s="222" t="str">
        <f>VLOOKUP($B27&amp;$E27,'VISIT DATA'!A:J, 9, FALSE)</f>
        <v>TORRES</v>
      </c>
      <c r="J27" s="223" t="str">
        <f>VLOOKUP(B27&amp;E27,'VISIT DATA'!A:N,10,FALSE)</f>
        <v>MEDICARE TEXAS</v>
      </c>
      <c r="K27" s="224"/>
      <c r="L27" s="224" t="s">
        <v>6242</v>
      </c>
      <c r="M27" s="224" t="s">
        <v>6242</v>
      </c>
      <c r="N27" s="225"/>
      <c r="O27" s="216" t="str">
        <f t="shared" si="1"/>
        <v>✓</v>
      </c>
      <c r="P27" s="226" t="str">
        <f t="shared" si="2"/>
        <v>#VALUE!</v>
      </c>
      <c r="Q27" s="227" t="str">
        <f t="shared" si="3"/>
        <v>#VALUE!</v>
      </c>
      <c r="R27" s="228" t="str">
        <f t="shared" si="4"/>
        <v>#VALUE!</v>
      </c>
      <c r="S27" s="220" t="str">
        <f t="shared" si="5"/>
        <v>#VALUE!</v>
      </c>
      <c r="T27" s="220" t="str">
        <f t="shared" si="6"/>
        <v>#VALUE!</v>
      </c>
      <c r="U27" s="221">
        <f t="shared" si="7"/>
        <v>0</v>
      </c>
      <c r="V27" s="229" t="str">
        <f>ifs($N27="",VLOOKUP($B27&amp;$E27,'VISIT DATA'!$A$2:$J100,7,FALSE), $N27="SWAB","OUTSA-RW",$N27="SWQU","OUTSA-SaQu", AND($L27="X",$M27="X",$N27="QUEST"),"OUT-UAQPre",$N27="QUEST","OUT-UAQ", $N27="Walk in","ColUATele")</f>
        <v>UA-Prelim</v>
      </c>
      <c r="W27" s="24" t="str">
        <f t="shared" si="8"/>
        <v>UA-Prelim : Preliminary UA Test</v>
      </c>
      <c r="X27" s="222" t="str">
        <f t="shared" si="9"/>
        <v>UA-Prelim : Preliminary UA Test</v>
      </c>
      <c r="Y27" s="222" t="str">
        <f t="shared" si="10"/>
        <v>MATCH</v>
      </c>
      <c r="Z27" s="224" t="str">
        <f t="shared" si="11"/>
        <v> </v>
      </c>
      <c r="AA27" s="244"/>
    </row>
    <row r="28">
      <c r="A28" s="214" t="str">
        <f>IFS($B28=FALSE,"",$B28,VLOOKUP($B28,'PATIENT DATA (072721)'!A:C, 2, 0))</f>
        <v>MARTINEZ, MELISSA A</v>
      </c>
      <c r="B28" s="215">
        <v>15993.0</v>
      </c>
      <c r="C28" s="216" t="str">
        <f>IF(COUNTIF('PATIENT DATA (072721)'!A:A, B28)=0, "X","✓")</f>
        <v>✓</v>
      </c>
      <c r="D28" s="226">
        <f>IFS($B28=FALSE,"",$B28,VLOOKUP($B28,'PATIENT DATA (072721)'!A:C, 3, 0))</f>
        <v>30933</v>
      </c>
      <c r="E28" s="218">
        <v>44568.0</v>
      </c>
      <c r="F28" s="219">
        <f>ifs($B28="","",$B28, VLOOKUP($B28&amp;$E28, 'VISIT DATA'!A:O,3,0))</f>
        <v>0.4583333333</v>
      </c>
      <c r="G28" s="220" t="s">
        <v>6323</v>
      </c>
      <c r="H28" s="221" t="s">
        <v>14</v>
      </c>
      <c r="I28" s="222" t="str">
        <f>VLOOKUP($B28&amp;$E28,'VISIT DATA'!A:J, 9, FALSE)</f>
        <v>TORRES</v>
      </c>
      <c r="J28" s="223" t="str">
        <f>VLOOKUP(B28&amp;E28,'VISIT DATA'!A:N,10,FALSE)</f>
        <v>MOLINA MEDICAID TEXAS</v>
      </c>
      <c r="K28" s="224"/>
      <c r="L28" s="224" t="s">
        <v>6242</v>
      </c>
      <c r="M28" s="224"/>
      <c r="N28" s="225"/>
      <c r="O28" s="216" t="str">
        <f t="shared" si="1"/>
        <v>✓</v>
      </c>
      <c r="P28" s="226" t="str">
        <f t="shared" si="2"/>
        <v>#VALUE!</v>
      </c>
      <c r="Q28" s="227" t="str">
        <f t="shared" si="3"/>
        <v>X</v>
      </c>
      <c r="R28" s="228" t="str">
        <f t="shared" si="4"/>
        <v>#VALUE!</v>
      </c>
      <c r="S28" s="220" t="str">
        <f t="shared" si="5"/>
        <v>#VALUE!</v>
      </c>
      <c r="T28" s="220" t="str">
        <f t="shared" si="6"/>
        <v>#VALUE!</v>
      </c>
      <c r="U28" s="221">
        <f t="shared" si="7"/>
        <v>1</v>
      </c>
      <c r="V28" s="229" t="str">
        <f>ifs($N28="",VLOOKUP($B28&amp;$E28,'VISIT DATA'!$A$2:$J100,7,FALSE), $N28="SWAB","OUTSA-RW",$N28="SWQU","OUTSA-SaQu", AND($L28="X",$M28="X",$N28="QUEST"),"OUT-UAQPre",$N28="QUEST","OUT-UAQ", $N28="Walk in","ColUATele")</f>
        <v>OUTUA-PrRW</v>
      </c>
      <c r="W28" s="24" t="str">
        <f t="shared" si="8"/>
        <v>OUTUA-PrRW : OUT UA Prelimin Redwood</v>
      </c>
      <c r="X28" s="222" t="str">
        <f t="shared" si="9"/>
        <v>OUTUA-FURW : OUT UA FU Redwood</v>
      </c>
      <c r="Y28" s="222" t="str">
        <f t="shared" si="10"/>
        <v>NO MATCH</v>
      </c>
      <c r="Z28" s="224" t="str">
        <f t="shared" si="11"/>
        <v> </v>
      </c>
      <c r="AA28" s="244"/>
    </row>
    <row r="29">
      <c r="A29" s="214" t="str">
        <f>IFS($B29=FALSE,"",$B29,VLOOKUP($B29,'PATIENT DATA (072721)'!A:C, 2, 0))</f>
        <v>GONZALEZ, IRMA</v>
      </c>
      <c r="B29" s="246">
        <v>16818.0</v>
      </c>
      <c r="C29" s="216" t="str">
        <f>IF(COUNTIF('PATIENT DATA (072721)'!A:A, B29)=0, "X","✓")</f>
        <v>✓</v>
      </c>
      <c r="D29" s="226">
        <f>IFS($B29=FALSE,"",$B29,VLOOKUP($B29,'PATIENT DATA (072721)'!A:C, 3, 0))</f>
        <v>19668</v>
      </c>
      <c r="E29" s="218">
        <v>44568.0</v>
      </c>
      <c r="F29" s="219">
        <f>ifs($B29="","",$B29, VLOOKUP($B29&amp;$E29, 'VISIT DATA'!A:O,3,0))</f>
        <v>0.4583333333</v>
      </c>
      <c r="G29" s="220" t="s">
        <v>6323</v>
      </c>
      <c r="H29" s="221" t="s">
        <v>13</v>
      </c>
      <c r="I29" s="222" t="str">
        <f>VLOOKUP($B29&amp;$E29,'VISIT DATA'!A:J, 9, FALSE)</f>
        <v>LOPEZ</v>
      </c>
      <c r="J29" s="223" t="str">
        <f>VLOOKUP(B29&amp;E29,'VISIT DATA'!A:N,10,FALSE)</f>
        <v>UNITED HEALTH CARE</v>
      </c>
      <c r="K29" s="224"/>
      <c r="L29" s="224" t="s">
        <v>6242</v>
      </c>
      <c r="M29" s="224"/>
      <c r="N29" s="224"/>
      <c r="O29" s="216" t="str">
        <f t="shared" si="1"/>
        <v>✓</v>
      </c>
      <c r="P29" s="226" t="str">
        <f t="shared" si="2"/>
        <v>#VALUE!</v>
      </c>
      <c r="Q29" s="227" t="str">
        <f t="shared" si="3"/>
        <v>#VALUE!</v>
      </c>
      <c r="R29" s="228" t="str">
        <f t="shared" si="4"/>
        <v>#VALUE!</v>
      </c>
      <c r="S29" s="220" t="str">
        <f t="shared" si="5"/>
        <v>#VALUE!</v>
      </c>
      <c r="T29" s="220" t="str">
        <f t="shared" si="6"/>
        <v>#VALUE!</v>
      </c>
      <c r="U29" s="221">
        <f t="shared" si="7"/>
        <v>0</v>
      </c>
      <c r="V29" s="229" t="str">
        <f>ifs($N29="",VLOOKUP($B29&amp;$E29,'VISIT DATA'!$A$2:$J100,7,FALSE), $N29="SWAB","OUTSA-RW",$N29="SWQU","OUTSA-SaQu", AND($L29="X",$M29="X",$N29="QUEST"),"OUT-UAQPre",$N29="QUEST","OUT-UAQ", $N29="Walk in","ColUATele")</f>
        <v>UA</v>
      </c>
      <c r="W29" s="24" t="str">
        <f t="shared" si="8"/>
        <v>UA : Urine Analysis In House</v>
      </c>
      <c r="X29" s="222" t="str">
        <f t="shared" si="9"/>
        <v>UA : Urine Analysis In House</v>
      </c>
      <c r="Y29" s="222" t="str">
        <f t="shared" si="10"/>
        <v>MATCH</v>
      </c>
      <c r="Z29" s="224" t="str">
        <f t="shared" si="11"/>
        <v> </v>
      </c>
      <c r="AA29" s="245"/>
    </row>
    <row r="30">
      <c r="A30" s="214" t="str">
        <f>IFS($B30=FALSE,"",$B30,VLOOKUP($B30,'PATIENT DATA (072721)'!A:C, 2, 0))</f>
        <v>BERGE, VERNON</v>
      </c>
      <c r="B30" s="215">
        <v>11523.0</v>
      </c>
      <c r="C30" s="230" t="str">
        <f>IF(COUNTIF('PATIENT DATA (072721)'!A:A, B30)=0, "X","✓")</f>
        <v>✓</v>
      </c>
      <c r="D30" s="226">
        <f>IFS($B30=FALSE,"",$B30,VLOOKUP($B30,'PATIENT DATA (072721)'!A:C, 3, 0))</f>
        <v>16133</v>
      </c>
      <c r="E30" s="218">
        <v>44568.0</v>
      </c>
      <c r="F30" s="219">
        <f>ifs($B30="","",$B30, VLOOKUP($B30&amp;$E30, 'VISIT DATA'!A:O,3,0))</f>
        <v>0.4270833333</v>
      </c>
      <c r="G30" s="231" t="s">
        <v>6328</v>
      </c>
      <c r="H30" s="221" t="s">
        <v>15</v>
      </c>
      <c r="I30" s="222" t="str">
        <f>VLOOKUP($B30&amp;$E30,'VISIT DATA'!A:J, 9, FALSE)</f>
        <v>MARTINEZ</v>
      </c>
      <c r="J30" s="223" t="str">
        <f>VLOOKUP(B30&amp;E30,'VISIT DATA'!A:N,10,FALSE)</f>
        <v>HUMANA GOLD PLUS HMO</v>
      </c>
      <c r="K30" s="224"/>
      <c r="L30" s="224" t="s">
        <v>6242</v>
      </c>
      <c r="M30" s="224"/>
      <c r="N30" s="225"/>
      <c r="O30" s="216" t="str">
        <f t="shared" si="1"/>
        <v>✓</v>
      </c>
      <c r="P30" s="226" t="str">
        <f t="shared" si="2"/>
        <v>#VALUE!</v>
      </c>
      <c r="Q30" s="227" t="str">
        <f t="shared" si="3"/>
        <v>#VALUE!</v>
      </c>
      <c r="R30" s="228" t="str">
        <f t="shared" si="4"/>
        <v>#VALUE!</v>
      </c>
      <c r="S30" s="220" t="str">
        <f t="shared" si="5"/>
        <v>#VALUE!</v>
      </c>
      <c r="T30" s="220" t="str">
        <f t="shared" si="6"/>
        <v>#VALUE!</v>
      </c>
      <c r="U30" s="221">
        <f t="shared" si="7"/>
        <v>0</v>
      </c>
      <c r="V30" s="229" t="str">
        <f>ifs($N30="",VLOOKUP($B30&amp;$E30,'VISIT DATA'!$A$2:$J100,7,FALSE), $N30="SWAB","OUTSA-RW",$N30="SWQU","OUTSA-SaQu", AND($L30="X",$M30="X",$N30="QUEST"),"OUT-UAQPre",$N30="QUEST","OUT-UAQ", $N30="Walk in","ColUATele")</f>
        <v>UA</v>
      </c>
      <c r="W30" s="24" t="str">
        <f t="shared" si="8"/>
        <v>UA : Urine Analysis In House</v>
      </c>
      <c r="X30" s="222" t="str">
        <f t="shared" si="9"/>
        <v>UA : Urine Analysis In House</v>
      </c>
      <c r="Y30" s="222" t="str">
        <f t="shared" si="10"/>
        <v>MATCH</v>
      </c>
      <c r="Z30" s="224" t="str">
        <f t="shared" si="11"/>
        <v> </v>
      </c>
      <c r="AA30" s="244"/>
    </row>
    <row r="31">
      <c r="A31" s="214" t="str">
        <f>IFS($B31=FALSE,"",$B31,VLOOKUP($B31,'PATIENT DATA (072721)'!A:C, 2, 0))</f>
        <v>GONZALES, LIONARDO</v>
      </c>
      <c r="B31" s="215">
        <v>16124.0</v>
      </c>
      <c r="C31" s="230" t="str">
        <f>IF(COUNTIF('PATIENT DATA (072721)'!A:A, B31)=0, "X","✓")</f>
        <v>✓</v>
      </c>
      <c r="D31" s="226">
        <f>IFS($B31=FALSE,"",$B31,VLOOKUP($B31,'PATIENT DATA (072721)'!A:C, 3, 0))</f>
        <v>16746</v>
      </c>
      <c r="E31" s="218">
        <v>44568.0</v>
      </c>
      <c r="F31" s="219" t="str">
        <f>ifs($B31="","",$B31, VLOOKUP($B31&amp;$E31, 'VISIT DATA'!A:O,3,0))</f>
        <v>#N/A</v>
      </c>
      <c r="G31" s="231" t="s">
        <v>6328</v>
      </c>
      <c r="H31" s="221" t="s">
        <v>15</v>
      </c>
      <c r="I31" s="222" t="str">
        <f>VLOOKUP($B31&amp;$E31,'VISIT DATA'!A:J, 9, FALSE)</f>
        <v>#N/A</v>
      </c>
      <c r="J31" s="223" t="str">
        <f>VLOOKUP(B31&amp;E31,'VISIT DATA'!A:N,10,FALSE)</f>
        <v>#N/A</v>
      </c>
      <c r="K31" s="225"/>
      <c r="L31" s="224" t="s">
        <v>6242</v>
      </c>
      <c r="M31" s="224"/>
      <c r="N31" s="225"/>
      <c r="O31" s="216" t="str">
        <f t="shared" si="1"/>
        <v>✓</v>
      </c>
      <c r="P31" s="226" t="str">
        <f t="shared" si="2"/>
        <v>#N/A</v>
      </c>
      <c r="Q31" s="227" t="str">
        <f t="shared" si="3"/>
        <v>#N/A</v>
      </c>
      <c r="R31" s="228" t="str">
        <f t="shared" si="4"/>
        <v>#N/A</v>
      </c>
      <c r="S31" s="220" t="str">
        <f t="shared" si="5"/>
        <v>#N/A</v>
      </c>
      <c r="T31" s="220" t="str">
        <f t="shared" si="6"/>
        <v>#N/A</v>
      </c>
      <c r="U31" s="221">
        <f t="shared" si="7"/>
        <v>0</v>
      </c>
      <c r="V31" s="229" t="str">
        <f>ifs($N31="",VLOOKUP($B31&amp;$E31,'VISIT DATA'!$A$2:$J100,7,FALSE), $N31="SWAB","OUTSA-RW",$N31="SWQU","OUTSA-SaQu", AND($L31="X",$M31="X",$N31="QUEST"),"OUT-UAQPre",$N31="QUEST","OUT-UAQ", $N31="Walk in","ColUATele")</f>
        <v>#N/A</v>
      </c>
      <c r="W31" s="24" t="str">
        <f t="shared" si="8"/>
        <v>#N/A</v>
      </c>
      <c r="X31" s="222" t="str">
        <f t="shared" si="9"/>
        <v>UA : Urine Analysis In House</v>
      </c>
      <c r="Y31" s="222" t="str">
        <f t="shared" si="10"/>
        <v>#N/A</v>
      </c>
      <c r="Z31" s="224" t="str">
        <f t="shared" si="11"/>
        <v> </v>
      </c>
      <c r="AA31" s="244"/>
    </row>
    <row r="32">
      <c r="A32" s="214" t="str">
        <f>IFS($B32=FALSE,"",$B32,VLOOKUP($B32,'PATIENT DATA (072721)'!A:C, 2, 0))</f>
        <v>VALTIERRA, JOEL J</v>
      </c>
      <c r="B32" s="215">
        <v>14858.0</v>
      </c>
      <c r="C32" s="230" t="str">
        <f>IF(COUNTIF('PATIENT DATA (072721)'!A:A, B32)=0, "X","✓")</f>
        <v>✓</v>
      </c>
      <c r="D32" s="226">
        <f>IFS($B32=FALSE,"",$B32,VLOOKUP($B32,'PATIENT DATA (072721)'!A:C, 3, 0))</f>
        <v>33442</v>
      </c>
      <c r="E32" s="218">
        <v>44568.0</v>
      </c>
      <c r="F32" s="219">
        <f>ifs($B32="","",$B32, VLOOKUP($B32&amp;$E32, 'VISIT DATA'!A:O,3,0))</f>
        <v>0.5416666667</v>
      </c>
      <c r="G32" s="231" t="s">
        <v>6328</v>
      </c>
      <c r="H32" s="221" t="s">
        <v>14</v>
      </c>
      <c r="I32" s="222" t="str">
        <f>VLOOKUP($B32&amp;$E32,'VISIT DATA'!A:J, 9, FALSE)</f>
        <v>TORRES</v>
      </c>
      <c r="J32" s="223" t="str">
        <f>VLOOKUP(B32&amp;E32,'VISIT DATA'!A:N,10,FALSE)</f>
        <v>AMERIGROUP</v>
      </c>
      <c r="K32" s="224"/>
      <c r="L32" s="224" t="s">
        <v>6242</v>
      </c>
      <c r="M32" s="224"/>
      <c r="N32" s="225"/>
      <c r="O32" s="216" t="str">
        <f t="shared" si="1"/>
        <v>✓</v>
      </c>
      <c r="P32" s="226" t="str">
        <f t="shared" si="2"/>
        <v>#VALUE!</v>
      </c>
      <c r="Q32" s="227" t="str">
        <f t="shared" si="3"/>
        <v>#VALUE!</v>
      </c>
      <c r="R32" s="228" t="str">
        <f t="shared" si="4"/>
        <v>#VALUE!</v>
      </c>
      <c r="S32" s="220" t="str">
        <f t="shared" si="5"/>
        <v>#VALUE!</v>
      </c>
      <c r="T32" s="220" t="str">
        <f t="shared" si="6"/>
        <v>#VALUE!</v>
      </c>
      <c r="U32" s="221">
        <f t="shared" si="7"/>
        <v>0</v>
      </c>
      <c r="V32" s="229" t="str">
        <f>ifs($N32="",VLOOKUP($B32&amp;$E32,'VISIT DATA'!$A$2:$J100,7,FALSE), $N32="SWAB","OUTSA-RW",$N32="SWQU","OUTSA-SaQu", AND($L32="X",$M32="X",$N32="QUEST"),"OUT-UAQPre",$N32="QUEST","OUT-UAQ", $N32="Walk in","ColUATele")</f>
        <v>UA</v>
      </c>
      <c r="W32" s="24" t="str">
        <f t="shared" si="8"/>
        <v>UA : Urine Analysis In House</v>
      </c>
      <c r="X32" s="222" t="str">
        <f t="shared" si="9"/>
        <v>UA : Urine Analysis In House</v>
      </c>
      <c r="Y32" s="222" t="str">
        <f t="shared" si="10"/>
        <v>MATCH</v>
      </c>
      <c r="Z32" s="224" t="str">
        <f t="shared" si="11"/>
        <v> </v>
      </c>
      <c r="AA32" s="244"/>
    </row>
    <row r="33">
      <c r="A33" s="214" t="str">
        <f>IFS($B33=FALSE,"",$B33,VLOOKUP($B33,'PATIENT DATA (072721)'!A:C, 2, 0))</f>
        <v>VALENZUELA, FERNANDO</v>
      </c>
      <c r="B33" s="215">
        <v>11113.0</v>
      </c>
      <c r="C33" s="230" t="str">
        <f>IF(COUNTIF('PATIENT DATA (072721)'!A:A, B33)=0, "X","✓")</f>
        <v>✓</v>
      </c>
      <c r="D33" s="226">
        <f>IFS($B33=FALSE,"",$B33,VLOOKUP($B33,'PATIENT DATA (072721)'!A:C, 3, 0))</f>
        <v>19005</v>
      </c>
      <c r="E33" s="218">
        <v>44568.0</v>
      </c>
      <c r="F33" s="219">
        <f>ifs($B33="","",$B33, VLOOKUP($B33&amp;$E33, 'VISIT DATA'!A:O,3,0))</f>
        <v>0.6458333333</v>
      </c>
      <c r="G33" s="231" t="s">
        <v>6328</v>
      </c>
      <c r="H33" s="221" t="s">
        <v>14</v>
      </c>
      <c r="I33" s="222" t="str">
        <f>VLOOKUP($B33&amp;$E33,'VISIT DATA'!A:J, 9, FALSE)</f>
        <v>MARTINEZ</v>
      </c>
      <c r="J33" s="223" t="str">
        <f>VLOOKUP(B33&amp;E33,'VISIT DATA'!A:N,10,FALSE)</f>
        <v>WELLMED - AARP MEDICARE COMPLETE</v>
      </c>
      <c r="K33" s="225"/>
      <c r="L33" s="224" t="s">
        <v>6242</v>
      </c>
      <c r="M33" s="224"/>
      <c r="N33" s="225"/>
      <c r="O33" s="216" t="str">
        <f t="shared" si="1"/>
        <v>✓</v>
      </c>
      <c r="P33" s="226" t="str">
        <f t="shared" si="2"/>
        <v>X</v>
      </c>
      <c r="Q33" s="227" t="str">
        <f t="shared" si="3"/>
        <v>#VALUE!</v>
      </c>
      <c r="R33" s="228" t="str">
        <f t="shared" si="4"/>
        <v>#VALUE!</v>
      </c>
      <c r="S33" s="220" t="str">
        <f t="shared" si="5"/>
        <v>#VALUE!</v>
      </c>
      <c r="T33" s="220" t="str">
        <f t="shared" si="6"/>
        <v>#VALUE!</v>
      </c>
      <c r="U33" s="221">
        <f t="shared" si="7"/>
        <v>1</v>
      </c>
      <c r="V33" s="229" t="str">
        <f>ifs($N33="",VLOOKUP($B33&amp;$E33,'VISIT DATA'!$A$2:$J100,7,FALSE), $N33="SWAB","OUTSA-RW",$N33="SWQU","OUTSA-SaQu", AND($L33="X",$M33="X",$N33="QUEST"),"OUT-UAQPre",$N33="QUEST","OUT-UAQ", $N33="Walk in","ColUATele")</f>
        <v>OUTUA-FURW</v>
      </c>
      <c r="W33" s="24" t="str">
        <f t="shared" si="8"/>
        <v>OUTUA-FURW : OUT UA FU Redwood</v>
      </c>
      <c r="X33" s="222" t="str">
        <f t="shared" si="9"/>
        <v>OUTUA-FURW : OUT UA FU Redwood</v>
      </c>
      <c r="Y33" s="222" t="str">
        <f t="shared" si="10"/>
        <v>MATCH</v>
      </c>
      <c r="Z33" s="224" t="str">
        <f t="shared" si="11"/>
        <v> </v>
      </c>
      <c r="AA33" s="244"/>
    </row>
    <row r="34">
      <c r="A34" s="214" t="str">
        <f>IFS($B34=FALSE,"",$B34,VLOOKUP($B34,'PATIENT DATA (072721)'!A:C, 2, 0))</f>
        <v>CORDOVA, NINFA</v>
      </c>
      <c r="B34" s="215">
        <v>14386.0</v>
      </c>
      <c r="C34" s="230" t="str">
        <f>IF(COUNTIF('PATIENT DATA (072721)'!A:A, B34)=0, "X","✓")</f>
        <v>✓</v>
      </c>
      <c r="D34" s="226">
        <f>IFS($B34=FALSE,"",$B34,VLOOKUP($B34,'PATIENT DATA (072721)'!A:C, 3, 0))</f>
        <v>19365</v>
      </c>
      <c r="E34" s="218">
        <v>44568.0</v>
      </c>
      <c r="F34" s="219">
        <f>ifs($B34="","",$B34, VLOOKUP($B34&amp;$E34, 'VISIT DATA'!A:O,3,0))</f>
        <v>0.5520833333</v>
      </c>
      <c r="G34" s="231" t="s">
        <v>6323</v>
      </c>
      <c r="H34" s="221" t="s">
        <v>14</v>
      </c>
      <c r="I34" s="222" t="str">
        <f>VLOOKUP($B34&amp;$E34,'VISIT DATA'!A:J, 9, FALSE)</f>
        <v>TORRES</v>
      </c>
      <c r="J34" s="223" t="str">
        <f>VLOOKUP(B34&amp;E34,'VISIT DATA'!A:N,10,FALSE)</f>
        <v>WELLMED - UHC DUAL COMPLETE SNP</v>
      </c>
      <c r="K34" s="225"/>
      <c r="L34" s="224"/>
      <c r="M34" s="224"/>
      <c r="N34" s="225"/>
      <c r="O34" s="216" t="str">
        <f t="shared" si="1"/>
        <v>X</v>
      </c>
      <c r="P34" s="226" t="str">
        <f t="shared" si="2"/>
        <v>X</v>
      </c>
      <c r="Q34" s="227" t="str">
        <f t="shared" si="3"/>
        <v>#VALUE!</v>
      </c>
      <c r="R34" s="228" t="str">
        <f t="shared" si="4"/>
        <v>#VALUE!</v>
      </c>
      <c r="S34" s="220" t="str">
        <f t="shared" si="5"/>
        <v>#VALUE!</v>
      </c>
      <c r="T34" s="220" t="str">
        <f t="shared" si="6"/>
        <v>#VALUE!</v>
      </c>
      <c r="U34" s="221">
        <f t="shared" si="7"/>
        <v>1</v>
      </c>
      <c r="V34" s="229" t="str">
        <f>ifs($N34="",VLOOKUP($B34&amp;$E34,'VISIT DATA'!$A$2:$J100,7,FALSE), $N34="SWAB","OUTSA-RW",$N34="SWQU","OUTSA-SaQu", AND($L34="X",$M34="X",$N34="QUEST"),"OUT-UAQPre",$N34="QUEST","OUT-UAQ", $N34="Walk in","ColUATele")</f>
        <v>OUTUA-FURW</v>
      </c>
      <c r="W34" s="24" t="str">
        <f t="shared" si="8"/>
        <v>OUTUA-FURW : OUT UA FU Redwood</v>
      </c>
      <c r="X34" s="222" t="str">
        <f t="shared" si="9"/>
        <v>#N/A</v>
      </c>
      <c r="Y34" s="222" t="str">
        <f t="shared" si="10"/>
        <v>#N/A</v>
      </c>
      <c r="Z34" s="224" t="str">
        <f t="shared" si="11"/>
        <v> </v>
      </c>
      <c r="AA34" s="244"/>
    </row>
    <row r="35">
      <c r="A35" s="214" t="str">
        <f>IFS($B35=FALSE,"",$B35,VLOOKUP($B35,'PATIENT DATA (072721)'!A:C, 2, 0))</f>
        <v>CENICEROS, REBECCA C</v>
      </c>
      <c r="B35" s="215">
        <v>14718.0</v>
      </c>
      <c r="C35" s="230" t="str">
        <f>IF(COUNTIF('PATIENT DATA (072721)'!A:A, B35)=0, "X","✓")</f>
        <v>✓</v>
      </c>
      <c r="D35" s="226">
        <f>IFS($B35=FALSE,"",$B35,VLOOKUP($B35,'PATIENT DATA (072721)'!A:C, 3, 0))</f>
        <v>19516</v>
      </c>
      <c r="E35" s="218">
        <v>44568.0</v>
      </c>
      <c r="F35" s="219">
        <f>ifs($B35="","",$B35, VLOOKUP($B35&amp;$E35, 'VISIT DATA'!A:O,3,0))</f>
        <v>0.5625</v>
      </c>
      <c r="G35" s="231" t="s">
        <v>6323</v>
      </c>
      <c r="H35" s="221" t="s">
        <v>13</v>
      </c>
      <c r="I35" s="222" t="str">
        <f>VLOOKUP($B35&amp;$E35,'VISIT DATA'!A:J, 9, FALSE)</f>
        <v>LOPEZ</v>
      </c>
      <c r="J35" s="223" t="str">
        <f>VLOOKUP(B35&amp;E35,'VISIT DATA'!A:N,10,FALSE)</f>
        <v>WELLMED - AARP MEDICARE COMPLETE</v>
      </c>
      <c r="K35" s="224"/>
      <c r="L35" s="224" t="s">
        <v>6242</v>
      </c>
      <c r="M35" s="224" t="s">
        <v>6242</v>
      </c>
      <c r="N35" s="224"/>
      <c r="O35" s="216" t="str">
        <f t="shared" si="1"/>
        <v>✓</v>
      </c>
      <c r="P35" s="226" t="str">
        <f t="shared" si="2"/>
        <v>X</v>
      </c>
      <c r="Q35" s="227" t="str">
        <f t="shared" si="3"/>
        <v>#VALUE!</v>
      </c>
      <c r="R35" s="228" t="str">
        <f t="shared" si="4"/>
        <v>#VALUE!</v>
      </c>
      <c r="S35" s="220" t="str">
        <f t="shared" si="5"/>
        <v>#VALUE!</v>
      </c>
      <c r="T35" s="220" t="str">
        <f t="shared" si="6"/>
        <v>#VALUE!</v>
      </c>
      <c r="U35" s="221">
        <f t="shared" si="7"/>
        <v>1</v>
      </c>
      <c r="V35" s="229" t="str">
        <f>ifs($N35="",VLOOKUP($B35&amp;$E35,'VISIT DATA'!$A$2:$J100,7,FALSE), $N35="SWAB","OUTSA-RW",$N35="SWQU","OUTSA-SaQu", AND($L35="X",$M35="X",$N35="QUEST"),"OUT-UAQPre",$N35="QUEST","OUT-UAQ", $N35="Walk in","ColUATele")</f>
        <v>OUTUA-PrRW</v>
      </c>
      <c r="W35" s="24" t="str">
        <f t="shared" si="8"/>
        <v>OUTUA-PrRW : OUT UA Prelimin Redwood</v>
      </c>
      <c r="X35" s="222" t="str">
        <f t="shared" si="9"/>
        <v>OUTUA-PrRW : OUT UA Prelimin Redwood</v>
      </c>
      <c r="Y35" s="222" t="str">
        <f t="shared" si="10"/>
        <v>MATCH</v>
      </c>
      <c r="Z35" s="224" t="str">
        <f t="shared" si="11"/>
        <v> </v>
      </c>
      <c r="AA35" s="244"/>
    </row>
    <row r="36">
      <c r="A36" s="214" t="str">
        <f>IFS($B36=FALSE,"",$B36,VLOOKUP($B36,'PATIENT DATA (072721)'!A:C, 2, 0))</f>
        <v>ARMENDARIZ, MONSERRAT C</v>
      </c>
      <c r="B36" s="215">
        <v>9813.0</v>
      </c>
      <c r="C36" s="230" t="str">
        <f>IF(COUNTIF('PATIENT DATA (072721)'!A:A, B36)=0, "X","✓")</f>
        <v>✓</v>
      </c>
      <c r="D36" s="226">
        <f>IFS($B36=FALSE,"",$B36,VLOOKUP($B36,'PATIENT DATA (072721)'!A:C, 3, 0))</f>
        <v>19008</v>
      </c>
      <c r="E36" s="218">
        <v>44568.0</v>
      </c>
      <c r="F36" s="219">
        <f>ifs($B36="","",$B36, VLOOKUP($B36&amp;$E36, 'VISIT DATA'!A:O,3,0))</f>
        <v>0.5520833333</v>
      </c>
      <c r="G36" s="231" t="s">
        <v>6328</v>
      </c>
      <c r="H36" s="221" t="s">
        <v>14</v>
      </c>
      <c r="I36" s="222" t="str">
        <f>VLOOKUP($B36&amp;$E36,'VISIT DATA'!A:J, 9, FALSE)</f>
        <v>MARTINEZ</v>
      </c>
      <c r="J36" s="223" t="str">
        <f>VLOOKUP(B36&amp;E36,'VISIT DATA'!A:N,10,FALSE)</f>
        <v>BCBSTX PPO</v>
      </c>
      <c r="K36" s="225"/>
      <c r="L36" s="224" t="s">
        <v>6242</v>
      </c>
      <c r="M36" s="224"/>
      <c r="N36" s="225"/>
      <c r="O36" s="216" t="str">
        <f t="shared" si="1"/>
        <v>✓</v>
      </c>
      <c r="P36" s="226" t="str">
        <f t="shared" si="2"/>
        <v>#VALUE!</v>
      </c>
      <c r="Q36" s="227" t="str">
        <f t="shared" si="3"/>
        <v>#VALUE!</v>
      </c>
      <c r="R36" s="228" t="str">
        <f t="shared" si="4"/>
        <v>#VALUE!</v>
      </c>
      <c r="S36" s="220" t="str">
        <f t="shared" si="5"/>
        <v>#VALUE!</v>
      </c>
      <c r="T36" s="220" t="str">
        <f t="shared" si="6"/>
        <v>#VALUE!</v>
      </c>
      <c r="U36" s="221">
        <f t="shared" si="7"/>
        <v>0</v>
      </c>
      <c r="V36" s="229" t="str">
        <f>ifs($N36="",VLOOKUP($B36&amp;$E36,'VISIT DATA'!$A$2:$J100,7,FALSE), $N36="SWAB","OUTSA-RW",$N36="SWQU","OUTSA-SaQu", AND($L36="X",$M36="X",$N36="QUEST"),"OUT-UAQPre",$N36="QUEST","OUT-UAQ", $N36="Walk in","ColUATele")</f>
        <v>UA</v>
      </c>
      <c r="W36" s="24" t="str">
        <f t="shared" si="8"/>
        <v>UA : Urine Analysis In House</v>
      </c>
      <c r="X36" s="222" t="str">
        <f t="shared" si="9"/>
        <v>UA : Urine Analysis In House</v>
      </c>
      <c r="Y36" s="222" t="str">
        <f t="shared" si="10"/>
        <v>MATCH</v>
      </c>
      <c r="Z36" s="224" t="str">
        <f t="shared" si="11"/>
        <v> </v>
      </c>
      <c r="AA36" s="244"/>
    </row>
    <row r="37">
      <c r="A37" s="214" t="str">
        <f>IFS($B37=FALSE,"",$B37,VLOOKUP($B37,'PATIENT DATA (072721)'!A:C, 2, 0))</f>
        <v>WILSON, JEAN A</v>
      </c>
      <c r="B37" s="215">
        <v>15024.0</v>
      </c>
      <c r="C37" s="230" t="str">
        <f>IF(COUNTIF('PATIENT DATA (072721)'!A:A, B37)=0, "X","✓")</f>
        <v>✓</v>
      </c>
      <c r="D37" s="226">
        <f>IFS($B37=FALSE,"",$B37,VLOOKUP($B37,'PATIENT DATA (072721)'!A:C, 3, 0))</f>
        <v>20328</v>
      </c>
      <c r="E37" s="218">
        <v>44568.0</v>
      </c>
      <c r="F37" s="219">
        <f>ifs($B37="","",$B37, VLOOKUP($B37&amp;$E37, 'VISIT DATA'!A:O,3,0))</f>
        <v>0.5625</v>
      </c>
      <c r="G37" s="231" t="s">
        <v>6323</v>
      </c>
      <c r="H37" s="221" t="s">
        <v>13</v>
      </c>
      <c r="I37" s="222" t="str">
        <f>VLOOKUP($B37&amp;$E37,'VISIT DATA'!A:J, 9, FALSE)</f>
        <v>LOPEZ</v>
      </c>
      <c r="J37" s="223" t="str">
        <f>VLOOKUP(B37&amp;E37,'VISIT DATA'!A:N,10,FALSE)</f>
        <v>WELLMED - AARP MEDICARE COMPLETE</v>
      </c>
      <c r="K37" s="225"/>
      <c r="L37" s="224" t="s">
        <v>6242</v>
      </c>
      <c r="M37" s="224"/>
      <c r="N37" s="225"/>
      <c r="O37" s="216" t="str">
        <f t="shared" si="1"/>
        <v>✓</v>
      </c>
      <c r="P37" s="226" t="str">
        <f t="shared" si="2"/>
        <v>X</v>
      </c>
      <c r="Q37" s="227" t="str">
        <f t="shared" si="3"/>
        <v>#VALUE!</v>
      </c>
      <c r="R37" s="228" t="str">
        <f t="shared" si="4"/>
        <v>#VALUE!</v>
      </c>
      <c r="S37" s="220" t="str">
        <f t="shared" si="5"/>
        <v>#VALUE!</v>
      </c>
      <c r="T37" s="220" t="str">
        <f t="shared" si="6"/>
        <v>#VALUE!</v>
      </c>
      <c r="U37" s="221">
        <f t="shared" si="7"/>
        <v>1</v>
      </c>
      <c r="V37" s="229" t="str">
        <f>ifs($N37="",VLOOKUP($B37&amp;$E37,'VISIT DATA'!$A$2:$J100,7,FALSE), $N37="SWAB","OUTSA-RW",$N37="SWQU","OUTSA-SaQu", AND($L37="X",$M37="X",$N37="QUEST"),"OUT-UAQPre",$N37="QUEST","OUT-UAQ", $N37="Walk in","ColUATele")</f>
        <v>OUTUA-FURW</v>
      </c>
      <c r="W37" s="24" t="str">
        <f t="shared" si="8"/>
        <v>OUTUA-FURW : OUT UA FU Redwood</v>
      </c>
      <c r="X37" s="222" t="str">
        <f t="shared" si="9"/>
        <v>OUTUA-FURW : OUT UA FU Redwood</v>
      </c>
      <c r="Y37" s="222" t="str">
        <f t="shared" si="10"/>
        <v>MATCH</v>
      </c>
      <c r="Z37" s="224" t="str">
        <f t="shared" si="11"/>
        <v> </v>
      </c>
      <c r="AA37" s="244"/>
    </row>
    <row r="38">
      <c r="A38" s="214" t="str">
        <f>IFS($B38=FALSE,"",$B38,VLOOKUP($B38,'PATIENT DATA (072721)'!A:C, 2, 0))</f>
        <v>GONZALEZ, VELIA</v>
      </c>
      <c r="B38" s="215">
        <v>13293.0</v>
      </c>
      <c r="C38" s="230" t="str">
        <f>IF(COUNTIF('PATIENT DATA (072721)'!A:A, B38)=0, "X","✓")</f>
        <v>✓</v>
      </c>
      <c r="D38" s="226">
        <f>IFS($B38=FALSE,"",$B38,VLOOKUP($B38,'PATIENT DATA (072721)'!A:C, 3, 0))</f>
        <v>30806</v>
      </c>
      <c r="E38" s="218">
        <v>44568.0</v>
      </c>
      <c r="F38" s="219" t="str">
        <f>ifs($B38="","",$B38, VLOOKUP($B38&amp;$E38, 'VISIT DATA'!A:O,3,0))</f>
        <v>#N/A</v>
      </c>
      <c r="G38" s="231" t="s">
        <v>6323</v>
      </c>
      <c r="H38" s="221" t="s">
        <v>15</v>
      </c>
      <c r="I38" s="222" t="str">
        <f>VLOOKUP($B38&amp;$E38,'VISIT DATA'!A:J, 9, FALSE)</f>
        <v>#N/A</v>
      </c>
      <c r="J38" s="223" t="str">
        <f>VLOOKUP(B38&amp;E38,'VISIT DATA'!A:N,10,FALSE)</f>
        <v>#N/A</v>
      </c>
      <c r="K38" s="225"/>
      <c r="L38" s="224" t="s">
        <v>6242</v>
      </c>
      <c r="M38" s="224"/>
      <c r="N38" s="225"/>
      <c r="O38" s="216" t="str">
        <f t="shared" si="1"/>
        <v>✓</v>
      </c>
      <c r="P38" s="226" t="str">
        <f t="shared" si="2"/>
        <v>#N/A</v>
      </c>
      <c r="Q38" s="227" t="str">
        <f t="shared" si="3"/>
        <v>#N/A</v>
      </c>
      <c r="R38" s="228" t="str">
        <f t="shared" si="4"/>
        <v>#N/A</v>
      </c>
      <c r="S38" s="220" t="str">
        <f t="shared" si="5"/>
        <v>#N/A</v>
      </c>
      <c r="T38" s="220" t="str">
        <f t="shared" si="6"/>
        <v>#N/A</v>
      </c>
      <c r="U38" s="221">
        <f t="shared" si="7"/>
        <v>0</v>
      </c>
      <c r="V38" s="229" t="str">
        <f>ifs($N38="",VLOOKUP($B38&amp;$E38,'VISIT DATA'!$A$2:$J100,7,FALSE), $N38="SWAB","OUTSA-RW",$N38="SWQU","OUTSA-SaQu", AND($L38="X",$M38="X",$N38="QUEST"),"OUT-UAQPre",$N38="QUEST","OUT-UAQ", $N38="Walk in","ColUATele")</f>
        <v>#N/A</v>
      </c>
      <c r="W38" s="24" t="str">
        <f t="shared" si="8"/>
        <v>#N/A</v>
      </c>
      <c r="X38" s="222" t="str">
        <f t="shared" si="9"/>
        <v>UA : Urine Analysis In House</v>
      </c>
      <c r="Y38" s="222" t="str">
        <f t="shared" si="10"/>
        <v>#N/A</v>
      </c>
      <c r="Z38" s="224" t="str">
        <f t="shared" si="11"/>
        <v> </v>
      </c>
      <c r="AA38" s="244"/>
    </row>
    <row r="39">
      <c r="A39" s="214" t="str">
        <f>IFS($B39=FALSE,"",$B39,VLOOKUP($B39,'PATIENT DATA (072721)'!A:C, 2, 0))</f>
        <v>DIAZ, GENOVEVA</v>
      </c>
      <c r="B39" s="215">
        <v>16571.0</v>
      </c>
      <c r="C39" s="230" t="str">
        <f>IF(COUNTIF('PATIENT DATA (072721)'!A:A, B39)=0, "X","✓")</f>
        <v>✓</v>
      </c>
      <c r="D39" s="226">
        <f>IFS($B39=FALSE,"",$B39,VLOOKUP($B39,'PATIENT DATA (072721)'!A:C, 3, 0))</f>
        <v>14391</v>
      </c>
      <c r="E39" s="218">
        <v>44568.0</v>
      </c>
      <c r="F39" s="219">
        <f>ifs($B39="","",$B39, VLOOKUP($B39&amp;$E39, 'VISIT DATA'!A:O,3,0))</f>
        <v>0.5729166667</v>
      </c>
      <c r="G39" s="231" t="s">
        <v>6323</v>
      </c>
      <c r="H39" s="221" t="s">
        <v>14</v>
      </c>
      <c r="I39" s="222" t="str">
        <f>VLOOKUP($B39&amp;$E39,'VISIT DATA'!A:J, 9, FALSE)</f>
        <v>TORRES</v>
      </c>
      <c r="J39" s="223" t="str">
        <f>VLOOKUP(B39&amp;E39,'VISIT DATA'!A:N,10,FALSE)</f>
        <v>WELLMED - UHC DUAL COMPLETE SNP</v>
      </c>
      <c r="K39" s="225"/>
      <c r="L39" s="224" t="s">
        <v>6242</v>
      </c>
      <c r="M39" s="224"/>
      <c r="N39" s="225"/>
      <c r="O39" s="216" t="str">
        <f t="shared" si="1"/>
        <v>✓</v>
      </c>
      <c r="P39" s="226" t="str">
        <f t="shared" si="2"/>
        <v>X</v>
      </c>
      <c r="Q39" s="227" t="str">
        <f t="shared" si="3"/>
        <v>#VALUE!</v>
      </c>
      <c r="R39" s="228" t="str">
        <f t="shared" si="4"/>
        <v>#VALUE!</v>
      </c>
      <c r="S39" s="220" t="str">
        <f t="shared" si="5"/>
        <v>#VALUE!</v>
      </c>
      <c r="T39" s="220" t="str">
        <f t="shared" si="6"/>
        <v>#VALUE!</v>
      </c>
      <c r="U39" s="221">
        <f t="shared" si="7"/>
        <v>1</v>
      </c>
      <c r="V39" s="229" t="str">
        <f>ifs($N39="",VLOOKUP($B39&amp;$E39,'VISIT DATA'!$A$2:$J100,7,FALSE), $N39="SWAB","OUTSA-RW",$N39="SWQU","OUTSA-SaQu", AND($L39="X",$M39="X",$N39="QUEST"),"OUT-UAQPre",$N39="QUEST","OUT-UAQ", $N39="Walk in","ColUATele")</f>
        <v>OUTUA-FURW</v>
      </c>
      <c r="W39" s="24" t="str">
        <f t="shared" si="8"/>
        <v>OUTUA-FURW : OUT UA FU Redwood</v>
      </c>
      <c r="X39" s="222" t="str">
        <f t="shared" si="9"/>
        <v>OUTUA-FURW : OUT UA FU Redwood</v>
      </c>
      <c r="Y39" s="222" t="str">
        <f t="shared" si="10"/>
        <v>MATCH</v>
      </c>
      <c r="Z39" s="224" t="str">
        <f t="shared" si="11"/>
        <v> </v>
      </c>
      <c r="AA39" s="244"/>
    </row>
    <row r="40">
      <c r="A40" s="214" t="str">
        <f>IFS($B40=FALSE,"",$B40,VLOOKUP($B40,'PATIENT DATA (072721)'!A:C, 2, 0))</f>
        <v>BARRERAS, MARIA L</v>
      </c>
      <c r="B40" s="215">
        <v>15779.0</v>
      </c>
      <c r="C40" s="230" t="str">
        <f>IF(COUNTIF('PATIENT DATA (072721)'!A:A, B40)=0, "X","✓")</f>
        <v>✓</v>
      </c>
      <c r="D40" s="226">
        <f>IFS($B40=FALSE,"",$B40,VLOOKUP($B40,'PATIENT DATA (072721)'!A:C, 3, 0))</f>
        <v>21259</v>
      </c>
      <c r="E40" s="218">
        <v>44568.0</v>
      </c>
      <c r="F40" s="219">
        <f>ifs($B40="","",$B40, VLOOKUP($B40&amp;$E40, 'VISIT DATA'!A:O,3,0))</f>
        <v>0.5625</v>
      </c>
      <c r="G40" s="231" t="s">
        <v>6323</v>
      </c>
      <c r="H40" s="221" t="s">
        <v>15</v>
      </c>
      <c r="I40" s="222" t="str">
        <f>VLOOKUP($B40&amp;$E40,'VISIT DATA'!A:J, 9, FALSE)</f>
        <v>MARTINEZ</v>
      </c>
      <c r="J40" s="223" t="str">
        <f>VLOOKUP(B40&amp;E40,'VISIT DATA'!A:N,10,FALSE)</f>
        <v>MOLINA MEDICAID TEXAS</v>
      </c>
      <c r="K40" s="224"/>
      <c r="L40" s="224" t="s">
        <v>6242</v>
      </c>
      <c r="M40" s="224"/>
      <c r="N40" s="225"/>
      <c r="O40" s="216" t="str">
        <f t="shared" si="1"/>
        <v>✓</v>
      </c>
      <c r="P40" s="226" t="str">
        <f t="shared" si="2"/>
        <v>#VALUE!</v>
      </c>
      <c r="Q40" s="227" t="str">
        <f t="shared" si="3"/>
        <v>X</v>
      </c>
      <c r="R40" s="228" t="str">
        <f t="shared" si="4"/>
        <v>#VALUE!</v>
      </c>
      <c r="S40" s="220" t="str">
        <f t="shared" si="5"/>
        <v>#VALUE!</v>
      </c>
      <c r="T40" s="220" t="str">
        <f t="shared" si="6"/>
        <v>#VALUE!</v>
      </c>
      <c r="U40" s="221">
        <f t="shared" si="7"/>
        <v>1</v>
      </c>
      <c r="V40" s="229" t="str">
        <f>ifs($N40="",VLOOKUP($B40&amp;$E40,'VISIT DATA'!$A$2:$J100,7,FALSE), $N40="SWAB","OUTSA-RW",$N40="SWQU","OUTSA-SaQu", AND($L40="X",$M40="X",$N40="QUEST"),"OUT-UAQPre",$N40="QUEST","OUT-UAQ", $N40="Walk in","ColUATele")</f>
        <v>OUTUA-FURW</v>
      </c>
      <c r="W40" s="24" t="str">
        <f t="shared" si="8"/>
        <v>OUTUA-FURW : OUT UA FU Redwood</v>
      </c>
      <c r="X40" s="222" t="str">
        <f t="shared" si="9"/>
        <v>OUTUA-FURW : OUT UA FU Redwood</v>
      </c>
      <c r="Y40" s="222" t="str">
        <f t="shared" si="10"/>
        <v>MATCH</v>
      </c>
      <c r="Z40" s="224" t="str">
        <f t="shared" si="11"/>
        <v> </v>
      </c>
      <c r="AA40" s="244"/>
    </row>
    <row r="41">
      <c r="A41" s="214" t="str">
        <f>IFS($B41=FALSE,"",$B41,VLOOKUP($B41,'PATIENT DATA (072721)'!A:C, 2, 0))</f>
        <v>MENDEZ, NOHEMI</v>
      </c>
      <c r="B41" s="215">
        <v>9300.0</v>
      </c>
      <c r="C41" s="216" t="str">
        <f>IF(COUNTIF('PATIENT DATA (072721)'!A:A, B41)=0, "X","✓")</f>
        <v>✓</v>
      </c>
      <c r="D41" s="226">
        <f>IFS($B41=FALSE,"",$B41,VLOOKUP($B41,'PATIENT DATA (072721)'!A:C, 3, 0))</f>
        <v>32377</v>
      </c>
      <c r="E41" s="218">
        <v>44568.0</v>
      </c>
      <c r="F41" s="219" t="str">
        <f>ifs($B41="","",$B41, VLOOKUP($B41&amp;$E41, 'VISIT DATA'!A:O,3,0))</f>
        <v>#N/A</v>
      </c>
      <c r="G41" s="220" t="s">
        <v>6323</v>
      </c>
      <c r="H41" s="221" t="s">
        <v>14</v>
      </c>
      <c r="I41" s="222" t="str">
        <f>VLOOKUP($B41&amp;$E41,'VISIT DATA'!A:J, 9, FALSE)</f>
        <v>#N/A</v>
      </c>
      <c r="J41" s="223" t="str">
        <f>VLOOKUP(B41&amp;E41,'VISIT DATA'!A:N,10,FALSE)</f>
        <v>#N/A</v>
      </c>
      <c r="K41" s="225"/>
      <c r="L41" s="224"/>
      <c r="M41" s="224"/>
      <c r="N41" s="225"/>
      <c r="O41" s="216" t="str">
        <f t="shared" si="1"/>
        <v>X</v>
      </c>
      <c r="P41" s="226" t="str">
        <f t="shared" si="2"/>
        <v>#N/A</v>
      </c>
      <c r="Q41" s="227" t="str">
        <f t="shared" si="3"/>
        <v>#N/A</v>
      </c>
      <c r="R41" s="228" t="str">
        <f t="shared" si="4"/>
        <v>#N/A</v>
      </c>
      <c r="S41" s="220" t="str">
        <f t="shared" si="5"/>
        <v>#N/A</v>
      </c>
      <c r="T41" s="220" t="str">
        <f t="shared" si="6"/>
        <v>#N/A</v>
      </c>
      <c r="U41" s="221">
        <f t="shared" si="7"/>
        <v>0</v>
      </c>
      <c r="V41" s="229" t="str">
        <f>ifs($N41="",VLOOKUP($B41&amp;$E41,'VISIT DATA'!$A$2:$J100,7,FALSE), $N41="SWAB","OUTSA-RW",$N41="SWQU","OUTSA-SaQu", AND($L41="X",$M41="X",$N41="QUEST"),"OUT-UAQPre",$N41="QUEST","OUT-UAQ", $N41="Walk in","ColUATele")</f>
        <v>#N/A</v>
      </c>
      <c r="W41" s="24" t="str">
        <f t="shared" si="8"/>
        <v>#N/A</v>
      </c>
      <c r="X41" s="222" t="str">
        <f t="shared" si="9"/>
        <v>#N/A</v>
      </c>
      <c r="Y41" s="222" t="str">
        <f t="shared" si="10"/>
        <v>#N/A</v>
      </c>
      <c r="Z41" s="224" t="str">
        <f t="shared" si="11"/>
        <v> </v>
      </c>
      <c r="AA41" s="244"/>
    </row>
    <row r="42">
      <c r="A42" s="214" t="str">
        <f>IFS($B42=FALSE,"",$B42,VLOOKUP($B42,'PATIENT DATA (072721)'!A:C, 2, 0))</f>
        <v>UGARTE, FERNANDO</v>
      </c>
      <c r="B42" s="215">
        <v>17432.0</v>
      </c>
      <c r="C42" s="216" t="str">
        <f>IF(COUNTIF('PATIENT DATA (072721)'!A:A, B42)=0, "X","✓")</f>
        <v>✓</v>
      </c>
      <c r="D42" s="226">
        <f>IFS($B42=FALSE,"",$B42,VLOOKUP($B42,'PATIENT DATA (072721)'!A:C, 3, 0))</f>
        <v>28960</v>
      </c>
      <c r="E42" s="218">
        <v>44568.0</v>
      </c>
      <c r="F42" s="219">
        <f>ifs($B42="","",$B42, VLOOKUP($B42&amp;$E42, 'VISIT DATA'!A:O,3,0))</f>
        <v>0.59375</v>
      </c>
      <c r="G42" s="220" t="s">
        <v>6328</v>
      </c>
      <c r="H42" s="221" t="s">
        <v>13</v>
      </c>
      <c r="I42" s="222" t="str">
        <f>VLOOKUP($B42&amp;$E42,'VISIT DATA'!A:J, 9, FALSE)</f>
        <v>LOPEZ</v>
      </c>
      <c r="J42" s="223" t="str">
        <f>VLOOKUP(B42&amp;E42,'VISIT DATA'!A:N,10,FALSE)</f>
        <v>PRESBYTERIAN HEALTH PLAN</v>
      </c>
      <c r="K42" s="225"/>
      <c r="L42" s="224" t="s">
        <v>6242</v>
      </c>
      <c r="M42" s="224" t="s">
        <v>6242</v>
      </c>
      <c r="N42" s="225"/>
      <c r="O42" s="216" t="str">
        <f t="shared" si="1"/>
        <v>✓</v>
      </c>
      <c r="P42" s="226" t="str">
        <f t="shared" si="2"/>
        <v>#VALUE!</v>
      </c>
      <c r="Q42" s="227" t="str">
        <f t="shared" si="3"/>
        <v>#VALUE!</v>
      </c>
      <c r="R42" s="228" t="str">
        <f t="shared" si="4"/>
        <v>#VALUE!</v>
      </c>
      <c r="S42" s="220" t="str">
        <f t="shared" si="5"/>
        <v>#VALUE!</v>
      </c>
      <c r="T42" s="220" t="str">
        <f t="shared" si="6"/>
        <v>#VALUE!</v>
      </c>
      <c r="U42" s="221">
        <f t="shared" si="7"/>
        <v>0</v>
      </c>
      <c r="V42" s="229" t="str">
        <f>ifs($N42="",VLOOKUP($B42&amp;$E42,'VISIT DATA'!$A$2:$J100,7,FALSE), $N42="SWAB","OUTSA-RW",$N42="SWQU","OUTSA-SaQu", AND($L42="X",$M42="X",$N42="QUEST"),"OUT-UAQPre",$N42="QUEST","OUT-UAQ", $N42="Walk in","ColUATele")</f>
        <v>UA-Prelim</v>
      </c>
      <c r="W42" s="24" t="str">
        <f t="shared" si="8"/>
        <v>UA-Prelim : Preliminary UA Test</v>
      </c>
      <c r="X42" s="222" t="str">
        <f t="shared" si="9"/>
        <v>UA-Prelim : Preliminary UA Test</v>
      </c>
      <c r="Y42" s="222" t="str">
        <f t="shared" si="10"/>
        <v>MATCH</v>
      </c>
      <c r="Z42" s="224" t="str">
        <f t="shared" si="11"/>
        <v> </v>
      </c>
      <c r="AA42" s="244"/>
    </row>
    <row r="43">
      <c r="A43" s="214" t="str">
        <f>IFS($B43=FALSE,"",$B43,VLOOKUP($B43,'PATIENT DATA (072721)'!A:C, 2, 0))</f>
        <v>MUNOZ, LORENZA</v>
      </c>
      <c r="B43" s="215">
        <v>9863.0</v>
      </c>
      <c r="C43" s="216" t="str">
        <f>IF(COUNTIF('PATIENT DATA (072721)'!A:A, B43)=0, "X","✓")</f>
        <v>✓</v>
      </c>
      <c r="D43" s="226">
        <f>IFS($B43=FALSE,"",$B43,VLOOKUP($B43,'PATIENT DATA (072721)'!A:C, 3, 0))</f>
        <v>17578</v>
      </c>
      <c r="E43" s="218">
        <v>44568.0</v>
      </c>
      <c r="F43" s="219">
        <f>ifs($B43="","",$B43, VLOOKUP($B43&amp;$E43, 'VISIT DATA'!A:O,3,0))</f>
        <v>0.5833333333</v>
      </c>
      <c r="G43" s="220" t="s">
        <v>6323</v>
      </c>
      <c r="H43" s="221" t="s">
        <v>15</v>
      </c>
      <c r="I43" s="222" t="str">
        <f>VLOOKUP($B43&amp;$E43,'VISIT DATA'!A:J, 9, FALSE)</f>
        <v>MARTINEZ</v>
      </c>
      <c r="J43" s="223" t="str">
        <f>VLOOKUP(B43&amp;E43,'VISIT DATA'!A:N,10,FALSE)</f>
        <v>MOLINA DUAL COMPLETE TEXAS</v>
      </c>
      <c r="K43" s="225"/>
      <c r="L43" s="224" t="s">
        <v>6242</v>
      </c>
      <c r="M43" s="224"/>
      <c r="N43" s="225"/>
      <c r="O43" s="216" t="str">
        <f t="shared" si="1"/>
        <v>✓</v>
      </c>
      <c r="P43" s="226" t="str">
        <f t="shared" si="2"/>
        <v>#VALUE!</v>
      </c>
      <c r="Q43" s="227" t="str">
        <f t="shared" si="3"/>
        <v>X</v>
      </c>
      <c r="R43" s="228" t="str">
        <f t="shared" si="4"/>
        <v>#VALUE!</v>
      </c>
      <c r="S43" s="220" t="str">
        <f t="shared" si="5"/>
        <v>#VALUE!</v>
      </c>
      <c r="T43" s="220" t="str">
        <f t="shared" si="6"/>
        <v>#VALUE!</v>
      </c>
      <c r="U43" s="221">
        <f t="shared" si="7"/>
        <v>1</v>
      </c>
      <c r="V43" s="229" t="str">
        <f>ifs($N43="",VLOOKUP($B43&amp;$E43,'VISIT DATA'!$A$2:$J100,7,FALSE), $N43="SWAB","OUTSA-RW",$N43="SWQU","OUTSA-SaQu", AND($L43="X",$M43="X",$N43="QUEST"),"OUT-UAQPre",$N43="QUEST","OUT-UAQ", $N43="Walk in","ColUATele")</f>
        <v>OUTUA-FURW</v>
      </c>
      <c r="W43" s="24" t="str">
        <f t="shared" si="8"/>
        <v>OUTUA-FURW : OUT UA FU Redwood</v>
      </c>
      <c r="X43" s="222" t="str">
        <f t="shared" si="9"/>
        <v>OUTUA-FURW : OUT UA FU Redwood</v>
      </c>
      <c r="Y43" s="222" t="str">
        <f t="shared" si="10"/>
        <v>MATCH</v>
      </c>
      <c r="Z43" s="224" t="str">
        <f t="shared" si="11"/>
        <v> </v>
      </c>
      <c r="AA43" s="244"/>
    </row>
    <row r="44">
      <c r="A44" s="214" t="str">
        <f>IFS($B44=FALSE,"",$B44,VLOOKUP($B44,'PATIENT DATA (072721)'!A:C, 2, 0))</f>
        <v>OROZCO, JOSE A</v>
      </c>
      <c r="B44" s="215">
        <v>17470.0</v>
      </c>
      <c r="C44" s="216" t="str">
        <f>IF(COUNTIF('PATIENT DATA (072721)'!A:A, B44)=0, "X","✓")</f>
        <v>✓</v>
      </c>
      <c r="D44" s="226">
        <f>IFS($B44=FALSE,"",$B44,VLOOKUP($B44,'PATIENT DATA (072721)'!A:C, 3, 0))</f>
        <v>34674</v>
      </c>
      <c r="E44" s="218">
        <v>44568.0</v>
      </c>
      <c r="F44" s="219">
        <f>ifs($B44="","",$B44, VLOOKUP($B44&amp;$E44, 'VISIT DATA'!A:O,3,0))</f>
        <v>0.625</v>
      </c>
      <c r="G44" s="220" t="s">
        <v>6328</v>
      </c>
      <c r="H44" s="221" t="s">
        <v>14</v>
      </c>
      <c r="I44" s="222" t="str">
        <f>VLOOKUP($B44&amp;$E44,'VISIT DATA'!A:J, 9, FALSE)</f>
        <v>TORRES</v>
      </c>
      <c r="J44" s="223" t="str">
        <f>VLOOKUP(B44&amp;E44,'VISIT DATA'!A:N,10,FALSE)</f>
        <v>EL PASO HEALTH PLAN</v>
      </c>
      <c r="K44" s="224"/>
      <c r="L44" s="224" t="s">
        <v>6341</v>
      </c>
      <c r="M44" s="224" t="s">
        <v>6341</v>
      </c>
      <c r="N44" s="225"/>
      <c r="O44" s="216" t="str">
        <f t="shared" si="1"/>
        <v>✓</v>
      </c>
      <c r="P44" s="226" t="str">
        <f t="shared" si="2"/>
        <v>#VALUE!</v>
      </c>
      <c r="Q44" s="227" t="str">
        <f t="shared" si="3"/>
        <v>#VALUE!</v>
      </c>
      <c r="R44" s="228" t="str">
        <f t="shared" si="4"/>
        <v>#VALUE!</v>
      </c>
      <c r="S44" s="220" t="str">
        <f t="shared" si="5"/>
        <v>#VALUE!</v>
      </c>
      <c r="T44" s="220" t="str">
        <f t="shared" si="6"/>
        <v>#VALUE!</v>
      </c>
      <c r="U44" s="221">
        <f t="shared" si="7"/>
        <v>0</v>
      </c>
      <c r="V44" s="229" t="str">
        <f>ifs($N44="",VLOOKUP($B44&amp;$E44,'VISIT DATA'!$A$2:$J100,7,FALSE), $N44="SWAB","OUTSA-RW",$N44="SWQU","OUTSA-SaQu", AND($L44="X",$M44="X",$N44="QUEST"),"OUT-UAQPre",$N44="QUEST","OUT-UAQ", $N44="Walk in","ColUATele")</f>
        <v>UA-Prelim</v>
      </c>
      <c r="W44" s="24" t="str">
        <f t="shared" si="8"/>
        <v>UA-Prelim : Preliminary UA Test</v>
      </c>
      <c r="X44" s="222" t="str">
        <f t="shared" si="9"/>
        <v>UA-Prelim : Preliminary UA Test</v>
      </c>
      <c r="Y44" s="222" t="str">
        <f t="shared" si="10"/>
        <v>MATCH</v>
      </c>
      <c r="Z44" s="224" t="str">
        <f t="shared" si="11"/>
        <v> </v>
      </c>
      <c r="AA44" s="244"/>
    </row>
    <row r="45">
      <c r="A45" s="214" t="str">
        <f>IFS($B45=FALSE,"",$B45,VLOOKUP($B45,'PATIENT DATA (072721)'!A:C, 2, 0))</f>
        <v>MEDRANO, MANUEL J</v>
      </c>
      <c r="B45" s="215">
        <v>15857.0</v>
      </c>
      <c r="C45" s="216" t="str">
        <f>IF(COUNTIF('PATIENT DATA (072721)'!A:A, B45)=0, "X","✓")</f>
        <v>✓</v>
      </c>
      <c r="D45" s="226">
        <f>IFS($B45=FALSE,"",$B45,VLOOKUP($B45,'PATIENT DATA (072721)'!A:C, 3, 0))</f>
        <v>20924</v>
      </c>
      <c r="E45" s="218">
        <v>44568.0</v>
      </c>
      <c r="F45" s="219">
        <f>ifs($B45="","",$B45, VLOOKUP($B45&amp;$E45, 'VISIT DATA'!A:O,3,0))</f>
        <v>0.6145833333</v>
      </c>
      <c r="G45" s="220" t="s">
        <v>6328</v>
      </c>
      <c r="H45" s="221" t="s">
        <v>15</v>
      </c>
      <c r="I45" s="222" t="str">
        <f>VLOOKUP($B45&amp;$E45,'VISIT DATA'!A:J, 9, FALSE)</f>
        <v>MARTINEZ</v>
      </c>
      <c r="J45" s="223" t="str">
        <f>VLOOKUP(B45&amp;E45,'VISIT DATA'!A:N,10,FALSE)</f>
        <v>MOLINA MEDICAID TEXAS</v>
      </c>
      <c r="K45" s="225"/>
      <c r="L45" s="224" t="s">
        <v>6242</v>
      </c>
      <c r="M45" s="224"/>
      <c r="N45" s="225"/>
      <c r="O45" s="216" t="str">
        <f t="shared" si="1"/>
        <v>✓</v>
      </c>
      <c r="P45" s="226" t="str">
        <f t="shared" si="2"/>
        <v>#VALUE!</v>
      </c>
      <c r="Q45" s="227" t="str">
        <f t="shared" si="3"/>
        <v>X</v>
      </c>
      <c r="R45" s="228" t="str">
        <f t="shared" si="4"/>
        <v>#VALUE!</v>
      </c>
      <c r="S45" s="220" t="str">
        <f t="shared" si="5"/>
        <v>#VALUE!</v>
      </c>
      <c r="T45" s="220" t="str">
        <f t="shared" si="6"/>
        <v>#VALUE!</v>
      </c>
      <c r="U45" s="221">
        <f t="shared" si="7"/>
        <v>1</v>
      </c>
      <c r="V45" s="229" t="str">
        <f>ifs($N45="",VLOOKUP($B45&amp;$E45,'VISIT DATA'!$A$2:$J100,7,FALSE), $N45="SWAB","OUTSA-RW",$N45="SWQU","OUTSA-SaQu", AND($L45="X",$M45="X",$N45="QUEST"),"OUT-UAQPre",$N45="QUEST","OUT-UAQ", $N45="Walk in","ColUATele")</f>
        <v>OUTUA-FURW</v>
      </c>
      <c r="W45" s="24" t="str">
        <f t="shared" si="8"/>
        <v>OUTUA-FURW : OUT UA FU Redwood</v>
      </c>
      <c r="X45" s="222" t="str">
        <f t="shared" si="9"/>
        <v>OUTUA-FURW : OUT UA FU Redwood</v>
      </c>
      <c r="Y45" s="222" t="str">
        <f t="shared" si="10"/>
        <v>MATCH</v>
      </c>
      <c r="Z45" s="224" t="str">
        <f t="shared" si="11"/>
        <v> </v>
      </c>
      <c r="AA45" s="244"/>
    </row>
    <row r="46">
      <c r="A46" s="214" t="str">
        <f>IFS($B46=FALSE,"",$B46,VLOOKUP($B46,'PATIENT DATA (072721)'!A:C, 2, 0))</f>
        <v>BARRON, DAVID J</v>
      </c>
      <c r="B46" s="215">
        <v>12597.0</v>
      </c>
      <c r="C46" s="216" t="str">
        <f>IF(COUNTIF('PATIENT DATA (072721)'!A:A, B46)=0, "X","✓")</f>
        <v>✓</v>
      </c>
      <c r="D46" s="226">
        <f>IFS($B46=FALSE,"",$B46,VLOOKUP($B46,'PATIENT DATA (072721)'!A:C, 3, 0))</f>
        <v>30610</v>
      </c>
      <c r="E46" s="218">
        <v>44568.0</v>
      </c>
      <c r="F46" s="219">
        <f>ifs($B46="","",$B46, VLOOKUP($B46&amp;$E46, 'VISIT DATA'!A:O,3,0))</f>
        <v>0.6354166667</v>
      </c>
      <c r="G46" s="220" t="s">
        <v>6328</v>
      </c>
      <c r="H46" s="221" t="s">
        <v>14</v>
      </c>
      <c r="I46" s="222" t="str">
        <f>VLOOKUP($B46&amp;$E46,'VISIT DATA'!A:J, 9, FALSE)</f>
        <v>TORRES</v>
      </c>
      <c r="J46" s="223" t="str">
        <f>VLOOKUP(B46&amp;E46,'VISIT DATA'!A:N,10,FALSE)</f>
        <v>BCBS FEDERAL</v>
      </c>
      <c r="K46" s="224"/>
      <c r="L46" s="224" t="s">
        <v>6242</v>
      </c>
      <c r="M46" s="224"/>
      <c r="N46" s="225"/>
      <c r="O46" s="216" t="str">
        <f t="shared" si="1"/>
        <v>✓</v>
      </c>
      <c r="P46" s="226" t="str">
        <f t="shared" si="2"/>
        <v>#VALUE!</v>
      </c>
      <c r="Q46" s="227" t="str">
        <f t="shared" si="3"/>
        <v>#VALUE!</v>
      </c>
      <c r="R46" s="228" t="str">
        <f t="shared" si="4"/>
        <v>#VALUE!</v>
      </c>
      <c r="S46" s="220" t="str">
        <f t="shared" si="5"/>
        <v>#VALUE!</v>
      </c>
      <c r="T46" s="220" t="str">
        <f t="shared" si="6"/>
        <v>#VALUE!</v>
      </c>
      <c r="U46" s="221">
        <f t="shared" si="7"/>
        <v>0</v>
      </c>
      <c r="V46" s="229" t="str">
        <f>ifs($N46="",VLOOKUP($B46&amp;$E46,'VISIT DATA'!$A$2:$J100,7,FALSE), $N46="SWAB","OUTSA-RW",$N46="SWQU","OUTSA-SaQu", AND($L46="X",$M46="X",$N46="QUEST"),"OUT-UAQPre",$N46="QUEST","OUT-UAQ", $N46="Walk in","ColUATele")</f>
        <v>UA</v>
      </c>
      <c r="W46" s="24" t="str">
        <f t="shared" si="8"/>
        <v>UA : Urine Analysis In House</v>
      </c>
      <c r="X46" s="222" t="str">
        <f t="shared" si="9"/>
        <v>UA : Urine Analysis In House</v>
      </c>
      <c r="Y46" s="222" t="str">
        <f t="shared" si="10"/>
        <v>MATCH</v>
      </c>
      <c r="Z46" s="224" t="str">
        <f t="shared" si="11"/>
        <v> </v>
      </c>
      <c r="AA46" s="244"/>
    </row>
    <row r="47">
      <c r="A47" s="214" t="str">
        <f>IFS($B47=FALSE,"",$B47,VLOOKUP($B47,'PATIENT DATA (072721)'!A:C, 2, 0))</f>
        <v>ANAYA, MAXIMO</v>
      </c>
      <c r="B47" s="215">
        <v>15209.0</v>
      </c>
      <c r="C47" s="230" t="str">
        <f>IF(COUNTIF('PATIENT DATA (072721)'!A:A, B47)=0, "X","✓")</f>
        <v>✓</v>
      </c>
      <c r="D47" s="226">
        <f>IFS($B47=FALSE,"",$B47,VLOOKUP($B47,'PATIENT DATA (072721)'!A:C, 3, 0))</f>
        <v>14594</v>
      </c>
      <c r="E47" s="218">
        <v>44568.0</v>
      </c>
      <c r="F47" s="219">
        <f>ifs($B47="","",$B47, VLOOKUP($B47&amp;$E47, 'VISIT DATA'!A:O,3,0))</f>
        <v>0.6458333333</v>
      </c>
      <c r="G47" s="220" t="s">
        <v>6328</v>
      </c>
      <c r="H47" s="221" t="s">
        <v>14</v>
      </c>
      <c r="I47" s="222" t="str">
        <f>VLOOKUP($B47&amp;$E47,'VISIT DATA'!A:J, 9, FALSE)</f>
        <v>TORRES</v>
      </c>
      <c r="J47" s="223" t="str">
        <f>VLOOKUP(B47&amp;E47,'VISIT DATA'!A:N,10,FALSE)</f>
        <v>WELLMED - UHC DUAL COMPLETE SNP</v>
      </c>
      <c r="K47" s="225"/>
      <c r="L47" s="224" t="s">
        <v>6242</v>
      </c>
      <c r="M47" s="224" t="s">
        <v>6242</v>
      </c>
      <c r="N47" s="225"/>
      <c r="O47" s="216" t="str">
        <f t="shared" si="1"/>
        <v>✓</v>
      </c>
      <c r="P47" s="226" t="str">
        <f t="shared" si="2"/>
        <v>X</v>
      </c>
      <c r="Q47" s="227" t="str">
        <f t="shared" si="3"/>
        <v>#VALUE!</v>
      </c>
      <c r="R47" s="228" t="str">
        <f t="shared" si="4"/>
        <v>#VALUE!</v>
      </c>
      <c r="S47" s="220" t="str">
        <f t="shared" si="5"/>
        <v>#VALUE!</v>
      </c>
      <c r="T47" s="220" t="str">
        <f t="shared" si="6"/>
        <v>#VALUE!</v>
      </c>
      <c r="U47" s="221">
        <f t="shared" si="7"/>
        <v>1</v>
      </c>
      <c r="V47" s="229" t="str">
        <f>ifs($N47="",VLOOKUP($B47&amp;$E47,'VISIT DATA'!$A$2:$J100,7,FALSE), $N47="SWAB","OUTSA-RW",$N47="SWQU","OUTSA-SaQu", AND($L47="X",$M47="X",$N47="QUEST"),"OUT-UAQPre",$N47="QUEST","OUT-UAQ", $N47="Walk in","ColUATele")</f>
        <v>OUTUA-PrRW</v>
      </c>
      <c r="W47" s="24" t="str">
        <f t="shared" si="8"/>
        <v>OUTUA-PrRW : OUT UA Prelimin Redwood</v>
      </c>
      <c r="X47" s="222" t="str">
        <f t="shared" si="9"/>
        <v>OUTUA-PrRW : OUT UA Prelimin Redwood</v>
      </c>
      <c r="Y47" s="222" t="str">
        <f t="shared" si="10"/>
        <v>MATCH</v>
      </c>
      <c r="Z47" s="224" t="str">
        <f t="shared" si="11"/>
        <v> </v>
      </c>
      <c r="AA47" s="244"/>
    </row>
    <row r="48">
      <c r="A48" s="214" t="str">
        <f>IFS($B48=FALSE,"",$B48,VLOOKUP($B48,'PATIENT DATA (072721)'!A:C, 2, 0))</f>
        <v>WRIGHT, WARREN</v>
      </c>
      <c r="B48" s="215">
        <v>12617.0</v>
      </c>
      <c r="C48" s="230" t="str">
        <f>IF(COUNTIF('PATIENT DATA (072721)'!A:A, B48)=0, "X","✓")</f>
        <v>✓</v>
      </c>
      <c r="D48" s="226">
        <f>IFS($B48=FALSE,"",$B48,VLOOKUP($B48,'PATIENT DATA (072721)'!A:C, 3, 0))</f>
        <v>25468</v>
      </c>
      <c r="E48" s="218">
        <v>44568.0</v>
      </c>
      <c r="F48" s="219">
        <f>ifs($B48="","",$B48, VLOOKUP($B48&amp;$E48, 'VISIT DATA'!A:O,3,0))</f>
        <v>0.6458333333</v>
      </c>
      <c r="G48" s="220" t="s">
        <v>6328</v>
      </c>
      <c r="H48" s="221" t="s">
        <v>14</v>
      </c>
      <c r="I48" s="222" t="str">
        <f>VLOOKUP($B48&amp;$E48,'VISIT DATA'!A:J, 9, FALSE)</f>
        <v>TORRES</v>
      </c>
      <c r="J48" s="223" t="str">
        <f>VLOOKUP(B48&amp;E48,'VISIT DATA'!A:N,10,FALSE)</f>
        <v>WPS VA - COMMUNITY CARE</v>
      </c>
      <c r="K48" s="225"/>
      <c r="L48" s="224" t="s">
        <v>6242</v>
      </c>
      <c r="M48" s="224"/>
      <c r="N48" s="224"/>
      <c r="O48" s="216" t="str">
        <f t="shared" si="1"/>
        <v>✓</v>
      </c>
      <c r="P48" s="226" t="str">
        <f t="shared" si="2"/>
        <v>#VALUE!</v>
      </c>
      <c r="Q48" s="227" t="str">
        <f t="shared" si="3"/>
        <v>#VALUE!</v>
      </c>
      <c r="R48" s="228" t="str">
        <f t="shared" si="4"/>
        <v>#VALUE!</v>
      </c>
      <c r="S48" s="220" t="str">
        <f t="shared" si="5"/>
        <v>#VALUE!</v>
      </c>
      <c r="T48" s="220" t="str">
        <f t="shared" si="6"/>
        <v>#VALUE!</v>
      </c>
      <c r="U48" s="221">
        <f t="shared" si="7"/>
        <v>0</v>
      </c>
      <c r="V48" s="229" t="str">
        <f>ifs($N48="",VLOOKUP($B48&amp;$E48,'VISIT DATA'!$A$2:$J100,7,FALSE), $N48="SWAB","OUTSA-RW",$N48="SWQU","OUTSA-SaQu", AND($L48="X",$M48="X",$N48="QUEST"),"OUT-UAQPre",$N48="QUEST","OUT-UAQ", $N48="Walk in","ColUATele")</f>
        <v>UA</v>
      </c>
      <c r="W48" s="24" t="str">
        <f t="shared" si="8"/>
        <v>UA : Urine Analysis In House</v>
      </c>
      <c r="X48" s="222" t="str">
        <f t="shared" si="9"/>
        <v>UA : Urine Analysis In House</v>
      </c>
      <c r="Y48" s="222" t="str">
        <f t="shared" si="10"/>
        <v>MATCH</v>
      </c>
      <c r="Z48" s="224" t="str">
        <f t="shared" si="11"/>
        <v> </v>
      </c>
      <c r="AA48" s="244"/>
    </row>
    <row r="49">
      <c r="A49" s="214" t="str">
        <f>IFS($B49=FALSE,"",$B49,VLOOKUP($B49,'PATIENT DATA (072721)'!A:C, 2, 0))</f>
        <v>LUNA SANCHEZ, JOSEFINA</v>
      </c>
      <c r="B49" s="215">
        <v>16773.0</v>
      </c>
      <c r="C49" s="247" t="str">
        <f>IF(COUNTIF('PATIENT DATA (072721)'!A:A, B49)=0, "X","✓")</f>
        <v>✓</v>
      </c>
      <c r="D49" s="226">
        <f>IFS($B49=FALSE,"",$B49,VLOOKUP($B49,'PATIENT DATA (072721)'!A:C, 3, 0))</f>
        <v>13956</v>
      </c>
      <c r="E49" s="218">
        <v>44568.0</v>
      </c>
      <c r="F49" s="219" t="str">
        <f>ifs($B49="","",$B49, VLOOKUP($B49&amp;$E49, 'VISIT DATA'!A:O,3,0))</f>
        <v>#N/A</v>
      </c>
      <c r="G49" s="254" t="s">
        <v>6323</v>
      </c>
      <c r="H49" s="255" t="s">
        <v>15</v>
      </c>
      <c r="I49" s="256" t="str">
        <f>VLOOKUP($B49&amp;$E49,'VISIT DATA'!A:J, 9, FALSE)</f>
        <v>#N/A</v>
      </c>
      <c r="J49" s="257" t="str">
        <f>VLOOKUP(B49&amp;E49,'VISIT DATA'!A:N,10,FALSE)</f>
        <v>#N/A</v>
      </c>
      <c r="K49" s="225"/>
      <c r="L49" s="224" t="s">
        <v>6242</v>
      </c>
      <c r="M49" s="224"/>
      <c r="N49" s="225"/>
      <c r="O49" s="247" t="str">
        <f t="shared" si="1"/>
        <v>✓</v>
      </c>
      <c r="P49" s="226" t="str">
        <f t="shared" si="2"/>
        <v>#N/A</v>
      </c>
      <c r="Q49" s="227" t="str">
        <f t="shared" si="3"/>
        <v>#N/A</v>
      </c>
      <c r="R49" s="228" t="str">
        <f t="shared" si="4"/>
        <v>#N/A</v>
      </c>
      <c r="S49" s="220" t="str">
        <f t="shared" si="5"/>
        <v>#N/A</v>
      </c>
      <c r="T49" s="220" t="str">
        <f t="shared" si="6"/>
        <v>#N/A</v>
      </c>
      <c r="U49" s="221">
        <f t="shared" si="7"/>
        <v>0</v>
      </c>
      <c r="V49" s="229" t="str">
        <f>ifs($N49="",VLOOKUP($B49&amp;$E49,'VISIT DATA'!$A$2:$J100,7,FALSE), $N49="SWAB","OUTSA-RW",$N49="SWQU","OUTSA-SaQu", AND($L49="X",$M49="X",$N49="QUEST"),"OUT-UAQPre",$N49="QUEST","OUT-UAQ", $N49="Walk in","ColUATele")</f>
        <v>#N/A</v>
      </c>
      <c r="W49" s="24" t="str">
        <f t="shared" si="8"/>
        <v>#N/A</v>
      </c>
      <c r="X49" s="222" t="str">
        <f t="shared" si="9"/>
        <v>UA : Urine Analysis In House</v>
      </c>
      <c r="Y49" s="222" t="str">
        <f t="shared" si="10"/>
        <v>#N/A</v>
      </c>
      <c r="Z49" s="224" t="str">
        <f t="shared" si="11"/>
        <v> </v>
      </c>
      <c r="AA49" s="244"/>
    </row>
    <row r="50">
      <c r="A50" s="248" t="str">
        <f>IFS($B50=FALSE,"",$B50,VLOOKUP($B50,'PATIENT DATA (072721)'!A:C, 2, 0))</f>
        <v>CARBAJAL DE ARROYO, ROSALINDA</v>
      </c>
      <c r="B50" s="249">
        <v>15227.0</v>
      </c>
      <c r="C50" s="250" t="str">
        <f>IF(COUNTIF('PATIENT DATA (072721)'!A:A, B50)=0, "X","✓")</f>
        <v>✓</v>
      </c>
      <c r="D50" s="251">
        <f>IFS($B50=FALSE,"",$B50,VLOOKUP($B50,'PATIENT DATA (072721)'!A:C, 3, 0))</f>
        <v>27243</v>
      </c>
      <c r="E50" s="252">
        <v>44568.0</v>
      </c>
      <c r="F50" s="219" t="str">
        <f>ifs($B50="","",$B50, VLOOKUP($B50&amp;$E50, 'VISIT DATA'!A:O,3,0))</f>
        <v>#N/A</v>
      </c>
      <c r="G50" s="254" t="s">
        <v>6323</v>
      </c>
      <c r="H50" s="255" t="s">
        <v>15</v>
      </c>
      <c r="I50" s="256" t="str">
        <f>VLOOKUP($B50&amp;$E50,'VISIT DATA'!A:J, 9, FALSE)</f>
        <v>#N/A</v>
      </c>
      <c r="J50" s="257" t="str">
        <f>VLOOKUP(B50&amp;E50,'VISIT DATA'!A:N,10,FALSE)</f>
        <v>#N/A</v>
      </c>
      <c r="K50" s="258"/>
      <c r="L50" s="259" t="s">
        <v>6242</v>
      </c>
      <c r="M50" s="259"/>
      <c r="N50" s="258"/>
      <c r="O50" s="260" t="str">
        <f t="shared" si="1"/>
        <v>✓</v>
      </c>
      <c r="P50" s="226" t="str">
        <f t="shared" si="2"/>
        <v>#N/A</v>
      </c>
      <c r="Q50" s="227" t="str">
        <f t="shared" si="3"/>
        <v>#N/A</v>
      </c>
      <c r="R50" s="228" t="str">
        <f t="shared" si="4"/>
        <v>#N/A</v>
      </c>
      <c r="S50" s="220" t="str">
        <f t="shared" si="5"/>
        <v>#N/A</v>
      </c>
      <c r="T50" s="220" t="str">
        <f t="shared" si="6"/>
        <v>#N/A</v>
      </c>
      <c r="U50" s="221">
        <f t="shared" si="7"/>
        <v>0</v>
      </c>
      <c r="V50" s="261" t="str">
        <f>ifs($N50="",VLOOKUP($B50&amp;$E50,'VISIT DATA'!$A$2:$J100,7,FALSE), $N50="SWAB","OUTSA-RW",$N50="SWQU","OUTSA-SaQu", AND($L50="X",$M50="X",$N50="QUEST"),"OUT-UAQPre",$N50="QUEST","OUT-UAQ", $N50="Walk in","ColUATele")</f>
        <v>#N/A</v>
      </c>
      <c r="W50" s="24" t="str">
        <f t="shared" si="8"/>
        <v>#N/A</v>
      </c>
      <c r="X50" s="222" t="str">
        <f t="shared" si="9"/>
        <v>UA : Urine Analysis In House</v>
      </c>
      <c r="Y50" s="222" t="str">
        <f t="shared" si="10"/>
        <v>#N/A</v>
      </c>
      <c r="Z50" s="224" t="str">
        <f t="shared" si="11"/>
        <v> </v>
      </c>
      <c r="AA50" s="244"/>
    </row>
    <row r="51">
      <c r="A51" s="214" t="str">
        <f>IFS($B51=FALSE,"",$B51,VLOOKUP($B51,'PATIENT DATA (072721)'!A:C, 2, 0))</f>
        <v/>
      </c>
      <c r="B51" s="215"/>
      <c r="C51" s="230" t="str">
        <f>IF(COUNTIF('PATIENT DATA (072721)'!A:A, B51)=0, "X","✓")</f>
        <v>X</v>
      </c>
      <c r="D51" s="226" t="str">
        <f>IFS($B51=FALSE,"",$B51,VLOOKUP($B51,'PATIENT DATA (072721)'!A:C, 3, 0))</f>
        <v/>
      </c>
      <c r="E51" s="218"/>
      <c r="F51" s="219" t="str">
        <f>ifs($B51="","",$B51, VLOOKUP($B51&amp;$E51, 'VISIT DATA'!A:O,3,0))</f>
        <v/>
      </c>
      <c r="G51" s="231"/>
      <c r="H51" s="221" t="str">
        <f>ifs($B51="","",$B51, VLOOKUP($B51&amp;$E51, 'VISIT DATA'!$A:$O,13,0))</f>
        <v/>
      </c>
      <c r="I51" s="262" t="str">
        <f>VLOOKUP($B51&amp;$E51,'VISIT DATA'!A:J, 9, FALSE)</f>
        <v>#N/A</v>
      </c>
      <c r="J51" s="223" t="str">
        <f>VLOOKUP(B51&amp;E51,'VISIT DATA'!A:N,10,FALSE)</f>
        <v>#N/A</v>
      </c>
      <c r="K51" s="225"/>
      <c r="L51" s="224"/>
      <c r="M51" s="224"/>
      <c r="N51" s="225"/>
      <c r="O51" s="216" t="str">
        <f t="shared" si="1"/>
        <v>X</v>
      </c>
      <c r="P51" s="226" t="str">
        <f t="shared" si="2"/>
        <v>#N/A</v>
      </c>
      <c r="Q51" s="227" t="str">
        <f t="shared" si="3"/>
        <v>#N/A</v>
      </c>
      <c r="R51" s="228" t="str">
        <f t="shared" si="4"/>
        <v>#N/A</v>
      </c>
      <c r="S51" s="220" t="str">
        <f t="shared" si="5"/>
        <v>#N/A</v>
      </c>
      <c r="T51" s="220" t="str">
        <f t="shared" si="6"/>
        <v>#N/A</v>
      </c>
      <c r="U51" s="221">
        <f t="shared" si="7"/>
        <v>0</v>
      </c>
      <c r="V51" s="229" t="str">
        <f>ifs($N51="",VLOOKUP($B51&amp;$E51,'VISIT DATA'!$A$2:$J100,7,FALSE), $N51="SWAB","OUTSA-RW",$N51="SWQU","OUTSA-SaQu", AND($L51="X",$M51="X",$N51="QUEST"),"OUT-UAQPre",$N51="QUEST","OUT-UAQ", $N51="Walk in","ColUATele")</f>
        <v>#N/A</v>
      </c>
      <c r="W51" s="24" t="str">
        <f t="shared" si="8"/>
        <v>#N/A</v>
      </c>
      <c r="X51" s="222" t="str">
        <f t="shared" si="9"/>
        <v/>
      </c>
      <c r="Y51" s="222" t="str">
        <f t="shared" si="10"/>
        <v/>
      </c>
      <c r="Z51" s="224" t="str">
        <f t="shared" si="11"/>
        <v> </v>
      </c>
      <c r="AA51" s="244"/>
    </row>
    <row r="52">
      <c r="A52" s="214" t="str">
        <f>IFS($B52=FALSE,"",$B52,VLOOKUP($B52,'PATIENT DATA (072721)'!A:C, 2, 0))</f>
        <v/>
      </c>
      <c r="B52" s="215"/>
      <c r="C52" s="230" t="str">
        <f>IF(COUNTIF('PATIENT DATA (072721)'!A:A, B52)=0, "X","✓")</f>
        <v>X</v>
      </c>
      <c r="D52" s="226" t="str">
        <f>IFS($B52=FALSE,"",$B52,VLOOKUP($B52,'PATIENT DATA (072721)'!A:C, 3, 0))</f>
        <v/>
      </c>
      <c r="E52" s="218"/>
      <c r="F52" s="219" t="str">
        <f>ifs($B52="","",$B52, VLOOKUP($B52&amp;$E52, 'VISIT DATA'!A:O,3,0))</f>
        <v/>
      </c>
      <c r="G52" s="231"/>
      <c r="H52" s="221" t="str">
        <f>ifs($B52="","",$B52, VLOOKUP($B52&amp;$E52, 'VISIT DATA'!$A:$O,13,0))</f>
        <v/>
      </c>
      <c r="I52" s="262" t="str">
        <f>VLOOKUP($B52&amp;$E52,'VISIT DATA'!A:J, 9, FALSE)</f>
        <v>#N/A</v>
      </c>
      <c r="J52" s="223" t="str">
        <f>VLOOKUP(B52&amp;E52,'VISIT DATA'!A:N,10,FALSE)</f>
        <v>#N/A</v>
      </c>
      <c r="K52" s="225"/>
      <c r="L52" s="224"/>
      <c r="M52" s="224"/>
      <c r="N52" s="225"/>
      <c r="O52" s="216" t="str">
        <f t="shared" si="1"/>
        <v>X</v>
      </c>
      <c r="P52" s="226" t="str">
        <f t="shared" si="2"/>
        <v>#N/A</v>
      </c>
      <c r="Q52" s="227" t="str">
        <f t="shared" si="3"/>
        <v>#N/A</v>
      </c>
      <c r="R52" s="228" t="str">
        <f t="shared" si="4"/>
        <v>#N/A</v>
      </c>
      <c r="S52" s="220" t="str">
        <f t="shared" si="5"/>
        <v>#N/A</v>
      </c>
      <c r="T52" s="220" t="str">
        <f t="shared" si="6"/>
        <v>#N/A</v>
      </c>
      <c r="U52" s="221">
        <f t="shared" si="7"/>
        <v>0</v>
      </c>
      <c r="V52" s="229" t="str">
        <f>ifs($N52="",VLOOKUP($B52&amp;$E52,'VISIT DATA'!$A$2:$J100,7,FALSE), $N52="SWAB","OUTSA-RW",$N52="SWQU","OUTSA-SaQu", AND($L52="X",$M52="X",$N52="QUEST"),"OUT-UAQPre",$N52="QUEST","OUT-UAQ", $N52="Walk in","ColUATele")</f>
        <v>#N/A</v>
      </c>
      <c r="W52" s="24" t="str">
        <f t="shared" si="8"/>
        <v>#N/A</v>
      </c>
      <c r="X52" s="222" t="str">
        <f t="shared" si="9"/>
        <v/>
      </c>
      <c r="Y52" s="222" t="str">
        <f t="shared" si="10"/>
        <v/>
      </c>
      <c r="Z52" s="224" t="str">
        <f t="shared" si="11"/>
        <v> </v>
      </c>
      <c r="AA52" s="244"/>
    </row>
    <row r="53">
      <c r="A53" s="214" t="str">
        <f>IFS($B53=FALSE,"",$B53,VLOOKUP($B53,'PATIENT DATA (072721)'!A:C, 2, 0))</f>
        <v/>
      </c>
      <c r="B53" s="215"/>
      <c r="C53" s="230" t="str">
        <f>IF(COUNTIF('PATIENT DATA (072721)'!A:A, B53)=0, "X","✓")</f>
        <v>X</v>
      </c>
      <c r="D53" s="226" t="str">
        <f>IFS($B53=FALSE,"",$B53,VLOOKUP($B53,'PATIENT DATA (072721)'!A:C, 3, 0))</f>
        <v/>
      </c>
      <c r="E53" s="218"/>
      <c r="F53" s="219" t="str">
        <f>ifs($B53="","",$B53, VLOOKUP($B53&amp;$E53, 'VISIT DATA'!A:O,3,0))</f>
        <v/>
      </c>
      <c r="G53" s="231"/>
      <c r="H53" s="221" t="str">
        <f>ifs($B53="","",$B53, VLOOKUP($B53&amp;$E53, 'VISIT DATA'!$A:$O,13,0))</f>
        <v/>
      </c>
      <c r="I53" s="262" t="str">
        <f>VLOOKUP($B53&amp;$E53,'VISIT DATA'!A:J, 9, FALSE)</f>
        <v>#N/A</v>
      </c>
      <c r="J53" s="223" t="str">
        <f>VLOOKUP(B53&amp;E53,'VISIT DATA'!A:N,10,FALSE)</f>
        <v>#N/A</v>
      </c>
      <c r="K53" s="224"/>
      <c r="L53" s="224"/>
      <c r="M53" s="224"/>
      <c r="N53" s="225"/>
      <c r="O53" s="216" t="str">
        <f t="shared" si="1"/>
        <v>X</v>
      </c>
      <c r="P53" s="226" t="str">
        <f t="shared" si="2"/>
        <v>#N/A</v>
      </c>
      <c r="Q53" s="227" t="str">
        <f t="shared" si="3"/>
        <v>#N/A</v>
      </c>
      <c r="R53" s="228" t="str">
        <f t="shared" si="4"/>
        <v>#N/A</v>
      </c>
      <c r="S53" s="220" t="str">
        <f t="shared" si="5"/>
        <v>#N/A</v>
      </c>
      <c r="T53" s="220" t="str">
        <f t="shared" si="6"/>
        <v>#N/A</v>
      </c>
      <c r="U53" s="221">
        <f t="shared" si="7"/>
        <v>0</v>
      </c>
      <c r="V53" s="229" t="str">
        <f>ifs($N53="",VLOOKUP($B53&amp;$E53,'VISIT DATA'!$A$2:$J100,7,FALSE), $N53="SWAB","OUTSA-RW",$N53="SWQU","OUTSA-SaQu", AND($L53="X",$M53="X",$N53="QUEST"),"OUT-UAQPre",$N53="QUEST","OUT-UAQ", $N53="Walk in","ColUATele")</f>
        <v>#N/A</v>
      </c>
      <c r="W53" s="24" t="str">
        <f t="shared" si="8"/>
        <v>#N/A</v>
      </c>
      <c r="X53" s="222" t="str">
        <f t="shared" si="9"/>
        <v/>
      </c>
      <c r="Y53" s="222" t="str">
        <f t="shared" si="10"/>
        <v/>
      </c>
      <c r="Z53" s="224" t="str">
        <f t="shared" si="11"/>
        <v> </v>
      </c>
      <c r="AA53" s="244"/>
    </row>
    <row r="54">
      <c r="A54" s="214" t="str">
        <f>IFS($B54=FALSE,"",$B54,VLOOKUP($B54,'PATIENT DATA (072721)'!A:C, 2, 0))</f>
        <v/>
      </c>
      <c r="B54" s="215"/>
      <c r="C54" s="230" t="str">
        <f>IF(COUNTIF('PATIENT DATA (072721)'!A:A, B54)=0, "X","✓")</f>
        <v>X</v>
      </c>
      <c r="D54" s="226" t="str">
        <f>IFS($B54=FALSE,"",$B54,VLOOKUP($B54,'PATIENT DATA (072721)'!A:C, 3, 0))</f>
        <v/>
      </c>
      <c r="E54" s="218"/>
      <c r="F54" s="219" t="str">
        <f>ifs($B54="","",$B54, VLOOKUP($B54&amp;$E54, 'VISIT DATA'!A:O,3,0))</f>
        <v/>
      </c>
      <c r="G54" s="231"/>
      <c r="H54" s="221" t="str">
        <f>ifs($B54="","",$B54, VLOOKUP($B54&amp;$E54, 'VISIT DATA'!$A:$O,13,0))</f>
        <v/>
      </c>
      <c r="I54" s="262" t="str">
        <f>VLOOKUP($B54&amp;$E54,'VISIT DATA'!A:J, 9, FALSE)</f>
        <v>#N/A</v>
      </c>
      <c r="J54" s="223" t="str">
        <f>VLOOKUP(B54&amp;E54,'VISIT DATA'!A:N,10,FALSE)</f>
        <v>#N/A</v>
      </c>
      <c r="K54" s="225"/>
      <c r="L54" s="224"/>
      <c r="M54" s="224"/>
      <c r="N54" s="225"/>
      <c r="O54" s="216" t="str">
        <f t="shared" si="1"/>
        <v>X</v>
      </c>
      <c r="P54" s="226" t="str">
        <f t="shared" si="2"/>
        <v>#N/A</v>
      </c>
      <c r="Q54" s="227" t="str">
        <f t="shared" si="3"/>
        <v>#N/A</v>
      </c>
      <c r="R54" s="228" t="str">
        <f t="shared" si="4"/>
        <v>#N/A</v>
      </c>
      <c r="S54" s="220" t="str">
        <f t="shared" si="5"/>
        <v>#N/A</v>
      </c>
      <c r="T54" s="220" t="str">
        <f t="shared" si="6"/>
        <v>#N/A</v>
      </c>
      <c r="U54" s="221">
        <f t="shared" si="7"/>
        <v>0</v>
      </c>
      <c r="V54" s="229" t="str">
        <f>ifs($N54="",VLOOKUP($B54&amp;$E54,'VISIT DATA'!$A$2:$J100,7,FALSE), $N54="SWAB","OUTSA-RW",$N54="SWQU","OUTSA-SaQu", AND($L54="X",$M54="X",$N54="QUEST"),"OUT-UAQPre",$N54="QUEST","OUT-UAQ", $N54="Walk in","ColUATele")</f>
        <v>#N/A</v>
      </c>
      <c r="W54" s="24" t="str">
        <f t="shared" si="8"/>
        <v>#N/A</v>
      </c>
      <c r="X54" s="222" t="str">
        <f t="shared" si="9"/>
        <v/>
      </c>
      <c r="Y54" s="222" t="str">
        <f t="shared" si="10"/>
        <v/>
      </c>
      <c r="Z54" s="224" t="str">
        <f t="shared" si="11"/>
        <v> </v>
      </c>
      <c r="AA54" s="244"/>
    </row>
    <row r="55">
      <c r="A55" s="214" t="str">
        <f>IFS($B55=FALSE,"",$B55,VLOOKUP($B55,'PATIENT DATA (072721)'!A:C, 2, 0))</f>
        <v/>
      </c>
      <c r="B55" s="215"/>
      <c r="C55" s="230" t="str">
        <f>IF(COUNTIF('PATIENT DATA (072721)'!A:A, B55)=0, "X","✓")</f>
        <v>X</v>
      </c>
      <c r="D55" s="226" t="str">
        <f>IFS($B55=FALSE,"",$B55,VLOOKUP($B55,'PATIENT DATA (072721)'!A:C, 3, 0))</f>
        <v/>
      </c>
      <c r="E55" s="218"/>
      <c r="F55" s="219" t="str">
        <f>ifs($B55="","",$B55, VLOOKUP($B55&amp;$E55, 'VISIT DATA'!A:O,3,0))</f>
        <v/>
      </c>
      <c r="G55" s="231"/>
      <c r="H55" s="221" t="str">
        <f>ifs($B55="","",$B55, VLOOKUP($B55&amp;$E55, 'VISIT DATA'!$A:$O,13,0))</f>
        <v/>
      </c>
      <c r="I55" s="262" t="str">
        <f>VLOOKUP($B55&amp;$E55,'VISIT DATA'!A:J, 9, FALSE)</f>
        <v>#N/A</v>
      </c>
      <c r="J55" s="223" t="str">
        <f>VLOOKUP(B55&amp;E55,'VISIT DATA'!A:N,10,FALSE)</f>
        <v>#N/A</v>
      </c>
      <c r="K55" s="225"/>
      <c r="L55" s="224"/>
      <c r="M55" s="224"/>
      <c r="N55" s="225"/>
      <c r="O55" s="216" t="str">
        <f t="shared" si="1"/>
        <v>X</v>
      </c>
      <c r="P55" s="226" t="str">
        <f t="shared" si="2"/>
        <v>#N/A</v>
      </c>
      <c r="Q55" s="227" t="str">
        <f t="shared" si="3"/>
        <v>#N/A</v>
      </c>
      <c r="R55" s="228" t="str">
        <f t="shared" si="4"/>
        <v>#N/A</v>
      </c>
      <c r="S55" s="220" t="str">
        <f t="shared" si="5"/>
        <v>#N/A</v>
      </c>
      <c r="T55" s="220" t="str">
        <f t="shared" si="6"/>
        <v>#N/A</v>
      </c>
      <c r="U55" s="221">
        <f t="shared" si="7"/>
        <v>0</v>
      </c>
      <c r="V55" s="229" t="str">
        <f>ifs($N55="",VLOOKUP($B55&amp;$E55,'VISIT DATA'!$A$2:$J100,7,FALSE), $N55="SWAB","OUTSA-RW",$N55="SWQU","OUTSA-SaQu", AND($L55="X",$M55="X",$N55="QUEST"),"OUT-UAQPre",$N55="QUEST","OUT-UAQ", $N55="Walk in","ColUATele")</f>
        <v>#N/A</v>
      </c>
      <c r="W55" s="24" t="str">
        <f t="shared" si="8"/>
        <v>#N/A</v>
      </c>
      <c r="X55" s="222" t="str">
        <f t="shared" si="9"/>
        <v/>
      </c>
      <c r="Y55" s="222" t="str">
        <f t="shared" si="10"/>
        <v/>
      </c>
      <c r="Z55" s="224" t="str">
        <f t="shared" si="11"/>
        <v> </v>
      </c>
      <c r="AA55" s="244"/>
    </row>
    <row r="56">
      <c r="A56" s="214" t="str">
        <f>IFS($B56=FALSE,"",$B56,VLOOKUP($B56,'PATIENT DATA (072721)'!A:C, 2, 0))</f>
        <v/>
      </c>
      <c r="B56" s="215"/>
      <c r="C56" s="230" t="str">
        <f>IF(COUNTIF('PATIENT DATA (072721)'!A:A, B56)=0, "X","✓")</f>
        <v>X</v>
      </c>
      <c r="D56" s="226" t="str">
        <f>IFS($B56=FALSE,"",$B56,VLOOKUP($B56,'PATIENT DATA (072721)'!A:C, 3, 0))</f>
        <v/>
      </c>
      <c r="E56" s="218"/>
      <c r="F56" s="219" t="str">
        <f>ifs($B56="","",$B56, VLOOKUP($B56&amp;$E56, 'VISIT DATA'!A:O,3,0))</f>
        <v/>
      </c>
      <c r="G56" s="231"/>
      <c r="H56" s="221" t="str">
        <f>ifs($B56="","",$B56, VLOOKUP($B56&amp;$E56, 'VISIT DATA'!$A:$O,13,0))</f>
        <v/>
      </c>
      <c r="I56" s="262" t="str">
        <f>VLOOKUP($B56&amp;$E56,'VISIT DATA'!A:J, 9, FALSE)</f>
        <v>#N/A</v>
      </c>
      <c r="J56" s="223" t="str">
        <f>VLOOKUP(B56&amp;E56,'VISIT DATA'!A:N,10,FALSE)</f>
        <v>#N/A</v>
      </c>
      <c r="K56" s="225"/>
      <c r="L56" s="224"/>
      <c r="M56" s="224"/>
      <c r="N56" s="225"/>
      <c r="O56" s="216" t="str">
        <f t="shared" si="1"/>
        <v>X</v>
      </c>
      <c r="P56" s="226" t="str">
        <f t="shared" si="2"/>
        <v>#N/A</v>
      </c>
      <c r="Q56" s="227" t="str">
        <f t="shared" si="3"/>
        <v>#N/A</v>
      </c>
      <c r="R56" s="228" t="str">
        <f t="shared" si="4"/>
        <v>#N/A</v>
      </c>
      <c r="S56" s="220" t="str">
        <f t="shared" si="5"/>
        <v>#N/A</v>
      </c>
      <c r="T56" s="220" t="str">
        <f t="shared" si="6"/>
        <v>#N/A</v>
      </c>
      <c r="U56" s="221">
        <f t="shared" si="7"/>
        <v>0</v>
      </c>
      <c r="V56" s="229" t="str">
        <f>ifs($N56="",VLOOKUP($B56&amp;$E56,'VISIT DATA'!$A$2:$J100,7,FALSE), $N56="SWAB","OUTSA-RW",$N56="SWQU","OUTSA-SaQu", AND($L56="X",$M56="X",$N56="QUEST"),"OUT-UAQPre",$N56="QUEST","OUT-UAQ", $N56="Walk in","ColUATele")</f>
        <v>#N/A</v>
      </c>
      <c r="W56" s="24" t="str">
        <f t="shared" si="8"/>
        <v>#N/A</v>
      </c>
      <c r="X56" s="222" t="str">
        <f t="shared" si="9"/>
        <v/>
      </c>
      <c r="Y56" s="222" t="str">
        <f t="shared" si="10"/>
        <v/>
      </c>
      <c r="Z56" s="224" t="str">
        <f t="shared" si="11"/>
        <v> </v>
      </c>
      <c r="AA56" s="244"/>
    </row>
    <row r="57">
      <c r="A57" s="214" t="str">
        <f>IFS($B57=FALSE,"",$B57,VLOOKUP($B57,'PATIENT DATA (072721)'!A:C, 2, 0))</f>
        <v/>
      </c>
      <c r="B57" s="215"/>
      <c r="C57" s="230" t="str">
        <f>IF(COUNTIF('PATIENT DATA (072721)'!A:A, B57)=0, "X","✓")</f>
        <v>X</v>
      </c>
      <c r="D57" s="226" t="str">
        <f>IFS($B57=FALSE,"",$B57,VLOOKUP($B57,'PATIENT DATA (072721)'!A:C, 3, 0))</f>
        <v/>
      </c>
      <c r="E57" s="218"/>
      <c r="F57" s="219" t="str">
        <f>ifs($B57="","",$B57, VLOOKUP($B57&amp;$E57, 'VISIT DATA'!A:O,3,0))</f>
        <v/>
      </c>
      <c r="G57" s="231"/>
      <c r="H57" s="221" t="str">
        <f>ifs($B57="","",$B57, VLOOKUP($B57&amp;$E57, 'VISIT DATA'!$A:$O,13,0))</f>
        <v/>
      </c>
      <c r="I57" s="262" t="str">
        <f>VLOOKUP($B57&amp;$E57,'VISIT DATA'!A:J, 9, FALSE)</f>
        <v>#N/A</v>
      </c>
      <c r="J57" s="223" t="str">
        <f>VLOOKUP(B57&amp;E57,'VISIT DATA'!A:N,10,FALSE)</f>
        <v>#N/A</v>
      </c>
      <c r="K57" s="225"/>
      <c r="L57" s="224"/>
      <c r="M57" s="224"/>
      <c r="N57" s="225"/>
      <c r="O57" s="216" t="str">
        <f t="shared" si="1"/>
        <v>X</v>
      </c>
      <c r="P57" s="226" t="str">
        <f t="shared" si="2"/>
        <v>#N/A</v>
      </c>
      <c r="Q57" s="227" t="str">
        <f t="shared" si="3"/>
        <v>#N/A</v>
      </c>
      <c r="R57" s="228" t="str">
        <f t="shared" si="4"/>
        <v>#N/A</v>
      </c>
      <c r="S57" s="220" t="str">
        <f t="shared" si="5"/>
        <v>#N/A</v>
      </c>
      <c r="T57" s="220" t="str">
        <f t="shared" si="6"/>
        <v>#N/A</v>
      </c>
      <c r="U57" s="221">
        <f t="shared" si="7"/>
        <v>0</v>
      </c>
      <c r="V57" s="229" t="str">
        <f>ifs($N57="",VLOOKUP($B57&amp;$E57,'VISIT DATA'!$A$2:$J100,7,FALSE), $N57="SWAB","OUTSA-RW",$N57="SWQU","OUTSA-SaQu", AND($L57="X",$M57="X",$N57="QUEST"),"OUT-UAQPre",$N57="QUEST","OUT-UAQ", $N57="Walk in","ColUATele")</f>
        <v>#N/A</v>
      </c>
      <c r="W57" s="24" t="str">
        <f t="shared" si="8"/>
        <v>#N/A</v>
      </c>
      <c r="X57" s="222" t="str">
        <f t="shared" si="9"/>
        <v/>
      </c>
      <c r="Y57" s="222" t="str">
        <f t="shared" si="10"/>
        <v/>
      </c>
      <c r="Z57" s="224" t="str">
        <f t="shared" si="11"/>
        <v> </v>
      </c>
      <c r="AA57" s="244"/>
    </row>
    <row r="58">
      <c r="A58" s="214" t="str">
        <f>IFS($B58=FALSE,"",$B58,VLOOKUP($B58,'PATIENT DATA (072721)'!A:C, 2, 0))</f>
        <v/>
      </c>
      <c r="B58" s="215"/>
      <c r="C58" s="230" t="str">
        <f>IF(COUNTIF('PATIENT DATA (072721)'!A:A, B58)=0, "X","✓")</f>
        <v>X</v>
      </c>
      <c r="D58" s="226" t="str">
        <f>IFS($B58=FALSE,"",$B58,VLOOKUP($B58,'PATIENT DATA (072721)'!A:C, 3, 0))</f>
        <v/>
      </c>
      <c r="E58" s="218"/>
      <c r="F58" s="219" t="str">
        <f>ifs($B58="","",$B58, VLOOKUP($B58&amp;$E58, 'VISIT DATA'!A:O,3,0))</f>
        <v/>
      </c>
      <c r="G58" s="231"/>
      <c r="H58" s="221" t="str">
        <f>ifs($B58="","",$B58, VLOOKUP($B58&amp;$E58, 'VISIT DATA'!$A:$O,13,0))</f>
        <v/>
      </c>
      <c r="I58" s="262" t="str">
        <f>VLOOKUP($B58&amp;$E58,'VISIT DATA'!A:J, 9, FALSE)</f>
        <v>#N/A</v>
      </c>
      <c r="J58" s="223" t="str">
        <f>VLOOKUP(B58&amp;E58,'VISIT DATA'!A:N,10,FALSE)</f>
        <v>#N/A</v>
      </c>
      <c r="K58" s="224"/>
      <c r="L58" s="224"/>
      <c r="M58" s="224"/>
      <c r="N58" s="225"/>
      <c r="O58" s="216" t="str">
        <f t="shared" si="1"/>
        <v>X</v>
      </c>
      <c r="P58" s="226" t="str">
        <f t="shared" si="2"/>
        <v>#N/A</v>
      </c>
      <c r="Q58" s="227" t="str">
        <f t="shared" si="3"/>
        <v>#N/A</v>
      </c>
      <c r="R58" s="228" t="str">
        <f t="shared" si="4"/>
        <v>#N/A</v>
      </c>
      <c r="S58" s="220" t="str">
        <f t="shared" si="5"/>
        <v>#N/A</v>
      </c>
      <c r="T58" s="220" t="str">
        <f t="shared" si="6"/>
        <v>#N/A</v>
      </c>
      <c r="U58" s="221">
        <f t="shared" si="7"/>
        <v>0</v>
      </c>
      <c r="V58" s="229" t="str">
        <f>ifs($N58="",VLOOKUP($B58&amp;$E58,'VISIT DATA'!$A$2:$J100,7,FALSE), $N58="SWAB","OUTSA-RW",$N58="SWQU","OUTSA-SaQu", AND($L58="X",$M58="X",$N58="QUEST"),"OUT-UAQPre",$N58="QUEST","OUT-UAQ", $N58="Walk in","ColUATele")</f>
        <v>#N/A</v>
      </c>
      <c r="W58" s="24" t="str">
        <f t="shared" si="8"/>
        <v>#N/A</v>
      </c>
      <c r="X58" s="222" t="str">
        <f t="shared" si="9"/>
        <v/>
      </c>
      <c r="Y58" s="222" t="str">
        <f t="shared" si="10"/>
        <v/>
      </c>
      <c r="Z58" s="224" t="str">
        <f t="shared" si="11"/>
        <v> </v>
      </c>
      <c r="AA58" s="244"/>
    </row>
    <row r="59">
      <c r="A59" s="214" t="str">
        <f>IFS($B59=FALSE,"",$B59,VLOOKUP($B59,'PATIENT DATA (072721)'!A:C, 2, 0))</f>
        <v/>
      </c>
      <c r="B59" s="215"/>
      <c r="C59" s="230" t="str">
        <f>IF(COUNTIF('PATIENT DATA (072721)'!A:A, B59)=0, "X","✓")</f>
        <v>X</v>
      </c>
      <c r="D59" s="226" t="str">
        <f>IFS($B59=FALSE,"",$B59,VLOOKUP($B59,'PATIENT DATA (072721)'!A:C, 3, 0))</f>
        <v/>
      </c>
      <c r="E59" s="218"/>
      <c r="F59" s="219" t="str">
        <f>ifs($B59="","",$B59, VLOOKUP($B59&amp;$E59, 'VISIT DATA'!A:O,3,0))</f>
        <v/>
      </c>
      <c r="G59" s="231"/>
      <c r="H59" s="221" t="str">
        <f>ifs($B59="","",$B59, VLOOKUP($B59&amp;$E59, 'VISIT DATA'!$A:$O,13,0))</f>
        <v/>
      </c>
      <c r="I59" s="262" t="str">
        <f>VLOOKUP($B59&amp;$E59,'VISIT DATA'!A:J, 9, FALSE)</f>
        <v>#N/A</v>
      </c>
      <c r="J59" s="223" t="str">
        <f>VLOOKUP(B59&amp;E59,'VISIT DATA'!A:N,10,FALSE)</f>
        <v>#N/A</v>
      </c>
      <c r="K59" s="224"/>
      <c r="L59" s="224"/>
      <c r="M59" s="224"/>
      <c r="N59" s="225"/>
      <c r="O59" s="216" t="str">
        <f t="shared" si="1"/>
        <v>X</v>
      </c>
      <c r="P59" s="226" t="str">
        <f t="shared" si="2"/>
        <v>#N/A</v>
      </c>
      <c r="Q59" s="227" t="str">
        <f t="shared" si="3"/>
        <v>#N/A</v>
      </c>
      <c r="R59" s="228" t="str">
        <f t="shared" si="4"/>
        <v>#N/A</v>
      </c>
      <c r="S59" s="220" t="str">
        <f t="shared" si="5"/>
        <v>#N/A</v>
      </c>
      <c r="T59" s="220" t="str">
        <f t="shared" si="6"/>
        <v>#N/A</v>
      </c>
      <c r="U59" s="221">
        <f t="shared" si="7"/>
        <v>0</v>
      </c>
      <c r="V59" s="229" t="str">
        <f>ifs($N59="",VLOOKUP($B59&amp;$E59,'VISIT DATA'!$A$2:$J100,7,FALSE), $N59="SWAB","OUTSA-RW",$N59="SWQU","OUTSA-SaQu", AND($L59="X",$M59="X",$N59="QUEST"),"OUT-UAQPre",$N59="QUEST","OUT-UAQ", $N59="Walk in","ColUATele")</f>
        <v>#N/A</v>
      </c>
      <c r="W59" s="24" t="str">
        <f t="shared" si="8"/>
        <v>#N/A</v>
      </c>
      <c r="X59" s="222" t="str">
        <f t="shared" si="9"/>
        <v/>
      </c>
      <c r="Y59" s="222" t="str">
        <f t="shared" si="10"/>
        <v/>
      </c>
      <c r="Z59" s="224" t="str">
        <f t="shared" si="11"/>
        <v> </v>
      </c>
      <c r="AA59" s="244"/>
    </row>
    <row r="60">
      <c r="A60" s="214" t="str">
        <f>IFS($B60=FALSE,"",$B60,VLOOKUP($B60,'PATIENT DATA (072721)'!A:C, 2, 0))</f>
        <v/>
      </c>
      <c r="B60" s="215"/>
      <c r="C60" s="230" t="str">
        <f>IF(COUNTIF('PATIENT DATA (072721)'!A:A, B60)=0, "X","✓")</f>
        <v>X</v>
      </c>
      <c r="D60" s="226" t="str">
        <f>IFS($B60=FALSE,"",$B60,VLOOKUP($B60,'PATIENT DATA (072721)'!A:C, 3, 0))</f>
        <v/>
      </c>
      <c r="E60" s="218"/>
      <c r="F60" s="219" t="str">
        <f>ifs($B60="","",$B60, VLOOKUP($B60&amp;$E60, 'VISIT DATA'!A:O,3,0))</f>
        <v/>
      </c>
      <c r="G60" s="231"/>
      <c r="H60" s="221" t="str">
        <f>ifs($B60="","",$B60, VLOOKUP($B60&amp;$E60, 'VISIT DATA'!$A:$O,13,0))</f>
        <v/>
      </c>
      <c r="I60" s="262" t="str">
        <f>VLOOKUP($B60&amp;$E60,'VISIT DATA'!A:J, 9, FALSE)</f>
        <v>#N/A</v>
      </c>
      <c r="J60" s="223" t="str">
        <f>VLOOKUP(B60&amp;E60,'VISIT DATA'!A:N,10,FALSE)</f>
        <v>#N/A</v>
      </c>
      <c r="K60" s="225"/>
      <c r="L60" s="224"/>
      <c r="M60" s="224"/>
      <c r="N60" s="225"/>
      <c r="O60" s="216" t="str">
        <f t="shared" si="1"/>
        <v>X</v>
      </c>
      <c r="P60" s="226" t="str">
        <f t="shared" si="2"/>
        <v>#N/A</v>
      </c>
      <c r="Q60" s="227" t="str">
        <f t="shared" si="3"/>
        <v>#N/A</v>
      </c>
      <c r="R60" s="228" t="str">
        <f t="shared" si="4"/>
        <v>#N/A</v>
      </c>
      <c r="S60" s="220" t="str">
        <f t="shared" si="5"/>
        <v>#N/A</v>
      </c>
      <c r="T60" s="220" t="str">
        <f t="shared" si="6"/>
        <v>#N/A</v>
      </c>
      <c r="U60" s="221">
        <f t="shared" si="7"/>
        <v>0</v>
      </c>
      <c r="V60" s="229" t="str">
        <f>ifs($N60="",VLOOKUP($B60&amp;$E60,'VISIT DATA'!$A$2:$J100,7,FALSE), $N60="SWAB","OUTSA-RW",$N60="SWQU","OUTSA-SaQu", AND($L60="X",$M60="X",$N60="QUEST"),"OUT-UAQPre",$N60="QUEST","OUT-UAQ", $N60="Walk in","ColUATele")</f>
        <v>#N/A</v>
      </c>
      <c r="W60" s="24" t="str">
        <f t="shared" si="8"/>
        <v>#N/A</v>
      </c>
      <c r="X60" s="222" t="str">
        <f t="shared" si="9"/>
        <v/>
      </c>
      <c r="Y60" s="222" t="str">
        <f t="shared" si="10"/>
        <v/>
      </c>
      <c r="Z60" s="224" t="str">
        <f t="shared" si="11"/>
        <v> </v>
      </c>
      <c r="AA60" s="244"/>
    </row>
    <row r="61">
      <c r="A61" s="214" t="str">
        <f>IFS($B61=FALSE,"",$B61,VLOOKUP($B61,'PATIENT DATA (072721)'!A:C, 2, 0))</f>
        <v/>
      </c>
      <c r="B61" s="215"/>
      <c r="C61" s="230" t="str">
        <f>IF(COUNTIF('PATIENT DATA (072721)'!A:A, B61)=0, "X","✓")</f>
        <v>X</v>
      </c>
      <c r="D61" s="226" t="str">
        <f>IFS($B61=FALSE,"",$B61,VLOOKUP($B61,'PATIENT DATA (072721)'!A:C, 3, 0))</f>
        <v/>
      </c>
      <c r="E61" s="218"/>
      <c r="F61" s="219" t="str">
        <f>ifs($B61="","",$B61, VLOOKUP($B61&amp;$E61, 'VISIT DATA'!A:O,3,0))</f>
        <v/>
      </c>
      <c r="G61" s="231"/>
      <c r="H61" s="221" t="str">
        <f>ifs($B61="","",$B61, VLOOKUP($B61&amp;$E61, 'VISIT DATA'!$A:$O,13,0))</f>
        <v/>
      </c>
      <c r="I61" s="262" t="str">
        <f>VLOOKUP($B61&amp;$E61,'VISIT DATA'!A:J, 9, FALSE)</f>
        <v>#N/A</v>
      </c>
      <c r="J61" s="223" t="str">
        <f>VLOOKUP(B61&amp;E61,'VISIT DATA'!A:N,10,FALSE)</f>
        <v>#N/A</v>
      </c>
      <c r="K61" s="225"/>
      <c r="L61" s="224"/>
      <c r="M61" s="224"/>
      <c r="N61" s="225"/>
      <c r="O61" s="216" t="str">
        <f t="shared" si="1"/>
        <v>X</v>
      </c>
      <c r="P61" s="226" t="str">
        <f t="shared" si="2"/>
        <v>#N/A</v>
      </c>
      <c r="Q61" s="227" t="str">
        <f t="shared" si="3"/>
        <v>#N/A</v>
      </c>
      <c r="R61" s="228" t="str">
        <f t="shared" si="4"/>
        <v>#N/A</v>
      </c>
      <c r="S61" s="220" t="str">
        <f t="shared" si="5"/>
        <v>#N/A</v>
      </c>
      <c r="T61" s="220" t="str">
        <f t="shared" si="6"/>
        <v>#N/A</v>
      </c>
      <c r="U61" s="221">
        <f t="shared" si="7"/>
        <v>0</v>
      </c>
      <c r="V61" s="229" t="str">
        <f>ifs($N61="",VLOOKUP($B61&amp;$E61,'VISIT DATA'!$A$2:$J100,7,FALSE), $N61="SWAB","OUTSA-RW",$N61="SWQU","OUTSA-SaQu", AND($L61="X",$M61="X",$N61="QUEST"),"OUT-UAQPre",$N61="QUEST","OUT-UAQ", $N61="Walk in","ColUATele")</f>
        <v>#N/A</v>
      </c>
      <c r="W61" s="24" t="str">
        <f t="shared" si="8"/>
        <v>#N/A</v>
      </c>
      <c r="X61" s="222" t="str">
        <f t="shared" si="9"/>
        <v/>
      </c>
      <c r="Y61" s="222" t="str">
        <f t="shared" si="10"/>
        <v/>
      </c>
      <c r="Z61" s="224" t="str">
        <f t="shared" si="11"/>
        <v> </v>
      </c>
      <c r="AA61" s="244"/>
    </row>
    <row r="62">
      <c r="A62" s="214" t="str">
        <f>IFS($B62=FALSE,"",$B62,VLOOKUP($B62,'PATIENT DATA (072721)'!A:C, 2, 0))</f>
        <v/>
      </c>
      <c r="B62" s="215"/>
      <c r="C62" s="230" t="str">
        <f>IF(COUNTIF('PATIENT DATA (072721)'!A:A, B62)=0, "X","✓")</f>
        <v>X</v>
      </c>
      <c r="D62" s="226" t="str">
        <f>IFS($B62=FALSE,"",$B62,VLOOKUP($B62,'PATIENT DATA (072721)'!A:C, 3, 0))</f>
        <v/>
      </c>
      <c r="E62" s="218"/>
      <c r="F62" s="219" t="str">
        <f>ifs($B62="","",$B62, VLOOKUP($B62&amp;$E62, 'VISIT DATA'!A:O,3,0))</f>
        <v/>
      </c>
      <c r="G62" s="231"/>
      <c r="H62" s="221" t="str">
        <f>ifs($B62="","",$B62, VLOOKUP($B62&amp;$E62, 'VISIT DATA'!$A:$O,13,0))</f>
        <v/>
      </c>
      <c r="I62" s="262" t="str">
        <f>VLOOKUP($B62&amp;$E62,'VISIT DATA'!A:J, 9, FALSE)</f>
        <v>#N/A</v>
      </c>
      <c r="J62" s="223" t="str">
        <f>VLOOKUP(B62&amp;E62,'VISIT DATA'!A:N,10,FALSE)</f>
        <v>#N/A</v>
      </c>
      <c r="K62" s="225"/>
      <c r="L62" s="224"/>
      <c r="M62" s="224"/>
      <c r="N62" s="225"/>
      <c r="O62" s="216" t="str">
        <f t="shared" si="1"/>
        <v>X</v>
      </c>
      <c r="P62" s="226" t="str">
        <f t="shared" si="2"/>
        <v>#N/A</v>
      </c>
      <c r="Q62" s="227" t="str">
        <f t="shared" si="3"/>
        <v>#N/A</v>
      </c>
      <c r="R62" s="228" t="str">
        <f t="shared" si="4"/>
        <v>#N/A</v>
      </c>
      <c r="S62" s="220" t="str">
        <f t="shared" si="5"/>
        <v>#N/A</v>
      </c>
      <c r="T62" s="220" t="str">
        <f t="shared" si="6"/>
        <v>#N/A</v>
      </c>
      <c r="U62" s="221">
        <f t="shared" si="7"/>
        <v>0</v>
      </c>
      <c r="V62" s="229" t="str">
        <f>ifs($N62="",VLOOKUP($B62&amp;$E62,'VISIT DATA'!$A$2:$J100,7,FALSE), $N62="SWAB","OUTSA-RW",$N62="SWQU","OUTSA-SaQu", AND($L62="X",$M62="X",$N62="QUEST"),"OUT-UAQPre",$N62="QUEST","OUT-UAQ", $N62="Walk in","ColUATele")</f>
        <v>#N/A</v>
      </c>
      <c r="W62" s="24" t="str">
        <f t="shared" si="8"/>
        <v>#N/A</v>
      </c>
      <c r="X62" s="222" t="str">
        <f t="shared" si="9"/>
        <v/>
      </c>
      <c r="Y62" s="222" t="str">
        <f t="shared" si="10"/>
        <v/>
      </c>
      <c r="Z62" s="224" t="str">
        <f t="shared" si="11"/>
        <v> </v>
      </c>
      <c r="AA62" s="244"/>
    </row>
    <row r="63">
      <c r="A63" s="214" t="str">
        <f>IFS($B63=FALSE,"",$B63,VLOOKUP($B63,'PATIENT DATA (072721)'!A:C, 2, 0))</f>
        <v/>
      </c>
      <c r="B63" s="215"/>
      <c r="C63" s="230" t="str">
        <f>IF(COUNTIF('PATIENT DATA (072721)'!A:A, B63)=0, "X","✓")</f>
        <v>X</v>
      </c>
      <c r="D63" s="226" t="str">
        <f>IFS($B63=FALSE,"",$B63,VLOOKUP($B63,'PATIENT DATA (072721)'!A:C, 3, 0))</f>
        <v/>
      </c>
      <c r="E63" s="218"/>
      <c r="F63" s="219" t="str">
        <f>ifs($B63="","",$B63, VLOOKUP($B63&amp;$E63, 'VISIT DATA'!A:O,3,0))</f>
        <v/>
      </c>
      <c r="G63" s="231"/>
      <c r="H63" s="221" t="str">
        <f>ifs($B63="","",$B63, VLOOKUP($B63&amp;$E63, 'VISIT DATA'!$A:$O,13,0))</f>
        <v/>
      </c>
      <c r="I63" s="262" t="str">
        <f>VLOOKUP($B63&amp;$E63,'VISIT DATA'!A:J, 9, FALSE)</f>
        <v>#N/A</v>
      </c>
      <c r="J63" s="223" t="str">
        <f>VLOOKUP(B63&amp;E63,'VISIT DATA'!A:N,10,FALSE)</f>
        <v>#N/A</v>
      </c>
      <c r="K63" s="225"/>
      <c r="L63" s="224"/>
      <c r="M63" s="224"/>
      <c r="N63" s="225"/>
      <c r="O63" s="216" t="str">
        <f t="shared" si="1"/>
        <v>X</v>
      </c>
      <c r="P63" s="226" t="str">
        <f t="shared" si="2"/>
        <v>#N/A</v>
      </c>
      <c r="Q63" s="227" t="str">
        <f t="shared" si="3"/>
        <v>#N/A</v>
      </c>
      <c r="R63" s="228" t="str">
        <f t="shared" si="4"/>
        <v>#N/A</v>
      </c>
      <c r="S63" s="220" t="str">
        <f t="shared" si="5"/>
        <v>#N/A</v>
      </c>
      <c r="T63" s="220" t="str">
        <f t="shared" si="6"/>
        <v>#N/A</v>
      </c>
      <c r="U63" s="221">
        <f t="shared" si="7"/>
        <v>0</v>
      </c>
      <c r="V63" s="229" t="str">
        <f>ifs($N63="",VLOOKUP($B63&amp;$E63,'VISIT DATA'!$A$2:$J100,7,FALSE), $N63="SWAB","OUTSA-RW",$N63="SWQU","OUTSA-SaQu", AND($L63="X",$M63="X",$N63="QUEST"),"OUT-UAQPre",$N63="QUEST","OUT-UAQ", $N63="Walk in","ColUATele")</f>
        <v>#N/A</v>
      </c>
      <c r="W63" s="24" t="str">
        <f t="shared" si="8"/>
        <v>#N/A</v>
      </c>
      <c r="X63" s="222" t="str">
        <f t="shared" si="9"/>
        <v/>
      </c>
      <c r="Y63" s="222" t="str">
        <f t="shared" si="10"/>
        <v/>
      </c>
      <c r="Z63" s="224" t="str">
        <f t="shared" si="11"/>
        <v> </v>
      </c>
      <c r="AA63" s="244"/>
    </row>
    <row r="64">
      <c r="A64" s="214" t="str">
        <f>IFS($B64=FALSE,"",$B64,VLOOKUP($B64,'PATIENT DATA (072721)'!A:C, 2, 0))</f>
        <v/>
      </c>
      <c r="B64" s="215"/>
      <c r="C64" s="230" t="str">
        <f>IF(COUNTIF('PATIENT DATA (072721)'!A:A, B64)=0, "X","✓")</f>
        <v>X</v>
      </c>
      <c r="D64" s="226" t="str">
        <f>IFS($B64=FALSE,"",$B64,VLOOKUP($B64,'PATIENT DATA (072721)'!A:C, 3, 0))</f>
        <v/>
      </c>
      <c r="E64" s="218"/>
      <c r="F64" s="219" t="str">
        <f>ifs($B64="","",$B64, VLOOKUP($B64&amp;$E64, 'VISIT DATA'!A:O,3,0))</f>
        <v/>
      </c>
      <c r="G64" s="231"/>
      <c r="H64" s="221" t="str">
        <f>ifs($B64="","",$B64, VLOOKUP($B64&amp;$E64, 'VISIT DATA'!$A:$O,13,0))</f>
        <v/>
      </c>
      <c r="I64" s="262" t="str">
        <f>VLOOKUP($B64&amp;$E64,'VISIT DATA'!A:J, 9, FALSE)</f>
        <v>#N/A</v>
      </c>
      <c r="J64" s="223" t="str">
        <f>VLOOKUP(B64&amp;E64,'VISIT DATA'!A:N,10,FALSE)</f>
        <v>#N/A</v>
      </c>
      <c r="K64" s="225"/>
      <c r="L64" s="224"/>
      <c r="M64" s="224"/>
      <c r="N64" s="225"/>
      <c r="O64" s="216" t="str">
        <f t="shared" si="1"/>
        <v>X</v>
      </c>
      <c r="P64" s="226" t="str">
        <f t="shared" si="2"/>
        <v>#N/A</v>
      </c>
      <c r="Q64" s="227" t="str">
        <f t="shared" si="3"/>
        <v>#N/A</v>
      </c>
      <c r="R64" s="228" t="str">
        <f t="shared" si="4"/>
        <v>#N/A</v>
      </c>
      <c r="S64" s="220" t="str">
        <f t="shared" si="5"/>
        <v>#N/A</v>
      </c>
      <c r="T64" s="220" t="str">
        <f t="shared" si="6"/>
        <v>#N/A</v>
      </c>
      <c r="U64" s="221">
        <f t="shared" si="7"/>
        <v>0</v>
      </c>
      <c r="V64" s="229" t="str">
        <f>ifs($N64="",VLOOKUP($B64&amp;$E64,'VISIT DATA'!$A$2:$J100,7,FALSE), $N64="SWAB","OUTSA-RW",$N64="SWQU","OUTSA-SaQu", AND($L64="X",$M64="X",$N64="QUEST"),"OUT-UAQPre",$N64="QUEST","OUT-UAQ", $N64="Walk in","ColUATele")</f>
        <v>#N/A</v>
      </c>
      <c r="W64" s="24" t="str">
        <f t="shared" si="8"/>
        <v>#N/A</v>
      </c>
      <c r="X64" s="222" t="str">
        <f t="shared" si="9"/>
        <v/>
      </c>
      <c r="Y64" s="222" t="str">
        <f t="shared" si="10"/>
        <v/>
      </c>
      <c r="Z64" s="224" t="str">
        <f t="shared" si="11"/>
        <v> </v>
      </c>
      <c r="AA64" s="244"/>
    </row>
    <row r="65">
      <c r="A65" s="214" t="str">
        <f>IFS($B65=FALSE,"",$B65,VLOOKUP($B65,'PATIENT DATA (072721)'!A:C, 2, 0))</f>
        <v/>
      </c>
      <c r="B65" s="215"/>
      <c r="C65" s="230" t="str">
        <f>IF(COUNTIF('PATIENT DATA (072721)'!A:A, B65)=0, "X","✓")</f>
        <v>X</v>
      </c>
      <c r="D65" s="226" t="str">
        <f>IFS($B65=FALSE,"",$B65,VLOOKUP($B65,'PATIENT DATA (072721)'!A:C, 3, 0))</f>
        <v/>
      </c>
      <c r="E65" s="218"/>
      <c r="F65" s="219" t="str">
        <f>ifs($B65="","",$B65, VLOOKUP($B65&amp;$E65, 'VISIT DATA'!A:O,3,0))</f>
        <v/>
      </c>
      <c r="G65" s="231"/>
      <c r="H65" s="221" t="str">
        <f>ifs($B65="","",$B65, VLOOKUP($B65&amp;$E65, 'VISIT DATA'!$A:$O,13,0))</f>
        <v/>
      </c>
      <c r="I65" s="262" t="str">
        <f>VLOOKUP($B65&amp;$E65,'VISIT DATA'!A:J, 9, FALSE)</f>
        <v>#N/A</v>
      </c>
      <c r="J65" s="223" t="str">
        <f>VLOOKUP(B65&amp;E65,'VISIT DATA'!A:N,10,FALSE)</f>
        <v>#N/A</v>
      </c>
      <c r="K65" s="225"/>
      <c r="L65" s="224"/>
      <c r="M65" s="224"/>
      <c r="N65" s="225"/>
      <c r="O65" s="216" t="str">
        <f t="shared" si="1"/>
        <v>X</v>
      </c>
      <c r="P65" s="226" t="str">
        <f t="shared" si="2"/>
        <v>#N/A</v>
      </c>
      <c r="Q65" s="227" t="str">
        <f t="shared" si="3"/>
        <v>#N/A</v>
      </c>
      <c r="R65" s="228" t="str">
        <f t="shared" si="4"/>
        <v>#N/A</v>
      </c>
      <c r="S65" s="220" t="str">
        <f t="shared" si="5"/>
        <v>#N/A</v>
      </c>
      <c r="T65" s="220" t="str">
        <f t="shared" si="6"/>
        <v>#N/A</v>
      </c>
      <c r="U65" s="221">
        <f t="shared" si="7"/>
        <v>0</v>
      </c>
      <c r="V65" s="229" t="str">
        <f>ifs($N65="",VLOOKUP($B65&amp;$E65,'VISIT DATA'!$A$2:$J100,7,FALSE), $N65="SWAB","OUTSA-RW",$N65="SWQU","OUTSA-SaQu", AND($L65="X",$M65="X",$N65="QUEST"),"OUT-UAQPre",$N65="QUEST","OUT-UAQ", $N65="Walk in","ColUATele")</f>
        <v>#N/A</v>
      </c>
      <c r="W65" s="24" t="str">
        <f t="shared" si="8"/>
        <v>#N/A</v>
      </c>
      <c r="X65" s="222" t="str">
        <f t="shared" si="9"/>
        <v/>
      </c>
      <c r="Y65" s="222" t="str">
        <f t="shared" si="10"/>
        <v/>
      </c>
      <c r="Z65" s="224" t="str">
        <f t="shared" si="11"/>
        <v> </v>
      </c>
      <c r="AA65" s="244"/>
    </row>
    <row r="66">
      <c r="A66" s="214" t="str">
        <f>IFS($B66=FALSE,"",$B66,VLOOKUP($B66,'PATIENT DATA (072721)'!A:C, 2, 0))</f>
        <v/>
      </c>
      <c r="B66" s="215"/>
      <c r="C66" s="230" t="str">
        <f>IF(COUNTIF('PATIENT DATA (072721)'!A:A, B66)=0, "X","✓")</f>
        <v>X</v>
      </c>
      <c r="D66" s="226" t="str">
        <f>IFS($B66=FALSE,"",$B66,VLOOKUP($B66,'PATIENT DATA (072721)'!A:C, 3, 0))</f>
        <v/>
      </c>
      <c r="E66" s="218"/>
      <c r="F66" s="219" t="str">
        <f>ifs($B66="","",$B66, VLOOKUP($B66&amp;$E66, 'VISIT DATA'!A:O,3,0))</f>
        <v/>
      </c>
      <c r="G66" s="231"/>
      <c r="H66" s="221" t="str">
        <f>ifs($B66="","",$B66, VLOOKUP($B66&amp;$E66, 'VISIT DATA'!$A:$O,13,0))</f>
        <v/>
      </c>
      <c r="I66" s="262" t="str">
        <f>VLOOKUP($B66&amp;$E66,'VISIT DATA'!A:J, 9, FALSE)</f>
        <v>#N/A</v>
      </c>
      <c r="J66" s="223" t="str">
        <f>VLOOKUP(B66&amp;E66,'VISIT DATA'!A:N,10,FALSE)</f>
        <v>#N/A</v>
      </c>
      <c r="K66" s="225"/>
      <c r="L66" s="224"/>
      <c r="M66" s="224"/>
      <c r="N66" s="225"/>
      <c r="O66" s="216" t="str">
        <f t="shared" si="1"/>
        <v>X</v>
      </c>
      <c r="P66" s="226" t="str">
        <f t="shared" si="2"/>
        <v>#N/A</v>
      </c>
      <c r="Q66" s="227" t="str">
        <f t="shared" si="3"/>
        <v>#N/A</v>
      </c>
      <c r="R66" s="228" t="str">
        <f t="shared" si="4"/>
        <v>#N/A</v>
      </c>
      <c r="S66" s="220" t="str">
        <f t="shared" si="5"/>
        <v>#N/A</v>
      </c>
      <c r="T66" s="220" t="str">
        <f t="shared" si="6"/>
        <v>#N/A</v>
      </c>
      <c r="U66" s="221">
        <f t="shared" si="7"/>
        <v>0</v>
      </c>
      <c r="V66" s="229" t="str">
        <f>ifs($N66="",VLOOKUP($B66&amp;$E66,'VISIT DATA'!$A$2:$J100,7,FALSE), $N66="SWAB","OUTSA-RW",$N66="SWQU","OUTSA-SaQu", AND($L66="X",$M66="X",$N66="QUEST"),"OUT-UAQPre",$N66="QUEST","OUT-UAQ", $N66="Walk in","ColUATele")</f>
        <v>#N/A</v>
      </c>
      <c r="W66" s="24" t="str">
        <f t="shared" si="8"/>
        <v>#N/A</v>
      </c>
      <c r="X66" s="222" t="str">
        <f t="shared" si="9"/>
        <v/>
      </c>
      <c r="Y66" s="222" t="str">
        <f t="shared" si="10"/>
        <v/>
      </c>
      <c r="Z66" s="224" t="str">
        <f t="shared" si="11"/>
        <v> </v>
      </c>
      <c r="AA66" s="244"/>
    </row>
    <row r="67">
      <c r="A67" s="214" t="str">
        <f>IFS($B67=FALSE,"",$B67,VLOOKUP($B67,'PATIENT DATA (072721)'!A:C, 2, 0))</f>
        <v/>
      </c>
      <c r="B67" s="215"/>
      <c r="C67" s="230" t="str">
        <f>IF(COUNTIF('PATIENT DATA (072721)'!A:A, B67)=0, "X","✓")</f>
        <v>X</v>
      </c>
      <c r="D67" s="226" t="str">
        <f>IFS($B67=FALSE,"",$B67,VLOOKUP($B67,'PATIENT DATA (072721)'!A:C, 3, 0))</f>
        <v/>
      </c>
      <c r="E67" s="218"/>
      <c r="F67" s="219" t="str">
        <f>ifs($B67="","",$B67, VLOOKUP($B67&amp;$E67, 'VISIT DATA'!A:O,3,0))</f>
        <v/>
      </c>
      <c r="G67" s="231"/>
      <c r="H67" s="221" t="str">
        <f>ifs($B67="","",$B67, VLOOKUP($B67&amp;$E67, 'VISIT DATA'!$A:$O,13,0))</f>
        <v/>
      </c>
      <c r="I67" s="262" t="str">
        <f>VLOOKUP($B67&amp;$E67,'VISIT DATA'!A:J, 9, FALSE)</f>
        <v>#N/A</v>
      </c>
      <c r="J67" s="223" t="str">
        <f>VLOOKUP(B67&amp;E67,'VISIT DATA'!A:N,10,FALSE)</f>
        <v>#N/A</v>
      </c>
      <c r="K67" s="225"/>
      <c r="L67" s="224"/>
      <c r="M67" s="224"/>
      <c r="N67" s="225"/>
      <c r="O67" s="216" t="str">
        <f t="shared" si="1"/>
        <v>X</v>
      </c>
      <c r="P67" s="226" t="str">
        <f t="shared" si="2"/>
        <v>#N/A</v>
      </c>
      <c r="Q67" s="227" t="str">
        <f t="shared" si="3"/>
        <v>#N/A</v>
      </c>
      <c r="R67" s="228" t="str">
        <f t="shared" si="4"/>
        <v>#N/A</v>
      </c>
      <c r="S67" s="220" t="str">
        <f t="shared" si="5"/>
        <v>#N/A</v>
      </c>
      <c r="T67" s="220" t="str">
        <f t="shared" si="6"/>
        <v>#N/A</v>
      </c>
      <c r="U67" s="221">
        <f t="shared" si="7"/>
        <v>0</v>
      </c>
      <c r="V67" s="229" t="str">
        <f>ifs($N67="",VLOOKUP($B67&amp;$E67,'VISIT DATA'!$A$2:$J100,7,FALSE), $N67="SWAB","OUTSA-RW",$N67="SWQU","OUTSA-SaQu", AND($L67="X",$M67="X",$N67="QUEST"),"OUT-UAQPre",$N67="QUEST","OUT-UAQ", $N67="Walk in","ColUATele")</f>
        <v>#N/A</v>
      </c>
      <c r="W67" s="24" t="str">
        <f t="shared" si="8"/>
        <v>#N/A</v>
      </c>
      <c r="X67" s="222" t="str">
        <f t="shared" si="9"/>
        <v/>
      </c>
      <c r="Y67" s="222" t="str">
        <f t="shared" si="10"/>
        <v/>
      </c>
      <c r="Z67" s="224" t="str">
        <f t="shared" si="11"/>
        <v> </v>
      </c>
      <c r="AA67" s="244"/>
    </row>
    <row r="68">
      <c r="A68" s="214" t="str">
        <f>IFS($B68=FALSE,"",$B68,VLOOKUP($B68,'PATIENT DATA (072721)'!A:C, 2, 0))</f>
        <v/>
      </c>
      <c r="B68" s="215"/>
      <c r="C68" s="230" t="str">
        <f>IF(COUNTIF('PATIENT DATA (072721)'!A:A, B68)=0, "X","✓")</f>
        <v>X</v>
      </c>
      <c r="D68" s="226" t="str">
        <f>IFS($B68=FALSE,"",$B68,VLOOKUP($B68,'PATIENT DATA (072721)'!A:C, 3, 0))</f>
        <v/>
      </c>
      <c r="E68" s="218"/>
      <c r="F68" s="219" t="str">
        <f>ifs($B68="","",$B68, VLOOKUP($B68&amp;$E68, 'VISIT DATA'!A:O,3,0))</f>
        <v/>
      </c>
      <c r="G68" s="231"/>
      <c r="H68" s="221" t="str">
        <f>ifs($B68="","",$B68, VLOOKUP($B68&amp;$E68, 'VISIT DATA'!$A:$O,13,0))</f>
        <v/>
      </c>
      <c r="I68" s="262" t="str">
        <f>VLOOKUP($B68&amp;$E68,'VISIT DATA'!A:J, 9, FALSE)</f>
        <v>#N/A</v>
      </c>
      <c r="J68" s="223" t="str">
        <f>VLOOKUP(B68&amp;E68,'VISIT DATA'!A:N,10,FALSE)</f>
        <v>#N/A</v>
      </c>
      <c r="K68" s="225"/>
      <c r="L68" s="224"/>
      <c r="M68" s="224"/>
      <c r="N68" s="225"/>
      <c r="O68" s="216" t="str">
        <f t="shared" si="1"/>
        <v>X</v>
      </c>
      <c r="P68" s="226" t="str">
        <f t="shared" si="2"/>
        <v>#N/A</v>
      </c>
      <c r="Q68" s="227" t="str">
        <f t="shared" si="3"/>
        <v>#N/A</v>
      </c>
      <c r="R68" s="228" t="str">
        <f t="shared" si="4"/>
        <v>#N/A</v>
      </c>
      <c r="S68" s="220" t="str">
        <f t="shared" si="5"/>
        <v>#N/A</v>
      </c>
      <c r="T68" s="220" t="str">
        <f t="shared" si="6"/>
        <v>#N/A</v>
      </c>
      <c r="U68" s="221">
        <f t="shared" si="7"/>
        <v>0</v>
      </c>
      <c r="V68" s="229" t="str">
        <f>ifs($N68="",VLOOKUP($B68&amp;$E68,'VISIT DATA'!$A$2:$J100,7,FALSE), $N68="SWAB","OUTSA-RW",$N68="SWQU","OUTSA-SaQu", AND($L68="X",$M68="X",$N68="QUEST"),"OUT-UAQPre",$N68="QUEST","OUT-UAQ", $N68="Walk in","ColUATele")</f>
        <v>#N/A</v>
      </c>
      <c r="W68" s="24" t="str">
        <f t="shared" si="8"/>
        <v>#N/A</v>
      </c>
      <c r="X68" s="222" t="str">
        <f t="shared" si="9"/>
        <v/>
      </c>
      <c r="Y68" s="222" t="str">
        <f t="shared" si="10"/>
        <v/>
      </c>
      <c r="Z68" s="224" t="str">
        <f t="shared" si="11"/>
        <v> </v>
      </c>
      <c r="AA68" s="244"/>
    </row>
    <row r="69">
      <c r="A69" s="214" t="str">
        <f>IFS($B69=FALSE,"",$B69,VLOOKUP($B69,'PATIENT DATA (072721)'!A:C, 2, 0))</f>
        <v/>
      </c>
      <c r="B69" s="215"/>
      <c r="C69" s="230" t="str">
        <f>IF(COUNTIF('PATIENT DATA (072721)'!A:A, B69)=0, "X","✓")</f>
        <v>X</v>
      </c>
      <c r="D69" s="226" t="str">
        <f>IFS($B69=FALSE,"",$B69,VLOOKUP($B69,'PATIENT DATA (072721)'!A:C, 3, 0))</f>
        <v/>
      </c>
      <c r="E69" s="218"/>
      <c r="F69" s="219" t="str">
        <f>ifs($B69="","",$B69, VLOOKUP($B69&amp;$E69, 'VISIT DATA'!A:O,3,0))</f>
        <v/>
      </c>
      <c r="G69" s="231"/>
      <c r="H69" s="221" t="str">
        <f>ifs($B69="","",$B69, VLOOKUP($B69&amp;$E69, 'VISIT DATA'!$A:$O,13,0))</f>
        <v/>
      </c>
      <c r="I69" s="262" t="str">
        <f>VLOOKUP($B69&amp;$E69,'VISIT DATA'!A:J, 9, FALSE)</f>
        <v>#N/A</v>
      </c>
      <c r="J69" s="223" t="str">
        <f>VLOOKUP(B69&amp;E69,'VISIT DATA'!A:N,10,FALSE)</f>
        <v>#N/A</v>
      </c>
      <c r="K69" s="224"/>
      <c r="L69" s="224"/>
      <c r="M69" s="224"/>
      <c r="N69" s="225"/>
      <c r="O69" s="216" t="str">
        <f t="shared" si="1"/>
        <v>X</v>
      </c>
      <c r="P69" s="226" t="str">
        <f t="shared" si="2"/>
        <v>#N/A</v>
      </c>
      <c r="Q69" s="227" t="str">
        <f t="shared" si="3"/>
        <v>#N/A</v>
      </c>
      <c r="R69" s="228" t="str">
        <f t="shared" si="4"/>
        <v>#N/A</v>
      </c>
      <c r="S69" s="220" t="str">
        <f t="shared" si="5"/>
        <v>#N/A</v>
      </c>
      <c r="T69" s="220" t="str">
        <f t="shared" si="6"/>
        <v>#N/A</v>
      </c>
      <c r="U69" s="221">
        <f t="shared" si="7"/>
        <v>0</v>
      </c>
      <c r="V69" s="229" t="str">
        <f>ifs($N69="",VLOOKUP($B69&amp;$E69,'VISIT DATA'!$A$2:$J100,7,FALSE), $N69="SWAB","OUTSA-RW",$N69="SWQU","OUTSA-SaQu", AND($L69="X",$M69="X",$N69="QUEST"),"OUT-UAQPre",$N69="QUEST","OUT-UAQ", $N69="Walk in","ColUATele")</f>
        <v>#N/A</v>
      </c>
      <c r="W69" s="24" t="str">
        <f t="shared" si="8"/>
        <v>#N/A</v>
      </c>
      <c r="X69" s="222" t="str">
        <f t="shared" si="9"/>
        <v/>
      </c>
      <c r="Y69" s="222" t="str">
        <f t="shared" si="10"/>
        <v/>
      </c>
      <c r="Z69" s="224" t="str">
        <f t="shared" si="11"/>
        <v> </v>
      </c>
      <c r="AA69" s="244"/>
    </row>
    <row r="70">
      <c r="A70" s="214" t="str">
        <f>IFS($B70=FALSE,"",$B70,VLOOKUP($B70,'PATIENT DATA (072721)'!A:C, 2, 0))</f>
        <v/>
      </c>
      <c r="B70" s="215"/>
      <c r="C70" s="230" t="str">
        <f>IF(COUNTIF('PATIENT DATA (072721)'!A:A, B70)=0, "X","✓")</f>
        <v>X</v>
      </c>
      <c r="D70" s="226" t="str">
        <f>IFS($B70=FALSE,"",$B70,VLOOKUP($B70,'PATIENT DATA (072721)'!A:C, 3, 0))</f>
        <v/>
      </c>
      <c r="E70" s="218"/>
      <c r="F70" s="219" t="str">
        <f>ifs($B70="","",$B70, VLOOKUP($B70&amp;$E70, 'VISIT DATA'!A:O,3,0))</f>
        <v/>
      </c>
      <c r="G70" s="231"/>
      <c r="H70" s="221" t="str">
        <f>ifs($B70="","",$B70, VLOOKUP($B70&amp;$E70, 'VISIT DATA'!$A:$O,13,0))</f>
        <v/>
      </c>
      <c r="I70" s="262" t="str">
        <f>VLOOKUP($B70&amp;$E70,'VISIT DATA'!A:J, 9, FALSE)</f>
        <v>#N/A</v>
      </c>
      <c r="J70" s="223" t="str">
        <f>VLOOKUP(B70&amp;E70,'VISIT DATA'!A:N,10,FALSE)</f>
        <v>#N/A</v>
      </c>
      <c r="K70" s="224"/>
      <c r="L70" s="224"/>
      <c r="M70" s="224"/>
      <c r="N70" s="225"/>
      <c r="O70" s="216" t="str">
        <f t="shared" si="1"/>
        <v>X</v>
      </c>
      <c r="P70" s="226" t="str">
        <f t="shared" si="2"/>
        <v>#N/A</v>
      </c>
      <c r="Q70" s="227" t="str">
        <f t="shared" si="3"/>
        <v>#N/A</v>
      </c>
      <c r="R70" s="228" t="str">
        <f t="shared" si="4"/>
        <v>#N/A</v>
      </c>
      <c r="S70" s="220" t="str">
        <f t="shared" si="5"/>
        <v>#N/A</v>
      </c>
      <c r="T70" s="220" t="str">
        <f t="shared" si="6"/>
        <v>#N/A</v>
      </c>
      <c r="U70" s="221">
        <f t="shared" si="7"/>
        <v>0</v>
      </c>
      <c r="V70" s="229" t="str">
        <f>ifs($N70="",VLOOKUP($B70&amp;$E70,'VISIT DATA'!$A$2:$J100,7,FALSE), $N70="SWAB","OUTSA-RW",$N70="SWQU","OUTSA-SaQu", AND($L70="X",$M70="X",$N70="QUEST"),"OUT-UAQPre",$N70="QUEST","OUT-UAQ", $N70="Walk in","ColUATele")</f>
        <v>#N/A</v>
      </c>
      <c r="W70" s="24" t="str">
        <f t="shared" si="8"/>
        <v>#N/A</v>
      </c>
      <c r="X70" s="222" t="str">
        <f t="shared" si="9"/>
        <v/>
      </c>
      <c r="Y70" s="222" t="str">
        <f t="shared" si="10"/>
        <v/>
      </c>
      <c r="Z70" s="224" t="str">
        <f t="shared" si="11"/>
        <v> </v>
      </c>
      <c r="AA70" s="244"/>
    </row>
    <row r="71">
      <c r="A71" s="214" t="str">
        <f>IFS($B71=FALSE,"",$B71,VLOOKUP($B71,'PATIENT DATA (072721)'!A:C, 2, 0))</f>
        <v/>
      </c>
      <c r="B71" s="215"/>
      <c r="C71" s="230" t="str">
        <f>IF(COUNTIF('PATIENT DATA (072721)'!A:A, B71)=0, "X","✓")</f>
        <v>X</v>
      </c>
      <c r="D71" s="226" t="str">
        <f>IFS($B71=FALSE,"",$B71,VLOOKUP($B71,'PATIENT DATA (072721)'!A:C, 3, 0))</f>
        <v/>
      </c>
      <c r="E71" s="218"/>
      <c r="F71" s="219" t="str">
        <f>ifs($B71="","",$B71, VLOOKUP($B71&amp;$E71, 'VISIT DATA'!A:O,3,0))</f>
        <v/>
      </c>
      <c r="G71" s="231"/>
      <c r="H71" s="221" t="str">
        <f>ifs($B71="","",$B71, VLOOKUP($B71&amp;$E71, 'VISIT DATA'!$A:$O,13,0))</f>
        <v/>
      </c>
      <c r="I71" s="262" t="str">
        <f>VLOOKUP($B71&amp;$E71,'VISIT DATA'!A:J, 9, FALSE)</f>
        <v>#N/A</v>
      </c>
      <c r="J71" s="223" t="str">
        <f>VLOOKUP(B71&amp;E71,'VISIT DATA'!A:N,10,FALSE)</f>
        <v>#N/A</v>
      </c>
      <c r="K71" s="225"/>
      <c r="L71" s="224"/>
      <c r="M71" s="224"/>
      <c r="N71" s="225"/>
      <c r="O71" s="216" t="str">
        <f t="shared" si="1"/>
        <v>X</v>
      </c>
      <c r="P71" s="226" t="str">
        <f t="shared" si="2"/>
        <v>#N/A</v>
      </c>
      <c r="Q71" s="227" t="str">
        <f t="shared" si="3"/>
        <v>#N/A</v>
      </c>
      <c r="R71" s="228" t="str">
        <f t="shared" si="4"/>
        <v>#N/A</v>
      </c>
      <c r="S71" s="220" t="str">
        <f t="shared" si="5"/>
        <v>#N/A</v>
      </c>
      <c r="T71" s="220" t="str">
        <f t="shared" si="6"/>
        <v>#N/A</v>
      </c>
      <c r="U71" s="221">
        <f t="shared" si="7"/>
        <v>0</v>
      </c>
      <c r="V71" s="229" t="str">
        <f>ifs($N71="",VLOOKUP($B71&amp;$E71,'VISIT DATA'!$A$2:$J100,7,FALSE), $N71="SWAB","OUTSA-RW",$N71="SWQU","OUTSA-SaQu", AND($L71="X",$M71="X",$N71="QUEST"),"OUT-UAQPre",$N71="QUEST","OUT-UAQ", $N71="Walk in","ColUATele")</f>
        <v>#N/A</v>
      </c>
      <c r="W71" s="24" t="str">
        <f t="shared" si="8"/>
        <v>#N/A</v>
      </c>
      <c r="X71" s="222" t="str">
        <f t="shared" si="9"/>
        <v/>
      </c>
      <c r="Y71" s="222" t="str">
        <f t="shared" si="10"/>
        <v/>
      </c>
      <c r="Z71" s="224" t="str">
        <f t="shared" si="11"/>
        <v> </v>
      </c>
      <c r="AA71" s="244"/>
    </row>
    <row r="72">
      <c r="A72" s="214" t="str">
        <f>IFS($B72=FALSE,"",$B72,VLOOKUP($B72,'PATIENT DATA (072721)'!A:C, 2, 0))</f>
        <v/>
      </c>
      <c r="B72" s="215"/>
      <c r="C72" s="230" t="str">
        <f>IF(COUNTIF('PATIENT DATA (072721)'!A:A, B72)=0, "X","✓")</f>
        <v>X</v>
      </c>
      <c r="D72" s="226" t="str">
        <f>IFS($B72=FALSE,"",$B72,VLOOKUP($B72,'PATIENT DATA (072721)'!A:C, 3, 0))</f>
        <v/>
      </c>
      <c r="E72" s="218"/>
      <c r="F72" s="219" t="str">
        <f>ifs($B72="","",$B72, VLOOKUP($B72&amp;$E72, 'VISIT DATA'!A:O,3,0))</f>
        <v/>
      </c>
      <c r="G72" s="231"/>
      <c r="H72" s="221" t="str">
        <f>ifs($B72="","",$B72, VLOOKUP($B72&amp;$E72, 'VISIT DATA'!$A:$O,13,0))</f>
        <v/>
      </c>
      <c r="I72" s="262" t="str">
        <f>VLOOKUP($B72&amp;$E72,'VISIT DATA'!A:J, 9, FALSE)</f>
        <v>#N/A</v>
      </c>
      <c r="J72" s="223" t="str">
        <f>VLOOKUP(B72&amp;E72,'VISIT DATA'!A:N,10,FALSE)</f>
        <v>#N/A</v>
      </c>
      <c r="K72" s="225"/>
      <c r="L72" s="224"/>
      <c r="M72" s="224"/>
      <c r="N72" s="225"/>
      <c r="O72" s="216" t="str">
        <f t="shared" si="1"/>
        <v>X</v>
      </c>
      <c r="P72" s="226" t="str">
        <f t="shared" si="2"/>
        <v>#N/A</v>
      </c>
      <c r="Q72" s="227" t="str">
        <f t="shared" si="3"/>
        <v>#N/A</v>
      </c>
      <c r="R72" s="228" t="str">
        <f t="shared" si="4"/>
        <v>#N/A</v>
      </c>
      <c r="S72" s="220" t="str">
        <f t="shared" si="5"/>
        <v>#N/A</v>
      </c>
      <c r="T72" s="220" t="str">
        <f t="shared" si="6"/>
        <v>#N/A</v>
      </c>
      <c r="U72" s="221">
        <f t="shared" si="7"/>
        <v>0</v>
      </c>
      <c r="V72" s="229" t="str">
        <f>ifs($N72="",VLOOKUP($B72&amp;$E72,'VISIT DATA'!$A$2:$J100,7,FALSE), $N72="SWAB","OUTSA-RW",$N72="SWQU","OUTSA-SaQu", AND($L72="X",$M72="X",$N72="QUEST"),"OUT-UAQPre",$N72="QUEST","OUT-UAQ", $N72="Walk in","ColUATele")</f>
        <v>#N/A</v>
      </c>
      <c r="W72" s="24" t="str">
        <f t="shared" si="8"/>
        <v>#N/A</v>
      </c>
      <c r="X72" s="222" t="str">
        <f t="shared" si="9"/>
        <v/>
      </c>
      <c r="Y72" s="222" t="str">
        <f t="shared" si="10"/>
        <v/>
      </c>
      <c r="Z72" s="224" t="str">
        <f t="shared" si="11"/>
        <v> </v>
      </c>
      <c r="AA72" s="244"/>
    </row>
    <row r="73">
      <c r="A73" s="214" t="str">
        <f>IFS($B73=FALSE,"",$B73,VLOOKUP($B73,'PATIENT DATA (072721)'!A:C, 2, 0))</f>
        <v/>
      </c>
      <c r="B73" s="215"/>
      <c r="C73" s="230" t="str">
        <f>IF(COUNTIF('PATIENT DATA (072721)'!A:A, B73)=0, "X","✓")</f>
        <v>X</v>
      </c>
      <c r="D73" s="226" t="str">
        <f>IFS($B73=FALSE,"",$B73,VLOOKUP($B73,'PATIENT DATA (072721)'!A:C, 3, 0))</f>
        <v/>
      </c>
      <c r="E73" s="218"/>
      <c r="F73" s="219" t="str">
        <f>ifs($B73="","",$B73, VLOOKUP($B73&amp;$E73, 'VISIT DATA'!A:O,3,0))</f>
        <v/>
      </c>
      <c r="G73" s="231"/>
      <c r="H73" s="221" t="str">
        <f>ifs($B73="","",$B73, VLOOKUP($B73&amp;$E73, 'VISIT DATA'!$A:$O,13,0))</f>
        <v/>
      </c>
      <c r="I73" s="262" t="str">
        <f>VLOOKUP($B73&amp;$E73,'VISIT DATA'!A:J, 9, FALSE)</f>
        <v>#N/A</v>
      </c>
      <c r="J73" s="223" t="str">
        <f>VLOOKUP(B73&amp;E73,'VISIT DATA'!A:N,10,FALSE)</f>
        <v>#N/A</v>
      </c>
      <c r="K73" s="225"/>
      <c r="L73" s="224"/>
      <c r="M73" s="224"/>
      <c r="N73" s="225"/>
      <c r="O73" s="216" t="str">
        <f t="shared" si="1"/>
        <v>X</v>
      </c>
      <c r="P73" s="226" t="str">
        <f t="shared" si="2"/>
        <v>#N/A</v>
      </c>
      <c r="Q73" s="227" t="str">
        <f t="shared" si="3"/>
        <v>#N/A</v>
      </c>
      <c r="R73" s="228" t="str">
        <f t="shared" si="4"/>
        <v>#N/A</v>
      </c>
      <c r="S73" s="220" t="str">
        <f t="shared" si="5"/>
        <v>#N/A</v>
      </c>
      <c r="T73" s="220" t="str">
        <f t="shared" si="6"/>
        <v>#N/A</v>
      </c>
      <c r="U73" s="221">
        <f t="shared" si="7"/>
        <v>0</v>
      </c>
      <c r="V73" s="229" t="str">
        <f>ifs($N73="",VLOOKUP($B73&amp;$E73,'VISIT DATA'!$A$2:$J100,7,FALSE), $N73="SWAB","OUTSA-RW",$N73="SWQU","OUTSA-SaQu", AND($L73="X",$M73="X",$N73="QUEST"),"OUT-UAQPre",$N73="QUEST","OUT-UAQ", $N73="Walk in","ColUATele")</f>
        <v>#N/A</v>
      </c>
      <c r="W73" s="24" t="str">
        <f t="shared" si="8"/>
        <v>#N/A</v>
      </c>
      <c r="X73" s="222" t="str">
        <f t="shared" si="9"/>
        <v/>
      </c>
      <c r="Y73" s="222" t="str">
        <f t="shared" si="10"/>
        <v/>
      </c>
      <c r="Z73" s="224" t="str">
        <f t="shared" si="11"/>
        <v> </v>
      </c>
      <c r="AA73" s="244"/>
    </row>
    <row r="74">
      <c r="A74" s="214" t="str">
        <f>IFS($B74=FALSE,"",$B74,VLOOKUP($B74,'PATIENT DATA (072721)'!A:C, 2, 0))</f>
        <v/>
      </c>
      <c r="B74" s="215"/>
      <c r="C74" s="230" t="str">
        <f>IF(COUNTIF('PATIENT DATA (072721)'!A:A, B74)=0, "X","✓")</f>
        <v>X</v>
      </c>
      <c r="D74" s="226" t="str">
        <f>IFS($B74=FALSE,"",$B74,VLOOKUP($B74,'PATIENT DATA (072721)'!A:C, 3, 0))</f>
        <v/>
      </c>
      <c r="E74" s="218"/>
      <c r="F74" s="219" t="str">
        <f>ifs($B74="","",$B74, VLOOKUP($B74&amp;$E74, 'VISIT DATA'!A:O,3,0))</f>
        <v/>
      </c>
      <c r="G74" s="231"/>
      <c r="H74" s="221" t="str">
        <f>ifs($B74="","",$B74, VLOOKUP($B74&amp;$E74, 'VISIT DATA'!$A:$O,13,0))</f>
        <v/>
      </c>
      <c r="I74" s="262" t="str">
        <f>VLOOKUP($B74&amp;$E74,'VISIT DATA'!A:J, 9, FALSE)</f>
        <v>#N/A</v>
      </c>
      <c r="J74" s="223" t="str">
        <f>VLOOKUP(B74&amp;E74,'VISIT DATA'!A:N,10,FALSE)</f>
        <v>#N/A</v>
      </c>
      <c r="K74" s="225"/>
      <c r="L74" s="224"/>
      <c r="M74" s="224"/>
      <c r="N74" s="225"/>
      <c r="O74" s="216" t="str">
        <f t="shared" si="1"/>
        <v>X</v>
      </c>
      <c r="P74" s="226" t="str">
        <f t="shared" si="2"/>
        <v>#N/A</v>
      </c>
      <c r="Q74" s="227" t="str">
        <f t="shared" si="3"/>
        <v>#N/A</v>
      </c>
      <c r="R74" s="228" t="str">
        <f t="shared" si="4"/>
        <v>#N/A</v>
      </c>
      <c r="S74" s="220" t="str">
        <f t="shared" si="5"/>
        <v>#N/A</v>
      </c>
      <c r="T74" s="220" t="str">
        <f t="shared" si="6"/>
        <v>#N/A</v>
      </c>
      <c r="U74" s="221">
        <f t="shared" si="7"/>
        <v>0</v>
      </c>
      <c r="V74" s="229" t="str">
        <f>ifs($N74="",VLOOKUP($B74&amp;$E74,'VISIT DATA'!$A$2:$J100,7,FALSE), $N74="SWAB","OUTSA-RW",$N74="SWQU","OUTSA-SaQu", AND($L74="X",$M74="X",$N74="QUEST"),"OUT-UAQPre",$N74="QUEST","OUT-UAQ", $N74="Walk in","ColUATele")</f>
        <v>#N/A</v>
      </c>
      <c r="W74" s="24" t="str">
        <f t="shared" si="8"/>
        <v>#N/A</v>
      </c>
      <c r="X74" s="222" t="str">
        <f t="shared" si="9"/>
        <v/>
      </c>
      <c r="Y74" s="222" t="str">
        <f t="shared" si="10"/>
        <v/>
      </c>
      <c r="Z74" s="224" t="str">
        <f t="shared" si="11"/>
        <v> </v>
      </c>
      <c r="AA74" s="244"/>
    </row>
    <row r="75">
      <c r="A75" s="214" t="str">
        <f>IFS($B75=FALSE,"",$B75,VLOOKUP($B75,'PATIENT DATA (072721)'!A:C, 2, 0))</f>
        <v/>
      </c>
      <c r="B75" s="215"/>
      <c r="C75" s="230" t="str">
        <f>IF(COUNTIF('PATIENT DATA (072721)'!A:A, B75)=0, "X","✓")</f>
        <v>X</v>
      </c>
      <c r="D75" s="226" t="str">
        <f>IFS($B75=FALSE,"",$B75,VLOOKUP($B75,'PATIENT DATA (072721)'!A:C, 3, 0))</f>
        <v/>
      </c>
      <c r="E75" s="218"/>
      <c r="F75" s="219" t="str">
        <f>ifs($B75="","",$B75, VLOOKUP($B75&amp;$E75, 'VISIT DATA'!A:O,3,0))</f>
        <v/>
      </c>
      <c r="G75" s="231"/>
      <c r="H75" s="221" t="str">
        <f>ifs($B75="","",$B75, VLOOKUP($B75&amp;$E75, 'VISIT DATA'!$A:$O,13,0))</f>
        <v/>
      </c>
      <c r="I75" s="262" t="str">
        <f>VLOOKUP($B75&amp;$E75,'VISIT DATA'!A:J, 9, FALSE)</f>
        <v>#N/A</v>
      </c>
      <c r="J75" s="223" t="str">
        <f>VLOOKUP(B75&amp;E75,'VISIT DATA'!A:N,10,FALSE)</f>
        <v>#N/A</v>
      </c>
      <c r="K75" s="225"/>
      <c r="L75" s="224"/>
      <c r="M75" s="224"/>
      <c r="N75" s="225"/>
      <c r="O75" s="216" t="str">
        <f t="shared" si="1"/>
        <v>X</v>
      </c>
      <c r="P75" s="226" t="str">
        <f t="shared" si="2"/>
        <v>#N/A</v>
      </c>
      <c r="Q75" s="227" t="str">
        <f t="shared" si="3"/>
        <v>#N/A</v>
      </c>
      <c r="R75" s="228" t="str">
        <f t="shared" si="4"/>
        <v>#N/A</v>
      </c>
      <c r="S75" s="220" t="str">
        <f t="shared" si="5"/>
        <v>#N/A</v>
      </c>
      <c r="T75" s="220" t="str">
        <f t="shared" si="6"/>
        <v>#N/A</v>
      </c>
      <c r="U75" s="221">
        <f t="shared" si="7"/>
        <v>0</v>
      </c>
      <c r="V75" s="229" t="str">
        <f>ifs($N75="",VLOOKUP($B75&amp;$E75,'VISIT DATA'!$A$2:$J100,7,FALSE), $N75="SWAB","OUTSA-RW",$N75="SWQU","OUTSA-SaQu", AND($L75="X",$M75="X",$N75="QUEST"),"OUT-UAQPre",$N75="QUEST","OUT-UAQ", $N75="Walk in","ColUATele")</f>
        <v>#N/A</v>
      </c>
      <c r="W75" s="24" t="str">
        <f t="shared" si="8"/>
        <v>#N/A</v>
      </c>
      <c r="X75" s="222" t="str">
        <f t="shared" si="9"/>
        <v/>
      </c>
      <c r="Y75" s="222" t="str">
        <f t="shared" si="10"/>
        <v/>
      </c>
      <c r="Z75" s="224" t="str">
        <f t="shared" si="11"/>
        <v> </v>
      </c>
      <c r="AA75" s="244"/>
    </row>
    <row r="76">
      <c r="A76" s="214" t="str">
        <f>IFS($B76=FALSE,"",$B76,VLOOKUP($B76,'PATIENT DATA (072721)'!A:C, 2, 0))</f>
        <v/>
      </c>
      <c r="B76" s="215"/>
      <c r="C76" s="230" t="str">
        <f>IF(COUNTIF('PATIENT DATA (072721)'!A:A, B76)=0, "X","✓")</f>
        <v>X</v>
      </c>
      <c r="D76" s="226" t="str">
        <f>IFS($B76=FALSE,"",$B76,VLOOKUP($B76,'PATIENT DATA (072721)'!A:C, 3, 0))</f>
        <v/>
      </c>
      <c r="E76" s="218"/>
      <c r="F76" s="219" t="str">
        <f>ifs($B76="","",$B76, VLOOKUP($B76&amp;$E76, 'VISIT DATA'!A:O,3,0))</f>
        <v/>
      </c>
      <c r="G76" s="231"/>
      <c r="H76" s="221" t="str">
        <f>ifs($B76="","",$B76, VLOOKUP($B76&amp;$E76, 'VISIT DATA'!$A:$O,13,0))</f>
        <v/>
      </c>
      <c r="I76" s="262" t="str">
        <f>VLOOKUP($B76&amp;$E76,'VISIT DATA'!A:J, 9, FALSE)</f>
        <v>#N/A</v>
      </c>
      <c r="J76" s="223" t="str">
        <f>VLOOKUP(B76&amp;E76,'VISIT DATA'!A:N,10,FALSE)</f>
        <v>#N/A</v>
      </c>
      <c r="K76" s="225"/>
      <c r="L76" s="224"/>
      <c r="M76" s="224"/>
      <c r="N76" s="225"/>
      <c r="O76" s="216" t="str">
        <f t="shared" si="1"/>
        <v>X</v>
      </c>
      <c r="P76" s="226" t="str">
        <f t="shared" si="2"/>
        <v>#N/A</v>
      </c>
      <c r="Q76" s="227" t="str">
        <f t="shared" si="3"/>
        <v>#N/A</v>
      </c>
      <c r="R76" s="228" t="str">
        <f t="shared" si="4"/>
        <v>#N/A</v>
      </c>
      <c r="S76" s="220" t="str">
        <f t="shared" si="5"/>
        <v>#N/A</v>
      </c>
      <c r="T76" s="220" t="str">
        <f t="shared" si="6"/>
        <v>#N/A</v>
      </c>
      <c r="U76" s="221">
        <f t="shared" si="7"/>
        <v>0</v>
      </c>
      <c r="V76" s="229" t="str">
        <f>ifs($N76="",VLOOKUP($B76&amp;$E76,'VISIT DATA'!$A$2:$J100,7,FALSE), $N76="SWAB","OUTSA-RW",$N76="SWQU","OUTSA-SaQu", AND($L76="X",$M76="X",$N76="QUEST"),"OUT-UAQPre",$N76="QUEST","OUT-UAQ", $N76="Walk in","ColUATele")</f>
        <v>#N/A</v>
      </c>
      <c r="W76" s="24" t="str">
        <f t="shared" si="8"/>
        <v>#N/A</v>
      </c>
      <c r="X76" s="222" t="str">
        <f t="shared" si="9"/>
        <v/>
      </c>
      <c r="Y76" s="222" t="str">
        <f t="shared" si="10"/>
        <v/>
      </c>
      <c r="Z76" s="224" t="str">
        <f t="shared" si="11"/>
        <v> </v>
      </c>
      <c r="AA76" s="244"/>
    </row>
    <row r="77">
      <c r="A77" s="214" t="str">
        <f>IFS($B77=FALSE,"",$B77,VLOOKUP($B77,'PATIENT DATA (072721)'!A:C, 2, 0))</f>
        <v/>
      </c>
      <c r="B77" s="215"/>
      <c r="C77" s="230" t="str">
        <f>IF(COUNTIF('PATIENT DATA (072721)'!A:A, B77)=0, "X","✓")</f>
        <v>X</v>
      </c>
      <c r="D77" s="226" t="str">
        <f>IFS($B77=FALSE,"",$B77,VLOOKUP($B77,'PATIENT DATA (072721)'!A:C, 3, 0))</f>
        <v/>
      </c>
      <c r="E77" s="218"/>
      <c r="F77" s="219" t="str">
        <f>ifs($B77="","",$B77, VLOOKUP($B77&amp;$E77, 'VISIT DATA'!A:O,3,0))</f>
        <v/>
      </c>
      <c r="G77" s="231"/>
      <c r="H77" s="221" t="str">
        <f>ifs($B77="","",$B77, VLOOKUP($B77&amp;$E77, 'VISIT DATA'!$A:$O,13,0))</f>
        <v/>
      </c>
      <c r="I77" s="262" t="str">
        <f>VLOOKUP($B77&amp;$E77,'VISIT DATA'!A:J, 9, FALSE)</f>
        <v>#N/A</v>
      </c>
      <c r="J77" s="223" t="str">
        <f>VLOOKUP(B77&amp;E77,'VISIT DATA'!A:N,10,FALSE)</f>
        <v>#N/A</v>
      </c>
      <c r="K77" s="225"/>
      <c r="L77" s="224"/>
      <c r="M77" s="224"/>
      <c r="N77" s="225"/>
      <c r="O77" s="216" t="str">
        <f t="shared" si="1"/>
        <v>X</v>
      </c>
      <c r="P77" s="226" t="str">
        <f t="shared" si="2"/>
        <v>#N/A</v>
      </c>
      <c r="Q77" s="227" t="str">
        <f t="shared" si="3"/>
        <v>#N/A</v>
      </c>
      <c r="R77" s="228" t="str">
        <f t="shared" si="4"/>
        <v>#N/A</v>
      </c>
      <c r="S77" s="220" t="str">
        <f t="shared" si="5"/>
        <v>#N/A</v>
      </c>
      <c r="T77" s="220" t="str">
        <f t="shared" si="6"/>
        <v>#N/A</v>
      </c>
      <c r="U77" s="221">
        <f t="shared" si="7"/>
        <v>0</v>
      </c>
      <c r="V77" s="229" t="str">
        <f>ifs($N77="",VLOOKUP($B77&amp;$E77,'VISIT DATA'!$A$2:$J100,7,FALSE), $N77="SWAB","OUTSA-RW",$N77="SWQU","OUTSA-SaQu", AND($L77="X",$M77="X",$N77="QUEST"),"OUT-UAQPre",$N77="QUEST","OUT-UAQ", $N77="Walk in","ColUATele")</f>
        <v>#N/A</v>
      </c>
      <c r="W77" s="24" t="str">
        <f t="shared" si="8"/>
        <v>#N/A</v>
      </c>
      <c r="X77" s="222" t="str">
        <f t="shared" si="9"/>
        <v/>
      </c>
      <c r="Y77" s="222" t="str">
        <f t="shared" si="10"/>
        <v/>
      </c>
      <c r="Z77" s="224" t="str">
        <f t="shared" si="11"/>
        <v> </v>
      </c>
      <c r="AA77" s="244"/>
    </row>
    <row r="78">
      <c r="A78" s="214" t="str">
        <f>IFS($B78=FALSE,"",$B78,VLOOKUP($B78,'PATIENT DATA (072721)'!A:C, 2, 0))</f>
        <v/>
      </c>
      <c r="B78" s="215"/>
      <c r="C78" s="230" t="str">
        <f>IF(COUNTIF('PATIENT DATA (072721)'!A:A, B78)=0, "X","✓")</f>
        <v>X</v>
      </c>
      <c r="D78" s="226" t="str">
        <f>IFS($B78=FALSE,"",$B78,VLOOKUP($B78,'PATIENT DATA (072721)'!A:C, 3, 0))</f>
        <v/>
      </c>
      <c r="E78" s="218"/>
      <c r="F78" s="219" t="str">
        <f>ifs($B78="","",$B78, VLOOKUP($B78&amp;$E78, 'VISIT DATA'!A:O,3,0))</f>
        <v/>
      </c>
      <c r="G78" s="231"/>
      <c r="H78" s="221" t="str">
        <f>ifs($B78="","",$B78, VLOOKUP($B78&amp;$E78, 'VISIT DATA'!$A:$O,13,0))</f>
        <v/>
      </c>
      <c r="I78" s="262" t="str">
        <f>VLOOKUP($B78&amp;$E78,'VISIT DATA'!A:J, 9, FALSE)</f>
        <v>#N/A</v>
      </c>
      <c r="J78" s="223" t="str">
        <f>VLOOKUP(B78&amp;E78,'VISIT DATA'!A:N,10,FALSE)</f>
        <v>#N/A</v>
      </c>
      <c r="K78" s="225"/>
      <c r="L78" s="224"/>
      <c r="M78" s="224"/>
      <c r="N78" s="225"/>
      <c r="O78" s="216" t="str">
        <f t="shared" si="1"/>
        <v>X</v>
      </c>
      <c r="P78" s="226" t="str">
        <f t="shared" si="2"/>
        <v>#N/A</v>
      </c>
      <c r="Q78" s="227" t="str">
        <f t="shared" si="3"/>
        <v>#N/A</v>
      </c>
      <c r="R78" s="228" t="str">
        <f t="shared" si="4"/>
        <v>#N/A</v>
      </c>
      <c r="S78" s="220" t="str">
        <f t="shared" si="5"/>
        <v>#N/A</v>
      </c>
      <c r="T78" s="220" t="str">
        <f t="shared" si="6"/>
        <v>#N/A</v>
      </c>
      <c r="U78" s="221">
        <f t="shared" si="7"/>
        <v>0</v>
      </c>
      <c r="V78" s="229" t="str">
        <f>ifs($N78="",VLOOKUP($B78&amp;$E78,'VISIT DATA'!$A$2:$J100,7,FALSE), $N78="SWAB","OUTSA-RW",$N78="SWQU","OUTSA-SaQu", AND($L78="X",$M78="X",$N78="QUEST"),"OUT-UAQPre",$N78="QUEST","OUT-UAQ", $N78="Walk in","ColUATele")</f>
        <v>#N/A</v>
      </c>
      <c r="W78" s="24" t="str">
        <f t="shared" si="8"/>
        <v>#N/A</v>
      </c>
      <c r="X78" s="222" t="str">
        <f t="shared" si="9"/>
        <v/>
      </c>
      <c r="Y78" s="222" t="str">
        <f t="shared" si="10"/>
        <v/>
      </c>
      <c r="Z78" s="224" t="str">
        <f t="shared" si="11"/>
        <v> </v>
      </c>
      <c r="AA78" s="244"/>
    </row>
    <row r="79">
      <c r="A79" s="214" t="str">
        <f>IFS($B79=FALSE,"",$B79,VLOOKUP($B79,'PATIENT DATA (072721)'!A:C, 2, 0))</f>
        <v/>
      </c>
      <c r="B79" s="215"/>
      <c r="C79" s="230" t="str">
        <f>IF(COUNTIF('PATIENT DATA (072721)'!A:A, B79)=0, "X","✓")</f>
        <v>X</v>
      </c>
      <c r="D79" s="226" t="str">
        <f>IFS($B79=FALSE,"",$B79,VLOOKUP($B79,'PATIENT DATA (072721)'!A:C, 3, 0))</f>
        <v/>
      </c>
      <c r="E79" s="218"/>
      <c r="F79" s="219" t="str">
        <f>ifs($B79="","",$B79, VLOOKUP($B79&amp;$E79, 'VISIT DATA'!A:O,3,0))</f>
        <v/>
      </c>
      <c r="G79" s="231"/>
      <c r="H79" s="221" t="str">
        <f>ifs($B79="","",$B79, VLOOKUP($B79&amp;$E79, 'VISIT DATA'!$A:$O,13,0))</f>
        <v/>
      </c>
      <c r="I79" s="262" t="str">
        <f>VLOOKUP($B79&amp;$E79,'VISIT DATA'!A:J, 9, FALSE)</f>
        <v>#N/A</v>
      </c>
      <c r="J79" s="223" t="str">
        <f>VLOOKUP(B79&amp;E79,'VISIT DATA'!A:N,10,FALSE)</f>
        <v>#N/A</v>
      </c>
      <c r="K79" s="225"/>
      <c r="L79" s="224"/>
      <c r="M79" s="224"/>
      <c r="N79" s="225"/>
      <c r="O79" s="216" t="str">
        <f t="shared" si="1"/>
        <v>X</v>
      </c>
      <c r="P79" s="226" t="str">
        <f t="shared" si="2"/>
        <v>#N/A</v>
      </c>
      <c r="Q79" s="227" t="str">
        <f t="shared" si="3"/>
        <v>#N/A</v>
      </c>
      <c r="R79" s="228" t="str">
        <f t="shared" si="4"/>
        <v>#N/A</v>
      </c>
      <c r="S79" s="220" t="str">
        <f t="shared" si="5"/>
        <v>#N/A</v>
      </c>
      <c r="T79" s="220" t="str">
        <f t="shared" si="6"/>
        <v>#N/A</v>
      </c>
      <c r="U79" s="221">
        <f t="shared" si="7"/>
        <v>0</v>
      </c>
      <c r="V79" s="229" t="str">
        <f>ifs($N79="",VLOOKUP($B79&amp;$E79,'VISIT DATA'!$A$2:$J100,7,FALSE), $N79="SWAB","OUTSA-RW",$N79="SWQU","OUTSA-SaQu", AND($L79="X",$M79="X",$N79="QUEST"),"OUT-UAQPre",$N79="QUEST","OUT-UAQ", $N79="Walk in","ColUATele")</f>
        <v>#N/A</v>
      </c>
      <c r="W79" s="24" t="str">
        <f t="shared" si="8"/>
        <v>#N/A</v>
      </c>
      <c r="X79" s="222" t="str">
        <f t="shared" si="9"/>
        <v/>
      </c>
      <c r="Y79" s="222" t="str">
        <f t="shared" si="10"/>
        <v/>
      </c>
      <c r="Z79" s="224" t="str">
        <f t="shared" si="11"/>
        <v> </v>
      </c>
      <c r="AA79" s="244"/>
    </row>
    <row r="80">
      <c r="A80" s="214" t="str">
        <f>IFS($B80=FALSE,"",$B80,VLOOKUP($B80,'PATIENT DATA (072721)'!A:C, 2, 0))</f>
        <v/>
      </c>
      <c r="B80" s="215"/>
      <c r="C80" s="230" t="str">
        <f>IF(COUNTIF('PATIENT DATA (072721)'!A:A, B80)=0, "X","✓")</f>
        <v>X</v>
      </c>
      <c r="D80" s="226" t="str">
        <f>IFS($B80=FALSE,"",$B80,VLOOKUP($B80,'PATIENT DATA (072721)'!A:C, 3, 0))</f>
        <v/>
      </c>
      <c r="E80" s="218"/>
      <c r="F80" s="219" t="str">
        <f>ifs($B80="","",$B80, VLOOKUP($B80&amp;$E80, 'VISIT DATA'!A:O,3,0))</f>
        <v/>
      </c>
      <c r="G80" s="231"/>
      <c r="H80" s="221" t="str">
        <f>ifs($B80="","",$B80, VLOOKUP($B80&amp;$E80, 'VISIT DATA'!$A:$O,13,0))</f>
        <v/>
      </c>
      <c r="I80" s="262" t="str">
        <f>VLOOKUP($B80&amp;$E80,'VISIT DATA'!A:J, 9, FALSE)</f>
        <v>#N/A</v>
      </c>
      <c r="J80" s="223" t="str">
        <f>VLOOKUP(B80&amp;E80,'VISIT DATA'!A:N,10,FALSE)</f>
        <v>#N/A</v>
      </c>
      <c r="K80" s="225"/>
      <c r="L80" s="224"/>
      <c r="M80" s="224"/>
      <c r="N80" s="225"/>
      <c r="O80" s="216" t="str">
        <f t="shared" si="1"/>
        <v>X</v>
      </c>
      <c r="P80" s="226" t="str">
        <f t="shared" si="2"/>
        <v>#N/A</v>
      </c>
      <c r="Q80" s="227" t="str">
        <f t="shared" si="3"/>
        <v>#N/A</v>
      </c>
      <c r="R80" s="228" t="str">
        <f t="shared" si="4"/>
        <v>#N/A</v>
      </c>
      <c r="S80" s="220" t="str">
        <f t="shared" si="5"/>
        <v>#N/A</v>
      </c>
      <c r="T80" s="220" t="str">
        <f t="shared" si="6"/>
        <v>#N/A</v>
      </c>
      <c r="U80" s="221">
        <f t="shared" si="7"/>
        <v>0</v>
      </c>
      <c r="V80" s="229" t="str">
        <f>ifs($N80="",VLOOKUP($B80&amp;$E80,'VISIT DATA'!$A$2:$J100,7,FALSE), $N80="SWAB","OUTSA-RW",$N80="SWQU","OUTSA-SaQu", AND($L80="X",$M80="X",$N80="QUEST"),"OUT-UAQPre",$N80="QUEST","OUT-UAQ", $N80="Walk in","ColUATele")</f>
        <v>#N/A</v>
      </c>
      <c r="W80" s="24" t="str">
        <f t="shared" si="8"/>
        <v>#N/A</v>
      </c>
      <c r="X80" s="222" t="str">
        <f t="shared" si="9"/>
        <v/>
      </c>
      <c r="Y80" s="222" t="str">
        <f t="shared" si="10"/>
        <v/>
      </c>
      <c r="Z80" s="224" t="str">
        <f t="shared" si="11"/>
        <v> </v>
      </c>
      <c r="AA80" s="244"/>
    </row>
    <row r="81">
      <c r="A81" s="214" t="str">
        <f>IFS($B81=FALSE,"",$B81,VLOOKUP($B81,'PATIENT DATA (072721)'!A:C, 2, 0))</f>
        <v/>
      </c>
      <c r="B81" s="215"/>
      <c r="C81" s="230" t="str">
        <f>IF(COUNTIF('PATIENT DATA (072721)'!A:A, B81)=0, "X","✓")</f>
        <v>X</v>
      </c>
      <c r="D81" s="226" t="str">
        <f>IFS($B81=FALSE,"",$B81,VLOOKUP($B81,'PATIENT DATA (072721)'!A:C, 3, 0))</f>
        <v/>
      </c>
      <c r="E81" s="218"/>
      <c r="F81" s="219" t="str">
        <f>ifs($B81="","",$B81, VLOOKUP($B81&amp;$E81, 'VISIT DATA'!A:O,3,0))</f>
        <v/>
      </c>
      <c r="G81" s="231"/>
      <c r="H81" s="221" t="str">
        <f>ifs($B81="","",$B81, VLOOKUP($B81&amp;$E81, 'VISIT DATA'!$A:$O,13,0))</f>
        <v/>
      </c>
      <c r="I81" s="262" t="str">
        <f>VLOOKUP($B81&amp;$E81,'VISIT DATA'!A:J, 9, FALSE)</f>
        <v>#N/A</v>
      </c>
      <c r="J81" s="223" t="str">
        <f>VLOOKUP(B81&amp;E81,'VISIT DATA'!A:N,10,FALSE)</f>
        <v>#N/A</v>
      </c>
      <c r="K81" s="225"/>
      <c r="L81" s="224"/>
      <c r="M81" s="224"/>
      <c r="N81" s="225"/>
      <c r="O81" s="216" t="str">
        <f t="shared" si="1"/>
        <v>X</v>
      </c>
      <c r="P81" s="226" t="str">
        <f t="shared" si="2"/>
        <v>#N/A</v>
      </c>
      <c r="Q81" s="227" t="str">
        <f t="shared" si="3"/>
        <v>#N/A</v>
      </c>
      <c r="R81" s="228" t="str">
        <f t="shared" si="4"/>
        <v>#N/A</v>
      </c>
      <c r="S81" s="220" t="str">
        <f t="shared" si="5"/>
        <v>#N/A</v>
      </c>
      <c r="T81" s="220" t="str">
        <f t="shared" si="6"/>
        <v>#N/A</v>
      </c>
      <c r="U81" s="221">
        <f t="shared" si="7"/>
        <v>0</v>
      </c>
      <c r="V81" s="229" t="str">
        <f>ifs($N81="",VLOOKUP($B81&amp;$E81,'VISIT DATA'!$A$2:$J100,7,FALSE), $N81="SWAB","OUTSA-RW",$N81="SWQU","OUTSA-SaQu", AND($L81="X",$M81="X",$N81="QUEST"),"OUT-UAQPre",$N81="QUEST","OUT-UAQ", $N81="Walk in","ColUATele")</f>
        <v>#N/A</v>
      </c>
      <c r="W81" s="24" t="str">
        <f t="shared" si="8"/>
        <v>#N/A</v>
      </c>
      <c r="X81" s="222" t="str">
        <f t="shared" si="9"/>
        <v/>
      </c>
      <c r="Y81" s="222" t="str">
        <f t="shared" si="10"/>
        <v/>
      </c>
      <c r="Z81" s="224" t="str">
        <f t="shared" si="11"/>
        <v> </v>
      </c>
      <c r="AA81" s="244"/>
    </row>
    <row r="82">
      <c r="A82" s="214" t="str">
        <f>IFS($B82=FALSE,"",$B82,VLOOKUP($B82,'PATIENT DATA (072721)'!A:C, 2, 0))</f>
        <v/>
      </c>
      <c r="B82" s="215"/>
      <c r="C82" s="230" t="str">
        <f>IF(COUNTIF('PATIENT DATA (072721)'!A:A, B82)=0, "X","✓")</f>
        <v>X</v>
      </c>
      <c r="D82" s="226" t="str">
        <f>IFS($B82=FALSE,"",$B82,VLOOKUP($B82,'PATIENT DATA (072721)'!A:C, 3, 0))</f>
        <v/>
      </c>
      <c r="E82" s="218"/>
      <c r="F82" s="219" t="str">
        <f>ifs($B82="","",$B82, VLOOKUP($B82&amp;$E82, 'VISIT DATA'!A:O,3,0))</f>
        <v/>
      </c>
      <c r="G82" s="231"/>
      <c r="H82" s="221" t="str">
        <f>ifs($B82="","",$B82, VLOOKUP($B82&amp;$E82, 'VISIT DATA'!$A:$O,13,0))</f>
        <v/>
      </c>
      <c r="I82" s="262" t="str">
        <f>VLOOKUP($B82&amp;$E82,'VISIT DATA'!A:J, 9, FALSE)</f>
        <v>#N/A</v>
      </c>
      <c r="J82" s="223" t="str">
        <f>VLOOKUP(B82&amp;E82,'VISIT DATA'!A:N,10,FALSE)</f>
        <v>#N/A</v>
      </c>
      <c r="K82" s="225"/>
      <c r="L82" s="224"/>
      <c r="M82" s="224"/>
      <c r="N82" s="225"/>
      <c r="O82" s="216" t="str">
        <f t="shared" si="1"/>
        <v>X</v>
      </c>
      <c r="P82" s="226" t="str">
        <f t="shared" si="2"/>
        <v>#N/A</v>
      </c>
      <c r="Q82" s="227" t="str">
        <f t="shared" si="3"/>
        <v>#N/A</v>
      </c>
      <c r="R82" s="228" t="str">
        <f t="shared" si="4"/>
        <v>#N/A</v>
      </c>
      <c r="S82" s="220" t="str">
        <f t="shared" si="5"/>
        <v>#N/A</v>
      </c>
      <c r="T82" s="220" t="str">
        <f t="shared" si="6"/>
        <v>#N/A</v>
      </c>
      <c r="U82" s="221">
        <f t="shared" si="7"/>
        <v>0</v>
      </c>
      <c r="V82" s="229" t="str">
        <f>ifs($N82="",VLOOKUP($B82&amp;$E82,'VISIT DATA'!$A$2:$J100,7,FALSE), $N82="SWAB","OUTSA-RW",$N82="SWQU","OUTSA-SaQu", AND($L82="X",$M82="X",$N82="QUEST"),"OUT-UAQPre",$N82="QUEST","OUT-UAQ", $N82="Walk in","ColUATele")</f>
        <v>#N/A</v>
      </c>
      <c r="W82" s="24" t="str">
        <f t="shared" si="8"/>
        <v>#N/A</v>
      </c>
      <c r="X82" s="222" t="str">
        <f t="shared" si="9"/>
        <v/>
      </c>
      <c r="Y82" s="222" t="str">
        <f t="shared" si="10"/>
        <v/>
      </c>
      <c r="Z82" s="224" t="str">
        <f t="shared" si="11"/>
        <v> </v>
      </c>
      <c r="AA82" s="244"/>
    </row>
    <row r="83">
      <c r="A83" s="214" t="str">
        <f>IFS($B83=FALSE,"",$B83,VLOOKUP($B83,'PATIENT DATA (072721)'!A:C, 2, 0))</f>
        <v/>
      </c>
      <c r="B83" s="215"/>
      <c r="C83" s="230" t="str">
        <f>IF(COUNTIF('PATIENT DATA (072721)'!A:A, B83)=0, "X","✓")</f>
        <v>X</v>
      </c>
      <c r="D83" s="226" t="str">
        <f>IFS($B83=FALSE,"",$B83,VLOOKUP($B83,'PATIENT DATA (072721)'!A:C, 3, 0))</f>
        <v/>
      </c>
      <c r="E83" s="218"/>
      <c r="F83" s="219" t="str">
        <f>ifs($B83="","",$B83, VLOOKUP($B83&amp;$E83, 'VISIT DATA'!A:O,3,0))</f>
        <v/>
      </c>
      <c r="G83" s="231"/>
      <c r="H83" s="221" t="str">
        <f>ifs($B83="","",$B83, VLOOKUP($B83&amp;$E83, 'VISIT DATA'!$A:$O,13,0))</f>
        <v/>
      </c>
      <c r="I83" s="262" t="str">
        <f>VLOOKUP($B83&amp;$E83,'VISIT DATA'!A:J, 9, FALSE)</f>
        <v>#N/A</v>
      </c>
      <c r="J83" s="223" t="str">
        <f>VLOOKUP(B83&amp;E83,'VISIT DATA'!A:N,10,FALSE)</f>
        <v>#N/A</v>
      </c>
      <c r="K83" s="225"/>
      <c r="L83" s="224"/>
      <c r="M83" s="224"/>
      <c r="N83" s="225"/>
      <c r="O83" s="216" t="str">
        <f t="shared" si="1"/>
        <v>X</v>
      </c>
      <c r="P83" s="226" t="str">
        <f t="shared" si="2"/>
        <v>#N/A</v>
      </c>
      <c r="Q83" s="227" t="str">
        <f t="shared" si="3"/>
        <v>#N/A</v>
      </c>
      <c r="R83" s="228" t="str">
        <f t="shared" si="4"/>
        <v>#N/A</v>
      </c>
      <c r="S83" s="220" t="str">
        <f t="shared" si="5"/>
        <v>#N/A</v>
      </c>
      <c r="T83" s="220" t="str">
        <f t="shared" si="6"/>
        <v>#N/A</v>
      </c>
      <c r="U83" s="221">
        <f t="shared" si="7"/>
        <v>0</v>
      </c>
      <c r="V83" s="229" t="str">
        <f>ifs($N83="",VLOOKUP($B83&amp;$E83,'VISIT DATA'!$A$2:$J100,7,FALSE), $N83="SWAB","OUTSA-RW",$N83="SWQU","OUTSA-SaQu", AND($L83="X",$M83="X",$N83="QUEST"),"OUT-UAQPre",$N83="QUEST","OUT-UAQ", $N83="Walk in","ColUATele")</f>
        <v>#N/A</v>
      </c>
      <c r="W83" s="24" t="str">
        <f t="shared" si="8"/>
        <v>#N/A</v>
      </c>
      <c r="X83" s="222" t="str">
        <f t="shared" si="9"/>
        <v/>
      </c>
      <c r="Y83" s="222" t="str">
        <f t="shared" si="10"/>
        <v/>
      </c>
      <c r="Z83" s="224" t="str">
        <f t="shared" si="11"/>
        <v> </v>
      </c>
      <c r="AA83" s="244"/>
    </row>
    <row r="84">
      <c r="A84" s="214" t="str">
        <f>IFS($B84=FALSE,"",$B84,VLOOKUP($B84,'PATIENT DATA (072721)'!A:C, 2, 0))</f>
        <v/>
      </c>
      <c r="B84" s="215"/>
      <c r="C84" s="230" t="str">
        <f>IF(COUNTIF('PATIENT DATA (072721)'!A:A, B84)=0, "X","✓")</f>
        <v>X</v>
      </c>
      <c r="D84" s="226" t="str">
        <f>IFS($B84=FALSE,"",$B84,VLOOKUP($B84,'PATIENT DATA (072721)'!A:C, 3, 0))</f>
        <v/>
      </c>
      <c r="E84" s="218"/>
      <c r="F84" s="219" t="str">
        <f>ifs($B84="","",$B84, VLOOKUP($B84&amp;$E84, 'VISIT DATA'!A:O,3,0))</f>
        <v/>
      </c>
      <c r="G84" s="231"/>
      <c r="H84" s="221" t="str">
        <f>ifs($B84="","",$B84, VLOOKUP($B84&amp;$E84, 'VISIT DATA'!$A:$O,13,0))</f>
        <v/>
      </c>
      <c r="I84" s="262" t="str">
        <f>VLOOKUP($B84&amp;$E84,'VISIT DATA'!A:J, 9, FALSE)</f>
        <v>#N/A</v>
      </c>
      <c r="J84" s="223" t="str">
        <f>VLOOKUP(B84&amp;E84,'VISIT DATA'!A:N,10,FALSE)</f>
        <v>#N/A</v>
      </c>
      <c r="K84" s="225"/>
      <c r="L84" s="224"/>
      <c r="M84" s="224"/>
      <c r="N84" s="225"/>
      <c r="O84" s="216" t="str">
        <f t="shared" si="1"/>
        <v>X</v>
      </c>
      <c r="P84" s="226" t="str">
        <f t="shared" si="2"/>
        <v>#N/A</v>
      </c>
      <c r="Q84" s="227" t="str">
        <f t="shared" si="3"/>
        <v>#N/A</v>
      </c>
      <c r="R84" s="228" t="str">
        <f t="shared" si="4"/>
        <v>#N/A</v>
      </c>
      <c r="S84" s="220" t="str">
        <f t="shared" si="5"/>
        <v>#N/A</v>
      </c>
      <c r="T84" s="220" t="str">
        <f t="shared" si="6"/>
        <v>#N/A</v>
      </c>
      <c r="U84" s="221">
        <f t="shared" si="7"/>
        <v>0</v>
      </c>
      <c r="V84" s="229" t="str">
        <f>ifs($N84="",VLOOKUP($B84&amp;$E84,'VISIT DATA'!$A$2:$J100,7,FALSE), $N84="SWAB","OUTSA-RW",$N84="SWQU","OUTSA-SaQu", AND($L84="X",$M84="X",$N84="QUEST"),"OUT-UAQPre",$N84="QUEST","OUT-UAQ", $N84="Walk in","ColUATele")</f>
        <v>#N/A</v>
      </c>
      <c r="W84" s="24" t="str">
        <f t="shared" si="8"/>
        <v>#N/A</v>
      </c>
      <c r="X84" s="222" t="str">
        <f t="shared" si="9"/>
        <v/>
      </c>
      <c r="Y84" s="222" t="str">
        <f t="shared" si="10"/>
        <v/>
      </c>
      <c r="Z84" s="224" t="str">
        <f t="shared" si="11"/>
        <v> </v>
      </c>
      <c r="AA84" s="244"/>
    </row>
    <row r="85">
      <c r="A85" s="214" t="str">
        <f>IFS($B85=FALSE,"",$B85,VLOOKUP($B85,'PATIENT DATA (072721)'!A:C, 2, 0))</f>
        <v/>
      </c>
      <c r="B85" s="215"/>
      <c r="C85" s="230" t="str">
        <f>IF(COUNTIF('PATIENT DATA (072721)'!A:A, B85)=0, "X","✓")</f>
        <v>X</v>
      </c>
      <c r="D85" s="226" t="str">
        <f>IFS($B85=FALSE,"",$B85,VLOOKUP($B85,'PATIENT DATA (072721)'!A:C, 3, 0))</f>
        <v/>
      </c>
      <c r="E85" s="218"/>
      <c r="F85" s="219" t="str">
        <f>ifs($B85="","",$B85, VLOOKUP($B85&amp;$E85, 'VISIT DATA'!A:O,3,0))</f>
        <v/>
      </c>
      <c r="G85" s="231"/>
      <c r="H85" s="221" t="str">
        <f>ifs($B85="","",$B85, VLOOKUP($B85&amp;$E85, 'VISIT DATA'!$A:$O,13,0))</f>
        <v/>
      </c>
      <c r="I85" s="262" t="str">
        <f>VLOOKUP($B85&amp;$E85,'VISIT DATA'!A:J, 9, FALSE)</f>
        <v>#N/A</v>
      </c>
      <c r="J85" s="223" t="str">
        <f>VLOOKUP(B85&amp;E85,'VISIT DATA'!A:N,10,FALSE)</f>
        <v>#N/A</v>
      </c>
      <c r="K85" s="225"/>
      <c r="L85" s="224"/>
      <c r="M85" s="224"/>
      <c r="N85" s="225"/>
      <c r="O85" s="216" t="str">
        <f t="shared" si="1"/>
        <v>X</v>
      </c>
      <c r="P85" s="226" t="str">
        <f t="shared" si="2"/>
        <v>#N/A</v>
      </c>
      <c r="Q85" s="227" t="str">
        <f t="shared" si="3"/>
        <v>#N/A</v>
      </c>
      <c r="R85" s="228" t="str">
        <f t="shared" si="4"/>
        <v>#N/A</v>
      </c>
      <c r="S85" s="220" t="str">
        <f t="shared" si="5"/>
        <v>#N/A</v>
      </c>
      <c r="T85" s="220" t="str">
        <f t="shared" si="6"/>
        <v>#N/A</v>
      </c>
      <c r="U85" s="221">
        <f t="shared" si="7"/>
        <v>0</v>
      </c>
      <c r="V85" s="229" t="str">
        <f>ifs($N85="",VLOOKUP($B85&amp;$E85,'VISIT DATA'!$A$2:$J100,7,FALSE), $N85="SWAB","OUTSA-RW",$N85="SWQU","OUTSA-SaQu", AND($L85="X",$M85="X",$N85="QUEST"),"OUT-UAQPre",$N85="QUEST","OUT-UAQ", $N85="Walk in","ColUATele")</f>
        <v>#N/A</v>
      </c>
      <c r="W85" s="24" t="str">
        <f t="shared" si="8"/>
        <v>#N/A</v>
      </c>
      <c r="X85" s="222" t="str">
        <f t="shared" si="9"/>
        <v/>
      </c>
      <c r="Y85" s="222" t="str">
        <f t="shared" si="10"/>
        <v/>
      </c>
      <c r="Z85" s="224" t="str">
        <f t="shared" si="11"/>
        <v> </v>
      </c>
      <c r="AA85" s="244"/>
    </row>
    <row r="86">
      <c r="A86" s="214" t="str">
        <f>IFS($B86=FALSE,"",$B86,VLOOKUP($B86,'PATIENT DATA (072721)'!A:C, 2, 0))</f>
        <v/>
      </c>
      <c r="B86" s="215"/>
      <c r="C86" s="230" t="str">
        <f>IF(COUNTIF('PATIENT DATA (072721)'!A:A, B86)=0, "X","✓")</f>
        <v>X</v>
      </c>
      <c r="D86" s="226" t="str">
        <f>IFS($B86=FALSE,"",$B86,VLOOKUP($B86,'PATIENT DATA (072721)'!A:C, 3, 0))</f>
        <v/>
      </c>
      <c r="E86" s="218"/>
      <c r="F86" s="219" t="str">
        <f>ifs($B86="","",$B86, VLOOKUP($B86&amp;$E86, 'VISIT DATA'!A:O,3,0))</f>
        <v/>
      </c>
      <c r="G86" s="231"/>
      <c r="H86" s="221" t="str">
        <f>ifs($B86="","",$B86, VLOOKUP($B86&amp;$E86, 'VISIT DATA'!$A:$O,13,0))</f>
        <v/>
      </c>
      <c r="I86" s="262" t="str">
        <f>VLOOKUP($B86&amp;$E86,'VISIT DATA'!A:J, 9, FALSE)</f>
        <v>#N/A</v>
      </c>
      <c r="J86" s="223" t="str">
        <f>VLOOKUP(B86&amp;E86,'VISIT DATA'!A:N,10,FALSE)</f>
        <v>#N/A</v>
      </c>
      <c r="K86" s="225"/>
      <c r="L86" s="224"/>
      <c r="M86" s="224"/>
      <c r="N86" s="225"/>
      <c r="O86" s="216" t="str">
        <f t="shared" si="1"/>
        <v>X</v>
      </c>
      <c r="P86" s="226" t="str">
        <f t="shared" si="2"/>
        <v>#N/A</v>
      </c>
      <c r="Q86" s="227" t="str">
        <f t="shared" si="3"/>
        <v>#N/A</v>
      </c>
      <c r="R86" s="228" t="str">
        <f t="shared" si="4"/>
        <v>#N/A</v>
      </c>
      <c r="S86" s="220" t="str">
        <f t="shared" si="5"/>
        <v>#N/A</v>
      </c>
      <c r="T86" s="220" t="str">
        <f t="shared" si="6"/>
        <v>#N/A</v>
      </c>
      <c r="U86" s="221">
        <f t="shared" si="7"/>
        <v>0</v>
      </c>
      <c r="V86" s="229" t="str">
        <f>ifs($N86="",VLOOKUP($B86&amp;$E86,'VISIT DATA'!$A$2:$J100,7,FALSE), $N86="SWAB","OUTSA-RW",$N86="SWQU","OUTSA-SaQu", AND($L86="X",$M86="X",$N86="QUEST"),"OUT-UAQPre",$N86="QUEST","OUT-UAQ", $N86="Walk in","ColUATele")</f>
        <v>#N/A</v>
      </c>
      <c r="W86" s="24" t="str">
        <f t="shared" si="8"/>
        <v>#N/A</v>
      </c>
      <c r="X86" s="222" t="str">
        <f t="shared" si="9"/>
        <v/>
      </c>
      <c r="Y86" s="222" t="str">
        <f t="shared" si="10"/>
        <v/>
      </c>
      <c r="Z86" s="224" t="str">
        <f t="shared" si="11"/>
        <v> </v>
      </c>
      <c r="AA86" s="244"/>
    </row>
    <row r="87">
      <c r="A87" s="214" t="str">
        <f>IFS($B87=FALSE,"",$B87,VLOOKUP($B87,'PATIENT DATA (072721)'!A:C, 2, 0))</f>
        <v/>
      </c>
      <c r="B87" s="215"/>
      <c r="C87" s="230" t="str">
        <f>IF(COUNTIF('PATIENT DATA (072721)'!A:A, B87)=0, "X","✓")</f>
        <v>X</v>
      </c>
      <c r="D87" s="226" t="str">
        <f>IFS($B87=FALSE,"",$B87,VLOOKUP($B87,'PATIENT DATA (072721)'!A:C, 3, 0))</f>
        <v/>
      </c>
      <c r="E87" s="218"/>
      <c r="F87" s="219" t="str">
        <f>ifs($B87="","",$B87, VLOOKUP($B87&amp;$E87, 'VISIT DATA'!A:O,3,0))</f>
        <v/>
      </c>
      <c r="G87" s="231"/>
      <c r="H87" s="221" t="str">
        <f>ifs($B87="","",$B87, VLOOKUP($B87&amp;$E87, 'VISIT DATA'!$A:$O,13,0))</f>
        <v/>
      </c>
      <c r="I87" s="262" t="str">
        <f>VLOOKUP($B87&amp;$E87,'VISIT DATA'!A:J, 9, FALSE)</f>
        <v>#N/A</v>
      </c>
      <c r="J87" s="223" t="str">
        <f>VLOOKUP(B87&amp;E87,'VISIT DATA'!A:N,10,FALSE)</f>
        <v>#N/A</v>
      </c>
      <c r="K87" s="225"/>
      <c r="L87" s="224"/>
      <c r="M87" s="224"/>
      <c r="N87" s="225"/>
      <c r="O87" s="216" t="str">
        <f t="shared" si="1"/>
        <v>X</v>
      </c>
      <c r="P87" s="226" t="str">
        <f t="shared" si="2"/>
        <v>#N/A</v>
      </c>
      <c r="Q87" s="227" t="str">
        <f t="shared" si="3"/>
        <v>#N/A</v>
      </c>
      <c r="R87" s="228" t="str">
        <f t="shared" si="4"/>
        <v>#N/A</v>
      </c>
      <c r="S87" s="220" t="str">
        <f t="shared" si="5"/>
        <v>#N/A</v>
      </c>
      <c r="T87" s="220" t="str">
        <f t="shared" si="6"/>
        <v>#N/A</v>
      </c>
      <c r="U87" s="221">
        <f t="shared" si="7"/>
        <v>0</v>
      </c>
      <c r="V87" s="229" t="str">
        <f>ifs($N87="",VLOOKUP($B87&amp;$E87,'VISIT DATA'!$A$2:$J100,7,FALSE), $N87="SWAB","OUTSA-RW",$N87="SWQU","OUTSA-SaQu", AND($L87="X",$M87="X",$N87="QUEST"),"OUT-UAQPre",$N87="QUEST","OUT-UAQ", $N87="Walk in","ColUATele")</f>
        <v>#N/A</v>
      </c>
      <c r="W87" s="24" t="str">
        <f t="shared" si="8"/>
        <v>#N/A</v>
      </c>
      <c r="X87" s="222" t="str">
        <f t="shared" si="9"/>
        <v/>
      </c>
      <c r="Y87" s="222" t="str">
        <f t="shared" si="10"/>
        <v/>
      </c>
      <c r="Z87" s="224" t="str">
        <f t="shared" si="11"/>
        <v> </v>
      </c>
      <c r="AA87" s="244"/>
    </row>
    <row r="88">
      <c r="A88" s="214" t="str">
        <f>IFS($B88=FALSE,"",$B88,VLOOKUP($B88,'PATIENT DATA (072721)'!A:C, 2, 0))</f>
        <v/>
      </c>
      <c r="B88" s="215"/>
      <c r="C88" s="230" t="str">
        <f>IF(COUNTIF('PATIENT DATA (072721)'!A:A, B88)=0, "X","✓")</f>
        <v>X</v>
      </c>
      <c r="D88" s="226" t="str">
        <f>IFS($B88=FALSE,"",$B88,VLOOKUP($B88,'PATIENT DATA (072721)'!A:C, 3, 0))</f>
        <v/>
      </c>
      <c r="E88" s="218"/>
      <c r="F88" s="219" t="str">
        <f>ifs($B88="","",$B88, VLOOKUP($B88&amp;$E88, 'VISIT DATA'!A:O,3,0))</f>
        <v/>
      </c>
      <c r="G88" s="231"/>
      <c r="H88" s="221" t="str">
        <f>ifs($B88="","",$B88, VLOOKUP($B88&amp;$E88, 'VISIT DATA'!$A:$O,13,0))</f>
        <v/>
      </c>
      <c r="I88" s="262" t="str">
        <f>VLOOKUP($B88&amp;$E88,'VISIT DATA'!A:J, 9, FALSE)</f>
        <v>#N/A</v>
      </c>
      <c r="J88" s="223" t="str">
        <f>VLOOKUP(B88&amp;E88,'VISIT DATA'!A:N,10,FALSE)</f>
        <v>#N/A</v>
      </c>
      <c r="K88" s="225"/>
      <c r="L88" s="224"/>
      <c r="M88" s="224"/>
      <c r="N88" s="225"/>
      <c r="O88" s="216" t="str">
        <f t="shared" si="1"/>
        <v>X</v>
      </c>
      <c r="P88" s="226" t="str">
        <f t="shared" si="2"/>
        <v>#N/A</v>
      </c>
      <c r="Q88" s="227" t="str">
        <f t="shared" si="3"/>
        <v>#N/A</v>
      </c>
      <c r="R88" s="228" t="str">
        <f t="shared" si="4"/>
        <v>#N/A</v>
      </c>
      <c r="S88" s="220" t="str">
        <f t="shared" si="5"/>
        <v>#N/A</v>
      </c>
      <c r="T88" s="220" t="str">
        <f t="shared" si="6"/>
        <v>#N/A</v>
      </c>
      <c r="U88" s="221">
        <f t="shared" si="7"/>
        <v>0</v>
      </c>
      <c r="V88" s="229" t="str">
        <f>ifs($N88="",VLOOKUP($B88&amp;$E88,'VISIT DATA'!$A$2:$J100,7,FALSE), $N88="SWAB","OUTSA-RW",$N88="SWQU","OUTSA-SaQu", AND($L88="X",$M88="X",$N88="QUEST"),"OUT-UAQPre",$N88="QUEST","OUT-UAQ", $N88="Walk in","ColUATele")</f>
        <v>#N/A</v>
      </c>
      <c r="W88" s="24" t="str">
        <f t="shared" si="8"/>
        <v>#N/A</v>
      </c>
      <c r="X88" s="222" t="str">
        <f t="shared" si="9"/>
        <v/>
      </c>
      <c r="Y88" s="222" t="str">
        <f t="shared" si="10"/>
        <v/>
      </c>
      <c r="Z88" s="224" t="str">
        <f t="shared" si="11"/>
        <v> </v>
      </c>
      <c r="AA88" s="244"/>
    </row>
    <row r="89">
      <c r="A89" s="214" t="str">
        <f>IFS($B89=FALSE,"",$B89,VLOOKUP($B89,'PATIENT DATA (072721)'!A:C, 2, 0))</f>
        <v/>
      </c>
      <c r="B89" s="215"/>
      <c r="C89" s="230" t="str">
        <f>IF(COUNTIF('PATIENT DATA (072721)'!A:A, B89)=0, "X","✓")</f>
        <v>X</v>
      </c>
      <c r="D89" s="226" t="str">
        <f>IFS($B89=FALSE,"",$B89,VLOOKUP($B89,'PATIENT DATA (072721)'!A:C, 3, 0))</f>
        <v/>
      </c>
      <c r="E89" s="218"/>
      <c r="F89" s="219" t="str">
        <f>ifs($B89="","",$B89, VLOOKUP($B89&amp;$E89, 'VISIT DATA'!A:O,3,0))</f>
        <v/>
      </c>
      <c r="G89" s="231"/>
      <c r="H89" s="221" t="str">
        <f>ifs($B89="","",$B89, VLOOKUP($B89&amp;$E89, 'VISIT DATA'!$A:$O,13,0))</f>
        <v/>
      </c>
      <c r="I89" s="262" t="str">
        <f>VLOOKUP($B89&amp;$E89,'VISIT DATA'!A:J, 9, FALSE)</f>
        <v>#N/A</v>
      </c>
      <c r="J89" s="223" t="str">
        <f>VLOOKUP(B89&amp;E89,'VISIT DATA'!A:N,10,FALSE)</f>
        <v>#N/A</v>
      </c>
      <c r="K89" s="225"/>
      <c r="L89" s="224"/>
      <c r="M89" s="224"/>
      <c r="N89" s="225"/>
      <c r="O89" s="216" t="str">
        <f t="shared" si="1"/>
        <v>X</v>
      </c>
      <c r="P89" s="226" t="str">
        <f t="shared" si="2"/>
        <v>#N/A</v>
      </c>
      <c r="Q89" s="227" t="str">
        <f t="shared" si="3"/>
        <v>#N/A</v>
      </c>
      <c r="R89" s="228" t="str">
        <f t="shared" si="4"/>
        <v>#N/A</v>
      </c>
      <c r="S89" s="220" t="str">
        <f t="shared" si="5"/>
        <v>#N/A</v>
      </c>
      <c r="T89" s="220" t="str">
        <f t="shared" si="6"/>
        <v>#N/A</v>
      </c>
      <c r="U89" s="221">
        <f t="shared" si="7"/>
        <v>0</v>
      </c>
      <c r="V89" s="229" t="str">
        <f>ifs($N89="",VLOOKUP($B89&amp;$E89,'VISIT DATA'!$A$2:$J100,7,FALSE), $N89="SWAB","OUTSA-RW",$N89="SWQU","OUTSA-SaQu", AND($L89="X",$M89="X",$N89="QUEST"),"OUT-UAQPre",$N89="QUEST","OUT-UAQ", $N89="Walk in","ColUATele")</f>
        <v>#N/A</v>
      </c>
      <c r="W89" s="24" t="str">
        <f t="shared" si="8"/>
        <v>#N/A</v>
      </c>
      <c r="X89" s="222" t="str">
        <f t="shared" si="9"/>
        <v/>
      </c>
      <c r="Y89" s="222" t="str">
        <f t="shared" si="10"/>
        <v/>
      </c>
      <c r="Z89" s="224" t="str">
        <f t="shared" si="11"/>
        <v> </v>
      </c>
      <c r="AA89" s="244"/>
    </row>
    <row r="90">
      <c r="A90" s="214" t="str">
        <f>IFS($B90=FALSE,"",$B90,VLOOKUP($B90,'PATIENT DATA (072721)'!A:C, 2, 0))</f>
        <v/>
      </c>
      <c r="B90" s="215"/>
      <c r="C90" s="230" t="str">
        <f>IF(COUNTIF('PATIENT DATA (072721)'!A:A, B90)=0, "X","✓")</f>
        <v>X</v>
      </c>
      <c r="D90" s="226" t="str">
        <f>IFS($B90=FALSE,"",$B90,VLOOKUP($B90,'PATIENT DATA (072721)'!A:C, 3, 0))</f>
        <v/>
      </c>
      <c r="E90" s="218"/>
      <c r="F90" s="219" t="str">
        <f>ifs($B90="","",$B90, VLOOKUP($B90&amp;$E90, 'VISIT DATA'!A:O,3,0))</f>
        <v/>
      </c>
      <c r="G90" s="231"/>
      <c r="H90" s="221" t="str">
        <f>ifs($B90="","",$B90, VLOOKUP($B90&amp;$E90, 'VISIT DATA'!$A:$O,13,0))</f>
        <v/>
      </c>
      <c r="I90" s="262" t="str">
        <f>VLOOKUP($B90&amp;$E90,'VISIT DATA'!A:J, 9, FALSE)</f>
        <v>#N/A</v>
      </c>
      <c r="J90" s="223" t="str">
        <f>VLOOKUP(B90&amp;E90,'VISIT DATA'!A:N,10,FALSE)</f>
        <v>#N/A</v>
      </c>
      <c r="K90" s="225"/>
      <c r="L90" s="224"/>
      <c r="M90" s="224"/>
      <c r="N90" s="225"/>
      <c r="O90" s="216" t="str">
        <f t="shared" si="1"/>
        <v>X</v>
      </c>
      <c r="P90" s="226" t="str">
        <f t="shared" si="2"/>
        <v>#N/A</v>
      </c>
      <c r="Q90" s="227" t="str">
        <f t="shared" si="3"/>
        <v>#N/A</v>
      </c>
      <c r="R90" s="228" t="str">
        <f t="shared" si="4"/>
        <v>#N/A</v>
      </c>
      <c r="S90" s="220" t="str">
        <f t="shared" si="5"/>
        <v>#N/A</v>
      </c>
      <c r="T90" s="220" t="str">
        <f t="shared" si="6"/>
        <v>#N/A</v>
      </c>
      <c r="U90" s="221">
        <f t="shared" si="7"/>
        <v>0</v>
      </c>
      <c r="V90" s="229" t="str">
        <f>ifs($N90="",VLOOKUP($B90&amp;$E90,'VISIT DATA'!$A$2:$J100,7,FALSE), $N90="SWAB","OUTSA-RW",$N90="SWQU","OUTSA-SaQu", AND($L90="X",$M90="X",$N90="QUEST"),"OUT-UAQPre",$N90="QUEST","OUT-UAQ", $N90="Walk in","ColUATele")</f>
        <v>#N/A</v>
      </c>
      <c r="W90" s="24" t="str">
        <f t="shared" si="8"/>
        <v>#N/A</v>
      </c>
      <c r="X90" s="222" t="str">
        <f t="shared" si="9"/>
        <v/>
      </c>
      <c r="Y90" s="222" t="str">
        <f t="shared" si="10"/>
        <v/>
      </c>
      <c r="Z90" s="224" t="str">
        <f t="shared" si="11"/>
        <v> </v>
      </c>
      <c r="AA90" s="244"/>
    </row>
    <row r="91">
      <c r="A91" s="214" t="str">
        <f>IFS($B91=FALSE,"",$B91,VLOOKUP($B91,'PATIENT DATA (072721)'!A:C, 2, 0))</f>
        <v/>
      </c>
      <c r="B91" s="215"/>
      <c r="C91" s="230" t="str">
        <f>IF(COUNTIF('PATIENT DATA (072721)'!A:A, B91)=0, "X","✓")</f>
        <v>X</v>
      </c>
      <c r="D91" s="226" t="str">
        <f>IFS($B91=FALSE,"",$B91,VLOOKUP($B91,'PATIENT DATA (072721)'!A:C, 3, 0))</f>
        <v/>
      </c>
      <c r="E91" s="218"/>
      <c r="F91" s="219" t="str">
        <f>ifs($B91="","",$B91, VLOOKUP($B91&amp;$E91, 'VISIT DATA'!A:O,3,0))</f>
        <v/>
      </c>
      <c r="G91" s="231"/>
      <c r="H91" s="221" t="str">
        <f>ifs($B91="","",$B91, VLOOKUP($B91&amp;$E91, 'VISIT DATA'!$A:$O,13,0))</f>
        <v/>
      </c>
      <c r="I91" s="262" t="str">
        <f>VLOOKUP($B91&amp;$E91,'VISIT DATA'!A:J, 9, FALSE)</f>
        <v>#N/A</v>
      </c>
      <c r="J91" s="223" t="str">
        <f>VLOOKUP(B91&amp;E91,'VISIT DATA'!A:N,10,FALSE)</f>
        <v>#N/A</v>
      </c>
      <c r="K91" s="225"/>
      <c r="L91" s="224"/>
      <c r="M91" s="224"/>
      <c r="N91" s="225"/>
      <c r="O91" s="216" t="str">
        <f t="shared" si="1"/>
        <v>X</v>
      </c>
      <c r="P91" s="226" t="str">
        <f t="shared" si="2"/>
        <v>#N/A</v>
      </c>
      <c r="Q91" s="227" t="str">
        <f t="shared" si="3"/>
        <v>#N/A</v>
      </c>
      <c r="R91" s="228" t="str">
        <f t="shared" si="4"/>
        <v>#N/A</v>
      </c>
      <c r="S91" s="220" t="str">
        <f t="shared" si="5"/>
        <v>#N/A</v>
      </c>
      <c r="T91" s="220" t="str">
        <f t="shared" si="6"/>
        <v>#N/A</v>
      </c>
      <c r="U91" s="221">
        <f t="shared" si="7"/>
        <v>0</v>
      </c>
      <c r="V91" s="229" t="str">
        <f>ifs($N91="",VLOOKUP($B91&amp;$E91,'VISIT DATA'!$A$2:$J100,7,FALSE), $N91="SWAB","OUTSA-RW",$N91="SWQU","OUTSA-SaQu", AND($L91="X",$M91="X",$N91="QUEST"),"OUT-UAQPre",$N91="QUEST","OUT-UAQ", $N91="Walk in","ColUATele")</f>
        <v>#N/A</v>
      </c>
      <c r="W91" s="24" t="str">
        <f t="shared" si="8"/>
        <v>#N/A</v>
      </c>
      <c r="X91" s="222" t="str">
        <f t="shared" si="9"/>
        <v/>
      </c>
      <c r="Y91" s="222" t="str">
        <f t="shared" si="10"/>
        <v/>
      </c>
      <c r="Z91" s="224" t="str">
        <f t="shared" si="11"/>
        <v> </v>
      </c>
      <c r="AA91" s="244"/>
    </row>
    <row r="92">
      <c r="A92" s="214" t="str">
        <f>IFS($B92=FALSE,"",$B92,VLOOKUP($B92,'PATIENT DATA (072721)'!A:C, 2, 0))</f>
        <v/>
      </c>
      <c r="B92" s="215"/>
      <c r="C92" s="230" t="str">
        <f>IF(COUNTIF('PATIENT DATA (072721)'!A:A, B92)=0, "X","✓")</f>
        <v>X</v>
      </c>
      <c r="D92" s="226" t="str">
        <f>IFS($B92=FALSE,"",$B92,VLOOKUP($B92,'PATIENT DATA (072721)'!A:C, 3, 0))</f>
        <v/>
      </c>
      <c r="E92" s="218"/>
      <c r="F92" s="219" t="str">
        <f>ifs($B92="","",$B92, VLOOKUP($B92&amp;$E92, 'VISIT DATA'!A:O,3,0))</f>
        <v/>
      </c>
      <c r="G92" s="231"/>
      <c r="H92" s="221" t="str">
        <f>ifs($B92="","",$B92, VLOOKUP($B92&amp;$E92, 'VISIT DATA'!$A:$O,13,0))</f>
        <v/>
      </c>
      <c r="I92" s="262" t="str">
        <f>VLOOKUP($B92&amp;$E92,'VISIT DATA'!A:J, 9, FALSE)</f>
        <v>#N/A</v>
      </c>
      <c r="J92" s="223" t="str">
        <f>VLOOKUP(B92&amp;E92,'VISIT DATA'!A:N,10,FALSE)</f>
        <v>#N/A</v>
      </c>
      <c r="K92" s="225"/>
      <c r="L92" s="224"/>
      <c r="M92" s="224"/>
      <c r="N92" s="225"/>
      <c r="O92" s="216" t="str">
        <f t="shared" si="1"/>
        <v>X</v>
      </c>
      <c r="P92" s="226" t="str">
        <f t="shared" si="2"/>
        <v>#N/A</v>
      </c>
      <c r="Q92" s="227" t="str">
        <f t="shared" si="3"/>
        <v>#N/A</v>
      </c>
      <c r="R92" s="228" t="str">
        <f t="shared" si="4"/>
        <v>#N/A</v>
      </c>
      <c r="S92" s="220" t="str">
        <f t="shared" si="5"/>
        <v>#N/A</v>
      </c>
      <c r="T92" s="220" t="str">
        <f t="shared" si="6"/>
        <v>#N/A</v>
      </c>
      <c r="U92" s="221">
        <f t="shared" si="7"/>
        <v>0</v>
      </c>
      <c r="V92" s="229" t="str">
        <f>ifs($N92="",VLOOKUP($B92&amp;$E92,'VISIT DATA'!$A$2:$J100,7,FALSE), $N92="SWAB","OUTSA-RW",$N92="SWQU","OUTSA-SaQu", AND($L92="X",$M92="X",$N92="QUEST"),"OUT-UAQPre",$N92="QUEST","OUT-UAQ", $N92="Walk in","ColUATele")</f>
        <v>#N/A</v>
      </c>
      <c r="W92" s="24" t="str">
        <f t="shared" si="8"/>
        <v>#N/A</v>
      </c>
      <c r="X92" s="222" t="str">
        <f t="shared" si="9"/>
        <v/>
      </c>
      <c r="Y92" s="222" t="str">
        <f t="shared" si="10"/>
        <v/>
      </c>
      <c r="Z92" s="224" t="str">
        <f t="shared" si="11"/>
        <v> </v>
      </c>
      <c r="AA92" s="244"/>
    </row>
    <row r="93">
      <c r="A93" s="214" t="str">
        <f>IFS($B93=FALSE,"",$B93,VLOOKUP($B93,'PATIENT DATA (072721)'!A:C, 2, 0))</f>
        <v/>
      </c>
      <c r="B93" s="215"/>
      <c r="C93" s="230" t="str">
        <f>IF(COUNTIF('PATIENT DATA (072721)'!A:A, B93)=0, "X","✓")</f>
        <v>X</v>
      </c>
      <c r="D93" s="226" t="str">
        <f>IFS($B93=FALSE,"",$B93,VLOOKUP($B93,'PATIENT DATA (072721)'!A:C, 3, 0))</f>
        <v/>
      </c>
      <c r="E93" s="218"/>
      <c r="F93" s="219" t="str">
        <f>ifs($B93="","",$B93, VLOOKUP($B93&amp;$E93, 'VISIT DATA'!A:O,3,0))</f>
        <v/>
      </c>
      <c r="G93" s="231"/>
      <c r="H93" s="221" t="str">
        <f>ifs($B93="","",$B93, VLOOKUP($B93&amp;$E93, 'VISIT DATA'!$A:$O,13,0))</f>
        <v/>
      </c>
      <c r="I93" s="262" t="str">
        <f>VLOOKUP($B93&amp;$E93,'VISIT DATA'!A:J, 9, FALSE)</f>
        <v>#N/A</v>
      </c>
      <c r="J93" s="223" t="str">
        <f>VLOOKUP(B93&amp;E93,'VISIT DATA'!A:N,10,FALSE)</f>
        <v>#N/A</v>
      </c>
      <c r="K93" s="225"/>
      <c r="L93" s="224"/>
      <c r="M93" s="224"/>
      <c r="N93" s="225"/>
      <c r="O93" s="216" t="str">
        <f t="shared" si="1"/>
        <v>X</v>
      </c>
      <c r="P93" s="226" t="str">
        <f t="shared" si="2"/>
        <v>#N/A</v>
      </c>
      <c r="Q93" s="227" t="str">
        <f t="shared" si="3"/>
        <v>#N/A</v>
      </c>
      <c r="R93" s="228" t="str">
        <f t="shared" si="4"/>
        <v>#N/A</v>
      </c>
      <c r="S93" s="220" t="str">
        <f t="shared" si="5"/>
        <v>#N/A</v>
      </c>
      <c r="T93" s="220" t="str">
        <f t="shared" si="6"/>
        <v>#N/A</v>
      </c>
      <c r="U93" s="221">
        <f t="shared" si="7"/>
        <v>0</v>
      </c>
      <c r="V93" s="229" t="str">
        <f>ifs($N93="",VLOOKUP($B93&amp;$E93,'VISIT DATA'!$A$2:$J100,7,FALSE), $N93="SWAB","OUTSA-RW",$N93="SWQU","OUTSA-SaQu", AND($L93="X",$M93="X",$N93="QUEST"),"OUT-UAQPre",$N93="QUEST","OUT-UAQ", $N93="Walk in","ColUATele")</f>
        <v>#N/A</v>
      </c>
      <c r="W93" s="24" t="str">
        <f t="shared" si="8"/>
        <v>#N/A</v>
      </c>
      <c r="X93" s="222" t="str">
        <f t="shared" si="9"/>
        <v/>
      </c>
      <c r="Y93" s="222" t="str">
        <f t="shared" si="10"/>
        <v/>
      </c>
      <c r="Z93" s="224" t="str">
        <f t="shared" si="11"/>
        <v> </v>
      </c>
      <c r="AA93" s="244"/>
    </row>
    <row r="94">
      <c r="A94" s="214" t="str">
        <f>IFS($B94=FALSE,"",$B94,VLOOKUP($B94,'PATIENT DATA (072721)'!A:C, 2, 0))</f>
        <v/>
      </c>
      <c r="B94" s="215"/>
      <c r="C94" s="230" t="str">
        <f>IF(COUNTIF('PATIENT DATA (072721)'!A:A, B94)=0, "X","✓")</f>
        <v>X</v>
      </c>
      <c r="D94" s="226" t="str">
        <f>IFS($B94=FALSE,"",$B94,VLOOKUP($B94,'PATIENT DATA (072721)'!A:C, 3, 0))</f>
        <v/>
      </c>
      <c r="E94" s="218"/>
      <c r="F94" s="219" t="str">
        <f>ifs($B94="","",$B94, VLOOKUP($B94&amp;$E94, 'VISIT DATA'!A:O,3,0))</f>
        <v/>
      </c>
      <c r="G94" s="231"/>
      <c r="H94" s="221" t="str">
        <f>ifs($B94="","",$B94, VLOOKUP($B94&amp;$E94, 'VISIT DATA'!$A:$O,13,0))</f>
        <v/>
      </c>
      <c r="I94" s="262" t="str">
        <f>VLOOKUP($B94&amp;$E94,'VISIT DATA'!A:J, 9, FALSE)</f>
        <v>#N/A</v>
      </c>
      <c r="J94" s="223" t="str">
        <f>VLOOKUP(B94&amp;E94,'VISIT DATA'!A:N,10,FALSE)</f>
        <v>#N/A</v>
      </c>
      <c r="K94" s="225"/>
      <c r="L94" s="224"/>
      <c r="M94" s="224"/>
      <c r="N94" s="225"/>
      <c r="O94" s="216" t="str">
        <f t="shared" si="1"/>
        <v>X</v>
      </c>
      <c r="P94" s="226" t="str">
        <f t="shared" si="2"/>
        <v>#N/A</v>
      </c>
      <c r="Q94" s="227" t="str">
        <f t="shared" si="3"/>
        <v>#N/A</v>
      </c>
      <c r="R94" s="228" t="str">
        <f t="shared" si="4"/>
        <v>#N/A</v>
      </c>
      <c r="S94" s="220" t="str">
        <f t="shared" si="5"/>
        <v>#N/A</v>
      </c>
      <c r="T94" s="220" t="str">
        <f t="shared" si="6"/>
        <v>#N/A</v>
      </c>
      <c r="U94" s="221">
        <f t="shared" si="7"/>
        <v>0</v>
      </c>
      <c r="V94" s="229" t="str">
        <f>ifs($N94="",VLOOKUP($B94&amp;$E94,'VISIT DATA'!$A$2:$J100,7,FALSE), $N94="SWAB","OUTSA-RW",$N94="SWQU","OUTSA-SaQu", AND($L94="X",$M94="X",$N94="QUEST"),"OUT-UAQPre",$N94="QUEST","OUT-UAQ", $N94="Walk in","ColUATele")</f>
        <v>#N/A</v>
      </c>
      <c r="W94" s="24" t="str">
        <f t="shared" si="8"/>
        <v>#N/A</v>
      </c>
      <c r="X94" s="222" t="str">
        <f t="shared" si="9"/>
        <v/>
      </c>
      <c r="Y94" s="222" t="str">
        <f t="shared" si="10"/>
        <v/>
      </c>
      <c r="Z94" s="224" t="str">
        <f t="shared" si="11"/>
        <v> </v>
      </c>
      <c r="AA94" s="244"/>
    </row>
    <row r="95">
      <c r="A95" s="214" t="str">
        <f>IFS($B95=FALSE,"",$B95,VLOOKUP($B95,'PATIENT DATA (072721)'!A:C, 2, 0))</f>
        <v/>
      </c>
      <c r="B95" s="215"/>
      <c r="C95" s="230" t="str">
        <f>IF(COUNTIF('PATIENT DATA (072721)'!A:A, B95)=0, "X","✓")</f>
        <v>X</v>
      </c>
      <c r="D95" s="226" t="str">
        <f>IFS($B95=FALSE,"",$B95,VLOOKUP($B95,'PATIENT DATA (072721)'!A:C, 3, 0))</f>
        <v/>
      </c>
      <c r="E95" s="218"/>
      <c r="F95" s="219" t="str">
        <f>ifs($B95="","",$B95, VLOOKUP($B95&amp;$E95, 'VISIT DATA'!A:O,3,0))</f>
        <v/>
      </c>
      <c r="G95" s="231"/>
      <c r="H95" s="221" t="str">
        <f>ifs($B95="","",$B95, VLOOKUP($B95&amp;$E95, 'VISIT DATA'!$A:$O,13,0))</f>
        <v/>
      </c>
      <c r="I95" s="262" t="str">
        <f>VLOOKUP($B95&amp;$E95,'VISIT DATA'!A:J, 9, FALSE)</f>
        <v>#N/A</v>
      </c>
      <c r="J95" s="223" t="str">
        <f>VLOOKUP(B95&amp;E95,'VISIT DATA'!A:N,10,FALSE)</f>
        <v>#N/A</v>
      </c>
      <c r="K95" s="225"/>
      <c r="L95" s="224"/>
      <c r="M95" s="224"/>
      <c r="N95" s="225"/>
      <c r="O95" s="216" t="str">
        <f t="shared" si="1"/>
        <v>X</v>
      </c>
      <c r="P95" s="226" t="str">
        <f t="shared" si="2"/>
        <v>#N/A</v>
      </c>
      <c r="Q95" s="227" t="str">
        <f t="shared" si="3"/>
        <v>#N/A</v>
      </c>
      <c r="R95" s="228" t="str">
        <f t="shared" si="4"/>
        <v>#N/A</v>
      </c>
      <c r="S95" s="220" t="str">
        <f t="shared" si="5"/>
        <v>#N/A</v>
      </c>
      <c r="T95" s="220" t="str">
        <f t="shared" si="6"/>
        <v>#N/A</v>
      </c>
      <c r="U95" s="221">
        <f t="shared" si="7"/>
        <v>0</v>
      </c>
      <c r="V95" s="229" t="str">
        <f>ifs($N95="",VLOOKUP($B95&amp;$E95,'VISIT DATA'!$A$2:$J100,7,FALSE), $N95="SWAB","OUTSA-RW",$N95="SWQU","OUTSA-SaQu", AND($L95="X",$M95="X",$N95="QUEST"),"OUT-UAQPre",$N95="QUEST","OUT-UAQ", $N95="Walk in","ColUATele")</f>
        <v>#N/A</v>
      </c>
      <c r="W95" s="24" t="str">
        <f t="shared" si="8"/>
        <v>#N/A</v>
      </c>
      <c r="X95" s="222" t="str">
        <f t="shared" si="9"/>
        <v/>
      </c>
      <c r="Y95" s="222" t="str">
        <f t="shared" si="10"/>
        <v/>
      </c>
      <c r="Z95" s="224" t="str">
        <f t="shared" si="11"/>
        <v> </v>
      </c>
      <c r="AA95" s="244"/>
    </row>
    <row r="96">
      <c r="A96" s="214" t="str">
        <f>IFS($B96=FALSE,"",$B96,VLOOKUP($B96,'PATIENT DATA (072721)'!A:C, 2, 0))</f>
        <v/>
      </c>
      <c r="B96" s="215"/>
      <c r="C96" s="230" t="str">
        <f>IF(COUNTIF('PATIENT DATA (072721)'!A:A, B96)=0, "X","✓")</f>
        <v>X</v>
      </c>
      <c r="D96" s="226" t="str">
        <f>IFS($B96=FALSE,"",$B96,VLOOKUP($B96,'PATIENT DATA (072721)'!A:C, 3, 0))</f>
        <v/>
      </c>
      <c r="E96" s="218"/>
      <c r="F96" s="219" t="str">
        <f>ifs($B96="","",$B96, VLOOKUP($B96&amp;$E96, 'VISIT DATA'!A:O,3,0))</f>
        <v/>
      </c>
      <c r="G96" s="231"/>
      <c r="H96" s="221" t="str">
        <f>ifs($B96="","",$B96, VLOOKUP($B96&amp;$E96, 'VISIT DATA'!$A:$O,13,0))</f>
        <v/>
      </c>
      <c r="I96" s="262" t="str">
        <f>VLOOKUP($B96&amp;$E96,'VISIT DATA'!A:J, 9, FALSE)</f>
        <v>#N/A</v>
      </c>
      <c r="J96" s="223" t="str">
        <f>VLOOKUP(B96&amp;E96,'VISIT DATA'!A:N,10,FALSE)</f>
        <v>#N/A</v>
      </c>
      <c r="K96" s="225"/>
      <c r="L96" s="224"/>
      <c r="M96" s="224"/>
      <c r="N96" s="225"/>
      <c r="O96" s="216" t="str">
        <f t="shared" si="1"/>
        <v>X</v>
      </c>
      <c r="P96" s="226" t="str">
        <f t="shared" si="2"/>
        <v>#N/A</v>
      </c>
      <c r="Q96" s="227" t="str">
        <f t="shared" si="3"/>
        <v>#N/A</v>
      </c>
      <c r="R96" s="228" t="str">
        <f t="shared" si="4"/>
        <v>#N/A</v>
      </c>
      <c r="S96" s="220" t="str">
        <f t="shared" si="5"/>
        <v>#N/A</v>
      </c>
      <c r="T96" s="220" t="str">
        <f t="shared" si="6"/>
        <v>#N/A</v>
      </c>
      <c r="U96" s="221">
        <f t="shared" si="7"/>
        <v>0</v>
      </c>
      <c r="V96" s="229" t="str">
        <f>ifs($N96="",VLOOKUP($B96&amp;$E96,'VISIT DATA'!$A$2:$J100,7,FALSE), $N96="SWAB","OUTSA-RW",$N96="SWQU","OUTSA-SaQu", AND($L96="X",$M96="X",$N96="QUEST"),"OUT-UAQPre",$N96="QUEST","OUT-UAQ", $N96="Walk in","ColUATele")</f>
        <v>#N/A</v>
      </c>
      <c r="W96" s="24" t="str">
        <f t="shared" si="8"/>
        <v>#N/A</v>
      </c>
      <c r="X96" s="222" t="str">
        <f t="shared" si="9"/>
        <v/>
      </c>
      <c r="Y96" s="222" t="str">
        <f t="shared" si="10"/>
        <v/>
      </c>
      <c r="Z96" s="224" t="str">
        <f t="shared" si="11"/>
        <v> </v>
      </c>
      <c r="AA96" s="244"/>
    </row>
    <row r="97">
      <c r="A97" s="214" t="str">
        <f>IFS($B97=FALSE,"",$B97,VLOOKUP($B97,'PATIENT DATA (072721)'!A:C, 2, 0))</f>
        <v/>
      </c>
      <c r="B97" s="215"/>
      <c r="C97" s="230" t="str">
        <f>IF(COUNTIF('PATIENT DATA (072721)'!A:A, B97)=0, "X","✓")</f>
        <v>X</v>
      </c>
      <c r="D97" s="226" t="str">
        <f>IFS($B97=FALSE,"",$B97,VLOOKUP($B97,'PATIENT DATA (072721)'!A:C, 3, 0))</f>
        <v/>
      </c>
      <c r="E97" s="218"/>
      <c r="F97" s="219" t="str">
        <f>ifs($B97="","",$B97, VLOOKUP($B97&amp;$E97, 'VISIT DATA'!A:O,3,0))</f>
        <v/>
      </c>
      <c r="G97" s="231"/>
      <c r="H97" s="221" t="str">
        <f>ifs($B97="","",$B97, VLOOKUP($B97&amp;$E97, 'VISIT DATA'!$A:$O,13,0))</f>
        <v/>
      </c>
      <c r="I97" s="262" t="str">
        <f>VLOOKUP($B97&amp;$E97,'VISIT DATA'!A:J, 9, FALSE)</f>
        <v>#N/A</v>
      </c>
      <c r="J97" s="223" t="str">
        <f>VLOOKUP(B97&amp;E97,'VISIT DATA'!A:N,10,FALSE)</f>
        <v>#N/A</v>
      </c>
      <c r="K97" s="225"/>
      <c r="L97" s="224"/>
      <c r="M97" s="224"/>
      <c r="N97" s="225"/>
      <c r="O97" s="216" t="str">
        <f t="shared" si="1"/>
        <v>X</v>
      </c>
      <c r="P97" s="226" t="str">
        <f t="shared" si="2"/>
        <v>#N/A</v>
      </c>
      <c r="Q97" s="227" t="str">
        <f t="shared" si="3"/>
        <v>#N/A</v>
      </c>
      <c r="R97" s="228" t="str">
        <f t="shared" si="4"/>
        <v>#N/A</v>
      </c>
      <c r="S97" s="220" t="str">
        <f t="shared" si="5"/>
        <v>#N/A</v>
      </c>
      <c r="T97" s="220" t="str">
        <f t="shared" si="6"/>
        <v>#N/A</v>
      </c>
      <c r="U97" s="221">
        <f t="shared" si="7"/>
        <v>0</v>
      </c>
      <c r="V97" s="229" t="str">
        <f>ifs($N97="",VLOOKUP($B97&amp;$E97,'VISIT DATA'!$A$2:$J100,7,FALSE), $N97="SWAB","OUTSA-RW",$N97="SWQU","OUTSA-SaQu", AND($L97="X",$M97="X",$N97="QUEST"),"OUT-UAQPre",$N97="QUEST","OUT-UAQ", $N97="Walk in","ColUATele")</f>
        <v>#N/A</v>
      </c>
      <c r="W97" s="24" t="str">
        <f t="shared" si="8"/>
        <v>#N/A</v>
      </c>
      <c r="X97" s="222" t="str">
        <f t="shared" si="9"/>
        <v/>
      </c>
      <c r="Y97" s="222" t="str">
        <f t="shared" si="10"/>
        <v/>
      </c>
      <c r="Z97" s="224" t="str">
        <f t="shared" si="11"/>
        <v> </v>
      </c>
      <c r="AA97" s="244"/>
    </row>
    <row r="98">
      <c r="A98" s="214" t="str">
        <f>IFS($B98=FALSE,"",$B98,VLOOKUP($B98,'PATIENT DATA (072721)'!A:C, 2, 0))</f>
        <v/>
      </c>
      <c r="B98" s="215"/>
      <c r="C98" s="230" t="str">
        <f>IF(COUNTIF('PATIENT DATA (072721)'!A:A, B98)=0, "X","✓")</f>
        <v>X</v>
      </c>
      <c r="D98" s="226" t="str">
        <f>IFS($B98=FALSE,"",$B98,VLOOKUP($B98,'PATIENT DATA (072721)'!A:C, 3, 0))</f>
        <v/>
      </c>
      <c r="E98" s="218"/>
      <c r="F98" s="219" t="str">
        <f>ifs($B98="","",$B98, VLOOKUP($B98&amp;$E98, 'VISIT DATA'!A:O,3,0))</f>
        <v/>
      </c>
      <c r="G98" s="231"/>
      <c r="H98" s="221" t="str">
        <f>ifs($B98="","",$B98, VLOOKUP($B98&amp;$E98, 'VISIT DATA'!$A:$O,13,0))</f>
        <v/>
      </c>
      <c r="I98" s="262" t="str">
        <f>VLOOKUP($B98&amp;$E98,'VISIT DATA'!A:J, 9, FALSE)</f>
        <v>#N/A</v>
      </c>
      <c r="J98" s="223" t="str">
        <f>VLOOKUP(B98&amp;E98,'VISIT DATA'!A:N,10,FALSE)</f>
        <v>#N/A</v>
      </c>
      <c r="K98" s="225"/>
      <c r="L98" s="224"/>
      <c r="M98" s="224"/>
      <c r="N98" s="225"/>
      <c r="O98" s="216" t="str">
        <f t="shared" si="1"/>
        <v>X</v>
      </c>
      <c r="P98" s="226" t="str">
        <f t="shared" si="2"/>
        <v>#N/A</v>
      </c>
      <c r="Q98" s="227" t="str">
        <f t="shared" si="3"/>
        <v>#N/A</v>
      </c>
      <c r="R98" s="228" t="str">
        <f t="shared" si="4"/>
        <v>#N/A</v>
      </c>
      <c r="S98" s="220" t="str">
        <f t="shared" si="5"/>
        <v>#N/A</v>
      </c>
      <c r="T98" s="220" t="str">
        <f t="shared" si="6"/>
        <v>#N/A</v>
      </c>
      <c r="U98" s="221">
        <f t="shared" si="7"/>
        <v>0</v>
      </c>
      <c r="V98" s="229" t="str">
        <f>ifs($N98="",VLOOKUP($B98&amp;$E98,'VISIT DATA'!$A$2:$J100,7,FALSE), $N98="SWAB","OUTSA-RW",$N98="SWQU","OUTSA-SaQu", AND($L98="X",$M98="X",$N98="QUEST"),"OUT-UAQPre",$N98="QUEST","OUT-UAQ", $N98="Walk in","ColUATele")</f>
        <v>#N/A</v>
      </c>
      <c r="W98" s="24" t="str">
        <f t="shared" si="8"/>
        <v>#N/A</v>
      </c>
      <c r="X98" s="222" t="str">
        <f t="shared" si="9"/>
        <v/>
      </c>
      <c r="Y98" s="222" t="str">
        <f t="shared" si="10"/>
        <v/>
      </c>
      <c r="Z98" s="224" t="str">
        <f t="shared" si="11"/>
        <v> </v>
      </c>
      <c r="AA98" s="244"/>
    </row>
    <row r="99">
      <c r="A99" s="214" t="str">
        <f>IFS($B99=FALSE,"",$B99,VLOOKUP($B99,'PATIENT DATA (072721)'!A:C, 2, 0))</f>
        <v/>
      </c>
      <c r="B99" s="215"/>
      <c r="C99" s="230" t="str">
        <f>IF(COUNTIF('PATIENT DATA (072721)'!A:A, B99)=0, "X","✓")</f>
        <v>X</v>
      </c>
      <c r="D99" s="226" t="str">
        <f>IFS($B99=FALSE,"",$B99,VLOOKUP($B99,'PATIENT DATA (072721)'!A:C, 3, 0))</f>
        <v/>
      </c>
      <c r="E99" s="218"/>
      <c r="F99" s="219" t="str">
        <f>ifs($B99="","",$B99, VLOOKUP($B99&amp;$E99, 'VISIT DATA'!A:O,3,0))</f>
        <v/>
      </c>
      <c r="G99" s="231"/>
      <c r="H99" s="221" t="str">
        <f>ifs($B99="","",$B99, VLOOKUP($B99&amp;$E99, 'VISIT DATA'!$A:$O,13,0))</f>
        <v/>
      </c>
      <c r="I99" s="262" t="str">
        <f>VLOOKUP($B99&amp;$E99,'VISIT DATA'!A:J, 9, FALSE)</f>
        <v>#N/A</v>
      </c>
      <c r="J99" s="223" t="str">
        <f>VLOOKUP(B99&amp;E99,'VISIT DATA'!A:N,10,FALSE)</f>
        <v>#N/A</v>
      </c>
      <c r="K99" s="225"/>
      <c r="L99" s="224"/>
      <c r="M99" s="224"/>
      <c r="N99" s="225"/>
      <c r="O99" s="216" t="str">
        <f t="shared" si="1"/>
        <v>X</v>
      </c>
      <c r="P99" s="226" t="str">
        <f t="shared" si="2"/>
        <v>#N/A</v>
      </c>
      <c r="Q99" s="227" t="str">
        <f t="shared" si="3"/>
        <v>#N/A</v>
      </c>
      <c r="R99" s="228" t="str">
        <f t="shared" si="4"/>
        <v>#N/A</v>
      </c>
      <c r="S99" s="220" t="str">
        <f t="shared" si="5"/>
        <v>#N/A</v>
      </c>
      <c r="T99" s="220" t="str">
        <f t="shared" si="6"/>
        <v>#N/A</v>
      </c>
      <c r="U99" s="221">
        <f t="shared" si="7"/>
        <v>0</v>
      </c>
      <c r="V99" s="229" t="str">
        <f>ifs($N99="",VLOOKUP($B99&amp;$E99,'VISIT DATA'!$A$2:$J100,7,FALSE), $N99="SWAB","OUTSA-RW",$N99="SWQU","OUTSA-SaQu", AND($L99="X",$M99="X",$N99="QUEST"),"OUT-UAQPre",$N99="QUEST","OUT-UAQ", $N99="Walk in","ColUATele")</f>
        <v>#N/A</v>
      </c>
      <c r="W99" s="24" t="str">
        <f t="shared" si="8"/>
        <v>#N/A</v>
      </c>
      <c r="X99" s="222" t="str">
        <f t="shared" si="9"/>
        <v/>
      </c>
      <c r="Y99" s="222" t="str">
        <f t="shared" si="10"/>
        <v/>
      </c>
      <c r="Z99" s="224" t="str">
        <f t="shared" si="11"/>
        <v> </v>
      </c>
      <c r="AA99" s="244"/>
    </row>
    <row r="100">
      <c r="A100" s="232"/>
      <c r="B100" s="232"/>
      <c r="C100" s="232"/>
      <c r="D100" s="232"/>
      <c r="E100" s="263"/>
      <c r="F100" s="234"/>
      <c r="G100" s="232"/>
      <c r="H100" s="235"/>
      <c r="I100" s="232"/>
      <c r="J100" s="232"/>
      <c r="K100" s="236" t="s">
        <v>6333</v>
      </c>
      <c r="L100" s="237">
        <f>COUNTIFS(K1:L80, "X")</f>
        <v>47</v>
      </c>
      <c r="M100" s="236" t="s">
        <v>6334</v>
      </c>
      <c r="N100" s="237">
        <f>COUNTIFS(M1:M80, "X")</f>
        <v>19</v>
      </c>
      <c r="O100" s="238"/>
      <c r="P100" s="238"/>
      <c r="Q100" s="238"/>
      <c r="R100" s="238"/>
      <c r="S100" s="238"/>
      <c r="T100" s="238"/>
      <c r="U100" s="238"/>
      <c r="V100" s="239"/>
      <c r="W100" s="238"/>
      <c r="X100" s="238"/>
      <c r="Y100" s="238"/>
      <c r="Z100" s="238"/>
      <c r="AA100" s="238"/>
    </row>
  </sheetData>
  <customSheetViews>
    <customSheetView guid="{20F5F3BA-172D-4727-943D-E296FD1F3EFA}" filter="1" showAutoFilter="1">
      <autoFilter ref="$A$1:$AA$100"/>
    </customSheetView>
  </customSheetViews>
  <conditionalFormatting sqref="A1:X100">
    <cfRule type="expression" dxfId="5" priority="1">
      <formula>$X1="ERROR"</formula>
    </cfRule>
  </conditionalFormatting>
  <conditionalFormatting sqref="A1:Z99">
    <cfRule type="expression" dxfId="5" priority="2">
      <formula>$Y1="NO MATCH"</formula>
    </cfRule>
  </conditionalFormatting>
  <conditionalFormatting sqref="C2:C99 O2:O99">
    <cfRule type="containsText" dxfId="5" priority="3" operator="containsText" text="X">
      <formula>NOT(ISERROR(SEARCH(("X"),(C2))))</formula>
    </cfRule>
  </conditionalFormatting>
  <conditionalFormatting sqref="A1:Z99">
    <cfRule type="expression" dxfId="4" priority="4">
      <formula>$Z1="Repeat"</formula>
    </cfRule>
  </conditionalFormatting>
  <conditionalFormatting sqref="V2:V99">
    <cfRule type="expression" dxfId="10" priority="5">
      <formula>$N2="QUEST"</formula>
    </cfRule>
  </conditionalFormatting>
  <conditionalFormatting sqref="C2:C99 O2:O99">
    <cfRule type="containsText" dxfId="10" priority="6" operator="containsText" text="✓">
      <formula>NOT(ISERROR(SEARCH(("✓"),(C2))))</formula>
    </cfRule>
  </conditionalFormatting>
  <conditionalFormatting sqref="A1:U99">
    <cfRule type="expression" dxfId="20" priority="7">
      <formula>$J1="MOLINA DUAL COMPLETE NEW MEXICO"</formula>
    </cfRule>
  </conditionalFormatting>
  <conditionalFormatting sqref="A1:U99">
    <cfRule type="expression" dxfId="20" priority="8">
      <formula>$J1="MOLINA DUAL COMPLETE TEXAS"</formula>
    </cfRule>
  </conditionalFormatting>
  <conditionalFormatting sqref="A1:U99">
    <cfRule type="expression" dxfId="20" priority="9">
      <formula>$J1="MOLINA MARKETPLACE TEXAS"</formula>
    </cfRule>
  </conditionalFormatting>
  <conditionalFormatting sqref="K1:K99">
    <cfRule type="containsText" dxfId="6" priority="10" operator="containsText" text="x">
      <formula>NOT(ISERROR(SEARCH(("x"),(K1))))</formula>
    </cfRule>
  </conditionalFormatting>
  <conditionalFormatting sqref="M1:M99">
    <cfRule type="containsText" dxfId="21" priority="11" operator="containsText" text="X">
      <formula>NOT(ISERROR(SEARCH(("X"),(M1))))</formula>
    </cfRule>
  </conditionalFormatting>
  <conditionalFormatting sqref="L1:L99">
    <cfRule type="containsText" dxfId="22" priority="12" operator="containsText" text="X">
      <formula>NOT(ISERROR(SEARCH(("X"),(L1))))</formula>
    </cfRule>
  </conditionalFormatting>
  <conditionalFormatting sqref="C1:C99 O1:O99">
    <cfRule type="containsBlanks" dxfId="23" priority="13">
      <formula>LEN(TRIM(C1))=0</formula>
    </cfRule>
  </conditionalFormatting>
  <conditionalFormatting sqref="J1:J99 N1:O1 Z1">
    <cfRule type="containsText" dxfId="24" priority="14" operator="containsText" text="Molina">
      <formula>NOT(ISERROR(SEARCH(("Molina"),(J1))))</formula>
    </cfRule>
  </conditionalFormatting>
  <conditionalFormatting sqref="K1:M99">
    <cfRule type="containsBlanks" dxfId="25" priority="15">
      <formula>LEN(TRIM(K1))=0</formula>
    </cfRule>
  </conditionalFormatting>
  <conditionalFormatting sqref="O1:O99 A2:N99 P2:Z99">
    <cfRule type="expression" dxfId="10" priority="16">
      <formula>$N1="SWAB"</formula>
    </cfRule>
  </conditionalFormatting>
  <conditionalFormatting sqref="J1:J99">
    <cfRule type="containsText" dxfId="5" priority="17" operator="containsText" text="Self Pay">
      <formula>NOT(ISERROR(SEARCH(("Self Pay"),(J1))))</formula>
    </cfRule>
  </conditionalFormatting>
  <conditionalFormatting sqref="J1:J99">
    <cfRule type="containsText" dxfId="5" priority="18" operator="containsText" text="Self-Pay">
      <formula>NOT(ISERROR(SEARCH(("Self-Pay"),(J1))))</formula>
    </cfRule>
  </conditionalFormatting>
  <conditionalFormatting sqref="J1:J99">
    <cfRule type="containsText" dxfId="5" priority="19" operator="containsText" text="Third Party">
      <formula>NOT(ISERROR(SEARCH(("Third Party"),(J1))))</formula>
    </cfRule>
  </conditionalFormatting>
  <conditionalFormatting sqref="A1:U99">
    <cfRule type="expression" dxfId="26" priority="20">
      <formula>$J1="SUPERIOR HEALTH PLAN"</formula>
    </cfRule>
  </conditionalFormatting>
  <conditionalFormatting sqref="A1:U99">
    <cfRule type="expression" dxfId="26" priority="21">
      <formula>$J1="AMBETTER - SUPERIOR"</formula>
    </cfRule>
  </conditionalFormatting>
  <conditionalFormatting sqref="A1:U99">
    <cfRule type="expression" dxfId="19" priority="22">
      <formula>$J1="Wellmed - Humana"</formula>
    </cfRule>
  </conditionalFormatting>
  <conditionalFormatting sqref="A1:U99">
    <cfRule type="expression" dxfId="19" priority="23">
      <formula>$J1="WELLMED - AARP MEDICARE COMPLETE"</formula>
    </cfRule>
  </conditionalFormatting>
  <conditionalFormatting sqref="A1:U99">
    <cfRule type="expression" dxfId="19" priority="24">
      <formula>$J1="WELLMED - AMERIVANTAGE"</formula>
    </cfRule>
  </conditionalFormatting>
  <conditionalFormatting sqref="A1:U99">
    <cfRule type="expression" dxfId="19" priority="25">
      <formula>$J1="WELLMED - CIGNA HEALTHSPRING"</formula>
    </cfRule>
  </conditionalFormatting>
  <conditionalFormatting sqref="A1:U99">
    <cfRule type="expression" dxfId="19" priority="26">
      <formula>$J1="WELLMED - UHC CHRONIC COMPLETE HMO C-SNP"</formula>
    </cfRule>
  </conditionalFormatting>
  <conditionalFormatting sqref="A1:U99">
    <cfRule type="expression" dxfId="19" priority="27">
      <formula>$J1="WELLMED - UHC DUAL COMPLETE HMO SNP"</formula>
    </cfRule>
  </conditionalFormatting>
  <conditionalFormatting sqref="A1:U99">
    <cfRule type="expression" dxfId="19" priority="28">
      <formula>$J1="WELLMED - UHC DUAL COMPLETE SNP"</formula>
    </cfRule>
  </conditionalFormatting>
  <conditionalFormatting sqref="A1:U99">
    <cfRule type="expression" dxfId="20" priority="29">
      <formula>$J1="MOLINA DUAL COMPLETE NEW MEXICO"</formula>
    </cfRule>
  </conditionalFormatting>
  <conditionalFormatting sqref="A1:U99">
    <cfRule type="expression" dxfId="20" priority="30">
      <formula>$J1="MOLINA DUAL COMPLETE TEXAS"</formula>
    </cfRule>
  </conditionalFormatting>
  <conditionalFormatting sqref="A1:U99">
    <cfRule type="expression" dxfId="20" priority="31">
      <formula>$J1="MOLINA MARKETPLACE TEXAS"</formula>
    </cfRule>
  </conditionalFormatting>
  <conditionalFormatting sqref="A1:U99">
    <cfRule type="expression" dxfId="20" priority="32">
      <formula>$J1="MOLINA MEDICAID TEXAS"</formula>
    </cfRule>
  </conditionalFormatting>
  <conditionalFormatting sqref="A1:U99">
    <cfRule type="expression" dxfId="27" priority="33">
      <formula>$J1="HUMANA OPEN ACCESS PLAN"</formula>
    </cfRule>
  </conditionalFormatting>
  <conditionalFormatting sqref="A1:U99">
    <cfRule type="expression" dxfId="28" priority="34">
      <formula>$J1="HUMANA CHOICE CARE"</formula>
    </cfRule>
  </conditionalFormatting>
  <conditionalFormatting sqref="V1:W99">
    <cfRule type="expression" dxfId="11" priority="35">
      <formula>$V1="UA"</formula>
    </cfRule>
  </conditionalFormatting>
  <conditionalFormatting sqref="V1:W99">
    <cfRule type="expression" dxfId="12" priority="36">
      <formula>$V1="OUTUA-PrRW"</formula>
    </cfRule>
  </conditionalFormatting>
  <conditionalFormatting sqref="V1:W99">
    <cfRule type="expression" dxfId="12" priority="37">
      <formula>$V1="OUT-UAQPre"</formula>
    </cfRule>
  </conditionalFormatting>
  <conditionalFormatting sqref="V1:W99">
    <cfRule type="expression" dxfId="13" priority="38">
      <formula>$V1="UA-Prelim"</formula>
    </cfRule>
  </conditionalFormatting>
  <conditionalFormatting sqref="V1:W99">
    <cfRule type="expression" dxfId="6" priority="39">
      <formula>$V1="UA-NWPT"</formula>
    </cfRule>
  </conditionalFormatting>
  <conditionalFormatting sqref="N1:N100 O1:O99">
    <cfRule type="expression" dxfId="5" priority="40">
      <formula>$O1="X"</formula>
    </cfRule>
  </conditionalFormatting>
  <conditionalFormatting sqref="V1:W99">
    <cfRule type="expression" dxfId="10" priority="41">
      <formula>$V1="OUT-UAQ"</formula>
    </cfRule>
  </conditionalFormatting>
  <conditionalFormatting sqref="V1:W99">
    <cfRule type="expression" dxfId="10" priority="42">
      <formula>$V1="OUTUA-FURW"</formula>
    </cfRule>
  </conditionalFormatting>
  <conditionalFormatting sqref="V1:W99">
    <cfRule type="expression" dxfId="14" priority="43">
      <formula>$V1="OUTSA-SaQu"</formula>
    </cfRule>
  </conditionalFormatting>
  <conditionalFormatting sqref="V1:W99">
    <cfRule type="expression" dxfId="14" priority="44">
      <formula>$V1="OUTSA-RW"</formula>
    </cfRule>
  </conditionalFormatting>
  <dataValidations>
    <dataValidation type="list" allowBlank="1" showErrorMessage="1" sqref="H2:H99">
      <formula1>"CH,DA,DC,DM,FA,LM"</formula1>
    </dataValidation>
    <dataValidation type="list" allowBlank="1" showErrorMessage="1" sqref="J2:J99">
      <formula1>Data!$A$2:$A100</formula1>
    </dataValidation>
    <dataValidation type="custom" allowBlank="1" showDropDown="1" showInputMessage="1" showErrorMessage="1" prompt="CAPITALS" sqref="A1:A99">
      <formula1>ISERROR(SEARCH((exact(upper(B:N),B:N)),(A1)))</formula1>
    </dataValidation>
    <dataValidation type="list" allowBlank="1" showErrorMessage="1" sqref="F2:F99">
      <formula1>Data!$B$1:$B$44</formula1>
    </dataValidation>
    <dataValidation type="custom" allowBlank="1" showDropDown="1" showInputMessage="1" showErrorMessage="1" prompt="CAPITALS" sqref="B1:B99">
      <formula1>ISERROR(SEARCH((exact(upper(B:O),B:O)),(B1)))</formula1>
    </dataValidation>
    <dataValidation type="list" allowBlank="1" showErrorMessage="1" sqref="G2:G99">
      <formula1>"F,M"</formula1>
    </dataValidation>
    <dataValidation type="list" allowBlank="1" showErrorMessage="1" sqref="K2:M99">
      <formula1>"X"</formula1>
    </dataValidation>
    <dataValidation type="list" allowBlank="1" showInputMessage="1" showErrorMessage="1" prompt="Click and enter a value from range 'Insurance Data'!C2:C608" sqref="E2:E99">
      <formula1>Data!$C:$C</formula1>
    </dataValidation>
    <dataValidation type="list" allowBlank="1" showErrorMessage="1" sqref="I2:I99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1.0"/>
    <col customWidth="1" min="2" max="2" width="6.43"/>
    <col customWidth="1" min="3" max="3" width="2.14"/>
    <col customWidth="1" min="4" max="4" width="9.71"/>
    <col customWidth="1" min="5" max="5" width="10.71"/>
    <col customWidth="1" min="6" max="6" width="11.57"/>
    <col customWidth="1" min="7" max="7" width="8.43"/>
    <col customWidth="1" min="8" max="8" width="8.29"/>
    <col customWidth="1" min="9" max="9" width="12.71"/>
    <col customWidth="1" min="10" max="10" width="38.14"/>
    <col customWidth="1" min="11" max="11" width="8.29"/>
    <col customWidth="1" min="12" max="12" width="8.57"/>
    <col customWidth="1" min="13" max="13" width="7.57"/>
    <col customWidth="1" min="14" max="14" width="7.0"/>
    <col customWidth="1" min="15" max="15" width="2.14"/>
    <col customWidth="1" hidden="1" min="16" max="20" width="12.57"/>
    <col customWidth="1" hidden="1" min="21" max="21" width="2.14"/>
    <col customWidth="1" min="22" max="22" width="14.86"/>
    <col customWidth="1" hidden="1" min="23" max="24" width="34.57"/>
    <col customWidth="1" hidden="1" min="25" max="25" width="12.14"/>
    <col customWidth="1" hidden="1" min="26" max="26" width="1.57"/>
    <col customWidth="1" min="27" max="27" width="9.57"/>
  </cols>
  <sheetData>
    <row r="1">
      <c r="A1" s="204" t="s">
        <v>24</v>
      </c>
      <c r="B1" s="205" t="s">
        <v>6237</v>
      </c>
      <c r="C1" s="206"/>
      <c r="D1" s="207" t="s">
        <v>25</v>
      </c>
      <c r="E1" s="280" t="s">
        <v>21</v>
      </c>
      <c r="F1" s="208" t="s">
        <v>6077</v>
      </c>
      <c r="G1" s="208" t="s">
        <v>6318</v>
      </c>
      <c r="H1" s="209" t="s">
        <v>2</v>
      </c>
      <c r="I1" s="209" t="s">
        <v>6206</v>
      </c>
      <c r="J1" s="209" t="s">
        <v>6135</v>
      </c>
      <c r="K1" s="208" t="s">
        <v>6353</v>
      </c>
      <c r="L1" s="208" t="s">
        <v>6354</v>
      </c>
      <c r="M1" s="208" t="s">
        <v>6240</v>
      </c>
      <c r="N1" s="210" t="s">
        <v>7</v>
      </c>
      <c r="O1" s="206"/>
      <c r="P1" s="207" t="s">
        <v>6188</v>
      </c>
      <c r="Q1" s="208" t="s">
        <v>6319</v>
      </c>
      <c r="R1" s="208" t="s">
        <v>6132</v>
      </c>
      <c r="S1" s="208" t="s">
        <v>6134</v>
      </c>
      <c r="T1" s="208" t="s">
        <v>6147</v>
      </c>
      <c r="U1" s="211"/>
      <c r="V1" s="212" t="s">
        <v>6320</v>
      </c>
      <c r="W1" s="207"/>
      <c r="X1" s="209"/>
      <c r="Y1" s="208" t="s">
        <v>6321</v>
      </c>
      <c r="Z1" s="213"/>
      <c r="AA1" s="241"/>
    </row>
    <row r="2">
      <c r="A2" s="214" t="str">
        <f>IFS($B2=FALSE,"",$B2,VLOOKUP($B2,'PATIENT DATA (072721)'!A:C, 2, 0))</f>
        <v>RODRIGUEZ, MICAELA R</v>
      </c>
      <c r="B2" s="215">
        <v>15146.0</v>
      </c>
      <c r="C2" s="216" t="str">
        <f>IF(COUNTIF('PATIENT DATA (072721)'!A:A, B2)=0, "X","✓")</f>
        <v>✓</v>
      </c>
      <c r="D2" s="226">
        <f>IFS($B2=FALSE,"",$B2,VLOOKUP($B2,'PATIENT DATA (072721)'!A:C, 3, 0))</f>
        <v>23030</v>
      </c>
      <c r="E2" s="218">
        <v>44571.0</v>
      </c>
      <c r="F2" s="219">
        <f>ifs($B2="","",$B2, VLOOKUP($B2&amp;$E2, 'VISIT DATA'!A:O,3,0))</f>
        <v>0.3229166667</v>
      </c>
      <c r="G2" s="220" t="s">
        <v>6323</v>
      </c>
      <c r="H2" s="221" t="s">
        <v>12</v>
      </c>
      <c r="I2" s="222" t="str">
        <f>VLOOKUP($B2&amp;$E2,'VISIT DATA'!A:J, 9, FALSE)</f>
        <v>THOMAS</v>
      </c>
      <c r="J2" s="223" t="str">
        <f>VLOOKUP(B2&amp;E2,'VISIT DATA'!A:N,10,FALSE)</f>
        <v>MEDICARE TEXAS</v>
      </c>
      <c r="K2" s="242"/>
      <c r="L2" s="224" t="s">
        <v>6242</v>
      </c>
      <c r="M2" s="224"/>
      <c r="N2" s="225"/>
      <c r="O2" s="216" t="str">
        <f t="shared" ref="O2:O99" si="1">IF(OR(K2 = "x",L2 = "x",M2 = "x"),"✓", "X")</f>
        <v>✓</v>
      </c>
      <c r="P2" s="226" t="str">
        <f t="shared" ref="P2:P99" si="2">ifs(SEARCH($P$1,$J2)&gt;=1,"X")</f>
        <v>#VALUE!</v>
      </c>
      <c r="Q2" s="227" t="str">
        <f t="shared" ref="Q2:Q99" si="3">ifs(SEARCH($Q$1,$J2)&gt;=1,"X")</f>
        <v>#VALUE!</v>
      </c>
      <c r="R2" s="228" t="str">
        <f t="shared" ref="R2:R99" si="4">ifs(SEARCH($R$1,$J2)&gt;=1,"X")</f>
        <v>#VALUE!</v>
      </c>
      <c r="S2" s="220" t="str">
        <f t="shared" ref="S2:S99" si="5">ifs(SEARCH($S$1,$J2)&gt;=1,"X")</f>
        <v>#VALUE!</v>
      </c>
      <c r="T2" s="220" t="str">
        <f t="shared" ref="T2:T99" si="6">ifs(SEARCH($T$1,$J2)&gt;=1,"X")</f>
        <v>#VALUE!</v>
      </c>
      <c r="U2" s="221">
        <f t="shared" ref="U2:U99" si="7">countif($P2:$T2,"X")</f>
        <v>0</v>
      </c>
      <c r="V2" s="229" t="str">
        <f>ifs($N2="",VLOOKUP($B2&amp;$E2,'VISIT DATA'!$A$2:$J100,7,FALSE), $N2="SWAB","OUTSA-RW",$N2="SWQU","OUTSA-SaQu", AND($L2="X",$M2="X",$N2="QUEST"),"OUT-UAQPre",$N2="QUEST","OUT-UAQ", $N2="Walk in","ColUATele")</f>
        <v>UA</v>
      </c>
      <c r="W2" s="24" t="str">
        <f t="shared" ref="W2:W99" si="8">ifs($V2="UA-NWPT","UA-NWPT : UA New Patient",$V2="UA","UA : Urine Analysis In House",$V2="UA-Prelim","UA-Prelim : Preliminary UA Test",$V2="OUT-UAQ","OUT-UAQ : Quest Out UA",$V2="OUT-UAQPre", "OUT-UAQPre : OUT UA Prelim Quest",$V2="OUTSA-SaQu","OUTSA-SaQu : Saliva Out Quest",$V2="ColUATele","Collected Telemed",$V2="OUTUA-PrRW", "OUTUA-PrRW : OUT UA Prelimin Redwood",$V2="OUTUA-FURW", "OUTUA-FURW : OUT UA FU Redwood",$V2="OUTUA-NWRW", "OUTUA-NWRW : OUT UA New Redwood",$V2="OUTSA-RW", "OUTSA-RW : OUT Saliva Redwood")</f>
        <v>UA : Urine Analysis In House</v>
      </c>
      <c r="X2" s="222" t="str">
        <f t="shared" ref="X2:X99" si="9">ifs($B2="","",and($K2="X",$L2="X",$M2="X",$N2="SWAB"), "ERROR",and($K2="X",$L2="X",$N2="SWAB"), "ERROR", and($L2="X",$N2="SWAB"), "OUTSA-RW : OUT Saliva Redwood", and($K2="X",$M2="X", $N2="SWAB"),"ERROR", and($M2="X",$N2="SWAB"), "OUTSA-RW : OUT Saliva Redwood", and($K2="X",$N2="SWAB"),"OUTSA-RW : OUT Saliva Redwood",and($K2="X",$L2="X"),"ERROR", and($K2="X",$M2="X"),"ERROR",and($M2="X",$U2=1), "OUTUA-PrRW : OUT UA Prelimin Redwood", and($K2="X",$U2=1), "OUTUA-NWRW : OUT UA New Redwood", and($L2="X",$U2=1), "OUTUA-FURW : OUT UA FU Redwood", and($L2="X",$M2="X",$U2=1), "OUTUA-PrRW : OUT UA Prelimin Redwood", $K2="X","UA-NWPT : UA New Patient", and($L2="X",$M2="X"),"UA-Prelim : Preliminary UA Test",and($L2="X",$N2="SWAB"),"OUTSA-RW : OUT Saliva Redwood",$L2="X","UA : Urine Analysis In House",$M2="X","UA-Prelim : Preliminary UA Test")</f>
        <v>UA : Urine Analysis In House</v>
      </c>
      <c r="Y2" s="222" t="str">
        <f t="shared" ref="Y2:Y99" si="10">IFS($B2="","",X2=W2,"MATCH",X2&lt;&gt;W2,"NO MATCH")</f>
        <v>MATCH</v>
      </c>
      <c r="Z2" s="224" t="str">
        <f t="shared" ref="Z2:Z99" si="11">IF((countif($B$2:$B100,$B2)&gt;1),"Repeat"," ")</f>
        <v> </v>
      </c>
      <c r="AA2" s="243"/>
    </row>
    <row r="3">
      <c r="A3" s="214" t="str">
        <f>IFS($B3=FALSE,"",$B3,VLOOKUP($B3,'PATIENT DATA (072721)'!A:C, 2, 0))</f>
        <v>YEARWOOD, PATTI A</v>
      </c>
      <c r="B3" s="215">
        <v>15469.0</v>
      </c>
      <c r="C3" s="216" t="str">
        <f>IF(COUNTIF('PATIENT DATA (072721)'!A:A, B3)=0, "X","✓")</f>
        <v>✓</v>
      </c>
      <c r="D3" s="226">
        <f>IFS($B3=FALSE,"",$B3,VLOOKUP($B3,'PATIENT DATA (072721)'!A:C, 3, 0))</f>
        <v>18802</v>
      </c>
      <c r="E3" s="218">
        <v>44571.0</v>
      </c>
      <c r="F3" s="219">
        <f>ifs($B3="","",$B3, VLOOKUP($B3&amp;$E3, 'VISIT DATA'!A:O,3,0))</f>
        <v>0.3333333333</v>
      </c>
      <c r="G3" s="220" t="s">
        <v>6323</v>
      </c>
      <c r="H3" s="221" t="s">
        <v>14</v>
      </c>
      <c r="I3" s="222" t="str">
        <f>VLOOKUP($B3&amp;$E3,'VISIT DATA'!A:J, 9, FALSE)</f>
        <v>TORRES</v>
      </c>
      <c r="J3" s="223" t="str">
        <f>VLOOKUP(B3&amp;E3,'VISIT DATA'!A:N,10,FALSE)</f>
        <v>UHC MEDICARE COMPLETE</v>
      </c>
      <c r="K3" s="224"/>
      <c r="L3" s="224" t="s">
        <v>6242</v>
      </c>
      <c r="M3" s="224"/>
      <c r="N3" s="225"/>
      <c r="O3" s="216" t="str">
        <f t="shared" si="1"/>
        <v>✓</v>
      </c>
      <c r="P3" s="226" t="str">
        <f t="shared" si="2"/>
        <v>#VALUE!</v>
      </c>
      <c r="Q3" s="227" t="str">
        <f t="shared" si="3"/>
        <v>#VALUE!</v>
      </c>
      <c r="R3" s="228" t="str">
        <f t="shared" si="4"/>
        <v>#VALUE!</v>
      </c>
      <c r="S3" s="220" t="str">
        <f t="shared" si="5"/>
        <v>#VALUE!</v>
      </c>
      <c r="T3" s="220" t="str">
        <f t="shared" si="6"/>
        <v>#VALUE!</v>
      </c>
      <c r="U3" s="221">
        <f t="shared" si="7"/>
        <v>0</v>
      </c>
      <c r="V3" s="229" t="str">
        <f>ifs($N3="",VLOOKUP($B3&amp;$E3,'VISIT DATA'!$A$2:$J100,7,FALSE), $N3="SWAB","OUTSA-RW",$N3="SWQU","OUTSA-SaQu", AND($L3="X",$M3="X",$N3="QUEST"),"OUT-UAQPre",$N3="QUEST","OUT-UAQ", $N3="Walk in","ColUATele")</f>
        <v>UA</v>
      </c>
      <c r="W3" s="24" t="str">
        <f t="shared" si="8"/>
        <v>UA : Urine Analysis In House</v>
      </c>
      <c r="X3" s="222" t="str">
        <f t="shared" si="9"/>
        <v>UA : Urine Analysis In House</v>
      </c>
      <c r="Y3" s="222" t="str">
        <f t="shared" si="10"/>
        <v>MATCH</v>
      </c>
      <c r="Z3" s="224" t="str">
        <f t="shared" si="11"/>
        <v> </v>
      </c>
      <c r="AA3" s="243"/>
    </row>
    <row r="4">
      <c r="A4" s="214" t="str">
        <f>IFS($B4=FALSE,"",$B4,VLOOKUP($B4,'PATIENT DATA (072721)'!A:C, 2, 0))</f>
        <v>GONZALEZ, EVANGELINA</v>
      </c>
      <c r="B4" s="215">
        <v>9245.0</v>
      </c>
      <c r="C4" s="216" t="str">
        <f>IF(COUNTIF('PATIENT DATA (072721)'!A:A, B4)=0, "X","✓")</f>
        <v>✓</v>
      </c>
      <c r="D4" s="226">
        <f>IFS($B4=FALSE,"",$B4,VLOOKUP($B4,'PATIENT DATA (072721)'!A:C, 3, 0))</f>
        <v>16580</v>
      </c>
      <c r="E4" s="218">
        <v>44571.0</v>
      </c>
      <c r="F4" s="219">
        <f>ifs($B4="","",$B4, VLOOKUP($B4&amp;$E4, 'VISIT DATA'!A:O,3,0))</f>
        <v>0.3541666667</v>
      </c>
      <c r="G4" s="220" t="s">
        <v>6323</v>
      </c>
      <c r="H4" s="221" t="s">
        <v>14</v>
      </c>
      <c r="I4" s="222" t="str">
        <f>VLOOKUP($B4&amp;$E4,'VISIT DATA'!A:J, 9, FALSE)</f>
        <v>TORRES</v>
      </c>
      <c r="J4" s="223" t="str">
        <f>VLOOKUP(B4&amp;E4,'VISIT DATA'!A:N,10,FALSE)</f>
        <v>HUMANA GOLD PLUS HMO</v>
      </c>
      <c r="K4" s="242"/>
      <c r="L4" s="224" t="s">
        <v>6242</v>
      </c>
      <c r="M4" s="224"/>
      <c r="N4" s="225"/>
      <c r="O4" s="216" t="str">
        <f t="shared" si="1"/>
        <v>✓</v>
      </c>
      <c r="P4" s="226" t="str">
        <f t="shared" si="2"/>
        <v>#VALUE!</v>
      </c>
      <c r="Q4" s="227" t="str">
        <f t="shared" si="3"/>
        <v>#VALUE!</v>
      </c>
      <c r="R4" s="228" t="str">
        <f t="shared" si="4"/>
        <v>#VALUE!</v>
      </c>
      <c r="S4" s="220" t="str">
        <f t="shared" si="5"/>
        <v>#VALUE!</v>
      </c>
      <c r="T4" s="220" t="str">
        <f t="shared" si="6"/>
        <v>#VALUE!</v>
      </c>
      <c r="U4" s="221">
        <f t="shared" si="7"/>
        <v>0</v>
      </c>
      <c r="V4" s="229" t="str">
        <f>ifs($N4="",VLOOKUP($B4&amp;$E4,'VISIT DATA'!$A$2:$J100,7,FALSE), $N4="SWAB","OUTSA-RW",$N4="SWQU","OUTSA-SaQu", AND($L4="X",$M4="X",$N4="QUEST"),"OUT-UAQPre",$N4="QUEST","OUT-UAQ", $N4="Walk in","ColUATele")</f>
        <v>UA</v>
      </c>
      <c r="W4" s="24" t="str">
        <f t="shared" si="8"/>
        <v>UA : Urine Analysis In House</v>
      </c>
      <c r="X4" s="222" t="str">
        <f t="shared" si="9"/>
        <v>UA : Urine Analysis In House</v>
      </c>
      <c r="Y4" s="222" t="str">
        <f t="shared" si="10"/>
        <v>MATCH</v>
      </c>
      <c r="Z4" s="224" t="str">
        <f t="shared" si="11"/>
        <v> </v>
      </c>
      <c r="AA4" s="243"/>
    </row>
    <row r="5">
      <c r="A5" s="214" t="str">
        <f>IFS($B5=FALSE,"",$B5,VLOOKUP($B5,'PATIENT DATA (072721)'!A:C, 2, 0))</f>
        <v>RODRIGUEZ, MIGUEL A</v>
      </c>
      <c r="B5" s="215">
        <v>12264.0</v>
      </c>
      <c r="C5" s="216" t="str">
        <f>IF(COUNTIF('PATIENT DATA (072721)'!A:A, B5)=0, "X","✓")</f>
        <v>✓</v>
      </c>
      <c r="D5" s="226">
        <f>IFS($B5=FALSE,"",$B5,VLOOKUP($B5,'PATIENT DATA (072721)'!A:C, 3, 0))</f>
        <v>13630</v>
      </c>
      <c r="E5" s="218">
        <v>44571.0</v>
      </c>
      <c r="F5" s="219">
        <f>ifs($B5="","",$B5, VLOOKUP($B5&amp;$E5, 'VISIT DATA'!A:O,3,0))</f>
        <v>0.3541666667</v>
      </c>
      <c r="G5" s="220" t="s">
        <v>6328</v>
      </c>
      <c r="H5" s="221" t="s">
        <v>14</v>
      </c>
      <c r="I5" s="222" t="str">
        <f>VLOOKUP($B5&amp;$E5,'VISIT DATA'!A:J, 9, FALSE)</f>
        <v>TORRES</v>
      </c>
      <c r="J5" s="223" t="str">
        <f>VLOOKUP(B5&amp;E5,'VISIT DATA'!A:N,10,FALSE)</f>
        <v>WELLMED - AARP MEDICARE COMPLETE</v>
      </c>
      <c r="K5" s="224"/>
      <c r="L5" s="224" t="s">
        <v>6242</v>
      </c>
      <c r="M5" s="224"/>
      <c r="N5" s="225"/>
      <c r="O5" s="216" t="str">
        <f t="shared" si="1"/>
        <v>✓</v>
      </c>
      <c r="P5" s="226" t="str">
        <f t="shared" si="2"/>
        <v>X</v>
      </c>
      <c r="Q5" s="227" t="str">
        <f t="shared" si="3"/>
        <v>#VALUE!</v>
      </c>
      <c r="R5" s="228" t="str">
        <f t="shared" si="4"/>
        <v>#VALUE!</v>
      </c>
      <c r="S5" s="220" t="str">
        <f t="shared" si="5"/>
        <v>#VALUE!</v>
      </c>
      <c r="T5" s="220" t="str">
        <f t="shared" si="6"/>
        <v>#VALUE!</v>
      </c>
      <c r="U5" s="221">
        <f t="shared" si="7"/>
        <v>1</v>
      </c>
      <c r="V5" s="229" t="str">
        <f>ifs($N5="",VLOOKUP($B5&amp;$E5,'VISIT DATA'!$A$2:$J100,7,FALSE), $N5="SWAB","OUTSA-RW",$N5="SWQU","OUTSA-SaQu", AND($L5="X",$M5="X",$N5="QUEST"),"OUT-UAQPre",$N5="QUEST","OUT-UAQ", $N5="Walk in","ColUATele")</f>
        <v>OUTUA-FURW</v>
      </c>
      <c r="W5" s="24" t="str">
        <f t="shared" si="8"/>
        <v>OUTUA-FURW : OUT UA FU Redwood</v>
      </c>
      <c r="X5" s="222" t="str">
        <f t="shared" si="9"/>
        <v>OUTUA-FURW : OUT UA FU Redwood</v>
      </c>
      <c r="Y5" s="222" t="str">
        <f t="shared" si="10"/>
        <v>MATCH</v>
      </c>
      <c r="Z5" s="224" t="str">
        <f t="shared" si="11"/>
        <v> </v>
      </c>
      <c r="AA5" s="243"/>
    </row>
    <row r="6">
      <c r="A6" s="214" t="str">
        <f>IFS($B6=FALSE,"",$B6,VLOOKUP($B6,'PATIENT DATA (072721)'!A:C, 2, 0))</f>
        <v>VON MITTENWALD, LEANNE W</v>
      </c>
      <c r="B6" s="215">
        <v>17880.0</v>
      </c>
      <c r="C6" s="216" t="str">
        <f>IF(COUNTIF('PATIENT DATA (072721)'!A:A, B6)=0, "X","✓")</f>
        <v>✓</v>
      </c>
      <c r="D6" s="226">
        <f>IFS($B6=FALSE,"",$B6,VLOOKUP($B6,'PATIENT DATA (072721)'!A:C, 3, 0))</f>
        <v>19527</v>
      </c>
      <c r="E6" s="218">
        <v>44571.0</v>
      </c>
      <c r="F6" s="219">
        <f>ifs($B6="","",$B6, VLOOKUP($B6&amp;$E6, 'VISIT DATA'!A:O,3,0))</f>
        <v>0.34375</v>
      </c>
      <c r="G6" s="220" t="s">
        <v>6323</v>
      </c>
      <c r="H6" s="221" t="s">
        <v>13</v>
      </c>
      <c r="I6" s="222" t="str">
        <f>VLOOKUP($B6&amp;$E6,'VISIT DATA'!A:J, 9, FALSE)</f>
        <v>THOMAS</v>
      </c>
      <c r="J6" s="223" t="str">
        <f>VLOOKUP(B6&amp;E6,'VISIT DATA'!A:N,10,FALSE)</f>
        <v>WELLMED - AARP MEDICARE COMPLETE</v>
      </c>
      <c r="K6" s="224" t="s">
        <v>6242</v>
      </c>
      <c r="L6" s="224"/>
      <c r="M6" s="224"/>
      <c r="N6" s="225"/>
      <c r="O6" s="216" t="str">
        <f t="shared" si="1"/>
        <v>✓</v>
      </c>
      <c r="P6" s="226" t="str">
        <f t="shared" si="2"/>
        <v>X</v>
      </c>
      <c r="Q6" s="227" t="str">
        <f t="shared" si="3"/>
        <v>#VALUE!</v>
      </c>
      <c r="R6" s="228" t="str">
        <f t="shared" si="4"/>
        <v>#VALUE!</v>
      </c>
      <c r="S6" s="220" t="str">
        <f t="shared" si="5"/>
        <v>#VALUE!</v>
      </c>
      <c r="T6" s="220" t="str">
        <f t="shared" si="6"/>
        <v>#VALUE!</v>
      </c>
      <c r="U6" s="221">
        <f t="shared" si="7"/>
        <v>1</v>
      </c>
      <c r="V6" s="229" t="str">
        <f>ifs($N6="",VLOOKUP($B6&amp;$E6,'VISIT DATA'!$A$2:$J100,7,FALSE), $N6="SWAB","OUTSA-RW",$N6="SWQU","OUTSA-SaQu", AND($L6="X",$M6="X",$N6="QUEST"),"OUT-UAQPre",$N6="QUEST","OUT-UAQ", $N6="Walk in","ColUATele")</f>
        <v>UA-NWPT</v>
      </c>
      <c r="W6" s="24" t="str">
        <f t="shared" si="8"/>
        <v>UA-NWPT : UA New Patient</v>
      </c>
      <c r="X6" s="222" t="str">
        <f t="shared" si="9"/>
        <v>OUTUA-NWRW : OUT UA New Redwood</v>
      </c>
      <c r="Y6" s="222" t="str">
        <f t="shared" si="10"/>
        <v>NO MATCH</v>
      </c>
      <c r="Z6" s="224" t="str">
        <f t="shared" si="11"/>
        <v> </v>
      </c>
      <c r="AA6" s="243"/>
    </row>
    <row r="7">
      <c r="A7" s="214" t="str">
        <f>IFS($B7=FALSE,"",$B7,VLOOKUP($B7,'PATIENT DATA (072721)'!A:C, 2, 0))</f>
        <v>PODNER, ELIZABETH C</v>
      </c>
      <c r="B7" s="215">
        <v>15335.0</v>
      </c>
      <c r="C7" s="216" t="str">
        <f>IF(COUNTIF('PATIENT DATA (072721)'!A:A, B7)=0, "X","✓")</f>
        <v>✓</v>
      </c>
      <c r="D7" s="226">
        <f>IFS($B7=FALSE,"",$B7,VLOOKUP($B7,'PATIENT DATA (072721)'!A:C, 3, 0))</f>
        <v>33029</v>
      </c>
      <c r="E7" s="218">
        <v>44571.0</v>
      </c>
      <c r="F7" s="219" t="str">
        <f>ifs($B7="","",$B7, VLOOKUP($B7&amp;$E7, 'VISIT DATA'!A:O,3,0))</f>
        <v>#N/A</v>
      </c>
      <c r="G7" s="220" t="s">
        <v>6323</v>
      </c>
      <c r="H7" s="221" t="s">
        <v>14</v>
      </c>
      <c r="I7" s="222" t="str">
        <f>VLOOKUP($B7&amp;$E7,'VISIT DATA'!A:J, 9, FALSE)</f>
        <v>#N/A</v>
      </c>
      <c r="J7" s="223" t="str">
        <f>VLOOKUP(B7&amp;E7,'VISIT DATA'!A:N,10,FALSE)</f>
        <v>#N/A</v>
      </c>
      <c r="K7" s="242"/>
      <c r="L7" s="224" t="s">
        <v>6242</v>
      </c>
      <c r="M7" s="224"/>
      <c r="N7" s="225"/>
      <c r="O7" s="216" t="str">
        <f t="shared" si="1"/>
        <v>✓</v>
      </c>
      <c r="P7" s="226" t="str">
        <f t="shared" si="2"/>
        <v>#N/A</v>
      </c>
      <c r="Q7" s="227" t="str">
        <f t="shared" si="3"/>
        <v>#N/A</v>
      </c>
      <c r="R7" s="228" t="str">
        <f t="shared" si="4"/>
        <v>#N/A</v>
      </c>
      <c r="S7" s="220" t="str">
        <f t="shared" si="5"/>
        <v>#N/A</v>
      </c>
      <c r="T7" s="220" t="str">
        <f t="shared" si="6"/>
        <v>#N/A</v>
      </c>
      <c r="U7" s="221">
        <f t="shared" si="7"/>
        <v>0</v>
      </c>
      <c r="V7" s="229" t="str">
        <f>ifs($N7="",VLOOKUP($B7&amp;$E7,'VISIT DATA'!$A$2:$J100,7,FALSE), $N7="SWAB","OUTSA-RW",$N7="SWQU","OUTSA-SaQu", AND($L7="X",$M7="X",$N7="QUEST"),"OUT-UAQPre",$N7="QUEST","OUT-UAQ", $N7="Walk in","ColUATele")</f>
        <v>#N/A</v>
      </c>
      <c r="W7" s="24" t="str">
        <f t="shared" si="8"/>
        <v>#N/A</v>
      </c>
      <c r="X7" s="222" t="str">
        <f t="shared" si="9"/>
        <v>UA : Urine Analysis In House</v>
      </c>
      <c r="Y7" s="222" t="str">
        <f t="shared" si="10"/>
        <v>#N/A</v>
      </c>
      <c r="Z7" s="224" t="str">
        <f t="shared" si="11"/>
        <v> </v>
      </c>
      <c r="AA7" s="243"/>
    </row>
    <row r="8">
      <c r="A8" s="214" t="str">
        <f>IFS($B8=FALSE,"",$B8,VLOOKUP($B8,'PATIENT DATA (072721)'!A:C, 2, 0))</f>
        <v>PULIDO, NORMA</v>
      </c>
      <c r="B8" s="215">
        <v>16125.0</v>
      </c>
      <c r="C8" s="216" t="str">
        <f>IF(COUNTIF('PATIENT DATA (072721)'!A:A, B8)=0, "X","✓")</f>
        <v>✓</v>
      </c>
      <c r="D8" s="226">
        <f>IFS($B8=FALSE,"",$B8,VLOOKUP($B8,'PATIENT DATA (072721)'!A:C, 3, 0))</f>
        <v>21786</v>
      </c>
      <c r="E8" s="218">
        <v>44571.0</v>
      </c>
      <c r="F8" s="219">
        <f>ifs($B8="","",$B8, VLOOKUP($B8&amp;$E8, 'VISIT DATA'!A:O,3,0))</f>
        <v>0.3333333333</v>
      </c>
      <c r="G8" s="220" t="s">
        <v>6323</v>
      </c>
      <c r="H8" s="221" t="s">
        <v>15</v>
      </c>
      <c r="I8" s="222" t="str">
        <f>VLOOKUP($B8&amp;$E8,'VISIT DATA'!A:J, 9, FALSE)</f>
        <v>MARTINEZ</v>
      </c>
      <c r="J8" s="223" t="str">
        <f>VLOOKUP(B8&amp;E8,'VISIT DATA'!A:N,10,FALSE)</f>
        <v>MOLINA MEDICAID TEXAS</v>
      </c>
      <c r="K8" s="242"/>
      <c r="L8" s="224" t="s">
        <v>6242</v>
      </c>
      <c r="M8" s="224" t="s">
        <v>6242</v>
      </c>
      <c r="N8" s="225"/>
      <c r="O8" s="216" t="str">
        <f t="shared" si="1"/>
        <v>✓</v>
      </c>
      <c r="P8" s="226" t="str">
        <f t="shared" si="2"/>
        <v>#VALUE!</v>
      </c>
      <c r="Q8" s="227" t="str">
        <f t="shared" si="3"/>
        <v>X</v>
      </c>
      <c r="R8" s="228" t="str">
        <f t="shared" si="4"/>
        <v>#VALUE!</v>
      </c>
      <c r="S8" s="220" t="str">
        <f t="shared" si="5"/>
        <v>#VALUE!</v>
      </c>
      <c r="T8" s="220" t="str">
        <f t="shared" si="6"/>
        <v>#VALUE!</v>
      </c>
      <c r="U8" s="221">
        <f t="shared" si="7"/>
        <v>1</v>
      </c>
      <c r="V8" s="229" t="str">
        <f>ifs($N8="",VLOOKUP($B8&amp;$E8,'VISIT DATA'!$A$2:$J100,7,FALSE), $N8="SWAB","OUTSA-RW",$N8="SWQU","OUTSA-SaQu", AND($L8="X",$M8="X",$N8="QUEST"),"OUT-UAQPre",$N8="QUEST","OUT-UAQ", $N8="Walk in","ColUATele")</f>
        <v>OUTUA-PrRW</v>
      </c>
      <c r="W8" s="24" t="str">
        <f t="shared" si="8"/>
        <v>OUTUA-PrRW : OUT UA Prelimin Redwood</v>
      </c>
      <c r="X8" s="222" t="str">
        <f t="shared" si="9"/>
        <v>OUTUA-PrRW : OUT UA Prelimin Redwood</v>
      </c>
      <c r="Y8" s="222" t="str">
        <f t="shared" si="10"/>
        <v>MATCH</v>
      </c>
      <c r="Z8" s="224" t="str">
        <f t="shared" si="11"/>
        <v> </v>
      </c>
      <c r="AA8" s="243"/>
    </row>
    <row r="9">
      <c r="A9" s="214" t="str">
        <f>IFS($B9=FALSE,"",$B9,VLOOKUP($B9,'PATIENT DATA (072721)'!A:C, 2, 0))</f>
        <v>VARGAS, JUAN D</v>
      </c>
      <c r="B9" s="215">
        <v>14219.0</v>
      </c>
      <c r="C9" s="216" t="str">
        <f>IF(COUNTIF('PATIENT DATA (072721)'!A:A, B9)=0, "X","✓")</f>
        <v>✓</v>
      </c>
      <c r="D9" s="226">
        <f>IFS($B9=FALSE,"",$B9,VLOOKUP($B9,'PATIENT DATA (072721)'!A:C, 3, 0))</f>
        <v>24977</v>
      </c>
      <c r="E9" s="218">
        <v>44571.0</v>
      </c>
      <c r="F9" s="219">
        <f>ifs($B9="","",$B9, VLOOKUP($B9&amp;$E9, 'VISIT DATA'!A:O,3,0))</f>
        <v>0.3541666667</v>
      </c>
      <c r="G9" s="220" t="s">
        <v>6328</v>
      </c>
      <c r="H9" s="221" t="s">
        <v>15</v>
      </c>
      <c r="I9" s="222" t="str">
        <f>VLOOKUP($B9&amp;$E9,'VISIT DATA'!A:J, 9, FALSE)</f>
        <v>MARTINEZ</v>
      </c>
      <c r="J9" s="223" t="str">
        <f>VLOOKUP(B9&amp;E9,'VISIT DATA'!A:N,10,FALSE)</f>
        <v>AMERIGROUP</v>
      </c>
      <c r="K9" s="242"/>
      <c r="L9" s="224" t="s">
        <v>6242</v>
      </c>
      <c r="M9" s="224"/>
      <c r="N9" s="225"/>
      <c r="O9" s="216" t="str">
        <f t="shared" si="1"/>
        <v>✓</v>
      </c>
      <c r="P9" s="226" t="str">
        <f t="shared" si="2"/>
        <v>#VALUE!</v>
      </c>
      <c r="Q9" s="227" t="str">
        <f t="shared" si="3"/>
        <v>#VALUE!</v>
      </c>
      <c r="R9" s="228" t="str">
        <f t="shared" si="4"/>
        <v>#VALUE!</v>
      </c>
      <c r="S9" s="220" t="str">
        <f t="shared" si="5"/>
        <v>#VALUE!</v>
      </c>
      <c r="T9" s="220" t="str">
        <f t="shared" si="6"/>
        <v>#VALUE!</v>
      </c>
      <c r="U9" s="221">
        <f t="shared" si="7"/>
        <v>0</v>
      </c>
      <c r="V9" s="229" t="str">
        <f>ifs($N9="",VLOOKUP($B9&amp;$E9,'VISIT DATA'!$A$2:$J100,7,FALSE), $N9="SWAB","OUTSA-RW",$N9="SWQU","OUTSA-SaQu", AND($L9="X",$M9="X",$N9="QUEST"),"OUT-UAQPre",$N9="QUEST","OUT-UAQ", $N9="Walk in","ColUATele")</f>
        <v>UA</v>
      </c>
      <c r="W9" s="24" t="str">
        <f t="shared" si="8"/>
        <v>UA : Urine Analysis In House</v>
      </c>
      <c r="X9" s="222" t="str">
        <f t="shared" si="9"/>
        <v>UA : Urine Analysis In House</v>
      </c>
      <c r="Y9" s="222" t="str">
        <f t="shared" si="10"/>
        <v>MATCH</v>
      </c>
      <c r="Z9" s="224" t="str">
        <f t="shared" si="11"/>
        <v> </v>
      </c>
      <c r="AA9" s="243"/>
    </row>
    <row r="10">
      <c r="A10" s="214" t="str">
        <f>IFS($B10=FALSE,"",$B10,VLOOKUP($B10,'PATIENT DATA (072721)'!A:C, 2, 0))</f>
        <v>VELEZ, NORBERTO</v>
      </c>
      <c r="B10" s="215">
        <v>14013.0</v>
      </c>
      <c r="C10" s="216" t="str">
        <f>IF(COUNTIF('PATIENT DATA (072721)'!A:A, B10)=0, "X","✓")</f>
        <v>✓</v>
      </c>
      <c r="D10" s="226">
        <f>IFS($B10=FALSE,"",$B10,VLOOKUP($B10,'PATIENT DATA (072721)'!A:C, 3, 0))</f>
        <v>20269</v>
      </c>
      <c r="E10" s="218">
        <v>44571.0</v>
      </c>
      <c r="F10" s="219">
        <f>ifs($B10="","",$B10, VLOOKUP($B10&amp;$E10, 'VISIT DATA'!A:O,3,0))</f>
        <v>0.3541666667</v>
      </c>
      <c r="G10" s="220" t="s">
        <v>6328</v>
      </c>
      <c r="H10" s="221" t="s">
        <v>15</v>
      </c>
      <c r="I10" s="222" t="str">
        <f>VLOOKUP($B10&amp;$E10,'VISIT DATA'!A:J, 9, FALSE)</f>
        <v>MARTINEZ</v>
      </c>
      <c r="J10" s="223" t="str">
        <f>VLOOKUP(B10&amp;E10,'VISIT DATA'!A:N,10,FALSE)</f>
        <v>WELLMED - CIGNA HEALTHSPRING</v>
      </c>
      <c r="K10" s="242"/>
      <c r="L10" s="224" t="s">
        <v>6242</v>
      </c>
      <c r="M10" s="224"/>
      <c r="N10" s="225"/>
      <c r="O10" s="216" t="str">
        <f t="shared" si="1"/>
        <v>✓</v>
      </c>
      <c r="P10" s="226" t="str">
        <f t="shared" si="2"/>
        <v>X</v>
      </c>
      <c r="Q10" s="227" t="str">
        <f t="shared" si="3"/>
        <v>#VALUE!</v>
      </c>
      <c r="R10" s="228" t="str">
        <f t="shared" si="4"/>
        <v>#VALUE!</v>
      </c>
      <c r="S10" s="220" t="str">
        <f t="shared" si="5"/>
        <v>#VALUE!</v>
      </c>
      <c r="T10" s="220" t="str">
        <f t="shared" si="6"/>
        <v>#VALUE!</v>
      </c>
      <c r="U10" s="221">
        <f t="shared" si="7"/>
        <v>1</v>
      </c>
      <c r="V10" s="229" t="str">
        <f>ifs($N10="",VLOOKUP($B10&amp;$E10,'VISIT DATA'!$A$2:$J100,7,FALSE), $N10="SWAB","OUTSA-RW",$N10="SWQU","OUTSA-SaQu", AND($L10="X",$M10="X",$N10="QUEST"),"OUT-UAQPre",$N10="QUEST","OUT-UAQ", $N10="Walk in","ColUATele")</f>
        <v>OUTUA-FURW</v>
      </c>
      <c r="W10" s="24" t="str">
        <f t="shared" si="8"/>
        <v>OUTUA-FURW : OUT UA FU Redwood</v>
      </c>
      <c r="X10" s="222" t="str">
        <f t="shared" si="9"/>
        <v>OUTUA-FURW : OUT UA FU Redwood</v>
      </c>
      <c r="Y10" s="222" t="str">
        <f t="shared" si="10"/>
        <v>MATCH</v>
      </c>
      <c r="Z10" s="224" t="str">
        <f t="shared" si="11"/>
        <v> </v>
      </c>
      <c r="AA10" s="243"/>
    </row>
    <row r="11">
      <c r="A11" s="214" t="str">
        <f>IFS($B11=FALSE,"",$B11,VLOOKUP($B11,'PATIENT DATA (072721)'!A:C, 2, 0))</f>
        <v>TORRES, TRACY L</v>
      </c>
      <c r="B11" s="215">
        <v>15593.0</v>
      </c>
      <c r="C11" s="216" t="str">
        <f>IF(COUNTIF('PATIENT DATA (072721)'!A:A, B11)=0, "X","✓")</f>
        <v>✓</v>
      </c>
      <c r="D11" s="226">
        <f>IFS($B11=FALSE,"",$B11,VLOOKUP($B11,'PATIENT DATA (072721)'!A:C, 3, 0))</f>
        <v>26161</v>
      </c>
      <c r="E11" s="218">
        <v>44571.0</v>
      </c>
      <c r="F11" s="219">
        <f>ifs($B11="","",$B11, VLOOKUP($B11&amp;$E11, 'VISIT DATA'!A:O,3,0))</f>
        <v>0.3645833333</v>
      </c>
      <c r="G11" s="220" t="s">
        <v>6323</v>
      </c>
      <c r="H11" s="221" t="s">
        <v>15</v>
      </c>
      <c r="I11" s="222" t="str">
        <f>VLOOKUP($B11&amp;$E11,'VISIT DATA'!A:J, 9, FALSE)</f>
        <v>MARTINEZ</v>
      </c>
      <c r="J11" s="223" t="str">
        <f>VLOOKUP(B11&amp;E11,'VISIT DATA'!A:N,10,FALSE)</f>
        <v>AMBETTER - SUPERIOR</v>
      </c>
      <c r="K11" s="242"/>
      <c r="L11" s="224" t="s">
        <v>6242</v>
      </c>
      <c r="M11" s="224"/>
      <c r="N11" s="225"/>
      <c r="O11" s="216" t="str">
        <f t="shared" si="1"/>
        <v>✓</v>
      </c>
      <c r="P11" s="226" t="str">
        <f t="shared" si="2"/>
        <v>#VALUE!</v>
      </c>
      <c r="Q11" s="227" t="str">
        <f t="shared" si="3"/>
        <v>#VALUE!</v>
      </c>
      <c r="R11" s="228" t="str">
        <f t="shared" si="4"/>
        <v>#VALUE!</v>
      </c>
      <c r="S11" s="220" t="str">
        <f t="shared" si="5"/>
        <v>#VALUE!</v>
      </c>
      <c r="T11" s="220" t="str">
        <f t="shared" si="6"/>
        <v>#VALUE!</v>
      </c>
      <c r="U11" s="221">
        <f t="shared" si="7"/>
        <v>0</v>
      </c>
      <c r="V11" s="229" t="str">
        <f>ifs($N11="",VLOOKUP($B11&amp;$E11,'VISIT DATA'!$A$2:$J100,7,FALSE), $N11="SWAB","OUTSA-RW",$N11="SWQU","OUTSA-SaQu", AND($L11="X",$M11="X",$N11="QUEST"),"OUT-UAQPre",$N11="QUEST","OUT-UAQ", $N11="Walk in","ColUATele")</f>
        <v>UA</v>
      </c>
      <c r="W11" s="24" t="str">
        <f t="shared" si="8"/>
        <v>UA : Urine Analysis In House</v>
      </c>
      <c r="X11" s="222" t="str">
        <f t="shared" si="9"/>
        <v>UA : Urine Analysis In House</v>
      </c>
      <c r="Y11" s="222" t="str">
        <f t="shared" si="10"/>
        <v>MATCH</v>
      </c>
      <c r="Z11" s="224" t="str">
        <f t="shared" si="11"/>
        <v> </v>
      </c>
      <c r="AA11" s="243"/>
    </row>
    <row r="12">
      <c r="A12" s="214" t="str">
        <f>IFS($B12=FALSE,"",$B12,VLOOKUP($B12,'PATIENT DATA (072721)'!A:C, 2, 0))</f>
        <v>MONTELONGO CUEVAS, SALVADOR</v>
      </c>
      <c r="B12" s="215">
        <v>12148.0</v>
      </c>
      <c r="C12" s="216" t="str">
        <f>IF(COUNTIF('PATIENT DATA (072721)'!A:A, B12)=0, "X","✓")</f>
        <v>✓</v>
      </c>
      <c r="D12" s="226">
        <f>IFS($B12=FALSE,"",$B12,VLOOKUP($B12,'PATIENT DATA (072721)'!A:C, 3, 0))</f>
        <v>19436</v>
      </c>
      <c r="E12" s="218">
        <v>44571.0</v>
      </c>
      <c r="F12" s="219" t="str">
        <f>ifs($B12="","",$B12, VLOOKUP($B12&amp;$E12, 'VISIT DATA'!A:O,3,0))</f>
        <v>#N/A</v>
      </c>
      <c r="G12" s="220" t="s">
        <v>6328</v>
      </c>
      <c r="H12" s="221" t="s">
        <v>15</v>
      </c>
      <c r="I12" s="222" t="str">
        <f>VLOOKUP($B12&amp;$E12,'VISIT DATA'!A:J, 9, FALSE)</f>
        <v>#N/A</v>
      </c>
      <c r="J12" s="223" t="str">
        <f>VLOOKUP(B12&amp;E12,'VISIT DATA'!A:N,10,FALSE)</f>
        <v>#N/A</v>
      </c>
      <c r="K12" s="242"/>
      <c r="L12" s="224" t="s">
        <v>6242</v>
      </c>
      <c r="M12" s="224"/>
      <c r="N12" s="225"/>
      <c r="O12" s="216" t="str">
        <f t="shared" si="1"/>
        <v>✓</v>
      </c>
      <c r="P12" s="226" t="str">
        <f t="shared" si="2"/>
        <v>#N/A</v>
      </c>
      <c r="Q12" s="227" t="str">
        <f t="shared" si="3"/>
        <v>#N/A</v>
      </c>
      <c r="R12" s="228" t="str">
        <f t="shared" si="4"/>
        <v>#N/A</v>
      </c>
      <c r="S12" s="220" t="str">
        <f t="shared" si="5"/>
        <v>#N/A</v>
      </c>
      <c r="T12" s="220" t="str">
        <f t="shared" si="6"/>
        <v>#N/A</v>
      </c>
      <c r="U12" s="221">
        <f t="shared" si="7"/>
        <v>0</v>
      </c>
      <c r="V12" s="229" t="str">
        <f>ifs($N12="",VLOOKUP($B12&amp;$E12,'VISIT DATA'!$A$2:$J100,7,FALSE), $N12="SWAB","OUTSA-RW",$N12="SWQU","OUTSA-SaQu", AND($L12="X",$M12="X",$N12="QUEST"),"OUT-UAQPre",$N12="QUEST","OUT-UAQ", $N12="Walk in","ColUATele")</f>
        <v>#N/A</v>
      </c>
      <c r="W12" s="24" t="str">
        <f t="shared" si="8"/>
        <v>#N/A</v>
      </c>
      <c r="X12" s="222" t="str">
        <f t="shared" si="9"/>
        <v>UA : Urine Analysis In House</v>
      </c>
      <c r="Y12" s="222" t="str">
        <f t="shared" si="10"/>
        <v>#N/A</v>
      </c>
      <c r="Z12" s="224" t="str">
        <f t="shared" si="11"/>
        <v> </v>
      </c>
      <c r="AA12" s="243"/>
    </row>
    <row r="13">
      <c r="A13" s="214" t="str">
        <f>IFS($B13=FALSE,"",$B13,VLOOKUP($B13,'PATIENT DATA (072721)'!A:C, 2, 0))</f>
        <v>LEON, ANA M</v>
      </c>
      <c r="B13" s="215">
        <v>13829.0</v>
      </c>
      <c r="C13" s="216" t="str">
        <f>IF(COUNTIF('PATIENT DATA (072721)'!A:A, B13)=0, "X","✓")</f>
        <v>✓</v>
      </c>
      <c r="D13" s="226">
        <f>IFS($B13=FALSE,"",$B13,VLOOKUP($B13,'PATIENT DATA (072721)'!A:C, 3, 0))</f>
        <v>19504</v>
      </c>
      <c r="E13" s="218">
        <v>44571.0</v>
      </c>
      <c r="F13" s="219">
        <f>ifs($B13="","",$B13, VLOOKUP($B13&amp;$E13, 'VISIT DATA'!A:O,3,0))</f>
        <v>0.375</v>
      </c>
      <c r="G13" s="220" t="s">
        <v>6323</v>
      </c>
      <c r="H13" s="221" t="s">
        <v>15</v>
      </c>
      <c r="I13" s="222" t="str">
        <f>VLOOKUP($B13&amp;$E13,'VISIT DATA'!A:J, 9, FALSE)</f>
        <v>MARTINEZ</v>
      </c>
      <c r="J13" s="223" t="str">
        <f>VLOOKUP(B13&amp;E13,'VISIT DATA'!A:N,10,FALSE)</f>
        <v>WELLMED - HUMANA</v>
      </c>
      <c r="K13" s="242"/>
      <c r="L13" s="224" t="s">
        <v>6242</v>
      </c>
      <c r="M13" s="224"/>
      <c r="N13" s="225"/>
      <c r="O13" s="216" t="str">
        <f t="shared" si="1"/>
        <v>✓</v>
      </c>
      <c r="P13" s="226" t="str">
        <f t="shared" si="2"/>
        <v>X</v>
      </c>
      <c r="Q13" s="227" t="str">
        <f t="shared" si="3"/>
        <v>#VALUE!</v>
      </c>
      <c r="R13" s="228" t="str">
        <f t="shared" si="4"/>
        <v>#VALUE!</v>
      </c>
      <c r="S13" s="220" t="str">
        <f t="shared" si="5"/>
        <v>#VALUE!</v>
      </c>
      <c r="T13" s="220" t="str">
        <f t="shared" si="6"/>
        <v>#VALUE!</v>
      </c>
      <c r="U13" s="221">
        <f t="shared" si="7"/>
        <v>1</v>
      </c>
      <c r="V13" s="229" t="str">
        <f>ifs($N13="",VLOOKUP($B13&amp;$E13,'VISIT DATA'!$A$2:$J100,7,FALSE), $N13="SWAB","OUTSA-RW",$N13="SWQU","OUTSA-SaQu", AND($L13="X",$M13="X",$N13="QUEST"),"OUT-UAQPre",$N13="QUEST","OUT-UAQ", $N13="Walk in","ColUATele")</f>
        <v>OUTUA-FURW</v>
      </c>
      <c r="W13" s="24" t="str">
        <f t="shared" si="8"/>
        <v>OUTUA-FURW : OUT UA FU Redwood</v>
      </c>
      <c r="X13" s="222" t="str">
        <f t="shared" si="9"/>
        <v>OUTUA-FURW : OUT UA FU Redwood</v>
      </c>
      <c r="Y13" s="222" t="str">
        <f t="shared" si="10"/>
        <v>MATCH</v>
      </c>
      <c r="Z13" s="224" t="str">
        <f t="shared" si="11"/>
        <v> </v>
      </c>
      <c r="AA13" s="243"/>
    </row>
    <row r="14">
      <c r="A14" s="214" t="str">
        <f>IFS($B14=FALSE,"",$B14,VLOOKUP($B14,'PATIENT DATA (072721)'!A:C, 2, 0))</f>
        <v>LOPEZ, JOSE</v>
      </c>
      <c r="B14" s="215">
        <v>10160.0</v>
      </c>
      <c r="C14" s="216" t="str">
        <f>IF(COUNTIF('PATIENT DATA (072721)'!A:A, B14)=0, "X","✓")</f>
        <v>✓</v>
      </c>
      <c r="D14" s="226">
        <f>IFS($B14=FALSE,"",$B14,VLOOKUP($B14,'PATIENT DATA (072721)'!A:C, 3, 0))</f>
        <v>21263</v>
      </c>
      <c r="E14" s="218">
        <v>44571.0</v>
      </c>
      <c r="F14" s="219">
        <f>ifs($B14="","",$B14, VLOOKUP($B14&amp;$E14, 'VISIT DATA'!A:O,3,0))</f>
        <v>0.40625</v>
      </c>
      <c r="G14" s="220" t="s">
        <v>6328</v>
      </c>
      <c r="H14" s="221" t="s">
        <v>14</v>
      </c>
      <c r="I14" s="222" t="str">
        <f>VLOOKUP($B14&amp;$E14,'VISIT DATA'!A:J, 9, FALSE)</f>
        <v>TORRES</v>
      </c>
      <c r="J14" s="223" t="str">
        <f>VLOOKUP(B14&amp;E14,'VISIT DATA'!A:N,10,FALSE)</f>
        <v>AMERIGROUP</v>
      </c>
      <c r="K14" s="225"/>
      <c r="L14" s="224" t="s">
        <v>6242</v>
      </c>
      <c r="M14" s="224" t="s">
        <v>6242</v>
      </c>
      <c r="N14" s="225"/>
      <c r="O14" s="216" t="str">
        <f t="shared" si="1"/>
        <v>✓</v>
      </c>
      <c r="P14" s="226" t="str">
        <f t="shared" si="2"/>
        <v>#VALUE!</v>
      </c>
      <c r="Q14" s="227" t="str">
        <f t="shared" si="3"/>
        <v>#VALUE!</v>
      </c>
      <c r="R14" s="228" t="str">
        <f t="shared" si="4"/>
        <v>#VALUE!</v>
      </c>
      <c r="S14" s="220" t="str">
        <f t="shared" si="5"/>
        <v>#VALUE!</v>
      </c>
      <c r="T14" s="220" t="str">
        <f t="shared" si="6"/>
        <v>#VALUE!</v>
      </c>
      <c r="U14" s="221">
        <f t="shared" si="7"/>
        <v>0</v>
      </c>
      <c r="V14" s="229" t="str">
        <f>ifs($N14="",VLOOKUP($B14&amp;$E14,'VISIT DATA'!$A$2:$J100,7,FALSE), $N14="SWAB","OUTSA-RW",$N14="SWQU","OUTSA-SaQu", AND($L14="X",$M14="X",$N14="QUEST"),"OUT-UAQPre",$N14="QUEST","OUT-UAQ", $N14="Walk in","ColUATele")</f>
        <v>UA-Prelim</v>
      </c>
      <c r="W14" s="24" t="str">
        <f t="shared" si="8"/>
        <v>UA-Prelim : Preliminary UA Test</v>
      </c>
      <c r="X14" s="222" t="str">
        <f t="shared" si="9"/>
        <v>UA-Prelim : Preliminary UA Test</v>
      </c>
      <c r="Y14" s="222" t="str">
        <f t="shared" si="10"/>
        <v>MATCH</v>
      </c>
      <c r="Z14" s="224" t="str">
        <f t="shared" si="11"/>
        <v> </v>
      </c>
      <c r="AA14" s="244"/>
    </row>
    <row r="15">
      <c r="A15" s="214" t="str">
        <f>IFS($B15=FALSE,"",$B15,VLOOKUP($B15,'PATIENT DATA (072721)'!A:C, 2, 0))</f>
        <v>AYALA, ROBERT</v>
      </c>
      <c r="B15" s="215">
        <v>9862.0</v>
      </c>
      <c r="C15" s="216" t="str">
        <f>IF(COUNTIF('PATIENT DATA (072721)'!A:A, B15)=0, "X","✓")</f>
        <v>✓</v>
      </c>
      <c r="D15" s="226">
        <f>IFS($B15=FALSE,"",$B15,VLOOKUP($B15,'PATIENT DATA (072721)'!A:C, 3, 0))</f>
        <v>18805</v>
      </c>
      <c r="E15" s="218">
        <v>44571.0</v>
      </c>
      <c r="F15" s="219">
        <f>ifs($B15="","",$B15, VLOOKUP($B15&amp;$E15, 'VISIT DATA'!A:O,3,0))</f>
        <v>0.4166666667</v>
      </c>
      <c r="G15" s="220" t="s">
        <v>6328</v>
      </c>
      <c r="H15" s="221" t="s">
        <v>14</v>
      </c>
      <c r="I15" s="222" t="str">
        <f>VLOOKUP($B15&amp;$E15,'VISIT DATA'!A:J, 9, FALSE)</f>
        <v>TORRES</v>
      </c>
      <c r="J15" s="223" t="str">
        <f>VLOOKUP(B15&amp;E15,'VISIT DATA'!A:N,10,FALSE)</f>
        <v>WPS VA - COMMUNITY CARE</v>
      </c>
      <c r="K15" s="225"/>
      <c r="L15" s="224" t="s">
        <v>6242</v>
      </c>
      <c r="M15" s="224" t="s">
        <v>6242</v>
      </c>
      <c r="N15" s="225"/>
      <c r="O15" s="216" t="str">
        <f t="shared" si="1"/>
        <v>✓</v>
      </c>
      <c r="P15" s="226" t="str">
        <f t="shared" si="2"/>
        <v>#VALUE!</v>
      </c>
      <c r="Q15" s="227" t="str">
        <f t="shared" si="3"/>
        <v>#VALUE!</v>
      </c>
      <c r="R15" s="228" t="str">
        <f t="shared" si="4"/>
        <v>#VALUE!</v>
      </c>
      <c r="S15" s="220" t="str">
        <f t="shared" si="5"/>
        <v>#VALUE!</v>
      </c>
      <c r="T15" s="220" t="str">
        <f t="shared" si="6"/>
        <v>#VALUE!</v>
      </c>
      <c r="U15" s="221">
        <f t="shared" si="7"/>
        <v>0</v>
      </c>
      <c r="V15" s="229" t="str">
        <f>ifs($N15="",VLOOKUP($B15&amp;$E15,'VISIT DATA'!$A$2:$J100,7,FALSE), $N15="SWAB","OUTSA-RW",$N15="SWQU","OUTSA-SaQu", AND($L15="X",$M15="X",$N15="QUEST"),"OUT-UAQPre",$N15="QUEST","OUT-UAQ", $N15="Walk in","ColUATele")</f>
        <v>UA-Prelim</v>
      </c>
      <c r="W15" s="24" t="str">
        <f t="shared" si="8"/>
        <v>UA-Prelim : Preliminary UA Test</v>
      </c>
      <c r="X15" s="222" t="str">
        <f t="shared" si="9"/>
        <v>UA-Prelim : Preliminary UA Test</v>
      </c>
      <c r="Y15" s="222" t="str">
        <f t="shared" si="10"/>
        <v>MATCH</v>
      </c>
      <c r="Z15" s="224" t="str">
        <f t="shared" si="11"/>
        <v> </v>
      </c>
      <c r="AA15" s="244"/>
    </row>
    <row r="16">
      <c r="A16" s="214" t="str">
        <f>IFS($B16=FALSE,"",$B16,VLOOKUP($B16,'PATIENT DATA (072721)'!A:C, 2, 0))</f>
        <v>SCROGGS, CLIFTON E</v>
      </c>
      <c r="B16" s="215">
        <v>9834.0</v>
      </c>
      <c r="C16" s="216" t="str">
        <f>IF(COUNTIF('PATIENT DATA (072721)'!A:A, B16)=0, "X","✓")</f>
        <v>✓</v>
      </c>
      <c r="D16" s="226">
        <f>IFS($B16=FALSE,"",$B16,VLOOKUP($B16,'PATIENT DATA (072721)'!A:C, 3, 0))</f>
        <v>23212</v>
      </c>
      <c r="E16" s="218">
        <v>44571.0</v>
      </c>
      <c r="F16" s="219">
        <f>ifs($B16="","",$B16, VLOOKUP($B16&amp;$E16, 'VISIT DATA'!A:O,3,0))</f>
        <v>0.3958333333</v>
      </c>
      <c r="G16" s="220" t="s">
        <v>6328</v>
      </c>
      <c r="H16" s="221" t="s">
        <v>15</v>
      </c>
      <c r="I16" s="222" t="str">
        <f>VLOOKUP($B16&amp;$E16,'VISIT DATA'!A:J, 9, FALSE)</f>
        <v>MARTINEZ</v>
      </c>
      <c r="J16" s="223" t="str">
        <f>VLOOKUP(B16&amp;E16,'VISIT DATA'!A:N,10,FALSE)</f>
        <v>WELLMED - AARP MEDICARE COMPLETE</v>
      </c>
      <c r="K16" s="224"/>
      <c r="L16" s="224" t="s">
        <v>6242</v>
      </c>
      <c r="M16" s="224"/>
      <c r="N16" s="225"/>
      <c r="O16" s="216" t="str">
        <f t="shared" si="1"/>
        <v>✓</v>
      </c>
      <c r="P16" s="226" t="str">
        <f t="shared" si="2"/>
        <v>X</v>
      </c>
      <c r="Q16" s="227" t="str">
        <f t="shared" si="3"/>
        <v>#VALUE!</v>
      </c>
      <c r="R16" s="228" t="str">
        <f t="shared" si="4"/>
        <v>#VALUE!</v>
      </c>
      <c r="S16" s="220" t="str">
        <f t="shared" si="5"/>
        <v>#VALUE!</v>
      </c>
      <c r="T16" s="220" t="str">
        <f t="shared" si="6"/>
        <v>#VALUE!</v>
      </c>
      <c r="U16" s="221">
        <f t="shared" si="7"/>
        <v>1</v>
      </c>
      <c r="V16" s="229" t="str">
        <f>ifs($N16="",VLOOKUP($B16&amp;$E16,'VISIT DATA'!$A$2:$J100,7,FALSE), $N16="SWAB","OUTSA-RW",$N16="SWQU","OUTSA-SaQu", AND($L16="X",$M16="X",$N16="QUEST"),"OUT-UAQPre",$N16="QUEST","OUT-UAQ", $N16="Walk in","ColUATele")</f>
        <v>OUTUA-FURW</v>
      </c>
      <c r="W16" s="24" t="str">
        <f t="shared" si="8"/>
        <v>OUTUA-FURW : OUT UA FU Redwood</v>
      </c>
      <c r="X16" s="222" t="str">
        <f t="shared" si="9"/>
        <v>OUTUA-FURW : OUT UA FU Redwood</v>
      </c>
      <c r="Y16" s="222" t="str">
        <f t="shared" si="10"/>
        <v>MATCH</v>
      </c>
      <c r="Z16" s="224" t="str">
        <f t="shared" si="11"/>
        <v> </v>
      </c>
      <c r="AA16" s="244"/>
    </row>
    <row r="17">
      <c r="A17" s="214" t="str">
        <f>IFS($B17=FALSE,"",$B17,VLOOKUP($B17,'PATIENT DATA (072721)'!A:C, 2, 0))</f>
        <v>FRIAS, JOHN T</v>
      </c>
      <c r="B17" s="215">
        <v>15935.0</v>
      </c>
      <c r="C17" s="216" t="str">
        <f>IF(COUNTIF('PATIENT DATA (072721)'!A:A, B17)=0, "X","✓")</f>
        <v>✓</v>
      </c>
      <c r="D17" s="226">
        <f>IFS($B17=FALSE,"",$B17,VLOOKUP($B17,'PATIENT DATA (072721)'!A:C, 3, 0))</f>
        <v>27015</v>
      </c>
      <c r="E17" s="218">
        <v>44571.0</v>
      </c>
      <c r="F17" s="219">
        <f>ifs($B17="","",$B17, VLOOKUP($B17&amp;$E17, 'VISIT DATA'!A:O,3,0))</f>
        <v>0.40625</v>
      </c>
      <c r="G17" s="220" t="s">
        <v>6328</v>
      </c>
      <c r="H17" s="221" t="s">
        <v>14</v>
      </c>
      <c r="I17" s="222" t="str">
        <f>VLOOKUP($B17&amp;$E17,'VISIT DATA'!A:J, 9, FALSE)</f>
        <v>TORRES</v>
      </c>
      <c r="J17" s="223" t="str">
        <f>VLOOKUP(B17&amp;E17,'VISIT DATA'!A:N,10,FALSE)</f>
        <v>MOLINA MEDICAID TEXAS</v>
      </c>
      <c r="K17" s="225"/>
      <c r="L17" s="224" t="s">
        <v>6242</v>
      </c>
      <c r="M17" s="224"/>
      <c r="N17" s="224"/>
      <c r="O17" s="216" t="str">
        <f t="shared" si="1"/>
        <v>✓</v>
      </c>
      <c r="P17" s="226" t="str">
        <f t="shared" si="2"/>
        <v>#VALUE!</v>
      </c>
      <c r="Q17" s="227" t="str">
        <f t="shared" si="3"/>
        <v>X</v>
      </c>
      <c r="R17" s="228" t="str">
        <f t="shared" si="4"/>
        <v>#VALUE!</v>
      </c>
      <c r="S17" s="220" t="str">
        <f t="shared" si="5"/>
        <v>#VALUE!</v>
      </c>
      <c r="T17" s="220" t="str">
        <f t="shared" si="6"/>
        <v>#VALUE!</v>
      </c>
      <c r="U17" s="221">
        <f t="shared" si="7"/>
        <v>1</v>
      </c>
      <c r="V17" s="229" t="str">
        <f>ifs($N17="",VLOOKUP($B17&amp;$E17,'VISIT DATA'!$A$2:$J100,7,FALSE), $N17="SWAB","OUTSA-RW",$N17="SWQU","OUTSA-SaQu", AND($L17="X",$M17="X",$N17="QUEST"),"OUT-UAQPre",$N17="QUEST","OUT-UAQ", $N17="Walk in","ColUATele")</f>
        <v>OUTUA-FURW</v>
      </c>
      <c r="W17" s="24" t="str">
        <f t="shared" si="8"/>
        <v>OUTUA-FURW : OUT UA FU Redwood</v>
      </c>
      <c r="X17" s="222" t="str">
        <f t="shared" si="9"/>
        <v>OUTUA-FURW : OUT UA FU Redwood</v>
      </c>
      <c r="Y17" s="222" t="str">
        <f t="shared" si="10"/>
        <v>MATCH</v>
      </c>
      <c r="Z17" s="224" t="str">
        <f t="shared" si="11"/>
        <v> </v>
      </c>
      <c r="AA17" s="245"/>
    </row>
    <row r="18">
      <c r="A18" s="214" t="str">
        <f>IFS($B18=FALSE,"",$B18,VLOOKUP($B18,'PATIENT DATA (072721)'!A:C, 2, 0))</f>
        <v>LICON, JESUS</v>
      </c>
      <c r="B18" s="215">
        <v>15750.0</v>
      </c>
      <c r="C18" s="216" t="str">
        <f>IF(COUNTIF('PATIENT DATA (072721)'!A:A, B18)=0, "X","✓")</f>
        <v>✓</v>
      </c>
      <c r="D18" s="226">
        <f>IFS($B18=FALSE,"",$B18,VLOOKUP($B18,'PATIENT DATA (072721)'!A:C, 3, 0))</f>
        <v>19538</v>
      </c>
      <c r="E18" s="218">
        <v>44571.0</v>
      </c>
      <c r="F18" s="219">
        <f>ifs($B18="","",$B18, VLOOKUP($B18&amp;$E18, 'VISIT DATA'!A:O,3,0))</f>
        <v>0.3854166667</v>
      </c>
      <c r="G18" s="220" t="s">
        <v>6328</v>
      </c>
      <c r="H18" s="221" t="s">
        <v>15</v>
      </c>
      <c r="I18" s="222" t="str">
        <f>VLOOKUP($B18&amp;$E18,'VISIT DATA'!A:J, 9, FALSE)</f>
        <v>TORRES</v>
      </c>
      <c r="J18" s="223" t="str">
        <f>VLOOKUP(B18&amp;E18,'VISIT DATA'!A:N,10,FALSE)</f>
        <v>WPS VA - COMMUNITY CARE</v>
      </c>
      <c r="K18" s="224"/>
      <c r="L18" s="224" t="s">
        <v>6242</v>
      </c>
      <c r="M18" s="224"/>
      <c r="N18" s="224"/>
      <c r="O18" s="216" t="str">
        <f t="shared" si="1"/>
        <v>✓</v>
      </c>
      <c r="P18" s="226" t="str">
        <f t="shared" si="2"/>
        <v>#VALUE!</v>
      </c>
      <c r="Q18" s="227" t="str">
        <f t="shared" si="3"/>
        <v>#VALUE!</v>
      </c>
      <c r="R18" s="228" t="str">
        <f t="shared" si="4"/>
        <v>#VALUE!</v>
      </c>
      <c r="S18" s="220" t="str">
        <f t="shared" si="5"/>
        <v>#VALUE!</v>
      </c>
      <c r="T18" s="220" t="str">
        <f t="shared" si="6"/>
        <v>#VALUE!</v>
      </c>
      <c r="U18" s="221">
        <f t="shared" si="7"/>
        <v>0</v>
      </c>
      <c r="V18" s="229" t="str">
        <f>ifs($N18="",VLOOKUP($B18&amp;$E18,'VISIT DATA'!$A$2:$J100,7,FALSE), $N18="SWAB","OUTSA-RW",$N18="SWQU","OUTSA-SaQu", AND($L18="X",$M18="X",$N18="QUEST"),"OUT-UAQPre",$N18="QUEST","OUT-UAQ", $N18="Walk in","ColUATele")</f>
        <v>UA</v>
      </c>
      <c r="W18" s="24" t="str">
        <f t="shared" si="8"/>
        <v>UA : Urine Analysis In House</v>
      </c>
      <c r="X18" s="222" t="str">
        <f t="shared" si="9"/>
        <v>UA : Urine Analysis In House</v>
      </c>
      <c r="Y18" s="222" t="str">
        <f t="shared" si="10"/>
        <v>MATCH</v>
      </c>
      <c r="Z18" s="224" t="str">
        <f t="shared" si="11"/>
        <v> </v>
      </c>
      <c r="AA18" s="244"/>
    </row>
    <row r="19">
      <c r="A19" s="214" t="str">
        <f>IFS($B19=FALSE,"",$B19,VLOOKUP($B19,'PATIENT DATA (072721)'!A:C, 2, 0))</f>
        <v>ARIAS, MARIA</v>
      </c>
      <c r="B19" s="215">
        <v>15437.0</v>
      </c>
      <c r="C19" s="216" t="str">
        <f>IF(COUNTIF('PATIENT DATA (072721)'!A:A, B19)=0, "X","✓")</f>
        <v>✓</v>
      </c>
      <c r="D19" s="226">
        <f>IFS($B19=FALSE,"",$B19,VLOOKUP($B19,'PATIENT DATA (072721)'!A:C, 3, 0))</f>
        <v>22134</v>
      </c>
      <c r="E19" s="218">
        <v>44571.0</v>
      </c>
      <c r="F19" s="219">
        <f>ifs($B19="","",$B19, VLOOKUP($B19&amp;$E19, 'VISIT DATA'!A:O,3,0))</f>
        <v>0.4270833333</v>
      </c>
      <c r="G19" s="220" t="s">
        <v>6323</v>
      </c>
      <c r="H19" s="221" t="s">
        <v>12</v>
      </c>
      <c r="I19" s="222" t="str">
        <f>VLOOKUP($B19&amp;$E19,'VISIT DATA'!A:J, 9, FALSE)</f>
        <v>THOMAS</v>
      </c>
      <c r="J19" s="223" t="str">
        <f>VLOOKUP(B19&amp;E19,'VISIT DATA'!A:N,10,FALSE)</f>
        <v>WELLMED - UHC DUAL COMPLETE SNP</v>
      </c>
      <c r="K19" s="225"/>
      <c r="L19" s="224" t="s">
        <v>6242</v>
      </c>
      <c r="M19" s="224"/>
      <c r="N19" s="225"/>
      <c r="O19" s="216" t="str">
        <f t="shared" si="1"/>
        <v>✓</v>
      </c>
      <c r="P19" s="226" t="str">
        <f t="shared" si="2"/>
        <v>X</v>
      </c>
      <c r="Q19" s="227" t="str">
        <f t="shared" si="3"/>
        <v>#VALUE!</v>
      </c>
      <c r="R19" s="228" t="str">
        <f t="shared" si="4"/>
        <v>#VALUE!</v>
      </c>
      <c r="S19" s="220" t="str">
        <f t="shared" si="5"/>
        <v>#VALUE!</v>
      </c>
      <c r="T19" s="220" t="str">
        <f t="shared" si="6"/>
        <v>#VALUE!</v>
      </c>
      <c r="U19" s="221">
        <f t="shared" si="7"/>
        <v>1</v>
      </c>
      <c r="V19" s="229" t="str">
        <f>ifs($N19="",VLOOKUP($B19&amp;$E19,'VISIT DATA'!$A$2:$J100,7,FALSE), $N19="SWAB","OUTSA-RW",$N19="SWQU","OUTSA-SaQu", AND($L19="X",$M19="X",$N19="QUEST"),"OUT-UAQPre",$N19="QUEST","OUT-UAQ", $N19="Walk in","ColUATele")</f>
        <v>OUTUA-FURW</v>
      </c>
      <c r="W19" s="24" t="str">
        <f t="shared" si="8"/>
        <v>OUTUA-FURW : OUT UA FU Redwood</v>
      </c>
      <c r="X19" s="222" t="str">
        <f t="shared" si="9"/>
        <v>OUTUA-FURW : OUT UA FU Redwood</v>
      </c>
      <c r="Y19" s="222" t="str">
        <f t="shared" si="10"/>
        <v>MATCH</v>
      </c>
      <c r="Z19" s="224" t="str">
        <f t="shared" si="11"/>
        <v> </v>
      </c>
      <c r="AA19" s="244"/>
    </row>
    <row r="20">
      <c r="A20" s="214" t="str">
        <f>IFS($B20=FALSE,"",$B20,VLOOKUP($B20,'PATIENT DATA (072721)'!A:C, 2, 0))</f>
        <v>SALDANA, SANDRA</v>
      </c>
      <c r="B20" s="215">
        <v>9263.0</v>
      </c>
      <c r="C20" s="216" t="str">
        <f>IF(COUNTIF('PATIENT DATA (072721)'!A:A, B20)=0, "X","✓")</f>
        <v>✓</v>
      </c>
      <c r="D20" s="226">
        <f>IFS($B20=FALSE,"",$B20,VLOOKUP($B20,'PATIENT DATA (072721)'!A:C, 3, 0))</f>
        <v>14169</v>
      </c>
      <c r="E20" s="218">
        <v>44571.0</v>
      </c>
      <c r="F20" s="219">
        <f>ifs($B20="","",$B20, VLOOKUP($B20&amp;$E20, 'VISIT DATA'!A:O,3,0))</f>
        <v>0.4583333333</v>
      </c>
      <c r="G20" s="220" t="s">
        <v>6323</v>
      </c>
      <c r="H20" s="221" t="s">
        <v>12</v>
      </c>
      <c r="I20" s="222" t="str">
        <f>VLOOKUP($B20&amp;$E20,'VISIT DATA'!A:J, 9, FALSE)</f>
        <v>THOMAS</v>
      </c>
      <c r="J20" s="223" t="str">
        <f>VLOOKUP(B20&amp;E20,'VISIT DATA'!A:N,10,FALSE)</f>
        <v>MEDICARE TEXAS</v>
      </c>
      <c r="K20" s="225"/>
      <c r="L20" s="224" t="s">
        <v>6242</v>
      </c>
      <c r="M20" s="224"/>
      <c r="N20" s="224"/>
      <c r="O20" s="216" t="str">
        <f t="shared" si="1"/>
        <v>✓</v>
      </c>
      <c r="P20" s="226" t="str">
        <f t="shared" si="2"/>
        <v>#VALUE!</v>
      </c>
      <c r="Q20" s="227" t="str">
        <f t="shared" si="3"/>
        <v>#VALUE!</v>
      </c>
      <c r="R20" s="228" t="str">
        <f t="shared" si="4"/>
        <v>#VALUE!</v>
      </c>
      <c r="S20" s="220" t="str">
        <f t="shared" si="5"/>
        <v>#VALUE!</v>
      </c>
      <c r="T20" s="220" t="str">
        <f t="shared" si="6"/>
        <v>#VALUE!</v>
      </c>
      <c r="U20" s="221">
        <f t="shared" si="7"/>
        <v>0</v>
      </c>
      <c r="V20" s="229" t="str">
        <f>ifs($N20="",VLOOKUP($B20&amp;$E20,'VISIT DATA'!$A$2:$J100,7,FALSE), $N20="SWAB","OUTSA-RW",$N20="SWQU","OUTSA-SaQu", AND($L20="X",$M20="X",$N20="QUEST"),"OUT-UAQPre",$N20="QUEST","OUT-UAQ", $N20="Walk in","ColUATele")</f>
        <v>UA</v>
      </c>
      <c r="W20" s="24" t="str">
        <f t="shared" si="8"/>
        <v>UA : Urine Analysis In House</v>
      </c>
      <c r="X20" s="222" t="str">
        <f t="shared" si="9"/>
        <v>UA : Urine Analysis In House</v>
      </c>
      <c r="Y20" s="222" t="str">
        <f t="shared" si="10"/>
        <v>MATCH</v>
      </c>
      <c r="Z20" s="224" t="str">
        <f t="shared" si="11"/>
        <v> </v>
      </c>
      <c r="AA20" s="244"/>
    </row>
    <row r="21">
      <c r="A21" s="214" t="str">
        <f>IFS($B21=FALSE,"",$B21,VLOOKUP($B21,'PATIENT DATA (072721)'!A:C, 2, 0))</f>
        <v>LUCERO, MONICA J</v>
      </c>
      <c r="B21" s="215">
        <v>15724.0</v>
      </c>
      <c r="C21" s="216" t="str">
        <f>IF(COUNTIF('PATIENT DATA (072721)'!A:A, B21)=0, "X","✓")</f>
        <v>✓</v>
      </c>
      <c r="D21" s="226">
        <f>IFS($B21=FALSE,"",$B21,VLOOKUP($B21,'PATIENT DATA (072721)'!A:C, 3, 0))</f>
        <v>23824</v>
      </c>
      <c r="E21" s="218">
        <v>44571.0</v>
      </c>
      <c r="F21" s="219">
        <f>ifs($B21="","",$B21, VLOOKUP($B21&amp;$E21, 'VISIT DATA'!A:O,3,0))</f>
        <v>0.4583333333</v>
      </c>
      <c r="G21" s="220" t="s">
        <v>6323</v>
      </c>
      <c r="H21" s="221" t="s">
        <v>14</v>
      </c>
      <c r="I21" s="222" t="str">
        <f>VLOOKUP($B21&amp;$E21,'VISIT DATA'!A:J, 9, FALSE)</f>
        <v>TORRES</v>
      </c>
      <c r="J21" s="223" t="str">
        <f>VLOOKUP(B21&amp;E21,'VISIT DATA'!A:N,10,FALSE)</f>
        <v>MOLINA MEDICAID TEXAS</v>
      </c>
      <c r="K21" s="225"/>
      <c r="L21" s="224" t="s">
        <v>6242</v>
      </c>
      <c r="M21" s="224" t="s">
        <v>6242</v>
      </c>
      <c r="N21" s="225"/>
      <c r="O21" s="216" t="str">
        <f t="shared" si="1"/>
        <v>✓</v>
      </c>
      <c r="P21" s="226" t="str">
        <f t="shared" si="2"/>
        <v>#VALUE!</v>
      </c>
      <c r="Q21" s="227" t="str">
        <f t="shared" si="3"/>
        <v>X</v>
      </c>
      <c r="R21" s="228" t="str">
        <f t="shared" si="4"/>
        <v>#VALUE!</v>
      </c>
      <c r="S21" s="220" t="str">
        <f t="shared" si="5"/>
        <v>#VALUE!</v>
      </c>
      <c r="T21" s="220" t="str">
        <f t="shared" si="6"/>
        <v>#VALUE!</v>
      </c>
      <c r="U21" s="221">
        <f t="shared" si="7"/>
        <v>1</v>
      </c>
      <c r="V21" s="229" t="str">
        <f>ifs($N21="",VLOOKUP($B21&amp;$E21,'VISIT DATA'!$A$2:$J100,7,FALSE), $N21="SWAB","OUTSA-RW",$N21="SWQU","OUTSA-SaQu", AND($L21="X",$M21="X",$N21="QUEST"),"OUT-UAQPre",$N21="QUEST","OUT-UAQ", $N21="Walk in","ColUATele")</f>
        <v>OUTUA-PrRW</v>
      </c>
      <c r="W21" s="24" t="str">
        <f t="shared" si="8"/>
        <v>OUTUA-PrRW : OUT UA Prelimin Redwood</v>
      </c>
      <c r="X21" s="222" t="str">
        <f t="shared" si="9"/>
        <v>OUTUA-PrRW : OUT UA Prelimin Redwood</v>
      </c>
      <c r="Y21" s="222" t="str">
        <f t="shared" si="10"/>
        <v>MATCH</v>
      </c>
      <c r="Z21" s="224" t="str">
        <f t="shared" si="11"/>
        <v> </v>
      </c>
      <c r="AA21" s="244"/>
    </row>
    <row r="22">
      <c r="A22" s="214" t="str">
        <f>IFS($B22=FALSE,"",$B22,VLOOKUP($B22,'PATIENT DATA (072721)'!A:C, 2, 0))</f>
        <v>NUNEZ, PASCUAL</v>
      </c>
      <c r="B22" s="215">
        <v>15740.0</v>
      </c>
      <c r="C22" s="216" t="str">
        <f>IF(COUNTIF('PATIENT DATA (072721)'!A:A, B22)=0, "X","✓")</f>
        <v>✓</v>
      </c>
      <c r="D22" s="226">
        <f>IFS($B22=FALSE,"",$B22,VLOOKUP($B22,'PATIENT DATA (072721)'!A:C, 3, 0))</f>
        <v>17084</v>
      </c>
      <c r="E22" s="218">
        <v>44571.0</v>
      </c>
      <c r="F22" s="219">
        <f>ifs($B22="","",$B22, VLOOKUP($B22&amp;$E22, 'VISIT DATA'!A:O,3,0))</f>
        <v>0.4583333333</v>
      </c>
      <c r="G22" s="220" t="s">
        <v>6328</v>
      </c>
      <c r="H22" s="221" t="s">
        <v>14</v>
      </c>
      <c r="I22" s="222" t="str">
        <f>VLOOKUP($B22&amp;$E22,'VISIT DATA'!A:J, 9, FALSE)</f>
        <v>TORRES</v>
      </c>
      <c r="J22" s="223" t="str">
        <f>VLOOKUP(B22&amp;E22,'VISIT DATA'!A:N,10,FALSE)</f>
        <v>WELLMED - AARP MEDICARE COMPLETE</v>
      </c>
      <c r="K22" s="225"/>
      <c r="L22" s="224" t="s">
        <v>6242</v>
      </c>
      <c r="M22" s="224"/>
      <c r="N22" s="225"/>
      <c r="O22" s="216" t="str">
        <f t="shared" si="1"/>
        <v>✓</v>
      </c>
      <c r="P22" s="226" t="str">
        <f t="shared" si="2"/>
        <v>X</v>
      </c>
      <c r="Q22" s="227" t="str">
        <f t="shared" si="3"/>
        <v>#VALUE!</v>
      </c>
      <c r="R22" s="228" t="str">
        <f t="shared" si="4"/>
        <v>#VALUE!</v>
      </c>
      <c r="S22" s="220" t="str">
        <f t="shared" si="5"/>
        <v>#VALUE!</v>
      </c>
      <c r="T22" s="220" t="str">
        <f t="shared" si="6"/>
        <v>#VALUE!</v>
      </c>
      <c r="U22" s="221">
        <f t="shared" si="7"/>
        <v>1</v>
      </c>
      <c r="V22" s="229" t="str">
        <f>ifs($N22="",VLOOKUP($B22&amp;$E22,'VISIT DATA'!$A$2:$J100,7,FALSE), $N22="SWAB","OUTSA-RW",$N22="SWQU","OUTSA-SaQu", AND($L22="X",$M22="X",$N22="QUEST"),"OUT-UAQPre",$N22="QUEST","OUT-UAQ", $N22="Walk in","ColUATele")</f>
        <v>OUTUA-FURW</v>
      </c>
      <c r="W22" s="24" t="str">
        <f t="shared" si="8"/>
        <v>OUTUA-FURW : OUT UA FU Redwood</v>
      </c>
      <c r="X22" s="222" t="str">
        <f t="shared" si="9"/>
        <v>OUTUA-FURW : OUT UA FU Redwood</v>
      </c>
      <c r="Y22" s="222" t="str">
        <f t="shared" si="10"/>
        <v>MATCH</v>
      </c>
      <c r="Z22" s="224" t="str">
        <f t="shared" si="11"/>
        <v> </v>
      </c>
      <c r="AA22" s="244"/>
    </row>
    <row r="23">
      <c r="A23" s="214" t="str">
        <f>IFS($B23=FALSE,"",$B23,VLOOKUP($B23,'PATIENT DATA (072721)'!A:C, 2, 0))</f>
        <v>MEDRANO, CORINA</v>
      </c>
      <c r="B23" s="215">
        <v>16943.0</v>
      </c>
      <c r="C23" s="216" t="str">
        <f>IF(COUNTIF('PATIENT DATA (072721)'!A:A, B23)=0, "X","✓")</f>
        <v>✓</v>
      </c>
      <c r="D23" s="226">
        <f>IFS($B23=FALSE,"",$B23,VLOOKUP($B23,'PATIENT DATA (072721)'!A:C, 3, 0))</f>
        <v>16364</v>
      </c>
      <c r="E23" s="218">
        <v>44571.0</v>
      </c>
      <c r="F23" s="219">
        <f>ifs($B23="","",$B23, VLOOKUP($B23&amp;$E23, 'VISIT DATA'!A:O,3,0))</f>
        <v>0.46875</v>
      </c>
      <c r="G23" s="220" t="s">
        <v>6323</v>
      </c>
      <c r="H23" s="221" t="s">
        <v>15</v>
      </c>
      <c r="I23" s="222" t="str">
        <f>VLOOKUP($B23&amp;$E23,'VISIT DATA'!A:J, 9, FALSE)</f>
        <v>MARTINEZ</v>
      </c>
      <c r="J23" s="223" t="str">
        <f>VLOOKUP(B23&amp;E23,'VISIT DATA'!A:N,10,FALSE)</f>
        <v>WELLMED - AARP MEDICARE COMPLETE</v>
      </c>
      <c r="K23" s="225"/>
      <c r="L23" s="224" t="s">
        <v>6242</v>
      </c>
      <c r="M23" s="224"/>
      <c r="N23" s="225"/>
      <c r="O23" s="216" t="str">
        <f t="shared" si="1"/>
        <v>✓</v>
      </c>
      <c r="P23" s="226" t="str">
        <f t="shared" si="2"/>
        <v>X</v>
      </c>
      <c r="Q23" s="227" t="str">
        <f t="shared" si="3"/>
        <v>#VALUE!</v>
      </c>
      <c r="R23" s="228" t="str">
        <f t="shared" si="4"/>
        <v>#VALUE!</v>
      </c>
      <c r="S23" s="220" t="str">
        <f t="shared" si="5"/>
        <v>#VALUE!</v>
      </c>
      <c r="T23" s="220" t="str">
        <f t="shared" si="6"/>
        <v>#VALUE!</v>
      </c>
      <c r="U23" s="221">
        <f t="shared" si="7"/>
        <v>1</v>
      </c>
      <c r="V23" s="229" t="str">
        <f>ifs($N23="",VLOOKUP($B23&amp;$E23,'VISIT DATA'!$A$2:$J100,7,FALSE), $N23="SWAB","OUTSA-RW",$N23="SWQU","OUTSA-SaQu", AND($L23="X",$M23="X",$N23="QUEST"),"OUT-UAQPre",$N23="QUEST","OUT-UAQ", $N23="Walk in","ColUATele")</f>
        <v>OUTUA-FURW</v>
      </c>
      <c r="W23" s="24" t="str">
        <f t="shared" si="8"/>
        <v>OUTUA-FURW : OUT UA FU Redwood</v>
      </c>
      <c r="X23" s="222" t="str">
        <f t="shared" si="9"/>
        <v>OUTUA-FURW : OUT UA FU Redwood</v>
      </c>
      <c r="Y23" s="222" t="str">
        <f t="shared" si="10"/>
        <v>MATCH</v>
      </c>
      <c r="Z23" s="224" t="str">
        <f t="shared" si="11"/>
        <v> </v>
      </c>
      <c r="AA23" s="244"/>
    </row>
    <row r="24">
      <c r="A24" s="214" t="str">
        <f>IFS($B24=FALSE,"",$B24,VLOOKUP($B24,'PATIENT DATA (072721)'!A:C, 2, 0))</f>
        <v>LEONGUERRERO, MARIE</v>
      </c>
      <c r="B24" s="215">
        <v>10036.0</v>
      </c>
      <c r="C24" s="216" t="str">
        <f>IF(COUNTIF('PATIENT DATA (072721)'!A:A, B24)=0, "X","✓")</f>
        <v>✓</v>
      </c>
      <c r="D24" s="226">
        <f>IFS($B24=FALSE,"",$B24,VLOOKUP($B24,'PATIENT DATA (072721)'!A:C, 3, 0))</f>
        <v>25546</v>
      </c>
      <c r="E24" s="218">
        <v>44571.0</v>
      </c>
      <c r="F24" s="219">
        <f>ifs($B24="","",$B24, VLOOKUP($B24&amp;$E24, 'VISIT DATA'!A:O,3,0))</f>
        <v>0.375</v>
      </c>
      <c r="G24" s="220" t="s">
        <v>6323</v>
      </c>
      <c r="H24" s="221" t="s">
        <v>15</v>
      </c>
      <c r="I24" s="222" t="str">
        <f>VLOOKUP($B24&amp;$E24,'VISIT DATA'!A:J, 9, FALSE)</f>
        <v>MARTINEZ</v>
      </c>
      <c r="J24" s="223" t="str">
        <f>VLOOKUP(B24&amp;E24,'VISIT DATA'!A:N,10,FALSE)</f>
        <v>WPS VA - COMMUNITY CARE</v>
      </c>
      <c r="K24" s="225"/>
      <c r="L24" s="224"/>
      <c r="M24" s="224"/>
      <c r="N24" s="225"/>
      <c r="O24" s="216" t="str">
        <f t="shared" si="1"/>
        <v>X</v>
      </c>
      <c r="P24" s="226" t="str">
        <f t="shared" si="2"/>
        <v>#VALUE!</v>
      </c>
      <c r="Q24" s="227" t="str">
        <f t="shared" si="3"/>
        <v>#VALUE!</v>
      </c>
      <c r="R24" s="228" t="str">
        <f t="shared" si="4"/>
        <v>#VALUE!</v>
      </c>
      <c r="S24" s="220" t="str">
        <f t="shared" si="5"/>
        <v>#VALUE!</v>
      </c>
      <c r="T24" s="220" t="str">
        <f t="shared" si="6"/>
        <v>#VALUE!</v>
      </c>
      <c r="U24" s="221">
        <f t="shared" si="7"/>
        <v>0</v>
      </c>
      <c r="V24" s="229" t="str">
        <f>ifs($N24="",VLOOKUP($B24&amp;$E24,'VISIT DATA'!$A$2:$J100,7,FALSE), $N24="SWAB","OUTSA-RW",$N24="SWQU","OUTSA-SaQu", AND($L24="X",$M24="X",$N24="QUEST"),"OUT-UAQPre",$N24="QUEST","OUT-UAQ", $N24="Walk in","ColUATele")</f>
        <v>UA</v>
      </c>
      <c r="W24" s="24" t="str">
        <f t="shared" si="8"/>
        <v>UA : Urine Analysis In House</v>
      </c>
      <c r="X24" s="222" t="str">
        <f t="shared" si="9"/>
        <v>#N/A</v>
      </c>
      <c r="Y24" s="222" t="str">
        <f t="shared" si="10"/>
        <v>#N/A</v>
      </c>
      <c r="Z24" s="224" t="str">
        <f t="shared" si="11"/>
        <v> </v>
      </c>
      <c r="AA24" s="244"/>
    </row>
    <row r="25">
      <c r="A25" s="214" t="str">
        <f>IFS($B25=FALSE,"",$B25,VLOOKUP($B25,'PATIENT DATA (072721)'!A:C, 2, 0))</f>
        <v/>
      </c>
      <c r="B25" s="215"/>
      <c r="C25" s="216" t="str">
        <f>IF(COUNTIF('PATIENT DATA (072721)'!A:A, B25)=0, "X","✓")</f>
        <v>X</v>
      </c>
      <c r="D25" s="226" t="str">
        <f>IFS($B25=FALSE,"",$B25,VLOOKUP($B25,'PATIENT DATA (072721)'!A:C, 3, 0))</f>
        <v/>
      </c>
      <c r="E25" s="218"/>
      <c r="F25" s="219" t="str">
        <f>ifs($B25="","",$B25, VLOOKUP($B25&amp;$E25, 'VISIT DATA'!A:O,3,0))</f>
        <v/>
      </c>
      <c r="G25" s="220"/>
      <c r="H25" s="221"/>
      <c r="I25" s="222" t="str">
        <f>VLOOKUP($B25&amp;$E25,'VISIT DATA'!A:J, 9, FALSE)</f>
        <v>#N/A</v>
      </c>
      <c r="J25" s="223" t="str">
        <f>VLOOKUP(B25&amp;E25,'VISIT DATA'!A:N,10,FALSE)</f>
        <v>#N/A</v>
      </c>
      <c r="K25" s="224"/>
      <c r="L25" s="224"/>
      <c r="M25" s="224"/>
      <c r="N25" s="225"/>
      <c r="O25" s="216" t="str">
        <f t="shared" si="1"/>
        <v>X</v>
      </c>
      <c r="P25" s="226" t="str">
        <f t="shared" si="2"/>
        <v>#N/A</v>
      </c>
      <c r="Q25" s="227" t="str">
        <f t="shared" si="3"/>
        <v>#N/A</v>
      </c>
      <c r="R25" s="228" t="str">
        <f t="shared" si="4"/>
        <v>#N/A</v>
      </c>
      <c r="S25" s="220" t="str">
        <f t="shared" si="5"/>
        <v>#N/A</v>
      </c>
      <c r="T25" s="220" t="str">
        <f t="shared" si="6"/>
        <v>#N/A</v>
      </c>
      <c r="U25" s="221">
        <f t="shared" si="7"/>
        <v>0</v>
      </c>
      <c r="V25" s="229" t="str">
        <f>ifs($N25="",VLOOKUP($B25&amp;$E25,'VISIT DATA'!$A$2:$J100,7,FALSE), $N25="SWAB","OUTSA-RW",$N25="SWQU","OUTSA-SaQu", AND($L25="X",$M25="X",$N25="QUEST"),"OUT-UAQPre",$N25="QUEST","OUT-UAQ", $N25="Walk in","ColUATele")</f>
        <v>#N/A</v>
      </c>
      <c r="W25" s="24" t="str">
        <f t="shared" si="8"/>
        <v>#N/A</v>
      </c>
      <c r="X25" s="222" t="str">
        <f t="shared" si="9"/>
        <v/>
      </c>
      <c r="Y25" s="222" t="str">
        <f t="shared" si="10"/>
        <v/>
      </c>
      <c r="Z25" s="224" t="str">
        <f t="shared" si="11"/>
        <v> </v>
      </c>
      <c r="AA25" s="244"/>
    </row>
    <row r="26">
      <c r="A26" s="214" t="str">
        <f>IFS($B26=FALSE,"",$B26,VLOOKUP($B26,'PATIENT DATA (072721)'!A:C, 2, 0))</f>
        <v/>
      </c>
      <c r="B26" s="215"/>
      <c r="C26" s="216" t="str">
        <f>IF(COUNTIF('PATIENT DATA (072721)'!A:A, B26)=0, "X","✓")</f>
        <v>X</v>
      </c>
      <c r="D26" s="226" t="str">
        <f>IFS($B26=FALSE,"",$B26,VLOOKUP($B26,'PATIENT DATA (072721)'!A:C, 3, 0))</f>
        <v/>
      </c>
      <c r="E26" s="218"/>
      <c r="F26" s="219" t="str">
        <f>ifs($B26="","",$B26, VLOOKUP($B26&amp;$E26, 'VISIT DATA'!A:O,3,0))</f>
        <v/>
      </c>
      <c r="G26" s="220"/>
      <c r="H26" s="221"/>
      <c r="I26" s="222" t="str">
        <f>VLOOKUP($B26&amp;$E26,'VISIT DATA'!A:J, 9, FALSE)</f>
        <v>#N/A</v>
      </c>
      <c r="J26" s="223" t="str">
        <f>VLOOKUP(B26&amp;E26,'VISIT DATA'!A:N,10,FALSE)</f>
        <v>#N/A</v>
      </c>
      <c r="K26" s="224"/>
      <c r="L26" s="224"/>
      <c r="M26" s="224"/>
      <c r="N26" s="224"/>
      <c r="O26" s="216" t="str">
        <f t="shared" si="1"/>
        <v>X</v>
      </c>
      <c r="P26" s="226" t="str">
        <f t="shared" si="2"/>
        <v>#N/A</v>
      </c>
      <c r="Q26" s="227" t="str">
        <f t="shared" si="3"/>
        <v>#N/A</v>
      </c>
      <c r="R26" s="228" t="str">
        <f t="shared" si="4"/>
        <v>#N/A</v>
      </c>
      <c r="S26" s="220" t="str">
        <f t="shared" si="5"/>
        <v>#N/A</v>
      </c>
      <c r="T26" s="220" t="str">
        <f t="shared" si="6"/>
        <v>#N/A</v>
      </c>
      <c r="U26" s="221">
        <f t="shared" si="7"/>
        <v>0</v>
      </c>
      <c r="V26" s="229" t="str">
        <f>ifs($N26="",VLOOKUP($B26&amp;$E26,'VISIT DATA'!$A$2:$J100,7,FALSE), $N26="SWAB","OUTSA-RW",$N26="SWQU","OUTSA-SaQu", AND($L26="X",$M26="X",$N26="QUEST"),"OUT-UAQPre",$N26="QUEST","OUT-UAQ", $N26="Walk in","ColUATele")</f>
        <v>#N/A</v>
      </c>
      <c r="W26" s="24" t="str">
        <f t="shared" si="8"/>
        <v>#N/A</v>
      </c>
      <c r="X26" s="222" t="str">
        <f t="shared" si="9"/>
        <v/>
      </c>
      <c r="Y26" s="222" t="str">
        <f t="shared" si="10"/>
        <v/>
      </c>
      <c r="Z26" s="224" t="str">
        <f t="shared" si="11"/>
        <v> </v>
      </c>
      <c r="AA26" s="245"/>
    </row>
    <row r="27">
      <c r="A27" s="214" t="str">
        <f>IFS($B27=FALSE,"",$B27,VLOOKUP($B27,'PATIENT DATA (072721)'!A:C, 2, 0))</f>
        <v/>
      </c>
      <c r="B27" s="215"/>
      <c r="C27" s="216" t="str">
        <f>IF(COUNTIF('PATIENT DATA (072721)'!A:A, B27)=0, "X","✓")</f>
        <v>X</v>
      </c>
      <c r="D27" s="226" t="str">
        <f>IFS($B27=FALSE,"",$B27,VLOOKUP($B27,'PATIENT DATA (072721)'!A:C, 3, 0))</f>
        <v/>
      </c>
      <c r="E27" s="218"/>
      <c r="F27" s="219" t="str">
        <f>ifs($B27="","",$B27, VLOOKUP($B27&amp;$E27, 'VISIT DATA'!A:O,3,0))</f>
        <v/>
      </c>
      <c r="G27" s="220"/>
      <c r="H27" s="221"/>
      <c r="I27" s="222" t="str">
        <f>VLOOKUP($B27&amp;$E27,'VISIT DATA'!A:J, 9, FALSE)</f>
        <v>#N/A</v>
      </c>
      <c r="J27" s="223" t="str">
        <f>VLOOKUP(B27&amp;E27,'VISIT DATA'!A:N,10,FALSE)</f>
        <v>#N/A</v>
      </c>
      <c r="K27" s="224"/>
      <c r="L27" s="224"/>
      <c r="M27" s="224"/>
      <c r="N27" s="225"/>
      <c r="O27" s="216" t="str">
        <f t="shared" si="1"/>
        <v>X</v>
      </c>
      <c r="P27" s="226" t="str">
        <f t="shared" si="2"/>
        <v>#N/A</v>
      </c>
      <c r="Q27" s="227" t="str">
        <f t="shared" si="3"/>
        <v>#N/A</v>
      </c>
      <c r="R27" s="228" t="str">
        <f t="shared" si="4"/>
        <v>#N/A</v>
      </c>
      <c r="S27" s="220" t="str">
        <f t="shared" si="5"/>
        <v>#N/A</v>
      </c>
      <c r="T27" s="220" t="str">
        <f t="shared" si="6"/>
        <v>#N/A</v>
      </c>
      <c r="U27" s="221">
        <f t="shared" si="7"/>
        <v>0</v>
      </c>
      <c r="V27" s="229" t="str">
        <f>ifs($N27="",VLOOKUP($B27&amp;$E27,'VISIT DATA'!$A$2:$J100,7,FALSE), $N27="SWAB","OUTSA-RW",$N27="SWQU","OUTSA-SaQu", AND($L27="X",$M27="X",$N27="QUEST"),"OUT-UAQPre",$N27="QUEST","OUT-UAQ", $N27="Walk in","ColUATele")</f>
        <v>#N/A</v>
      </c>
      <c r="W27" s="24" t="str">
        <f t="shared" si="8"/>
        <v>#N/A</v>
      </c>
      <c r="X27" s="222" t="str">
        <f t="shared" si="9"/>
        <v/>
      </c>
      <c r="Y27" s="222" t="str">
        <f t="shared" si="10"/>
        <v/>
      </c>
      <c r="Z27" s="224" t="str">
        <f t="shared" si="11"/>
        <v> </v>
      </c>
      <c r="AA27" s="244"/>
    </row>
    <row r="28">
      <c r="A28" s="214" t="str">
        <f>IFS($B28=FALSE,"",$B28,VLOOKUP($B28,'PATIENT DATA (072721)'!A:C, 2, 0))</f>
        <v/>
      </c>
      <c r="B28" s="215"/>
      <c r="C28" s="216" t="str">
        <f>IF(COUNTIF('PATIENT DATA (072721)'!A:A, B28)=0, "X","✓")</f>
        <v>X</v>
      </c>
      <c r="D28" s="226" t="str">
        <f>IFS($B28=FALSE,"",$B28,VLOOKUP($B28,'PATIENT DATA (072721)'!A:C, 3, 0))</f>
        <v/>
      </c>
      <c r="E28" s="218"/>
      <c r="F28" s="219" t="str">
        <f>ifs($B28="","",$B28, VLOOKUP($B28&amp;$E28, 'VISIT DATA'!A:O,3,0))</f>
        <v/>
      </c>
      <c r="G28" s="220"/>
      <c r="H28" s="221"/>
      <c r="I28" s="222" t="str">
        <f>VLOOKUP($B28&amp;$E28,'VISIT DATA'!A:J, 9, FALSE)</f>
        <v>#N/A</v>
      </c>
      <c r="J28" s="223" t="str">
        <f>VLOOKUP(B28&amp;E28,'VISIT DATA'!A:N,10,FALSE)</f>
        <v>#N/A</v>
      </c>
      <c r="K28" s="224"/>
      <c r="L28" s="224"/>
      <c r="M28" s="224"/>
      <c r="N28" s="225"/>
      <c r="O28" s="216" t="str">
        <f t="shared" si="1"/>
        <v>X</v>
      </c>
      <c r="P28" s="226" t="str">
        <f t="shared" si="2"/>
        <v>#N/A</v>
      </c>
      <c r="Q28" s="227" t="str">
        <f t="shared" si="3"/>
        <v>#N/A</v>
      </c>
      <c r="R28" s="228" t="str">
        <f t="shared" si="4"/>
        <v>#N/A</v>
      </c>
      <c r="S28" s="220" t="str">
        <f t="shared" si="5"/>
        <v>#N/A</v>
      </c>
      <c r="T28" s="220" t="str">
        <f t="shared" si="6"/>
        <v>#N/A</v>
      </c>
      <c r="U28" s="221">
        <f t="shared" si="7"/>
        <v>0</v>
      </c>
      <c r="V28" s="229" t="str">
        <f>ifs($N28="",VLOOKUP($B28&amp;$E28,'VISIT DATA'!$A$2:$J100,7,FALSE), $N28="SWAB","OUTSA-RW",$N28="SWQU","OUTSA-SaQu", AND($L28="X",$M28="X",$N28="QUEST"),"OUT-UAQPre",$N28="QUEST","OUT-UAQ", $N28="Walk in","ColUATele")</f>
        <v>#N/A</v>
      </c>
      <c r="W28" s="24" t="str">
        <f t="shared" si="8"/>
        <v>#N/A</v>
      </c>
      <c r="X28" s="222" t="str">
        <f t="shared" si="9"/>
        <v/>
      </c>
      <c r="Y28" s="222" t="str">
        <f t="shared" si="10"/>
        <v/>
      </c>
      <c r="Z28" s="224" t="str">
        <f t="shared" si="11"/>
        <v> </v>
      </c>
      <c r="AA28" s="244"/>
    </row>
    <row r="29">
      <c r="A29" s="214" t="str">
        <f>IFS($B29=FALSE,"",$B29,VLOOKUP($B29,'PATIENT DATA (072721)'!A:C, 2, 0))</f>
        <v/>
      </c>
      <c r="B29" s="246"/>
      <c r="C29" s="216" t="str">
        <f>IF(COUNTIF('PATIENT DATA (072721)'!A:A, B29)=0, "X","✓")</f>
        <v>X</v>
      </c>
      <c r="D29" s="226" t="str">
        <f>IFS($B29=FALSE,"",$B29,VLOOKUP($B29,'PATIENT DATA (072721)'!A:C, 3, 0))</f>
        <v/>
      </c>
      <c r="E29" s="218"/>
      <c r="F29" s="219" t="str">
        <f>ifs($B29="","",$B29, VLOOKUP($B29&amp;$E29, 'VISIT DATA'!A:O,3,0))</f>
        <v/>
      </c>
      <c r="G29" s="220"/>
      <c r="H29" s="221"/>
      <c r="I29" s="222" t="str">
        <f>VLOOKUP($B29&amp;$E29,'VISIT DATA'!A:J, 9, FALSE)</f>
        <v>#N/A</v>
      </c>
      <c r="J29" s="223" t="str">
        <f>VLOOKUP(B29&amp;E29,'VISIT DATA'!A:N,10,FALSE)</f>
        <v>#N/A</v>
      </c>
      <c r="K29" s="224"/>
      <c r="L29" s="224"/>
      <c r="M29" s="224"/>
      <c r="N29" s="224"/>
      <c r="O29" s="216" t="str">
        <f t="shared" si="1"/>
        <v>X</v>
      </c>
      <c r="P29" s="226" t="str">
        <f t="shared" si="2"/>
        <v>#N/A</v>
      </c>
      <c r="Q29" s="227" t="str">
        <f t="shared" si="3"/>
        <v>#N/A</v>
      </c>
      <c r="R29" s="228" t="str">
        <f t="shared" si="4"/>
        <v>#N/A</v>
      </c>
      <c r="S29" s="220" t="str">
        <f t="shared" si="5"/>
        <v>#N/A</v>
      </c>
      <c r="T29" s="220" t="str">
        <f t="shared" si="6"/>
        <v>#N/A</v>
      </c>
      <c r="U29" s="221">
        <f t="shared" si="7"/>
        <v>0</v>
      </c>
      <c r="V29" s="229" t="str">
        <f>ifs($N29="",VLOOKUP($B29&amp;$E29,'VISIT DATA'!$A$2:$J100,7,FALSE), $N29="SWAB","OUTSA-RW",$N29="SWQU","OUTSA-SaQu", AND($L29="X",$M29="X",$N29="QUEST"),"OUT-UAQPre",$N29="QUEST","OUT-UAQ", $N29="Walk in","ColUATele")</f>
        <v>#N/A</v>
      </c>
      <c r="W29" s="24" t="str">
        <f t="shared" si="8"/>
        <v>#N/A</v>
      </c>
      <c r="X29" s="222" t="str">
        <f t="shared" si="9"/>
        <v/>
      </c>
      <c r="Y29" s="222" t="str">
        <f t="shared" si="10"/>
        <v/>
      </c>
      <c r="Z29" s="224" t="str">
        <f t="shared" si="11"/>
        <v> </v>
      </c>
      <c r="AA29" s="245"/>
    </row>
    <row r="30">
      <c r="A30" s="214" t="str">
        <f>IFS($B30=FALSE,"",$B30,VLOOKUP($B30,'PATIENT DATA (072721)'!A:C, 2, 0))</f>
        <v/>
      </c>
      <c r="B30" s="215"/>
      <c r="C30" s="230" t="str">
        <f>IF(COUNTIF('PATIENT DATA (072721)'!A:A, B30)=0, "X","✓")</f>
        <v>X</v>
      </c>
      <c r="D30" s="226" t="str">
        <f>IFS($B30=FALSE,"",$B30,VLOOKUP($B30,'PATIENT DATA (072721)'!A:C, 3, 0))</f>
        <v/>
      </c>
      <c r="E30" s="218"/>
      <c r="F30" s="219" t="str">
        <f>ifs($B30="","",$B30, VLOOKUP($B30&amp;$E30, 'VISIT DATA'!A:O,3,0))</f>
        <v/>
      </c>
      <c r="G30" s="231"/>
      <c r="H30" s="221"/>
      <c r="I30" s="222" t="str">
        <f>VLOOKUP($B30&amp;$E30,'VISIT DATA'!A:J, 9, FALSE)</f>
        <v>#N/A</v>
      </c>
      <c r="J30" s="223" t="str">
        <f>VLOOKUP(B30&amp;E30,'VISIT DATA'!A:N,10,FALSE)</f>
        <v>#N/A</v>
      </c>
      <c r="K30" s="224"/>
      <c r="L30" s="224"/>
      <c r="M30" s="224"/>
      <c r="N30" s="225"/>
      <c r="O30" s="216" t="str">
        <f t="shared" si="1"/>
        <v>X</v>
      </c>
      <c r="P30" s="226" t="str">
        <f t="shared" si="2"/>
        <v>#N/A</v>
      </c>
      <c r="Q30" s="227" t="str">
        <f t="shared" si="3"/>
        <v>#N/A</v>
      </c>
      <c r="R30" s="228" t="str">
        <f t="shared" si="4"/>
        <v>#N/A</v>
      </c>
      <c r="S30" s="220" t="str">
        <f t="shared" si="5"/>
        <v>#N/A</v>
      </c>
      <c r="T30" s="220" t="str">
        <f t="shared" si="6"/>
        <v>#N/A</v>
      </c>
      <c r="U30" s="221">
        <f t="shared" si="7"/>
        <v>0</v>
      </c>
      <c r="V30" s="229" t="str">
        <f>ifs($N30="",VLOOKUP($B30&amp;$E30,'VISIT DATA'!$A$2:$J100,7,FALSE), $N30="SWAB","OUTSA-RW",$N30="SWQU","OUTSA-SaQu", AND($L30="X",$M30="X",$N30="QUEST"),"OUT-UAQPre",$N30="QUEST","OUT-UAQ", $N30="Walk in","ColUATele")</f>
        <v>#N/A</v>
      </c>
      <c r="W30" s="24" t="str">
        <f t="shared" si="8"/>
        <v>#N/A</v>
      </c>
      <c r="X30" s="222" t="str">
        <f t="shared" si="9"/>
        <v/>
      </c>
      <c r="Y30" s="222" t="str">
        <f t="shared" si="10"/>
        <v/>
      </c>
      <c r="Z30" s="224" t="str">
        <f t="shared" si="11"/>
        <v> </v>
      </c>
      <c r="AA30" s="244"/>
    </row>
    <row r="31">
      <c r="A31" s="214" t="str">
        <f>IFS($B31=FALSE,"",$B31,VLOOKUP($B31,'PATIENT DATA (072721)'!A:C, 2, 0))</f>
        <v/>
      </c>
      <c r="B31" s="215"/>
      <c r="C31" s="230" t="str">
        <f>IF(COUNTIF('PATIENT DATA (072721)'!A:A, B31)=0, "X","✓")</f>
        <v>X</v>
      </c>
      <c r="D31" s="226" t="str">
        <f>IFS($B31=FALSE,"",$B31,VLOOKUP($B31,'PATIENT DATA (072721)'!A:C, 3, 0))</f>
        <v/>
      </c>
      <c r="E31" s="218"/>
      <c r="F31" s="219" t="str">
        <f>ifs($B31="","",$B31, VLOOKUP($B31&amp;$E31, 'VISIT DATA'!A:O,3,0))</f>
        <v/>
      </c>
      <c r="G31" s="231"/>
      <c r="H31" s="221"/>
      <c r="I31" s="222" t="str">
        <f>VLOOKUP($B31&amp;$E31,'VISIT DATA'!A:J, 9, FALSE)</f>
        <v>#N/A</v>
      </c>
      <c r="J31" s="223" t="str">
        <f>VLOOKUP(B31&amp;E31,'VISIT DATA'!A:N,10,FALSE)</f>
        <v>#N/A</v>
      </c>
      <c r="K31" s="225"/>
      <c r="L31" s="224"/>
      <c r="M31" s="224"/>
      <c r="N31" s="225"/>
      <c r="O31" s="216" t="str">
        <f t="shared" si="1"/>
        <v>X</v>
      </c>
      <c r="P31" s="226" t="str">
        <f t="shared" si="2"/>
        <v>#N/A</v>
      </c>
      <c r="Q31" s="227" t="str">
        <f t="shared" si="3"/>
        <v>#N/A</v>
      </c>
      <c r="R31" s="228" t="str">
        <f t="shared" si="4"/>
        <v>#N/A</v>
      </c>
      <c r="S31" s="220" t="str">
        <f t="shared" si="5"/>
        <v>#N/A</v>
      </c>
      <c r="T31" s="220" t="str">
        <f t="shared" si="6"/>
        <v>#N/A</v>
      </c>
      <c r="U31" s="221">
        <f t="shared" si="7"/>
        <v>0</v>
      </c>
      <c r="V31" s="229" t="str">
        <f>ifs($N31="",VLOOKUP($B31&amp;$E31,'VISIT DATA'!$A$2:$J100,7,FALSE), $N31="SWAB","OUTSA-RW",$N31="SWQU","OUTSA-SaQu", AND($L31="X",$M31="X",$N31="QUEST"),"OUT-UAQPre",$N31="QUEST","OUT-UAQ", $N31="Walk in","ColUATele")</f>
        <v>#N/A</v>
      </c>
      <c r="W31" s="24" t="str">
        <f t="shared" si="8"/>
        <v>#N/A</v>
      </c>
      <c r="X31" s="222" t="str">
        <f t="shared" si="9"/>
        <v/>
      </c>
      <c r="Y31" s="222" t="str">
        <f t="shared" si="10"/>
        <v/>
      </c>
      <c r="Z31" s="224" t="str">
        <f t="shared" si="11"/>
        <v> </v>
      </c>
      <c r="AA31" s="244"/>
    </row>
    <row r="32">
      <c r="A32" s="214" t="str">
        <f>IFS($B32=FALSE,"",$B32,VLOOKUP($B32,'PATIENT DATA (072721)'!A:C, 2, 0))</f>
        <v/>
      </c>
      <c r="B32" s="215"/>
      <c r="C32" s="230" t="str">
        <f>IF(COUNTIF('PATIENT DATA (072721)'!A:A, B32)=0, "X","✓")</f>
        <v>X</v>
      </c>
      <c r="D32" s="226" t="str">
        <f>IFS($B32=FALSE,"",$B32,VLOOKUP($B32,'PATIENT DATA (072721)'!A:C, 3, 0))</f>
        <v/>
      </c>
      <c r="E32" s="218"/>
      <c r="F32" s="219" t="str">
        <f>ifs($B32="","",$B32, VLOOKUP($B32&amp;$E32, 'VISIT DATA'!A:O,3,0))</f>
        <v/>
      </c>
      <c r="G32" s="231"/>
      <c r="H32" s="221"/>
      <c r="I32" s="222" t="str">
        <f>VLOOKUP($B32&amp;$E32,'VISIT DATA'!A:J, 9, FALSE)</f>
        <v>#N/A</v>
      </c>
      <c r="J32" s="223" t="str">
        <f>VLOOKUP(B32&amp;E32,'VISIT DATA'!A:N,10,FALSE)</f>
        <v>#N/A</v>
      </c>
      <c r="K32" s="224"/>
      <c r="L32" s="224"/>
      <c r="M32" s="224"/>
      <c r="N32" s="225"/>
      <c r="O32" s="216" t="str">
        <f t="shared" si="1"/>
        <v>X</v>
      </c>
      <c r="P32" s="226" t="str">
        <f t="shared" si="2"/>
        <v>#N/A</v>
      </c>
      <c r="Q32" s="227" t="str">
        <f t="shared" si="3"/>
        <v>#N/A</v>
      </c>
      <c r="R32" s="228" t="str">
        <f t="shared" si="4"/>
        <v>#N/A</v>
      </c>
      <c r="S32" s="220" t="str">
        <f t="shared" si="5"/>
        <v>#N/A</v>
      </c>
      <c r="T32" s="220" t="str">
        <f t="shared" si="6"/>
        <v>#N/A</v>
      </c>
      <c r="U32" s="221">
        <f t="shared" si="7"/>
        <v>0</v>
      </c>
      <c r="V32" s="229" t="str">
        <f>ifs($N32="",VLOOKUP($B32&amp;$E32,'VISIT DATA'!$A$2:$J100,7,FALSE), $N32="SWAB","OUTSA-RW",$N32="SWQU","OUTSA-SaQu", AND($L32="X",$M32="X",$N32="QUEST"),"OUT-UAQPre",$N32="QUEST","OUT-UAQ", $N32="Walk in","ColUATele")</f>
        <v>#N/A</v>
      </c>
      <c r="W32" s="24" t="str">
        <f t="shared" si="8"/>
        <v>#N/A</v>
      </c>
      <c r="X32" s="222" t="str">
        <f t="shared" si="9"/>
        <v/>
      </c>
      <c r="Y32" s="222" t="str">
        <f t="shared" si="10"/>
        <v/>
      </c>
      <c r="Z32" s="224" t="str">
        <f t="shared" si="11"/>
        <v> </v>
      </c>
      <c r="AA32" s="244"/>
    </row>
    <row r="33">
      <c r="A33" s="214" t="str">
        <f>IFS($B33=FALSE,"",$B33,VLOOKUP($B33,'PATIENT DATA (072721)'!A:C, 2, 0))</f>
        <v/>
      </c>
      <c r="B33" s="215"/>
      <c r="C33" s="230" t="str">
        <f>IF(COUNTIF('PATIENT DATA (072721)'!A:A, B33)=0, "X","✓")</f>
        <v>X</v>
      </c>
      <c r="D33" s="226" t="str">
        <f>IFS($B33=FALSE,"",$B33,VLOOKUP($B33,'PATIENT DATA (072721)'!A:C, 3, 0))</f>
        <v/>
      </c>
      <c r="E33" s="218"/>
      <c r="F33" s="219" t="str">
        <f>ifs($B33="","",$B33, VLOOKUP($B33&amp;$E33, 'VISIT DATA'!A:O,3,0))</f>
        <v/>
      </c>
      <c r="G33" s="231"/>
      <c r="H33" s="221"/>
      <c r="I33" s="222" t="str">
        <f>VLOOKUP($B33&amp;$E33,'VISIT DATA'!A:J, 9, FALSE)</f>
        <v>#N/A</v>
      </c>
      <c r="J33" s="223" t="str">
        <f>VLOOKUP(B33&amp;E33,'VISIT DATA'!A:N,10,FALSE)</f>
        <v>#N/A</v>
      </c>
      <c r="K33" s="225"/>
      <c r="L33" s="224"/>
      <c r="M33" s="224"/>
      <c r="N33" s="225"/>
      <c r="O33" s="216" t="str">
        <f t="shared" si="1"/>
        <v>X</v>
      </c>
      <c r="P33" s="226" t="str">
        <f t="shared" si="2"/>
        <v>#N/A</v>
      </c>
      <c r="Q33" s="227" t="str">
        <f t="shared" si="3"/>
        <v>#N/A</v>
      </c>
      <c r="R33" s="228" t="str">
        <f t="shared" si="4"/>
        <v>#N/A</v>
      </c>
      <c r="S33" s="220" t="str">
        <f t="shared" si="5"/>
        <v>#N/A</v>
      </c>
      <c r="T33" s="220" t="str">
        <f t="shared" si="6"/>
        <v>#N/A</v>
      </c>
      <c r="U33" s="221">
        <f t="shared" si="7"/>
        <v>0</v>
      </c>
      <c r="V33" s="229" t="str">
        <f>ifs($N33="",VLOOKUP($B33&amp;$E33,'VISIT DATA'!$A$2:$J100,7,FALSE), $N33="SWAB","OUTSA-RW",$N33="SWQU","OUTSA-SaQu", AND($L33="X",$M33="X",$N33="QUEST"),"OUT-UAQPre",$N33="QUEST","OUT-UAQ", $N33="Walk in","ColUATele")</f>
        <v>#N/A</v>
      </c>
      <c r="W33" s="24" t="str">
        <f t="shared" si="8"/>
        <v>#N/A</v>
      </c>
      <c r="X33" s="222" t="str">
        <f t="shared" si="9"/>
        <v/>
      </c>
      <c r="Y33" s="222" t="str">
        <f t="shared" si="10"/>
        <v/>
      </c>
      <c r="Z33" s="224" t="str">
        <f t="shared" si="11"/>
        <v> </v>
      </c>
      <c r="AA33" s="244"/>
    </row>
    <row r="34">
      <c r="A34" s="214" t="str">
        <f>IFS($B34=FALSE,"",$B34,VLOOKUP($B34,'PATIENT DATA (072721)'!A:C, 2, 0))</f>
        <v/>
      </c>
      <c r="B34" s="215"/>
      <c r="C34" s="230" t="str">
        <f>IF(COUNTIF('PATIENT DATA (072721)'!A:A, B34)=0, "X","✓")</f>
        <v>X</v>
      </c>
      <c r="D34" s="226" t="str">
        <f>IFS($B34=FALSE,"",$B34,VLOOKUP($B34,'PATIENT DATA (072721)'!A:C, 3, 0))</f>
        <v/>
      </c>
      <c r="E34" s="218"/>
      <c r="F34" s="219" t="str">
        <f>ifs($B34="","",$B34, VLOOKUP($B34&amp;$E34, 'VISIT DATA'!A:O,3,0))</f>
        <v/>
      </c>
      <c r="G34" s="231"/>
      <c r="H34" s="221"/>
      <c r="I34" s="222" t="str">
        <f>VLOOKUP($B34&amp;$E34,'VISIT DATA'!A:J, 9, FALSE)</f>
        <v>#N/A</v>
      </c>
      <c r="J34" s="223" t="str">
        <f>VLOOKUP(B34&amp;E34,'VISIT DATA'!A:N,10,FALSE)</f>
        <v>#N/A</v>
      </c>
      <c r="K34" s="225"/>
      <c r="L34" s="224"/>
      <c r="M34" s="224"/>
      <c r="N34" s="225"/>
      <c r="O34" s="216" t="str">
        <f t="shared" si="1"/>
        <v>X</v>
      </c>
      <c r="P34" s="226" t="str">
        <f t="shared" si="2"/>
        <v>#N/A</v>
      </c>
      <c r="Q34" s="227" t="str">
        <f t="shared" si="3"/>
        <v>#N/A</v>
      </c>
      <c r="R34" s="228" t="str">
        <f t="shared" si="4"/>
        <v>#N/A</v>
      </c>
      <c r="S34" s="220" t="str">
        <f t="shared" si="5"/>
        <v>#N/A</v>
      </c>
      <c r="T34" s="220" t="str">
        <f t="shared" si="6"/>
        <v>#N/A</v>
      </c>
      <c r="U34" s="221">
        <f t="shared" si="7"/>
        <v>0</v>
      </c>
      <c r="V34" s="229" t="str">
        <f>ifs($N34="",VLOOKUP($B34&amp;$E34,'VISIT DATA'!$A$2:$J100,7,FALSE), $N34="SWAB","OUTSA-RW",$N34="SWQU","OUTSA-SaQu", AND($L34="X",$M34="X",$N34="QUEST"),"OUT-UAQPre",$N34="QUEST","OUT-UAQ", $N34="Walk in","ColUATele")</f>
        <v>#N/A</v>
      </c>
      <c r="W34" s="24" t="str">
        <f t="shared" si="8"/>
        <v>#N/A</v>
      </c>
      <c r="X34" s="222" t="str">
        <f t="shared" si="9"/>
        <v/>
      </c>
      <c r="Y34" s="222" t="str">
        <f t="shared" si="10"/>
        <v/>
      </c>
      <c r="Z34" s="224" t="str">
        <f t="shared" si="11"/>
        <v> </v>
      </c>
      <c r="AA34" s="244"/>
    </row>
    <row r="35">
      <c r="A35" s="214" t="str">
        <f>IFS($B35=FALSE,"",$B35,VLOOKUP($B35,'PATIENT DATA (072721)'!A:C, 2, 0))</f>
        <v/>
      </c>
      <c r="B35" s="215"/>
      <c r="C35" s="230" t="str">
        <f>IF(COUNTIF('PATIENT DATA (072721)'!A:A, B35)=0, "X","✓")</f>
        <v>X</v>
      </c>
      <c r="D35" s="226" t="str">
        <f>IFS($B35=FALSE,"",$B35,VLOOKUP($B35,'PATIENT DATA (072721)'!A:C, 3, 0))</f>
        <v/>
      </c>
      <c r="E35" s="218"/>
      <c r="F35" s="219" t="str">
        <f>ifs($B35="","",$B35, VLOOKUP($B35&amp;$E35, 'VISIT DATA'!A:O,3,0))</f>
        <v/>
      </c>
      <c r="G35" s="231"/>
      <c r="H35" s="221"/>
      <c r="I35" s="222" t="str">
        <f>VLOOKUP($B35&amp;$E35,'VISIT DATA'!A:J, 9, FALSE)</f>
        <v>#N/A</v>
      </c>
      <c r="J35" s="223" t="str">
        <f>VLOOKUP(B35&amp;E35,'VISIT DATA'!A:N,10,FALSE)</f>
        <v>#N/A</v>
      </c>
      <c r="K35" s="224"/>
      <c r="L35" s="224"/>
      <c r="M35" s="224"/>
      <c r="N35" s="224"/>
      <c r="O35" s="216" t="str">
        <f t="shared" si="1"/>
        <v>X</v>
      </c>
      <c r="P35" s="226" t="str">
        <f t="shared" si="2"/>
        <v>#N/A</v>
      </c>
      <c r="Q35" s="227" t="str">
        <f t="shared" si="3"/>
        <v>#N/A</v>
      </c>
      <c r="R35" s="228" t="str">
        <f t="shared" si="4"/>
        <v>#N/A</v>
      </c>
      <c r="S35" s="220" t="str">
        <f t="shared" si="5"/>
        <v>#N/A</v>
      </c>
      <c r="T35" s="220" t="str">
        <f t="shared" si="6"/>
        <v>#N/A</v>
      </c>
      <c r="U35" s="221">
        <f t="shared" si="7"/>
        <v>0</v>
      </c>
      <c r="V35" s="229" t="str">
        <f>ifs($N35="",VLOOKUP($B35&amp;$E35,'VISIT DATA'!$A$2:$J100,7,FALSE), $N35="SWAB","OUTSA-RW",$N35="SWQU","OUTSA-SaQu", AND($L35="X",$M35="X",$N35="QUEST"),"OUT-UAQPre",$N35="QUEST","OUT-UAQ", $N35="Walk in","ColUATele")</f>
        <v>#N/A</v>
      </c>
      <c r="W35" s="24" t="str">
        <f t="shared" si="8"/>
        <v>#N/A</v>
      </c>
      <c r="X35" s="222" t="str">
        <f t="shared" si="9"/>
        <v/>
      </c>
      <c r="Y35" s="222" t="str">
        <f t="shared" si="10"/>
        <v/>
      </c>
      <c r="Z35" s="224" t="str">
        <f t="shared" si="11"/>
        <v> </v>
      </c>
      <c r="AA35" s="244"/>
    </row>
    <row r="36">
      <c r="A36" s="214" t="str">
        <f>IFS($B36=FALSE,"",$B36,VLOOKUP($B36,'PATIENT DATA (072721)'!A:C, 2, 0))</f>
        <v/>
      </c>
      <c r="B36" s="215"/>
      <c r="C36" s="230" t="str">
        <f>IF(COUNTIF('PATIENT DATA (072721)'!A:A, B36)=0, "X","✓")</f>
        <v>X</v>
      </c>
      <c r="D36" s="226" t="str">
        <f>IFS($B36=FALSE,"",$B36,VLOOKUP($B36,'PATIENT DATA (072721)'!A:C, 3, 0))</f>
        <v/>
      </c>
      <c r="E36" s="218"/>
      <c r="F36" s="219" t="str">
        <f>ifs($B36="","",$B36, VLOOKUP($B36&amp;$E36, 'VISIT DATA'!A:O,3,0))</f>
        <v/>
      </c>
      <c r="G36" s="231"/>
      <c r="H36" s="221"/>
      <c r="I36" s="222" t="str">
        <f>VLOOKUP($B36&amp;$E36,'VISIT DATA'!A:J, 9, FALSE)</f>
        <v>#N/A</v>
      </c>
      <c r="J36" s="223" t="str">
        <f>VLOOKUP(B36&amp;E36,'VISIT DATA'!A:N,10,FALSE)</f>
        <v>#N/A</v>
      </c>
      <c r="K36" s="225"/>
      <c r="L36" s="224"/>
      <c r="M36" s="224"/>
      <c r="N36" s="225"/>
      <c r="O36" s="216" t="str">
        <f t="shared" si="1"/>
        <v>X</v>
      </c>
      <c r="P36" s="226" t="str">
        <f t="shared" si="2"/>
        <v>#N/A</v>
      </c>
      <c r="Q36" s="227" t="str">
        <f t="shared" si="3"/>
        <v>#N/A</v>
      </c>
      <c r="R36" s="228" t="str">
        <f t="shared" si="4"/>
        <v>#N/A</v>
      </c>
      <c r="S36" s="220" t="str">
        <f t="shared" si="5"/>
        <v>#N/A</v>
      </c>
      <c r="T36" s="220" t="str">
        <f t="shared" si="6"/>
        <v>#N/A</v>
      </c>
      <c r="U36" s="221">
        <f t="shared" si="7"/>
        <v>0</v>
      </c>
      <c r="V36" s="229" t="str">
        <f>ifs($N36="",VLOOKUP($B36&amp;$E36,'VISIT DATA'!$A$2:$J100,7,FALSE), $N36="SWAB","OUTSA-RW",$N36="SWQU","OUTSA-SaQu", AND($L36="X",$M36="X",$N36="QUEST"),"OUT-UAQPre",$N36="QUEST","OUT-UAQ", $N36="Walk in","ColUATele")</f>
        <v>#N/A</v>
      </c>
      <c r="W36" s="24" t="str">
        <f t="shared" si="8"/>
        <v>#N/A</v>
      </c>
      <c r="X36" s="222" t="str">
        <f t="shared" si="9"/>
        <v/>
      </c>
      <c r="Y36" s="222" t="str">
        <f t="shared" si="10"/>
        <v/>
      </c>
      <c r="Z36" s="224" t="str">
        <f t="shared" si="11"/>
        <v> </v>
      </c>
      <c r="AA36" s="244"/>
    </row>
    <row r="37">
      <c r="A37" s="214" t="str">
        <f>IFS($B37=FALSE,"",$B37,VLOOKUP($B37,'PATIENT DATA (072721)'!A:C, 2, 0))</f>
        <v/>
      </c>
      <c r="B37" s="215"/>
      <c r="C37" s="230" t="str">
        <f>IF(COUNTIF('PATIENT DATA (072721)'!A:A, B37)=0, "X","✓")</f>
        <v>X</v>
      </c>
      <c r="D37" s="226" t="str">
        <f>IFS($B37=FALSE,"",$B37,VLOOKUP($B37,'PATIENT DATA (072721)'!A:C, 3, 0))</f>
        <v/>
      </c>
      <c r="E37" s="218"/>
      <c r="F37" s="219" t="str">
        <f>ifs($B37="","",$B37, VLOOKUP($B37&amp;$E37, 'VISIT DATA'!A:O,3,0))</f>
        <v/>
      </c>
      <c r="G37" s="231"/>
      <c r="H37" s="221"/>
      <c r="I37" s="222" t="str">
        <f>VLOOKUP($B37&amp;$E37,'VISIT DATA'!A:J, 9, FALSE)</f>
        <v>#N/A</v>
      </c>
      <c r="J37" s="223" t="str">
        <f>VLOOKUP(B37&amp;E37,'VISIT DATA'!A:N,10,FALSE)</f>
        <v>#N/A</v>
      </c>
      <c r="K37" s="225"/>
      <c r="L37" s="224"/>
      <c r="M37" s="224"/>
      <c r="N37" s="225"/>
      <c r="O37" s="216" t="str">
        <f t="shared" si="1"/>
        <v>X</v>
      </c>
      <c r="P37" s="226" t="str">
        <f t="shared" si="2"/>
        <v>#N/A</v>
      </c>
      <c r="Q37" s="227" t="str">
        <f t="shared" si="3"/>
        <v>#N/A</v>
      </c>
      <c r="R37" s="228" t="str">
        <f t="shared" si="4"/>
        <v>#N/A</v>
      </c>
      <c r="S37" s="220" t="str">
        <f t="shared" si="5"/>
        <v>#N/A</v>
      </c>
      <c r="T37" s="220" t="str">
        <f t="shared" si="6"/>
        <v>#N/A</v>
      </c>
      <c r="U37" s="221">
        <f t="shared" si="7"/>
        <v>0</v>
      </c>
      <c r="V37" s="229" t="str">
        <f>ifs($N37="",VLOOKUP($B37&amp;$E37,'VISIT DATA'!$A$2:$J100,7,FALSE), $N37="SWAB","OUTSA-RW",$N37="SWQU","OUTSA-SaQu", AND($L37="X",$M37="X",$N37="QUEST"),"OUT-UAQPre",$N37="QUEST","OUT-UAQ", $N37="Walk in","ColUATele")</f>
        <v>#N/A</v>
      </c>
      <c r="W37" s="24" t="str">
        <f t="shared" si="8"/>
        <v>#N/A</v>
      </c>
      <c r="X37" s="222" t="str">
        <f t="shared" si="9"/>
        <v/>
      </c>
      <c r="Y37" s="222" t="str">
        <f t="shared" si="10"/>
        <v/>
      </c>
      <c r="Z37" s="224" t="str">
        <f t="shared" si="11"/>
        <v> </v>
      </c>
      <c r="AA37" s="244"/>
    </row>
    <row r="38">
      <c r="A38" s="214" t="str">
        <f>IFS($B38=FALSE,"",$B38,VLOOKUP($B38,'PATIENT DATA (072721)'!A:C, 2, 0))</f>
        <v/>
      </c>
      <c r="B38" s="215"/>
      <c r="C38" s="230" t="str">
        <f>IF(COUNTIF('PATIENT DATA (072721)'!A:A, B38)=0, "X","✓")</f>
        <v>X</v>
      </c>
      <c r="D38" s="226" t="str">
        <f>IFS($B38=FALSE,"",$B38,VLOOKUP($B38,'PATIENT DATA (072721)'!A:C, 3, 0))</f>
        <v/>
      </c>
      <c r="E38" s="218"/>
      <c r="F38" s="219" t="str">
        <f>ifs($B38="","",$B38, VLOOKUP($B38&amp;$E38, 'VISIT DATA'!A:O,3,0))</f>
        <v/>
      </c>
      <c r="G38" s="231"/>
      <c r="H38" s="221"/>
      <c r="I38" s="222" t="str">
        <f>VLOOKUP($B38&amp;$E38,'VISIT DATA'!A:J, 9, FALSE)</f>
        <v>#N/A</v>
      </c>
      <c r="J38" s="223" t="str">
        <f>VLOOKUP(B38&amp;E38,'VISIT DATA'!A:N,10,FALSE)</f>
        <v>#N/A</v>
      </c>
      <c r="K38" s="225"/>
      <c r="L38" s="224"/>
      <c r="M38" s="224"/>
      <c r="N38" s="225"/>
      <c r="O38" s="216" t="str">
        <f t="shared" si="1"/>
        <v>X</v>
      </c>
      <c r="P38" s="226" t="str">
        <f t="shared" si="2"/>
        <v>#N/A</v>
      </c>
      <c r="Q38" s="227" t="str">
        <f t="shared" si="3"/>
        <v>#N/A</v>
      </c>
      <c r="R38" s="228" t="str">
        <f t="shared" si="4"/>
        <v>#N/A</v>
      </c>
      <c r="S38" s="220" t="str">
        <f t="shared" si="5"/>
        <v>#N/A</v>
      </c>
      <c r="T38" s="220" t="str">
        <f t="shared" si="6"/>
        <v>#N/A</v>
      </c>
      <c r="U38" s="221">
        <f t="shared" si="7"/>
        <v>0</v>
      </c>
      <c r="V38" s="229" t="str">
        <f>ifs($N38="",VLOOKUP($B38&amp;$E38,'VISIT DATA'!$A$2:$J100,7,FALSE), $N38="SWAB","OUTSA-RW",$N38="SWQU","OUTSA-SaQu", AND($L38="X",$M38="X",$N38="QUEST"),"OUT-UAQPre",$N38="QUEST","OUT-UAQ", $N38="Walk in","ColUATele")</f>
        <v>#N/A</v>
      </c>
      <c r="W38" s="24" t="str">
        <f t="shared" si="8"/>
        <v>#N/A</v>
      </c>
      <c r="X38" s="222" t="str">
        <f t="shared" si="9"/>
        <v/>
      </c>
      <c r="Y38" s="222" t="str">
        <f t="shared" si="10"/>
        <v/>
      </c>
      <c r="Z38" s="224" t="str">
        <f t="shared" si="11"/>
        <v> </v>
      </c>
      <c r="AA38" s="244"/>
    </row>
    <row r="39">
      <c r="A39" s="214" t="str">
        <f>IFS($B39=FALSE,"",$B39,VLOOKUP($B39,'PATIENT DATA (072721)'!A:C, 2, 0))</f>
        <v/>
      </c>
      <c r="B39" s="215"/>
      <c r="C39" s="230" t="str">
        <f>IF(COUNTIF('PATIENT DATA (072721)'!A:A, B39)=0, "X","✓")</f>
        <v>X</v>
      </c>
      <c r="D39" s="226" t="str">
        <f>IFS($B39=FALSE,"",$B39,VLOOKUP($B39,'PATIENT DATA (072721)'!A:C, 3, 0))</f>
        <v/>
      </c>
      <c r="E39" s="218"/>
      <c r="F39" s="219" t="str">
        <f>ifs($B39="","",$B39, VLOOKUP($B39&amp;$E39, 'VISIT DATA'!A:O,3,0))</f>
        <v/>
      </c>
      <c r="G39" s="231"/>
      <c r="H39" s="221"/>
      <c r="I39" s="222" t="str">
        <f>VLOOKUP($B39&amp;$E39,'VISIT DATA'!A:J, 9, FALSE)</f>
        <v>#N/A</v>
      </c>
      <c r="J39" s="223" t="str">
        <f>VLOOKUP(B39&amp;E39,'VISIT DATA'!A:N,10,FALSE)</f>
        <v>#N/A</v>
      </c>
      <c r="K39" s="225"/>
      <c r="L39" s="224"/>
      <c r="M39" s="224"/>
      <c r="N39" s="225"/>
      <c r="O39" s="216" t="str">
        <f t="shared" si="1"/>
        <v>X</v>
      </c>
      <c r="P39" s="226" t="str">
        <f t="shared" si="2"/>
        <v>#N/A</v>
      </c>
      <c r="Q39" s="227" t="str">
        <f t="shared" si="3"/>
        <v>#N/A</v>
      </c>
      <c r="R39" s="228" t="str">
        <f t="shared" si="4"/>
        <v>#N/A</v>
      </c>
      <c r="S39" s="220" t="str">
        <f t="shared" si="5"/>
        <v>#N/A</v>
      </c>
      <c r="T39" s="220" t="str">
        <f t="shared" si="6"/>
        <v>#N/A</v>
      </c>
      <c r="U39" s="221">
        <f t="shared" si="7"/>
        <v>0</v>
      </c>
      <c r="V39" s="229" t="str">
        <f>ifs($N39="",VLOOKUP($B39&amp;$E39,'VISIT DATA'!$A$2:$J100,7,FALSE), $N39="SWAB","OUTSA-RW",$N39="SWQU","OUTSA-SaQu", AND($L39="X",$M39="X",$N39="QUEST"),"OUT-UAQPre",$N39="QUEST","OUT-UAQ", $N39="Walk in","ColUATele")</f>
        <v>#N/A</v>
      </c>
      <c r="W39" s="24" t="str">
        <f t="shared" si="8"/>
        <v>#N/A</v>
      </c>
      <c r="X39" s="222" t="str">
        <f t="shared" si="9"/>
        <v/>
      </c>
      <c r="Y39" s="222" t="str">
        <f t="shared" si="10"/>
        <v/>
      </c>
      <c r="Z39" s="224" t="str">
        <f t="shared" si="11"/>
        <v> </v>
      </c>
      <c r="AA39" s="244"/>
    </row>
    <row r="40">
      <c r="A40" s="214" t="str">
        <f>IFS($B40=FALSE,"",$B40,VLOOKUP($B40,'PATIENT DATA (072721)'!A:C, 2, 0))</f>
        <v/>
      </c>
      <c r="B40" s="215"/>
      <c r="C40" s="230" t="str">
        <f>IF(COUNTIF('PATIENT DATA (072721)'!A:A, B40)=0, "X","✓")</f>
        <v>X</v>
      </c>
      <c r="D40" s="226" t="str">
        <f>IFS($B40=FALSE,"",$B40,VLOOKUP($B40,'PATIENT DATA (072721)'!A:C, 3, 0))</f>
        <v/>
      </c>
      <c r="E40" s="218"/>
      <c r="F40" s="219" t="str">
        <f>ifs($B40="","",$B40, VLOOKUP($B40&amp;$E40, 'VISIT DATA'!A:O,3,0))</f>
        <v/>
      </c>
      <c r="G40" s="231"/>
      <c r="H40" s="221"/>
      <c r="I40" s="222" t="str">
        <f>VLOOKUP($B40&amp;$E40,'VISIT DATA'!A:J, 9, FALSE)</f>
        <v>#N/A</v>
      </c>
      <c r="J40" s="223" t="str">
        <f>VLOOKUP(B40&amp;E40,'VISIT DATA'!A:N,10,FALSE)</f>
        <v>#N/A</v>
      </c>
      <c r="K40" s="224"/>
      <c r="L40" s="224"/>
      <c r="M40" s="224"/>
      <c r="N40" s="225"/>
      <c r="O40" s="216" t="str">
        <f t="shared" si="1"/>
        <v>X</v>
      </c>
      <c r="P40" s="226" t="str">
        <f t="shared" si="2"/>
        <v>#N/A</v>
      </c>
      <c r="Q40" s="227" t="str">
        <f t="shared" si="3"/>
        <v>#N/A</v>
      </c>
      <c r="R40" s="228" t="str">
        <f t="shared" si="4"/>
        <v>#N/A</v>
      </c>
      <c r="S40" s="220" t="str">
        <f t="shared" si="5"/>
        <v>#N/A</v>
      </c>
      <c r="T40" s="220" t="str">
        <f t="shared" si="6"/>
        <v>#N/A</v>
      </c>
      <c r="U40" s="221">
        <f t="shared" si="7"/>
        <v>0</v>
      </c>
      <c r="V40" s="229" t="str">
        <f>ifs($N40="",VLOOKUP($B40&amp;$E40,'VISIT DATA'!$A$2:$J100,7,FALSE), $N40="SWAB","OUTSA-RW",$N40="SWQU","OUTSA-SaQu", AND($L40="X",$M40="X",$N40="QUEST"),"OUT-UAQPre",$N40="QUEST","OUT-UAQ", $N40="Walk in","ColUATele")</f>
        <v>#N/A</v>
      </c>
      <c r="W40" s="24" t="str">
        <f t="shared" si="8"/>
        <v>#N/A</v>
      </c>
      <c r="X40" s="222" t="str">
        <f t="shared" si="9"/>
        <v/>
      </c>
      <c r="Y40" s="222" t="str">
        <f t="shared" si="10"/>
        <v/>
      </c>
      <c r="Z40" s="224" t="str">
        <f t="shared" si="11"/>
        <v> </v>
      </c>
      <c r="AA40" s="244"/>
    </row>
    <row r="41">
      <c r="A41" s="214" t="str">
        <f>IFS($B41=FALSE,"",$B41,VLOOKUP($B41,'PATIENT DATA (072721)'!A:C, 2, 0))</f>
        <v/>
      </c>
      <c r="B41" s="215"/>
      <c r="C41" s="216" t="str">
        <f>IF(COUNTIF('PATIENT DATA (072721)'!A:A, B41)=0, "X","✓")</f>
        <v>X</v>
      </c>
      <c r="D41" s="226" t="str">
        <f>IFS($B41=FALSE,"",$B41,VLOOKUP($B41,'PATIENT DATA (072721)'!A:C, 3, 0))</f>
        <v/>
      </c>
      <c r="E41" s="218"/>
      <c r="F41" s="219" t="str">
        <f>ifs($B41="","",$B41, VLOOKUP($B41&amp;$E41, 'VISIT DATA'!A:O,3,0))</f>
        <v/>
      </c>
      <c r="G41" s="220"/>
      <c r="H41" s="221"/>
      <c r="I41" s="222" t="str">
        <f>VLOOKUP($B41&amp;$E41,'VISIT DATA'!A:J, 9, FALSE)</f>
        <v>#N/A</v>
      </c>
      <c r="J41" s="223" t="str">
        <f>VLOOKUP(B41&amp;E41,'VISIT DATA'!A:N,10,FALSE)</f>
        <v>#N/A</v>
      </c>
      <c r="K41" s="225"/>
      <c r="L41" s="224"/>
      <c r="M41" s="224"/>
      <c r="N41" s="225"/>
      <c r="O41" s="216" t="str">
        <f t="shared" si="1"/>
        <v>X</v>
      </c>
      <c r="P41" s="226" t="str">
        <f t="shared" si="2"/>
        <v>#N/A</v>
      </c>
      <c r="Q41" s="227" t="str">
        <f t="shared" si="3"/>
        <v>#N/A</v>
      </c>
      <c r="R41" s="228" t="str">
        <f t="shared" si="4"/>
        <v>#N/A</v>
      </c>
      <c r="S41" s="220" t="str">
        <f t="shared" si="5"/>
        <v>#N/A</v>
      </c>
      <c r="T41" s="220" t="str">
        <f t="shared" si="6"/>
        <v>#N/A</v>
      </c>
      <c r="U41" s="221">
        <f t="shared" si="7"/>
        <v>0</v>
      </c>
      <c r="V41" s="229" t="str">
        <f>ifs($N41="",VLOOKUP($B41&amp;$E41,'VISIT DATA'!$A$2:$J100,7,FALSE), $N41="SWAB","OUTSA-RW",$N41="SWQU","OUTSA-SaQu", AND($L41="X",$M41="X",$N41="QUEST"),"OUT-UAQPre",$N41="QUEST","OUT-UAQ", $N41="Walk in","ColUATele")</f>
        <v>#N/A</v>
      </c>
      <c r="W41" s="24" t="str">
        <f t="shared" si="8"/>
        <v>#N/A</v>
      </c>
      <c r="X41" s="222" t="str">
        <f t="shared" si="9"/>
        <v/>
      </c>
      <c r="Y41" s="222" t="str">
        <f t="shared" si="10"/>
        <v/>
      </c>
      <c r="Z41" s="224" t="str">
        <f t="shared" si="11"/>
        <v> </v>
      </c>
      <c r="AA41" s="244"/>
    </row>
    <row r="42">
      <c r="A42" s="214" t="str">
        <f>IFS($B42=FALSE,"",$B42,VLOOKUP($B42,'PATIENT DATA (072721)'!A:C, 2, 0))</f>
        <v/>
      </c>
      <c r="B42" s="215"/>
      <c r="C42" s="216" t="str">
        <f>IF(COUNTIF('PATIENT DATA (072721)'!A:A, B42)=0, "X","✓")</f>
        <v>X</v>
      </c>
      <c r="D42" s="226" t="str">
        <f>IFS($B42=FALSE,"",$B42,VLOOKUP($B42,'PATIENT DATA (072721)'!A:C, 3, 0))</f>
        <v/>
      </c>
      <c r="E42" s="218"/>
      <c r="F42" s="219" t="str">
        <f>ifs($B42="","",$B42, VLOOKUP($B42&amp;$E42, 'VISIT DATA'!A:O,3,0))</f>
        <v/>
      </c>
      <c r="G42" s="220"/>
      <c r="H42" s="221"/>
      <c r="I42" s="222" t="str">
        <f>VLOOKUP($B42&amp;$E42,'VISIT DATA'!A:J, 9, FALSE)</f>
        <v>#N/A</v>
      </c>
      <c r="J42" s="223" t="str">
        <f>VLOOKUP(B42&amp;E42,'VISIT DATA'!A:N,10,FALSE)</f>
        <v>#N/A</v>
      </c>
      <c r="K42" s="225"/>
      <c r="L42" s="224"/>
      <c r="M42" s="224"/>
      <c r="N42" s="225"/>
      <c r="O42" s="216" t="str">
        <f t="shared" si="1"/>
        <v>X</v>
      </c>
      <c r="P42" s="226" t="str">
        <f t="shared" si="2"/>
        <v>#N/A</v>
      </c>
      <c r="Q42" s="227" t="str">
        <f t="shared" si="3"/>
        <v>#N/A</v>
      </c>
      <c r="R42" s="228" t="str">
        <f t="shared" si="4"/>
        <v>#N/A</v>
      </c>
      <c r="S42" s="220" t="str">
        <f t="shared" si="5"/>
        <v>#N/A</v>
      </c>
      <c r="T42" s="220" t="str">
        <f t="shared" si="6"/>
        <v>#N/A</v>
      </c>
      <c r="U42" s="221">
        <f t="shared" si="7"/>
        <v>0</v>
      </c>
      <c r="V42" s="229" t="str">
        <f>ifs($N42="",VLOOKUP($B42&amp;$E42,'VISIT DATA'!$A$2:$J100,7,FALSE), $N42="SWAB","OUTSA-RW",$N42="SWQU","OUTSA-SaQu", AND($L42="X",$M42="X",$N42="QUEST"),"OUT-UAQPre",$N42="QUEST","OUT-UAQ", $N42="Walk in","ColUATele")</f>
        <v>#N/A</v>
      </c>
      <c r="W42" s="24" t="str">
        <f t="shared" si="8"/>
        <v>#N/A</v>
      </c>
      <c r="X42" s="222" t="str">
        <f t="shared" si="9"/>
        <v/>
      </c>
      <c r="Y42" s="222" t="str">
        <f t="shared" si="10"/>
        <v/>
      </c>
      <c r="Z42" s="224" t="str">
        <f t="shared" si="11"/>
        <v> </v>
      </c>
      <c r="AA42" s="244"/>
    </row>
    <row r="43">
      <c r="A43" s="214" t="str">
        <f>IFS($B43=FALSE,"",$B43,VLOOKUP($B43,'PATIENT DATA (072721)'!A:C, 2, 0))</f>
        <v/>
      </c>
      <c r="B43" s="215"/>
      <c r="C43" s="216" t="str">
        <f>IF(COUNTIF('PATIENT DATA (072721)'!A:A, B43)=0, "X","✓")</f>
        <v>X</v>
      </c>
      <c r="D43" s="226" t="str">
        <f>IFS($B43=FALSE,"",$B43,VLOOKUP($B43,'PATIENT DATA (072721)'!A:C, 3, 0))</f>
        <v/>
      </c>
      <c r="E43" s="218"/>
      <c r="F43" s="219" t="str">
        <f>ifs($B43="","",$B43, VLOOKUP($B43&amp;$E43, 'VISIT DATA'!A:O,3,0))</f>
        <v/>
      </c>
      <c r="G43" s="220"/>
      <c r="H43" s="221"/>
      <c r="I43" s="222" t="str">
        <f>VLOOKUP($B43&amp;$E43,'VISIT DATA'!A:J, 9, FALSE)</f>
        <v>#N/A</v>
      </c>
      <c r="J43" s="223" t="str">
        <f>VLOOKUP(B43&amp;E43,'VISIT DATA'!A:N,10,FALSE)</f>
        <v>#N/A</v>
      </c>
      <c r="K43" s="225"/>
      <c r="L43" s="224"/>
      <c r="M43" s="224"/>
      <c r="N43" s="225"/>
      <c r="O43" s="216" t="str">
        <f t="shared" si="1"/>
        <v>X</v>
      </c>
      <c r="P43" s="226" t="str">
        <f t="shared" si="2"/>
        <v>#N/A</v>
      </c>
      <c r="Q43" s="227" t="str">
        <f t="shared" si="3"/>
        <v>#N/A</v>
      </c>
      <c r="R43" s="228" t="str">
        <f t="shared" si="4"/>
        <v>#N/A</v>
      </c>
      <c r="S43" s="220" t="str">
        <f t="shared" si="5"/>
        <v>#N/A</v>
      </c>
      <c r="T43" s="220" t="str">
        <f t="shared" si="6"/>
        <v>#N/A</v>
      </c>
      <c r="U43" s="221">
        <f t="shared" si="7"/>
        <v>0</v>
      </c>
      <c r="V43" s="229" t="str">
        <f>ifs($N43="",VLOOKUP($B43&amp;$E43,'VISIT DATA'!$A$2:$J100,7,FALSE), $N43="SWAB","OUTSA-RW",$N43="SWQU","OUTSA-SaQu", AND($L43="X",$M43="X",$N43="QUEST"),"OUT-UAQPre",$N43="QUEST","OUT-UAQ", $N43="Walk in","ColUATele")</f>
        <v>#N/A</v>
      </c>
      <c r="W43" s="24" t="str">
        <f t="shared" si="8"/>
        <v>#N/A</v>
      </c>
      <c r="X43" s="222" t="str">
        <f t="shared" si="9"/>
        <v/>
      </c>
      <c r="Y43" s="222" t="str">
        <f t="shared" si="10"/>
        <v/>
      </c>
      <c r="Z43" s="224" t="str">
        <f t="shared" si="11"/>
        <v> </v>
      </c>
      <c r="AA43" s="244"/>
    </row>
    <row r="44">
      <c r="A44" s="214" t="str">
        <f>IFS($B44=FALSE,"",$B44,VLOOKUP($B44,'PATIENT DATA (072721)'!A:C, 2, 0))</f>
        <v/>
      </c>
      <c r="B44" s="215"/>
      <c r="C44" s="216" t="str">
        <f>IF(COUNTIF('PATIENT DATA (072721)'!A:A, B44)=0, "X","✓")</f>
        <v>X</v>
      </c>
      <c r="D44" s="226" t="str">
        <f>IFS($B44=FALSE,"",$B44,VLOOKUP($B44,'PATIENT DATA (072721)'!A:C, 3, 0))</f>
        <v/>
      </c>
      <c r="E44" s="218"/>
      <c r="F44" s="219" t="str">
        <f>ifs($B44="","",$B44, VLOOKUP($B44&amp;$E44, 'VISIT DATA'!A:O,3,0))</f>
        <v/>
      </c>
      <c r="G44" s="220"/>
      <c r="H44" s="221"/>
      <c r="I44" s="222" t="str">
        <f>VLOOKUP($B44&amp;$E44,'VISIT DATA'!A:J, 9, FALSE)</f>
        <v>#N/A</v>
      </c>
      <c r="J44" s="223" t="str">
        <f>VLOOKUP(B44&amp;E44,'VISIT DATA'!A:N,10,FALSE)</f>
        <v>#N/A</v>
      </c>
      <c r="K44" s="224"/>
      <c r="L44" s="224"/>
      <c r="M44" s="224"/>
      <c r="N44" s="225"/>
      <c r="O44" s="216" t="str">
        <f t="shared" si="1"/>
        <v>X</v>
      </c>
      <c r="P44" s="226" t="str">
        <f t="shared" si="2"/>
        <v>#N/A</v>
      </c>
      <c r="Q44" s="227" t="str">
        <f t="shared" si="3"/>
        <v>#N/A</v>
      </c>
      <c r="R44" s="228" t="str">
        <f t="shared" si="4"/>
        <v>#N/A</v>
      </c>
      <c r="S44" s="220" t="str">
        <f t="shared" si="5"/>
        <v>#N/A</v>
      </c>
      <c r="T44" s="220" t="str">
        <f t="shared" si="6"/>
        <v>#N/A</v>
      </c>
      <c r="U44" s="221">
        <f t="shared" si="7"/>
        <v>0</v>
      </c>
      <c r="V44" s="229" t="str">
        <f>ifs($N44="",VLOOKUP($B44&amp;$E44,'VISIT DATA'!$A$2:$J100,7,FALSE), $N44="SWAB","OUTSA-RW",$N44="SWQU","OUTSA-SaQu", AND($L44="X",$M44="X",$N44="QUEST"),"OUT-UAQPre",$N44="QUEST","OUT-UAQ", $N44="Walk in","ColUATele")</f>
        <v>#N/A</v>
      </c>
      <c r="W44" s="24" t="str">
        <f t="shared" si="8"/>
        <v>#N/A</v>
      </c>
      <c r="X44" s="222" t="str">
        <f t="shared" si="9"/>
        <v/>
      </c>
      <c r="Y44" s="222" t="str">
        <f t="shared" si="10"/>
        <v/>
      </c>
      <c r="Z44" s="224" t="str">
        <f t="shared" si="11"/>
        <v> </v>
      </c>
      <c r="AA44" s="244"/>
    </row>
    <row r="45">
      <c r="A45" s="214" t="str">
        <f>IFS($B45=FALSE,"",$B45,VLOOKUP($B45,'PATIENT DATA (072721)'!A:C, 2, 0))</f>
        <v/>
      </c>
      <c r="B45" s="215"/>
      <c r="C45" s="216" t="str">
        <f>IF(COUNTIF('PATIENT DATA (072721)'!A:A, B45)=0, "X","✓")</f>
        <v>X</v>
      </c>
      <c r="D45" s="226" t="str">
        <f>IFS($B45=FALSE,"",$B45,VLOOKUP($B45,'PATIENT DATA (072721)'!A:C, 3, 0))</f>
        <v/>
      </c>
      <c r="E45" s="218"/>
      <c r="F45" s="219" t="str">
        <f>ifs($B45="","",$B45, VLOOKUP($B45&amp;$E45, 'VISIT DATA'!A:O,3,0))</f>
        <v/>
      </c>
      <c r="G45" s="220"/>
      <c r="H45" s="221"/>
      <c r="I45" s="222" t="str">
        <f>VLOOKUP($B45&amp;$E45,'VISIT DATA'!A:J, 9, FALSE)</f>
        <v>#N/A</v>
      </c>
      <c r="J45" s="223" t="str">
        <f>VLOOKUP(B45&amp;E45,'VISIT DATA'!A:N,10,FALSE)</f>
        <v>#N/A</v>
      </c>
      <c r="K45" s="225"/>
      <c r="L45" s="224"/>
      <c r="M45" s="224"/>
      <c r="N45" s="225"/>
      <c r="O45" s="216" t="str">
        <f t="shared" si="1"/>
        <v>X</v>
      </c>
      <c r="P45" s="226" t="str">
        <f t="shared" si="2"/>
        <v>#N/A</v>
      </c>
      <c r="Q45" s="227" t="str">
        <f t="shared" si="3"/>
        <v>#N/A</v>
      </c>
      <c r="R45" s="228" t="str">
        <f t="shared" si="4"/>
        <v>#N/A</v>
      </c>
      <c r="S45" s="220" t="str">
        <f t="shared" si="5"/>
        <v>#N/A</v>
      </c>
      <c r="T45" s="220" t="str">
        <f t="shared" si="6"/>
        <v>#N/A</v>
      </c>
      <c r="U45" s="221">
        <f t="shared" si="7"/>
        <v>0</v>
      </c>
      <c r="V45" s="229" t="str">
        <f>ifs($N45="",VLOOKUP($B45&amp;$E45,'VISIT DATA'!$A$2:$J100,7,FALSE), $N45="SWAB","OUTSA-RW",$N45="SWQU","OUTSA-SaQu", AND($L45="X",$M45="X",$N45="QUEST"),"OUT-UAQPre",$N45="QUEST","OUT-UAQ", $N45="Walk in","ColUATele")</f>
        <v>#N/A</v>
      </c>
      <c r="W45" s="24" t="str">
        <f t="shared" si="8"/>
        <v>#N/A</v>
      </c>
      <c r="X45" s="222" t="str">
        <f t="shared" si="9"/>
        <v/>
      </c>
      <c r="Y45" s="222" t="str">
        <f t="shared" si="10"/>
        <v/>
      </c>
      <c r="Z45" s="224" t="str">
        <f t="shared" si="11"/>
        <v> </v>
      </c>
      <c r="AA45" s="244"/>
    </row>
    <row r="46">
      <c r="A46" s="214" t="str">
        <f>IFS($B46=FALSE,"",$B46,VLOOKUP($B46,'PATIENT DATA (072721)'!A:C, 2, 0))</f>
        <v/>
      </c>
      <c r="B46" s="215"/>
      <c r="C46" s="216" t="str">
        <f>IF(COUNTIF('PATIENT DATA (072721)'!A:A, B46)=0, "X","✓")</f>
        <v>X</v>
      </c>
      <c r="D46" s="226" t="str">
        <f>IFS($B46=FALSE,"",$B46,VLOOKUP($B46,'PATIENT DATA (072721)'!A:C, 3, 0))</f>
        <v/>
      </c>
      <c r="E46" s="218"/>
      <c r="F46" s="219" t="str">
        <f>ifs($B46="","",$B46, VLOOKUP($B46&amp;$E46, 'VISIT DATA'!A:O,3,0))</f>
        <v/>
      </c>
      <c r="G46" s="220"/>
      <c r="H46" s="221"/>
      <c r="I46" s="222" t="str">
        <f>VLOOKUP($B46&amp;$E46,'VISIT DATA'!A:J, 9, FALSE)</f>
        <v>#N/A</v>
      </c>
      <c r="J46" s="223" t="str">
        <f>VLOOKUP(B46&amp;E46,'VISIT DATA'!A:N,10,FALSE)</f>
        <v>#N/A</v>
      </c>
      <c r="K46" s="224"/>
      <c r="L46" s="224"/>
      <c r="M46" s="224"/>
      <c r="N46" s="225"/>
      <c r="O46" s="216" t="str">
        <f t="shared" si="1"/>
        <v>X</v>
      </c>
      <c r="P46" s="226" t="str">
        <f t="shared" si="2"/>
        <v>#N/A</v>
      </c>
      <c r="Q46" s="227" t="str">
        <f t="shared" si="3"/>
        <v>#N/A</v>
      </c>
      <c r="R46" s="228" t="str">
        <f t="shared" si="4"/>
        <v>#N/A</v>
      </c>
      <c r="S46" s="220" t="str">
        <f t="shared" si="5"/>
        <v>#N/A</v>
      </c>
      <c r="T46" s="220" t="str">
        <f t="shared" si="6"/>
        <v>#N/A</v>
      </c>
      <c r="U46" s="221">
        <f t="shared" si="7"/>
        <v>0</v>
      </c>
      <c r="V46" s="229" t="str">
        <f>ifs($N46="",VLOOKUP($B46&amp;$E46,'VISIT DATA'!$A$2:$J100,7,FALSE), $N46="SWAB","OUTSA-RW",$N46="SWQU","OUTSA-SaQu", AND($L46="X",$M46="X",$N46="QUEST"),"OUT-UAQPre",$N46="QUEST","OUT-UAQ", $N46="Walk in","ColUATele")</f>
        <v>#N/A</v>
      </c>
      <c r="W46" s="24" t="str">
        <f t="shared" si="8"/>
        <v>#N/A</v>
      </c>
      <c r="X46" s="222" t="str">
        <f t="shared" si="9"/>
        <v/>
      </c>
      <c r="Y46" s="222" t="str">
        <f t="shared" si="10"/>
        <v/>
      </c>
      <c r="Z46" s="224" t="str">
        <f t="shared" si="11"/>
        <v> </v>
      </c>
      <c r="AA46" s="244"/>
    </row>
    <row r="47">
      <c r="A47" s="214" t="str">
        <f>IFS($B47=FALSE,"",$B47,VLOOKUP($B47,'PATIENT DATA (072721)'!A:C, 2, 0))</f>
        <v/>
      </c>
      <c r="B47" s="215"/>
      <c r="C47" s="230" t="str">
        <f>IF(COUNTIF('PATIENT DATA (072721)'!A:A, B47)=0, "X","✓")</f>
        <v>X</v>
      </c>
      <c r="D47" s="226" t="str">
        <f>IFS($B47=FALSE,"",$B47,VLOOKUP($B47,'PATIENT DATA (072721)'!A:C, 3, 0))</f>
        <v/>
      </c>
      <c r="E47" s="218"/>
      <c r="F47" s="219" t="str">
        <f>ifs($B47="","",$B47, VLOOKUP($B47&amp;$E47, 'VISIT DATA'!A:O,3,0))</f>
        <v/>
      </c>
      <c r="G47" s="220"/>
      <c r="H47" s="221"/>
      <c r="I47" s="222" t="str">
        <f>VLOOKUP($B47&amp;$E47,'VISIT DATA'!A:J, 9, FALSE)</f>
        <v>#N/A</v>
      </c>
      <c r="J47" s="223" t="str">
        <f>VLOOKUP(B47&amp;E47,'VISIT DATA'!A:N,10,FALSE)</f>
        <v>#N/A</v>
      </c>
      <c r="K47" s="225"/>
      <c r="L47" s="224"/>
      <c r="M47" s="224"/>
      <c r="N47" s="225"/>
      <c r="O47" s="216" t="str">
        <f t="shared" si="1"/>
        <v>X</v>
      </c>
      <c r="P47" s="226" t="str">
        <f t="shared" si="2"/>
        <v>#N/A</v>
      </c>
      <c r="Q47" s="227" t="str">
        <f t="shared" si="3"/>
        <v>#N/A</v>
      </c>
      <c r="R47" s="228" t="str">
        <f t="shared" si="4"/>
        <v>#N/A</v>
      </c>
      <c r="S47" s="220" t="str">
        <f t="shared" si="5"/>
        <v>#N/A</v>
      </c>
      <c r="T47" s="220" t="str">
        <f t="shared" si="6"/>
        <v>#N/A</v>
      </c>
      <c r="U47" s="221">
        <f t="shared" si="7"/>
        <v>0</v>
      </c>
      <c r="V47" s="229" t="str">
        <f>ifs($N47="",VLOOKUP($B47&amp;$E47,'VISIT DATA'!$A$2:$J100,7,FALSE), $N47="SWAB","OUTSA-RW",$N47="SWQU","OUTSA-SaQu", AND($L47="X",$M47="X",$N47="QUEST"),"OUT-UAQPre",$N47="QUEST","OUT-UAQ", $N47="Walk in","ColUATele")</f>
        <v>#N/A</v>
      </c>
      <c r="W47" s="24" t="str">
        <f t="shared" si="8"/>
        <v>#N/A</v>
      </c>
      <c r="X47" s="222" t="str">
        <f t="shared" si="9"/>
        <v/>
      </c>
      <c r="Y47" s="222" t="str">
        <f t="shared" si="10"/>
        <v/>
      </c>
      <c r="Z47" s="224" t="str">
        <f t="shared" si="11"/>
        <v> </v>
      </c>
      <c r="AA47" s="244"/>
    </row>
    <row r="48">
      <c r="A48" s="214" t="str">
        <f>IFS($B48=FALSE,"",$B48,VLOOKUP($B48,'PATIENT DATA (072721)'!A:C, 2, 0))</f>
        <v/>
      </c>
      <c r="B48" s="215"/>
      <c r="C48" s="230" t="str">
        <f>IF(COUNTIF('PATIENT DATA (072721)'!A:A, B48)=0, "X","✓")</f>
        <v>X</v>
      </c>
      <c r="D48" s="226" t="str">
        <f>IFS($B48=FALSE,"",$B48,VLOOKUP($B48,'PATIENT DATA (072721)'!A:C, 3, 0))</f>
        <v/>
      </c>
      <c r="E48" s="218"/>
      <c r="F48" s="219" t="str">
        <f>ifs($B48="","",$B48, VLOOKUP($B48&amp;$E48, 'VISIT DATA'!A:O,3,0))</f>
        <v/>
      </c>
      <c r="G48" s="220"/>
      <c r="H48" s="221"/>
      <c r="I48" s="222" t="str">
        <f>VLOOKUP($B48&amp;$E48,'VISIT DATA'!A:J, 9, FALSE)</f>
        <v>#N/A</v>
      </c>
      <c r="J48" s="223" t="str">
        <f>VLOOKUP(B48&amp;E48,'VISIT DATA'!A:N,10,FALSE)</f>
        <v>#N/A</v>
      </c>
      <c r="K48" s="225"/>
      <c r="L48" s="224"/>
      <c r="M48" s="224"/>
      <c r="N48" s="224"/>
      <c r="O48" s="216" t="str">
        <f t="shared" si="1"/>
        <v>X</v>
      </c>
      <c r="P48" s="226" t="str">
        <f t="shared" si="2"/>
        <v>#N/A</v>
      </c>
      <c r="Q48" s="227" t="str">
        <f t="shared" si="3"/>
        <v>#N/A</v>
      </c>
      <c r="R48" s="228" t="str">
        <f t="shared" si="4"/>
        <v>#N/A</v>
      </c>
      <c r="S48" s="220" t="str">
        <f t="shared" si="5"/>
        <v>#N/A</v>
      </c>
      <c r="T48" s="220" t="str">
        <f t="shared" si="6"/>
        <v>#N/A</v>
      </c>
      <c r="U48" s="221">
        <f t="shared" si="7"/>
        <v>0</v>
      </c>
      <c r="V48" s="229" t="str">
        <f>ifs($N48="",VLOOKUP($B48&amp;$E48,'VISIT DATA'!$A$2:$J100,7,FALSE), $N48="SWAB","OUTSA-RW",$N48="SWQU","OUTSA-SaQu", AND($L48="X",$M48="X",$N48="QUEST"),"OUT-UAQPre",$N48="QUEST","OUT-UAQ", $N48="Walk in","ColUATele")</f>
        <v>#N/A</v>
      </c>
      <c r="W48" s="24" t="str">
        <f t="shared" si="8"/>
        <v>#N/A</v>
      </c>
      <c r="X48" s="222" t="str">
        <f t="shared" si="9"/>
        <v/>
      </c>
      <c r="Y48" s="222" t="str">
        <f t="shared" si="10"/>
        <v/>
      </c>
      <c r="Z48" s="224" t="str">
        <f t="shared" si="11"/>
        <v> </v>
      </c>
      <c r="AA48" s="244"/>
    </row>
    <row r="49">
      <c r="A49" s="214" t="str">
        <f>IFS($B49=FALSE,"",$B49,VLOOKUP($B49,'PATIENT DATA (072721)'!A:C, 2, 0))</f>
        <v/>
      </c>
      <c r="B49" s="215"/>
      <c r="C49" s="247" t="str">
        <f>IF(COUNTIF('PATIENT DATA (072721)'!A:A, B49)=0, "X","✓")</f>
        <v>X</v>
      </c>
      <c r="D49" s="226" t="str">
        <f>IFS($B49=FALSE,"",$B49,VLOOKUP($B49,'PATIENT DATA (072721)'!A:C, 3, 0))</f>
        <v/>
      </c>
      <c r="E49" s="218"/>
      <c r="F49" s="219"/>
      <c r="G49" s="220"/>
      <c r="H49" s="221"/>
      <c r="I49" s="222" t="str">
        <f>VLOOKUP($B49&amp;$E49,'VISIT DATA'!A:J, 9, FALSE)</f>
        <v>#N/A</v>
      </c>
      <c r="J49" s="223" t="str">
        <f>VLOOKUP(B49&amp;E49,'VISIT DATA'!A:N,10,FALSE)</f>
        <v>#N/A</v>
      </c>
      <c r="K49" s="225"/>
      <c r="L49" s="224"/>
      <c r="M49" s="224"/>
      <c r="N49" s="225"/>
      <c r="O49" s="247" t="str">
        <f t="shared" si="1"/>
        <v>X</v>
      </c>
      <c r="P49" s="226" t="str">
        <f t="shared" si="2"/>
        <v>#N/A</v>
      </c>
      <c r="Q49" s="227" t="str">
        <f t="shared" si="3"/>
        <v>#N/A</v>
      </c>
      <c r="R49" s="228" t="str">
        <f t="shared" si="4"/>
        <v>#N/A</v>
      </c>
      <c r="S49" s="220" t="str">
        <f t="shared" si="5"/>
        <v>#N/A</v>
      </c>
      <c r="T49" s="220" t="str">
        <f t="shared" si="6"/>
        <v>#N/A</v>
      </c>
      <c r="U49" s="221">
        <f t="shared" si="7"/>
        <v>0</v>
      </c>
      <c r="V49" s="229" t="str">
        <f>ifs($N49="",VLOOKUP($B49&amp;$E49,'VISIT DATA'!$A$2:$J100,7,FALSE), $N49="SWAB","OUTSA-RW",$N49="SWQU","OUTSA-SaQu", AND($L49="X",$M49="X",$N49="QUEST"),"OUT-UAQPre",$N49="QUEST","OUT-UAQ", $N49="Walk in","ColUATele")</f>
        <v>#N/A</v>
      </c>
      <c r="W49" s="24" t="str">
        <f t="shared" si="8"/>
        <v>#N/A</v>
      </c>
      <c r="X49" s="222" t="str">
        <f t="shared" si="9"/>
        <v/>
      </c>
      <c r="Y49" s="222" t="str">
        <f t="shared" si="10"/>
        <v/>
      </c>
      <c r="Z49" s="224" t="str">
        <f t="shared" si="11"/>
        <v> </v>
      </c>
      <c r="AA49" s="244"/>
    </row>
    <row r="50">
      <c r="A50" s="248" t="str">
        <f>IFS($B50=FALSE,"",$B50,VLOOKUP($B50,'PATIENT DATA (072721)'!A:C, 2, 0))</f>
        <v/>
      </c>
      <c r="B50" s="249"/>
      <c r="C50" s="250" t="str">
        <f>IF(COUNTIF('PATIENT DATA (072721)'!A:A, B50)=0, "X","✓")</f>
        <v>X</v>
      </c>
      <c r="D50" s="251" t="str">
        <f>IFS($B50=FALSE,"",$B50,VLOOKUP($B50,'PATIENT DATA (072721)'!A:C, 3, 0))</f>
        <v/>
      </c>
      <c r="E50" s="252"/>
      <c r="F50" s="253" t="str">
        <f>ifs($B50="","",$B50, VLOOKUP($B50&amp;$E50, 'VISIT DATA'!A:O,3,0))</f>
        <v/>
      </c>
      <c r="G50" s="254"/>
      <c r="H50" s="255" t="str">
        <f>ifs($B50="","",$B50, VLOOKUP($B50&amp;$E50, 'VISIT DATA'!$A:$O,13,0))</f>
        <v/>
      </c>
      <c r="I50" s="256" t="str">
        <f>VLOOKUP($B50&amp;$E50,'VISIT DATA'!A:J, 9, FALSE)</f>
        <v>#N/A</v>
      </c>
      <c r="J50" s="257" t="str">
        <f>VLOOKUP(B50&amp;E50,'VISIT DATA'!A:N,10,FALSE)</f>
        <v>#N/A</v>
      </c>
      <c r="K50" s="258"/>
      <c r="L50" s="259"/>
      <c r="M50" s="259"/>
      <c r="N50" s="258"/>
      <c r="O50" s="260" t="str">
        <f t="shared" si="1"/>
        <v>X</v>
      </c>
      <c r="P50" s="226" t="str">
        <f t="shared" si="2"/>
        <v>#N/A</v>
      </c>
      <c r="Q50" s="227" t="str">
        <f t="shared" si="3"/>
        <v>#N/A</v>
      </c>
      <c r="R50" s="228" t="str">
        <f t="shared" si="4"/>
        <v>#N/A</v>
      </c>
      <c r="S50" s="220" t="str">
        <f t="shared" si="5"/>
        <v>#N/A</v>
      </c>
      <c r="T50" s="220" t="str">
        <f t="shared" si="6"/>
        <v>#N/A</v>
      </c>
      <c r="U50" s="221">
        <f t="shared" si="7"/>
        <v>0</v>
      </c>
      <c r="V50" s="261" t="str">
        <f>ifs($N50="",VLOOKUP($B50&amp;$E50,'VISIT DATA'!$A$2:$J100,7,FALSE), $N50="SWAB","OUTSA-RW",$N50="SWQU","OUTSA-SaQu", AND($L50="X",$M50="X",$N50="QUEST"),"OUT-UAQPre",$N50="QUEST","OUT-UAQ", $N50="Walk in","ColUATele")</f>
        <v>#N/A</v>
      </c>
      <c r="W50" s="24" t="str">
        <f t="shared" si="8"/>
        <v>#N/A</v>
      </c>
      <c r="X50" s="222" t="str">
        <f t="shared" si="9"/>
        <v/>
      </c>
      <c r="Y50" s="222" t="str">
        <f t="shared" si="10"/>
        <v/>
      </c>
      <c r="Z50" s="224" t="str">
        <f t="shared" si="11"/>
        <v> </v>
      </c>
      <c r="AA50" s="244"/>
    </row>
    <row r="51">
      <c r="A51" s="214" t="str">
        <f>IFS($B51=FALSE,"",$B51,VLOOKUP($B51,'PATIENT DATA (072721)'!A:C, 2, 0))</f>
        <v/>
      </c>
      <c r="B51" s="215"/>
      <c r="C51" s="230" t="str">
        <f>IF(COUNTIF('PATIENT DATA (072721)'!A:A, B51)=0, "X","✓")</f>
        <v>X</v>
      </c>
      <c r="D51" s="226" t="str">
        <f>IFS($B51=FALSE,"",$B51,VLOOKUP($B51,'PATIENT DATA (072721)'!A:C, 3, 0))</f>
        <v/>
      </c>
      <c r="E51" s="218"/>
      <c r="F51" s="219" t="str">
        <f>ifs($B51="","",$B51, VLOOKUP($B51&amp;$E51, 'VISIT DATA'!A:O,3,0))</f>
        <v/>
      </c>
      <c r="G51" s="231"/>
      <c r="H51" s="221" t="str">
        <f>ifs($B51="","",$B51, VLOOKUP($B51&amp;$E51, 'VISIT DATA'!$A:$O,13,0))</f>
        <v/>
      </c>
      <c r="I51" s="262" t="str">
        <f>VLOOKUP($B51&amp;$E51,'VISIT DATA'!A:J, 9, FALSE)</f>
        <v>#N/A</v>
      </c>
      <c r="J51" s="223" t="str">
        <f>VLOOKUP(B51&amp;E51,'VISIT DATA'!A:N,10,FALSE)</f>
        <v>#N/A</v>
      </c>
      <c r="K51" s="225"/>
      <c r="L51" s="224"/>
      <c r="M51" s="224"/>
      <c r="N51" s="225"/>
      <c r="O51" s="216" t="str">
        <f t="shared" si="1"/>
        <v>X</v>
      </c>
      <c r="P51" s="226" t="str">
        <f t="shared" si="2"/>
        <v>#N/A</v>
      </c>
      <c r="Q51" s="227" t="str">
        <f t="shared" si="3"/>
        <v>#N/A</v>
      </c>
      <c r="R51" s="228" t="str">
        <f t="shared" si="4"/>
        <v>#N/A</v>
      </c>
      <c r="S51" s="220" t="str">
        <f t="shared" si="5"/>
        <v>#N/A</v>
      </c>
      <c r="T51" s="220" t="str">
        <f t="shared" si="6"/>
        <v>#N/A</v>
      </c>
      <c r="U51" s="221">
        <f t="shared" si="7"/>
        <v>0</v>
      </c>
      <c r="V51" s="229" t="str">
        <f>ifs($N51="",VLOOKUP($B51&amp;$E51,'VISIT DATA'!$A$2:$J100,7,FALSE), $N51="SWAB","OUTSA-RW",$N51="SWQU","OUTSA-SaQu", AND($L51="X",$M51="X",$N51="QUEST"),"OUT-UAQPre",$N51="QUEST","OUT-UAQ", $N51="Walk in","ColUATele")</f>
        <v>#N/A</v>
      </c>
      <c r="W51" s="24" t="str">
        <f t="shared" si="8"/>
        <v>#N/A</v>
      </c>
      <c r="X51" s="222" t="str">
        <f t="shared" si="9"/>
        <v/>
      </c>
      <c r="Y51" s="222" t="str">
        <f t="shared" si="10"/>
        <v/>
      </c>
      <c r="Z51" s="224" t="str">
        <f t="shared" si="11"/>
        <v> </v>
      </c>
      <c r="AA51" s="244"/>
    </row>
    <row r="52">
      <c r="A52" s="214" t="str">
        <f>IFS($B52=FALSE,"",$B52,VLOOKUP($B52,'PATIENT DATA (072721)'!A:C, 2, 0))</f>
        <v/>
      </c>
      <c r="B52" s="215"/>
      <c r="C52" s="230" t="str">
        <f>IF(COUNTIF('PATIENT DATA (072721)'!A:A, B52)=0, "X","✓")</f>
        <v>X</v>
      </c>
      <c r="D52" s="226" t="str">
        <f>IFS($B52=FALSE,"",$B52,VLOOKUP($B52,'PATIENT DATA (072721)'!A:C, 3, 0))</f>
        <v/>
      </c>
      <c r="E52" s="218"/>
      <c r="F52" s="219" t="str">
        <f>ifs($B52="","",$B52, VLOOKUP($B52&amp;$E52, 'VISIT DATA'!A:O,3,0))</f>
        <v/>
      </c>
      <c r="G52" s="231"/>
      <c r="H52" s="221" t="str">
        <f>ifs($B52="","",$B52, VLOOKUP($B52&amp;$E52, 'VISIT DATA'!$A:$O,13,0))</f>
        <v/>
      </c>
      <c r="I52" s="262" t="str">
        <f>VLOOKUP($B52&amp;$E52,'VISIT DATA'!A:J, 9, FALSE)</f>
        <v>#N/A</v>
      </c>
      <c r="J52" s="223" t="str">
        <f>VLOOKUP(B52&amp;E52,'VISIT DATA'!A:N,10,FALSE)</f>
        <v>#N/A</v>
      </c>
      <c r="K52" s="225"/>
      <c r="L52" s="224"/>
      <c r="M52" s="224"/>
      <c r="N52" s="225"/>
      <c r="O52" s="216" t="str">
        <f t="shared" si="1"/>
        <v>X</v>
      </c>
      <c r="P52" s="226" t="str">
        <f t="shared" si="2"/>
        <v>#N/A</v>
      </c>
      <c r="Q52" s="227" t="str">
        <f t="shared" si="3"/>
        <v>#N/A</v>
      </c>
      <c r="R52" s="228" t="str">
        <f t="shared" si="4"/>
        <v>#N/A</v>
      </c>
      <c r="S52" s="220" t="str">
        <f t="shared" si="5"/>
        <v>#N/A</v>
      </c>
      <c r="T52" s="220" t="str">
        <f t="shared" si="6"/>
        <v>#N/A</v>
      </c>
      <c r="U52" s="221">
        <f t="shared" si="7"/>
        <v>0</v>
      </c>
      <c r="V52" s="229" t="str">
        <f>ifs($N52="",VLOOKUP($B52&amp;$E52,'VISIT DATA'!$A$2:$J100,7,FALSE), $N52="SWAB","OUTSA-RW",$N52="SWQU","OUTSA-SaQu", AND($L52="X",$M52="X",$N52="QUEST"),"OUT-UAQPre",$N52="QUEST","OUT-UAQ", $N52="Walk in","ColUATele")</f>
        <v>#N/A</v>
      </c>
      <c r="W52" s="24" t="str">
        <f t="shared" si="8"/>
        <v>#N/A</v>
      </c>
      <c r="X52" s="222" t="str">
        <f t="shared" si="9"/>
        <v/>
      </c>
      <c r="Y52" s="222" t="str">
        <f t="shared" si="10"/>
        <v/>
      </c>
      <c r="Z52" s="224" t="str">
        <f t="shared" si="11"/>
        <v> </v>
      </c>
      <c r="AA52" s="244"/>
    </row>
    <row r="53">
      <c r="A53" s="214" t="str">
        <f>IFS($B53=FALSE,"",$B53,VLOOKUP($B53,'PATIENT DATA (072721)'!A:C, 2, 0))</f>
        <v/>
      </c>
      <c r="B53" s="215"/>
      <c r="C53" s="230" t="str">
        <f>IF(COUNTIF('PATIENT DATA (072721)'!A:A, B53)=0, "X","✓")</f>
        <v>X</v>
      </c>
      <c r="D53" s="226" t="str">
        <f>IFS($B53=FALSE,"",$B53,VLOOKUP($B53,'PATIENT DATA (072721)'!A:C, 3, 0))</f>
        <v/>
      </c>
      <c r="E53" s="218"/>
      <c r="F53" s="219" t="str">
        <f>ifs($B53="","",$B53, VLOOKUP($B53&amp;$E53, 'VISIT DATA'!A:O,3,0))</f>
        <v/>
      </c>
      <c r="G53" s="231"/>
      <c r="H53" s="221" t="str">
        <f>ifs($B53="","",$B53, VLOOKUP($B53&amp;$E53, 'VISIT DATA'!$A:$O,13,0))</f>
        <v/>
      </c>
      <c r="I53" s="262" t="str">
        <f>VLOOKUP($B53&amp;$E53,'VISIT DATA'!A:J, 9, FALSE)</f>
        <v>#N/A</v>
      </c>
      <c r="J53" s="223" t="str">
        <f>VLOOKUP(B53&amp;E53,'VISIT DATA'!A:N,10,FALSE)</f>
        <v>#N/A</v>
      </c>
      <c r="K53" s="224"/>
      <c r="L53" s="224"/>
      <c r="M53" s="224"/>
      <c r="N53" s="225"/>
      <c r="O53" s="216" t="str">
        <f t="shared" si="1"/>
        <v>X</v>
      </c>
      <c r="P53" s="226" t="str">
        <f t="shared" si="2"/>
        <v>#N/A</v>
      </c>
      <c r="Q53" s="227" t="str">
        <f t="shared" si="3"/>
        <v>#N/A</v>
      </c>
      <c r="R53" s="228" t="str">
        <f t="shared" si="4"/>
        <v>#N/A</v>
      </c>
      <c r="S53" s="220" t="str">
        <f t="shared" si="5"/>
        <v>#N/A</v>
      </c>
      <c r="T53" s="220" t="str">
        <f t="shared" si="6"/>
        <v>#N/A</v>
      </c>
      <c r="U53" s="221">
        <f t="shared" si="7"/>
        <v>0</v>
      </c>
      <c r="V53" s="229" t="str">
        <f>ifs($N53="",VLOOKUP($B53&amp;$E53,'VISIT DATA'!$A$2:$J100,7,FALSE), $N53="SWAB","OUTSA-RW",$N53="SWQU","OUTSA-SaQu", AND($L53="X",$M53="X",$N53="QUEST"),"OUT-UAQPre",$N53="QUEST","OUT-UAQ", $N53="Walk in","ColUATele")</f>
        <v>#N/A</v>
      </c>
      <c r="W53" s="24" t="str">
        <f t="shared" si="8"/>
        <v>#N/A</v>
      </c>
      <c r="X53" s="222" t="str">
        <f t="shared" si="9"/>
        <v/>
      </c>
      <c r="Y53" s="222" t="str">
        <f t="shared" si="10"/>
        <v/>
      </c>
      <c r="Z53" s="224" t="str">
        <f t="shared" si="11"/>
        <v> </v>
      </c>
      <c r="AA53" s="244"/>
    </row>
    <row r="54">
      <c r="A54" s="214" t="str">
        <f>IFS($B54=FALSE,"",$B54,VLOOKUP($B54,'PATIENT DATA (072721)'!A:C, 2, 0))</f>
        <v/>
      </c>
      <c r="B54" s="215"/>
      <c r="C54" s="230" t="str">
        <f>IF(COUNTIF('PATIENT DATA (072721)'!A:A, B54)=0, "X","✓")</f>
        <v>X</v>
      </c>
      <c r="D54" s="226" t="str">
        <f>IFS($B54=FALSE,"",$B54,VLOOKUP($B54,'PATIENT DATA (072721)'!A:C, 3, 0))</f>
        <v/>
      </c>
      <c r="E54" s="218"/>
      <c r="F54" s="219" t="str">
        <f>ifs($B54="","",$B54, VLOOKUP($B54&amp;$E54, 'VISIT DATA'!A:O,3,0))</f>
        <v/>
      </c>
      <c r="G54" s="231"/>
      <c r="H54" s="221" t="str">
        <f>ifs($B54="","",$B54, VLOOKUP($B54&amp;$E54, 'VISIT DATA'!$A:$O,13,0))</f>
        <v/>
      </c>
      <c r="I54" s="262" t="str">
        <f>VLOOKUP($B54&amp;$E54,'VISIT DATA'!A:J, 9, FALSE)</f>
        <v>#N/A</v>
      </c>
      <c r="J54" s="223" t="str">
        <f>VLOOKUP(B54&amp;E54,'VISIT DATA'!A:N,10,FALSE)</f>
        <v>#N/A</v>
      </c>
      <c r="K54" s="225"/>
      <c r="L54" s="224"/>
      <c r="M54" s="224"/>
      <c r="N54" s="225"/>
      <c r="O54" s="216" t="str">
        <f t="shared" si="1"/>
        <v>X</v>
      </c>
      <c r="P54" s="226" t="str">
        <f t="shared" si="2"/>
        <v>#N/A</v>
      </c>
      <c r="Q54" s="227" t="str">
        <f t="shared" si="3"/>
        <v>#N/A</v>
      </c>
      <c r="R54" s="228" t="str">
        <f t="shared" si="4"/>
        <v>#N/A</v>
      </c>
      <c r="S54" s="220" t="str">
        <f t="shared" si="5"/>
        <v>#N/A</v>
      </c>
      <c r="T54" s="220" t="str">
        <f t="shared" si="6"/>
        <v>#N/A</v>
      </c>
      <c r="U54" s="221">
        <f t="shared" si="7"/>
        <v>0</v>
      </c>
      <c r="V54" s="229" t="str">
        <f>ifs($N54="",VLOOKUP($B54&amp;$E54,'VISIT DATA'!$A$2:$J100,7,FALSE), $N54="SWAB","OUTSA-RW",$N54="SWQU","OUTSA-SaQu", AND($L54="X",$M54="X",$N54="QUEST"),"OUT-UAQPre",$N54="QUEST","OUT-UAQ", $N54="Walk in","ColUATele")</f>
        <v>#N/A</v>
      </c>
      <c r="W54" s="24" t="str">
        <f t="shared" si="8"/>
        <v>#N/A</v>
      </c>
      <c r="X54" s="222" t="str">
        <f t="shared" si="9"/>
        <v/>
      </c>
      <c r="Y54" s="222" t="str">
        <f t="shared" si="10"/>
        <v/>
      </c>
      <c r="Z54" s="224" t="str">
        <f t="shared" si="11"/>
        <v> </v>
      </c>
      <c r="AA54" s="244"/>
    </row>
    <row r="55">
      <c r="A55" s="214" t="str">
        <f>IFS($B55=FALSE,"",$B55,VLOOKUP($B55,'PATIENT DATA (072721)'!A:C, 2, 0))</f>
        <v/>
      </c>
      <c r="B55" s="215"/>
      <c r="C55" s="230" t="str">
        <f>IF(COUNTIF('PATIENT DATA (072721)'!A:A, B55)=0, "X","✓")</f>
        <v>X</v>
      </c>
      <c r="D55" s="226" t="str">
        <f>IFS($B55=FALSE,"",$B55,VLOOKUP($B55,'PATIENT DATA (072721)'!A:C, 3, 0))</f>
        <v/>
      </c>
      <c r="E55" s="218"/>
      <c r="F55" s="219" t="str">
        <f>ifs($B55="","",$B55, VLOOKUP($B55&amp;$E55, 'VISIT DATA'!A:O,3,0))</f>
        <v/>
      </c>
      <c r="G55" s="231"/>
      <c r="H55" s="221" t="str">
        <f>ifs($B55="","",$B55, VLOOKUP($B55&amp;$E55, 'VISIT DATA'!$A:$O,13,0))</f>
        <v/>
      </c>
      <c r="I55" s="262" t="str">
        <f>VLOOKUP($B55&amp;$E55,'VISIT DATA'!A:J, 9, FALSE)</f>
        <v>#N/A</v>
      </c>
      <c r="J55" s="223" t="str">
        <f>VLOOKUP(B55&amp;E55,'VISIT DATA'!A:N,10,FALSE)</f>
        <v>#N/A</v>
      </c>
      <c r="K55" s="225"/>
      <c r="L55" s="224"/>
      <c r="M55" s="224"/>
      <c r="N55" s="225"/>
      <c r="O55" s="216" t="str">
        <f t="shared" si="1"/>
        <v>X</v>
      </c>
      <c r="P55" s="226" t="str">
        <f t="shared" si="2"/>
        <v>#N/A</v>
      </c>
      <c r="Q55" s="227" t="str">
        <f t="shared" si="3"/>
        <v>#N/A</v>
      </c>
      <c r="R55" s="228" t="str">
        <f t="shared" si="4"/>
        <v>#N/A</v>
      </c>
      <c r="S55" s="220" t="str">
        <f t="shared" si="5"/>
        <v>#N/A</v>
      </c>
      <c r="T55" s="220" t="str">
        <f t="shared" si="6"/>
        <v>#N/A</v>
      </c>
      <c r="U55" s="221">
        <f t="shared" si="7"/>
        <v>0</v>
      </c>
      <c r="V55" s="229" t="str">
        <f>ifs($N55="",VLOOKUP($B55&amp;$E55,'VISIT DATA'!$A$2:$J100,7,FALSE), $N55="SWAB","OUTSA-RW",$N55="SWQU","OUTSA-SaQu", AND($L55="X",$M55="X",$N55="QUEST"),"OUT-UAQPre",$N55="QUEST","OUT-UAQ", $N55="Walk in","ColUATele")</f>
        <v>#N/A</v>
      </c>
      <c r="W55" s="24" t="str">
        <f t="shared" si="8"/>
        <v>#N/A</v>
      </c>
      <c r="X55" s="222" t="str">
        <f t="shared" si="9"/>
        <v/>
      </c>
      <c r="Y55" s="222" t="str">
        <f t="shared" si="10"/>
        <v/>
      </c>
      <c r="Z55" s="224" t="str">
        <f t="shared" si="11"/>
        <v> </v>
      </c>
      <c r="AA55" s="244"/>
    </row>
    <row r="56">
      <c r="A56" s="214" t="str">
        <f>IFS($B56=FALSE,"",$B56,VLOOKUP($B56,'PATIENT DATA (072721)'!A:C, 2, 0))</f>
        <v/>
      </c>
      <c r="B56" s="215"/>
      <c r="C56" s="230" t="str">
        <f>IF(COUNTIF('PATIENT DATA (072721)'!A:A, B56)=0, "X","✓")</f>
        <v>X</v>
      </c>
      <c r="D56" s="226" t="str">
        <f>IFS($B56=FALSE,"",$B56,VLOOKUP($B56,'PATIENT DATA (072721)'!A:C, 3, 0))</f>
        <v/>
      </c>
      <c r="E56" s="218"/>
      <c r="F56" s="219" t="str">
        <f>ifs($B56="","",$B56, VLOOKUP($B56&amp;$E56, 'VISIT DATA'!A:O,3,0))</f>
        <v/>
      </c>
      <c r="G56" s="231"/>
      <c r="H56" s="221" t="str">
        <f>ifs($B56="","",$B56, VLOOKUP($B56&amp;$E56, 'VISIT DATA'!$A:$O,13,0))</f>
        <v/>
      </c>
      <c r="I56" s="262" t="str">
        <f>VLOOKUP($B56&amp;$E56,'VISIT DATA'!A:J, 9, FALSE)</f>
        <v>#N/A</v>
      </c>
      <c r="J56" s="223" t="str">
        <f>VLOOKUP(B56&amp;E56,'VISIT DATA'!A:N,10,FALSE)</f>
        <v>#N/A</v>
      </c>
      <c r="K56" s="225"/>
      <c r="L56" s="224"/>
      <c r="M56" s="224"/>
      <c r="N56" s="225"/>
      <c r="O56" s="216" t="str">
        <f t="shared" si="1"/>
        <v>X</v>
      </c>
      <c r="P56" s="226" t="str">
        <f t="shared" si="2"/>
        <v>#N/A</v>
      </c>
      <c r="Q56" s="227" t="str">
        <f t="shared" si="3"/>
        <v>#N/A</v>
      </c>
      <c r="R56" s="228" t="str">
        <f t="shared" si="4"/>
        <v>#N/A</v>
      </c>
      <c r="S56" s="220" t="str">
        <f t="shared" si="5"/>
        <v>#N/A</v>
      </c>
      <c r="T56" s="220" t="str">
        <f t="shared" si="6"/>
        <v>#N/A</v>
      </c>
      <c r="U56" s="221">
        <f t="shared" si="7"/>
        <v>0</v>
      </c>
      <c r="V56" s="229" t="str">
        <f>ifs($N56="",VLOOKUP($B56&amp;$E56,'VISIT DATA'!$A$2:$J100,7,FALSE), $N56="SWAB","OUTSA-RW",$N56="SWQU","OUTSA-SaQu", AND($L56="X",$M56="X",$N56="QUEST"),"OUT-UAQPre",$N56="QUEST","OUT-UAQ", $N56="Walk in","ColUATele")</f>
        <v>#N/A</v>
      </c>
      <c r="W56" s="24" t="str">
        <f t="shared" si="8"/>
        <v>#N/A</v>
      </c>
      <c r="X56" s="222" t="str">
        <f t="shared" si="9"/>
        <v/>
      </c>
      <c r="Y56" s="222" t="str">
        <f t="shared" si="10"/>
        <v/>
      </c>
      <c r="Z56" s="224" t="str">
        <f t="shared" si="11"/>
        <v> </v>
      </c>
      <c r="AA56" s="244"/>
    </row>
    <row r="57">
      <c r="A57" s="214" t="str">
        <f>IFS($B57=FALSE,"",$B57,VLOOKUP($B57,'PATIENT DATA (072721)'!A:C, 2, 0))</f>
        <v/>
      </c>
      <c r="B57" s="215"/>
      <c r="C57" s="230" t="str">
        <f>IF(COUNTIF('PATIENT DATA (072721)'!A:A, B57)=0, "X","✓")</f>
        <v>X</v>
      </c>
      <c r="D57" s="226" t="str">
        <f>IFS($B57=FALSE,"",$B57,VLOOKUP($B57,'PATIENT DATA (072721)'!A:C, 3, 0))</f>
        <v/>
      </c>
      <c r="E57" s="218"/>
      <c r="F57" s="219" t="str">
        <f>ifs($B57="","",$B57, VLOOKUP($B57&amp;$E57, 'VISIT DATA'!A:O,3,0))</f>
        <v/>
      </c>
      <c r="G57" s="231"/>
      <c r="H57" s="221" t="str">
        <f>ifs($B57="","",$B57, VLOOKUP($B57&amp;$E57, 'VISIT DATA'!$A:$O,13,0))</f>
        <v/>
      </c>
      <c r="I57" s="262" t="str">
        <f>VLOOKUP($B57&amp;$E57,'VISIT DATA'!A:J, 9, FALSE)</f>
        <v>#N/A</v>
      </c>
      <c r="J57" s="223" t="str">
        <f>VLOOKUP(B57&amp;E57,'VISIT DATA'!A:N,10,FALSE)</f>
        <v>#N/A</v>
      </c>
      <c r="K57" s="225"/>
      <c r="L57" s="224"/>
      <c r="M57" s="224"/>
      <c r="N57" s="225"/>
      <c r="O57" s="216" t="str">
        <f t="shared" si="1"/>
        <v>X</v>
      </c>
      <c r="P57" s="226" t="str">
        <f t="shared" si="2"/>
        <v>#N/A</v>
      </c>
      <c r="Q57" s="227" t="str">
        <f t="shared" si="3"/>
        <v>#N/A</v>
      </c>
      <c r="R57" s="228" t="str">
        <f t="shared" si="4"/>
        <v>#N/A</v>
      </c>
      <c r="S57" s="220" t="str">
        <f t="shared" si="5"/>
        <v>#N/A</v>
      </c>
      <c r="T57" s="220" t="str">
        <f t="shared" si="6"/>
        <v>#N/A</v>
      </c>
      <c r="U57" s="221">
        <f t="shared" si="7"/>
        <v>0</v>
      </c>
      <c r="V57" s="229" t="str">
        <f>ifs($N57="",VLOOKUP($B57&amp;$E57,'VISIT DATA'!$A$2:$J100,7,FALSE), $N57="SWAB","OUTSA-RW",$N57="SWQU","OUTSA-SaQu", AND($L57="X",$M57="X",$N57="QUEST"),"OUT-UAQPre",$N57="QUEST","OUT-UAQ", $N57="Walk in","ColUATele")</f>
        <v>#N/A</v>
      </c>
      <c r="W57" s="24" t="str">
        <f t="shared" si="8"/>
        <v>#N/A</v>
      </c>
      <c r="X57" s="222" t="str">
        <f t="shared" si="9"/>
        <v/>
      </c>
      <c r="Y57" s="222" t="str">
        <f t="shared" si="10"/>
        <v/>
      </c>
      <c r="Z57" s="224" t="str">
        <f t="shared" si="11"/>
        <v> </v>
      </c>
      <c r="AA57" s="244"/>
    </row>
    <row r="58">
      <c r="A58" s="214" t="str">
        <f>IFS($B58=FALSE,"",$B58,VLOOKUP($B58,'PATIENT DATA (072721)'!A:C, 2, 0))</f>
        <v/>
      </c>
      <c r="B58" s="215"/>
      <c r="C58" s="230" t="str">
        <f>IF(COUNTIF('PATIENT DATA (072721)'!A:A, B58)=0, "X","✓")</f>
        <v>X</v>
      </c>
      <c r="D58" s="226" t="str">
        <f>IFS($B58=FALSE,"",$B58,VLOOKUP($B58,'PATIENT DATA (072721)'!A:C, 3, 0))</f>
        <v/>
      </c>
      <c r="E58" s="218"/>
      <c r="F58" s="219" t="str">
        <f>ifs($B58="","",$B58, VLOOKUP($B58&amp;$E58, 'VISIT DATA'!A:O,3,0))</f>
        <v/>
      </c>
      <c r="G58" s="231"/>
      <c r="H58" s="221" t="str">
        <f>ifs($B58="","",$B58, VLOOKUP($B58&amp;$E58, 'VISIT DATA'!$A:$O,13,0))</f>
        <v/>
      </c>
      <c r="I58" s="262" t="str">
        <f>VLOOKUP($B58&amp;$E58,'VISIT DATA'!A:J, 9, FALSE)</f>
        <v>#N/A</v>
      </c>
      <c r="J58" s="223" t="str">
        <f>VLOOKUP(B58&amp;E58,'VISIT DATA'!A:N,10,FALSE)</f>
        <v>#N/A</v>
      </c>
      <c r="K58" s="224"/>
      <c r="L58" s="224"/>
      <c r="M58" s="224"/>
      <c r="N58" s="225"/>
      <c r="O58" s="216" t="str">
        <f t="shared" si="1"/>
        <v>X</v>
      </c>
      <c r="P58" s="226" t="str">
        <f t="shared" si="2"/>
        <v>#N/A</v>
      </c>
      <c r="Q58" s="227" t="str">
        <f t="shared" si="3"/>
        <v>#N/A</v>
      </c>
      <c r="R58" s="228" t="str">
        <f t="shared" si="4"/>
        <v>#N/A</v>
      </c>
      <c r="S58" s="220" t="str">
        <f t="shared" si="5"/>
        <v>#N/A</v>
      </c>
      <c r="T58" s="220" t="str">
        <f t="shared" si="6"/>
        <v>#N/A</v>
      </c>
      <c r="U58" s="221">
        <f t="shared" si="7"/>
        <v>0</v>
      </c>
      <c r="V58" s="229" t="str">
        <f>ifs($N58="",VLOOKUP($B58&amp;$E58,'VISIT DATA'!$A$2:$J100,7,FALSE), $N58="SWAB","OUTSA-RW",$N58="SWQU","OUTSA-SaQu", AND($L58="X",$M58="X",$N58="QUEST"),"OUT-UAQPre",$N58="QUEST","OUT-UAQ", $N58="Walk in","ColUATele")</f>
        <v>#N/A</v>
      </c>
      <c r="W58" s="24" t="str">
        <f t="shared" si="8"/>
        <v>#N/A</v>
      </c>
      <c r="X58" s="222" t="str">
        <f t="shared" si="9"/>
        <v/>
      </c>
      <c r="Y58" s="222" t="str">
        <f t="shared" si="10"/>
        <v/>
      </c>
      <c r="Z58" s="224" t="str">
        <f t="shared" si="11"/>
        <v> </v>
      </c>
      <c r="AA58" s="244"/>
    </row>
    <row r="59">
      <c r="A59" s="214" t="str">
        <f>IFS($B59=FALSE,"",$B59,VLOOKUP($B59,'PATIENT DATA (072721)'!A:C, 2, 0))</f>
        <v/>
      </c>
      <c r="B59" s="215"/>
      <c r="C59" s="230" t="str">
        <f>IF(COUNTIF('PATIENT DATA (072721)'!A:A, B59)=0, "X","✓")</f>
        <v>X</v>
      </c>
      <c r="D59" s="226" t="str">
        <f>IFS($B59=FALSE,"",$B59,VLOOKUP($B59,'PATIENT DATA (072721)'!A:C, 3, 0))</f>
        <v/>
      </c>
      <c r="E59" s="218"/>
      <c r="F59" s="219" t="str">
        <f>ifs($B59="","",$B59, VLOOKUP($B59&amp;$E59, 'VISIT DATA'!A:O,3,0))</f>
        <v/>
      </c>
      <c r="G59" s="231"/>
      <c r="H59" s="221" t="str">
        <f>ifs($B59="","",$B59, VLOOKUP($B59&amp;$E59, 'VISIT DATA'!$A:$O,13,0))</f>
        <v/>
      </c>
      <c r="I59" s="262" t="str">
        <f>VLOOKUP($B59&amp;$E59,'VISIT DATA'!A:J, 9, FALSE)</f>
        <v>#N/A</v>
      </c>
      <c r="J59" s="223" t="str">
        <f>VLOOKUP(B59&amp;E59,'VISIT DATA'!A:N,10,FALSE)</f>
        <v>#N/A</v>
      </c>
      <c r="K59" s="224"/>
      <c r="L59" s="224"/>
      <c r="M59" s="224"/>
      <c r="N59" s="225"/>
      <c r="O59" s="216" t="str">
        <f t="shared" si="1"/>
        <v>X</v>
      </c>
      <c r="P59" s="226" t="str">
        <f t="shared" si="2"/>
        <v>#N/A</v>
      </c>
      <c r="Q59" s="227" t="str">
        <f t="shared" si="3"/>
        <v>#N/A</v>
      </c>
      <c r="R59" s="228" t="str">
        <f t="shared" si="4"/>
        <v>#N/A</v>
      </c>
      <c r="S59" s="220" t="str">
        <f t="shared" si="5"/>
        <v>#N/A</v>
      </c>
      <c r="T59" s="220" t="str">
        <f t="shared" si="6"/>
        <v>#N/A</v>
      </c>
      <c r="U59" s="221">
        <f t="shared" si="7"/>
        <v>0</v>
      </c>
      <c r="V59" s="229" t="str">
        <f>ifs($N59="",VLOOKUP($B59&amp;$E59,'VISIT DATA'!$A$2:$J100,7,FALSE), $N59="SWAB","OUTSA-RW",$N59="SWQU","OUTSA-SaQu", AND($L59="X",$M59="X",$N59="QUEST"),"OUT-UAQPre",$N59="QUEST","OUT-UAQ", $N59="Walk in","ColUATele")</f>
        <v>#N/A</v>
      </c>
      <c r="W59" s="24" t="str">
        <f t="shared" si="8"/>
        <v>#N/A</v>
      </c>
      <c r="X59" s="222" t="str">
        <f t="shared" si="9"/>
        <v/>
      </c>
      <c r="Y59" s="222" t="str">
        <f t="shared" si="10"/>
        <v/>
      </c>
      <c r="Z59" s="224" t="str">
        <f t="shared" si="11"/>
        <v> </v>
      </c>
      <c r="AA59" s="244"/>
    </row>
    <row r="60">
      <c r="A60" s="214" t="str">
        <f>IFS($B60=FALSE,"",$B60,VLOOKUP($B60,'PATIENT DATA (072721)'!A:C, 2, 0))</f>
        <v/>
      </c>
      <c r="B60" s="215"/>
      <c r="C60" s="230" t="str">
        <f>IF(COUNTIF('PATIENT DATA (072721)'!A:A, B60)=0, "X","✓")</f>
        <v>X</v>
      </c>
      <c r="D60" s="226" t="str">
        <f>IFS($B60=FALSE,"",$B60,VLOOKUP($B60,'PATIENT DATA (072721)'!A:C, 3, 0))</f>
        <v/>
      </c>
      <c r="E60" s="218"/>
      <c r="F60" s="219" t="str">
        <f>ifs($B60="","",$B60, VLOOKUP($B60&amp;$E60, 'VISIT DATA'!A:O,3,0))</f>
        <v/>
      </c>
      <c r="G60" s="231"/>
      <c r="H60" s="221" t="str">
        <f>ifs($B60="","",$B60, VLOOKUP($B60&amp;$E60, 'VISIT DATA'!$A:$O,13,0))</f>
        <v/>
      </c>
      <c r="I60" s="262" t="str">
        <f>VLOOKUP($B60&amp;$E60,'VISIT DATA'!A:J, 9, FALSE)</f>
        <v>#N/A</v>
      </c>
      <c r="J60" s="223" t="str">
        <f>VLOOKUP(B60&amp;E60,'VISIT DATA'!A:N,10,FALSE)</f>
        <v>#N/A</v>
      </c>
      <c r="K60" s="225"/>
      <c r="L60" s="224"/>
      <c r="M60" s="224"/>
      <c r="N60" s="225"/>
      <c r="O60" s="216" t="str">
        <f t="shared" si="1"/>
        <v>X</v>
      </c>
      <c r="P60" s="226" t="str">
        <f t="shared" si="2"/>
        <v>#N/A</v>
      </c>
      <c r="Q60" s="227" t="str">
        <f t="shared" si="3"/>
        <v>#N/A</v>
      </c>
      <c r="R60" s="228" t="str">
        <f t="shared" si="4"/>
        <v>#N/A</v>
      </c>
      <c r="S60" s="220" t="str">
        <f t="shared" si="5"/>
        <v>#N/A</v>
      </c>
      <c r="T60" s="220" t="str">
        <f t="shared" si="6"/>
        <v>#N/A</v>
      </c>
      <c r="U60" s="221">
        <f t="shared" si="7"/>
        <v>0</v>
      </c>
      <c r="V60" s="229" t="str">
        <f>ifs($N60="",VLOOKUP($B60&amp;$E60,'VISIT DATA'!$A$2:$J100,7,FALSE), $N60="SWAB","OUTSA-RW",$N60="SWQU","OUTSA-SaQu", AND($L60="X",$M60="X",$N60="QUEST"),"OUT-UAQPre",$N60="QUEST","OUT-UAQ", $N60="Walk in","ColUATele")</f>
        <v>#N/A</v>
      </c>
      <c r="W60" s="24" t="str">
        <f t="shared" si="8"/>
        <v>#N/A</v>
      </c>
      <c r="X60" s="222" t="str">
        <f t="shared" si="9"/>
        <v/>
      </c>
      <c r="Y60" s="222" t="str">
        <f t="shared" si="10"/>
        <v/>
      </c>
      <c r="Z60" s="224" t="str">
        <f t="shared" si="11"/>
        <v> </v>
      </c>
      <c r="AA60" s="244"/>
    </row>
    <row r="61">
      <c r="A61" s="214" t="str">
        <f>IFS($B61=FALSE,"",$B61,VLOOKUP($B61,'PATIENT DATA (072721)'!A:C, 2, 0))</f>
        <v/>
      </c>
      <c r="B61" s="215"/>
      <c r="C61" s="230" t="str">
        <f>IF(COUNTIF('PATIENT DATA (072721)'!A:A, B61)=0, "X","✓")</f>
        <v>X</v>
      </c>
      <c r="D61" s="226" t="str">
        <f>IFS($B61=FALSE,"",$B61,VLOOKUP($B61,'PATIENT DATA (072721)'!A:C, 3, 0))</f>
        <v/>
      </c>
      <c r="E61" s="218"/>
      <c r="F61" s="219" t="str">
        <f>ifs($B61="","",$B61, VLOOKUP($B61&amp;$E61, 'VISIT DATA'!A:O,3,0))</f>
        <v/>
      </c>
      <c r="G61" s="231"/>
      <c r="H61" s="221" t="str">
        <f>ifs($B61="","",$B61, VLOOKUP($B61&amp;$E61, 'VISIT DATA'!$A:$O,13,0))</f>
        <v/>
      </c>
      <c r="I61" s="262" t="str">
        <f>VLOOKUP($B61&amp;$E61,'VISIT DATA'!A:J, 9, FALSE)</f>
        <v>#N/A</v>
      </c>
      <c r="J61" s="223" t="str">
        <f>VLOOKUP(B61&amp;E61,'VISIT DATA'!A:N,10,FALSE)</f>
        <v>#N/A</v>
      </c>
      <c r="K61" s="225"/>
      <c r="L61" s="224"/>
      <c r="M61" s="224"/>
      <c r="N61" s="225"/>
      <c r="O61" s="216" t="str">
        <f t="shared" si="1"/>
        <v>X</v>
      </c>
      <c r="P61" s="226" t="str">
        <f t="shared" si="2"/>
        <v>#N/A</v>
      </c>
      <c r="Q61" s="227" t="str">
        <f t="shared" si="3"/>
        <v>#N/A</v>
      </c>
      <c r="R61" s="228" t="str">
        <f t="shared" si="4"/>
        <v>#N/A</v>
      </c>
      <c r="S61" s="220" t="str">
        <f t="shared" si="5"/>
        <v>#N/A</v>
      </c>
      <c r="T61" s="220" t="str">
        <f t="shared" si="6"/>
        <v>#N/A</v>
      </c>
      <c r="U61" s="221">
        <f t="shared" si="7"/>
        <v>0</v>
      </c>
      <c r="V61" s="229" t="str">
        <f>ifs($N61="",VLOOKUP($B61&amp;$E61,'VISIT DATA'!$A$2:$J100,7,FALSE), $N61="SWAB","OUTSA-RW",$N61="SWQU","OUTSA-SaQu", AND($L61="X",$M61="X",$N61="QUEST"),"OUT-UAQPre",$N61="QUEST","OUT-UAQ", $N61="Walk in","ColUATele")</f>
        <v>#N/A</v>
      </c>
      <c r="W61" s="24" t="str">
        <f t="shared" si="8"/>
        <v>#N/A</v>
      </c>
      <c r="X61" s="222" t="str">
        <f t="shared" si="9"/>
        <v/>
      </c>
      <c r="Y61" s="222" t="str">
        <f t="shared" si="10"/>
        <v/>
      </c>
      <c r="Z61" s="224" t="str">
        <f t="shared" si="11"/>
        <v> </v>
      </c>
      <c r="AA61" s="244"/>
    </row>
    <row r="62">
      <c r="A62" s="214" t="str">
        <f>IFS($B62=FALSE,"",$B62,VLOOKUP($B62,'PATIENT DATA (072721)'!A:C, 2, 0))</f>
        <v/>
      </c>
      <c r="B62" s="215"/>
      <c r="C62" s="230" t="str">
        <f>IF(COUNTIF('PATIENT DATA (072721)'!A:A, B62)=0, "X","✓")</f>
        <v>X</v>
      </c>
      <c r="D62" s="226" t="str">
        <f>IFS($B62=FALSE,"",$B62,VLOOKUP($B62,'PATIENT DATA (072721)'!A:C, 3, 0))</f>
        <v/>
      </c>
      <c r="E62" s="218"/>
      <c r="F62" s="219" t="str">
        <f>ifs($B62="","",$B62, VLOOKUP($B62&amp;$E62, 'VISIT DATA'!A:O,3,0))</f>
        <v/>
      </c>
      <c r="G62" s="231"/>
      <c r="H62" s="221" t="str">
        <f>ifs($B62="","",$B62, VLOOKUP($B62&amp;$E62, 'VISIT DATA'!$A:$O,13,0))</f>
        <v/>
      </c>
      <c r="I62" s="262" t="str">
        <f>VLOOKUP($B62&amp;$E62,'VISIT DATA'!A:J, 9, FALSE)</f>
        <v>#N/A</v>
      </c>
      <c r="J62" s="223" t="str">
        <f>VLOOKUP(B62&amp;E62,'VISIT DATA'!A:N,10,FALSE)</f>
        <v>#N/A</v>
      </c>
      <c r="K62" s="225"/>
      <c r="L62" s="224"/>
      <c r="M62" s="224"/>
      <c r="N62" s="225"/>
      <c r="O62" s="216" t="str">
        <f t="shared" si="1"/>
        <v>X</v>
      </c>
      <c r="P62" s="226" t="str">
        <f t="shared" si="2"/>
        <v>#N/A</v>
      </c>
      <c r="Q62" s="227" t="str">
        <f t="shared" si="3"/>
        <v>#N/A</v>
      </c>
      <c r="R62" s="228" t="str">
        <f t="shared" si="4"/>
        <v>#N/A</v>
      </c>
      <c r="S62" s="220" t="str">
        <f t="shared" si="5"/>
        <v>#N/A</v>
      </c>
      <c r="T62" s="220" t="str">
        <f t="shared" si="6"/>
        <v>#N/A</v>
      </c>
      <c r="U62" s="221">
        <f t="shared" si="7"/>
        <v>0</v>
      </c>
      <c r="V62" s="229" t="str">
        <f>ifs($N62="",VLOOKUP($B62&amp;$E62,'VISIT DATA'!$A$2:$J100,7,FALSE), $N62="SWAB","OUTSA-RW",$N62="SWQU","OUTSA-SaQu", AND($L62="X",$M62="X",$N62="QUEST"),"OUT-UAQPre",$N62="QUEST","OUT-UAQ", $N62="Walk in","ColUATele")</f>
        <v>#N/A</v>
      </c>
      <c r="W62" s="24" t="str">
        <f t="shared" si="8"/>
        <v>#N/A</v>
      </c>
      <c r="X62" s="222" t="str">
        <f t="shared" si="9"/>
        <v/>
      </c>
      <c r="Y62" s="222" t="str">
        <f t="shared" si="10"/>
        <v/>
      </c>
      <c r="Z62" s="224" t="str">
        <f t="shared" si="11"/>
        <v> </v>
      </c>
      <c r="AA62" s="244"/>
    </row>
    <row r="63">
      <c r="A63" s="214" t="str">
        <f>IFS($B63=FALSE,"",$B63,VLOOKUP($B63,'PATIENT DATA (072721)'!A:C, 2, 0))</f>
        <v/>
      </c>
      <c r="B63" s="215"/>
      <c r="C63" s="230" t="str">
        <f>IF(COUNTIF('PATIENT DATA (072721)'!A:A, B63)=0, "X","✓")</f>
        <v>X</v>
      </c>
      <c r="D63" s="226" t="str">
        <f>IFS($B63=FALSE,"",$B63,VLOOKUP($B63,'PATIENT DATA (072721)'!A:C, 3, 0))</f>
        <v/>
      </c>
      <c r="E63" s="218"/>
      <c r="F63" s="219" t="str">
        <f>ifs($B63="","",$B63, VLOOKUP($B63&amp;$E63, 'VISIT DATA'!A:O,3,0))</f>
        <v/>
      </c>
      <c r="G63" s="231"/>
      <c r="H63" s="221" t="str">
        <f>ifs($B63="","",$B63, VLOOKUP($B63&amp;$E63, 'VISIT DATA'!$A:$O,13,0))</f>
        <v/>
      </c>
      <c r="I63" s="262" t="str">
        <f>VLOOKUP($B63&amp;$E63,'VISIT DATA'!A:J, 9, FALSE)</f>
        <v>#N/A</v>
      </c>
      <c r="J63" s="223" t="str">
        <f>VLOOKUP(B63&amp;E63,'VISIT DATA'!A:N,10,FALSE)</f>
        <v>#N/A</v>
      </c>
      <c r="K63" s="225"/>
      <c r="L63" s="224"/>
      <c r="M63" s="224"/>
      <c r="N63" s="225"/>
      <c r="O63" s="216" t="str">
        <f t="shared" si="1"/>
        <v>X</v>
      </c>
      <c r="P63" s="226" t="str">
        <f t="shared" si="2"/>
        <v>#N/A</v>
      </c>
      <c r="Q63" s="227" t="str">
        <f t="shared" si="3"/>
        <v>#N/A</v>
      </c>
      <c r="R63" s="228" t="str">
        <f t="shared" si="4"/>
        <v>#N/A</v>
      </c>
      <c r="S63" s="220" t="str">
        <f t="shared" si="5"/>
        <v>#N/A</v>
      </c>
      <c r="T63" s="220" t="str">
        <f t="shared" si="6"/>
        <v>#N/A</v>
      </c>
      <c r="U63" s="221">
        <f t="shared" si="7"/>
        <v>0</v>
      </c>
      <c r="V63" s="229" t="str">
        <f>ifs($N63="",VLOOKUP($B63&amp;$E63,'VISIT DATA'!$A$2:$J100,7,FALSE), $N63="SWAB","OUTSA-RW",$N63="SWQU","OUTSA-SaQu", AND($L63="X",$M63="X",$N63="QUEST"),"OUT-UAQPre",$N63="QUEST","OUT-UAQ", $N63="Walk in","ColUATele")</f>
        <v>#N/A</v>
      </c>
      <c r="W63" s="24" t="str">
        <f t="shared" si="8"/>
        <v>#N/A</v>
      </c>
      <c r="X63" s="222" t="str">
        <f t="shared" si="9"/>
        <v/>
      </c>
      <c r="Y63" s="222" t="str">
        <f t="shared" si="10"/>
        <v/>
      </c>
      <c r="Z63" s="224" t="str">
        <f t="shared" si="11"/>
        <v> </v>
      </c>
      <c r="AA63" s="244"/>
    </row>
    <row r="64">
      <c r="A64" s="214" t="str">
        <f>IFS($B64=FALSE,"",$B64,VLOOKUP($B64,'PATIENT DATA (072721)'!A:C, 2, 0))</f>
        <v/>
      </c>
      <c r="B64" s="215"/>
      <c r="C64" s="230" t="str">
        <f>IF(COUNTIF('PATIENT DATA (072721)'!A:A, B64)=0, "X","✓")</f>
        <v>X</v>
      </c>
      <c r="D64" s="226" t="str">
        <f>IFS($B64=FALSE,"",$B64,VLOOKUP($B64,'PATIENT DATA (072721)'!A:C, 3, 0))</f>
        <v/>
      </c>
      <c r="E64" s="218"/>
      <c r="F64" s="219" t="str">
        <f>ifs($B64="","",$B64, VLOOKUP($B64&amp;$E64, 'VISIT DATA'!A:O,3,0))</f>
        <v/>
      </c>
      <c r="G64" s="231"/>
      <c r="H64" s="221" t="str">
        <f>ifs($B64="","",$B64, VLOOKUP($B64&amp;$E64, 'VISIT DATA'!$A:$O,13,0))</f>
        <v/>
      </c>
      <c r="I64" s="262" t="str">
        <f>VLOOKUP($B64&amp;$E64,'VISIT DATA'!A:J, 9, FALSE)</f>
        <v>#N/A</v>
      </c>
      <c r="J64" s="223" t="str">
        <f>VLOOKUP(B64&amp;E64,'VISIT DATA'!A:N,10,FALSE)</f>
        <v>#N/A</v>
      </c>
      <c r="K64" s="225"/>
      <c r="L64" s="224"/>
      <c r="M64" s="224"/>
      <c r="N64" s="225"/>
      <c r="O64" s="216" t="str">
        <f t="shared" si="1"/>
        <v>X</v>
      </c>
      <c r="P64" s="226" t="str">
        <f t="shared" si="2"/>
        <v>#N/A</v>
      </c>
      <c r="Q64" s="227" t="str">
        <f t="shared" si="3"/>
        <v>#N/A</v>
      </c>
      <c r="R64" s="228" t="str">
        <f t="shared" si="4"/>
        <v>#N/A</v>
      </c>
      <c r="S64" s="220" t="str">
        <f t="shared" si="5"/>
        <v>#N/A</v>
      </c>
      <c r="T64" s="220" t="str">
        <f t="shared" si="6"/>
        <v>#N/A</v>
      </c>
      <c r="U64" s="221">
        <f t="shared" si="7"/>
        <v>0</v>
      </c>
      <c r="V64" s="229" t="str">
        <f>ifs($N64="",VLOOKUP($B64&amp;$E64,'VISIT DATA'!$A$2:$J100,7,FALSE), $N64="SWAB","OUTSA-RW",$N64="SWQU","OUTSA-SaQu", AND($L64="X",$M64="X",$N64="QUEST"),"OUT-UAQPre",$N64="QUEST","OUT-UAQ", $N64="Walk in","ColUATele")</f>
        <v>#N/A</v>
      </c>
      <c r="W64" s="24" t="str">
        <f t="shared" si="8"/>
        <v>#N/A</v>
      </c>
      <c r="X64" s="222" t="str">
        <f t="shared" si="9"/>
        <v/>
      </c>
      <c r="Y64" s="222" t="str">
        <f t="shared" si="10"/>
        <v/>
      </c>
      <c r="Z64" s="224" t="str">
        <f t="shared" si="11"/>
        <v> </v>
      </c>
      <c r="AA64" s="244"/>
    </row>
    <row r="65">
      <c r="A65" s="214" t="str">
        <f>IFS($B65=FALSE,"",$B65,VLOOKUP($B65,'PATIENT DATA (072721)'!A:C, 2, 0))</f>
        <v/>
      </c>
      <c r="B65" s="215"/>
      <c r="C65" s="230" t="str">
        <f>IF(COUNTIF('PATIENT DATA (072721)'!A:A, B65)=0, "X","✓")</f>
        <v>X</v>
      </c>
      <c r="D65" s="226" t="str">
        <f>IFS($B65=FALSE,"",$B65,VLOOKUP($B65,'PATIENT DATA (072721)'!A:C, 3, 0))</f>
        <v/>
      </c>
      <c r="E65" s="218"/>
      <c r="F65" s="219" t="str">
        <f>ifs($B65="","",$B65, VLOOKUP($B65&amp;$E65, 'VISIT DATA'!A:O,3,0))</f>
        <v/>
      </c>
      <c r="G65" s="231"/>
      <c r="H65" s="221" t="str">
        <f>ifs($B65="","",$B65, VLOOKUP($B65&amp;$E65, 'VISIT DATA'!$A:$O,13,0))</f>
        <v/>
      </c>
      <c r="I65" s="262" t="str">
        <f>VLOOKUP($B65&amp;$E65,'VISIT DATA'!A:J, 9, FALSE)</f>
        <v>#N/A</v>
      </c>
      <c r="J65" s="223" t="str">
        <f>VLOOKUP(B65&amp;E65,'VISIT DATA'!A:N,10,FALSE)</f>
        <v>#N/A</v>
      </c>
      <c r="K65" s="225"/>
      <c r="L65" s="224"/>
      <c r="M65" s="224"/>
      <c r="N65" s="225"/>
      <c r="O65" s="216" t="str">
        <f t="shared" si="1"/>
        <v>X</v>
      </c>
      <c r="P65" s="226" t="str">
        <f t="shared" si="2"/>
        <v>#N/A</v>
      </c>
      <c r="Q65" s="227" t="str">
        <f t="shared" si="3"/>
        <v>#N/A</v>
      </c>
      <c r="R65" s="228" t="str">
        <f t="shared" si="4"/>
        <v>#N/A</v>
      </c>
      <c r="S65" s="220" t="str">
        <f t="shared" si="5"/>
        <v>#N/A</v>
      </c>
      <c r="T65" s="220" t="str">
        <f t="shared" si="6"/>
        <v>#N/A</v>
      </c>
      <c r="U65" s="221">
        <f t="shared" si="7"/>
        <v>0</v>
      </c>
      <c r="V65" s="229" t="str">
        <f>ifs($N65="",VLOOKUP($B65&amp;$E65,'VISIT DATA'!$A$2:$J100,7,FALSE), $N65="SWAB","OUTSA-RW",$N65="SWQU","OUTSA-SaQu", AND($L65="X",$M65="X",$N65="QUEST"),"OUT-UAQPre",$N65="QUEST","OUT-UAQ", $N65="Walk in","ColUATele")</f>
        <v>#N/A</v>
      </c>
      <c r="W65" s="24" t="str">
        <f t="shared" si="8"/>
        <v>#N/A</v>
      </c>
      <c r="X65" s="222" t="str">
        <f t="shared" si="9"/>
        <v/>
      </c>
      <c r="Y65" s="222" t="str">
        <f t="shared" si="10"/>
        <v/>
      </c>
      <c r="Z65" s="224" t="str">
        <f t="shared" si="11"/>
        <v> </v>
      </c>
      <c r="AA65" s="244"/>
    </row>
    <row r="66">
      <c r="A66" s="214" t="str">
        <f>IFS($B66=FALSE,"",$B66,VLOOKUP($B66,'PATIENT DATA (072721)'!A:C, 2, 0))</f>
        <v/>
      </c>
      <c r="B66" s="215"/>
      <c r="C66" s="230" t="str">
        <f>IF(COUNTIF('PATIENT DATA (072721)'!A:A, B66)=0, "X","✓")</f>
        <v>X</v>
      </c>
      <c r="D66" s="226" t="str">
        <f>IFS($B66=FALSE,"",$B66,VLOOKUP($B66,'PATIENT DATA (072721)'!A:C, 3, 0))</f>
        <v/>
      </c>
      <c r="E66" s="218"/>
      <c r="F66" s="219" t="str">
        <f>ifs($B66="","",$B66, VLOOKUP($B66&amp;$E66, 'VISIT DATA'!A:O,3,0))</f>
        <v/>
      </c>
      <c r="G66" s="231"/>
      <c r="H66" s="221" t="str">
        <f>ifs($B66="","",$B66, VLOOKUP($B66&amp;$E66, 'VISIT DATA'!$A:$O,13,0))</f>
        <v/>
      </c>
      <c r="I66" s="262" t="str">
        <f>VLOOKUP($B66&amp;$E66,'VISIT DATA'!A:J, 9, FALSE)</f>
        <v>#N/A</v>
      </c>
      <c r="J66" s="223" t="str">
        <f>VLOOKUP(B66&amp;E66,'VISIT DATA'!A:N,10,FALSE)</f>
        <v>#N/A</v>
      </c>
      <c r="K66" s="225"/>
      <c r="L66" s="224"/>
      <c r="M66" s="224"/>
      <c r="N66" s="225"/>
      <c r="O66" s="216" t="str">
        <f t="shared" si="1"/>
        <v>X</v>
      </c>
      <c r="P66" s="226" t="str">
        <f t="shared" si="2"/>
        <v>#N/A</v>
      </c>
      <c r="Q66" s="227" t="str">
        <f t="shared" si="3"/>
        <v>#N/A</v>
      </c>
      <c r="R66" s="228" t="str">
        <f t="shared" si="4"/>
        <v>#N/A</v>
      </c>
      <c r="S66" s="220" t="str">
        <f t="shared" si="5"/>
        <v>#N/A</v>
      </c>
      <c r="T66" s="220" t="str">
        <f t="shared" si="6"/>
        <v>#N/A</v>
      </c>
      <c r="U66" s="221">
        <f t="shared" si="7"/>
        <v>0</v>
      </c>
      <c r="V66" s="229" t="str">
        <f>ifs($N66="",VLOOKUP($B66&amp;$E66,'VISIT DATA'!$A$2:$J100,7,FALSE), $N66="SWAB","OUTSA-RW",$N66="SWQU","OUTSA-SaQu", AND($L66="X",$M66="X",$N66="QUEST"),"OUT-UAQPre",$N66="QUEST","OUT-UAQ", $N66="Walk in","ColUATele")</f>
        <v>#N/A</v>
      </c>
      <c r="W66" s="24" t="str">
        <f t="shared" si="8"/>
        <v>#N/A</v>
      </c>
      <c r="X66" s="222" t="str">
        <f t="shared" si="9"/>
        <v/>
      </c>
      <c r="Y66" s="222" t="str">
        <f t="shared" si="10"/>
        <v/>
      </c>
      <c r="Z66" s="224" t="str">
        <f t="shared" si="11"/>
        <v> </v>
      </c>
      <c r="AA66" s="244"/>
    </row>
    <row r="67">
      <c r="A67" s="214" t="str">
        <f>IFS($B67=FALSE,"",$B67,VLOOKUP($B67,'PATIENT DATA (072721)'!A:C, 2, 0))</f>
        <v/>
      </c>
      <c r="B67" s="215"/>
      <c r="C67" s="230" t="str">
        <f>IF(COUNTIF('PATIENT DATA (072721)'!A:A, B67)=0, "X","✓")</f>
        <v>X</v>
      </c>
      <c r="D67" s="226" t="str">
        <f>IFS($B67=FALSE,"",$B67,VLOOKUP($B67,'PATIENT DATA (072721)'!A:C, 3, 0))</f>
        <v/>
      </c>
      <c r="E67" s="218"/>
      <c r="F67" s="219" t="str">
        <f>ifs($B67="","",$B67, VLOOKUP($B67&amp;$E67, 'VISIT DATA'!A:O,3,0))</f>
        <v/>
      </c>
      <c r="G67" s="231"/>
      <c r="H67" s="221" t="str">
        <f>ifs($B67="","",$B67, VLOOKUP($B67&amp;$E67, 'VISIT DATA'!$A:$O,13,0))</f>
        <v/>
      </c>
      <c r="I67" s="262" t="str">
        <f>VLOOKUP($B67&amp;$E67,'VISIT DATA'!A:J, 9, FALSE)</f>
        <v>#N/A</v>
      </c>
      <c r="J67" s="223" t="str">
        <f>VLOOKUP(B67&amp;E67,'VISIT DATA'!A:N,10,FALSE)</f>
        <v>#N/A</v>
      </c>
      <c r="K67" s="225"/>
      <c r="L67" s="224"/>
      <c r="M67" s="224"/>
      <c r="N67" s="225"/>
      <c r="O67" s="216" t="str">
        <f t="shared" si="1"/>
        <v>X</v>
      </c>
      <c r="P67" s="226" t="str">
        <f t="shared" si="2"/>
        <v>#N/A</v>
      </c>
      <c r="Q67" s="227" t="str">
        <f t="shared" si="3"/>
        <v>#N/A</v>
      </c>
      <c r="R67" s="228" t="str">
        <f t="shared" si="4"/>
        <v>#N/A</v>
      </c>
      <c r="S67" s="220" t="str">
        <f t="shared" si="5"/>
        <v>#N/A</v>
      </c>
      <c r="T67" s="220" t="str">
        <f t="shared" si="6"/>
        <v>#N/A</v>
      </c>
      <c r="U67" s="221">
        <f t="shared" si="7"/>
        <v>0</v>
      </c>
      <c r="V67" s="229" t="str">
        <f>ifs($N67="",VLOOKUP($B67&amp;$E67,'VISIT DATA'!$A$2:$J100,7,FALSE), $N67="SWAB","OUTSA-RW",$N67="SWQU","OUTSA-SaQu", AND($L67="X",$M67="X",$N67="QUEST"),"OUT-UAQPre",$N67="QUEST","OUT-UAQ", $N67="Walk in","ColUATele")</f>
        <v>#N/A</v>
      </c>
      <c r="W67" s="24" t="str">
        <f t="shared" si="8"/>
        <v>#N/A</v>
      </c>
      <c r="X67" s="222" t="str">
        <f t="shared" si="9"/>
        <v/>
      </c>
      <c r="Y67" s="222" t="str">
        <f t="shared" si="10"/>
        <v/>
      </c>
      <c r="Z67" s="224" t="str">
        <f t="shared" si="11"/>
        <v> </v>
      </c>
      <c r="AA67" s="244"/>
    </row>
    <row r="68">
      <c r="A68" s="214" t="str">
        <f>IFS($B68=FALSE,"",$B68,VLOOKUP($B68,'PATIENT DATA (072721)'!A:C, 2, 0))</f>
        <v/>
      </c>
      <c r="B68" s="215"/>
      <c r="C68" s="230" t="str">
        <f>IF(COUNTIF('PATIENT DATA (072721)'!A:A, B68)=0, "X","✓")</f>
        <v>X</v>
      </c>
      <c r="D68" s="226" t="str">
        <f>IFS($B68=FALSE,"",$B68,VLOOKUP($B68,'PATIENT DATA (072721)'!A:C, 3, 0))</f>
        <v/>
      </c>
      <c r="E68" s="218"/>
      <c r="F68" s="219" t="str">
        <f>ifs($B68="","",$B68, VLOOKUP($B68&amp;$E68, 'VISIT DATA'!A:O,3,0))</f>
        <v/>
      </c>
      <c r="G68" s="231"/>
      <c r="H68" s="221" t="str">
        <f>ifs($B68="","",$B68, VLOOKUP($B68&amp;$E68, 'VISIT DATA'!$A:$O,13,0))</f>
        <v/>
      </c>
      <c r="I68" s="262" t="str">
        <f>VLOOKUP($B68&amp;$E68,'VISIT DATA'!A:J, 9, FALSE)</f>
        <v>#N/A</v>
      </c>
      <c r="J68" s="223" t="str">
        <f>VLOOKUP(B68&amp;E68,'VISIT DATA'!A:N,10,FALSE)</f>
        <v>#N/A</v>
      </c>
      <c r="K68" s="225"/>
      <c r="L68" s="224"/>
      <c r="M68" s="224"/>
      <c r="N68" s="225"/>
      <c r="O68" s="216" t="str">
        <f t="shared" si="1"/>
        <v>X</v>
      </c>
      <c r="P68" s="226" t="str">
        <f t="shared" si="2"/>
        <v>#N/A</v>
      </c>
      <c r="Q68" s="227" t="str">
        <f t="shared" si="3"/>
        <v>#N/A</v>
      </c>
      <c r="R68" s="228" t="str">
        <f t="shared" si="4"/>
        <v>#N/A</v>
      </c>
      <c r="S68" s="220" t="str">
        <f t="shared" si="5"/>
        <v>#N/A</v>
      </c>
      <c r="T68" s="220" t="str">
        <f t="shared" si="6"/>
        <v>#N/A</v>
      </c>
      <c r="U68" s="221">
        <f t="shared" si="7"/>
        <v>0</v>
      </c>
      <c r="V68" s="229" t="str">
        <f>ifs($N68="",VLOOKUP($B68&amp;$E68,'VISIT DATA'!$A$2:$J100,7,FALSE), $N68="SWAB","OUTSA-RW",$N68="SWQU","OUTSA-SaQu", AND($L68="X",$M68="X",$N68="QUEST"),"OUT-UAQPre",$N68="QUEST","OUT-UAQ", $N68="Walk in","ColUATele")</f>
        <v>#N/A</v>
      </c>
      <c r="W68" s="24" t="str">
        <f t="shared" si="8"/>
        <v>#N/A</v>
      </c>
      <c r="X68" s="222" t="str">
        <f t="shared" si="9"/>
        <v/>
      </c>
      <c r="Y68" s="222" t="str">
        <f t="shared" si="10"/>
        <v/>
      </c>
      <c r="Z68" s="224" t="str">
        <f t="shared" si="11"/>
        <v> </v>
      </c>
      <c r="AA68" s="244"/>
    </row>
    <row r="69">
      <c r="A69" s="214" t="str">
        <f>IFS($B69=FALSE,"",$B69,VLOOKUP($B69,'PATIENT DATA (072721)'!A:C, 2, 0))</f>
        <v/>
      </c>
      <c r="B69" s="215"/>
      <c r="C69" s="230" t="str">
        <f>IF(COUNTIF('PATIENT DATA (072721)'!A:A, B69)=0, "X","✓")</f>
        <v>X</v>
      </c>
      <c r="D69" s="226" t="str">
        <f>IFS($B69=FALSE,"",$B69,VLOOKUP($B69,'PATIENT DATA (072721)'!A:C, 3, 0))</f>
        <v/>
      </c>
      <c r="E69" s="218"/>
      <c r="F69" s="219" t="str">
        <f>ifs($B69="","",$B69, VLOOKUP($B69&amp;$E69, 'VISIT DATA'!A:O,3,0))</f>
        <v/>
      </c>
      <c r="G69" s="231"/>
      <c r="H69" s="221" t="str">
        <f>ifs($B69="","",$B69, VLOOKUP($B69&amp;$E69, 'VISIT DATA'!$A:$O,13,0))</f>
        <v/>
      </c>
      <c r="I69" s="262" t="str">
        <f>VLOOKUP($B69&amp;$E69,'VISIT DATA'!A:J, 9, FALSE)</f>
        <v>#N/A</v>
      </c>
      <c r="J69" s="223" t="str">
        <f>VLOOKUP(B69&amp;E69,'VISIT DATA'!A:N,10,FALSE)</f>
        <v>#N/A</v>
      </c>
      <c r="K69" s="224"/>
      <c r="L69" s="224"/>
      <c r="M69" s="224"/>
      <c r="N69" s="225"/>
      <c r="O69" s="216" t="str">
        <f t="shared" si="1"/>
        <v>X</v>
      </c>
      <c r="P69" s="226" t="str">
        <f t="shared" si="2"/>
        <v>#N/A</v>
      </c>
      <c r="Q69" s="227" t="str">
        <f t="shared" si="3"/>
        <v>#N/A</v>
      </c>
      <c r="R69" s="228" t="str">
        <f t="shared" si="4"/>
        <v>#N/A</v>
      </c>
      <c r="S69" s="220" t="str">
        <f t="shared" si="5"/>
        <v>#N/A</v>
      </c>
      <c r="T69" s="220" t="str">
        <f t="shared" si="6"/>
        <v>#N/A</v>
      </c>
      <c r="U69" s="221">
        <f t="shared" si="7"/>
        <v>0</v>
      </c>
      <c r="V69" s="229" t="str">
        <f>ifs($N69="",VLOOKUP($B69&amp;$E69,'VISIT DATA'!$A$2:$J100,7,FALSE), $N69="SWAB","OUTSA-RW",$N69="SWQU","OUTSA-SaQu", AND($L69="X",$M69="X",$N69="QUEST"),"OUT-UAQPre",$N69="QUEST","OUT-UAQ", $N69="Walk in","ColUATele")</f>
        <v>#N/A</v>
      </c>
      <c r="W69" s="24" t="str">
        <f t="shared" si="8"/>
        <v>#N/A</v>
      </c>
      <c r="X69" s="222" t="str">
        <f t="shared" si="9"/>
        <v/>
      </c>
      <c r="Y69" s="222" t="str">
        <f t="shared" si="10"/>
        <v/>
      </c>
      <c r="Z69" s="224" t="str">
        <f t="shared" si="11"/>
        <v> </v>
      </c>
      <c r="AA69" s="244"/>
    </row>
    <row r="70">
      <c r="A70" s="214" t="str">
        <f>IFS($B70=FALSE,"",$B70,VLOOKUP($B70,'PATIENT DATA (072721)'!A:C, 2, 0))</f>
        <v/>
      </c>
      <c r="B70" s="215"/>
      <c r="C70" s="230" t="str">
        <f>IF(COUNTIF('PATIENT DATA (072721)'!A:A, B70)=0, "X","✓")</f>
        <v>X</v>
      </c>
      <c r="D70" s="226" t="str">
        <f>IFS($B70=FALSE,"",$B70,VLOOKUP($B70,'PATIENT DATA (072721)'!A:C, 3, 0))</f>
        <v/>
      </c>
      <c r="E70" s="218"/>
      <c r="F70" s="219" t="str">
        <f>ifs($B70="","",$B70, VLOOKUP($B70&amp;$E70, 'VISIT DATA'!A:O,3,0))</f>
        <v/>
      </c>
      <c r="G70" s="231"/>
      <c r="H70" s="221" t="str">
        <f>ifs($B70="","",$B70, VLOOKUP($B70&amp;$E70, 'VISIT DATA'!$A:$O,13,0))</f>
        <v/>
      </c>
      <c r="I70" s="262" t="str">
        <f>VLOOKUP($B70&amp;$E70,'VISIT DATA'!A:J, 9, FALSE)</f>
        <v>#N/A</v>
      </c>
      <c r="J70" s="223" t="str">
        <f>VLOOKUP(B70&amp;E70,'VISIT DATA'!A:N,10,FALSE)</f>
        <v>#N/A</v>
      </c>
      <c r="K70" s="224"/>
      <c r="L70" s="224"/>
      <c r="M70" s="224"/>
      <c r="N70" s="225"/>
      <c r="O70" s="216" t="str">
        <f t="shared" si="1"/>
        <v>X</v>
      </c>
      <c r="P70" s="226" t="str">
        <f t="shared" si="2"/>
        <v>#N/A</v>
      </c>
      <c r="Q70" s="227" t="str">
        <f t="shared" si="3"/>
        <v>#N/A</v>
      </c>
      <c r="R70" s="228" t="str">
        <f t="shared" si="4"/>
        <v>#N/A</v>
      </c>
      <c r="S70" s="220" t="str">
        <f t="shared" si="5"/>
        <v>#N/A</v>
      </c>
      <c r="T70" s="220" t="str">
        <f t="shared" si="6"/>
        <v>#N/A</v>
      </c>
      <c r="U70" s="221">
        <f t="shared" si="7"/>
        <v>0</v>
      </c>
      <c r="V70" s="229" t="str">
        <f>ifs($N70="",VLOOKUP($B70&amp;$E70,'VISIT DATA'!$A$2:$J100,7,FALSE), $N70="SWAB","OUTSA-RW",$N70="SWQU","OUTSA-SaQu", AND($L70="X",$M70="X",$N70="QUEST"),"OUT-UAQPre",$N70="QUEST","OUT-UAQ", $N70="Walk in","ColUATele")</f>
        <v>#N/A</v>
      </c>
      <c r="W70" s="24" t="str">
        <f t="shared" si="8"/>
        <v>#N/A</v>
      </c>
      <c r="X70" s="222" t="str">
        <f t="shared" si="9"/>
        <v/>
      </c>
      <c r="Y70" s="222" t="str">
        <f t="shared" si="10"/>
        <v/>
      </c>
      <c r="Z70" s="224" t="str">
        <f t="shared" si="11"/>
        <v> </v>
      </c>
      <c r="AA70" s="244"/>
    </row>
    <row r="71">
      <c r="A71" s="214" t="str">
        <f>IFS($B71=FALSE,"",$B71,VLOOKUP($B71,'PATIENT DATA (072721)'!A:C, 2, 0))</f>
        <v/>
      </c>
      <c r="B71" s="215"/>
      <c r="C71" s="230" t="str">
        <f>IF(COUNTIF('PATIENT DATA (072721)'!A:A, B71)=0, "X","✓")</f>
        <v>X</v>
      </c>
      <c r="D71" s="226" t="str">
        <f>IFS($B71=FALSE,"",$B71,VLOOKUP($B71,'PATIENT DATA (072721)'!A:C, 3, 0))</f>
        <v/>
      </c>
      <c r="E71" s="218"/>
      <c r="F71" s="219" t="str">
        <f>ifs($B71="","",$B71, VLOOKUP($B71&amp;$E71, 'VISIT DATA'!A:O,3,0))</f>
        <v/>
      </c>
      <c r="G71" s="231"/>
      <c r="H71" s="221" t="str">
        <f>ifs($B71="","",$B71, VLOOKUP($B71&amp;$E71, 'VISIT DATA'!$A:$O,13,0))</f>
        <v/>
      </c>
      <c r="I71" s="262" t="str">
        <f>VLOOKUP($B71&amp;$E71,'VISIT DATA'!A:J, 9, FALSE)</f>
        <v>#N/A</v>
      </c>
      <c r="J71" s="223" t="str">
        <f>VLOOKUP(B71&amp;E71,'VISIT DATA'!A:N,10,FALSE)</f>
        <v>#N/A</v>
      </c>
      <c r="K71" s="225"/>
      <c r="L71" s="224"/>
      <c r="M71" s="224"/>
      <c r="N71" s="225"/>
      <c r="O71" s="216" t="str">
        <f t="shared" si="1"/>
        <v>X</v>
      </c>
      <c r="P71" s="226" t="str">
        <f t="shared" si="2"/>
        <v>#N/A</v>
      </c>
      <c r="Q71" s="227" t="str">
        <f t="shared" si="3"/>
        <v>#N/A</v>
      </c>
      <c r="R71" s="228" t="str">
        <f t="shared" si="4"/>
        <v>#N/A</v>
      </c>
      <c r="S71" s="220" t="str">
        <f t="shared" si="5"/>
        <v>#N/A</v>
      </c>
      <c r="T71" s="220" t="str">
        <f t="shared" si="6"/>
        <v>#N/A</v>
      </c>
      <c r="U71" s="221">
        <f t="shared" si="7"/>
        <v>0</v>
      </c>
      <c r="V71" s="229" t="str">
        <f>ifs($N71="",VLOOKUP($B71&amp;$E71,'VISIT DATA'!$A$2:$J100,7,FALSE), $N71="SWAB","OUTSA-RW",$N71="SWQU","OUTSA-SaQu", AND($L71="X",$M71="X",$N71="QUEST"),"OUT-UAQPre",$N71="QUEST","OUT-UAQ", $N71="Walk in","ColUATele")</f>
        <v>#N/A</v>
      </c>
      <c r="W71" s="24" t="str">
        <f t="shared" si="8"/>
        <v>#N/A</v>
      </c>
      <c r="X71" s="222" t="str">
        <f t="shared" si="9"/>
        <v/>
      </c>
      <c r="Y71" s="222" t="str">
        <f t="shared" si="10"/>
        <v/>
      </c>
      <c r="Z71" s="224" t="str">
        <f t="shared" si="11"/>
        <v> </v>
      </c>
      <c r="AA71" s="244"/>
    </row>
    <row r="72">
      <c r="A72" s="214" t="str">
        <f>IFS($B72=FALSE,"",$B72,VLOOKUP($B72,'PATIENT DATA (072721)'!A:C, 2, 0))</f>
        <v/>
      </c>
      <c r="B72" s="215"/>
      <c r="C72" s="230" t="str">
        <f>IF(COUNTIF('PATIENT DATA (072721)'!A:A, B72)=0, "X","✓")</f>
        <v>X</v>
      </c>
      <c r="D72" s="226" t="str">
        <f>IFS($B72=FALSE,"",$B72,VLOOKUP($B72,'PATIENT DATA (072721)'!A:C, 3, 0))</f>
        <v/>
      </c>
      <c r="E72" s="218"/>
      <c r="F72" s="219" t="str">
        <f>ifs($B72="","",$B72, VLOOKUP($B72&amp;$E72, 'VISIT DATA'!A:O,3,0))</f>
        <v/>
      </c>
      <c r="G72" s="231"/>
      <c r="H72" s="221" t="str">
        <f>ifs($B72="","",$B72, VLOOKUP($B72&amp;$E72, 'VISIT DATA'!$A:$O,13,0))</f>
        <v/>
      </c>
      <c r="I72" s="262" t="str">
        <f>VLOOKUP($B72&amp;$E72,'VISIT DATA'!A:J, 9, FALSE)</f>
        <v>#N/A</v>
      </c>
      <c r="J72" s="223" t="str">
        <f>VLOOKUP(B72&amp;E72,'VISIT DATA'!A:N,10,FALSE)</f>
        <v>#N/A</v>
      </c>
      <c r="K72" s="225"/>
      <c r="L72" s="224"/>
      <c r="M72" s="224"/>
      <c r="N72" s="225"/>
      <c r="O72" s="216" t="str">
        <f t="shared" si="1"/>
        <v>X</v>
      </c>
      <c r="P72" s="226" t="str">
        <f t="shared" si="2"/>
        <v>#N/A</v>
      </c>
      <c r="Q72" s="227" t="str">
        <f t="shared" si="3"/>
        <v>#N/A</v>
      </c>
      <c r="R72" s="228" t="str">
        <f t="shared" si="4"/>
        <v>#N/A</v>
      </c>
      <c r="S72" s="220" t="str">
        <f t="shared" si="5"/>
        <v>#N/A</v>
      </c>
      <c r="T72" s="220" t="str">
        <f t="shared" si="6"/>
        <v>#N/A</v>
      </c>
      <c r="U72" s="221">
        <f t="shared" si="7"/>
        <v>0</v>
      </c>
      <c r="V72" s="229" t="str">
        <f>ifs($N72="",VLOOKUP($B72&amp;$E72,'VISIT DATA'!$A$2:$J100,7,FALSE), $N72="SWAB","OUTSA-RW",$N72="SWQU","OUTSA-SaQu", AND($L72="X",$M72="X",$N72="QUEST"),"OUT-UAQPre",$N72="QUEST","OUT-UAQ", $N72="Walk in","ColUATele")</f>
        <v>#N/A</v>
      </c>
      <c r="W72" s="24" t="str">
        <f t="shared" si="8"/>
        <v>#N/A</v>
      </c>
      <c r="X72" s="222" t="str">
        <f t="shared" si="9"/>
        <v/>
      </c>
      <c r="Y72" s="222" t="str">
        <f t="shared" si="10"/>
        <v/>
      </c>
      <c r="Z72" s="224" t="str">
        <f t="shared" si="11"/>
        <v> </v>
      </c>
      <c r="AA72" s="244"/>
    </row>
    <row r="73">
      <c r="A73" s="214" t="str">
        <f>IFS($B73=FALSE,"",$B73,VLOOKUP($B73,'PATIENT DATA (072721)'!A:C, 2, 0))</f>
        <v/>
      </c>
      <c r="B73" s="215"/>
      <c r="C73" s="230" t="str">
        <f>IF(COUNTIF('PATIENT DATA (072721)'!A:A, B73)=0, "X","✓")</f>
        <v>X</v>
      </c>
      <c r="D73" s="226" t="str">
        <f>IFS($B73=FALSE,"",$B73,VLOOKUP($B73,'PATIENT DATA (072721)'!A:C, 3, 0))</f>
        <v/>
      </c>
      <c r="E73" s="218"/>
      <c r="F73" s="219" t="str">
        <f>ifs($B73="","",$B73, VLOOKUP($B73&amp;$E73, 'VISIT DATA'!A:O,3,0))</f>
        <v/>
      </c>
      <c r="G73" s="231"/>
      <c r="H73" s="221" t="str">
        <f>ifs($B73="","",$B73, VLOOKUP($B73&amp;$E73, 'VISIT DATA'!$A:$O,13,0))</f>
        <v/>
      </c>
      <c r="I73" s="262" t="str">
        <f>VLOOKUP($B73&amp;$E73,'VISIT DATA'!A:J, 9, FALSE)</f>
        <v>#N/A</v>
      </c>
      <c r="J73" s="223" t="str">
        <f>VLOOKUP(B73&amp;E73,'VISIT DATA'!A:N,10,FALSE)</f>
        <v>#N/A</v>
      </c>
      <c r="K73" s="225"/>
      <c r="L73" s="224"/>
      <c r="M73" s="224"/>
      <c r="N73" s="225"/>
      <c r="O73" s="216" t="str">
        <f t="shared" si="1"/>
        <v>X</v>
      </c>
      <c r="P73" s="226" t="str">
        <f t="shared" si="2"/>
        <v>#N/A</v>
      </c>
      <c r="Q73" s="227" t="str">
        <f t="shared" si="3"/>
        <v>#N/A</v>
      </c>
      <c r="R73" s="228" t="str">
        <f t="shared" si="4"/>
        <v>#N/A</v>
      </c>
      <c r="S73" s="220" t="str">
        <f t="shared" si="5"/>
        <v>#N/A</v>
      </c>
      <c r="T73" s="220" t="str">
        <f t="shared" si="6"/>
        <v>#N/A</v>
      </c>
      <c r="U73" s="221">
        <f t="shared" si="7"/>
        <v>0</v>
      </c>
      <c r="V73" s="229" t="str">
        <f>ifs($N73="",VLOOKUP($B73&amp;$E73,'VISIT DATA'!$A$2:$J100,7,FALSE), $N73="SWAB","OUTSA-RW",$N73="SWQU","OUTSA-SaQu", AND($L73="X",$M73="X",$N73="QUEST"),"OUT-UAQPre",$N73="QUEST","OUT-UAQ", $N73="Walk in","ColUATele")</f>
        <v>#N/A</v>
      </c>
      <c r="W73" s="24" t="str">
        <f t="shared" si="8"/>
        <v>#N/A</v>
      </c>
      <c r="X73" s="222" t="str">
        <f t="shared" si="9"/>
        <v/>
      </c>
      <c r="Y73" s="222" t="str">
        <f t="shared" si="10"/>
        <v/>
      </c>
      <c r="Z73" s="224" t="str">
        <f t="shared" si="11"/>
        <v> </v>
      </c>
      <c r="AA73" s="244"/>
    </row>
    <row r="74">
      <c r="A74" s="214" t="str">
        <f>IFS($B74=FALSE,"",$B74,VLOOKUP($B74,'PATIENT DATA (072721)'!A:C, 2, 0))</f>
        <v/>
      </c>
      <c r="B74" s="215"/>
      <c r="C74" s="230" t="str">
        <f>IF(COUNTIF('PATIENT DATA (072721)'!A:A, B74)=0, "X","✓")</f>
        <v>X</v>
      </c>
      <c r="D74" s="226" t="str">
        <f>IFS($B74=FALSE,"",$B74,VLOOKUP($B74,'PATIENT DATA (072721)'!A:C, 3, 0))</f>
        <v/>
      </c>
      <c r="E74" s="218"/>
      <c r="F74" s="219" t="str">
        <f>ifs($B74="","",$B74, VLOOKUP($B74&amp;$E74, 'VISIT DATA'!A:O,3,0))</f>
        <v/>
      </c>
      <c r="G74" s="231"/>
      <c r="H74" s="221" t="str">
        <f>ifs($B74="","",$B74, VLOOKUP($B74&amp;$E74, 'VISIT DATA'!$A:$O,13,0))</f>
        <v/>
      </c>
      <c r="I74" s="262" t="str">
        <f>VLOOKUP($B74&amp;$E74,'VISIT DATA'!A:J, 9, FALSE)</f>
        <v>#N/A</v>
      </c>
      <c r="J74" s="223" t="str">
        <f>VLOOKUP(B74&amp;E74,'VISIT DATA'!A:N,10,FALSE)</f>
        <v>#N/A</v>
      </c>
      <c r="K74" s="225"/>
      <c r="L74" s="224"/>
      <c r="M74" s="224"/>
      <c r="N74" s="225"/>
      <c r="O74" s="216" t="str">
        <f t="shared" si="1"/>
        <v>X</v>
      </c>
      <c r="P74" s="226" t="str">
        <f t="shared" si="2"/>
        <v>#N/A</v>
      </c>
      <c r="Q74" s="227" t="str">
        <f t="shared" si="3"/>
        <v>#N/A</v>
      </c>
      <c r="R74" s="228" t="str">
        <f t="shared" si="4"/>
        <v>#N/A</v>
      </c>
      <c r="S74" s="220" t="str">
        <f t="shared" si="5"/>
        <v>#N/A</v>
      </c>
      <c r="T74" s="220" t="str">
        <f t="shared" si="6"/>
        <v>#N/A</v>
      </c>
      <c r="U74" s="221">
        <f t="shared" si="7"/>
        <v>0</v>
      </c>
      <c r="V74" s="229" t="str">
        <f>ifs($N74="",VLOOKUP($B74&amp;$E74,'VISIT DATA'!$A$2:$J100,7,FALSE), $N74="SWAB","OUTSA-RW",$N74="SWQU","OUTSA-SaQu", AND($L74="X",$M74="X",$N74="QUEST"),"OUT-UAQPre",$N74="QUEST","OUT-UAQ", $N74="Walk in","ColUATele")</f>
        <v>#N/A</v>
      </c>
      <c r="W74" s="24" t="str">
        <f t="shared" si="8"/>
        <v>#N/A</v>
      </c>
      <c r="X74" s="222" t="str">
        <f t="shared" si="9"/>
        <v/>
      </c>
      <c r="Y74" s="222" t="str">
        <f t="shared" si="10"/>
        <v/>
      </c>
      <c r="Z74" s="224" t="str">
        <f t="shared" si="11"/>
        <v> </v>
      </c>
      <c r="AA74" s="244"/>
    </row>
    <row r="75">
      <c r="A75" s="214" t="str">
        <f>IFS($B75=FALSE,"",$B75,VLOOKUP($B75,'PATIENT DATA (072721)'!A:C, 2, 0))</f>
        <v/>
      </c>
      <c r="B75" s="215"/>
      <c r="C75" s="230" t="str">
        <f>IF(COUNTIF('PATIENT DATA (072721)'!A:A, B75)=0, "X","✓")</f>
        <v>X</v>
      </c>
      <c r="D75" s="226" t="str">
        <f>IFS($B75=FALSE,"",$B75,VLOOKUP($B75,'PATIENT DATA (072721)'!A:C, 3, 0))</f>
        <v/>
      </c>
      <c r="E75" s="218"/>
      <c r="F75" s="219" t="str">
        <f>ifs($B75="","",$B75, VLOOKUP($B75&amp;$E75, 'VISIT DATA'!A:O,3,0))</f>
        <v/>
      </c>
      <c r="G75" s="231"/>
      <c r="H75" s="221" t="str">
        <f>ifs($B75="","",$B75, VLOOKUP($B75&amp;$E75, 'VISIT DATA'!$A:$O,13,0))</f>
        <v/>
      </c>
      <c r="I75" s="262" t="str">
        <f>VLOOKUP($B75&amp;$E75,'VISIT DATA'!A:J, 9, FALSE)</f>
        <v>#N/A</v>
      </c>
      <c r="J75" s="223" t="str">
        <f>VLOOKUP(B75&amp;E75,'VISIT DATA'!A:N,10,FALSE)</f>
        <v>#N/A</v>
      </c>
      <c r="K75" s="225"/>
      <c r="L75" s="224"/>
      <c r="M75" s="224"/>
      <c r="N75" s="225"/>
      <c r="O75" s="216" t="str">
        <f t="shared" si="1"/>
        <v>X</v>
      </c>
      <c r="P75" s="226" t="str">
        <f t="shared" si="2"/>
        <v>#N/A</v>
      </c>
      <c r="Q75" s="227" t="str">
        <f t="shared" si="3"/>
        <v>#N/A</v>
      </c>
      <c r="R75" s="228" t="str">
        <f t="shared" si="4"/>
        <v>#N/A</v>
      </c>
      <c r="S75" s="220" t="str">
        <f t="shared" si="5"/>
        <v>#N/A</v>
      </c>
      <c r="T75" s="220" t="str">
        <f t="shared" si="6"/>
        <v>#N/A</v>
      </c>
      <c r="U75" s="221">
        <f t="shared" si="7"/>
        <v>0</v>
      </c>
      <c r="V75" s="229" t="str">
        <f>ifs($N75="",VLOOKUP($B75&amp;$E75,'VISIT DATA'!$A$2:$J100,7,FALSE), $N75="SWAB","OUTSA-RW",$N75="SWQU","OUTSA-SaQu", AND($L75="X",$M75="X",$N75="QUEST"),"OUT-UAQPre",$N75="QUEST","OUT-UAQ", $N75="Walk in","ColUATele")</f>
        <v>#N/A</v>
      </c>
      <c r="W75" s="24" t="str">
        <f t="shared" si="8"/>
        <v>#N/A</v>
      </c>
      <c r="X75" s="222" t="str">
        <f t="shared" si="9"/>
        <v/>
      </c>
      <c r="Y75" s="222" t="str">
        <f t="shared" si="10"/>
        <v/>
      </c>
      <c r="Z75" s="224" t="str">
        <f t="shared" si="11"/>
        <v> </v>
      </c>
      <c r="AA75" s="244"/>
    </row>
    <row r="76">
      <c r="A76" s="214" t="str">
        <f>IFS($B76=FALSE,"",$B76,VLOOKUP($B76,'PATIENT DATA (072721)'!A:C, 2, 0))</f>
        <v/>
      </c>
      <c r="B76" s="215"/>
      <c r="C76" s="230" t="str">
        <f>IF(COUNTIF('PATIENT DATA (072721)'!A:A, B76)=0, "X","✓")</f>
        <v>X</v>
      </c>
      <c r="D76" s="226" t="str">
        <f>IFS($B76=FALSE,"",$B76,VLOOKUP($B76,'PATIENT DATA (072721)'!A:C, 3, 0))</f>
        <v/>
      </c>
      <c r="E76" s="218"/>
      <c r="F76" s="219" t="str">
        <f>ifs($B76="","",$B76, VLOOKUP($B76&amp;$E76, 'VISIT DATA'!A:O,3,0))</f>
        <v/>
      </c>
      <c r="G76" s="231"/>
      <c r="H76" s="221" t="str">
        <f>ifs($B76="","",$B76, VLOOKUP($B76&amp;$E76, 'VISIT DATA'!$A:$O,13,0))</f>
        <v/>
      </c>
      <c r="I76" s="262" t="str">
        <f>VLOOKUP($B76&amp;$E76,'VISIT DATA'!A:J, 9, FALSE)</f>
        <v>#N/A</v>
      </c>
      <c r="J76" s="223" t="str">
        <f>VLOOKUP(B76&amp;E76,'VISIT DATA'!A:N,10,FALSE)</f>
        <v>#N/A</v>
      </c>
      <c r="K76" s="225"/>
      <c r="L76" s="224"/>
      <c r="M76" s="224"/>
      <c r="N76" s="225"/>
      <c r="O76" s="216" t="str">
        <f t="shared" si="1"/>
        <v>X</v>
      </c>
      <c r="P76" s="226" t="str">
        <f t="shared" si="2"/>
        <v>#N/A</v>
      </c>
      <c r="Q76" s="227" t="str">
        <f t="shared" si="3"/>
        <v>#N/A</v>
      </c>
      <c r="R76" s="228" t="str">
        <f t="shared" si="4"/>
        <v>#N/A</v>
      </c>
      <c r="S76" s="220" t="str">
        <f t="shared" si="5"/>
        <v>#N/A</v>
      </c>
      <c r="T76" s="220" t="str">
        <f t="shared" si="6"/>
        <v>#N/A</v>
      </c>
      <c r="U76" s="221">
        <f t="shared" si="7"/>
        <v>0</v>
      </c>
      <c r="V76" s="229" t="str">
        <f>ifs($N76="",VLOOKUP($B76&amp;$E76,'VISIT DATA'!$A$2:$J100,7,FALSE), $N76="SWAB","OUTSA-RW",$N76="SWQU","OUTSA-SaQu", AND($L76="X",$M76="X",$N76="QUEST"),"OUT-UAQPre",$N76="QUEST","OUT-UAQ", $N76="Walk in","ColUATele")</f>
        <v>#N/A</v>
      </c>
      <c r="W76" s="24" t="str">
        <f t="shared" si="8"/>
        <v>#N/A</v>
      </c>
      <c r="X76" s="222" t="str">
        <f t="shared" si="9"/>
        <v/>
      </c>
      <c r="Y76" s="222" t="str">
        <f t="shared" si="10"/>
        <v/>
      </c>
      <c r="Z76" s="224" t="str">
        <f t="shared" si="11"/>
        <v> </v>
      </c>
      <c r="AA76" s="244"/>
    </row>
    <row r="77">
      <c r="A77" s="214" t="str">
        <f>IFS($B77=FALSE,"",$B77,VLOOKUP($B77,'PATIENT DATA (072721)'!A:C, 2, 0))</f>
        <v/>
      </c>
      <c r="B77" s="215"/>
      <c r="C77" s="230" t="str">
        <f>IF(COUNTIF('PATIENT DATA (072721)'!A:A, B77)=0, "X","✓")</f>
        <v>X</v>
      </c>
      <c r="D77" s="226" t="str">
        <f>IFS($B77=FALSE,"",$B77,VLOOKUP($B77,'PATIENT DATA (072721)'!A:C, 3, 0))</f>
        <v/>
      </c>
      <c r="E77" s="218"/>
      <c r="F77" s="219" t="str">
        <f>ifs($B77="","",$B77, VLOOKUP($B77&amp;$E77, 'VISIT DATA'!A:O,3,0))</f>
        <v/>
      </c>
      <c r="G77" s="231"/>
      <c r="H77" s="221" t="str">
        <f>ifs($B77="","",$B77, VLOOKUP($B77&amp;$E77, 'VISIT DATA'!$A:$O,13,0))</f>
        <v/>
      </c>
      <c r="I77" s="262" t="str">
        <f>VLOOKUP($B77&amp;$E77,'VISIT DATA'!A:J, 9, FALSE)</f>
        <v>#N/A</v>
      </c>
      <c r="J77" s="223" t="str">
        <f>VLOOKUP(B77&amp;E77,'VISIT DATA'!A:N,10,FALSE)</f>
        <v>#N/A</v>
      </c>
      <c r="K77" s="225"/>
      <c r="L77" s="224"/>
      <c r="M77" s="224"/>
      <c r="N77" s="225"/>
      <c r="O77" s="216" t="str">
        <f t="shared" si="1"/>
        <v>X</v>
      </c>
      <c r="P77" s="226" t="str">
        <f t="shared" si="2"/>
        <v>#N/A</v>
      </c>
      <c r="Q77" s="227" t="str">
        <f t="shared" si="3"/>
        <v>#N/A</v>
      </c>
      <c r="R77" s="228" t="str">
        <f t="shared" si="4"/>
        <v>#N/A</v>
      </c>
      <c r="S77" s="220" t="str">
        <f t="shared" si="5"/>
        <v>#N/A</v>
      </c>
      <c r="T77" s="220" t="str">
        <f t="shared" si="6"/>
        <v>#N/A</v>
      </c>
      <c r="U77" s="221">
        <f t="shared" si="7"/>
        <v>0</v>
      </c>
      <c r="V77" s="229" t="str">
        <f>ifs($N77="",VLOOKUP($B77&amp;$E77,'VISIT DATA'!$A$2:$J100,7,FALSE), $N77="SWAB","OUTSA-RW",$N77="SWQU","OUTSA-SaQu", AND($L77="X",$M77="X",$N77="QUEST"),"OUT-UAQPre",$N77="QUEST","OUT-UAQ", $N77="Walk in","ColUATele")</f>
        <v>#N/A</v>
      </c>
      <c r="W77" s="24" t="str">
        <f t="shared" si="8"/>
        <v>#N/A</v>
      </c>
      <c r="X77" s="222" t="str">
        <f t="shared" si="9"/>
        <v/>
      </c>
      <c r="Y77" s="222" t="str">
        <f t="shared" si="10"/>
        <v/>
      </c>
      <c r="Z77" s="224" t="str">
        <f t="shared" si="11"/>
        <v> </v>
      </c>
      <c r="AA77" s="244"/>
    </row>
    <row r="78">
      <c r="A78" s="214" t="str">
        <f>IFS($B78=FALSE,"",$B78,VLOOKUP($B78,'PATIENT DATA (072721)'!A:C, 2, 0))</f>
        <v/>
      </c>
      <c r="B78" s="215"/>
      <c r="C78" s="230" t="str">
        <f>IF(COUNTIF('PATIENT DATA (072721)'!A:A, B78)=0, "X","✓")</f>
        <v>X</v>
      </c>
      <c r="D78" s="226" t="str">
        <f>IFS($B78=FALSE,"",$B78,VLOOKUP($B78,'PATIENT DATA (072721)'!A:C, 3, 0))</f>
        <v/>
      </c>
      <c r="E78" s="218"/>
      <c r="F78" s="219" t="str">
        <f>ifs($B78="","",$B78, VLOOKUP($B78&amp;$E78, 'VISIT DATA'!A:O,3,0))</f>
        <v/>
      </c>
      <c r="G78" s="231"/>
      <c r="H78" s="221" t="str">
        <f>ifs($B78="","",$B78, VLOOKUP($B78&amp;$E78, 'VISIT DATA'!$A:$O,13,0))</f>
        <v/>
      </c>
      <c r="I78" s="262" t="str">
        <f>VLOOKUP($B78&amp;$E78,'VISIT DATA'!A:J, 9, FALSE)</f>
        <v>#N/A</v>
      </c>
      <c r="J78" s="223" t="str">
        <f>VLOOKUP(B78&amp;E78,'VISIT DATA'!A:N,10,FALSE)</f>
        <v>#N/A</v>
      </c>
      <c r="K78" s="225"/>
      <c r="L78" s="224"/>
      <c r="M78" s="224"/>
      <c r="N78" s="225"/>
      <c r="O78" s="216" t="str">
        <f t="shared" si="1"/>
        <v>X</v>
      </c>
      <c r="P78" s="226" t="str">
        <f t="shared" si="2"/>
        <v>#N/A</v>
      </c>
      <c r="Q78" s="227" t="str">
        <f t="shared" si="3"/>
        <v>#N/A</v>
      </c>
      <c r="R78" s="228" t="str">
        <f t="shared" si="4"/>
        <v>#N/A</v>
      </c>
      <c r="S78" s="220" t="str">
        <f t="shared" si="5"/>
        <v>#N/A</v>
      </c>
      <c r="T78" s="220" t="str">
        <f t="shared" si="6"/>
        <v>#N/A</v>
      </c>
      <c r="U78" s="221">
        <f t="shared" si="7"/>
        <v>0</v>
      </c>
      <c r="V78" s="229" t="str">
        <f>ifs($N78="",VLOOKUP($B78&amp;$E78,'VISIT DATA'!$A$2:$J100,7,FALSE), $N78="SWAB","OUTSA-RW",$N78="SWQU","OUTSA-SaQu", AND($L78="X",$M78="X",$N78="QUEST"),"OUT-UAQPre",$N78="QUEST","OUT-UAQ", $N78="Walk in","ColUATele")</f>
        <v>#N/A</v>
      </c>
      <c r="W78" s="24" t="str">
        <f t="shared" si="8"/>
        <v>#N/A</v>
      </c>
      <c r="X78" s="222" t="str">
        <f t="shared" si="9"/>
        <v/>
      </c>
      <c r="Y78" s="222" t="str">
        <f t="shared" si="10"/>
        <v/>
      </c>
      <c r="Z78" s="224" t="str">
        <f t="shared" si="11"/>
        <v> </v>
      </c>
      <c r="AA78" s="244"/>
    </row>
    <row r="79">
      <c r="A79" s="214" t="str">
        <f>IFS($B79=FALSE,"",$B79,VLOOKUP($B79,'PATIENT DATA (072721)'!A:C, 2, 0))</f>
        <v/>
      </c>
      <c r="B79" s="215"/>
      <c r="C79" s="230" t="str">
        <f>IF(COUNTIF('PATIENT DATA (072721)'!A:A, B79)=0, "X","✓")</f>
        <v>X</v>
      </c>
      <c r="D79" s="226" t="str">
        <f>IFS($B79=FALSE,"",$B79,VLOOKUP($B79,'PATIENT DATA (072721)'!A:C, 3, 0))</f>
        <v/>
      </c>
      <c r="E79" s="218"/>
      <c r="F79" s="219" t="str">
        <f>ifs($B79="","",$B79, VLOOKUP($B79&amp;$E79, 'VISIT DATA'!A:O,3,0))</f>
        <v/>
      </c>
      <c r="G79" s="231"/>
      <c r="H79" s="221" t="str">
        <f>ifs($B79="","",$B79, VLOOKUP($B79&amp;$E79, 'VISIT DATA'!$A:$O,13,0))</f>
        <v/>
      </c>
      <c r="I79" s="262" t="str">
        <f>VLOOKUP($B79&amp;$E79,'VISIT DATA'!A:J, 9, FALSE)</f>
        <v>#N/A</v>
      </c>
      <c r="J79" s="223" t="str">
        <f>VLOOKUP(B79&amp;E79,'VISIT DATA'!A:N,10,FALSE)</f>
        <v>#N/A</v>
      </c>
      <c r="K79" s="225"/>
      <c r="L79" s="224"/>
      <c r="M79" s="224"/>
      <c r="N79" s="225"/>
      <c r="O79" s="216" t="str">
        <f t="shared" si="1"/>
        <v>X</v>
      </c>
      <c r="P79" s="226" t="str">
        <f t="shared" si="2"/>
        <v>#N/A</v>
      </c>
      <c r="Q79" s="227" t="str">
        <f t="shared" si="3"/>
        <v>#N/A</v>
      </c>
      <c r="R79" s="228" t="str">
        <f t="shared" si="4"/>
        <v>#N/A</v>
      </c>
      <c r="S79" s="220" t="str">
        <f t="shared" si="5"/>
        <v>#N/A</v>
      </c>
      <c r="T79" s="220" t="str">
        <f t="shared" si="6"/>
        <v>#N/A</v>
      </c>
      <c r="U79" s="221">
        <f t="shared" si="7"/>
        <v>0</v>
      </c>
      <c r="V79" s="229" t="str">
        <f>ifs($N79="",VLOOKUP($B79&amp;$E79,'VISIT DATA'!$A$2:$J100,7,FALSE), $N79="SWAB","OUTSA-RW",$N79="SWQU","OUTSA-SaQu", AND($L79="X",$M79="X",$N79="QUEST"),"OUT-UAQPre",$N79="QUEST","OUT-UAQ", $N79="Walk in","ColUATele")</f>
        <v>#N/A</v>
      </c>
      <c r="W79" s="24" t="str">
        <f t="shared" si="8"/>
        <v>#N/A</v>
      </c>
      <c r="X79" s="222" t="str">
        <f t="shared" si="9"/>
        <v/>
      </c>
      <c r="Y79" s="222" t="str">
        <f t="shared" si="10"/>
        <v/>
      </c>
      <c r="Z79" s="224" t="str">
        <f t="shared" si="11"/>
        <v> </v>
      </c>
      <c r="AA79" s="244"/>
    </row>
    <row r="80">
      <c r="A80" s="214" t="str">
        <f>IFS($B80=FALSE,"",$B80,VLOOKUP($B80,'PATIENT DATA (072721)'!A:C, 2, 0))</f>
        <v/>
      </c>
      <c r="B80" s="215"/>
      <c r="C80" s="230" t="str">
        <f>IF(COUNTIF('PATIENT DATA (072721)'!A:A, B80)=0, "X","✓")</f>
        <v>X</v>
      </c>
      <c r="D80" s="226" t="str">
        <f>IFS($B80=FALSE,"",$B80,VLOOKUP($B80,'PATIENT DATA (072721)'!A:C, 3, 0))</f>
        <v/>
      </c>
      <c r="E80" s="218"/>
      <c r="F80" s="219" t="str">
        <f>ifs($B80="","",$B80, VLOOKUP($B80&amp;$E80, 'VISIT DATA'!A:O,3,0))</f>
        <v/>
      </c>
      <c r="G80" s="231"/>
      <c r="H80" s="221" t="str">
        <f>ifs($B80="","",$B80, VLOOKUP($B80&amp;$E80, 'VISIT DATA'!$A:$O,13,0))</f>
        <v/>
      </c>
      <c r="I80" s="262" t="str">
        <f>VLOOKUP($B80&amp;$E80,'VISIT DATA'!A:J, 9, FALSE)</f>
        <v>#N/A</v>
      </c>
      <c r="J80" s="223" t="str">
        <f>VLOOKUP(B80&amp;E80,'VISIT DATA'!A:N,10,FALSE)</f>
        <v>#N/A</v>
      </c>
      <c r="K80" s="225"/>
      <c r="L80" s="224"/>
      <c r="M80" s="224"/>
      <c r="N80" s="225"/>
      <c r="O80" s="216" t="str">
        <f t="shared" si="1"/>
        <v>X</v>
      </c>
      <c r="P80" s="226" t="str">
        <f t="shared" si="2"/>
        <v>#N/A</v>
      </c>
      <c r="Q80" s="227" t="str">
        <f t="shared" si="3"/>
        <v>#N/A</v>
      </c>
      <c r="R80" s="228" t="str">
        <f t="shared" si="4"/>
        <v>#N/A</v>
      </c>
      <c r="S80" s="220" t="str">
        <f t="shared" si="5"/>
        <v>#N/A</v>
      </c>
      <c r="T80" s="220" t="str">
        <f t="shared" si="6"/>
        <v>#N/A</v>
      </c>
      <c r="U80" s="221">
        <f t="shared" si="7"/>
        <v>0</v>
      </c>
      <c r="V80" s="229" t="str">
        <f>ifs($N80="",VLOOKUP($B80&amp;$E80,'VISIT DATA'!$A$2:$J100,7,FALSE), $N80="SWAB","OUTSA-RW",$N80="SWQU","OUTSA-SaQu", AND($L80="X",$M80="X",$N80="QUEST"),"OUT-UAQPre",$N80="QUEST","OUT-UAQ", $N80="Walk in","ColUATele")</f>
        <v>#N/A</v>
      </c>
      <c r="W80" s="24" t="str">
        <f t="shared" si="8"/>
        <v>#N/A</v>
      </c>
      <c r="X80" s="222" t="str">
        <f t="shared" si="9"/>
        <v/>
      </c>
      <c r="Y80" s="222" t="str">
        <f t="shared" si="10"/>
        <v/>
      </c>
      <c r="Z80" s="224" t="str">
        <f t="shared" si="11"/>
        <v> </v>
      </c>
      <c r="AA80" s="244"/>
    </row>
    <row r="81">
      <c r="A81" s="214" t="str">
        <f>IFS($B81=FALSE,"",$B81,VLOOKUP($B81,'PATIENT DATA (072721)'!A:C, 2, 0))</f>
        <v/>
      </c>
      <c r="B81" s="215"/>
      <c r="C81" s="230" t="str">
        <f>IF(COUNTIF('PATIENT DATA (072721)'!A:A, B81)=0, "X","✓")</f>
        <v>X</v>
      </c>
      <c r="D81" s="226" t="str">
        <f>IFS($B81=FALSE,"",$B81,VLOOKUP($B81,'PATIENT DATA (072721)'!A:C, 3, 0))</f>
        <v/>
      </c>
      <c r="E81" s="218"/>
      <c r="F81" s="219" t="str">
        <f>ifs($B81="","",$B81, VLOOKUP($B81&amp;$E81, 'VISIT DATA'!A:O,3,0))</f>
        <v/>
      </c>
      <c r="G81" s="231"/>
      <c r="H81" s="221" t="str">
        <f>ifs($B81="","",$B81, VLOOKUP($B81&amp;$E81, 'VISIT DATA'!$A:$O,13,0))</f>
        <v/>
      </c>
      <c r="I81" s="262" t="str">
        <f>VLOOKUP($B81&amp;$E81,'VISIT DATA'!A:J, 9, FALSE)</f>
        <v>#N/A</v>
      </c>
      <c r="J81" s="223" t="str">
        <f>VLOOKUP(B81&amp;E81,'VISIT DATA'!A:N,10,FALSE)</f>
        <v>#N/A</v>
      </c>
      <c r="K81" s="225"/>
      <c r="L81" s="224"/>
      <c r="M81" s="224"/>
      <c r="N81" s="225"/>
      <c r="O81" s="216" t="str">
        <f t="shared" si="1"/>
        <v>X</v>
      </c>
      <c r="P81" s="226" t="str">
        <f t="shared" si="2"/>
        <v>#N/A</v>
      </c>
      <c r="Q81" s="227" t="str">
        <f t="shared" si="3"/>
        <v>#N/A</v>
      </c>
      <c r="R81" s="228" t="str">
        <f t="shared" si="4"/>
        <v>#N/A</v>
      </c>
      <c r="S81" s="220" t="str">
        <f t="shared" si="5"/>
        <v>#N/A</v>
      </c>
      <c r="T81" s="220" t="str">
        <f t="shared" si="6"/>
        <v>#N/A</v>
      </c>
      <c r="U81" s="221">
        <f t="shared" si="7"/>
        <v>0</v>
      </c>
      <c r="V81" s="229" t="str">
        <f>ifs($N81="",VLOOKUP($B81&amp;$E81,'VISIT DATA'!$A$2:$J100,7,FALSE), $N81="SWAB","OUTSA-RW",$N81="SWQU","OUTSA-SaQu", AND($L81="X",$M81="X",$N81="QUEST"),"OUT-UAQPre",$N81="QUEST","OUT-UAQ", $N81="Walk in","ColUATele")</f>
        <v>#N/A</v>
      </c>
      <c r="W81" s="24" t="str">
        <f t="shared" si="8"/>
        <v>#N/A</v>
      </c>
      <c r="X81" s="222" t="str">
        <f t="shared" si="9"/>
        <v/>
      </c>
      <c r="Y81" s="222" t="str">
        <f t="shared" si="10"/>
        <v/>
      </c>
      <c r="Z81" s="224" t="str">
        <f t="shared" si="11"/>
        <v> </v>
      </c>
      <c r="AA81" s="244"/>
    </row>
    <row r="82">
      <c r="A82" s="214" t="str">
        <f>IFS($B82=FALSE,"",$B82,VLOOKUP($B82,'PATIENT DATA (072721)'!A:C, 2, 0))</f>
        <v/>
      </c>
      <c r="B82" s="215"/>
      <c r="C82" s="230" t="str">
        <f>IF(COUNTIF('PATIENT DATA (072721)'!A:A, B82)=0, "X","✓")</f>
        <v>X</v>
      </c>
      <c r="D82" s="226" t="str">
        <f>IFS($B82=FALSE,"",$B82,VLOOKUP($B82,'PATIENT DATA (072721)'!A:C, 3, 0))</f>
        <v/>
      </c>
      <c r="E82" s="218"/>
      <c r="F82" s="219" t="str">
        <f>ifs($B82="","",$B82, VLOOKUP($B82&amp;$E82, 'VISIT DATA'!A:O,3,0))</f>
        <v/>
      </c>
      <c r="G82" s="231"/>
      <c r="H82" s="221" t="str">
        <f>ifs($B82="","",$B82, VLOOKUP($B82&amp;$E82, 'VISIT DATA'!$A:$O,13,0))</f>
        <v/>
      </c>
      <c r="I82" s="262" t="str">
        <f>VLOOKUP($B82&amp;$E82,'VISIT DATA'!A:J, 9, FALSE)</f>
        <v>#N/A</v>
      </c>
      <c r="J82" s="223" t="str">
        <f>VLOOKUP(B82&amp;E82,'VISIT DATA'!A:N,10,FALSE)</f>
        <v>#N/A</v>
      </c>
      <c r="K82" s="225"/>
      <c r="L82" s="224"/>
      <c r="M82" s="224"/>
      <c r="N82" s="225"/>
      <c r="O82" s="216" t="str">
        <f t="shared" si="1"/>
        <v>X</v>
      </c>
      <c r="P82" s="226" t="str">
        <f t="shared" si="2"/>
        <v>#N/A</v>
      </c>
      <c r="Q82" s="227" t="str">
        <f t="shared" si="3"/>
        <v>#N/A</v>
      </c>
      <c r="R82" s="228" t="str">
        <f t="shared" si="4"/>
        <v>#N/A</v>
      </c>
      <c r="S82" s="220" t="str">
        <f t="shared" si="5"/>
        <v>#N/A</v>
      </c>
      <c r="T82" s="220" t="str">
        <f t="shared" si="6"/>
        <v>#N/A</v>
      </c>
      <c r="U82" s="221">
        <f t="shared" si="7"/>
        <v>0</v>
      </c>
      <c r="V82" s="229" t="str">
        <f>ifs($N82="",VLOOKUP($B82&amp;$E82,'VISIT DATA'!$A$2:$J100,7,FALSE), $N82="SWAB","OUTSA-RW",$N82="SWQU","OUTSA-SaQu", AND($L82="X",$M82="X",$N82="QUEST"),"OUT-UAQPre",$N82="QUEST","OUT-UAQ", $N82="Walk in","ColUATele")</f>
        <v>#N/A</v>
      </c>
      <c r="W82" s="24" t="str">
        <f t="shared" si="8"/>
        <v>#N/A</v>
      </c>
      <c r="X82" s="222" t="str">
        <f t="shared" si="9"/>
        <v/>
      </c>
      <c r="Y82" s="222" t="str">
        <f t="shared" si="10"/>
        <v/>
      </c>
      <c r="Z82" s="224" t="str">
        <f t="shared" si="11"/>
        <v> </v>
      </c>
      <c r="AA82" s="244"/>
    </row>
    <row r="83">
      <c r="A83" s="214" t="str">
        <f>IFS($B83=FALSE,"",$B83,VLOOKUP($B83,'PATIENT DATA (072721)'!A:C, 2, 0))</f>
        <v/>
      </c>
      <c r="B83" s="215"/>
      <c r="C83" s="230" t="str">
        <f>IF(COUNTIF('PATIENT DATA (072721)'!A:A, B83)=0, "X","✓")</f>
        <v>X</v>
      </c>
      <c r="D83" s="226" t="str">
        <f>IFS($B83=FALSE,"",$B83,VLOOKUP($B83,'PATIENT DATA (072721)'!A:C, 3, 0))</f>
        <v/>
      </c>
      <c r="E83" s="218"/>
      <c r="F83" s="219" t="str">
        <f>ifs($B83="","",$B83, VLOOKUP($B83&amp;$E83, 'VISIT DATA'!A:O,3,0))</f>
        <v/>
      </c>
      <c r="G83" s="231"/>
      <c r="H83" s="221" t="str">
        <f>ifs($B83="","",$B83, VLOOKUP($B83&amp;$E83, 'VISIT DATA'!$A:$O,13,0))</f>
        <v/>
      </c>
      <c r="I83" s="262" t="str">
        <f>VLOOKUP($B83&amp;$E83,'VISIT DATA'!A:J, 9, FALSE)</f>
        <v>#N/A</v>
      </c>
      <c r="J83" s="223" t="str">
        <f>VLOOKUP(B83&amp;E83,'VISIT DATA'!A:N,10,FALSE)</f>
        <v>#N/A</v>
      </c>
      <c r="K83" s="225"/>
      <c r="L83" s="224"/>
      <c r="M83" s="224"/>
      <c r="N83" s="225"/>
      <c r="O83" s="216" t="str">
        <f t="shared" si="1"/>
        <v>X</v>
      </c>
      <c r="P83" s="226" t="str">
        <f t="shared" si="2"/>
        <v>#N/A</v>
      </c>
      <c r="Q83" s="227" t="str">
        <f t="shared" si="3"/>
        <v>#N/A</v>
      </c>
      <c r="R83" s="228" t="str">
        <f t="shared" si="4"/>
        <v>#N/A</v>
      </c>
      <c r="S83" s="220" t="str">
        <f t="shared" si="5"/>
        <v>#N/A</v>
      </c>
      <c r="T83" s="220" t="str">
        <f t="shared" si="6"/>
        <v>#N/A</v>
      </c>
      <c r="U83" s="221">
        <f t="shared" si="7"/>
        <v>0</v>
      </c>
      <c r="V83" s="229" t="str">
        <f>ifs($N83="",VLOOKUP($B83&amp;$E83,'VISIT DATA'!$A$2:$J100,7,FALSE), $N83="SWAB","OUTSA-RW",$N83="SWQU","OUTSA-SaQu", AND($L83="X",$M83="X",$N83="QUEST"),"OUT-UAQPre",$N83="QUEST","OUT-UAQ", $N83="Walk in","ColUATele")</f>
        <v>#N/A</v>
      </c>
      <c r="W83" s="24" t="str">
        <f t="shared" si="8"/>
        <v>#N/A</v>
      </c>
      <c r="X83" s="222" t="str">
        <f t="shared" si="9"/>
        <v/>
      </c>
      <c r="Y83" s="222" t="str">
        <f t="shared" si="10"/>
        <v/>
      </c>
      <c r="Z83" s="224" t="str">
        <f t="shared" si="11"/>
        <v> </v>
      </c>
      <c r="AA83" s="244"/>
    </row>
    <row r="84">
      <c r="A84" s="214" t="str">
        <f>IFS($B84=FALSE,"",$B84,VLOOKUP($B84,'PATIENT DATA (072721)'!A:C, 2, 0))</f>
        <v/>
      </c>
      <c r="B84" s="215"/>
      <c r="C84" s="230" t="str">
        <f>IF(COUNTIF('PATIENT DATA (072721)'!A:A, B84)=0, "X","✓")</f>
        <v>X</v>
      </c>
      <c r="D84" s="226" t="str">
        <f>IFS($B84=FALSE,"",$B84,VLOOKUP($B84,'PATIENT DATA (072721)'!A:C, 3, 0))</f>
        <v/>
      </c>
      <c r="E84" s="218"/>
      <c r="F84" s="219" t="str">
        <f>ifs($B84="","",$B84, VLOOKUP($B84&amp;$E84, 'VISIT DATA'!A:O,3,0))</f>
        <v/>
      </c>
      <c r="G84" s="231"/>
      <c r="H84" s="221" t="str">
        <f>ifs($B84="","",$B84, VLOOKUP($B84&amp;$E84, 'VISIT DATA'!$A:$O,13,0))</f>
        <v/>
      </c>
      <c r="I84" s="262" t="str">
        <f>VLOOKUP($B84&amp;$E84,'VISIT DATA'!A:J, 9, FALSE)</f>
        <v>#N/A</v>
      </c>
      <c r="J84" s="223" t="str">
        <f>VLOOKUP(B84&amp;E84,'VISIT DATA'!A:N,10,FALSE)</f>
        <v>#N/A</v>
      </c>
      <c r="K84" s="225"/>
      <c r="L84" s="224"/>
      <c r="M84" s="224"/>
      <c r="N84" s="225"/>
      <c r="O84" s="216" t="str">
        <f t="shared" si="1"/>
        <v>X</v>
      </c>
      <c r="P84" s="226" t="str">
        <f t="shared" si="2"/>
        <v>#N/A</v>
      </c>
      <c r="Q84" s="227" t="str">
        <f t="shared" si="3"/>
        <v>#N/A</v>
      </c>
      <c r="R84" s="228" t="str">
        <f t="shared" si="4"/>
        <v>#N/A</v>
      </c>
      <c r="S84" s="220" t="str">
        <f t="shared" si="5"/>
        <v>#N/A</v>
      </c>
      <c r="T84" s="220" t="str">
        <f t="shared" si="6"/>
        <v>#N/A</v>
      </c>
      <c r="U84" s="221">
        <f t="shared" si="7"/>
        <v>0</v>
      </c>
      <c r="V84" s="229" t="str">
        <f>ifs($N84="",VLOOKUP($B84&amp;$E84,'VISIT DATA'!$A$2:$J100,7,FALSE), $N84="SWAB","OUTSA-RW",$N84="SWQU","OUTSA-SaQu", AND($L84="X",$M84="X",$N84="QUEST"),"OUT-UAQPre",$N84="QUEST","OUT-UAQ", $N84="Walk in","ColUATele")</f>
        <v>#N/A</v>
      </c>
      <c r="W84" s="24" t="str">
        <f t="shared" si="8"/>
        <v>#N/A</v>
      </c>
      <c r="X84" s="222" t="str">
        <f t="shared" si="9"/>
        <v/>
      </c>
      <c r="Y84" s="222" t="str">
        <f t="shared" si="10"/>
        <v/>
      </c>
      <c r="Z84" s="224" t="str">
        <f t="shared" si="11"/>
        <v> </v>
      </c>
      <c r="AA84" s="244"/>
    </row>
    <row r="85">
      <c r="A85" s="214" t="str">
        <f>IFS($B85=FALSE,"",$B85,VLOOKUP($B85,'PATIENT DATA (072721)'!A:C, 2, 0))</f>
        <v/>
      </c>
      <c r="B85" s="215"/>
      <c r="C85" s="230" t="str">
        <f>IF(COUNTIF('PATIENT DATA (072721)'!A:A, B85)=0, "X","✓")</f>
        <v>X</v>
      </c>
      <c r="D85" s="226" t="str">
        <f>IFS($B85=FALSE,"",$B85,VLOOKUP($B85,'PATIENT DATA (072721)'!A:C, 3, 0))</f>
        <v/>
      </c>
      <c r="E85" s="218"/>
      <c r="F85" s="219" t="str">
        <f>ifs($B85="","",$B85, VLOOKUP($B85&amp;$E85, 'VISIT DATA'!A:O,3,0))</f>
        <v/>
      </c>
      <c r="G85" s="231"/>
      <c r="H85" s="221" t="str">
        <f>ifs($B85="","",$B85, VLOOKUP($B85&amp;$E85, 'VISIT DATA'!$A:$O,13,0))</f>
        <v/>
      </c>
      <c r="I85" s="262" t="str">
        <f>VLOOKUP($B85&amp;$E85,'VISIT DATA'!A:J, 9, FALSE)</f>
        <v>#N/A</v>
      </c>
      <c r="J85" s="223" t="str">
        <f>VLOOKUP(B85&amp;E85,'VISIT DATA'!A:N,10,FALSE)</f>
        <v>#N/A</v>
      </c>
      <c r="K85" s="225"/>
      <c r="L85" s="224"/>
      <c r="M85" s="224"/>
      <c r="N85" s="225"/>
      <c r="O85" s="216" t="str">
        <f t="shared" si="1"/>
        <v>X</v>
      </c>
      <c r="P85" s="226" t="str">
        <f t="shared" si="2"/>
        <v>#N/A</v>
      </c>
      <c r="Q85" s="227" t="str">
        <f t="shared" si="3"/>
        <v>#N/A</v>
      </c>
      <c r="R85" s="228" t="str">
        <f t="shared" si="4"/>
        <v>#N/A</v>
      </c>
      <c r="S85" s="220" t="str">
        <f t="shared" si="5"/>
        <v>#N/A</v>
      </c>
      <c r="T85" s="220" t="str">
        <f t="shared" si="6"/>
        <v>#N/A</v>
      </c>
      <c r="U85" s="221">
        <f t="shared" si="7"/>
        <v>0</v>
      </c>
      <c r="V85" s="229" t="str">
        <f>ifs($N85="",VLOOKUP($B85&amp;$E85,'VISIT DATA'!$A$2:$J100,7,FALSE), $N85="SWAB","OUTSA-RW",$N85="SWQU","OUTSA-SaQu", AND($L85="X",$M85="X",$N85="QUEST"),"OUT-UAQPre",$N85="QUEST","OUT-UAQ", $N85="Walk in","ColUATele")</f>
        <v>#N/A</v>
      </c>
      <c r="W85" s="24" t="str">
        <f t="shared" si="8"/>
        <v>#N/A</v>
      </c>
      <c r="X85" s="222" t="str">
        <f t="shared" si="9"/>
        <v/>
      </c>
      <c r="Y85" s="222" t="str">
        <f t="shared" si="10"/>
        <v/>
      </c>
      <c r="Z85" s="224" t="str">
        <f t="shared" si="11"/>
        <v> </v>
      </c>
      <c r="AA85" s="244"/>
    </row>
    <row r="86">
      <c r="A86" s="214" t="str">
        <f>IFS($B86=FALSE,"",$B86,VLOOKUP($B86,'PATIENT DATA (072721)'!A:C, 2, 0))</f>
        <v/>
      </c>
      <c r="B86" s="215"/>
      <c r="C86" s="230" t="str">
        <f>IF(COUNTIF('PATIENT DATA (072721)'!A:A, B86)=0, "X","✓")</f>
        <v>X</v>
      </c>
      <c r="D86" s="226" t="str">
        <f>IFS($B86=FALSE,"",$B86,VLOOKUP($B86,'PATIENT DATA (072721)'!A:C, 3, 0))</f>
        <v/>
      </c>
      <c r="E86" s="218"/>
      <c r="F86" s="219" t="str">
        <f>ifs($B86="","",$B86, VLOOKUP($B86&amp;$E86, 'VISIT DATA'!A:O,3,0))</f>
        <v/>
      </c>
      <c r="G86" s="231"/>
      <c r="H86" s="221" t="str">
        <f>ifs($B86="","",$B86, VLOOKUP($B86&amp;$E86, 'VISIT DATA'!$A:$O,13,0))</f>
        <v/>
      </c>
      <c r="I86" s="262" t="str">
        <f>VLOOKUP($B86&amp;$E86,'VISIT DATA'!A:J, 9, FALSE)</f>
        <v>#N/A</v>
      </c>
      <c r="J86" s="223" t="str">
        <f>VLOOKUP(B86&amp;E86,'VISIT DATA'!A:N,10,FALSE)</f>
        <v>#N/A</v>
      </c>
      <c r="K86" s="225"/>
      <c r="L86" s="224"/>
      <c r="M86" s="224"/>
      <c r="N86" s="225"/>
      <c r="O86" s="216" t="str">
        <f t="shared" si="1"/>
        <v>X</v>
      </c>
      <c r="P86" s="226" t="str">
        <f t="shared" si="2"/>
        <v>#N/A</v>
      </c>
      <c r="Q86" s="227" t="str">
        <f t="shared" si="3"/>
        <v>#N/A</v>
      </c>
      <c r="R86" s="228" t="str">
        <f t="shared" si="4"/>
        <v>#N/A</v>
      </c>
      <c r="S86" s="220" t="str">
        <f t="shared" si="5"/>
        <v>#N/A</v>
      </c>
      <c r="T86" s="220" t="str">
        <f t="shared" si="6"/>
        <v>#N/A</v>
      </c>
      <c r="U86" s="221">
        <f t="shared" si="7"/>
        <v>0</v>
      </c>
      <c r="V86" s="229" t="str">
        <f>ifs($N86="",VLOOKUP($B86&amp;$E86,'VISIT DATA'!$A$2:$J100,7,FALSE), $N86="SWAB","OUTSA-RW",$N86="SWQU","OUTSA-SaQu", AND($L86="X",$M86="X",$N86="QUEST"),"OUT-UAQPre",$N86="QUEST","OUT-UAQ", $N86="Walk in","ColUATele")</f>
        <v>#N/A</v>
      </c>
      <c r="W86" s="24" t="str">
        <f t="shared" si="8"/>
        <v>#N/A</v>
      </c>
      <c r="X86" s="222" t="str">
        <f t="shared" si="9"/>
        <v/>
      </c>
      <c r="Y86" s="222" t="str">
        <f t="shared" si="10"/>
        <v/>
      </c>
      <c r="Z86" s="224" t="str">
        <f t="shared" si="11"/>
        <v> </v>
      </c>
      <c r="AA86" s="244"/>
    </row>
    <row r="87">
      <c r="A87" s="214" t="str">
        <f>IFS($B87=FALSE,"",$B87,VLOOKUP($B87,'PATIENT DATA (072721)'!A:C, 2, 0))</f>
        <v/>
      </c>
      <c r="B87" s="215"/>
      <c r="C87" s="230" t="str">
        <f>IF(COUNTIF('PATIENT DATA (072721)'!A:A, B87)=0, "X","✓")</f>
        <v>X</v>
      </c>
      <c r="D87" s="226" t="str">
        <f>IFS($B87=FALSE,"",$B87,VLOOKUP($B87,'PATIENT DATA (072721)'!A:C, 3, 0))</f>
        <v/>
      </c>
      <c r="E87" s="218"/>
      <c r="F87" s="219" t="str">
        <f>ifs($B87="","",$B87, VLOOKUP($B87&amp;$E87, 'VISIT DATA'!A:O,3,0))</f>
        <v/>
      </c>
      <c r="G87" s="231"/>
      <c r="H87" s="221" t="str">
        <f>ifs($B87="","",$B87, VLOOKUP($B87&amp;$E87, 'VISIT DATA'!$A:$O,13,0))</f>
        <v/>
      </c>
      <c r="I87" s="262" t="str">
        <f>VLOOKUP($B87&amp;$E87,'VISIT DATA'!A:J, 9, FALSE)</f>
        <v>#N/A</v>
      </c>
      <c r="J87" s="223" t="str">
        <f>VLOOKUP(B87&amp;E87,'VISIT DATA'!A:N,10,FALSE)</f>
        <v>#N/A</v>
      </c>
      <c r="K87" s="225"/>
      <c r="L87" s="224"/>
      <c r="M87" s="224"/>
      <c r="N87" s="225"/>
      <c r="O87" s="216" t="str">
        <f t="shared" si="1"/>
        <v>X</v>
      </c>
      <c r="P87" s="226" t="str">
        <f t="shared" si="2"/>
        <v>#N/A</v>
      </c>
      <c r="Q87" s="227" t="str">
        <f t="shared" si="3"/>
        <v>#N/A</v>
      </c>
      <c r="R87" s="228" t="str">
        <f t="shared" si="4"/>
        <v>#N/A</v>
      </c>
      <c r="S87" s="220" t="str">
        <f t="shared" si="5"/>
        <v>#N/A</v>
      </c>
      <c r="T87" s="220" t="str">
        <f t="shared" si="6"/>
        <v>#N/A</v>
      </c>
      <c r="U87" s="221">
        <f t="shared" si="7"/>
        <v>0</v>
      </c>
      <c r="V87" s="229" t="str">
        <f>ifs($N87="",VLOOKUP($B87&amp;$E87,'VISIT DATA'!$A$2:$J100,7,FALSE), $N87="SWAB","OUTSA-RW",$N87="SWQU","OUTSA-SaQu", AND($L87="X",$M87="X",$N87="QUEST"),"OUT-UAQPre",$N87="QUEST","OUT-UAQ", $N87="Walk in","ColUATele")</f>
        <v>#N/A</v>
      </c>
      <c r="W87" s="24" t="str">
        <f t="shared" si="8"/>
        <v>#N/A</v>
      </c>
      <c r="X87" s="222" t="str">
        <f t="shared" si="9"/>
        <v/>
      </c>
      <c r="Y87" s="222" t="str">
        <f t="shared" si="10"/>
        <v/>
      </c>
      <c r="Z87" s="224" t="str">
        <f t="shared" si="11"/>
        <v> </v>
      </c>
      <c r="AA87" s="244"/>
    </row>
    <row r="88">
      <c r="A88" s="214" t="str">
        <f>IFS($B88=FALSE,"",$B88,VLOOKUP($B88,'PATIENT DATA (072721)'!A:C, 2, 0))</f>
        <v/>
      </c>
      <c r="B88" s="215"/>
      <c r="C88" s="230" t="str">
        <f>IF(COUNTIF('PATIENT DATA (072721)'!A:A, B88)=0, "X","✓")</f>
        <v>X</v>
      </c>
      <c r="D88" s="226" t="str">
        <f>IFS($B88=FALSE,"",$B88,VLOOKUP($B88,'PATIENT DATA (072721)'!A:C, 3, 0))</f>
        <v/>
      </c>
      <c r="E88" s="218"/>
      <c r="F88" s="219" t="str">
        <f>ifs($B88="","",$B88, VLOOKUP($B88&amp;$E88, 'VISIT DATA'!A:O,3,0))</f>
        <v/>
      </c>
      <c r="G88" s="231"/>
      <c r="H88" s="221" t="str">
        <f>ifs($B88="","",$B88, VLOOKUP($B88&amp;$E88, 'VISIT DATA'!$A:$O,13,0))</f>
        <v/>
      </c>
      <c r="I88" s="262" t="str">
        <f>VLOOKUP($B88&amp;$E88,'VISIT DATA'!A:J, 9, FALSE)</f>
        <v>#N/A</v>
      </c>
      <c r="J88" s="223" t="str">
        <f>VLOOKUP(B88&amp;E88,'VISIT DATA'!A:N,10,FALSE)</f>
        <v>#N/A</v>
      </c>
      <c r="K88" s="225"/>
      <c r="L88" s="224"/>
      <c r="M88" s="224"/>
      <c r="N88" s="225"/>
      <c r="O88" s="216" t="str">
        <f t="shared" si="1"/>
        <v>X</v>
      </c>
      <c r="P88" s="226" t="str">
        <f t="shared" si="2"/>
        <v>#N/A</v>
      </c>
      <c r="Q88" s="227" t="str">
        <f t="shared" si="3"/>
        <v>#N/A</v>
      </c>
      <c r="R88" s="228" t="str">
        <f t="shared" si="4"/>
        <v>#N/A</v>
      </c>
      <c r="S88" s="220" t="str">
        <f t="shared" si="5"/>
        <v>#N/A</v>
      </c>
      <c r="T88" s="220" t="str">
        <f t="shared" si="6"/>
        <v>#N/A</v>
      </c>
      <c r="U88" s="221">
        <f t="shared" si="7"/>
        <v>0</v>
      </c>
      <c r="V88" s="229" t="str">
        <f>ifs($N88="",VLOOKUP($B88&amp;$E88,'VISIT DATA'!$A$2:$J100,7,FALSE), $N88="SWAB","OUTSA-RW",$N88="SWQU","OUTSA-SaQu", AND($L88="X",$M88="X",$N88="QUEST"),"OUT-UAQPre",$N88="QUEST","OUT-UAQ", $N88="Walk in","ColUATele")</f>
        <v>#N/A</v>
      </c>
      <c r="W88" s="24" t="str">
        <f t="shared" si="8"/>
        <v>#N/A</v>
      </c>
      <c r="X88" s="222" t="str">
        <f t="shared" si="9"/>
        <v/>
      </c>
      <c r="Y88" s="222" t="str">
        <f t="shared" si="10"/>
        <v/>
      </c>
      <c r="Z88" s="224" t="str">
        <f t="shared" si="11"/>
        <v> </v>
      </c>
      <c r="AA88" s="244"/>
    </row>
    <row r="89">
      <c r="A89" s="214" t="str">
        <f>IFS($B89=FALSE,"",$B89,VLOOKUP($B89,'PATIENT DATA (072721)'!A:C, 2, 0))</f>
        <v/>
      </c>
      <c r="B89" s="215"/>
      <c r="C89" s="230" t="str">
        <f>IF(COUNTIF('PATIENT DATA (072721)'!A:A, B89)=0, "X","✓")</f>
        <v>X</v>
      </c>
      <c r="D89" s="226" t="str">
        <f>IFS($B89=FALSE,"",$B89,VLOOKUP($B89,'PATIENT DATA (072721)'!A:C, 3, 0))</f>
        <v/>
      </c>
      <c r="E89" s="218"/>
      <c r="F89" s="219" t="str">
        <f>ifs($B89="","",$B89, VLOOKUP($B89&amp;$E89, 'VISIT DATA'!A:O,3,0))</f>
        <v/>
      </c>
      <c r="G89" s="231"/>
      <c r="H89" s="221" t="str">
        <f>ifs($B89="","",$B89, VLOOKUP($B89&amp;$E89, 'VISIT DATA'!$A:$O,13,0))</f>
        <v/>
      </c>
      <c r="I89" s="262" t="str">
        <f>VLOOKUP($B89&amp;$E89,'VISIT DATA'!A:J, 9, FALSE)</f>
        <v>#N/A</v>
      </c>
      <c r="J89" s="223" t="str">
        <f>VLOOKUP(B89&amp;E89,'VISIT DATA'!A:N,10,FALSE)</f>
        <v>#N/A</v>
      </c>
      <c r="K89" s="225"/>
      <c r="L89" s="224"/>
      <c r="M89" s="224"/>
      <c r="N89" s="225"/>
      <c r="O89" s="216" t="str">
        <f t="shared" si="1"/>
        <v>X</v>
      </c>
      <c r="P89" s="226" t="str">
        <f t="shared" si="2"/>
        <v>#N/A</v>
      </c>
      <c r="Q89" s="227" t="str">
        <f t="shared" si="3"/>
        <v>#N/A</v>
      </c>
      <c r="R89" s="228" t="str">
        <f t="shared" si="4"/>
        <v>#N/A</v>
      </c>
      <c r="S89" s="220" t="str">
        <f t="shared" si="5"/>
        <v>#N/A</v>
      </c>
      <c r="T89" s="220" t="str">
        <f t="shared" si="6"/>
        <v>#N/A</v>
      </c>
      <c r="U89" s="221">
        <f t="shared" si="7"/>
        <v>0</v>
      </c>
      <c r="V89" s="229" t="str">
        <f>ifs($N89="",VLOOKUP($B89&amp;$E89,'VISIT DATA'!$A$2:$J100,7,FALSE), $N89="SWAB","OUTSA-RW",$N89="SWQU","OUTSA-SaQu", AND($L89="X",$M89="X",$N89="QUEST"),"OUT-UAQPre",$N89="QUEST","OUT-UAQ", $N89="Walk in","ColUATele")</f>
        <v>#N/A</v>
      </c>
      <c r="W89" s="24" t="str">
        <f t="shared" si="8"/>
        <v>#N/A</v>
      </c>
      <c r="X89" s="222" t="str">
        <f t="shared" si="9"/>
        <v/>
      </c>
      <c r="Y89" s="222" t="str">
        <f t="shared" si="10"/>
        <v/>
      </c>
      <c r="Z89" s="224" t="str">
        <f t="shared" si="11"/>
        <v> </v>
      </c>
      <c r="AA89" s="244"/>
    </row>
    <row r="90">
      <c r="A90" s="214" t="str">
        <f>IFS($B90=FALSE,"",$B90,VLOOKUP($B90,'PATIENT DATA (072721)'!A:C, 2, 0))</f>
        <v/>
      </c>
      <c r="B90" s="215"/>
      <c r="C90" s="230" t="str">
        <f>IF(COUNTIF('PATIENT DATA (072721)'!A:A, B90)=0, "X","✓")</f>
        <v>X</v>
      </c>
      <c r="D90" s="226" t="str">
        <f>IFS($B90=FALSE,"",$B90,VLOOKUP($B90,'PATIENT DATA (072721)'!A:C, 3, 0))</f>
        <v/>
      </c>
      <c r="E90" s="218"/>
      <c r="F90" s="219" t="str">
        <f>ifs($B90="","",$B90, VLOOKUP($B90&amp;$E90, 'VISIT DATA'!A:O,3,0))</f>
        <v/>
      </c>
      <c r="G90" s="231"/>
      <c r="H90" s="221" t="str">
        <f>ifs($B90="","",$B90, VLOOKUP($B90&amp;$E90, 'VISIT DATA'!$A:$O,13,0))</f>
        <v/>
      </c>
      <c r="I90" s="262" t="str">
        <f>VLOOKUP($B90&amp;$E90,'VISIT DATA'!A:J, 9, FALSE)</f>
        <v>#N/A</v>
      </c>
      <c r="J90" s="223" t="str">
        <f>VLOOKUP(B90&amp;E90,'VISIT DATA'!A:N,10,FALSE)</f>
        <v>#N/A</v>
      </c>
      <c r="K90" s="225"/>
      <c r="L90" s="224"/>
      <c r="M90" s="224"/>
      <c r="N90" s="225"/>
      <c r="O90" s="216" t="str">
        <f t="shared" si="1"/>
        <v>X</v>
      </c>
      <c r="P90" s="226" t="str">
        <f t="shared" si="2"/>
        <v>#N/A</v>
      </c>
      <c r="Q90" s="227" t="str">
        <f t="shared" si="3"/>
        <v>#N/A</v>
      </c>
      <c r="R90" s="228" t="str">
        <f t="shared" si="4"/>
        <v>#N/A</v>
      </c>
      <c r="S90" s="220" t="str">
        <f t="shared" si="5"/>
        <v>#N/A</v>
      </c>
      <c r="T90" s="220" t="str">
        <f t="shared" si="6"/>
        <v>#N/A</v>
      </c>
      <c r="U90" s="221">
        <f t="shared" si="7"/>
        <v>0</v>
      </c>
      <c r="V90" s="229" t="str">
        <f>ifs($N90="",VLOOKUP($B90&amp;$E90,'VISIT DATA'!$A$2:$J100,7,FALSE), $N90="SWAB","OUTSA-RW",$N90="SWQU","OUTSA-SaQu", AND($L90="X",$M90="X",$N90="QUEST"),"OUT-UAQPre",$N90="QUEST","OUT-UAQ", $N90="Walk in","ColUATele")</f>
        <v>#N/A</v>
      </c>
      <c r="W90" s="24" t="str">
        <f t="shared" si="8"/>
        <v>#N/A</v>
      </c>
      <c r="X90" s="222" t="str">
        <f t="shared" si="9"/>
        <v/>
      </c>
      <c r="Y90" s="222" t="str">
        <f t="shared" si="10"/>
        <v/>
      </c>
      <c r="Z90" s="224" t="str">
        <f t="shared" si="11"/>
        <v> </v>
      </c>
      <c r="AA90" s="244"/>
    </row>
    <row r="91">
      <c r="A91" s="214" t="str">
        <f>IFS($B91=FALSE,"",$B91,VLOOKUP($B91,'PATIENT DATA (072721)'!A:C, 2, 0))</f>
        <v/>
      </c>
      <c r="B91" s="215"/>
      <c r="C91" s="230" t="str">
        <f>IF(COUNTIF('PATIENT DATA (072721)'!A:A, B91)=0, "X","✓")</f>
        <v>X</v>
      </c>
      <c r="D91" s="226" t="str">
        <f>IFS($B91=FALSE,"",$B91,VLOOKUP($B91,'PATIENT DATA (072721)'!A:C, 3, 0))</f>
        <v/>
      </c>
      <c r="E91" s="218"/>
      <c r="F91" s="219" t="str">
        <f>ifs($B91="","",$B91, VLOOKUP($B91&amp;$E91, 'VISIT DATA'!A:O,3,0))</f>
        <v/>
      </c>
      <c r="G91" s="231"/>
      <c r="H91" s="221" t="str">
        <f>ifs($B91="","",$B91, VLOOKUP($B91&amp;$E91, 'VISIT DATA'!$A:$O,13,0))</f>
        <v/>
      </c>
      <c r="I91" s="262" t="str">
        <f>VLOOKUP($B91&amp;$E91,'VISIT DATA'!A:J, 9, FALSE)</f>
        <v>#N/A</v>
      </c>
      <c r="J91" s="223" t="str">
        <f>VLOOKUP(B91&amp;E91,'VISIT DATA'!A:N,10,FALSE)</f>
        <v>#N/A</v>
      </c>
      <c r="K91" s="225"/>
      <c r="L91" s="224"/>
      <c r="M91" s="224"/>
      <c r="N91" s="225"/>
      <c r="O91" s="216" t="str">
        <f t="shared" si="1"/>
        <v>X</v>
      </c>
      <c r="P91" s="226" t="str">
        <f t="shared" si="2"/>
        <v>#N/A</v>
      </c>
      <c r="Q91" s="227" t="str">
        <f t="shared" si="3"/>
        <v>#N/A</v>
      </c>
      <c r="R91" s="228" t="str">
        <f t="shared" si="4"/>
        <v>#N/A</v>
      </c>
      <c r="S91" s="220" t="str">
        <f t="shared" si="5"/>
        <v>#N/A</v>
      </c>
      <c r="T91" s="220" t="str">
        <f t="shared" si="6"/>
        <v>#N/A</v>
      </c>
      <c r="U91" s="221">
        <f t="shared" si="7"/>
        <v>0</v>
      </c>
      <c r="V91" s="229" t="str">
        <f>ifs($N91="",VLOOKUP($B91&amp;$E91,'VISIT DATA'!$A$2:$J100,7,FALSE), $N91="SWAB","OUTSA-RW",$N91="SWQU","OUTSA-SaQu", AND($L91="X",$M91="X",$N91="QUEST"),"OUT-UAQPre",$N91="QUEST","OUT-UAQ", $N91="Walk in","ColUATele")</f>
        <v>#N/A</v>
      </c>
      <c r="W91" s="24" t="str">
        <f t="shared" si="8"/>
        <v>#N/A</v>
      </c>
      <c r="X91" s="222" t="str">
        <f t="shared" si="9"/>
        <v/>
      </c>
      <c r="Y91" s="222" t="str">
        <f t="shared" si="10"/>
        <v/>
      </c>
      <c r="Z91" s="224" t="str">
        <f t="shared" si="11"/>
        <v> </v>
      </c>
      <c r="AA91" s="244"/>
    </row>
    <row r="92">
      <c r="A92" s="214" t="str">
        <f>IFS($B92=FALSE,"",$B92,VLOOKUP($B92,'PATIENT DATA (072721)'!A:C, 2, 0))</f>
        <v/>
      </c>
      <c r="B92" s="215"/>
      <c r="C92" s="230" t="str">
        <f>IF(COUNTIF('PATIENT DATA (072721)'!A:A, B92)=0, "X","✓")</f>
        <v>X</v>
      </c>
      <c r="D92" s="226" t="str">
        <f>IFS($B92=FALSE,"",$B92,VLOOKUP($B92,'PATIENT DATA (072721)'!A:C, 3, 0))</f>
        <v/>
      </c>
      <c r="E92" s="218"/>
      <c r="F92" s="219" t="str">
        <f>ifs($B92="","",$B92, VLOOKUP($B92&amp;$E92, 'VISIT DATA'!A:O,3,0))</f>
        <v/>
      </c>
      <c r="G92" s="231"/>
      <c r="H92" s="221" t="str">
        <f>ifs($B92="","",$B92, VLOOKUP($B92&amp;$E92, 'VISIT DATA'!$A:$O,13,0))</f>
        <v/>
      </c>
      <c r="I92" s="262" t="str">
        <f>VLOOKUP($B92&amp;$E92,'VISIT DATA'!A:J, 9, FALSE)</f>
        <v>#N/A</v>
      </c>
      <c r="J92" s="223" t="str">
        <f>VLOOKUP(B92&amp;E92,'VISIT DATA'!A:N,10,FALSE)</f>
        <v>#N/A</v>
      </c>
      <c r="K92" s="225"/>
      <c r="L92" s="224"/>
      <c r="M92" s="224"/>
      <c r="N92" s="225"/>
      <c r="O92" s="216" t="str">
        <f t="shared" si="1"/>
        <v>X</v>
      </c>
      <c r="P92" s="226" t="str">
        <f t="shared" si="2"/>
        <v>#N/A</v>
      </c>
      <c r="Q92" s="227" t="str">
        <f t="shared" si="3"/>
        <v>#N/A</v>
      </c>
      <c r="R92" s="228" t="str">
        <f t="shared" si="4"/>
        <v>#N/A</v>
      </c>
      <c r="S92" s="220" t="str">
        <f t="shared" si="5"/>
        <v>#N/A</v>
      </c>
      <c r="T92" s="220" t="str">
        <f t="shared" si="6"/>
        <v>#N/A</v>
      </c>
      <c r="U92" s="221">
        <f t="shared" si="7"/>
        <v>0</v>
      </c>
      <c r="V92" s="229" t="str">
        <f>ifs($N92="",VLOOKUP($B92&amp;$E92,'VISIT DATA'!$A$2:$J100,7,FALSE), $N92="SWAB","OUTSA-RW",$N92="SWQU","OUTSA-SaQu", AND($L92="X",$M92="X",$N92="QUEST"),"OUT-UAQPre",$N92="QUEST","OUT-UAQ", $N92="Walk in","ColUATele")</f>
        <v>#N/A</v>
      </c>
      <c r="W92" s="24" t="str">
        <f t="shared" si="8"/>
        <v>#N/A</v>
      </c>
      <c r="X92" s="222" t="str">
        <f t="shared" si="9"/>
        <v/>
      </c>
      <c r="Y92" s="222" t="str">
        <f t="shared" si="10"/>
        <v/>
      </c>
      <c r="Z92" s="224" t="str">
        <f t="shared" si="11"/>
        <v> </v>
      </c>
      <c r="AA92" s="244"/>
    </row>
    <row r="93">
      <c r="A93" s="214" t="str">
        <f>IFS($B93=FALSE,"",$B93,VLOOKUP($B93,'PATIENT DATA (072721)'!A:C, 2, 0))</f>
        <v/>
      </c>
      <c r="B93" s="215"/>
      <c r="C93" s="230" t="str">
        <f>IF(COUNTIF('PATIENT DATA (072721)'!A:A, B93)=0, "X","✓")</f>
        <v>X</v>
      </c>
      <c r="D93" s="226" t="str">
        <f>IFS($B93=FALSE,"",$B93,VLOOKUP($B93,'PATIENT DATA (072721)'!A:C, 3, 0))</f>
        <v/>
      </c>
      <c r="E93" s="218"/>
      <c r="F93" s="219" t="str">
        <f>ifs($B93="","",$B93, VLOOKUP($B93&amp;$E93, 'VISIT DATA'!A:O,3,0))</f>
        <v/>
      </c>
      <c r="G93" s="231"/>
      <c r="H93" s="221" t="str">
        <f>ifs($B93="","",$B93, VLOOKUP($B93&amp;$E93, 'VISIT DATA'!$A:$O,13,0))</f>
        <v/>
      </c>
      <c r="I93" s="262" t="str">
        <f>VLOOKUP($B93&amp;$E93,'VISIT DATA'!A:J, 9, FALSE)</f>
        <v>#N/A</v>
      </c>
      <c r="J93" s="223" t="str">
        <f>VLOOKUP(B93&amp;E93,'VISIT DATA'!A:N,10,FALSE)</f>
        <v>#N/A</v>
      </c>
      <c r="K93" s="225"/>
      <c r="L93" s="224"/>
      <c r="M93" s="224"/>
      <c r="N93" s="225"/>
      <c r="O93" s="216" t="str">
        <f t="shared" si="1"/>
        <v>X</v>
      </c>
      <c r="P93" s="226" t="str">
        <f t="shared" si="2"/>
        <v>#N/A</v>
      </c>
      <c r="Q93" s="227" t="str">
        <f t="shared" si="3"/>
        <v>#N/A</v>
      </c>
      <c r="R93" s="228" t="str">
        <f t="shared" si="4"/>
        <v>#N/A</v>
      </c>
      <c r="S93" s="220" t="str">
        <f t="shared" si="5"/>
        <v>#N/A</v>
      </c>
      <c r="T93" s="220" t="str">
        <f t="shared" si="6"/>
        <v>#N/A</v>
      </c>
      <c r="U93" s="221">
        <f t="shared" si="7"/>
        <v>0</v>
      </c>
      <c r="V93" s="229" t="str">
        <f>ifs($N93="",VLOOKUP($B93&amp;$E93,'VISIT DATA'!$A$2:$J100,7,FALSE), $N93="SWAB","OUTSA-RW",$N93="SWQU","OUTSA-SaQu", AND($L93="X",$M93="X",$N93="QUEST"),"OUT-UAQPre",$N93="QUEST","OUT-UAQ", $N93="Walk in","ColUATele")</f>
        <v>#N/A</v>
      </c>
      <c r="W93" s="24" t="str">
        <f t="shared" si="8"/>
        <v>#N/A</v>
      </c>
      <c r="X93" s="222" t="str">
        <f t="shared" si="9"/>
        <v/>
      </c>
      <c r="Y93" s="222" t="str">
        <f t="shared" si="10"/>
        <v/>
      </c>
      <c r="Z93" s="224" t="str">
        <f t="shared" si="11"/>
        <v> </v>
      </c>
      <c r="AA93" s="244"/>
    </row>
    <row r="94">
      <c r="A94" s="214" t="str">
        <f>IFS($B94=FALSE,"",$B94,VLOOKUP($B94,'PATIENT DATA (072721)'!A:C, 2, 0))</f>
        <v/>
      </c>
      <c r="B94" s="215"/>
      <c r="C94" s="230" t="str">
        <f>IF(COUNTIF('PATIENT DATA (072721)'!A:A, B94)=0, "X","✓")</f>
        <v>X</v>
      </c>
      <c r="D94" s="226" t="str">
        <f>IFS($B94=FALSE,"",$B94,VLOOKUP($B94,'PATIENT DATA (072721)'!A:C, 3, 0))</f>
        <v/>
      </c>
      <c r="E94" s="218"/>
      <c r="F94" s="219" t="str">
        <f>ifs($B94="","",$B94, VLOOKUP($B94&amp;$E94, 'VISIT DATA'!A:O,3,0))</f>
        <v/>
      </c>
      <c r="G94" s="231"/>
      <c r="H94" s="221" t="str">
        <f>ifs($B94="","",$B94, VLOOKUP($B94&amp;$E94, 'VISIT DATA'!$A:$O,13,0))</f>
        <v/>
      </c>
      <c r="I94" s="262" t="str">
        <f>VLOOKUP($B94&amp;$E94,'VISIT DATA'!A:J, 9, FALSE)</f>
        <v>#N/A</v>
      </c>
      <c r="J94" s="223" t="str">
        <f>VLOOKUP(B94&amp;E94,'VISIT DATA'!A:N,10,FALSE)</f>
        <v>#N/A</v>
      </c>
      <c r="K94" s="225"/>
      <c r="L94" s="224"/>
      <c r="M94" s="224"/>
      <c r="N94" s="225"/>
      <c r="O94" s="216" t="str">
        <f t="shared" si="1"/>
        <v>X</v>
      </c>
      <c r="P94" s="226" t="str">
        <f t="shared" si="2"/>
        <v>#N/A</v>
      </c>
      <c r="Q94" s="227" t="str">
        <f t="shared" si="3"/>
        <v>#N/A</v>
      </c>
      <c r="R94" s="228" t="str">
        <f t="shared" si="4"/>
        <v>#N/A</v>
      </c>
      <c r="S94" s="220" t="str">
        <f t="shared" si="5"/>
        <v>#N/A</v>
      </c>
      <c r="T94" s="220" t="str">
        <f t="shared" si="6"/>
        <v>#N/A</v>
      </c>
      <c r="U94" s="221">
        <f t="shared" si="7"/>
        <v>0</v>
      </c>
      <c r="V94" s="229" t="str">
        <f>ifs($N94="",VLOOKUP($B94&amp;$E94,'VISIT DATA'!$A$2:$J100,7,FALSE), $N94="SWAB","OUTSA-RW",$N94="SWQU","OUTSA-SaQu", AND($L94="X",$M94="X",$N94="QUEST"),"OUT-UAQPre",$N94="QUEST","OUT-UAQ", $N94="Walk in","ColUATele")</f>
        <v>#N/A</v>
      </c>
      <c r="W94" s="24" t="str">
        <f t="shared" si="8"/>
        <v>#N/A</v>
      </c>
      <c r="X94" s="222" t="str">
        <f t="shared" si="9"/>
        <v/>
      </c>
      <c r="Y94" s="222" t="str">
        <f t="shared" si="10"/>
        <v/>
      </c>
      <c r="Z94" s="224" t="str">
        <f t="shared" si="11"/>
        <v> </v>
      </c>
      <c r="AA94" s="244"/>
    </row>
    <row r="95">
      <c r="A95" s="214" t="str">
        <f>IFS($B95=FALSE,"",$B95,VLOOKUP($B95,'PATIENT DATA (072721)'!A:C, 2, 0))</f>
        <v/>
      </c>
      <c r="B95" s="215"/>
      <c r="C95" s="230" t="str">
        <f>IF(COUNTIF('PATIENT DATA (072721)'!A:A, B95)=0, "X","✓")</f>
        <v>X</v>
      </c>
      <c r="D95" s="226" t="str">
        <f>IFS($B95=FALSE,"",$B95,VLOOKUP($B95,'PATIENT DATA (072721)'!A:C, 3, 0))</f>
        <v/>
      </c>
      <c r="E95" s="218"/>
      <c r="F95" s="219" t="str">
        <f>ifs($B95="","",$B95, VLOOKUP($B95&amp;$E95, 'VISIT DATA'!A:O,3,0))</f>
        <v/>
      </c>
      <c r="G95" s="231"/>
      <c r="H95" s="221" t="str">
        <f>ifs($B95="","",$B95, VLOOKUP($B95&amp;$E95, 'VISIT DATA'!$A:$O,13,0))</f>
        <v/>
      </c>
      <c r="I95" s="262" t="str">
        <f>VLOOKUP($B95&amp;$E95,'VISIT DATA'!A:J, 9, FALSE)</f>
        <v>#N/A</v>
      </c>
      <c r="J95" s="223" t="str">
        <f>VLOOKUP(B95&amp;E95,'VISIT DATA'!A:N,10,FALSE)</f>
        <v>#N/A</v>
      </c>
      <c r="K95" s="225"/>
      <c r="L95" s="224"/>
      <c r="M95" s="224"/>
      <c r="N95" s="225"/>
      <c r="O95" s="216" t="str">
        <f t="shared" si="1"/>
        <v>X</v>
      </c>
      <c r="P95" s="226" t="str">
        <f t="shared" si="2"/>
        <v>#N/A</v>
      </c>
      <c r="Q95" s="227" t="str">
        <f t="shared" si="3"/>
        <v>#N/A</v>
      </c>
      <c r="R95" s="228" t="str">
        <f t="shared" si="4"/>
        <v>#N/A</v>
      </c>
      <c r="S95" s="220" t="str">
        <f t="shared" si="5"/>
        <v>#N/A</v>
      </c>
      <c r="T95" s="220" t="str">
        <f t="shared" si="6"/>
        <v>#N/A</v>
      </c>
      <c r="U95" s="221">
        <f t="shared" si="7"/>
        <v>0</v>
      </c>
      <c r="V95" s="229" t="str">
        <f>ifs($N95="",VLOOKUP($B95&amp;$E95,'VISIT DATA'!$A$2:$J100,7,FALSE), $N95="SWAB","OUTSA-RW",$N95="SWQU","OUTSA-SaQu", AND($L95="X",$M95="X",$N95="QUEST"),"OUT-UAQPre",$N95="QUEST","OUT-UAQ", $N95="Walk in","ColUATele")</f>
        <v>#N/A</v>
      </c>
      <c r="W95" s="24" t="str">
        <f t="shared" si="8"/>
        <v>#N/A</v>
      </c>
      <c r="X95" s="222" t="str">
        <f t="shared" si="9"/>
        <v/>
      </c>
      <c r="Y95" s="222" t="str">
        <f t="shared" si="10"/>
        <v/>
      </c>
      <c r="Z95" s="224" t="str">
        <f t="shared" si="11"/>
        <v> </v>
      </c>
      <c r="AA95" s="244"/>
    </row>
    <row r="96">
      <c r="A96" s="214" t="str">
        <f>IFS($B96=FALSE,"",$B96,VLOOKUP($B96,'PATIENT DATA (072721)'!A:C, 2, 0))</f>
        <v/>
      </c>
      <c r="B96" s="215"/>
      <c r="C96" s="230" t="str">
        <f>IF(COUNTIF('PATIENT DATA (072721)'!A:A, B96)=0, "X","✓")</f>
        <v>X</v>
      </c>
      <c r="D96" s="226" t="str">
        <f>IFS($B96=FALSE,"",$B96,VLOOKUP($B96,'PATIENT DATA (072721)'!A:C, 3, 0))</f>
        <v/>
      </c>
      <c r="E96" s="218"/>
      <c r="F96" s="219" t="str">
        <f>ifs($B96="","",$B96, VLOOKUP($B96&amp;$E96, 'VISIT DATA'!A:O,3,0))</f>
        <v/>
      </c>
      <c r="G96" s="231"/>
      <c r="H96" s="221" t="str">
        <f>ifs($B96="","",$B96, VLOOKUP($B96&amp;$E96, 'VISIT DATA'!$A:$O,13,0))</f>
        <v/>
      </c>
      <c r="I96" s="262" t="str">
        <f>VLOOKUP($B96&amp;$E96,'VISIT DATA'!A:J, 9, FALSE)</f>
        <v>#N/A</v>
      </c>
      <c r="J96" s="223" t="str">
        <f>VLOOKUP(B96&amp;E96,'VISIT DATA'!A:N,10,FALSE)</f>
        <v>#N/A</v>
      </c>
      <c r="K96" s="225"/>
      <c r="L96" s="224"/>
      <c r="M96" s="224"/>
      <c r="N96" s="225"/>
      <c r="O96" s="216" t="str">
        <f t="shared" si="1"/>
        <v>X</v>
      </c>
      <c r="P96" s="226" t="str">
        <f t="shared" si="2"/>
        <v>#N/A</v>
      </c>
      <c r="Q96" s="227" t="str">
        <f t="shared" si="3"/>
        <v>#N/A</v>
      </c>
      <c r="R96" s="228" t="str">
        <f t="shared" si="4"/>
        <v>#N/A</v>
      </c>
      <c r="S96" s="220" t="str">
        <f t="shared" si="5"/>
        <v>#N/A</v>
      </c>
      <c r="T96" s="220" t="str">
        <f t="shared" si="6"/>
        <v>#N/A</v>
      </c>
      <c r="U96" s="221">
        <f t="shared" si="7"/>
        <v>0</v>
      </c>
      <c r="V96" s="229" t="str">
        <f>ifs($N96="",VLOOKUP($B96&amp;$E96,'VISIT DATA'!$A$2:$J100,7,FALSE), $N96="SWAB","OUTSA-RW",$N96="SWQU","OUTSA-SaQu", AND($L96="X",$M96="X",$N96="QUEST"),"OUT-UAQPre",$N96="QUEST","OUT-UAQ", $N96="Walk in","ColUATele")</f>
        <v>#N/A</v>
      </c>
      <c r="W96" s="24" t="str">
        <f t="shared" si="8"/>
        <v>#N/A</v>
      </c>
      <c r="X96" s="222" t="str">
        <f t="shared" si="9"/>
        <v/>
      </c>
      <c r="Y96" s="222" t="str">
        <f t="shared" si="10"/>
        <v/>
      </c>
      <c r="Z96" s="224" t="str">
        <f t="shared" si="11"/>
        <v> </v>
      </c>
      <c r="AA96" s="244"/>
    </row>
    <row r="97">
      <c r="A97" s="214" t="str">
        <f>IFS($B97=FALSE,"",$B97,VLOOKUP($B97,'PATIENT DATA (072721)'!A:C, 2, 0))</f>
        <v/>
      </c>
      <c r="B97" s="215"/>
      <c r="C97" s="230" t="str">
        <f>IF(COUNTIF('PATIENT DATA (072721)'!A:A, B97)=0, "X","✓")</f>
        <v>X</v>
      </c>
      <c r="D97" s="226" t="str">
        <f>IFS($B97=FALSE,"",$B97,VLOOKUP($B97,'PATIENT DATA (072721)'!A:C, 3, 0))</f>
        <v/>
      </c>
      <c r="E97" s="218"/>
      <c r="F97" s="219" t="str">
        <f>ifs($B97="","",$B97, VLOOKUP($B97&amp;$E97, 'VISIT DATA'!A:O,3,0))</f>
        <v/>
      </c>
      <c r="G97" s="231"/>
      <c r="H97" s="221" t="str">
        <f>ifs($B97="","",$B97, VLOOKUP($B97&amp;$E97, 'VISIT DATA'!$A:$O,13,0))</f>
        <v/>
      </c>
      <c r="I97" s="262" t="str">
        <f>VLOOKUP($B97&amp;$E97,'VISIT DATA'!A:J, 9, FALSE)</f>
        <v>#N/A</v>
      </c>
      <c r="J97" s="223" t="str">
        <f>VLOOKUP(B97&amp;E97,'VISIT DATA'!A:N,10,FALSE)</f>
        <v>#N/A</v>
      </c>
      <c r="K97" s="225"/>
      <c r="L97" s="224"/>
      <c r="M97" s="224"/>
      <c r="N97" s="225"/>
      <c r="O97" s="216" t="str">
        <f t="shared" si="1"/>
        <v>X</v>
      </c>
      <c r="P97" s="226" t="str">
        <f t="shared" si="2"/>
        <v>#N/A</v>
      </c>
      <c r="Q97" s="227" t="str">
        <f t="shared" si="3"/>
        <v>#N/A</v>
      </c>
      <c r="R97" s="228" t="str">
        <f t="shared" si="4"/>
        <v>#N/A</v>
      </c>
      <c r="S97" s="220" t="str">
        <f t="shared" si="5"/>
        <v>#N/A</v>
      </c>
      <c r="T97" s="220" t="str">
        <f t="shared" si="6"/>
        <v>#N/A</v>
      </c>
      <c r="U97" s="221">
        <f t="shared" si="7"/>
        <v>0</v>
      </c>
      <c r="V97" s="229" t="str">
        <f>ifs($N97="",VLOOKUP($B97&amp;$E97,'VISIT DATA'!$A$2:$J100,7,FALSE), $N97="SWAB","OUTSA-RW",$N97="SWQU","OUTSA-SaQu", AND($L97="X",$M97="X",$N97="QUEST"),"OUT-UAQPre",$N97="QUEST","OUT-UAQ", $N97="Walk in","ColUATele")</f>
        <v>#N/A</v>
      </c>
      <c r="W97" s="24" t="str">
        <f t="shared" si="8"/>
        <v>#N/A</v>
      </c>
      <c r="X97" s="222" t="str">
        <f t="shared" si="9"/>
        <v/>
      </c>
      <c r="Y97" s="222" t="str">
        <f t="shared" si="10"/>
        <v/>
      </c>
      <c r="Z97" s="224" t="str">
        <f t="shared" si="11"/>
        <v> </v>
      </c>
      <c r="AA97" s="244"/>
    </row>
    <row r="98">
      <c r="A98" s="214" t="str">
        <f>IFS($B98=FALSE,"",$B98,VLOOKUP($B98,'PATIENT DATA (072721)'!A:C, 2, 0))</f>
        <v/>
      </c>
      <c r="B98" s="215"/>
      <c r="C98" s="230" t="str">
        <f>IF(COUNTIF('PATIENT DATA (072721)'!A:A, B98)=0, "X","✓")</f>
        <v>X</v>
      </c>
      <c r="D98" s="226" t="str">
        <f>IFS($B98=FALSE,"",$B98,VLOOKUP($B98,'PATIENT DATA (072721)'!A:C, 3, 0))</f>
        <v/>
      </c>
      <c r="E98" s="218"/>
      <c r="F98" s="219" t="str">
        <f>ifs($B98="","",$B98, VLOOKUP($B98&amp;$E98, 'VISIT DATA'!A:O,3,0))</f>
        <v/>
      </c>
      <c r="G98" s="231"/>
      <c r="H98" s="221" t="str">
        <f>ifs($B98="","",$B98, VLOOKUP($B98&amp;$E98, 'VISIT DATA'!$A:$O,13,0))</f>
        <v/>
      </c>
      <c r="I98" s="262" t="str">
        <f>VLOOKUP($B98&amp;$E98,'VISIT DATA'!A:J, 9, FALSE)</f>
        <v>#N/A</v>
      </c>
      <c r="J98" s="223" t="str">
        <f>VLOOKUP(B98&amp;E98,'VISIT DATA'!A:N,10,FALSE)</f>
        <v>#N/A</v>
      </c>
      <c r="K98" s="225"/>
      <c r="L98" s="224"/>
      <c r="M98" s="224"/>
      <c r="N98" s="225"/>
      <c r="O98" s="216" t="str">
        <f t="shared" si="1"/>
        <v>X</v>
      </c>
      <c r="P98" s="226" t="str">
        <f t="shared" si="2"/>
        <v>#N/A</v>
      </c>
      <c r="Q98" s="227" t="str">
        <f t="shared" si="3"/>
        <v>#N/A</v>
      </c>
      <c r="R98" s="228" t="str">
        <f t="shared" si="4"/>
        <v>#N/A</v>
      </c>
      <c r="S98" s="220" t="str">
        <f t="shared" si="5"/>
        <v>#N/A</v>
      </c>
      <c r="T98" s="220" t="str">
        <f t="shared" si="6"/>
        <v>#N/A</v>
      </c>
      <c r="U98" s="221">
        <f t="shared" si="7"/>
        <v>0</v>
      </c>
      <c r="V98" s="229" t="str">
        <f>ifs($N98="",VLOOKUP($B98&amp;$E98,'VISIT DATA'!$A$2:$J100,7,FALSE), $N98="SWAB","OUTSA-RW",$N98="SWQU","OUTSA-SaQu", AND($L98="X",$M98="X",$N98="QUEST"),"OUT-UAQPre",$N98="QUEST","OUT-UAQ", $N98="Walk in","ColUATele")</f>
        <v>#N/A</v>
      </c>
      <c r="W98" s="24" t="str">
        <f t="shared" si="8"/>
        <v>#N/A</v>
      </c>
      <c r="X98" s="222" t="str">
        <f t="shared" si="9"/>
        <v/>
      </c>
      <c r="Y98" s="222" t="str">
        <f t="shared" si="10"/>
        <v/>
      </c>
      <c r="Z98" s="224" t="str">
        <f t="shared" si="11"/>
        <v> </v>
      </c>
      <c r="AA98" s="244"/>
    </row>
    <row r="99">
      <c r="A99" s="214" t="str">
        <f>IFS($B99=FALSE,"",$B99,VLOOKUP($B99,'PATIENT DATA (072721)'!A:C, 2, 0))</f>
        <v/>
      </c>
      <c r="B99" s="215"/>
      <c r="C99" s="230" t="str">
        <f>IF(COUNTIF('PATIENT DATA (072721)'!A:A, B99)=0, "X","✓")</f>
        <v>X</v>
      </c>
      <c r="D99" s="226" t="str">
        <f>IFS($B99=FALSE,"",$B99,VLOOKUP($B99,'PATIENT DATA (072721)'!A:C, 3, 0))</f>
        <v/>
      </c>
      <c r="E99" s="218"/>
      <c r="F99" s="219" t="str">
        <f>ifs($B99="","",$B99, VLOOKUP($B99&amp;$E99, 'VISIT DATA'!A:O,3,0))</f>
        <v/>
      </c>
      <c r="G99" s="231"/>
      <c r="H99" s="221" t="str">
        <f>ifs($B99="","",$B99, VLOOKUP($B99&amp;$E99, 'VISIT DATA'!$A:$O,13,0))</f>
        <v/>
      </c>
      <c r="I99" s="262" t="str">
        <f>VLOOKUP($B99&amp;$E99,'VISIT DATA'!A:J, 9, FALSE)</f>
        <v>#N/A</v>
      </c>
      <c r="J99" s="223" t="str">
        <f>VLOOKUP(B99&amp;E99,'VISIT DATA'!A:N,10,FALSE)</f>
        <v>#N/A</v>
      </c>
      <c r="K99" s="225"/>
      <c r="L99" s="224"/>
      <c r="M99" s="224"/>
      <c r="N99" s="225"/>
      <c r="O99" s="216" t="str">
        <f t="shared" si="1"/>
        <v>X</v>
      </c>
      <c r="P99" s="226" t="str">
        <f t="shared" si="2"/>
        <v>#N/A</v>
      </c>
      <c r="Q99" s="227" t="str">
        <f t="shared" si="3"/>
        <v>#N/A</v>
      </c>
      <c r="R99" s="228" t="str">
        <f t="shared" si="4"/>
        <v>#N/A</v>
      </c>
      <c r="S99" s="220" t="str">
        <f t="shared" si="5"/>
        <v>#N/A</v>
      </c>
      <c r="T99" s="220" t="str">
        <f t="shared" si="6"/>
        <v>#N/A</v>
      </c>
      <c r="U99" s="221">
        <f t="shared" si="7"/>
        <v>0</v>
      </c>
      <c r="V99" s="229" t="str">
        <f>ifs($N99="",VLOOKUP($B99&amp;$E99,'VISIT DATA'!$A$2:$J100,7,FALSE), $N99="SWAB","OUTSA-RW",$N99="SWQU","OUTSA-SaQu", AND($L99="X",$M99="X",$N99="QUEST"),"OUT-UAQPre",$N99="QUEST","OUT-UAQ", $N99="Walk in","ColUATele")</f>
        <v>#N/A</v>
      </c>
      <c r="W99" s="24" t="str">
        <f t="shared" si="8"/>
        <v>#N/A</v>
      </c>
      <c r="X99" s="222" t="str">
        <f t="shared" si="9"/>
        <v/>
      </c>
      <c r="Y99" s="222" t="str">
        <f t="shared" si="10"/>
        <v/>
      </c>
      <c r="Z99" s="224" t="str">
        <f t="shared" si="11"/>
        <v> </v>
      </c>
      <c r="AA99" s="244"/>
    </row>
    <row r="100">
      <c r="A100" s="232"/>
      <c r="B100" s="232"/>
      <c r="C100" s="232"/>
      <c r="D100" s="232"/>
      <c r="E100" s="263"/>
      <c r="F100" s="234"/>
      <c r="G100" s="232"/>
      <c r="H100" s="235"/>
      <c r="I100" s="232"/>
      <c r="J100" s="232"/>
      <c r="K100" s="236" t="s">
        <v>6333</v>
      </c>
      <c r="L100" s="237">
        <f>COUNTIFS(K1:L80, "X")</f>
        <v>22</v>
      </c>
      <c r="M100" s="236" t="s">
        <v>6334</v>
      </c>
      <c r="N100" s="237">
        <f>COUNTIFS(M1:M80, "X")</f>
        <v>4</v>
      </c>
      <c r="O100" s="238"/>
      <c r="P100" s="238"/>
      <c r="Q100" s="238"/>
      <c r="R100" s="238"/>
      <c r="S100" s="238"/>
      <c r="T100" s="238"/>
      <c r="U100" s="238"/>
      <c r="V100" s="239"/>
      <c r="W100" s="238"/>
      <c r="X100" s="238"/>
      <c r="Y100" s="238"/>
      <c r="Z100" s="238"/>
      <c r="AA100" s="238"/>
    </row>
  </sheetData>
  <customSheetViews>
    <customSheetView guid="{20F5F3BA-172D-4727-943D-E296FD1F3EFA}" filter="1" showAutoFilter="1">
      <autoFilter ref="$A$1:$AA$100"/>
    </customSheetView>
  </customSheetViews>
  <conditionalFormatting sqref="A1:X100">
    <cfRule type="expression" dxfId="5" priority="1">
      <formula>$X1="ERROR"</formula>
    </cfRule>
  </conditionalFormatting>
  <conditionalFormatting sqref="A1:Z99">
    <cfRule type="expression" dxfId="5" priority="2">
      <formula>$Y1="NO MATCH"</formula>
    </cfRule>
  </conditionalFormatting>
  <conditionalFormatting sqref="C2:C99 O2:O99">
    <cfRule type="containsText" dxfId="5" priority="3" operator="containsText" text="X">
      <formula>NOT(ISERROR(SEARCH(("X"),(C2))))</formula>
    </cfRule>
  </conditionalFormatting>
  <conditionalFormatting sqref="A1:Z99">
    <cfRule type="expression" dxfId="4" priority="4">
      <formula>$Z1="Repeat"</formula>
    </cfRule>
  </conditionalFormatting>
  <conditionalFormatting sqref="V2:V99">
    <cfRule type="expression" dxfId="10" priority="5">
      <formula>$N2="QUEST"</formula>
    </cfRule>
  </conditionalFormatting>
  <conditionalFormatting sqref="C2:C99 O2:O99">
    <cfRule type="containsText" dxfId="10" priority="6" operator="containsText" text="✓">
      <formula>NOT(ISERROR(SEARCH(("✓"),(C2))))</formula>
    </cfRule>
  </conditionalFormatting>
  <conditionalFormatting sqref="A1:U99">
    <cfRule type="expression" dxfId="20" priority="7">
      <formula>$J1="MOLINA DUAL COMPLETE NEW MEXICO"</formula>
    </cfRule>
  </conditionalFormatting>
  <conditionalFormatting sqref="A1:U99">
    <cfRule type="expression" dxfId="20" priority="8">
      <formula>$J1="MOLINA DUAL COMPLETE TEXAS"</formula>
    </cfRule>
  </conditionalFormatting>
  <conditionalFormatting sqref="A1:U99">
    <cfRule type="expression" dxfId="20" priority="9">
      <formula>$J1="MOLINA MARKETPLACE TEXAS"</formula>
    </cfRule>
  </conditionalFormatting>
  <conditionalFormatting sqref="K1:K99">
    <cfRule type="containsText" dxfId="6" priority="10" operator="containsText" text="x">
      <formula>NOT(ISERROR(SEARCH(("x"),(K1))))</formula>
    </cfRule>
  </conditionalFormatting>
  <conditionalFormatting sqref="M1:M99">
    <cfRule type="containsText" dxfId="21" priority="11" operator="containsText" text="X">
      <formula>NOT(ISERROR(SEARCH(("X"),(M1))))</formula>
    </cfRule>
  </conditionalFormatting>
  <conditionalFormatting sqref="L1:L99">
    <cfRule type="containsText" dxfId="22" priority="12" operator="containsText" text="X">
      <formula>NOT(ISERROR(SEARCH(("X"),(L1))))</formula>
    </cfRule>
  </conditionalFormatting>
  <conditionalFormatting sqref="C1:C99 O1:O99">
    <cfRule type="containsBlanks" dxfId="23" priority="13">
      <formula>LEN(TRIM(C1))=0</formula>
    </cfRule>
  </conditionalFormatting>
  <conditionalFormatting sqref="J1:J99 N1:O1 Z1">
    <cfRule type="containsText" dxfId="24" priority="14" operator="containsText" text="Molina">
      <formula>NOT(ISERROR(SEARCH(("Molina"),(J1))))</formula>
    </cfRule>
  </conditionalFormatting>
  <conditionalFormatting sqref="K1:M99">
    <cfRule type="containsBlanks" dxfId="25" priority="15">
      <formula>LEN(TRIM(K1))=0</formula>
    </cfRule>
  </conditionalFormatting>
  <conditionalFormatting sqref="O1:O99 A2:N99 P2:Z99">
    <cfRule type="expression" dxfId="10" priority="16">
      <formula>$N1="SWAB"</formula>
    </cfRule>
  </conditionalFormatting>
  <conditionalFormatting sqref="J1:J99">
    <cfRule type="containsText" dxfId="5" priority="17" operator="containsText" text="Self Pay">
      <formula>NOT(ISERROR(SEARCH(("Self Pay"),(J1))))</formula>
    </cfRule>
  </conditionalFormatting>
  <conditionalFormatting sqref="J1:J99">
    <cfRule type="containsText" dxfId="5" priority="18" operator="containsText" text="Self-Pay">
      <formula>NOT(ISERROR(SEARCH(("Self-Pay"),(J1))))</formula>
    </cfRule>
  </conditionalFormatting>
  <conditionalFormatting sqref="J1:J99">
    <cfRule type="containsText" dxfId="5" priority="19" operator="containsText" text="Third Party">
      <formula>NOT(ISERROR(SEARCH(("Third Party"),(J1))))</formula>
    </cfRule>
  </conditionalFormatting>
  <conditionalFormatting sqref="A1:U99">
    <cfRule type="expression" dxfId="26" priority="20">
      <formula>$J1="SUPERIOR HEALTH PLAN"</formula>
    </cfRule>
  </conditionalFormatting>
  <conditionalFormatting sqref="A1:U99">
    <cfRule type="expression" dxfId="26" priority="21">
      <formula>$J1="AMBETTER - SUPERIOR"</formula>
    </cfRule>
  </conditionalFormatting>
  <conditionalFormatting sqref="A1:U99">
    <cfRule type="expression" dxfId="19" priority="22">
      <formula>$J1="Wellmed - Humana"</formula>
    </cfRule>
  </conditionalFormatting>
  <conditionalFormatting sqref="A1:U99">
    <cfRule type="expression" dxfId="19" priority="23">
      <formula>$J1="WELLMED - AARP MEDICARE COMPLETE"</formula>
    </cfRule>
  </conditionalFormatting>
  <conditionalFormatting sqref="A1:U99">
    <cfRule type="expression" dxfId="19" priority="24">
      <formula>$J1="WELLMED - AMERIVANTAGE"</formula>
    </cfRule>
  </conditionalFormatting>
  <conditionalFormatting sqref="A1:U99">
    <cfRule type="expression" dxfId="19" priority="25">
      <formula>$J1="WELLMED - CIGNA HEALTHSPRING"</formula>
    </cfRule>
  </conditionalFormatting>
  <conditionalFormatting sqref="A1:U99">
    <cfRule type="expression" dxfId="19" priority="26">
      <formula>$J1="WELLMED - UHC CHRONIC COMPLETE HMO C-SNP"</formula>
    </cfRule>
  </conditionalFormatting>
  <conditionalFormatting sqref="A1:U99">
    <cfRule type="expression" dxfId="19" priority="27">
      <formula>$J1="WELLMED - UHC DUAL COMPLETE HMO SNP"</formula>
    </cfRule>
  </conditionalFormatting>
  <conditionalFormatting sqref="A1:U99">
    <cfRule type="expression" dxfId="19" priority="28">
      <formula>$J1="WELLMED - UHC DUAL COMPLETE SNP"</formula>
    </cfRule>
  </conditionalFormatting>
  <conditionalFormatting sqref="A1:U99">
    <cfRule type="expression" dxfId="20" priority="29">
      <formula>$J1="MOLINA DUAL COMPLETE NEW MEXICO"</formula>
    </cfRule>
  </conditionalFormatting>
  <conditionalFormatting sqref="A1:U99">
    <cfRule type="expression" dxfId="20" priority="30">
      <formula>$J1="MOLINA DUAL COMPLETE TEXAS"</formula>
    </cfRule>
  </conditionalFormatting>
  <conditionalFormatting sqref="A1:U99">
    <cfRule type="expression" dxfId="20" priority="31">
      <formula>$J1="MOLINA MARKETPLACE TEXAS"</formula>
    </cfRule>
  </conditionalFormatting>
  <conditionalFormatting sqref="A1:U99">
    <cfRule type="expression" dxfId="20" priority="32">
      <formula>$J1="MOLINA MEDICAID TEXAS"</formula>
    </cfRule>
  </conditionalFormatting>
  <conditionalFormatting sqref="A1:U99">
    <cfRule type="expression" dxfId="27" priority="33">
      <formula>$J1="HUMANA OPEN ACCESS PLAN"</formula>
    </cfRule>
  </conditionalFormatting>
  <conditionalFormatting sqref="A1:U99">
    <cfRule type="expression" dxfId="28" priority="34">
      <formula>$J1="HUMANA CHOICE CARE"</formula>
    </cfRule>
  </conditionalFormatting>
  <conditionalFormatting sqref="V1:W99">
    <cfRule type="expression" dxfId="11" priority="35">
      <formula>$V1="UA"</formula>
    </cfRule>
  </conditionalFormatting>
  <conditionalFormatting sqref="V1:W99">
    <cfRule type="expression" dxfId="12" priority="36">
      <formula>$V1="OUTUA-PrRW"</formula>
    </cfRule>
  </conditionalFormatting>
  <conditionalFormatting sqref="V1:W99">
    <cfRule type="expression" dxfId="12" priority="37">
      <formula>$V1="OUT-UAQPre"</formula>
    </cfRule>
  </conditionalFormatting>
  <conditionalFormatting sqref="V1:W99">
    <cfRule type="expression" dxfId="13" priority="38">
      <formula>$V1="UA-Prelim"</formula>
    </cfRule>
  </conditionalFormatting>
  <conditionalFormatting sqref="V1:W99">
    <cfRule type="expression" dxfId="6" priority="39">
      <formula>$V1="UA-NWPT"</formula>
    </cfRule>
  </conditionalFormatting>
  <conditionalFormatting sqref="N1:N100 O1:O99">
    <cfRule type="expression" dxfId="5" priority="40">
      <formula>$O1="X"</formula>
    </cfRule>
  </conditionalFormatting>
  <conditionalFormatting sqref="V1:W99">
    <cfRule type="expression" dxfId="10" priority="41">
      <formula>$V1="OUT-UAQ"</formula>
    </cfRule>
  </conditionalFormatting>
  <conditionalFormatting sqref="V1:W99">
    <cfRule type="expression" dxfId="10" priority="42">
      <formula>$V1="OUTUA-FURW"</formula>
    </cfRule>
  </conditionalFormatting>
  <conditionalFormatting sqref="V1:W99">
    <cfRule type="expression" dxfId="14" priority="43">
      <formula>$V1="OUTSA-SaQu"</formula>
    </cfRule>
  </conditionalFormatting>
  <conditionalFormatting sqref="V1:W99">
    <cfRule type="expression" dxfId="14" priority="44">
      <formula>$V1="OUTSA-RW"</formula>
    </cfRule>
  </conditionalFormatting>
  <dataValidations>
    <dataValidation type="list" allowBlank="1" showErrorMessage="1" sqref="H2:H99">
      <formula1>"CH,DA,DC,DM,FA,LM"</formula1>
    </dataValidation>
    <dataValidation type="list" allowBlank="1" showErrorMessage="1" sqref="J2:J99">
      <formula1>Data!$A$2:$A100</formula1>
    </dataValidation>
    <dataValidation type="custom" allowBlank="1" showDropDown="1" showInputMessage="1" showErrorMessage="1" prompt="CAPITALS" sqref="A1:A99">
      <formula1>ISERROR(SEARCH((exact(upper(B:N),B:N)),(A1)))</formula1>
    </dataValidation>
    <dataValidation type="list" allowBlank="1" showErrorMessage="1" sqref="F2:F99">
      <formula1>Data!$B$1:$B$44</formula1>
    </dataValidation>
    <dataValidation type="custom" allowBlank="1" showDropDown="1" showInputMessage="1" showErrorMessage="1" prompt="CAPITALS" sqref="B1:B99">
      <formula1>ISERROR(SEARCH((exact(upper(B:O),B:O)),(B1)))</formula1>
    </dataValidation>
    <dataValidation type="list" allowBlank="1" showErrorMessage="1" sqref="G2:G99">
      <formula1>"F,M"</formula1>
    </dataValidation>
    <dataValidation type="list" allowBlank="1" showErrorMessage="1" sqref="K2:M99">
      <formula1>"X"</formula1>
    </dataValidation>
    <dataValidation type="list" allowBlank="1" showInputMessage="1" showErrorMessage="1" prompt="Click and enter a value from range 'Insurance Data'!C2:C608" sqref="E2:E99">
      <formula1>Data!$C:$C</formula1>
    </dataValidation>
    <dataValidation type="list" allowBlank="1" showErrorMessage="1" sqref="I2:I99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1.0"/>
    <col customWidth="1" min="2" max="2" width="6.43"/>
    <col customWidth="1" min="3" max="3" width="2.14"/>
    <col customWidth="1" min="4" max="4" width="9.71"/>
    <col customWidth="1" min="5" max="5" width="10.71"/>
    <col customWidth="1" min="6" max="6" width="11.57"/>
    <col customWidth="1" min="7" max="7" width="8.43"/>
    <col customWidth="1" min="8" max="8" width="8.29"/>
    <col customWidth="1" min="9" max="9" width="12.71"/>
    <col customWidth="1" min="10" max="10" width="38.14"/>
    <col customWidth="1" min="11" max="11" width="8.29"/>
    <col customWidth="1" min="12" max="12" width="8.57"/>
    <col customWidth="1" min="13" max="13" width="7.57"/>
    <col customWidth="1" min="14" max="14" width="7.0"/>
    <col customWidth="1" min="15" max="15" width="2.14"/>
    <col customWidth="1" hidden="1" min="16" max="20" width="12.57"/>
    <col customWidth="1" hidden="1" min="21" max="21" width="2.14"/>
    <col customWidth="1" min="22" max="22" width="14.86"/>
    <col customWidth="1" hidden="1" min="23" max="24" width="34.57"/>
    <col customWidth="1" hidden="1" min="25" max="25" width="12.14"/>
    <col customWidth="1" hidden="1" min="26" max="26" width="1.57"/>
    <col customWidth="1" min="27" max="27" width="9.57"/>
  </cols>
  <sheetData>
    <row r="1">
      <c r="A1" s="204" t="s">
        <v>24</v>
      </c>
      <c r="B1" s="205" t="s">
        <v>6237</v>
      </c>
      <c r="C1" s="206"/>
      <c r="D1" s="207" t="s">
        <v>25</v>
      </c>
      <c r="E1" s="280" t="s">
        <v>21</v>
      </c>
      <c r="F1" s="208" t="s">
        <v>6077</v>
      </c>
      <c r="G1" s="208" t="s">
        <v>6318</v>
      </c>
      <c r="H1" s="209" t="s">
        <v>2</v>
      </c>
      <c r="I1" s="209" t="s">
        <v>6206</v>
      </c>
      <c r="J1" s="209" t="s">
        <v>6135</v>
      </c>
      <c r="K1" s="208" t="s">
        <v>6353</v>
      </c>
      <c r="L1" s="208" t="s">
        <v>6354</v>
      </c>
      <c r="M1" s="208" t="s">
        <v>6240</v>
      </c>
      <c r="N1" s="210" t="s">
        <v>7</v>
      </c>
      <c r="O1" s="206"/>
      <c r="P1" s="207" t="s">
        <v>6188</v>
      </c>
      <c r="Q1" s="208" t="s">
        <v>6319</v>
      </c>
      <c r="R1" s="208" t="s">
        <v>6132</v>
      </c>
      <c r="S1" s="208" t="s">
        <v>6134</v>
      </c>
      <c r="T1" s="208" t="s">
        <v>6147</v>
      </c>
      <c r="U1" s="211"/>
      <c r="V1" s="212" t="s">
        <v>6320</v>
      </c>
      <c r="W1" s="207"/>
      <c r="X1" s="209"/>
      <c r="Y1" s="208" t="s">
        <v>6321</v>
      </c>
      <c r="Z1" s="213"/>
      <c r="AA1" s="241"/>
    </row>
    <row r="2">
      <c r="A2" s="214" t="str">
        <f>IFS($B2=FALSE,"",$B2,VLOOKUP($B2,'PATIENT DATA (072721)'!A:C, 2, 0))</f>
        <v>MOORE, RONNIE F</v>
      </c>
      <c r="B2" s="215">
        <v>9466.0</v>
      </c>
      <c r="C2" s="216" t="str">
        <f>IF(COUNTIF('PATIENT DATA (072721)'!A:A, B2)=0, "X","✓")</f>
        <v>✓</v>
      </c>
      <c r="D2" s="226">
        <f>IFS($B2=FALSE,"",$B2,VLOOKUP($B2,'PATIENT DATA (072721)'!A:C, 3, 0))</f>
        <v>14634</v>
      </c>
      <c r="E2" s="218">
        <v>44572.0</v>
      </c>
      <c r="F2" s="219">
        <f>ifs($B2="","",$B2, VLOOKUP($B2&amp;$E2, 'VISIT DATA'!A:O,3,0))</f>
        <v>0.3333333333</v>
      </c>
      <c r="G2" s="220" t="s">
        <v>6323</v>
      </c>
      <c r="H2" s="221" t="s">
        <v>12</v>
      </c>
      <c r="I2" s="222" t="str">
        <f>VLOOKUP($B2&amp;$E2,'VISIT DATA'!A:J, 9, FALSE)</f>
        <v>THOMAS</v>
      </c>
      <c r="J2" s="223" t="str">
        <f>VLOOKUP(B2&amp;E2,'VISIT DATA'!A:N,10,FALSE)</f>
        <v>MEDICARE TEXAS</v>
      </c>
      <c r="K2" s="242"/>
      <c r="L2" s="224" t="s">
        <v>6242</v>
      </c>
      <c r="M2" s="224"/>
      <c r="N2" s="225"/>
      <c r="O2" s="216" t="str">
        <f t="shared" ref="O2:O99" si="1">IF(OR(K2 = "x",L2 = "x",M2 = "x"),"✓", "X")</f>
        <v>✓</v>
      </c>
      <c r="P2" s="226" t="str">
        <f t="shared" ref="P2:P99" si="2">ifs(SEARCH($P$1,$J2)&gt;=1,"X")</f>
        <v>#VALUE!</v>
      </c>
      <c r="Q2" s="227" t="str">
        <f t="shared" ref="Q2:Q99" si="3">ifs(SEARCH($Q$1,$J2)&gt;=1,"X")</f>
        <v>#VALUE!</v>
      </c>
      <c r="R2" s="228" t="str">
        <f t="shared" ref="R2:R99" si="4">ifs(SEARCH($R$1,$J2)&gt;=1,"X")</f>
        <v>#VALUE!</v>
      </c>
      <c r="S2" s="220" t="str">
        <f t="shared" ref="S2:S99" si="5">ifs(SEARCH($S$1,$J2)&gt;=1,"X")</f>
        <v>#VALUE!</v>
      </c>
      <c r="T2" s="220" t="str">
        <f t="shared" ref="T2:T99" si="6">ifs(SEARCH($T$1,$J2)&gt;=1,"X")</f>
        <v>#VALUE!</v>
      </c>
      <c r="U2" s="221">
        <f t="shared" ref="U2:U99" si="7">countif($P2:$T2,"X")</f>
        <v>0</v>
      </c>
      <c r="V2" s="229" t="str">
        <f>ifs($N2="",VLOOKUP($B2&amp;$E2,'VISIT DATA'!$A$2:$J100,7,FALSE), $N2="SWAB","OUTSA-RW",$N2="SWQU","OUTSA-SaQu", AND($L2="X",$M2="X",$N2="QUEST"),"OUT-UAQPre",$N2="QUEST","OUT-UAQ", $N2="Walk in","ColUATele")</f>
        <v>UA</v>
      </c>
      <c r="W2" s="24" t="str">
        <f t="shared" ref="W2:W99" si="8">ifs($V2="UA-NWPT","UA-NWPT : UA New Patient",$V2="UA","UA : Urine Analysis In House",$V2="UA-Prelim","UA-Prelim : Preliminary UA Test",$V2="OUT-UAQ","OUT-UAQ : Quest Out UA",$V2="OUT-UAQPre", "OUT-UAQPre : OUT UA Prelim Quest",$V2="OUTSA-SaQu","OUTSA-SaQu : Saliva Out Quest",$V2="ColUATele","Collected Telemed",$V2="OUTUA-PrRW", "OUTUA-PrRW : OUT UA Prelimin Redwood",$V2="OUTUA-FURW", "OUTUA-FURW : OUT UA FU Redwood",$V2="OUTUA-NWRW", "OUTUA-NWRW : OUT UA New Redwood",$V2="OUTSA-RW", "OUTSA-RW : OUT Saliva Redwood")</f>
        <v>UA : Urine Analysis In House</v>
      </c>
      <c r="X2" s="222" t="str">
        <f t="shared" ref="X2:X99" si="9">ifs($B2="","",and($K2="X",$L2="X",$M2="X",$N2="SWAB"), "ERROR",and($K2="X",$L2="X",$N2="SWAB"), "ERROR", and($L2="X",$N2="SWAB"), "OUTSA-RW : OUT Saliva Redwood", and($K2="X",$M2="X", $N2="SWAB"),"ERROR", and($M2="X",$N2="SWAB"), "OUTSA-RW : OUT Saliva Redwood", and($K2="X",$N2="SWAB"),"OUTSA-RW : OUT Saliva Redwood",and($K2="X",$L2="X"),"ERROR", and($K2="X",$M2="X"),"ERROR",and($M2="X",$U2=1), "OUTUA-PrRW : OUT UA Prelimin Redwood", and($K2="X",$U2=1), "OUTUA-NWRW : OUT UA New Redwood", and($L2="X",$U2=1), "OUTUA-FURW : OUT UA FU Redwood", and($L2="X",$M2="X",$U2=1), "OUTUA-PrRW : OUT UA Prelimin Redwood", $K2="X","UA-NWPT : UA New Patient", and($L2="X",$M2="X"),"UA-Prelim : Preliminary UA Test",and($L2="X",$N2="SWAB"),"OUTSA-RW : OUT Saliva Redwood",$L2="X","UA : Urine Analysis In House",$M2="X","UA-Prelim : Preliminary UA Test")</f>
        <v>UA : Urine Analysis In House</v>
      </c>
      <c r="Y2" s="222" t="str">
        <f t="shared" ref="Y2:Y99" si="10">IFS($B2="","",X2=W2,"MATCH",X2&lt;&gt;W2,"NO MATCH")</f>
        <v>MATCH</v>
      </c>
      <c r="Z2" s="224" t="str">
        <f t="shared" ref="Z2:Z99" si="11">IF((countif($B$2:$B100,$B2)&gt;1),"Repeat"," ")</f>
        <v> </v>
      </c>
      <c r="AA2" s="243"/>
    </row>
    <row r="3">
      <c r="A3" s="214" t="str">
        <f>IFS($B3=FALSE,"",$B3,VLOOKUP($B3,'PATIENT DATA (072721)'!A:C, 2, 0))</f>
        <v>GUTIERREZ, RAUL</v>
      </c>
      <c r="B3" s="215">
        <v>11016.0</v>
      </c>
      <c r="C3" s="216" t="str">
        <f>IF(COUNTIF('PATIENT DATA (072721)'!A:A, B3)=0, "X","✓")</f>
        <v>✓</v>
      </c>
      <c r="D3" s="226">
        <f>IFS($B3=FALSE,"",$B3,VLOOKUP($B3,'PATIENT DATA (072721)'!A:C, 3, 0))</f>
        <v>23703</v>
      </c>
      <c r="E3" s="218">
        <v>44572.0</v>
      </c>
      <c r="F3" s="219">
        <f>ifs($B3="","",$B3, VLOOKUP($B3&amp;$E3, 'VISIT DATA'!A:O,3,0))</f>
        <v>0.34375</v>
      </c>
      <c r="G3" s="220" t="s">
        <v>6328</v>
      </c>
      <c r="H3" s="221" t="s">
        <v>14</v>
      </c>
      <c r="I3" s="222" t="str">
        <f>VLOOKUP($B3&amp;$E3,'VISIT DATA'!A:J, 9, FALSE)</f>
        <v>TORRES</v>
      </c>
      <c r="J3" s="223" t="str">
        <f>VLOOKUP(B3&amp;E3,'VISIT DATA'!A:N,10,FALSE)</f>
        <v>MOLINA DUAL COMPLETE TEXAS</v>
      </c>
      <c r="K3" s="224"/>
      <c r="L3" s="224" t="s">
        <v>6242</v>
      </c>
      <c r="M3" s="224"/>
      <c r="N3" s="225"/>
      <c r="O3" s="216" t="str">
        <f t="shared" si="1"/>
        <v>✓</v>
      </c>
      <c r="P3" s="226" t="str">
        <f t="shared" si="2"/>
        <v>#VALUE!</v>
      </c>
      <c r="Q3" s="227" t="str">
        <f t="shared" si="3"/>
        <v>X</v>
      </c>
      <c r="R3" s="228" t="str">
        <f t="shared" si="4"/>
        <v>#VALUE!</v>
      </c>
      <c r="S3" s="220" t="str">
        <f t="shared" si="5"/>
        <v>#VALUE!</v>
      </c>
      <c r="T3" s="220" t="str">
        <f t="shared" si="6"/>
        <v>#VALUE!</v>
      </c>
      <c r="U3" s="221">
        <f t="shared" si="7"/>
        <v>1</v>
      </c>
      <c r="V3" s="229" t="str">
        <f>ifs($N3="",VLOOKUP($B3&amp;$E3,'VISIT DATA'!$A$2:$J100,7,FALSE), $N3="SWAB","OUTSA-RW",$N3="SWQU","OUTSA-SaQu", AND($L3="X",$M3="X",$N3="QUEST"),"OUT-UAQPre",$N3="QUEST","OUT-UAQ", $N3="Walk in","ColUATele")</f>
        <v>OUTUA-FURW</v>
      </c>
      <c r="W3" s="24" t="str">
        <f t="shared" si="8"/>
        <v>OUTUA-FURW : OUT UA FU Redwood</v>
      </c>
      <c r="X3" s="222" t="str">
        <f t="shared" si="9"/>
        <v>OUTUA-FURW : OUT UA FU Redwood</v>
      </c>
      <c r="Y3" s="222" t="str">
        <f t="shared" si="10"/>
        <v>MATCH</v>
      </c>
      <c r="Z3" s="224" t="str">
        <f t="shared" si="11"/>
        <v> </v>
      </c>
      <c r="AA3" s="243"/>
    </row>
    <row r="4">
      <c r="A4" s="214" t="str">
        <f>IFS($B4=FALSE,"",$B4,VLOOKUP($B4,'PATIENT DATA (072721)'!A:C, 2, 0))</f>
        <v>KENNEDY, TAMMY</v>
      </c>
      <c r="B4" s="215">
        <v>17119.0</v>
      </c>
      <c r="C4" s="216" t="str">
        <f>IF(COUNTIF('PATIENT DATA (072721)'!A:A, B4)=0, "X","✓")</f>
        <v>✓</v>
      </c>
      <c r="D4" s="226">
        <f>IFS($B4=FALSE,"",$B4,VLOOKUP($B4,'PATIENT DATA (072721)'!A:C, 3, 0))</f>
        <v>22189</v>
      </c>
      <c r="E4" s="218">
        <v>44572.0</v>
      </c>
      <c r="F4" s="219">
        <f>ifs($B4="","",$B4, VLOOKUP($B4&amp;$E4, 'VISIT DATA'!A:O,3,0))</f>
        <v>0.3645833333</v>
      </c>
      <c r="G4" s="220" t="s">
        <v>6323</v>
      </c>
      <c r="H4" s="221" t="s">
        <v>14</v>
      </c>
      <c r="I4" s="222" t="str">
        <f>VLOOKUP($B4&amp;$E4,'VISIT DATA'!A:J, 9, FALSE)</f>
        <v>TORRES</v>
      </c>
      <c r="J4" s="223" t="str">
        <f>VLOOKUP(B4&amp;E4,'VISIT DATA'!A:N,10,FALSE)</f>
        <v>TRICARE PRIME</v>
      </c>
      <c r="K4" s="242"/>
      <c r="L4" s="224" t="s">
        <v>6242</v>
      </c>
      <c r="M4" s="224"/>
      <c r="N4" s="225"/>
      <c r="O4" s="216" t="str">
        <f t="shared" si="1"/>
        <v>✓</v>
      </c>
      <c r="P4" s="226" t="str">
        <f t="shared" si="2"/>
        <v>#VALUE!</v>
      </c>
      <c r="Q4" s="227" t="str">
        <f t="shared" si="3"/>
        <v>#VALUE!</v>
      </c>
      <c r="R4" s="228" t="str">
        <f t="shared" si="4"/>
        <v>#VALUE!</v>
      </c>
      <c r="S4" s="220" t="str">
        <f t="shared" si="5"/>
        <v>#VALUE!</v>
      </c>
      <c r="T4" s="220" t="str">
        <f t="shared" si="6"/>
        <v>#VALUE!</v>
      </c>
      <c r="U4" s="221">
        <f t="shared" si="7"/>
        <v>0</v>
      </c>
      <c r="V4" s="229" t="str">
        <f>ifs($N4="",VLOOKUP($B4&amp;$E4,'VISIT DATA'!$A$2:$J100,7,FALSE), $N4="SWAB","OUTSA-RW",$N4="SWQU","OUTSA-SaQu", AND($L4="X",$M4="X",$N4="QUEST"),"OUT-UAQPre",$N4="QUEST","OUT-UAQ", $N4="Walk in","ColUATele")</f>
        <v>UA</v>
      </c>
      <c r="W4" s="24" t="str">
        <f t="shared" si="8"/>
        <v>UA : Urine Analysis In House</v>
      </c>
      <c r="X4" s="222" t="str">
        <f t="shared" si="9"/>
        <v>UA : Urine Analysis In House</v>
      </c>
      <c r="Y4" s="222" t="str">
        <f t="shared" si="10"/>
        <v>MATCH</v>
      </c>
      <c r="Z4" s="224" t="str">
        <f t="shared" si="11"/>
        <v> </v>
      </c>
      <c r="AA4" s="243"/>
    </row>
    <row r="5">
      <c r="A5" s="214" t="str">
        <f>IFS($B5=FALSE,"",$B5,VLOOKUP($B5,'PATIENT DATA (072721)'!A:C, 2, 0))</f>
        <v>PENA, LEWIS</v>
      </c>
      <c r="B5" s="215">
        <v>12289.0</v>
      </c>
      <c r="C5" s="216" t="str">
        <f>IF(COUNTIF('PATIENT DATA (072721)'!A:A, B5)=0, "X","✓")</f>
        <v>✓</v>
      </c>
      <c r="D5" s="226">
        <f>IFS($B5=FALSE,"",$B5,VLOOKUP($B5,'PATIENT DATA (072721)'!A:C, 3, 0))</f>
        <v>15105</v>
      </c>
      <c r="E5" s="218">
        <v>44572.0</v>
      </c>
      <c r="F5" s="219">
        <f>ifs($B5="","",$B5, VLOOKUP($B5&amp;$E5, 'VISIT DATA'!A:O,3,0))</f>
        <v>0.3333333333</v>
      </c>
      <c r="G5" s="220" t="s">
        <v>6328</v>
      </c>
      <c r="H5" s="221" t="s">
        <v>15</v>
      </c>
      <c r="I5" s="222" t="str">
        <f>VLOOKUP($B5&amp;$E5,'VISIT DATA'!A:J, 9, FALSE)</f>
        <v>MARTINEZ</v>
      </c>
      <c r="J5" s="223" t="str">
        <f>VLOOKUP(B5&amp;E5,'VISIT DATA'!A:N,10,FALSE)</f>
        <v>MEDICARE TEXAS</v>
      </c>
      <c r="K5" s="224"/>
      <c r="L5" s="224" t="s">
        <v>6242</v>
      </c>
      <c r="M5" s="224"/>
      <c r="N5" s="225"/>
      <c r="O5" s="216" t="str">
        <f t="shared" si="1"/>
        <v>✓</v>
      </c>
      <c r="P5" s="226" t="str">
        <f t="shared" si="2"/>
        <v>#VALUE!</v>
      </c>
      <c r="Q5" s="227" t="str">
        <f t="shared" si="3"/>
        <v>#VALUE!</v>
      </c>
      <c r="R5" s="228" t="str">
        <f t="shared" si="4"/>
        <v>#VALUE!</v>
      </c>
      <c r="S5" s="220" t="str">
        <f t="shared" si="5"/>
        <v>#VALUE!</v>
      </c>
      <c r="T5" s="220" t="str">
        <f t="shared" si="6"/>
        <v>#VALUE!</v>
      </c>
      <c r="U5" s="221">
        <f t="shared" si="7"/>
        <v>0</v>
      </c>
      <c r="V5" s="229" t="str">
        <f>ifs($N5="",VLOOKUP($B5&amp;$E5,'VISIT DATA'!$A$2:$J100,7,FALSE), $N5="SWAB","OUTSA-RW",$N5="SWQU","OUTSA-SaQu", AND($L5="X",$M5="X",$N5="QUEST"),"OUT-UAQPre",$N5="QUEST","OUT-UAQ", $N5="Walk in","ColUATele")</f>
        <v>UA</v>
      </c>
      <c r="W5" s="24" t="str">
        <f t="shared" si="8"/>
        <v>UA : Urine Analysis In House</v>
      </c>
      <c r="X5" s="222" t="str">
        <f t="shared" si="9"/>
        <v>UA : Urine Analysis In House</v>
      </c>
      <c r="Y5" s="222" t="str">
        <f t="shared" si="10"/>
        <v>MATCH</v>
      </c>
      <c r="Z5" s="224" t="str">
        <f t="shared" si="11"/>
        <v> </v>
      </c>
      <c r="AA5" s="243"/>
    </row>
    <row r="6">
      <c r="A6" s="214" t="str">
        <f>IFS($B6=FALSE,"",$B6,VLOOKUP($B6,'PATIENT DATA (072721)'!A:C, 2, 0))</f>
        <v>BACA, SELMA M</v>
      </c>
      <c r="B6" s="215">
        <v>15783.0</v>
      </c>
      <c r="C6" s="216" t="str">
        <f>IF(COUNTIF('PATIENT DATA (072721)'!A:A, B6)=0, "X","✓")</f>
        <v>✓</v>
      </c>
      <c r="D6" s="226">
        <f>IFS($B6=FALSE,"",$B6,VLOOKUP($B6,'PATIENT DATA (072721)'!A:C, 3, 0))</f>
        <v>20965</v>
      </c>
      <c r="E6" s="218">
        <v>44572.0</v>
      </c>
      <c r="F6" s="219">
        <f>ifs($B6="","",$B6, VLOOKUP($B6&amp;$E6, 'VISIT DATA'!A:O,3,0))</f>
        <v>0.3541666667</v>
      </c>
      <c r="G6" s="220" t="s">
        <v>6323</v>
      </c>
      <c r="H6" s="221" t="s">
        <v>15</v>
      </c>
      <c r="I6" s="222" t="str">
        <f>VLOOKUP($B6&amp;$E6,'VISIT DATA'!A:J, 9, FALSE)</f>
        <v>MARTINEZ</v>
      </c>
      <c r="J6" s="223" t="str">
        <f>VLOOKUP(B6&amp;E6,'VISIT DATA'!A:N,10,FALSE)</f>
        <v>MOLINA MEDICAID TEXAS</v>
      </c>
      <c r="K6" s="224"/>
      <c r="L6" s="224" t="s">
        <v>6242</v>
      </c>
      <c r="M6" s="224"/>
      <c r="N6" s="225"/>
      <c r="O6" s="216" t="str">
        <f t="shared" si="1"/>
        <v>✓</v>
      </c>
      <c r="P6" s="226" t="str">
        <f t="shared" si="2"/>
        <v>#VALUE!</v>
      </c>
      <c r="Q6" s="227" t="str">
        <f t="shared" si="3"/>
        <v>X</v>
      </c>
      <c r="R6" s="228" t="str">
        <f t="shared" si="4"/>
        <v>#VALUE!</v>
      </c>
      <c r="S6" s="220" t="str">
        <f t="shared" si="5"/>
        <v>#VALUE!</v>
      </c>
      <c r="T6" s="220" t="str">
        <f t="shared" si="6"/>
        <v>#VALUE!</v>
      </c>
      <c r="U6" s="221">
        <f t="shared" si="7"/>
        <v>1</v>
      </c>
      <c r="V6" s="229" t="str">
        <f>ifs($N6="",VLOOKUP($B6&amp;$E6,'VISIT DATA'!$A$2:$J100,7,FALSE), $N6="SWAB","OUTSA-RW",$N6="SWQU","OUTSA-SaQu", AND($L6="X",$M6="X",$N6="QUEST"),"OUT-UAQPre",$N6="QUEST","OUT-UAQ", $N6="Walk in","ColUATele")</f>
        <v>OUTUA-FURW</v>
      </c>
      <c r="W6" s="24" t="str">
        <f t="shared" si="8"/>
        <v>OUTUA-FURW : OUT UA FU Redwood</v>
      </c>
      <c r="X6" s="222" t="str">
        <f t="shared" si="9"/>
        <v>OUTUA-FURW : OUT UA FU Redwood</v>
      </c>
      <c r="Y6" s="222" t="str">
        <f t="shared" si="10"/>
        <v>MATCH</v>
      </c>
      <c r="Z6" s="224" t="str">
        <f t="shared" si="11"/>
        <v> </v>
      </c>
      <c r="AA6" s="243"/>
    </row>
    <row r="7">
      <c r="A7" s="214" t="str">
        <f>IFS($B7=FALSE,"",$B7,VLOOKUP($B7,'PATIENT DATA (072721)'!A:C, 2, 0))</f>
        <v>SAVAGE, WILMA</v>
      </c>
      <c r="B7" s="215">
        <v>13843.0</v>
      </c>
      <c r="C7" s="216" t="str">
        <f>IF(COUNTIF('PATIENT DATA (072721)'!A:A, B7)=0, "X","✓")</f>
        <v>✓</v>
      </c>
      <c r="D7" s="226">
        <f>IFS($B7=FALSE,"",$B7,VLOOKUP($B7,'PATIENT DATA (072721)'!A:C, 3, 0))</f>
        <v>22681</v>
      </c>
      <c r="E7" s="218">
        <v>44572.0</v>
      </c>
      <c r="F7" s="219">
        <f>ifs($B7="","",$B7, VLOOKUP($B7&amp;$E7, 'VISIT DATA'!A:O,3,0))</f>
        <v>0.375</v>
      </c>
      <c r="G7" s="220" t="s">
        <v>6323</v>
      </c>
      <c r="H7" s="221" t="s">
        <v>14</v>
      </c>
      <c r="I7" s="222" t="str">
        <f>VLOOKUP($B7&amp;$E7,'VISIT DATA'!A:J, 9, FALSE)</f>
        <v>TORRES</v>
      </c>
      <c r="J7" s="223" t="str">
        <f>VLOOKUP(B7&amp;E7,'VISIT DATA'!A:N,10,FALSE)</f>
        <v>MOLINA MEDICAID TEXAS</v>
      </c>
      <c r="K7" s="242"/>
      <c r="L7" s="224" t="s">
        <v>6242</v>
      </c>
      <c r="M7" s="224" t="s">
        <v>6242</v>
      </c>
      <c r="N7" s="225"/>
      <c r="O7" s="216" t="str">
        <f t="shared" si="1"/>
        <v>✓</v>
      </c>
      <c r="P7" s="226" t="str">
        <f t="shared" si="2"/>
        <v>#VALUE!</v>
      </c>
      <c r="Q7" s="227" t="str">
        <f t="shared" si="3"/>
        <v>X</v>
      </c>
      <c r="R7" s="228" t="str">
        <f t="shared" si="4"/>
        <v>#VALUE!</v>
      </c>
      <c r="S7" s="220" t="str">
        <f t="shared" si="5"/>
        <v>#VALUE!</v>
      </c>
      <c r="T7" s="220" t="str">
        <f t="shared" si="6"/>
        <v>#VALUE!</v>
      </c>
      <c r="U7" s="221">
        <f t="shared" si="7"/>
        <v>1</v>
      </c>
      <c r="V7" s="229" t="str">
        <f>ifs($N7="",VLOOKUP($B7&amp;$E7,'VISIT DATA'!$A$2:$J100,7,FALSE), $N7="SWAB","OUTSA-RW",$N7="SWQU","OUTSA-SaQu", AND($L7="X",$M7="X",$N7="QUEST"),"OUT-UAQPre",$N7="QUEST","OUT-UAQ", $N7="Walk in","ColUATele")</f>
        <v>OUTUA-PrRW</v>
      </c>
      <c r="W7" s="24" t="str">
        <f t="shared" si="8"/>
        <v>OUTUA-PrRW : OUT UA Prelimin Redwood</v>
      </c>
      <c r="X7" s="222" t="str">
        <f t="shared" si="9"/>
        <v>OUTUA-PrRW : OUT UA Prelimin Redwood</v>
      </c>
      <c r="Y7" s="222" t="str">
        <f t="shared" si="10"/>
        <v>MATCH</v>
      </c>
      <c r="Z7" s="224" t="str">
        <f t="shared" si="11"/>
        <v> </v>
      </c>
      <c r="AA7" s="243"/>
    </row>
    <row r="8">
      <c r="A8" s="214" t="str">
        <f>IFS($B8=FALSE,"",$B8,VLOOKUP($B8,'PATIENT DATA (072721)'!A:C, 2, 0))</f>
        <v>CALDWELL, SHERYL L</v>
      </c>
      <c r="B8" s="215">
        <v>10732.0</v>
      </c>
      <c r="C8" s="216" t="str">
        <f>IF(COUNTIF('PATIENT DATA (072721)'!A:A, B8)=0, "X","✓")</f>
        <v>✓</v>
      </c>
      <c r="D8" s="226">
        <f>IFS($B8=FALSE,"",$B8,VLOOKUP($B8,'PATIENT DATA (072721)'!A:C, 3, 0))</f>
        <v>22198</v>
      </c>
      <c r="E8" s="218">
        <v>44572.0</v>
      </c>
      <c r="F8" s="219">
        <f>ifs($B8="","",$B8, VLOOKUP($B8&amp;$E8, 'VISIT DATA'!A:O,3,0))</f>
        <v>0.40625</v>
      </c>
      <c r="G8" s="220" t="s">
        <v>6323</v>
      </c>
      <c r="H8" s="221" t="s">
        <v>15</v>
      </c>
      <c r="I8" s="222" t="str">
        <f>VLOOKUP($B8&amp;$E8,'VISIT DATA'!A:J, 9, FALSE)</f>
        <v>MARTINEZ</v>
      </c>
      <c r="J8" s="223" t="str">
        <f>VLOOKUP(B8&amp;E8,'VISIT DATA'!A:N,10,FALSE)</f>
        <v>AMERIGROUP</v>
      </c>
      <c r="K8" s="242"/>
      <c r="L8" s="224" t="s">
        <v>6242</v>
      </c>
      <c r="M8" s="224"/>
      <c r="N8" s="225"/>
      <c r="O8" s="216" t="str">
        <f t="shared" si="1"/>
        <v>✓</v>
      </c>
      <c r="P8" s="226" t="str">
        <f t="shared" si="2"/>
        <v>#VALUE!</v>
      </c>
      <c r="Q8" s="227" t="str">
        <f t="shared" si="3"/>
        <v>#VALUE!</v>
      </c>
      <c r="R8" s="228" t="str">
        <f t="shared" si="4"/>
        <v>#VALUE!</v>
      </c>
      <c r="S8" s="220" t="str">
        <f t="shared" si="5"/>
        <v>#VALUE!</v>
      </c>
      <c r="T8" s="220" t="str">
        <f t="shared" si="6"/>
        <v>#VALUE!</v>
      </c>
      <c r="U8" s="221">
        <f t="shared" si="7"/>
        <v>0</v>
      </c>
      <c r="V8" s="229" t="str">
        <f>ifs($N8="",VLOOKUP($B8&amp;$E8,'VISIT DATA'!$A$2:$J100,7,FALSE), $N8="SWAB","OUTSA-RW",$N8="SWQU","OUTSA-SaQu", AND($L8="X",$M8="X",$N8="QUEST"),"OUT-UAQPre",$N8="QUEST","OUT-UAQ", $N8="Walk in","ColUATele")</f>
        <v>UA</v>
      </c>
      <c r="W8" s="24" t="str">
        <f t="shared" si="8"/>
        <v>UA : Urine Analysis In House</v>
      </c>
      <c r="X8" s="222" t="str">
        <f t="shared" si="9"/>
        <v>UA : Urine Analysis In House</v>
      </c>
      <c r="Y8" s="222" t="str">
        <f t="shared" si="10"/>
        <v>MATCH</v>
      </c>
      <c r="Z8" s="224" t="str">
        <f t="shared" si="11"/>
        <v> </v>
      </c>
      <c r="AA8" s="243"/>
    </row>
    <row r="9">
      <c r="A9" s="214" t="str">
        <f>IFS($B9=FALSE,"",$B9,VLOOKUP($B9,'PATIENT DATA (072721)'!A:C, 2, 0))</f>
        <v>SALAS, EDWARDO</v>
      </c>
      <c r="B9" s="215">
        <v>15145.0</v>
      </c>
      <c r="C9" s="216" t="str">
        <f>IF(COUNTIF('PATIENT DATA (072721)'!A:A, B9)=0, "X","✓")</f>
        <v>✓</v>
      </c>
      <c r="D9" s="226">
        <f>IFS($B9=FALSE,"",$B9,VLOOKUP($B9,'PATIENT DATA (072721)'!A:C, 3, 0))</f>
        <v>18524</v>
      </c>
      <c r="E9" s="218">
        <v>44572.0</v>
      </c>
      <c r="F9" s="219">
        <f>ifs($B9="","",$B9, VLOOKUP($B9&amp;$E9, 'VISIT DATA'!A:O,3,0))</f>
        <v>0.375</v>
      </c>
      <c r="G9" s="220" t="s">
        <v>6328</v>
      </c>
      <c r="H9" s="221" t="s">
        <v>14</v>
      </c>
      <c r="I9" s="222" t="str">
        <f>VLOOKUP($B9&amp;$E9,'VISIT DATA'!A:J, 9, FALSE)</f>
        <v>TORRES</v>
      </c>
      <c r="J9" s="223" t="str">
        <f>VLOOKUP(B9&amp;E9,'VISIT DATA'!A:N,10,FALSE)</f>
        <v>WPS VA - COMMUNITY CARE</v>
      </c>
      <c r="K9" s="242"/>
      <c r="L9" s="224" t="s">
        <v>6242</v>
      </c>
      <c r="M9" s="224"/>
      <c r="N9" s="225"/>
      <c r="O9" s="216" t="str">
        <f t="shared" si="1"/>
        <v>✓</v>
      </c>
      <c r="P9" s="226" t="str">
        <f t="shared" si="2"/>
        <v>#VALUE!</v>
      </c>
      <c r="Q9" s="227" t="str">
        <f t="shared" si="3"/>
        <v>#VALUE!</v>
      </c>
      <c r="R9" s="228" t="str">
        <f t="shared" si="4"/>
        <v>#VALUE!</v>
      </c>
      <c r="S9" s="220" t="str">
        <f t="shared" si="5"/>
        <v>#VALUE!</v>
      </c>
      <c r="T9" s="220" t="str">
        <f t="shared" si="6"/>
        <v>#VALUE!</v>
      </c>
      <c r="U9" s="221">
        <f t="shared" si="7"/>
        <v>0</v>
      </c>
      <c r="V9" s="229" t="str">
        <f>ifs($N9="",VLOOKUP($B9&amp;$E9,'VISIT DATA'!$A$2:$J100,7,FALSE), $N9="SWAB","OUTSA-RW",$N9="SWQU","OUTSA-SaQu", AND($L9="X",$M9="X",$N9="QUEST"),"OUT-UAQPre",$N9="QUEST","OUT-UAQ", $N9="Walk in","ColUATele")</f>
        <v>UA-Prelim</v>
      </c>
      <c r="W9" s="24" t="str">
        <f t="shared" si="8"/>
        <v>UA-Prelim : Preliminary UA Test</v>
      </c>
      <c r="X9" s="222" t="str">
        <f t="shared" si="9"/>
        <v>UA : Urine Analysis In House</v>
      </c>
      <c r="Y9" s="222" t="str">
        <f t="shared" si="10"/>
        <v>NO MATCH</v>
      </c>
      <c r="Z9" s="224" t="str">
        <f t="shared" si="11"/>
        <v> </v>
      </c>
      <c r="AA9" s="243"/>
    </row>
    <row r="10">
      <c r="A10" s="214" t="str">
        <f>IFS($B10=FALSE,"",$B10,VLOOKUP($B10,'PATIENT DATA (072721)'!A:C, 2, 0))</f>
        <v>COLON, BERTHA A</v>
      </c>
      <c r="B10" s="215">
        <v>9779.0</v>
      </c>
      <c r="C10" s="216" t="str">
        <f>IF(COUNTIF('PATIENT DATA (072721)'!A:A, B10)=0, "X","✓")</f>
        <v>✓</v>
      </c>
      <c r="D10" s="226">
        <f>IFS($B10=FALSE,"",$B10,VLOOKUP($B10,'PATIENT DATA (072721)'!A:C, 3, 0))</f>
        <v>22449</v>
      </c>
      <c r="E10" s="218">
        <v>44572.0</v>
      </c>
      <c r="F10" s="219">
        <f>ifs($B10="","",$B10, VLOOKUP($B10&amp;$E10, 'VISIT DATA'!A:O,3,0))</f>
        <v>0.40625</v>
      </c>
      <c r="G10" s="220" t="s">
        <v>6323</v>
      </c>
      <c r="H10" s="221" t="s">
        <v>15</v>
      </c>
      <c r="I10" s="222" t="str">
        <f>VLOOKUP($B10&amp;$E10,'VISIT DATA'!A:J, 9, FALSE)</f>
        <v>MARTINEZ</v>
      </c>
      <c r="J10" s="223" t="str">
        <f>VLOOKUP(B10&amp;E10,'VISIT DATA'!A:N,10,FALSE)</f>
        <v>WELLMED - AARP MEDICARE COMPLETE</v>
      </c>
      <c r="K10" s="242"/>
      <c r="L10" s="224" t="s">
        <v>6242</v>
      </c>
      <c r="M10" s="224"/>
      <c r="N10" s="225"/>
      <c r="O10" s="216" t="str">
        <f t="shared" si="1"/>
        <v>✓</v>
      </c>
      <c r="P10" s="226" t="str">
        <f t="shared" si="2"/>
        <v>X</v>
      </c>
      <c r="Q10" s="227" t="str">
        <f t="shared" si="3"/>
        <v>#VALUE!</v>
      </c>
      <c r="R10" s="228" t="str">
        <f t="shared" si="4"/>
        <v>#VALUE!</v>
      </c>
      <c r="S10" s="220" t="str">
        <f t="shared" si="5"/>
        <v>#VALUE!</v>
      </c>
      <c r="T10" s="220" t="str">
        <f t="shared" si="6"/>
        <v>#VALUE!</v>
      </c>
      <c r="U10" s="221">
        <f t="shared" si="7"/>
        <v>1</v>
      </c>
      <c r="V10" s="229" t="str">
        <f>ifs($N10="",VLOOKUP($B10&amp;$E10,'VISIT DATA'!$A$2:$J100,7,FALSE), $N10="SWAB","OUTSA-RW",$N10="SWQU","OUTSA-SaQu", AND($L10="X",$M10="X",$N10="QUEST"),"OUT-UAQPre",$N10="QUEST","OUT-UAQ", $N10="Walk in","ColUATele")</f>
        <v>OUTUA-FURW</v>
      </c>
      <c r="W10" s="24" t="str">
        <f t="shared" si="8"/>
        <v>OUTUA-FURW : OUT UA FU Redwood</v>
      </c>
      <c r="X10" s="222" t="str">
        <f t="shared" si="9"/>
        <v>OUTUA-FURW : OUT UA FU Redwood</v>
      </c>
      <c r="Y10" s="222" t="str">
        <f t="shared" si="10"/>
        <v>MATCH</v>
      </c>
      <c r="Z10" s="224" t="str">
        <f t="shared" si="11"/>
        <v> </v>
      </c>
      <c r="AA10" s="243"/>
    </row>
    <row r="11">
      <c r="A11" s="214" t="str">
        <f>IFS($B11=FALSE,"",$B11,VLOOKUP($B11,'PATIENT DATA (072721)'!A:C, 2, 0))</f>
        <v>HERNANDEZ, ELENA</v>
      </c>
      <c r="B11" s="215">
        <v>10768.0</v>
      </c>
      <c r="C11" s="216" t="str">
        <f>IF(COUNTIF('PATIENT DATA (072721)'!A:A, B11)=0, "X","✓")</f>
        <v>✓</v>
      </c>
      <c r="D11" s="226">
        <f>IFS($B11=FALSE,"",$B11,VLOOKUP($B11,'PATIENT DATA (072721)'!A:C, 3, 0))</f>
        <v>19517</v>
      </c>
      <c r="E11" s="218">
        <v>44572.0</v>
      </c>
      <c r="F11" s="219">
        <f>ifs($B11="","",$B11, VLOOKUP($B11&amp;$E11, 'VISIT DATA'!A:O,3,0))</f>
        <v>0.4166666667</v>
      </c>
      <c r="G11" s="220" t="s">
        <v>6323</v>
      </c>
      <c r="H11" s="221" t="s">
        <v>15</v>
      </c>
      <c r="I11" s="222" t="str">
        <f>VLOOKUP($B11&amp;$E11,'VISIT DATA'!A:J, 9, FALSE)</f>
        <v>MARTINEZ</v>
      </c>
      <c r="J11" s="223" t="str">
        <f>VLOOKUP(B11&amp;E11,'VISIT DATA'!A:N,10,FALSE)</f>
        <v>BCBSTX PPO</v>
      </c>
      <c r="K11" s="242"/>
      <c r="L11" s="224" t="s">
        <v>6242</v>
      </c>
      <c r="M11" s="224" t="s">
        <v>6242</v>
      </c>
      <c r="N11" s="225"/>
      <c r="O11" s="216" t="str">
        <f t="shared" si="1"/>
        <v>✓</v>
      </c>
      <c r="P11" s="226" t="str">
        <f t="shared" si="2"/>
        <v>#VALUE!</v>
      </c>
      <c r="Q11" s="227" t="str">
        <f t="shared" si="3"/>
        <v>#VALUE!</v>
      </c>
      <c r="R11" s="228" t="str">
        <f t="shared" si="4"/>
        <v>#VALUE!</v>
      </c>
      <c r="S11" s="220" t="str">
        <f t="shared" si="5"/>
        <v>#VALUE!</v>
      </c>
      <c r="T11" s="220" t="str">
        <f t="shared" si="6"/>
        <v>#VALUE!</v>
      </c>
      <c r="U11" s="221">
        <f t="shared" si="7"/>
        <v>0</v>
      </c>
      <c r="V11" s="229" t="str">
        <f>ifs($N11="",VLOOKUP($B11&amp;$E11,'VISIT DATA'!$A$2:$J100,7,FALSE), $N11="SWAB","OUTSA-RW",$N11="SWQU","OUTSA-SaQu", AND($L11="X",$M11="X",$N11="QUEST"),"OUT-UAQPre",$N11="QUEST","OUT-UAQ", $N11="Walk in","ColUATele")</f>
        <v>UA-Prelim</v>
      </c>
      <c r="W11" s="24" t="str">
        <f t="shared" si="8"/>
        <v>UA-Prelim : Preliminary UA Test</v>
      </c>
      <c r="X11" s="222" t="str">
        <f t="shared" si="9"/>
        <v>UA-Prelim : Preliminary UA Test</v>
      </c>
      <c r="Y11" s="222" t="str">
        <f t="shared" si="10"/>
        <v>MATCH</v>
      </c>
      <c r="Z11" s="224" t="str">
        <f t="shared" si="11"/>
        <v> </v>
      </c>
      <c r="AA11" s="243"/>
    </row>
    <row r="12">
      <c r="A12" s="214" t="str">
        <f>IFS($B12=FALSE,"",$B12,VLOOKUP($B12,'PATIENT DATA (072721)'!A:C, 2, 0))</f>
        <v>HERNANDEZ-FISHER, JOANNE</v>
      </c>
      <c r="B12" s="215">
        <v>13680.0</v>
      </c>
      <c r="C12" s="216" t="str">
        <f>IF(COUNTIF('PATIENT DATA (072721)'!A:A, B12)=0, "X","✓")</f>
        <v>✓</v>
      </c>
      <c r="D12" s="226">
        <f>IFS($B12=FALSE,"",$B12,VLOOKUP($B12,'PATIENT DATA (072721)'!A:C, 3, 0))</f>
        <v>26459</v>
      </c>
      <c r="E12" s="218">
        <v>44572.0</v>
      </c>
      <c r="F12" s="219">
        <f>ifs($B12="","",$B12, VLOOKUP($B12&amp;$E12, 'VISIT DATA'!A:O,3,0))</f>
        <v>0.4375</v>
      </c>
      <c r="G12" s="220" t="s">
        <v>6323</v>
      </c>
      <c r="H12" s="221" t="s">
        <v>15</v>
      </c>
      <c r="I12" s="222" t="str">
        <f>VLOOKUP($B12&amp;$E12,'VISIT DATA'!A:J, 9, FALSE)</f>
        <v>MARTINEZ</v>
      </c>
      <c r="J12" s="223" t="str">
        <f>VLOOKUP(B12&amp;E12,'VISIT DATA'!A:N,10,FALSE)</f>
        <v>WPS VA - COMMUNITY CARE</v>
      </c>
      <c r="K12" s="242"/>
      <c r="L12" s="224" t="s">
        <v>6242</v>
      </c>
      <c r="M12" s="224"/>
      <c r="N12" s="225"/>
      <c r="O12" s="216" t="str">
        <f t="shared" si="1"/>
        <v>✓</v>
      </c>
      <c r="P12" s="226" t="str">
        <f t="shared" si="2"/>
        <v>#VALUE!</v>
      </c>
      <c r="Q12" s="227" t="str">
        <f t="shared" si="3"/>
        <v>#VALUE!</v>
      </c>
      <c r="R12" s="228" t="str">
        <f t="shared" si="4"/>
        <v>#VALUE!</v>
      </c>
      <c r="S12" s="220" t="str">
        <f t="shared" si="5"/>
        <v>#VALUE!</v>
      </c>
      <c r="T12" s="220" t="str">
        <f t="shared" si="6"/>
        <v>#VALUE!</v>
      </c>
      <c r="U12" s="221">
        <f t="shared" si="7"/>
        <v>0</v>
      </c>
      <c r="V12" s="229" t="str">
        <f>ifs($N12="",VLOOKUP($B12&amp;$E12,'VISIT DATA'!$A$2:$J100,7,FALSE), $N12="SWAB","OUTSA-RW",$N12="SWQU","OUTSA-SaQu", AND($L12="X",$M12="X",$N12="QUEST"),"OUT-UAQPre",$N12="QUEST","OUT-UAQ", $N12="Walk in","ColUATele")</f>
        <v>UA</v>
      </c>
      <c r="W12" s="24" t="str">
        <f t="shared" si="8"/>
        <v>UA : Urine Analysis In House</v>
      </c>
      <c r="X12" s="222" t="str">
        <f t="shared" si="9"/>
        <v>UA : Urine Analysis In House</v>
      </c>
      <c r="Y12" s="222" t="str">
        <f t="shared" si="10"/>
        <v>MATCH</v>
      </c>
      <c r="Z12" s="224" t="str">
        <f t="shared" si="11"/>
        <v> </v>
      </c>
      <c r="AA12" s="243"/>
    </row>
    <row r="13">
      <c r="A13" s="214" t="str">
        <f>IFS($B13=FALSE,"",$B13,VLOOKUP($B13,'PATIENT DATA (072721)'!A:C, 2, 0))</f>
        <v>PEDROZA, MIGUEL A</v>
      </c>
      <c r="B13" s="215">
        <v>15536.0</v>
      </c>
      <c r="C13" s="216" t="str">
        <f>IF(COUNTIF('PATIENT DATA (072721)'!A:A, B13)=0, "X","✓")</f>
        <v>✓</v>
      </c>
      <c r="D13" s="226">
        <f>IFS($B13=FALSE,"",$B13,VLOOKUP($B13,'PATIENT DATA (072721)'!A:C, 3, 0))</f>
        <v>21822</v>
      </c>
      <c r="E13" s="218">
        <v>44572.0</v>
      </c>
      <c r="F13" s="219">
        <f>ifs($B13="","",$B13, VLOOKUP($B13&amp;$E13, 'VISIT DATA'!A:O,3,0))</f>
        <v>0.4479166667</v>
      </c>
      <c r="G13" s="220" t="s">
        <v>6328</v>
      </c>
      <c r="H13" s="221" t="s">
        <v>15</v>
      </c>
      <c r="I13" s="222" t="str">
        <f>VLOOKUP($B13&amp;$E13,'VISIT DATA'!A:J, 9, FALSE)</f>
        <v>MARTINEZ</v>
      </c>
      <c r="J13" s="223" t="str">
        <f>VLOOKUP(B13&amp;E13,'VISIT DATA'!A:N,10,FALSE)</f>
        <v>WELLMED - CIGNA HEALTHSPRING</v>
      </c>
      <c r="K13" s="242"/>
      <c r="L13" s="224" t="s">
        <v>6242</v>
      </c>
      <c r="M13" s="224" t="s">
        <v>6242</v>
      </c>
      <c r="N13" s="225"/>
      <c r="O13" s="216" t="str">
        <f t="shared" si="1"/>
        <v>✓</v>
      </c>
      <c r="P13" s="226" t="str">
        <f t="shared" si="2"/>
        <v>X</v>
      </c>
      <c r="Q13" s="227" t="str">
        <f t="shared" si="3"/>
        <v>#VALUE!</v>
      </c>
      <c r="R13" s="228" t="str">
        <f t="shared" si="4"/>
        <v>#VALUE!</v>
      </c>
      <c r="S13" s="220" t="str">
        <f t="shared" si="5"/>
        <v>#VALUE!</v>
      </c>
      <c r="T13" s="220" t="str">
        <f t="shared" si="6"/>
        <v>#VALUE!</v>
      </c>
      <c r="U13" s="221">
        <f t="shared" si="7"/>
        <v>1</v>
      </c>
      <c r="V13" s="229" t="str">
        <f>ifs($N13="",VLOOKUP($B13&amp;$E13,'VISIT DATA'!$A$2:$J100,7,FALSE), $N13="SWAB","OUTSA-RW",$N13="SWQU","OUTSA-SaQu", AND($L13="X",$M13="X",$N13="QUEST"),"OUT-UAQPre",$N13="QUEST","OUT-UAQ", $N13="Walk in","ColUATele")</f>
        <v>OUTUA-PrRW</v>
      </c>
      <c r="W13" s="24" t="str">
        <f t="shared" si="8"/>
        <v>OUTUA-PrRW : OUT UA Prelimin Redwood</v>
      </c>
      <c r="X13" s="222" t="str">
        <f t="shared" si="9"/>
        <v>OUTUA-PrRW : OUT UA Prelimin Redwood</v>
      </c>
      <c r="Y13" s="222" t="str">
        <f t="shared" si="10"/>
        <v>MATCH</v>
      </c>
      <c r="Z13" s="224" t="str">
        <f t="shared" si="11"/>
        <v> </v>
      </c>
      <c r="AA13" s="243"/>
    </row>
    <row r="14">
      <c r="A14" s="214" t="str">
        <f>IFS($B14=FALSE,"",$B14,VLOOKUP($B14,'PATIENT DATA (072721)'!A:C, 2, 0))</f>
        <v>QUINTANA, JOHN W</v>
      </c>
      <c r="B14" s="215">
        <v>16341.0</v>
      </c>
      <c r="C14" s="216" t="str">
        <f>IF(COUNTIF('PATIENT DATA (072721)'!A:A, B14)=0, "X","✓")</f>
        <v>✓</v>
      </c>
      <c r="D14" s="226">
        <f>IFS($B14=FALSE,"",$B14,VLOOKUP($B14,'PATIENT DATA (072721)'!A:C, 3, 0))</f>
        <v>22969</v>
      </c>
      <c r="E14" s="218">
        <v>44572.0</v>
      </c>
      <c r="F14" s="219">
        <f>ifs($B14="","",$B14, VLOOKUP($B14&amp;$E14, 'VISIT DATA'!A:O,3,0))</f>
        <v>0.3854166667</v>
      </c>
      <c r="G14" s="220" t="s">
        <v>6328</v>
      </c>
      <c r="H14" s="221" t="s">
        <v>12</v>
      </c>
      <c r="I14" s="222" t="str">
        <f>VLOOKUP($B14&amp;$E14,'VISIT DATA'!A:J, 9, FALSE)</f>
        <v>THOMAS</v>
      </c>
      <c r="J14" s="223" t="str">
        <f>VLOOKUP(B14&amp;E14,'VISIT DATA'!A:N,10,FALSE)</f>
        <v>WELLMED - UHC CHRONIC COMPLETE HMO C-SNP</v>
      </c>
      <c r="K14" s="225"/>
      <c r="L14" s="224" t="s">
        <v>6242</v>
      </c>
      <c r="M14" s="224" t="s">
        <v>6242</v>
      </c>
      <c r="N14" s="225"/>
      <c r="O14" s="216" t="str">
        <f t="shared" si="1"/>
        <v>✓</v>
      </c>
      <c r="P14" s="226" t="str">
        <f t="shared" si="2"/>
        <v>X</v>
      </c>
      <c r="Q14" s="227" t="str">
        <f t="shared" si="3"/>
        <v>#VALUE!</v>
      </c>
      <c r="R14" s="228" t="str">
        <f t="shared" si="4"/>
        <v>#VALUE!</v>
      </c>
      <c r="S14" s="220" t="str">
        <f t="shared" si="5"/>
        <v>#VALUE!</v>
      </c>
      <c r="T14" s="220" t="str">
        <f t="shared" si="6"/>
        <v>#VALUE!</v>
      </c>
      <c r="U14" s="221">
        <f t="shared" si="7"/>
        <v>1</v>
      </c>
      <c r="V14" s="229" t="str">
        <f>ifs($N14="",VLOOKUP($B14&amp;$E14,'VISIT DATA'!$A$2:$J100,7,FALSE), $N14="SWAB","OUTSA-RW",$N14="SWQU","OUTSA-SaQu", AND($L14="X",$M14="X",$N14="QUEST"),"OUT-UAQPre",$N14="QUEST","OUT-UAQ", $N14="Walk in","ColUATele")</f>
        <v>OUTUA-PrRW</v>
      </c>
      <c r="W14" s="24" t="str">
        <f t="shared" si="8"/>
        <v>OUTUA-PrRW : OUT UA Prelimin Redwood</v>
      </c>
      <c r="X14" s="222" t="str">
        <f t="shared" si="9"/>
        <v>OUTUA-PrRW : OUT UA Prelimin Redwood</v>
      </c>
      <c r="Y14" s="222" t="str">
        <f t="shared" si="10"/>
        <v>MATCH</v>
      </c>
      <c r="Z14" s="224" t="str">
        <f t="shared" si="11"/>
        <v> </v>
      </c>
      <c r="AA14" s="244"/>
    </row>
    <row r="15">
      <c r="A15" s="214" t="str">
        <f>IFS($B15=FALSE,"",$B15,VLOOKUP($B15,'PATIENT DATA (072721)'!A:C, 2, 0))</f>
        <v>GUTIERREZ, LETICIA</v>
      </c>
      <c r="B15" s="215">
        <v>16106.0</v>
      </c>
      <c r="C15" s="216" t="str">
        <f>IF(COUNTIF('PATIENT DATA (072721)'!A:A, B15)=0, "X","✓")</f>
        <v>✓</v>
      </c>
      <c r="D15" s="226">
        <f>IFS($B15=FALSE,"",$B15,VLOOKUP($B15,'PATIENT DATA (072721)'!A:C, 3, 0))</f>
        <v>23484</v>
      </c>
      <c r="E15" s="218">
        <v>44572.0</v>
      </c>
      <c r="F15" s="219">
        <f>ifs($B15="","",$B15, VLOOKUP($B15&amp;$E15, 'VISIT DATA'!A:O,3,0))</f>
        <v>0.4375</v>
      </c>
      <c r="G15" s="220" t="s">
        <v>6323</v>
      </c>
      <c r="H15" s="221" t="s">
        <v>14</v>
      </c>
      <c r="I15" s="222" t="str">
        <f>VLOOKUP($B15&amp;$E15,'VISIT DATA'!A:J, 9, FALSE)</f>
        <v>TORRES</v>
      </c>
      <c r="J15" s="223" t="str">
        <f>VLOOKUP(B15&amp;E15,'VISIT DATA'!A:N,10,FALSE)</f>
        <v>MEDICARE TEXAS</v>
      </c>
      <c r="K15" s="225"/>
      <c r="L15" s="224" t="s">
        <v>6242</v>
      </c>
      <c r="M15" s="224"/>
      <c r="N15" s="225"/>
      <c r="O15" s="216" t="str">
        <f t="shared" si="1"/>
        <v>✓</v>
      </c>
      <c r="P15" s="226" t="str">
        <f t="shared" si="2"/>
        <v>#VALUE!</v>
      </c>
      <c r="Q15" s="227" t="str">
        <f t="shared" si="3"/>
        <v>#VALUE!</v>
      </c>
      <c r="R15" s="228" t="str">
        <f t="shared" si="4"/>
        <v>#VALUE!</v>
      </c>
      <c r="S15" s="220" t="str">
        <f t="shared" si="5"/>
        <v>#VALUE!</v>
      </c>
      <c r="T15" s="220" t="str">
        <f t="shared" si="6"/>
        <v>#VALUE!</v>
      </c>
      <c r="U15" s="221">
        <f t="shared" si="7"/>
        <v>0</v>
      </c>
      <c r="V15" s="229" t="str">
        <f>ifs($N15="",VLOOKUP($B15&amp;$E15,'VISIT DATA'!$A$2:$J100,7,FALSE), $N15="SWAB","OUTSA-RW",$N15="SWQU","OUTSA-SaQu", AND($L15="X",$M15="X",$N15="QUEST"),"OUT-UAQPre",$N15="QUEST","OUT-UAQ", $N15="Walk in","ColUATele")</f>
        <v>UA</v>
      </c>
      <c r="W15" s="24" t="str">
        <f t="shared" si="8"/>
        <v>UA : Urine Analysis In House</v>
      </c>
      <c r="X15" s="222" t="str">
        <f t="shared" si="9"/>
        <v>UA : Urine Analysis In House</v>
      </c>
      <c r="Y15" s="222" t="str">
        <f t="shared" si="10"/>
        <v>MATCH</v>
      </c>
      <c r="Z15" s="224" t="str">
        <f t="shared" si="11"/>
        <v> </v>
      </c>
      <c r="AA15" s="244"/>
    </row>
    <row r="16">
      <c r="A16" s="214" t="str">
        <f>IFS($B16=FALSE,"",$B16,VLOOKUP($B16,'PATIENT DATA (072721)'!A:C, 2, 0))</f>
        <v>PEREZ, ENRIQUE M</v>
      </c>
      <c r="B16" s="215">
        <v>14850.0</v>
      </c>
      <c r="C16" s="216" t="str">
        <f>IF(COUNTIF('PATIENT DATA (072721)'!A:A, B16)=0, "X","✓")</f>
        <v>✓</v>
      </c>
      <c r="D16" s="226">
        <f>IFS($B16=FALSE,"",$B16,VLOOKUP($B16,'PATIENT DATA (072721)'!A:C, 3, 0))</f>
        <v>19056</v>
      </c>
      <c r="E16" s="218">
        <v>44572.0</v>
      </c>
      <c r="F16" s="219">
        <f>ifs($B16="","",$B16, VLOOKUP($B16&amp;$E16, 'VISIT DATA'!A:O,3,0))</f>
        <v>0.46875</v>
      </c>
      <c r="G16" s="220" t="s">
        <v>6328</v>
      </c>
      <c r="H16" s="221" t="s">
        <v>14</v>
      </c>
      <c r="I16" s="222" t="str">
        <f>VLOOKUP($B16&amp;$E16,'VISIT DATA'!A:J, 9, FALSE)</f>
        <v>TORRES</v>
      </c>
      <c r="J16" s="223" t="str">
        <f>VLOOKUP(B16&amp;E16,'VISIT DATA'!A:N,10,FALSE)</f>
        <v>WELLMED - UHC CHRONIC COMPLETE HMO C-SNP</v>
      </c>
      <c r="K16" s="224"/>
      <c r="L16" s="224" t="s">
        <v>6242</v>
      </c>
      <c r="M16" s="224" t="s">
        <v>6242</v>
      </c>
      <c r="N16" s="225"/>
      <c r="O16" s="216" t="str">
        <f t="shared" si="1"/>
        <v>✓</v>
      </c>
      <c r="P16" s="226" t="str">
        <f t="shared" si="2"/>
        <v>X</v>
      </c>
      <c r="Q16" s="227" t="str">
        <f t="shared" si="3"/>
        <v>#VALUE!</v>
      </c>
      <c r="R16" s="228" t="str">
        <f t="shared" si="4"/>
        <v>#VALUE!</v>
      </c>
      <c r="S16" s="220" t="str">
        <f t="shared" si="5"/>
        <v>#VALUE!</v>
      </c>
      <c r="T16" s="220" t="str">
        <f t="shared" si="6"/>
        <v>#VALUE!</v>
      </c>
      <c r="U16" s="221">
        <f t="shared" si="7"/>
        <v>1</v>
      </c>
      <c r="V16" s="229" t="str">
        <f>ifs($N16="",VLOOKUP($B16&amp;$E16,'VISIT DATA'!$A$2:$J100,7,FALSE), $N16="SWAB","OUTSA-RW",$N16="SWQU","OUTSA-SaQu", AND($L16="X",$M16="X",$N16="QUEST"),"OUT-UAQPre",$N16="QUEST","OUT-UAQ", $N16="Walk in","ColUATele")</f>
        <v>OUTUA-PrRW</v>
      </c>
      <c r="W16" s="24" t="str">
        <f t="shared" si="8"/>
        <v>OUTUA-PrRW : OUT UA Prelimin Redwood</v>
      </c>
      <c r="X16" s="222" t="str">
        <f t="shared" si="9"/>
        <v>OUTUA-PrRW : OUT UA Prelimin Redwood</v>
      </c>
      <c r="Y16" s="222" t="str">
        <f t="shared" si="10"/>
        <v>MATCH</v>
      </c>
      <c r="Z16" s="224" t="str">
        <f t="shared" si="11"/>
        <v> </v>
      </c>
      <c r="AA16" s="244"/>
    </row>
    <row r="17">
      <c r="A17" s="214" t="str">
        <f>IFS($B17=FALSE,"",$B17,VLOOKUP($B17,'PATIENT DATA (072721)'!A:C, 2, 0))</f>
        <v>ESPARZA, JESUS G</v>
      </c>
      <c r="B17" s="215">
        <v>15716.0</v>
      </c>
      <c r="C17" s="216" t="str">
        <f>IF(COUNTIF('PATIENT DATA (072721)'!A:A, B17)=0, "X","✓")</f>
        <v>✓</v>
      </c>
      <c r="D17" s="226">
        <f>IFS($B17=FALSE,"",$B17,VLOOKUP($B17,'PATIENT DATA (072721)'!A:C, 3, 0))</f>
        <v>22638</v>
      </c>
      <c r="E17" s="218">
        <v>44572.0</v>
      </c>
      <c r="F17" s="219">
        <f>ifs($B17="","",$B17, VLOOKUP($B17&amp;$E17, 'VISIT DATA'!A:O,3,0))</f>
        <v>0.5416666667</v>
      </c>
      <c r="G17" s="220" t="s">
        <v>6328</v>
      </c>
      <c r="H17" s="221" t="s">
        <v>15</v>
      </c>
      <c r="I17" s="222" t="str">
        <f>VLOOKUP($B17&amp;$E17,'VISIT DATA'!A:J, 9, FALSE)</f>
        <v>MARTINEZ</v>
      </c>
      <c r="J17" s="223" t="str">
        <f>VLOOKUP(B17&amp;E17,'VISIT DATA'!A:N,10,FALSE)</f>
        <v>WPS VA - COMMUNITY CARE</v>
      </c>
      <c r="K17" s="225"/>
      <c r="L17" s="224" t="s">
        <v>6242</v>
      </c>
      <c r="M17" s="224"/>
      <c r="N17" s="224"/>
      <c r="O17" s="216" t="str">
        <f t="shared" si="1"/>
        <v>✓</v>
      </c>
      <c r="P17" s="226" t="str">
        <f t="shared" si="2"/>
        <v>#VALUE!</v>
      </c>
      <c r="Q17" s="227" t="str">
        <f t="shared" si="3"/>
        <v>#VALUE!</v>
      </c>
      <c r="R17" s="228" t="str">
        <f t="shared" si="4"/>
        <v>#VALUE!</v>
      </c>
      <c r="S17" s="220" t="str">
        <f t="shared" si="5"/>
        <v>#VALUE!</v>
      </c>
      <c r="T17" s="220" t="str">
        <f t="shared" si="6"/>
        <v>#VALUE!</v>
      </c>
      <c r="U17" s="221">
        <f t="shared" si="7"/>
        <v>0</v>
      </c>
      <c r="V17" s="229" t="str">
        <f>ifs($N17="",VLOOKUP($B17&amp;$E17,'VISIT DATA'!$A$2:$J100,7,FALSE), $N17="SWAB","OUTSA-RW",$N17="SWQU","OUTSA-SaQu", AND($L17="X",$M17="X",$N17="QUEST"),"OUT-UAQPre",$N17="QUEST","OUT-UAQ", $N17="Walk in","ColUATele")</f>
        <v>UA</v>
      </c>
      <c r="W17" s="24" t="str">
        <f t="shared" si="8"/>
        <v>UA : Urine Analysis In House</v>
      </c>
      <c r="X17" s="222" t="str">
        <f t="shared" si="9"/>
        <v>UA : Urine Analysis In House</v>
      </c>
      <c r="Y17" s="222" t="str">
        <f t="shared" si="10"/>
        <v>MATCH</v>
      </c>
      <c r="Z17" s="224" t="str">
        <f t="shared" si="11"/>
        <v> </v>
      </c>
      <c r="AA17" s="245"/>
    </row>
    <row r="18">
      <c r="A18" s="214" t="str">
        <f>IFS($B18=FALSE,"",$B18,VLOOKUP($B18,'PATIENT DATA (072721)'!A:C, 2, 0))</f>
        <v>GOMEZ, BRIANA M</v>
      </c>
      <c r="B18" s="215">
        <v>14682.0</v>
      </c>
      <c r="C18" s="216" t="str">
        <f>IF(COUNTIF('PATIENT DATA (072721)'!A:A, B18)=0, "X","✓")</f>
        <v>✓</v>
      </c>
      <c r="D18" s="226">
        <f>IFS($B18=FALSE,"",$B18,VLOOKUP($B18,'PATIENT DATA (072721)'!A:C, 3, 0))</f>
        <v>33997</v>
      </c>
      <c r="E18" s="218">
        <v>44572.0</v>
      </c>
      <c r="F18" s="219">
        <f>ifs($B18="","",$B18, VLOOKUP($B18&amp;$E18, 'VISIT DATA'!A:O,3,0))</f>
        <v>0.5416666667</v>
      </c>
      <c r="G18" s="220" t="s">
        <v>6323</v>
      </c>
      <c r="H18" s="221" t="s">
        <v>15</v>
      </c>
      <c r="I18" s="222" t="str">
        <f>VLOOKUP($B18&amp;$E18,'VISIT DATA'!A:J, 9, FALSE)</f>
        <v>TORRES</v>
      </c>
      <c r="J18" s="223" t="str">
        <f>VLOOKUP(B18&amp;E18,'VISIT DATA'!A:N,10,FALSE)</f>
        <v>MEDICARE TEXAS</v>
      </c>
      <c r="K18" s="224"/>
      <c r="L18" s="224" t="s">
        <v>6242</v>
      </c>
      <c r="M18" s="224" t="s">
        <v>6242</v>
      </c>
      <c r="N18" s="224"/>
      <c r="O18" s="216" t="str">
        <f t="shared" si="1"/>
        <v>✓</v>
      </c>
      <c r="P18" s="226" t="str">
        <f t="shared" si="2"/>
        <v>#VALUE!</v>
      </c>
      <c r="Q18" s="227" t="str">
        <f t="shared" si="3"/>
        <v>#VALUE!</v>
      </c>
      <c r="R18" s="228" t="str">
        <f t="shared" si="4"/>
        <v>#VALUE!</v>
      </c>
      <c r="S18" s="220" t="str">
        <f t="shared" si="5"/>
        <v>#VALUE!</v>
      </c>
      <c r="T18" s="220" t="str">
        <f t="shared" si="6"/>
        <v>#VALUE!</v>
      </c>
      <c r="U18" s="221">
        <f t="shared" si="7"/>
        <v>0</v>
      </c>
      <c r="V18" s="229" t="str">
        <f>ifs($N18="",VLOOKUP($B18&amp;$E18,'VISIT DATA'!$A$2:$J100,7,FALSE), $N18="SWAB","OUTSA-RW",$N18="SWQU","OUTSA-SaQu", AND($L18="X",$M18="X",$N18="QUEST"),"OUT-UAQPre",$N18="QUEST","OUT-UAQ", $N18="Walk in","ColUATele")</f>
        <v>UA-Prelim</v>
      </c>
      <c r="W18" s="24" t="str">
        <f t="shared" si="8"/>
        <v>UA-Prelim : Preliminary UA Test</v>
      </c>
      <c r="X18" s="222" t="str">
        <f t="shared" si="9"/>
        <v>UA-Prelim : Preliminary UA Test</v>
      </c>
      <c r="Y18" s="222" t="str">
        <f t="shared" si="10"/>
        <v>MATCH</v>
      </c>
      <c r="Z18" s="224" t="str">
        <f t="shared" si="11"/>
        <v> </v>
      </c>
      <c r="AA18" s="244"/>
    </row>
    <row r="19">
      <c r="A19" s="214" t="str">
        <f>IFS($B19=FALSE,"",$B19,VLOOKUP($B19,'PATIENT DATA (072721)'!A:C, 2, 0))</f>
        <v>HERRERA, LETICIA</v>
      </c>
      <c r="B19" s="215">
        <v>13885.0</v>
      </c>
      <c r="C19" s="216" t="str">
        <f>IF(COUNTIF('PATIENT DATA (072721)'!A:A, B19)=0, "X","✓")</f>
        <v>✓</v>
      </c>
      <c r="D19" s="226">
        <f>IFS($B19=FALSE,"",$B19,VLOOKUP($B19,'PATIENT DATA (072721)'!A:C, 3, 0))</f>
        <v>22542</v>
      </c>
      <c r="E19" s="218">
        <v>44572.0</v>
      </c>
      <c r="F19" s="219">
        <f>ifs($B19="","",$B19, VLOOKUP($B19&amp;$E19, 'VISIT DATA'!A:O,3,0))</f>
        <v>0.5625</v>
      </c>
      <c r="G19" s="220" t="s">
        <v>6323</v>
      </c>
      <c r="H19" s="221" t="s">
        <v>15</v>
      </c>
      <c r="I19" s="222" t="str">
        <f>VLOOKUP($B19&amp;$E19,'VISIT DATA'!A:J, 9, FALSE)</f>
        <v>MARTINEZ</v>
      </c>
      <c r="J19" s="223" t="str">
        <f>VLOOKUP(B19&amp;E19,'VISIT DATA'!A:N,10,FALSE)</f>
        <v>AMBETTER - SUPERIOR</v>
      </c>
      <c r="K19" s="225"/>
      <c r="L19" s="224" t="s">
        <v>6242</v>
      </c>
      <c r="M19" s="224"/>
      <c r="N19" s="225"/>
      <c r="O19" s="216" t="str">
        <f t="shared" si="1"/>
        <v>✓</v>
      </c>
      <c r="P19" s="226" t="str">
        <f t="shared" si="2"/>
        <v>#VALUE!</v>
      </c>
      <c r="Q19" s="227" t="str">
        <f t="shared" si="3"/>
        <v>#VALUE!</v>
      </c>
      <c r="R19" s="228" t="str">
        <f t="shared" si="4"/>
        <v>#VALUE!</v>
      </c>
      <c r="S19" s="220" t="str">
        <f t="shared" si="5"/>
        <v>#VALUE!</v>
      </c>
      <c r="T19" s="220" t="str">
        <f t="shared" si="6"/>
        <v>#VALUE!</v>
      </c>
      <c r="U19" s="221">
        <f t="shared" si="7"/>
        <v>0</v>
      </c>
      <c r="V19" s="229" t="str">
        <f>ifs($N19="",VLOOKUP($B19&amp;$E19,'VISIT DATA'!$A$2:$J100,7,FALSE), $N19="SWAB","OUTSA-RW",$N19="SWQU","OUTSA-SaQu", AND($L19="X",$M19="X",$N19="QUEST"),"OUT-UAQPre",$N19="QUEST","OUT-UAQ", $N19="Walk in","ColUATele")</f>
        <v>UA</v>
      </c>
      <c r="W19" s="24" t="str">
        <f t="shared" si="8"/>
        <v>UA : Urine Analysis In House</v>
      </c>
      <c r="X19" s="222" t="str">
        <f t="shared" si="9"/>
        <v>UA : Urine Analysis In House</v>
      </c>
      <c r="Y19" s="222" t="str">
        <f t="shared" si="10"/>
        <v>MATCH</v>
      </c>
      <c r="Z19" s="224" t="str">
        <f t="shared" si="11"/>
        <v> </v>
      </c>
      <c r="AA19" s="244"/>
    </row>
    <row r="20">
      <c r="A20" s="214" t="str">
        <f>IFS($B20=FALSE,"",$B20,VLOOKUP($B20,'PATIENT DATA (072721)'!A:C, 2, 0))</f>
        <v>RODRIGUEZ, LANELLE L</v>
      </c>
      <c r="B20" s="215">
        <v>15603.0</v>
      </c>
      <c r="C20" s="216" t="str">
        <f>IF(COUNTIF('PATIENT DATA (072721)'!A:A, B20)=0, "X","✓")</f>
        <v>✓</v>
      </c>
      <c r="D20" s="226">
        <f>IFS($B20=FALSE,"",$B20,VLOOKUP($B20,'PATIENT DATA (072721)'!A:C, 3, 0))</f>
        <v>21691</v>
      </c>
      <c r="E20" s="218">
        <v>44572.0</v>
      </c>
      <c r="F20" s="219">
        <f>ifs($B20="","",$B20, VLOOKUP($B20&amp;$E20, 'VISIT DATA'!A:O,3,0))</f>
        <v>0.5520833333</v>
      </c>
      <c r="G20" s="220" t="s">
        <v>6323</v>
      </c>
      <c r="H20" s="221" t="s">
        <v>14</v>
      </c>
      <c r="I20" s="222" t="str">
        <f>VLOOKUP($B20&amp;$E20,'VISIT DATA'!A:J, 9, FALSE)</f>
        <v>TORRES</v>
      </c>
      <c r="J20" s="223" t="str">
        <f>VLOOKUP(B20&amp;E20,'VISIT DATA'!A:N,10,FALSE)</f>
        <v>UHC SHARED SERVICES</v>
      </c>
      <c r="K20" s="225"/>
      <c r="L20" s="224" t="s">
        <v>6242</v>
      </c>
      <c r="M20" s="224"/>
      <c r="N20" s="224"/>
      <c r="O20" s="216" t="str">
        <f t="shared" si="1"/>
        <v>✓</v>
      </c>
      <c r="P20" s="226" t="str">
        <f t="shared" si="2"/>
        <v>#VALUE!</v>
      </c>
      <c r="Q20" s="227" t="str">
        <f t="shared" si="3"/>
        <v>#VALUE!</v>
      </c>
      <c r="R20" s="228" t="str">
        <f t="shared" si="4"/>
        <v>#VALUE!</v>
      </c>
      <c r="S20" s="220" t="str">
        <f t="shared" si="5"/>
        <v>#VALUE!</v>
      </c>
      <c r="T20" s="220" t="str">
        <f t="shared" si="6"/>
        <v>#VALUE!</v>
      </c>
      <c r="U20" s="221">
        <f t="shared" si="7"/>
        <v>0</v>
      </c>
      <c r="V20" s="229" t="str">
        <f>ifs($N20="",VLOOKUP($B20&amp;$E20,'VISIT DATA'!$A$2:$J100,7,FALSE), $N20="SWAB","OUTSA-RW",$N20="SWQU","OUTSA-SaQu", AND($L20="X",$M20="X",$N20="QUEST"),"OUT-UAQPre",$N20="QUEST","OUT-UAQ", $N20="Walk in","ColUATele")</f>
        <v>UA</v>
      </c>
      <c r="W20" s="24" t="str">
        <f t="shared" si="8"/>
        <v>UA : Urine Analysis In House</v>
      </c>
      <c r="X20" s="222" t="str">
        <f t="shared" si="9"/>
        <v>UA : Urine Analysis In House</v>
      </c>
      <c r="Y20" s="222" t="str">
        <f t="shared" si="10"/>
        <v>MATCH</v>
      </c>
      <c r="Z20" s="224" t="str">
        <f t="shared" si="11"/>
        <v> </v>
      </c>
      <c r="AA20" s="244"/>
    </row>
    <row r="21">
      <c r="A21" s="214" t="str">
        <f>IFS($B21=FALSE,"",$B21,VLOOKUP($B21,'PATIENT DATA (072721)'!A:C, 2, 0))</f>
        <v>PINA, ISIDRA</v>
      </c>
      <c r="B21" s="215">
        <v>10429.0</v>
      </c>
      <c r="C21" s="216" t="str">
        <f>IF(COUNTIF('PATIENT DATA (072721)'!A:A, B21)=0, "X","✓")</f>
        <v>✓</v>
      </c>
      <c r="D21" s="226">
        <f>IFS($B21=FALSE,"",$B21,VLOOKUP($B21,'PATIENT DATA (072721)'!A:C, 3, 0))</f>
        <v>16572</v>
      </c>
      <c r="E21" s="218">
        <v>44572.0</v>
      </c>
      <c r="F21" s="219">
        <f>ifs($B21="","",$B21, VLOOKUP($B21&amp;$E21, 'VISIT DATA'!A:O,3,0))</f>
        <v>0.5520833333</v>
      </c>
      <c r="G21" s="220" t="s">
        <v>6328</v>
      </c>
      <c r="H21" s="221" t="s">
        <v>12</v>
      </c>
      <c r="I21" s="222" t="str">
        <f>VLOOKUP($B21&amp;$E21,'VISIT DATA'!A:J, 9, FALSE)</f>
        <v>THOMAS</v>
      </c>
      <c r="J21" s="223" t="str">
        <f>VLOOKUP(B21&amp;E21,'VISIT DATA'!A:N,10,FALSE)</f>
        <v>WELLMED - UHC DUAL COMPLETE SNP</v>
      </c>
      <c r="K21" s="225"/>
      <c r="L21" s="224" t="s">
        <v>6242</v>
      </c>
      <c r="M21" s="224"/>
      <c r="N21" s="225"/>
      <c r="O21" s="216" t="str">
        <f t="shared" si="1"/>
        <v>✓</v>
      </c>
      <c r="P21" s="226" t="str">
        <f t="shared" si="2"/>
        <v>X</v>
      </c>
      <c r="Q21" s="227" t="str">
        <f t="shared" si="3"/>
        <v>#VALUE!</v>
      </c>
      <c r="R21" s="228" t="str">
        <f t="shared" si="4"/>
        <v>#VALUE!</v>
      </c>
      <c r="S21" s="220" t="str">
        <f t="shared" si="5"/>
        <v>#VALUE!</v>
      </c>
      <c r="T21" s="220" t="str">
        <f t="shared" si="6"/>
        <v>#VALUE!</v>
      </c>
      <c r="U21" s="221">
        <f t="shared" si="7"/>
        <v>1</v>
      </c>
      <c r="V21" s="229" t="str">
        <f>ifs($N21="",VLOOKUP($B21&amp;$E21,'VISIT DATA'!$A$2:$J100,7,FALSE), $N21="SWAB","OUTSA-RW",$N21="SWQU","OUTSA-SaQu", AND($L21="X",$M21="X",$N21="QUEST"),"OUT-UAQPre",$N21="QUEST","OUT-UAQ", $N21="Walk in","ColUATele")</f>
        <v>OUTUA-FURW</v>
      </c>
      <c r="W21" s="24" t="str">
        <f t="shared" si="8"/>
        <v>OUTUA-FURW : OUT UA FU Redwood</v>
      </c>
      <c r="X21" s="222" t="str">
        <f t="shared" si="9"/>
        <v>OUTUA-FURW : OUT UA FU Redwood</v>
      </c>
      <c r="Y21" s="222" t="str">
        <f t="shared" si="10"/>
        <v>MATCH</v>
      </c>
      <c r="Z21" s="224" t="str">
        <f t="shared" si="11"/>
        <v> </v>
      </c>
      <c r="AA21" s="244"/>
    </row>
    <row r="22">
      <c r="A22" s="214" t="str">
        <f>IFS($B22=FALSE,"",$B22,VLOOKUP($B22,'PATIENT DATA (072721)'!A:C, 2, 0))</f>
        <v>LOFLIN, ROSA</v>
      </c>
      <c r="B22" s="215">
        <v>13432.0</v>
      </c>
      <c r="C22" s="216" t="str">
        <f>IF(COUNTIF('PATIENT DATA (072721)'!A:A, B22)=0, "X","✓")</f>
        <v>✓</v>
      </c>
      <c r="D22" s="226">
        <f>IFS($B22=FALSE,"",$B22,VLOOKUP($B22,'PATIENT DATA (072721)'!A:C, 3, 0))</f>
        <v>26678</v>
      </c>
      <c r="E22" s="218">
        <v>44572.0</v>
      </c>
      <c r="F22" s="219">
        <f>ifs($B22="","",$B22, VLOOKUP($B22&amp;$E22, 'VISIT DATA'!A:O,3,0))</f>
        <v>0.5729166667</v>
      </c>
      <c r="G22" s="220" t="s">
        <v>6323</v>
      </c>
      <c r="H22" s="221" t="s">
        <v>13</v>
      </c>
      <c r="I22" s="222" t="str">
        <f>VLOOKUP($B22&amp;$E22,'VISIT DATA'!A:J, 9, FALSE)</f>
        <v>MARTINEZ</v>
      </c>
      <c r="J22" s="223" t="str">
        <f>VLOOKUP(B22&amp;E22,'VISIT DATA'!A:N,10,FALSE)</f>
        <v>PRESBYTERIAN HEALTH PLAN</v>
      </c>
      <c r="K22" s="225"/>
      <c r="L22" s="224" t="s">
        <v>6242</v>
      </c>
      <c r="M22" s="224" t="s">
        <v>6242</v>
      </c>
      <c r="N22" s="225"/>
      <c r="O22" s="216" t="str">
        <f t="shared" si="1"/>
        <v>✓</v>
      </c>
      <c r="P22" s="226" t="str">
        <f t="shared" si="2"/>
        <v>#VALUE!</v>
      </c>
      <c r="Q22" s="227" t="str">
        <f t="shared" si="3"/>
        <v>#VALUE!</v>
      </c>
      <c r="R22" s="228" t="str">
        <f t="shared" si="4"/>
        <v>#VALUE!</v>
      </c>
      <c r="S22" s="220" t="str">
        <f t="shared" si="5"/>
        <v>#VALUE!</v>
      </c>
      <c r="T22" s="220" t="str">
        <f t="shared" si="6"/>
        <v>#VALUE!</v>
      </c>
      <c r="U22" s="221">
        <f t="shared" si="7"/>
        <v>0</v>
      </c>
      <c r="V22" s="229" t="str">
        <f>ifs($N22="",VLOOKUP($B22&amp;$E22,'VISIT DATA'!$A$2:$J100,7,FALSE), $N22="SWAB","OUTSA-RW",$N22="SWQU","OUTSA-SaQu", AND($L22="X",$M22="X",$N22="QUEST"),"OUT-UAQPre",$N22="QUEST","OUT-UAQ", $N22="Walk in","ColUATele")</f>
        <v>UA-Prelim</v>
      </c>
      <c r="W22" s="24" t="str">
        <f t="shared" si="8"/>
        <v>UA-Prelim : Preliminary UA Test</v>
      </c>
      <c r="X22" s="222" t="str">
        <f t="shared" si="9"/>
        <v>UA-Prelim : Preliminary UA Test</v>
      </c>
      <c r="Y22" s="222" t="str">
        <f t="shared" si="10"/>
        <v>MATCH</v>
      </c>
      <c r="Z22" s="224" t="str">
        <f t="shared" si="11"/>
        <v> </v>
      </c>
      <c r="AA22" s="244"/>
    </row>
    <row r="23">
      <c r="A23" s="214" t="str">
        <f>IFS($B23=FALSE,"",$B23,VLOOKUP($B23,'PATIENT DATA (072721)'!A:C, 2, 0))</f>
        <v>SPILLER, LINDA G</v>
      </c>
      <c r="B23" s="215">
        <v>12082.0</v>
      </c>
      <c r="C23" s="216" t="str">
        <f>IF(COUNTIF('PATIENT DATA (072721)'!A:A, B23)=0, "X","✓")</f>
        <v>✓</v>
      </c>
      <c r="D23" s="226">
        <f>IFS($B23=FALSE,"",$B23,VLOOKUP($B23,'PATIENT DATA (072721)'!A:C, 3, 0))</f>
        <v>22122</v>
      </c>
      <c r="E23" s="218">
        <v>44572.0</v>
      </c>
      <c r="F23" s="219">
        <f>ifs($B23="","",$B23, VLOOKUP($B23&amp;$E23, 'VISIT DATA'!A:O,3,0))</f>
        <v>0.3333333333</v>
      </c>
      <c r="G23" s="220" t="s">
        <v>6323</v>
      </c>
      <c r="H23" s="221" t="s">
        <v>14</v>
      </c>
      <c r="I23" s="222" t="str">
        <f>VLOOKUP($B23&amp;$E23,'VISIT DATA'!A:J, 9, FALSE)</f>
        <v>TORRES</v>
      </c>
      <c r="J23" s="223" t="str">
        <f>VLOOKUP(B23&amp;E23,'VISIT DATA'!A:N,10,FALSE)</f>
        <v>MOLINA MEDICAID TEXAS</v>
      </c>
      <c r="K23" s="225"/>
      <c r="L23" s="224" t="s">
        <v>6242</v>
      </c>
      <c r="M23" s="224"/>
      <c r="N23" s="225"/>
      <c r="O23" s="216" t="str">
        <f t="shared" si="1"/>
        <v>✓</v>
      </c>
      <c r="P23" s="226" t="str">
        <f t="shared" si="2"/>
        <v>#VALUE!</v>
      </c>
      <c r="Q23" s="227" t="str">
        <f t="shared" si="3"/>
        <v>X</v>
      </c>
      <c r="R23" s="228" t="str">
        <f t="shared" si="4"/>
        <v>#VALUE!</v>
      </c>
      <c r="S23" s="220" t="str">
        <f t="shared" si="5"/>
        <v>#VALUE!</v>
      </c>
      <c r="T23" s="220" t="str">
        <f t="shared" si="6"/>
        <v>#VALUE!</v>
      </c>
      <c r="U23" s="221">
        <f t="shared" si="7"/>
        <v>1</v>
      </c>
      <c r="V23" s="229" t="str">
        <f>ifs($N23="",VLOOKUP($B23&amp;$E23,'VISIT DATA'!$A$2:$J100,7,FALSE), $N23="SWAB","OUTSA-RW",$N23="SWQU","OUTSA-SaQu", AND($L23="X",$M23="X",$N23="QUEST"),"OUT-UAQPre",$N23="QUEST","OUT-UAQ", $N23="Walk in","ColUATele")</f>
        <v>OUTUA-FURW</v>
      </c>
      <c r="W23" s="24" t="str">
        <f t="shared" si="8"/>
        <v>OUTUA-FURW : OUT UA FU Redwood</v>
      </c>
      <c r="X23" s="222" t="str">
        <f t="shared" si="9"/>
        <v>OUTUA-FURW : OUT UA FU Redwood</v>
      </c>
      <c r="Y23" s="222" t="str">
        <f t="shared" si="10"/>
        <v>MATCH</v>
      </c>
      <c r="Z23" s="224" t="str">
        <f t="shared" si="11"/>
        <v> </v>
      </c>
      <c r="AA23" s="244"/>
    </row>
    <row r="24">
      <c r="A24" s="214" t="str">
        <f>IFS($B24=FALSE,"",$B24,VLOOKUP($B24,'PATIENT DATA (072721)'!A:C, 2, 0))</f>
        <v>VILLANUEVA, FELIPE</v>
      </c>
      <c r="B24" s="215">
        <v>16834.0</v>
      </c>
      <c r="C24" s="216" t="str">
        <f>IF(COUNTIF('PATIENT DATA (072721)'!A:A, B24)=0, "X","✓")</f>
        <v>✓</v>
      </c>
      <c r="D24" s="226">
        <f>IFS($B24=FALSE,"",$B24,VLOOKUP($B24,'PATIENT DATA (072721)'!A:C, 3, 0))</f>
        <v>19637</v>
      </c>
      <c r="E24" s="218">
        <v>44572.0</v>
      </c>
      <c r="F24" s="219">
        <f>ifs($B24="","",$B24, VLOOKUP($B24&amp;$E24, 'VISIT DATA'!A:O,3,0))</f>
        <v>0.5833333333</v>
      </c>
      <c r="G24" s="220" t="s">
        <v>6328</v>
      </c>
      <c r="H24" s="221" t="s">
        <v>12</v>
      </c>
      <c r="I24" s="222" t="str">
        <f>VLOOKUP($B24&amp;$E24,'VISIT DATA'!A:J, 9, FALSE)</f>
        <v>THOMAS</v>
      </c>
      <c r="J24" s="223" t="str">
        <f>VLOOKUP(B24&amp;E24,'VISIT DATA'!A:N,10,FALSE)</f>
        <v>WELLMED - UHC CHRONIC COMPLETE HMO C-SNP</v>
      </c>
      <c r="K24" s="224"/>
      <c r="L24" s="224" t="s">
        <v>6242</v>
      </c>
      <c r="M24" s="224"/>
      <c r="N24" s="225"/>
      <c r="O24" s="216" t="str">
        <f t="shared" si="1"/>
        <v>✓</v>
      </c>
      <c r="P24" s="226" t="str">
        <f t="shared" si="2"/>
        <v>X</v>
      </c>
      <c r="Q24" s="227" t="str">
        <f t="shared" si="3"/>
        <v>#VALUE!</v>
      </c>
      <c r="R24" s="228" t="str">
        <f t="shared" si="4"/>
        <v>#VALUE!</v>
      </c>
      <c r="S24" s="220" t="str">
        <f t="shared" si="5"/>
        <v>#VALUE!</v>
      </c>
      <c r="T24" s="220" t="str">
        <f t="shared" si="6"/>
        <v>#VALUE!</v>
      </c>
      <c r="U24" s="221">
        <f t="shared" si="7"/>
        <v>1</v>
      </c>
      <c r="V24" s="229" t="str">
        <f>ifs($N24="",VLOOKUP($B24&amp;$E24,'VISIT DATA'!$A$2:$J100,7,FALSE), $N24="SWAB","OUTSA-RW",$N24="SWQU","OUTSA-SaQu", AND($L24="X",$M24="X",$N24="QUEST"),"OUT-UAQPre",$N24="QUEST","OUT-UAQ", $N24="Walk in","ColUATele")</f>
        <v>OUTUA-FURW</v>
      </c>
      <c r="W24" s="24" t="str">
        <f t="shared" si="8"/>
        <v>OUTUA-FURW : OUT UA FU Redwood</v>
      </c>
      <c r="X24" s="222" t="str">
        <f t="shared" si="9"/>
        <v>OUTUA-FURW : OUT UA FU Redwood</v>
      </c>
      <c r="Y24" s="222" t="str">
        <f t="shared" si="10"/>
        <v>MATCH</v>
      </c>
      <c r="Z24" s="224" t="str">
        <f t="shared" si="11"/>
        <v> </v>
      </c>
      <c r="AA24" s="244"/>
    </row>
    <row r="25">
      <c r="A25" s="214" t="str">
        <f>IFS($B25=FALSE,"",$B25,VLOOKUP($B25,'PATIENT DATA (072721)'!A:C, 2, 0))</f>
        <v>RENTERIA, SUSANA</v>
      </c>
      <c r="B25" s="215">
        <v>16176.0</v>
      </c>
      <c r="C25" s="216" t="str">
        <f>IF(COUNTIF('PATIENT DATA (072721)'!A:A, B25)=0, "X","✓")</f>
        <v>✓</v>
      </c>
      <c r="D25" s="226">
        <f>IFS($B25=FALSE,"",$B25,VLOOKUP($B25,'PATIENT DATA (072721)'!A:C, 3, 0))</f>
        <v>24766</v>
      </c>
      <c r="E25" s="218">
        <v>44572.0</v>
      </c>
      <c r="F25" s="219">
        <f>ifs($B25="","",$B25, VLOOKUP($B25&amp;$E25, 'VISIT DATA'!A:O,3,0))</f>
        <v>0.6041666667</v>
      </c>
      <c r="G25" s="220" t="s">
        <v>6323</v>
      </c>
      <c r="H25" s="221" t="s">
        <v>13</v>
      </c>
      <c r="I25" s="222" t="str">
        <f>VLOOKUP($B25&amp;$E25,'VISIT DATA'!A:J, 9, FALSE)</f>
        <v>MARTINEZ</v>
      </c>
      <c r="J25" s="223" t="str">
        <f>VLOOKUP(B25&amp;E25,'VISIT DATA'!A:N,10,FALSE)</f>
        <v>AMERIGROUP</v>
      </c>
      <c r="K25" s="224"/>
      <c r="L25" s="224" t="s">
        <v>6242</v>
      </c>
      <c r="M25" s="224" t="s">
        <v>6242</v>
      </c>
      <c r="N25" s="224"/>
      <c r="O25" s="216" t="str">
        <f t="shared" si="1"/>
        <v>✓</v>
      </c>
      <c r="P25" s="226" t="str">
        <f t="shared" si="2"/>
        <v>#VALUE!</v>
      </c>
      <c r="Q25" s="227" t="str">
        <f t="shared" si="3"/>
        <v>#VALUE!</v>
      </c>
      <c r="R25" s="228" t="str">
        <f t="shared" si="4"/>
        <v>#VALUE!</v>
      </c>
      <c r="S25" s="220" t="str">
        <f t="shared" si="5"/>
        <v>#VALUE!</v>
      </c>
      <c r="T25" s="220" t="str">
        <f t="shared" si="6"/>
        <v>#VALUE!</v>
      </c>
      <c r="U25" s="221">
        <f t="shared" si="7"/>
        <v>0</v>
      </c>
      <c r="V25" s="229" t="str">
        <f>ifs($N25="",VLOOKUP($B25&amp;$E25,'VISIT DATA'!$A$2:$J100,7,FALSE), $N25="SWAB","OUTSA-RW",$N25="SWQU","OUTSA-SaQu", AND($L25="X",$M25="X",$N25="QUEST"),"OUT-UAQPre",$N25="QUEST","OUT-UAQ", $N25="Walk in","ColUATele")</f>
        <v>UA-Prelim</v>
      </c>
      <c r="W25" s="24" t="str">
        <f t="shared" si="8"/>
        <v>UA-Prelim : Preliminary UA Test</v>
      </c>
      <c r="X25" s="222" t="str">
        <f t="shared" si="9"/>
        <v>UA-Prelim : Preliminary UA Test</v>
      </c>
      <c r="Y25" s="222" t="str">
        <f t="shared" si="10"/>
        <v>MATCH</v>
      </c>
      <c r="Z25" s="224" t="str">
        <f t="shared" si="11"/>
        <v> </v>
      </c>
      <c r="AA25" s="245"/>
    </row>
    <row r="26">
      <c r="A26" s="214" t="str">
        <f>IFS($B26=FALSE,"",$B26,VLOOKUP($B26,'PATIENT DATA (072721)'!A:C, 2, 0))</f>
        <v>FERNANDEZ ORTEGA, HECTOR V</v>
      </c>
      <c r="B26" s="215">
        <v>14483.0</v>
      </c>
      <c r="C26" s="216" t="str">
        <f>IF(COUNTIF('PATIENT DATA (072721)'!A:A, B26)=0, "X","✓")</f>
        <v>✓</v>
      </c>
      <c r="D26" s="226">
        <f>IFS($B26=FALSE,"",$B26,VLOOKUP($B26,'PATIENT DATA (072721)'!A:C, 3, 0))</f>
        <v>22579</v>
      </c>
      <c r="E26" s="218">
        <v>44572.0</v>
      </c>
      <c r="F26" s="219">
        <f>ifs($B26="","",$B26, VLOOKUP($B26&amp;$E26, 'VISIT DATA'!A:O,3,0))</f>
        <v>0.6354166667</v>
      </c>
      <c r="G26" s="220" t="s">
        <v>6328</v>
      </c>
      <c r="H26" s="221" t="s">
        <v>6342</v>
      </c>
      <c r="I26" s="222" t="str">
        <f>VLOOKUP($B26&amp;$E26,'VISIT DATA'!A:J, 9, FALSE)</f>
        <v>MARTINEZ</v>
      </c>
      <c r="J26" s="223" t="str">
        <f>VLOOKUP(B26&amp;E26,'VISIT DATA'!A:N,10,FALSE)</f>
        <v>WELLMED - UHC DUAL COMPLETE SNP</v>
      </c>
      <c r="K26" s="224"/>
      <c r="L26" s="224" t="s">
        <v>6242</v>
      </c>
      <c r="M26" s="224"/>
      <c r="N26" s="225"/>
      <c r="O26" s="216" t="str">
        <f t="shared" si="1"/>
        <v>✓</v>
      </c>
      <c r="P26" s="226" t="str">
        <f t="shared" si="2"/>
        <v>X</v>
      </c>
      <c r="Q26" s="227" t="str">
        <f t="shared" si="3"/>
        <v>#VALUE!</v>
      </c>
      <c r="R26" s="228" t="str">
        <f t="shared" si="4"/>
        <v>#VALUE!</v>
      </c>
      <c r="S26" s="220" t="str">
        <f t="shared" si="5"/>
        <v>#VALUE!</v>
      </c>
      <c r="T26" s="220" t="str">
        <f t="shared" si="6"/>
        <v>#VALUE!</v>
      </c>
      <c r="U26" s="221">
        <f t="shared" si="7"/>
        <v>1</v>
      </c>
      <c r="V26" s="229" t="str">
        <f>ifs($N26="",VLOOKUP($B26&amp;$E26,'VISIT DATA'!$A$2:$J100,7,FALSE), $N26="SWAB","OUTSA-RW",$N26="SWQU","OUTSA-SaQu", AND($L26="X",$M26="X",$N26="QUEST"),"OUT-UAQPre",$N26="QUEST","OUT-UAQ", $N26="Walk in","ColUATele")</f>
        <v>OUTUA-FURW</v>
      </c>
      <c r="W26" s="24" t="str">
        <f t="shared" si="8"/>
        <v>OUTUA-FURW : OUT UA FU Redwood</v>
      </c>
      <c r="X26" s="222" t="str">
        <f t="shared" si="9"/>
        <v>OUTUA-FURW : OUT UA FU Redwood</v>
      </c>
      <c r="Y26" s="222" t="str">
        <f t="shared" si="10"/>
        <v>MATCH</v>
      </c>
      <c r="Z26" s="224" t="str">
        <f t="shared" si="11"/>
        <v> </v>
      </c>
      <c r="AA26" s="244"/>
    </row>
    <row r="27">
      <c r="A27" s="214" t="str">
        <f>IFS($B27=FALSE,"",$B27,VLOOKUP($B27,'PATIENT DATA (072721)'!A:C, 2, 0))</f>
        <v>VELASQUEZ SOLIS, VALERIE</v>
      </c>
      <c r="B27" s="215">
        <v>11242.0</v>
      </c>
      <c r="C27" s="216" t="str">
        <f>IF(COUNTIF('PATIENT DATA (072721)'!A:A, B27)=0, "X","✓")</f>
        <v>✓</v>
      </c>
      <c r="D27" s="226">
        <f>IFS($B27=FALSE,"",$B27,VLOOKUP($B27,'PATIENT DATA (072721)'!A:C, 3, 0))</f>
        <v>24788</v>
      </c>
      <c r="E27" s="218">
        <v>44572.0</v>
      </c>
      <c r="F27" s="219">
        <f>ifs($B27="","",$B27, VLOOKUP($B27&amp;$E27, 'VISIT DATA'!A:O,3,0))</f>
        <v>0.59375</v>
      </c>
      <c r="G27" s="220" t="s">
        <v>6323</v>
      </c>
      <c r="H27" s="221" t="s">
        <v>12</v>
      </c>
      <c r="I27" s="222" t="str">
        <f>VLOOKUP($B27&amp;$E27,'VISIT DATA'!A:J, 9, FALSE)</f>
        <v>THOMAS</v>
      </c>
      <c r="J27" s="223" t="str">
        <f>VLOOKUP(B27&amp;E27,'VISIT DATA'!A:N,10,FALSE)</f>
        <v>MEDICARE TEXAS</v>
      </c>
      <c r="K27" s="224"/>
      <c r="L27" s="224" t="s">
        <v>6242</v>
      </c>
      <c r="M27" s="224"/>
      <c r="N27" s="224" t="s">
        <v>6343</v>
      </c>
      <c r="O27" s="216" t="str">
        <f t="shared" si="1"/>
        <v>✓</v>
      </c>
      <c r="P27" s="226" t="str">
        <f t="shared" si="2"/>
        <v>#VALUE!</v>
      </c>
      <c r="Q27" s="227" t="str">
        <f t="shared" si="3"/>
        <v>#VALUE!</v>
      </c>
      <c r="R27" s="228" t="str">
        <f t="shared" si="4"/>
        <v>#VALUE!</v>
      </c>
      <c r="S27" s="220" t="str">
        <f t="shared" si="5"/>
        <v>#VALUE!</v>
      </c>
      <c r="T27" s="220" t="str">
        <f t="shared" si="6"/>
        <v>#VALUE!</v>
      </c>
      <c r="U27" s="221">
        <f t="shared" si="7"/>
        <v>0</v>
      </c>
      <c r="V27" s="229" t="str">
        <f>ifs($N27="",VLOOKUP($B27&amp;$E27,'VISIT DATA'!$A$2:$J100,7,FALSE), $N27="SWAB","OUTSA-RW",$N27="SWQU","OUTSA-SaQu", AND($L27="X",$M27="X",$N27="QUEST"),"OUT-UAQPre",$N27="QUEST","OUT-UAQ", $N27="Walk in","ColUATele")</f>
        <v>OUTSA-RW</v>
      </c>
      <c r="W27" s="24" t="str">
        <f t="shared" si="8"/>
        <v>OUTSA-RW : OUT Saliva Redwood</v>
      </c>
      <c r="X27" s="222" t="str">
        <f t="shared" si="9"/>
        <v>OUTSA-RW : OUT Saliva Redwood</v>
      </c>
      <c r="Y27" s="222" t="str">
        <f t="shared" si="10"/>
        <v>MATCH</v>
      </c>
      <c r="Z27" s="224" t="str">
        <f t="shared" si="11"/>
        <v> </v>
      </c>
      <c r="AA27" s="244"/>
    </row>
    <row r="28">
      <c r="A28" s="214" t="str">
        <f>IFS($B28=FALSE,"",$B28,VLOOKUP($B28,'PATIENT DATA (072721)'!A:C, 2, 0))</f>
        <v>MAYO, TINA M</v>
      </c>
      <c r="B28" s="215">
        <v>11234.0</v>
      </c>
      <c r="C28" s="216" t="str">
        <f>IF(COUNTIF('PATIENT DATA (072721)'!A:A, B28)=0, "X","✓")</f>
        <v>✓</v>
      </c>
      <c r="D28" s="226">
        <f>IFS($B28=FALSE,"",$B28,VLOOKUP($B28,'PATIENT DATA (072721)'!A:C, 3, 0))</f>
        <v>26498</v>
      </c>
      <c r="E28" s="218">
        <v>44572.0</v>
      </c>
      <c r="F28" s="219">
        <f>ifs($B28="","",$B28, VLOOKUP($B28&amp;$E28, 'VISIT DATA'!A:O,3,0))</f>
        <v>0.625</v>
      </c>
      <c r="G28" s="220" t="s">
        <v>6323</v>
      </c>
      <c r="H28" s="221" t="s">
        <v>14</v>
      </c>
      <c r="I28" s="222" t="str">
        <f>VLOOKUP($B28&amp;$E28,'VISIT DATA'!A:J, 9, FALSE)</f>
        <v>MARTINEZ</v>
      </c>
      <c r="J28" s="223" t="str">
        <f>VLOOKUP(B28&amp;E28,'VISIT DATA'!A:N,10,FALSE)</f>
        <v>MEDICARE TEXAS</v>
      </c>
      <c r="K28" s="224"/>
      <c r="L28" s="224" t="s">
        <v>6242</v>
      </c>
      <c r="M28" s="224"/>
      <c r="N28" s="224" t="s">
        <v>6343</v>
      </c>
      <c r="O28" s="216" t="str">
        <f t="shared" si="1"/>
        <v>✓</v>
      </c>
      <c r="P28" s="226" t="str">
        <f t="shared" si="2"/>
        <v>#VALUE!</v>
      </c>
      <c r="Q28" s="227" t="str">
        <f t="shared" si="3"/>
        <v>#VALUE!</v>
      </c>
      <c r="R28" s="228" t="str">
        <f t="shared" si="4"/>
        <v>#VALUE!</v>
      </c>
      <c r="S28" s="220" t="str">
        <f t="shared" si="5"/>
        <v>#VALUE!</v>
      </c>
      <c r="T28" s="220" t="str">
        <f t="shared" si="6"/>
        <v>#VALUE!</v>
      </c>
      <c r="U28" s="221">
        <f t="shared" si="7"/>
        <v>0</v>
      </c>
      <c r="V28" s="229" t="str">
        <f>ifs($N28="",VLOOKUP($B28&amp;$E28,'VISIT DATA'!$A$2:$J100,7,FALSE), $N28="SWAB","OUTSA-RW",$N28="SWQU","OUTSA-SaQu", AND($L28="X",$M28="X",$N28="QUEST"),"OUT-UAQPre",$N28="QUEST","OUT-UAQ", $N28="Walk in","ColUATele")</f>
        <v>OUTSA-RW</v>
      </c>
      <c r="W28" s="24" t="str">
        <f t="shared" si="8"/>
        <v>OUTSA-RW : OUT Saliva Redwood</v>
      </c>
      <c r="X28" s="222" t="str">
        <f t="shared" si="9"/>
        <v>OUTSA-RW : OUT Saliva Redwood</v>
      </c>
      <c r="Y28" s="222" t="str">
        <f t="shared" si="10"/>
        <v>MATCH</v>
      </c>
      <c r="Z28" s="224" t="str">
        <f t="shared" si="11"/>
        <v> </v>
      </c>
      <c r="AA28" s="245"/>
    </row>
    <row r="29">
      <c r="A29" s="214" t="str">
        <f>IFS($B29=FALSE,"",$B29,VLOOKUP($B29,'PATIENT DATA (072721)'!A:C, 2, 0))</f>
        <v>CASTILLO, LETICIA</v>
      </c>
      <c r="B29" s="215">
        <v>14554.0</v>
      </c>
      <c r="C29" s="230" t="str">
        <f>IF(COUNTIF('PATIENT DATA (072721)'!A:A, B29)=0, "X","✓")</f>
        <v>✓</v>
      </c>
      <c r="D29" s="226">
        <f>IFS($B29=FALSE,"",$B29,VLOOKUP($B29,'PATIENT DATA (072721)'!A:C, 3, 0))</f>
        <v>22158</v>
      </c>
      <c r="E29" s="218">
        <v>44572.0</v>
      </c>
      <c r="F29" s="219">
        <f>ifs($B29="","",$B29, VLOOKUP($B29&amp;$E29, 'VISIT DATA'!A:O,3,0))</f>
        <v>0.6354166667</v>
      </c>
      <c r="G29" s="231" t="s">
        <v>6323</v>
      </c>
      <c r="H29" s="221" t="s">
        <v>13</v>
      </c>
      <c r="I29" s="222" t="str">
        <f>VLOOKUP($B29&amp;$E29,'VISIT DATA'!A:J, 9, FALSE)</f>
        <v>TORRES</v>
      </c>
      <c r="J29" s="223" t="str">
        <f>VLOOKUP(B29&amp;E29,'VISIT DATA'!A:N,10,FALSE)</f>
        <v>WELLMED - UHC DUAL COMPLETE HMO SNP</v>
      </c>
      <c r="K29" s="224"/>
      <c r="L29" s="224" t="s">
        <v>6242</v>
      </c>
      <c r="M29" s="224"/>
      <c r="N29" s="225"/>
      <c r="O29" s="216" t="str">
        <f t="shared" si="1"/>
        <v>✓</v>
      </c>
      <c r="P29" s="226" t="str">
        <f t="shared" si="2"/>
        <v>X</v>
      </c>
      <c r="Q29" s="227" t="str">
        <f t="shared" si="3"/>
        <v>#VALUE!</v>
      </c>
      <c r="R29" s="228" t="str">
        <f t="shared" si="4"/>
        <v>#VALUE!</v>
      </c>
      <c r="S29" s="220" t="str">
        <f t="shared" si="5"/>
        <v>#VALUE!</v>
      </c>
      <c r="T29" s="220" t="str">
        <f t="shared" si="6"/>
        <v>#VALUE!</v>
      </c>
      <c r="U29" s="221">
        <f t="shared" si="7"/>
        <v>1</v>
      </c>
      <c r="V29" s="229" t="str">
        <f>ifs($N29="",VLOOKUP($B29&amp;$E29,'VISIT DATA'!$A$2:$J100,7,FALSE), $N29="SWAB","OUTSA-RW",$N29="SWQU","OUTSA-SaQu", AND($L29="X",$M29="X",$N29="QUEST"),"OUT-UAQPre",$N29="QUEST","OUT-UAQ", $N29="Walk in","ColUATele")</f>
        <v>OUTUA-FURW</v>
      </c>
      <c r="W29" s="24" t="str">
        <f t="shared" si="8"/>
        <v>OUTUA-FURW : OUT UA FU Redwood</v>
      </c>
      <c r="X29" s="222" t="str">
        <f t="shared" si="9"/>
        <v>OUTUA-FURW : OUT UA FU Redwood</v>
      </c>
      <c r="Y29" s="222" t="str">
        <f t="shared" si="10"/>
        <v>MATCH</v>
      </c>
      <c r="Z29" s="224" t="str">
        <f t="shared" si="11"/>
        <v> </v>
      </c>
      <c r="AA29" s="244"/>
    </row>
    <row r="30">
      <c r="A30" s="214" t="str">
        <f>IFS($B30=FALSE,"",$B30,VLOOKUP($B30,'PATIENT DATA (072721)'!A:C, 2, 0))</f>
        <v>VACIO, IDA</v>
      </c>
      <c r="B30" s="215">
        <v>13869.0</v>
      </c>
      <c r="C30" s="230" t="str">
        <f>IF(COUNTIF('PATIENT DATA (072721)'!A:A, B30)=0, "X","✓")</f>
        <v>✓</v>
      </c>
      <c r="D30" s="226">
        <f>IFS($B30=FALSE,"",$B30,VLOOKUP($B30,'PATIENT DATA (072721)'!A:C, 3, 0))</f>
        <v>25705</v>
      </c>
      <c r="E30" s="218">
        <v>44572.0</v>
      </c>
      <c r="F30" s="219">
        <f>ifs($B30="","",$B30, VLOOKUP($B30&amp;$E30, 'VISIT DATA'!A:O,3,0))</f>
        <v>0.6458333333</v>
      </c>
      <c r="G30" s="231" t="s">
        <v>6323</v>
      </c>
      <c r="H30" s="221" t="s">
        <v>13</v>
      </c>
      <c r="I30" s="222" t="str">
        <f>VLOOKUP($B30&amp;$E30,'VISIT DATA'!A:J, 9, FALSE)</f>
        <v>THOMAS</v>
      </c>
      <c r="J30" s="223" t="str">
        <f>VLOOKUP(B30&amp;E30,'VISIT DATA'!A:N,10,FALSE)</f>
        <v>WELLMED - UHC DUAL COMPLETE HMO SNP</v>
      </c>
      <c r="K30" s="225"/>
      <c r="L30" s="224" t="s">
        <v>6242</v>
      </c>
      <c r="M30" s="224"/>
      <c r="N30" s="225"/>
      <c r="O30" s="216" t="str">
        <f t="shared" si="1"/>
        <v>✓</v>
      </c>
      <c r="P30" s="226" t="str">
        <f t="shared" si="2"/>
        <v>X</v>
      </c>
      <c r="Q30" s="227" t="str">
        <f t="shared" si="3"/>
        <v>#VALUE!</v>
      </c>
      <c r="R30" s="228" t="str">
        <f t="shared" si="4"/>
        <v>#VALUE!</v>
      </c>
      <c r="S30" s="220" t="str">
        <f t="shared" si="5"/>
        <v>#VALUE!</v>
      </c>
      <c r="T30" s="220" t="str">
        <f t="shared" si="6"/>
        <v>#VALUE!</v>
      </c>
      <c r="U30" s="221">
        <f t="shared" si="7"/>
        <v>1</v>
      </c>
      <c r="V30" s="229" t="str">
        <f>ifs($N30="",VLOOKUP($B30&amp;$E30,'VISIT DATA'!$A$2:$J100,7,FALSE), $N30="SWAB","OUTSA-RW",$N30="SWQU","OUTSA-SaQu", AND($L30="X",$M30="X",$N30="QUEST"),"OUT-UAQPre",$N30="QUEST","OUT-UAQ", $N30="Walk in","ColUATele")</f>
        <v>OUTUA-FURW</v>
      </c>
      <c r="W30" s="24" t="str">
        <f t="shared" si="8"/>
        <v>OUTUA-FURW : OUT UA FU Redwood</v>
      </c>
      <c r="X30" s="222" t="str">
        <f t="shared" si="9"/>
        <v>OUTUA-FURW : OUT UA FU Redwood</v>
      </c>
      <c r="Y30" s="222" t="str">
        <f t="shared" si="10"/>
        <v>MATCH</v>
      </c>
      <c r="Z30" s="224" t="str">
        <f t="shared" si="11"/>
        <v> </v>
      </c>
      <c r="AA30" s="244"/>
    </row>
    <row r="31">
      <c r="A31" s="214" t="str">
        <f>IFS($B31=FALSE,"",$B31,VLOOKUP($B31,'PATIENT DATA (072721)'!A:C, 2, 0))</f>
        <v>PLUMMER, JANET M</v>
      </c>
      <c r="B31" s="215">
        <v>16803.0</v>
      </c>
      <c r="C31" s="230" t="str">
        <f>IF(COUNTIF('PATIENT DATA (072721)'!A:A, B31)=0, "X","✓")</f>
        <v>✓</v>
      </c>
      <c r="D31" s="226">
        <f>IFS($B31=FALSE,"",$B31,VLOOKUP($B31,'PATIENT DATA (072721)'!A:C, 3, 0))</f>
        <v>13461</v>
      </c>
      <c r="E31" s="218">
        <v>44572.0</v>
      </c>
      <c r="F31" s="219" t="str">
        <f>ifs($B31="","",$B31, VLOOKUP($B31&amp;$E31, 'VISIT DATA'!A:O,3,0))</f>
        <v>#N/A</v>
      </c>
      <c r="G31" s="231" t="s">
        <v>6323</v>
      </c>
      <c r="H31" s="221" t="s">
        <v>14</v>
      </c>
      <c r="I31" s="222" t="str">
        <f>VLOOKUP($B31&amp;$E31,'VISIT DATA'!A:J, 9, FALSE)</f>
        <v>#N/A</v>
      </c>
      <c r="J31" s="223" t="str">
        <f>VLOOKUP(B31&amp;E31,'VISIT DATA'!A:N,10,FALSE)</f>
        <v>#N/A</v>
      </c>
      <c r="K31" s="224"/>
      <c r="L31" s="224" t="s">
        <v>6242</v>
      </c>
      <c r="M31" s="224"/>
      <c r="N31" s="225"/>
      <c r="O31" s="216" t="str">
        <f t="shared" si="1"/>
        <v>✓</v>
      </c>
      <c r="P31" s="226" t="str">
        <f t="shared" si="2"/>
        <v>#N/A</v>
      </c>
      <c r="Q31" s="227" t="str">
        <f t="shared" si="3"/>
        <v>#N/A</v>
      </c>
      <c r="R31" s="228" t="str">
        <f t="shared" si="4"/>
        <v>#N/A</v>
      </c>
      <c r="S31" s="220" t="str">
        <f t="shared" si="5"/>
        <v>#N/A</v>
      </c>
      <c r="T31" s="220" t="str">
        <f t="shared" si="6"/>
        <v>#N/A</v>
      </c>
      <c r="U31" s="221">
        <f t="shared" si="7"/>
        <v>0</v>
      </c>
      <c r="V31" s="229" t="str">
        <f>ifs($N31="",VLOOKUP($B31&amp;$E31,'VISIT DATA'!$A$2:$J100,7,FALSE), $N31="SWAB","OUTSA-RW",$N31="SWQU","OUTSA-SaQu", AND($L31="X",$M31="X",$N31="QUEST"),"OUT-UAQPre",$N31="QUEST","OUT-UAQ", $N31="Walk in","ColUATele")</f>
        <v>#N/A</v>
      </c>
      <c r="W31" s="24" t="str">
        <f t="shared" si="8"/>
        <v>#N/A</v>
      </c>
      <c r="X31" s="222" t="str">
        <f t="shared" si="9"/>
        <v>UA : Urine Analysis In House</v>
      </c>
      <c r="Y31" s="222" t="str">
        <f t="shared" si="10"/>
        <v>#N/A</v>
      </c>
      <c r="Z31" s="224" t="str">
        <f t="shared" si="11"/>
        <v> </v>
      </c>
      <c r="AA31" s="244"/>
    </row>
    <row r="32">
      <c r="A32" s="214" t="str">
        <f>IFS($B32=FALSE,"",$B32,VLOOKUP($B32,'PATIENT DATA (072721)'!A:C, 2, 0))</f>
        <v>LEFEBVERE, LESLIE</v>
      </c>
      <c r="B32" s="215">
        <v>13786.0</v>
      </c>
      <c r="C32" s="230" t="str">
        <f>IF(COUNTIF('PATIENT DATA (072721)'!A:A, B32)=0, "X","✓")</f>
        <v>✓</v>
      </c>
      <c r="D32" s="226">
        <f>IFS($B32=FALSE,"",$B32,VLOOKUP($B32,'PATIENT DATA (072721)'!A:C, 3, 0))</f>
        <v>17563</v>
      </c>
      <c r="E32" s="218">
        <v>44572.0</v>
      </c>
      <c r="F32" s="219">
        <f>ifs($B32="","",$B32, VLOOKUP($B32&amp;$E32, 'VISIT DATA'!A:O,3,0))</f>
        <v>0.6354166667</v>
      </c>
      <c r="G32" s="231" t="s">
        <v>6323</v>
      </c>
      <c r="H32" s="221" t="s">
        <v>13</v>
      </c>
      <c r="I32" s="222" t="str">
        <f>VLOOKUP($B32&amp;$E32,'VISIT DATA'!A:J, 9, FALSE)</f>
        <v>MARTINEZ</v>
      </c>
      <c r="J32" s="223" t="str">
        <f>VLOOKUP(B32&amp;E32,'VISIT DATA'!A:N,10,FALSE)</f>
        <v>WELLMED - HUMANA</v>
      </c>
      <c r="K32" s="225"/>
      <c r="L32" s="224" t="s">
        <v>6242</v>
      </c>
      <c r="M32" s="224"/>
      <c r="N32" s="225"/>
      <c r="O32" s="216" t="str">
        <f t="shared" si="1"/>
        <v>✓</v>
      </c>
      <c r="P32" s="226" t="str">
        <f t="shared" si="2"/>
        <v>X</v>
      </c>
      <c r="Q32" s="227" t="str">
        <f t="shared" si="3"/>
        <v>#VALUE!</v>
      </c>
      <c r="R32" s="228" t="str">
        <f t="shared" si="4"/>
        <v>#VALUE!</v>
      </c>
      <c r="S32" s="220" t="str">
        <f t="shared" si="5"/>
        <v>#VALUE!</v>
      </c>
      <c r="T32" s="220" t="str">
        <f t="shared" si="6"/>
        <v>#VALUE!</v>
      </c>
      <c r="U32" s="221">
        <f t="shared" si="7"/>
        <v>1</v>
      </c>
      <c r="V32" s="229" t="str">
        <f>ifs($N32="",VLOOKUP($B32&amp;$E32,'VISIT DATA'!$A$2:$J100,7,FALSE), $N32="SWAB","OUTSA-RW",$N32="SWQU","OUTSA-SaQu", AND($L32="X",$M32="X",$N32="QUEST"),"OUT-UAQPre",$N32="QUEST","OUT-UAQ", $N32="Walk in","ColUATele")</f>
        <v>OUTUA-FURW</v>
      </c>
      <c r="W32" s="24" t="str">
        <f t="shared" si="8"/>
        <v>OUTUA-FURW : OUT UA FU Redwood</v>
      </c>
      <c r="X32" s="222" t="str">
        <f t="shared" si="9"/>
        <v>OUTUA-FURW : OUT UA FU Redwood</v>
      </c>
      <c r="Y32" s="222" t="str">
        <f t="shared" si="10"/>
        <v>MATCH</v>
      </c>
      <c r="Z32" s="224" t="str">
        <f t="shared" si="11"/>
        <v> </v>
      </c>
      <c r="AA32" s="244"/>
    </row>
    <row r="33">
      <c r="A33" s="214" t="str">
        <f>IFS($B33=FALSE,"",$B33,VLOOKUP($B33,'PATIENT DATA (072721)'!A:C, 2, 0))</f>
        <v>ANGEL, JOSE R</v>
      </c>
      <c r="B33" s="215">
        <v>15771.0</v>
      </c>
      <c r="C33" s="230" t="str">
        <f>IF(COUNTIF('PATIENT DATA (072721)'!A:A, B33)=0, "X","✓")</f>
        <v>✓</v>
      </c>
      <c r="D33" s="226">
        <f>IFS($B33=FALSE,"",$B33,VLOOKUP($B33,'PATIENT DATA (072721)'!A:C, 3, 0))</f>
        <v>19858</v>
      </c>
      <c r="E33" s="218">
        <v>44572.0</v>
      </c>
      <c r="F33" s="219">
        <f>ifs($B33="","",$B33, VLOOKUP($B33&amp;$E33, 'VISIT DATA'!A:O,3,0))</f>
        <v>0.6458333333</v>
      </c>
      <c r="G33" s="231" t="s">
        <v>6328</v>
      </c>
      <c r="H33" s="221" t="s">
        <v>14</v>
      </c>
      <c r="I33" s="222" t="str">
        <f>VLOOKUP($B33&amp;$E33,'VISIT DATA'!A:J, 9, FALSE)</f>
        <v>TORRES</v>
      </c>
      <c r="J33" s="223" t="str">
        <f>VLOOKUP(B33&amp;E33,'VISIT DATA'!A:N,10,FALSE)</f>
        <v>AMERIVANTAGE DUAL</v>
      </c>
      <c r="K33" s="225"/>
      <c r="L33" s="224" t="s">
        <v>6242</v>
      </c>
      <c r="M33" s="224" t="s">
        <v>6242</v>
      </c>
      <c r="N33" s="225"/>
      <c r="O33" s="216" t="str">
        <f t="shared" si="1"/>
        <v>✓</v>
      </c>
      <c r="P33" s="226" t="str">
        <f t="shared" si="2"/>
        <v>#VALUE!</v>
      </c>
      <c r="Q33" s="227" t="str">
        <f t="shared" si="3"/>
        <v>#VALUE!</v>
      </c>
      <c r="R33" s="228" t="str">
        <f t="shared" si="4"/>
        <v>#VALUE!</v>
      </c>
      <c r="S33" s="220" t="str">
        <f t="shared" si="5"/>
        <v>#VALUE!</v>
      </c>
      <c r="T33" s="220" t="str">
        <f t="shared" si="6"/>
        <v>#VALUE!</v>
      </c>
      <c r="U33" s="221">
        <f t="shared" si="7"/>
        <v>0</v>
      </c>
      <c r="V33" s="229" t="str">
        <f>ifs($N33="",VLOOKUP($B33&amp;$E33,'VISIT DATA'!$A$2:$J100,7,FALSE), $N33="SWAB","OUTSA-RW",$N33="SWQU","OUTSA-SaQu", AND($L33="X",$M33="X",$N33="QUEST"),"OUT-UAQPre",$N33="QUEST","OUT-UAQ", $N33="Walk in","ColUATele")</f>
        <v>UA-Prelim</v>
      </c>
      <c r="W33" s="24" t="str">
        <f t="shared" si="8"/>
        <v>UA-Prelim : Preliminary UA Test</v>
      </c>
      <c r="X33" s="222" t="str">
        <f t="shared" si="9"/>
        <v>UA-Prelim : Preliminary UA Test</v>
      </c>
      <c r="Y33" s="222" t="str">
        <f t="shared" si="10"/>
        <v>MATCH</v>
      </c>
      <c r="Z33" s="224" t="str">
        <f t="shared" si="11"/>
        <v> </v>
      </c>
      <c r="AA33" s="244"/>
    </row>
    <row r="34">
      <c r="A34" s="214" t="str">
        <f>IFS($B34=FALSE,"",$B34,VLOOKUP($B34,'PATIENT DATA (072721)'!A:C, 2, 0))</f>
        <v>PAYAN, MARIA S</v>
      </c>
      <c r="B34" s="215">
        <v>12469.0</v>
      </c>
      <c r="C34" s="230" t="str">
        <f>IF(COUNTIF('PATIENT DATA (072721)'!A:A, B34)=0, "X","✓")</f>
        <v>✓</v>
      </c>
      <c r="D34" s="226">
        <f>IFS($B34=FALSE,"",$B34,VLOOKUP($B34,'PATIENT DATA (072721)'!A:C, 3, 0))</f>
        <v>16911</v>
      </c>
      <c r="E34" s="218">
        <v>44572.0</v>
      </c>
      <c r="F34" s="219">
        <f>ifs($B34="","",$B34, VLOOKUP($B34&amp;$E34, 'VISIT DATA'!A:O,3,0))</f>
        <v>0.6458333333</v>
      </c>
      <c r="G34" s="231" t="s">
        <v>6323</v>
      </c>
      <c r="H34" s="221" t="s">
        <v>14</v>
      </c>
      <c r="I34" s="222" t="str">
        <f>VLOOKUP($B34&amp;$E34,'VISIT DATA'!A:J, 9, FALSE)</f>
        <v>MARTINEZ</v>
      </c>
      <c r="J34" s="223" t="str">
        <f>VLOOKUP(B34&amp;E34,'VISIT DATA'!A:N,10,FALSE)</f>
        <v>WELLCARE OF TEXAS</v>
      </c>
      <c r="K34" s="224"/>
      <c r="L34" s="224" t="s">
        <v>6242</v>
      </c>
      <c r="M34" s="224"/>
      <c r="N34" s="224"/>
      <c r="O34" s="216" t="str">
        <f t="shared" si="1"/>
        <v>✓</v>
      </c>
      <c r="P34" s="226" t="str">
        <f t="shared" si="2"/>
        <v>#VALUE!</v>
      </c>
      <c r="Q34" s="227" t="str">
        <f t="shared" si="3"/>
        <v>#VALUE!</v>
      </c>
      <c r="R34" s="228" t="str">
        <f t="shared" si="4"/>
        <v>#VALUE!</v>
      </c>
      <c r="S34" s="220" t="str">
        <f t="shared" si="5"/>
        <v>#VALUE!</v>
      </c>
      <c r="T34" s="220" t="str">
        <f t="shared" si="6"/>
        <v>#VALUE!</v>
      </c>
      <c r="U34" s="221">
        <f t="shared" si="7"/>
        <v>0</v>
      </c>
      <c r="V34" s="229" t="str">
        <f>ifs($N34="",VLOOKUP($B34&amp;$E34,'VISIT DATA'!$A$2:$J100,7,FALSE), $N34="SWAB","OUTSA-RW",$N34="SWQU","OUTSA-SaQu", AND($L34="X",$M34="X",$N34="QUEST"),"OUT-UAQPre",$N34="QUEST","OUT-UAQ", $N34="Walk in","ColUATele")</f>
        <v>UA</v>
      </c>
      <c r="W34" s="24" t="str">
        <f t="shared" si="8"/>
        <v>UA : Urine Analysis In House</v>
      </c>
      <c r="X34" s="222" t="str">
        <f t="shared" si="9"/>
        <v>UA : Urine Analysis In House</v>
      </c>
      <c r="Y34" s="222" t="str">
        <f t="shared" si="10"/>
        <v>MATCH</v>
      </c>
      <c r="Z34" s="224" t="str">
        <f t="shared" si="11"/>
        <v> </v>
      </c>
      <c r="AA34" s="244"/>
    </row>
    <row r="35">
      <c r="A35" s="214" t="str">
        <f>IFS($B35=FALSE,"",$B35,VLOOKUP($B35,'PATIENT DATA (072721)'!A:C, 2, 0))</f>
        <v/>
      </c>
      <c r="B35" s="215"/>
      <c r="C35" s="216" t="str">
        <f>IF(COUNTIF('PATIENT DATA (072721)'!A:A, B35)=0, "X","✓")</f>
        <v>X</v>
      </c>
      <c r="D35" s="226" t="str">
        <f>IFS($B35=FALSE,"",$B35,VLOOKUP($B35,'PATIENT DATA (072721)'!A:C, 3, 0))</f>
        <v/>
      </c>
      <c r="E35" s="218">
        <v>44572.0</v>
      </c>
      <c r="F35" s="219" t="str">
        <f>ifs($B35="","",$B35, VLOOKUP($B35&amp;$E35, 'VISIT DATA'!A:O,3,0))</f>
        <v/>
      </c>
      <c r="G35" s="220"/>
      <c r="H35" s="221"/>
      <c r="I35" s="222" t="str">
        <f>VLOOKUP($B35&amp;$E35,'VISIT DATA'!A:J, 9, FALSE)</f>
        <v>#N/A</v>
      </c>
      <c r="J35" s="223" t="str">
        <f>VLOOKUP(B35&amp;E35,'VISIT DATA'!A:N,10,FALSE)</f>
        <v>#N/A</v>
      </c>
      <c r="K35" s="225"/>
      <c r="L35" s="224"/>
      <c r="M35" s="224"/>
      <c r="N35" s="225"/>
      <c r="O35" s="216" t="str">
        <f t="shared" si="1"/>
        <v>X</v>
      </c>
      <c r="P35" s="226" t="str">
        <f t="shared" si="2"/>
        <v>#N/A</v>
      </c>
      <c r="Q35" s="227" t="str">
        <f t="shared" si="3"/>
        <v>#N/A</v>
      </c>
      <c r="R35" s="228" t="str">
        <f t="shared" si="4"/>
        <v>#N/A</v>
      </c>
      <c r="S35" s="220" t="str">
        <f t="shared" si="5"/>
        <v>#N/A</v>
      </c>
      <c r="T35" s="220" t="str">
        <f t="shared" si="6"/>
        <v>#N/A</v>
      </c>
      <c r="U35" s="221">
        <f t="shared" si="7"/>
        <v>0</v>
      </c>
      <c r="V35" s="229" t="str">
        <f>ifs($N35="",VLOOKUP($B35&amp;$E35,'VISIT DATA'!$A$2:$J100,7,FALSE), $N35="SWAB","OUTSA-RW",$N35="SWQU","OUTSA-SaQu", AND($L35="X",$M35="X",$N35="QUEST"),"OUT-UAQPre",$N35="QUEST","OUT-UAQ", $N35="Walk in","ColUATele")</f>
        <v>#N/A</v>
      </c>
      <c r="W35" s="24" t="str">
        <f t="shared" si="8"/>
        <v>#N/A</v>
      </c>
      <c r="X35" s="222" t="str">
        <f t="shared" si="9"/>
        <v/>
      </c>
      <c r="Y35" s="222" t="str">
        <f t="shared" si="10"/>
        <v/>
      </c>
      <c r="Z35" s="224" t="str">
        <f t="shared" si="11"/>
        <v> </v>
      </c>
      <c r="AA35" s="244"/>
    </row>
    <row r="36">
      <c r="A36" s="214" t="str">
        <f>IFS($B36=FALSE,"",$B36,VLOOKUP($B36,'PATIENT DATA (072721)'!A:C, 2, 0))</f>
        <v/>
      </c>
      <c r="B36" s="215"/>
      <c r="C36" s="230" t="str">
        <f>IF(COUNTIF('PATIENT DATA (072721)'!A:A, B36)=0, "X","✓")</f>
        <v>X</v>
      </c>
      <c r="D36" s="226" t="str">
        <f>IFS($B36=FALSE,"",$B36,VLOOKUP($B36,'PATIENT DATA (072721)'!A:C, 3, 0))</f>
        <v/>
      </c>
      <c r="E36" s="218">
        <v>44572.0</v>
      </c>
      <c r="F36" s="219" t="str">
        <f>ifs($B36="","",$B36, VLOOKUP($B36&amp;$E36, 'VISIT DATA'!A:O,3,0))</f>
        <v/>
      </c>
      <c r="G36" s="231"/>
      <c r="H36" s="221"/>
      <c r="I36" s="222" t="str">
        <f>VLOOKUP($B36&amp;$E36,'VISIT DATA'!A:J, 9, FALSE)</f>
        <v>#N/A</v>
      </c>
      <c r="J36" s="223" t="str">
        <f>VLOOKUP(B36&amp;E36,'VISIT DATA'!A:N,10,FALSE)</f>
        <v>#N/A</v>
      </c>
      <c r="K36" s="225"/>
      <c r="L36" s="224"/>
      <c r="M36" s="224"/>
      <c r="N36" s="225"/>
      <c r="O36" s="216" t="str">
        <f t="shared" si="1"/>
        <v>X</v>
      </c>
      <c r="P36" s="226" t="str">
        <f t="shared" si="2"/>
        <v>#N/A</v>
      </c>
      <c r="Q36" s="227" t="str">
        <f t="shared" si="3"/>
        <v>#N/A</v>
      </c>
      <c r="R36" s="228" t="str">
        <f t="shared" si="4"/>
        <v>#N/A</v>
      </c>
      <c r="S36" s="220" t="str">
        <f t="shared" si="5"/>
        <v>#N/A</v>
      </c>
      <c r="T36" s="220" t="str">
        <f t="shared" si="6"/>
        <v>#N/A</v>
      </c>
      <c r="U36" s="221">
        <f t="shared" si="7"/>
        <v>0</v>
      </c>
      <c r="V36" s="229" t="str">
        <f>ifs($N36="",VLOOKUP($B36&amp;$E36,'VISIT DATA'!$A$2:$J100,7,FALSE), $N36="SWAB","OUTSA-RW",$N36="SWQU","OUTSA-SaQu", AND($L36="X",$M36="X",$N36="QUEST"),"OUT-UAQPre",$N36="QUEST","OUT-UAQ", $N36="Walk in","ColUATele")</f>
        <v>#N/A</v>
      </c>
      <c r="W36" s="24" t="str">
        <f t="shared" si="8"/>
        <v>#N/A</v>
      </c>
      <c r="X36" s="222" t="str">
        <f t="shared" si="9"/>
        <v/>
      </c>
      <c r="Y36" s="222" t="str">
        <f t="shared" si="10"/>
        <v/>
      </c>
      <c r="Z36" s="224" t="str">
        <f t="shared" si="11"/>
        <v> </v>
      </c>
      <c r="AA36" s="244"/>
    </row>
    <row r="37">
      <c r="A37" s="214" t="str">
        <f>IFS($B37=FALSE,"",$B37,VLOOKUP($B37,'PATIENT DATA (072721)'!A:C, 2, 0))</f>
        <v/>
      </c>
      <c r="B37" s="215"/>
      <c r="C37" s="230" t="str">
        <f>IF(COUNTIF('PATIENT DATA (072721)'!A:A, B37)=0, "X","✓")</f>
        <v>X</v>
      </c>
      <c r="D37" s="226" t="str">
        <f>IFS($B37=FALSE,"",$B37,VLOOKUP($B37,'PATIENT DATA (072721)'!A:C, 3, 0))</f>
        <v/>
      </c>
      <c r="E37" s="218">
        <v>44572.0</v>
      </c>
      <c r="F37" s="219" t="str">
        <f>ifs($B37="","",$B37, VLOOKUP($B37&amp;$E37, 'VISIT DATA'!A:O,3,0))</f>
        <v/>
      </c>
      <c r="G37" s="231"/>
      <c r="H37" s="221"/>
      <c r="I37" s="222" t="str">
        <f>VLOOKUP($B37&amp;$E37,'VISIT DATA'!A:J, 9, FALSE)</f>
        <v>#N/A</v>
      </c>
      <c r="J37" s="223" t="str">
        <f>VLOOKUP(B37&amp;E37,'VISIT DATA'!A:N,10,FALSE)</f>
        <v>#N/A</v>
      </c>
      <c r="K37" s="225"/>
      <c r="L37" s="224"/>
      <c r="M37" s="224"/>
      <c r="N37" s="225"/>
      <c r="O37" s="216" t="str">
        <f t="shared" si="1"/>
        <v>X</v>
      </c>
      <c r="P37" s="226" t="str">
        <f t="shared" si="2"/>
        <v>#N/A</v>
      </c>
      <c r="Q37" s="227" t="str">
        <f t="shared" si="3"/>
        <v>#N/A</v>
      </c>
      <c r="R37" s="228" t="str">
        <f t="shared" si="4"/>
        <v>#N/A</v>
      </c>
      <c r="S37" s="220" t="str">
        <f t="shared" si="5"/>
        <v>#N/A</v>
      </c>
      <c r="T37" s="220" t="str">
        <f t="shared" si="6"/>
        <v>#N/A</v>
      </c>
      <c r="U37" s="221">
        <f t="shared" si="7"/>
        <v>0</v>
      </c>
      <c r="V37" s="229" t="str">
        <f>ifs($N37="",VLOOKUP($B37&amp;$E37,'VISIT DATA'!$A$2:$J100,7,FALSE), $N37="SWAB","OUTSA-RW",$N37="SWQU","OUTSA-SaQu", AND($L37="X",$M37="X",$N37="QUEST"),"OUT-UAQPre",$N37="QUEST","OUT-UAQ", $N37="Walk in","ColUATele")</f>
        <v>#N/A</v>
      </c>
      <c r="W37" s="24" t="str">
        <f t="shared" si="8"/>
        <v>#N/A</v>
      </c>
      <c r="X37" s="222" t="str">
        <f t="shared" si="9"/>
        <v/>
      </c>
      <c r="Y37" s="222" t="str">
        <f t="shared" si="10"/>
        <v/>
      </c>
      <c r="Z37" s="224" t="str">
        <f t="shared" si="11"/>
        <v> </v>
      </c>
      <c r="AA37" s="244"/>
    </row>
    <row r="38">
      <c r="A38" s="214" t="str">
        <f>IFS($B38=FALSE,"",$B38,VLOOKUP($B38,'PATIENT DATA (072721)'!A:C, 2, 0))</f>
        <v/>
      </c>
      <c r="B38" s="215"/>
      <c r="C38" s="230" t="str">
        <f>IF(COUNTIF('PATIENT DATA (072721)'!A:A, B38)=0, "X","✓")</f>
        <v>X</v>
      </c>
      <c r="D38" s="226" t="str">
        <f>IFS($B38=FALSE,"",$B38,VLOOKUP($B38,'PATIENT DATA (072721)'!A:C, 3, 0))</f>
        <v/>
      </c>
      <c r="E38" s="218">
        <v>44572.0</v>
      </c>
      <c r="F38" s="219" t="str">
        <f>ifs($B38="","",$B38, VLOOKUP($B38&amp;$E38, 'VISIT DATA'!A:O,3,0))</f>
        <v/>
      </c>
      <c r="G38" s="231"/>
      <c r="H38" s="221"/>
      <c r="I38" s="222" t="str">
        <f>VLOOKUP($B38&amp;$E38,'VISIT DATA'!A:J, 9, FALSE)</f>
        <v>#N/A</v>
      </c>
      <c r="J38" s="223" t="str">
        <f>VLOOKUP(B38&amp;E38,'VISIT DATA'!A:N,10,FALSE)</f>
        <v>#N/A</v>
      </c>
      <c r="K38" s="225"/>
      <c r="L38" s="224"/>
      <c r="M38" s="224"/>
      <c r="N38" s="225"/>
      <c r="O38" s="216" t="str">
        <f t="shared" si="1"/>
        <v>X</v>
      </c>
      <c r="P38" s="226" t="str">
        <f t="shared" si="2"/>
        <v>#N/A</v>
      </c>
      <c r="Q38" s="227" t="str">
        <f t="shared" si="3"/>
        <v>#N/A</v>
      </c>
      <c r="R38" s="228" t="str">
        <f t="shared" si="4"/>
        <v>#N/A</v>
      </c>
      <c r="S38" s="220" t="str">
        <f t="shared" si="5"/>
        <v>#N/A</v>
      </c>
      <c r="T38" s="220" t="str">
        <f t="shared" si="6"/>
        <v>#N/A</v>
      </c>
      <c r="U38" s="221">
        <f t="shared" si="7"/>
        <v>0</v>
      </c>
      <c r="V38" s="229" t="str">
        <f>ifs($N38="",VLOOKUP($B38&amp;$E38,'VISIT DATA'!$A$2:$J100,7,FALSE), $N38="SWAB","OUTSA-RW",$N38="SWQU","OUTSA-SaQu", AND($L38="X",$M38="X",$N38="QUEST"),"OUT-UAQPre",$N38="QUEST","OUT-UAQ", $N38="Walk in","ColUATele")</f>
        <v>#N/A</v>
      </c>
      <c r="W38" s="24" t="str">
        <f t="shared" si="8"/>
        <v>#N/A</v>
      </c>
      <c r="X38" s="222" t="str">
        <f t="shared" si="9"/>
        <v/>
      </c>
      <c r="Y38" s="222" t="str">
        <f t="shared" si="10"/>
        <v/>
      </c>
      <c r="Z38" s="224" t="str">
        <f t="shared" si="11"/>
        <v> </v>
      </c>
      <c r="AA38" s="244"/>
    </row>
    <row r="39">
      <c r="A39" s="214" t="str">
        <f>IFS($B39=FALSE,"",$B39,VLOOKUP($B39,'PATIENT DATA (072721)'!A:C, 2, 0))</f>
        <v/>
      </c>
      <c r="B39" s="215"/>
      <c r="C39" s="230" t="str">
        <f>IF(COUNTIF('PATIENT DATA (072721)'!A:A, B39)=0, "X","✓")</f>
        <v>X</v>
      </c>
      <c r="D39" s="226" t="str">
        <f>IFS($B39=FALSE,"",$B39,VLOOKUP($B39,'PATIENT DATA (072721)'!A:C, 3, 0))</f>
        <v/>
      </c>
      <c r="E39" s="218">
        <v>44572.0</v>
      </c>
      <c r="F39" s="219" t="str">
        <f>ifs($B39="","",$B39, VLOOKUP($B39&amp;$E39, 'VISIT DATA'!A:O,3,0))</f>
        <v/>
      </c>
      <c r="G39" s="231"/>
      <c r="H39" s="221"/>
      <c r="I39" s="222" t="str">
        <f>VLOOKUP($B39&amp;$E39,'VISIT DATA'!A:J, 9, FALSE)</f>
        <v>#N/A</v>
      </c>
      <c r="J39" s="223" t="str">
        <f>VLOOKUP(B39&amp;E39,'VISIT DATA'!A:N,10,FALSE)</f>
        <v>#N/A</v>
      </c>
      <c r="K39" s="225"/>
      <c r="L39" s="224"/>
      <c r="M39" s="224"/>
      <c r="N39" s="225"/>
      <c r="O39" s="216" t="str">
        <f t="shared" si="1"/>
        <v>X</v>
      </c>
      <c r="P39" s="226" t="str">
        <f t="shared" si="2"/>
        <v>#N/A</v>
      </c>
      <c r="Q39" s="227" t="str">
        <f t="shared" si="3"/>
        <v>#N/A</v>
      </c>
      <c r="R39" s="228" t="str">
        <f t="shared" si="4"/>
        <v>#N/A</v>
      </c>
      <c r="S39" s="220" t="str">
        <f t="shared" si="5"/>
        <v>#N/A</v>
      </c>
      <c r="T39" s="220" t="str">
        <f t="shared" si="6"/>
        <v>#N/A</v>
      </c>
      <c r="U39" s="221">
        <f t="shared" si="7"/>
        <v>0</v>
      </c>
      <c r="V39" s="229" t="str">
        <f>ifs($N39="",VLOOKUP($B39&amp;$E39,'VISIT DATA'!$A$2:$J100,7,FALSE), $N39="SWAB","OUTSA-RW",$N39="SWQU","OUTSA-SaQu", AND($L39="X",$M39="X",$N39="QUEST"),"OUT-UAQPre",$N39="QUEST","OUT-UAQ", $N39="Walk in","ColUATele")</f>
        <v>#N/A</v>
      </c>
      <c r="W39" s="24" t="str">
        <f t="shared" si="8"/>
        <v>#N/A</v>
      </c>
      <c r="X39" s="222" t="str">
        <f t="shared" si="9"/>
        <v/>
      </c>
      <c r="Y39" s="222" t="str">
        <f t="shared" si="10"/>
        <v/>
      </c>
      <c r="Z39" s="224" t="str">
        <f t="shared" si="11"/>
        <v> </v>
      </c>
      <c r="AA39" s="244"/>
    </row>
    <row r="40">
      <c r="A40" s="214" t="str">
        <f>IFS($B40=FALSE,"",$B40,VLOOKUP($B40,'PATIENT DATA (072721)'!A:C, 2, 0))</f>
        <v/>
      </c>
      <c r="B40" s="215"/>
      <c r="C40" s="230" t="str">
        <f>IF(COUNTIF('PATIENT DATA (072721)'!A:A, B40)=0, "X","✓")</f>
        <v>X</v>
      </c>
      <c r="D40" s="226" t="str">
        <f>IFS($B40=FALSE,"",$B40,VLOOKUP($B40,'PATIENT DATA (072721)'!A:C, 3, 0))</f>
        <v/>
      </c>
      <c r="E40" s="218">
        <v>44572.0</v>
      </c>
      <c r="F40" s="219" t="str">
        <f>ifs($B40="","",$B40, VLOOKUP($B40&amp;$E40, 'VISIT DATA'!A:O,3,0))</f>
        <v/>
      </c>
      <c r="G40" s="231"/>
      <c r="H40" s="221"/>
      <c r="I40" s="222" t="str">
        <f>VLOOKUP($B40&amp;$E40,'VISIT DATA'!A:J, 9, FALSE)</f>
        <v>#N/A</v>
      </c>
      <c r="J40" s="223" t="str">
        <f>VLOOKUP(B40&amp;E40,'VISIT DATA'!A:N,10,FALSE)</f>
        <v>#N/A</v>
      </c>
      <c r="K40" s="224"/>
      <c r="L40" s="224"/>
      <c r="M40" s="224"/>
      <c r="N40" s="225"/>
      <c r="O40" s="216" t="str">
        <f t="shared" si="1"/>
        <v>X</v>
      </c>
      <c r="P40" s="226" t="str">
        <f t="shared" si="2"/>
        <v>#N/A</v>
      </c>
      <c r="Q40" s="227" t="str">
        <f t="shared" si="3"/>
        <v>#N/A</v>
      </c>
      <c r="R40" s="228" t="str">
        <f t="shared" si="4"/>
        <v>#N/A</v>
      </c>
      <c r="S40" s="220" t="str">
        <f t="shared" si="5"/>
        <v>#N/A</v>
      </c>
      <c r="T40" s="220" t="str">
        <f t="shared" si="6"/>
        <v>#N/A</v>
      </c>
      <c r="U40" s="221">
        <f t="shared" si="7"/>
        <v>0</v>
      </c>
      <c r="V40" s="229" t="str">
        <f>ifs($N40="",VLOOKUP($B40&amp;$E40,'VISIT DATA'!$A$2:$J100,7,FALSE), $N40="SWAB","OUTSA-RW",$N40="SWQU","OUTSA-SaQu", AND($L40="X",$M40="X",$N40="QUEST"),"OUT-UAQPre",$N40="QUEST","OUT-UAQ", $N40="Walk in","ColUATele")</f>
        <v>#N/A</v>
      </c>
      <c r="W40" s="24" t="str">
        <f t="shared" si="8"/>
        <v>#N/A</v>
      </c>
      <c r="X40" s="222" t="str">
        <f t="shared" si="9"/>
        <v/>
      </c>
      <c r="Y40" s="222" t="str">
        <f t="shared" si="10"/>
        <v/>
      </c>
      <c r="Z40" s="224" t="str">
        <f t="shared" si="11"/>
        <v> </v>
      </c>
      <c r="AA40" s="244"/>
    </row>
    <row r="41">
      <c r="A41" s="214" t="str">
        <f>IFS($B41=FALSE,"",$B41,VLOOKUP($B41,'PATIENT DATA (072721)'!A:C, 2, 0))</f>
        <v/>
      </c>
      <c r="B41" s="215"/>
      <c r="C41" s="216" t="str">
        <f>IF(COUNTIF('PATIENT DATA (072721)'!A:A, B41)=0, "X","✓")</f>
        <v>X</v>
      </c>
      <c r="D41" s="226" t="str">
        <f>IFS($B41=FALSE,"",$B41,VLOOKUP($B41,'PATIENT DATA (072721)'!A:C, 3, 0))</f>
        <v/>
      </c>
      <c r="E41" s="218">
        <v>44572.0</v>
      </c>
      <c r="F41" s="219" t="str">
        <f>ifs($B41="","",$B41, VLOOKUP($B41&amp;$E41, 'VISIT DATA'!A:O,3,0))</f>
        <v/>
      </c>
      <c r="G41" s="220"/>
      <c r="H41" s="221"/>
      <c r="I41" s="222" t="str">
        <f>VLOOKUP($B41&amp;$E41,'VISIT DATA'!A:J, 9, FALSE)</f>
        <v>#N/A</v>
      </c>
      <c r="J41" s="223" t="str">
        <f>VLOOKUP(B41&amp;E41,'VISIT DATA'!A:N,10,FALSE)</f>
        <v>#N/A</v>
      </c>
      <c r="K41" s="225"/>
      <c r="L41" s="224"/>
      <c r="M41" s="224"/>
      <c r="N41" s="225"/>
      <c r="O41" s="216" t="str">
        <f t="shared" si="1"/>
        <v>X</v>
      </c>
      <c r="P41" s="226" t="str">
        <f t="shared" si="2"/>
        <v>#N/A</v>
      </c>
      <c r="Q41" s="227" t="str">
        <f t="shared" si="3"/>
        <v>#N/A</v>
      </c>
      <c r="R41" s="228" t="str">
        <f t="shared" si="4"/>
        <v>#N/A</v>
      </c>
      <c r="S41" s="220" t="str">
        <f t="shared" si="5"/>
        <v>#N/A</v>
      </c>
      <c r="T41" s="220" t="str">
        <f t="shared" si="6"/>
        <v>#N/A</v>
      </c>
      <c r="U41" s="221">
        <f t="shared" si="7"/>
        <v>0</v>
      </c>
      <c r="V41" s="229" t="str">
        <f>ifs($N41="",VLOOKUP($B41&amp;$E41,'VISIT DATA'!$A$2:$J100,7,FALSE), $N41="SWAB","OUTSA-RW",$N41="SWQU","OUTSA-SaQu", AND($L41="X",$M41="X",$N41="QUEST"),"OUT-UAQPre",$N41="QUEST","OUT-UAQ", $N41="Walk in","ColUATele")</f>
        <v>#N/A</v>
      </c>
      <c r="W41" s="24" t="str">
        <f t="shared" si="8"/>
        <v>#N/A</v>
      </c>
      <c r="X41" s="222" t="str">
        <f t="shared" si="9"/>
        <v/>
      </c>
      <c r="Y41" s="222" t="str">
        <f t="shared" si="10"/>
        <v/>
      </c>
      <c r="Z41" s="224" t="str">
        <f t="shared" si="11"/>
        <v> </v>
      </c>
      <c r="AA41" s="244"/>
    </row>
    <row r="42">
      <c r="A42" s="214" t="str">
        <f>IFS($B42=FALSE,"",$B42,VLOOKUP($B42,'PATIENT DATA (072721)'!A:C, 2, 0))</f>
        <v/>
      </c>
      <c r="B42" s="215"/>
      <c r="C42" s="216" t="str">
        <f>IF(COUNTIF('PATIENT DATA (072721)'!A:A, B42)=0, "X","✓")</f>
        <v>X</v>
      </c>
      <c r="D42" s="226" t="str">
        <f>IFS($B42=FALSE,"",$B42,VLOOKUP($B42,'PATIENT DATA (072721)'!A:C, 3, 0))</f>
        <v/>
      </c>
      <c r="E42" s="218">
        <v>44572.0</v>
      </c>
      <c r="F42" s="219" t="str">
        <f>ifs($B42="","",$B42, VLOOKUP($B42&amp;$E42, 'VISIT DATA'!A:O,3,0))</f>
        <v/>
      </c>
      <c r="G42" s="220"/>
      <c r="H42" s="221"/>
      <c r="I42" s="222" t="str">
        <f>VLOOKUP($B42&amp;$E42,'VISIT DATA'!A:J, 9, FALSE)</f>
        <v>#N/A</v>
      </c>
      <c r="J42" s="223" t="str">
        <f>VLOOKUP(B42&amp;E42,'VISIT DATA'!A:N,10,FALSE)</f>
        <v>#N/A</v>
      </c>
      <c r="K42" s="225"/>
      <c r="L42" s="224"/>
      <c r="M42" s="224"/>
      <c r="N42" s="225"/>
      <c r="O42" s="216" t="str">
        <f t="shared" si="1"/>
        <v>X</v>
      </c>
      <c r="P42" s="226" t="str">
        <f t="shared" si="2"/>
        <v>#N/A</v>
      </c>
      <c r="Q42" s="227" t="str">
        <f t="shared" si="3"/>
        <v>#N/A</v>
      </c>
      <c r="R42" s="228" t="str">
        <f t="shared" si="4"/>
        <v>#N/A</v>
      </c>
      <c r="S42" s="220" t="str">
        <f t="shared" si="5"/>
        <v>#N/A</v>
      </c>
      <c r="T42" s="220" t="str">
        <f t="shared" si="6"/>
        <v>#N/A</v>
      </c>
      <c r="U42" s="221">
        <f t="shared" si="7"/>
        <v>0</v>
      </c>
      <c r="V42" s="229" t="str">
        <f>ifs($N42="",VLOOKUP($B42&amp;$E42,'VISIT DATA'!$A$2:$J100,7,FALSE), $N42="SWAB","OUTSA-RW",$N42="SWQU","OUTSA-SaQu", AND($L42="X",$M42="X",$N42="QUEST"),"OUT-UAQPre",$N42="QUEST","OUT-UAQ", $N42="Walk in","ColUATele")</f>
        <v>#N/A</v>
      </c>
      <c r="W42" s="24" t="str">
        <f t="shared" si="8"/>
        <v>#N/A</v>
      </c>
      <c r="X42" s="222" t="str">
        <f t="shared" si="9"/>
        <v/>
      </c>
      <c r="Y42" s="222" t="str">
        <f t="shared" si="10"/>
        <v/>
      </c>
      <c r="Z42" s="224" t="str">
        <f t="shared" si="11"/>
        <v> </v>
      </c>
      <c r="AA42" s="244"/>
    </row>
    <row r="43">
      <c r="A43" s="214" t="str">
        <f>IFS($B43=FALSE,"",$B43,VLOOKUP($B43,'PATIENT DATA (072721)'!A:C, 2, 0))</f>
        <v/>
      </c>
      <c r="B43" s="215"/>
      <c r="C43" s="216" t="str">
        <f>IF(COUNTIF('PATIENT DATA (072721)'!A:A, B43)=0, "X","✓")</f>
        <v>X</v>
      </c>
      <c r="D43" s="226" t="str">
        <f>IFS($B43=FALSE,"",$B43,VLOOKUP($B43,'PATIENT DATA (072721)'!A:C, 3, 0))</f>
        <v/>
      </c>
      <c r="E43" s="218">
        <v>44572.0</v>
      </c>
      <c r="F43" s="219" t="str">
        <f>ifs($B43="","",$B43, VLOOKUP($B43&amp;$E43, 'VISIT DATA'!A:O,3,0))</f>
        <v/>
      </c>
      <c r="G43" s="220"/>
      <c r="H43" s="221"/>
      <c r="I43" s="222" t="str">
        <f>VLOOKUP($B43&amp;$E43,'VISIT DATA'!A:J, 9, FALSE)</f>
        <v>#N/A</v>
      </c>
      <c r="J43" s="223" t="str">
        <f>VLOOKUP(B43&amp;E43,'VISIT DATA'!A:N,10,FALSE)</f>
        <v>#N/A</v>
      </c>
      <c r="K43" s="225"/>
      <c r="L43" s="224"/>
      <c r="M43" s="224"/>
      <c r="N43" s="225"/>
      <c r="O43" s="216" t="str">
        <f t="shared" si="1"/>
        <v>X</v>
      </c>
      <c r="P43" s="226" t="str">
        <f t="shared" si="2"/>
        <v>#N/A</v>
      </c>
      <c r="Q43" s="227" t="str">
        <f t="shared" si="3"/>
        <v>#N/A</v>
      </c>
      <c r="R43" s="228" t="str">
        <f t="shared" si="4"/>
        <v>#N/A</v>
      </c>
      <c r="S43" s="220" t="str">
        <f t="shared" si="5"/>
        <v>#N/A</v>
      </c>
      <c r="T43" s="220" t="str">
        <f t="shared" si="6"/>
        <v>#N/A</v>
      </c>
      <c r="U43" s="221">
        <f t="shared" si="7"/>
        <v>0</v>
      </c>
      <c r="V43" s="229" t="str">
        <f>ifs($N43="",VLOOKUP($B43&amp;$E43,'VISIT DATA'!$A$2:$J100,7,FALSE), $N43="SWAB","OUTSA-RW",$N43="SWQU","OUTSA-SaQu", AND($L43="X",$M43="X",$N43="QUEST"),"OUT-UAQPre",$N43="QUEST","OUT-UAQ", $N43="Walk in","ColUATele")</f>
        <v>#N/A</v>
      </c>
      <c r="W43" s="24" t="str">
        <f t="shared" si="8"/>
        <v>#N/A</v>
      </c>
      <c r="X43" s="222" t="str">
        <f t="shared" si="9"/>
        <v/>
      </c>
      <c r="Y43" s="222" t="str">
        <f t="shared" si="10"/>
        <v/>
      </c>
      <c r="Z43" s="224" t="str">
        <f t="shared" si="11"/>
        <v> </v>
      </c>
      <c r="AA43" s="244"/>
    </row>
    <row r="44">
      <c r="A44" s="214" t="str">
        <f>IFS($B44=FALSE,"",$B44,VLOOKUP($B44,'PATIENT DATA (072721)'!A:C, 2, 0))</f>
        <v/>
      </c>
      <c r="B44" s="215"/>
      <c r="C44" s="216" t="str">
        <f>IF(COUNTIF('PATIENT DATA (072721)'!A:A, B44)=0, "X","✓")</f>
        <v>X</v>
      </c>
      <c r="D44" s="226" t="str">
        <f>IFS($B44=FALSE,"",$B44,VLOOKUP($B44,'PATIENT DATA (072721)'!A:C, 3, 0))</f>
        <v/>
      </c>
      <c r="E44" s="218">
        <v>44572.0</v>
      </c>
      <c r="F44" s="219" t="str">
        <f>ifs($B44="","",$B44, VLOOKUP($B44&amp;$E44, 'VISIT DATA'!A:O,3,0))</f>
        <v/>
      </c>
      <c r="G44" s="220"/>
      <c r="H44" s="221"/>
      <c r="I44" s="222" t="str">
        <f>VLOOKUP($B44&amp;$E44,'VISIT DATA'!A:J, 9, FALSE)</f>
        <v>#N/A</v>
      </c>
      <c r="J44" s="223" t="str">
        <f>VLOOKUP(B44&amp;E44,'VISIT DATA'!A:N,10,FALSE)</f>
        <v>#N/A</v>
      </c>
      <c r="K44" s="224"/>
      <c r="L44" s="224"/>
      <c r="M44" s="224"/>
      <c r="N44" s="225"/>
      <c r="O44" s="216" t="str">
        <f t="shared" si="1"/>
        <v>X</v>
      </c>
      <c r="P44" s="226" t="str">
        <f t="shared" si="2"/>
        <v>#N/A</v>
      </c>
      <c r="Q44" s="227" t="str">
        <f t="shared" si="3"/>
        <v>#N/A</v>
      </c>
      <c r="R44" s="228" t="str">
        <f t="shared" si="4"/>
        <v>#N/A</v>
      </c>
      <c r="S44" s="220" t="str">
        <f t="shared" si="5"/>
        <v>#N/A</v>
      </c>
      <c r="T44" s="220" t="str">
        <f t="shared" si="6"/>
        <v>#N/A</v>
      </c>
      <c r="U44" s="221">
        <f t="shared" si="7"/>
        <v>0</v>
      </c>
      <c r="V44" s="229" t="str">
        <f>ifs($N44="",VLOOKUP($B44&amp;$E44,'VISIT DATA'!$A$2:$J100,7,FALSE), $N44="SWAB","OUTSA-RW",$N44="SWQU","OUTSA-SaQu", AND($L44="X",$M44="X",$N44="QUEST"),"OUT-UAQPre",$N44="QUEST","OUT-UAQ", $N44="Walk in","ColUATele")</f>
        <v>#N/A</v>
      </c>
      <c r="W44" s="24" t="str">
        <f t="shared" si="8"/>
        <v>#N/A</v>
      </c>
      <c r="X44" s="222" t="str">
        <f t="shared" si="9"/>
        <v/>
      </c>
      <c r="Y44" s="222" t="str">
        <f t="shared" si="10"/>
        <v/>
      </c>
      <c r="Z44" s="224" t="str">
        <f t="shared" si="11"/>
        <v> </v>
      </c>
      <c r="AA44" s="244"/>
    </row>
    <row r="45">
      <c r="A45" s="214" t="str">
        <f>IFS($B45=FALSE,"",$B45,VLOOKUP($B45,'PATIENT DATA (072721)'!A:C, 2, 0))</f>
        <v/>
      </c>
      <c r="B45" s="215"/>
      <c r="C45" s="216" t="str">
        <f>IF(COUNTIF('PATIENT DATA (072721)'!A:A, B45)=0, "X","✓")</f>
        <v>X</v>
      </c>
      <c r="D45" s="226" t="str">
        <f>IFS($B45=FALSE,"",$B45,VLOOKUP($B45,'PATIENT DATA (072721)'!A:C, 3, 0))</f>
        <v/>
      </c>
      <c r="E45" s="218">
        <v>44572.0</v>
      </c>
      <c r="F45" s="219" t="str">
        <f>ifs($B45="","",$B45, VLOOKUP($B45&amp;$E45, 'VISIT DATA'!A:O,3,0))</f>
        <v/>
      </c>
      <c r="G45" s="220"/>
      <c r="H45" s="221"/>
      <c r="I45" s="222" t="str">
        <f>VLOOKUP($B45&amp;$E45,'VISIT DATA'!A:J, 9, FALSE)</f>
        <v>#N/A</v>
      </c>
      <c r="J45" s="223" t="str">
        <f>VLOOKUP(B45&amp;E45,'VISIT DATA'!A:N,10,FALSE)</f>
        <v>#N/A</v>
      </c>
      <c r="K45" s="225"/>
      <c r="L45" s="224"/>
      <c r="M45" s="224"/>
      <c r="N45" s="225"/>
      <c r="O45" s="216" t="str">
        <f t="shared" si="1"/>
        <v>X</v>
      </c>
      <c r="P45" s="226" t="str">
        <f t="shared" si="2"/>
        <v>#N/A</v>
      </c>
      <c r="Q45" s="227" t="str">
        <f t="shared" si="3"/>
        <v>#N/A</v>
      </c>
      <c r="R45" s="228" t="str">
        <f t="shared" si="4"/>
        <v>#N/A</v>
      </c>
      <c r="S45" s="220" t="str">
        <f t="shared" si="5"/>
        <v>#N/A</v>
      </c>
      <c r="T45" s="220" t="str">
        <f t="shared" si="6"/>
        <v>#N/A</v>
      </c>
      <c r="U45" s="221">
        <f t="shared" si="7"/>
        <v>0</v>
      </c>
      <c r="V45" s="229" t="str">
        <f>ifs($N45="",VLOOKUP($B45&amp;$E45,'VISIT DATA'!$A$2:$J100,7,FALSE), $N45="SWAB","OUTSA-RW",$N45="SWQU","OUTSA-SaQu", AND($L45="X",$M45="X",$N45="QUEST"),"OUT-UAQPre",$N45="QUEST","OUT-UAQ", $N45="Walk in","ColUATele")</f>
        <v>#N/A</v>
      </c>
      <c r="W45" s="24" t="str">
        <f t="shared" si="8"/>
        <v>#N/A</v>
      </c>
      <c r="X45" s="222" t="str">
        <f t="shared" si="9"/>
        <v/>
      </c>
      <c r="Y45" s="222" t="str">
        <f t="shared" si="10"/>
        <v/>
      </c>
      <c r="Z45" s="224" t="str">
        <f t="shared" si="11"/>
        <v> </v>
      </c>
      <c r="AA45" s="244"/>
    </row>
    <row r="46">
      <c r="A46" s="214" t="str">
        <f>IFS($B46=FALSE,"",$B46,VLOOKUP($B46,'PATIENT DATA (072721)'!A:C, 2, 0))</f>
        <v/>
      </c>
      <c r="B46" s="215"/>
      <c r="C46" s="216" t="str">
        <f>IF(COUNTIF('PATIENT DATA (072721)'!A:A, B46)=0, "X","✓")</f>
        <v>X</v>
      </c>
      <c r="D46" s="226" t="str">
        <f>IFS($B46=FALSE,"",$B46,VLOOKUP($B46,'PATIENT DATA (072721)'!A:C, 3, 0))</f>
        <v/>
      </c>
      <c r="E46" s="218">
        <v>44572.0</v>
      </c>
      <c r="F46" s="219" t="str">
        <f>ifs($B46="","",$B46, VLOOKUP($B46&amp;$E46, 'VISIT DATA'!A:O,3,0))</f>
        <v/>
      </c>
      <c r="G46" s="220"/>
      <c r="H46" s="221"/>
      <c r="I46" s="222" t="str">
        <f>VLOOKUP($B46&amp;$E46,'VISIT DATA'!A:J, 9, FALSE)</f>
        <v>#N/A</v>
      </c>
      <c r="J46" s="223" t="str">
        <f>VLOOKUP(B46&amp;E46,'VISIT DATA'!A:N,10,FALSE)</f>
        <v>#N/A</v>
      </c>
      <c r="K46" s="224"/>
      <c r="L46" s="224"/>
      <c r="M46" s="224"/>
      <c r="N46" s="225"/>
      <c r="O46" s="216" t="str">
        <f t="shared" si="1"/>
        <v>X</v>
      </c>
      <c r="P46" s="226" t="str">
        <f t="shared" si="2"/>
        <v>#N/A</v>
      </c>
      <c r="Q46" s="227" t="str">
        <f t="shared" si="3"/>
        <v>#N/A</v>
      </c>
      <c r="R46" s="228" t="str">
        <f t="shared" si="4"/>
        <v>#N/A</v>
      </c>
      <c r="S46" s="220" t="str">
        <f t="shared" si="5"/>
        <v>#N/A</v>
      </c>
      <c r="T46" s="220" t="str">
        <f t="shared" si="6"/>
        <v>#N/A</v>
      </c>
      <c r="U46" s="221">
        <f t="shared" si="7"/>
        <v>0</v>
      </c>
      <c r="V46" s="229" t="str">
        <f>ifs($N46="",VLOOKUP($B46&amp;$E46,'VISIT DATA'!$A$2:$J100,7,FALSE), $N46="SWAB","OUTSA-RW",$N46="SWQU","OUTSA-SaQu", AND($L46="X",$M46="X",$N46="QUEST"),"OUT-UAQPre",$N46="QUEST","OUT-UAQ", $N46="Walk in","ColUATele")</f>
        <v>#N/A</v>
      </c>
      <c r="W46" s="24" t="str">
        <f t="shared" si="8"/>
        <v>#N/A</v>
      </c>
      <c r="X46" s="222" t="str">
        <f t="shared" si="9"/>
        <v/>
      </c>
      <c r="Y46" s="222" t="str">
        <f t="shared" si="10"/>
        <v/>
      </c>
      <c r="Z46" s="224" t="str">
        <f t="shared" si="11"/>
        <v> </v>
      </c>
      <c r="AA46" s="244"/>
    </row>
    <row r="47">
      <c r="A47" s="214" t="str">
        <f>IFS($B47=FALSE,"",$B47,VLOOKUP($B47,'PATIENT DATA (072721)'!A:C, 2, 0))</f>
        <v/>
      </c>
      <c r="B47" s="215"/>
      <c r="C47" s="230" t="str">
        <f>IF(COUNTIF('PATIENT DATA (072721)'!A:A, B47)=0, "X","✓")</f>
        <v>X</v>
      </c>
      <c r="D47" s="226" t="str">
        <f>IFS($B47=FALSE,"",$B47,VLOOKUP($B47,'PATIENT DATA (072721)'!A:C, 3, 0))</f>
        <v/>
      </c>
      <c r="E47" s="218">
        <v>44572.0</v>
      </c>
      <c r="F47" s="219" t="str">
        <f>ifs($B47="","",$B47, VLOOKUP($B47&amp;$E47, 'VISIT DATA'!A:O,3,0))</f>
        <v/>
      </c>
      <c r="G47" s="220"/>
      <c r="H47" s="221"/>
      <c r="I47" s="222" t="str">
        <f>VLOOKUP($B47&amp;$E47,'VISIT DATA'!A:J, 9, FALSE)</f>
        <v>#N/A</v>
      </c>
      <c r="J47" s="223" t="str">
        <f>VLOOKUP(B47&amp;E47,'VISIT DATA'!A:N,10,FALSE)</f>
        <v>#N/A</v>
      </c>
      <c r="K47" s="225"/>
      <c r="L47" s="224"/>
      <c r="M47" s="224"/>
      <c r="N47" s="225"/>
      <c r="O47" s="216" t="str">
        <f t="shared" si="1"/>
        <v>X</v>
      </c>
      <c r="P47" s="226" t="str">
        <f t="shared" si="2"/>
        <v>#N/A</v>
      </c>
      <c r="Q47" s="227" t="str">
        <f t="shared" si="3"/>
        <v>#N/A</v>
      </c>
      <c r="R47" s="228" t="str">
        <f t="shared" si="4"/>
        <v>#N/A</v>
      </c>
      <c r="S47" s="220" t="str">
        <f t="shared" si="5"/>
        <v>#N/A</v>
      </c>
      <c r="T47" s="220" t="str">
        <f t="shared" si="6"/>
        <v>#N/A</v>
      </c>
      <c r="U47" s="221">
        <f t="shared" si="7"/>
        <v>0</v>
      </c>
      <c r="V47" s="229" t="str">
        <f>ifs($N47="",VLOOKUP($B47&amp;$E47,'VISIT DATA'!$A$2:$J100,7,FALSE), $N47="SWAB","OUTSA-RW",$N47="SWQU","OUTSA-SaQu", AND($L47="X",$M47="X",$N47="QUEST"),"OUT-UAQPre",$N47="QUEST","OUT-UAQ", $N47="Walk in","ColUATele")</f>
        <v>#N/A</v>
      </c>
      <c r="W47" s="24" t="str">
        <f t="shared" si="8"/>
        <v>#N/A</v>
      </c>
      <c r="X47" s="222" t="str">
        <f t="shared" si="9"/>
        <v/>
      </c>
      <c r="Y47" s="222" t="str">
        <f t="shared" si="10"/>
        <v/>
      </c>
      <c r="Z47" s="224" t="str">
        <f t="shared" si="11"/>
        <v> </v>
      </c>
      <c r="AA47" s="244"/>
    </row>
    <row r="48">
      <c r="A48" s="214" t="str">
        <f>IFS($B48=FALSE,"",$B48,VLOOKUP($B48,'PATIENT DATA (072721)'!A:C, 2, 0))</f>
        <v/>
      </c>
      <c r="B48" s="215"/>
      <c r="C48" s="230" t="str">
        <f>IF(COUNTIF('PATIENT DATA (072721)'!A:A, B48)=0, "X","✓")</f>
        <v>X</v>
      </c>
      <c r="D48" s="226" t="str">
        <f>IFS($B48=FALSE,"",$B48,VLOOKUP($B48,'PATIENT DATA (072721)'!A:C, 3, 0))</f>
        <v/>
      </c>
      <c r="E48" s="218">
        <v>44572.0</v>
      </c>
      <c r="F48" s="219" t="str">
        <f>ifs($B48="","",$B48, VLOOKUP($B48&amp;$E48, 'VISIT DATA'!A:O,3,0))</f>
        <v/>
      </c>
      <c r="G48" s="220"/>
      <c r="H48" s="221"/>
      <c r="I48" s="222" t="str">
        <f>VLOOKUP($B48&amp;$E48,'VISIT DATA'!A:J, 9, FALSE)</f>
        <v>#N/A</v>
      </c>
      <c r="J48" s="223" t="str">
        <f>VLOOKUP(B48&amp;E48,'VISIT DATA'!A:N,10,FALSE)</f>
        <v>#N/A</v>
      </c>
      <c r="K48" s="225"/>
      <c r="L48" s="224"/>
      <c r="M48" s="224"/>
      <c r="N48" s="224"/>
      <c r="O48" s="216" t="str">
        <f t="shared" si="1"/>
        <v>X</v>
      </c>
      <c r="P48" s="226" t="str">
        <f t="shared" si="2"/>
        <v>#N/A</v>
      </c>
      <c r="Q48" s="227" t="str">
        <f t="shared" si="3"/>
        <v>#N/A</v>
      </c>
      <c r="R48" s="228" t="str">
        <f t="shared" si="4"/>
        <v>#N/A</v>
      </c>
      <c r="S48" s="220" t="str">
        <f t="shared" si="5"/>
        <v>#N/A</v>
      </c>
      <c r="T48" s="220" t="str">
        <f t="shared" si="6"/>
        <v>#N/A</v>
      </c>
      <c r="U48" s="221">
        <f t="shared" si="7"/>
        <v>0</v>
      </c>
      <c r="V48" s="229" t="str">
        <f>ifs($N48="",VLOOKUP($B48&amp;$E48,'VISIT DATA'!$A$2:$J100,7,FALSE), $N48="SWAB","OUTSA-RW",$N48="SWQU","OUTSA-SaQu", AND($L48="X",$M48="X",$N48="QUEST"),"OUT-UAQPre",$N48="QUEST","OUT-UAQ", $N48="Walk in","ColUATele")</f>
        <v>#N/A</v>
      </c>
      <c r="W48" s="24" t="str">
        <f t="shared" si="8"/>
        <v>#N/A</v>
      </c>
      <c r="X48" s="222" t="str">
        <f t="shared" si="9"/>
        <v/>
      </c>
      <c r="Y48" s="222" t="str">
        <f t="shared" si="10"/>
        <v/>
      </c>
      <c r="Z48" s="224" t="str">
        <f t="shared" si="11"/>
        <v> </v>
      </c>
      <c r="AA48" s="244"/>
    </row>
    <row r="49">
      <c r="A49" s="214" t="str">
        <f>IFS($B49=FALSE,"",$B49,VLOOKUP($B49,'PATIENT DATA (072721)'!A:C, 2, 0))</f>
        <v/>
      </c>
      <c r="B49" s="215"/>
      <c r="C49" s="247" t="str">
        <f>IF(COUNTIF('PATIENT DATA (072721)'!A:A, B49)=0, "X","✓")</f>
        <v>X</v>
      </c>
      <c r="D49" s="226" t="str">
        <f>IFS($B49=FALSE,"",$B49,VLOOKUP($B49,'PATIENT DATA (072721)'!A:C, 3, 0))</f>
        <v/>
      </c>
      <c r="E49" s="218">
        <v>44572.0</v>
      </c>
      <c r="F49" s="219"/>
      <c r="G49" s="220"/>
      <c r="H49" s="221"/>
      <c r="I49" s="222" t="str">
        <f>VLOOKUP($B49&amp;$E49,'VISIT DATA'!A:J, 9, FALSE)</f>
        <v>#N/A</v>
      </c>
      <c r="J49" s="223" t="str">
        <f>VLOOKUP(B49&amp;E49,'VISIT DATA'!A:N,10,FALSE)</f>
        <v>#N/A</v>
      </c>
      <c r="K49" s="225"/>
      <c r="L49" s="224"/>
      <c r="M49" s="224"/>
      <c r="N49" s="225"/>
      <c r="O49" s="247" t="str">
        <f t="shared" si="1"/>
        <v>X</v>
      </c>
      <c r="P49" s="226" t="str">
        <f t="shared" si="2"/>
        <v>#N/A</v>
      </c>
      <c r="Q49" s="227" t="str">
        <f t="shared" si="3"/>
        <v>#N/A</v>
      </c>
      <c r="R49" s="228" t="str">
        <f t="shared" si="4"/>
        <v>#N/A</v>
      </c>
      <c r="S49" s="220" t="str">
        <f t="shared" si="5"/>
        <v>#N/A</v>
      </c>
      <c r="T49" s="220" t="str">
        <f t="shared" si="6"/>
        <v>#N/A</v>
      </c>
      <c r="U49" s="221">
        <f t="shared" si="7"/>
        <v>0</v>
      </c>
      <c r="V49" s="229" t="str">
        <f>ifs($N49="",VLOOKUP($B49&amp;$E49,'VISIT DATA'!$A$2:$J100,7,FALSE), $N49="SWAB","OUTSA-RW",$N49="SWQU","OUTSA-SaQu", AND($L49="X",$M49="X",$N49="QUEST"),"OUT-UAQPre",$N49="QUEST","OUT-UAQ", $N49="Walk in","ColUATele")</f>
        <v>#N/A</v>
      </c>
      <c r="W49" s="24" t="str">
        <f t="shared" si="8"/>
        <v>#N/A</v>
      </c>
      <c r="X49" s="222" t="str">
        <f t="shared" si="9"/>
        <v/>
      </c>
      <c r="Y49" s="222" t="str">
        <f t="shared" si="10"/>
        <v/>
      </c>
      <c r="Z49" s="224" t="str">
        <f t="shared" si="11"/>
        <v> </v>
      </c>
      <c r="AA49" s="244"/>
    </row>
    <row r="50">
      <c r="A50" s="248" t="str">
        <f>IFS($B50=FALSE,"",$B50,VLOOKUP($B50,'PATIENT DATA (072721)'!A:C, 2, 0))</f>
        <v/>
      </c>
      <c r="B50" s="249"/>
      <c r="C50" s="250" t="str">
        <f>IF(COUNTIF('PATIENT DATA (072721)'!A:A, B50)=0, "X","✓")</f>
        <v>X</v>
      </c>
      <c r="D50" s="251" t="str">
        <f>IFS($B50=FALSE,"",$B50,VLOOKUP($B50,'PATIENT DATA (072721)'!A:C, 3, 0))</f>
        <v/>
      </c>
      <c r="E50" s="252">
        <v>44572.0</v>
      </c>
      <c r="F50" s="253" t="str">
        <f>ifs($B50="","",$B50, VLOOKUP($B50&amp;$E50, 'VISIT DATA'!A:O,3,0))</f>
        <v/>
      </c>
      <c r="G50" s="254"/>
      <c r="H50" s="255" t="str">
        <f>ifs($B50="","",$B50, VLOOKUP($B50&amp;$E50, 'VISIT DATA'!$A:$O,13,0))</f>
        <v/>
      </c>
      <c r="I50" s="256" t="str">
        <f>VLOOKUP($B50&amp;$E50,'VISIT DATA'!A:J, 9, FALSE)</f>
        <v>#N/A</v>
      </c>
      <c r="J50" s="257" t="str">
        <f>VLOOKUP(B50&amp;E50,'VISIT DATA'!A:N,10,FALSE)</f>
        <v>#N/A</v>
      </c>
      <c r="K50" s="258"/>
      <c r="L50" s="259"/>
      <c r="M50" s="259"/>
      <c r="N50" s="258"/>
      <c r="O50" s="260" t="str">
        <f t="shared" si="1"/>
        <v>X</v>
      </c>
      <c r="P50" s="226" t="str">
        <f t="shared" si="2"/>
        <v>#N/A</v>
      </c>
      <c r="Q50" s="227" t="str">
        <f t="shared" si="3"/>
        <v>#N/A</v>
      </c>
      <c r="R50" s="228" t="str">
        <f t="shared" si="4"/>
        <v>#N/A</v>
      </c>
      <c r="S50" s="220" t="str">
        <f t="shared" si="5"/>
        <v>#N/A</v>
      </c>
      <c r="T50" s="220" t="str">
        <f t="shared" si="6"/>
        <v>#N/A</v>
      </c>
      <c r="U50" s="221">
        <f t="shared" si="7"/>
        <v>0</v>
      </c>
      <c r="V50" s="261" t="str">
        <f>ifs($N50="",VLOOKUP($B50&amp;$E50,'VISIT DATA'!$A$2:$J100,7,FALSE), $N50="SWAB","OUTSA-RW",$N50="SWQU","OUTSA-SaQu", AND($L50="X",$M50="X",$N50="QUEST"),"OUT-UAQPre",$N50="QUEST","OUT-UAQ", $N50="Walk in","ColUATele")</f>
        <v>#N/A</v>
      </c>
      <c r="W50" s="24" t="str">
        <f t="shared" si="8"/>
        <v>#N/A</v>
      </c>
      <c r="X50" s="222" t="str">
        <f t="shared" si="9"/>
        <v/>
      </c>
      <c r="Y50" s="222" t="str">
        <f t="shared" si="10"/>
        <v/>
      </c>
      <c r="Z50" s="224" t="str">
        <f t="shared" si="11"/>
        <v> </v>
      </c>
      <c r="AA50" s="244"/>
    </row>
    <row r="51">
      <c r="A51" s="214" t="str">
        <f>IFS($B51=FALSE,"",$B51,VLOOKUP($B51,'PATIENT DATA (072721)'!A:C, 2, 0))</f>
        <v/>
      </c>
      <c r="B51" s="215"/>
      <c r="C51" s="230" t="str">
        <f>IF(COUNTIF('PATIENT DATA (072721)'!A:A, B51)=0, "X","✓")</f>
        <v>X</v>
      </c>
      <c r="D51" s="226" t="str">
        <f>IFS($B51=FALSE,"",$B51,VLOOKUP($B51,'PATIENT DATA (072721)'!A:C, 3, 0))</f>
        <v/>
      </c>
      <c r="E51" s="218">
        <v>44572.0</v>
      </c>
      <c r="F51" s="219" t="str">
        <f>ifs($B51="","",$B51, VLOOKUP($B51&amp;$E51, 'VISIT DATA'!A:O,3,0))</f>
        <v/>
      </c>
      <c r="G51" s="231"/>
      <c r="H51" s="221" t="str">
        <f>ifs($B51="","",$B51, VLOOKUP($B51&amp;$E51, 'VISIT DATA'!$A:$O,13,0))</f>
        <v/>
      </c>
      <c r="I51" s="262" t="str">
        <f>VLOOKUP($B51&amp;$E51,'VISIT DATA'!A:J, 9, FALSE)</f>
        <v>#N/A</v>
      </c>
      <c r="J51" s="223" t="str">
        <f>VLOOKUP(B51&amp;E51,'VISIT DATA'!A:N,10,FALSE)</f>
        <v>#N/A</v>
      </c>
      <c r="K51" s="225"/>
      <c r="L51" s="224"/>
      <c r="M51" s="224"/>
      <c r="N51" s="225"/>
      <c r="O51" s="216" t="str">
        <f t="shared" si="1"/>
        <v>X</v>
      </c>
      <c r="P51" s="226" t="str">
        <f t="shared" si="2"/>
        <v>#N/A</v>
      </c>
      <c r="Q51" s="227" t="str">
        <f t="shared" si="3"/>
        <v>#N/A</v>
      </c>
      <c r="R51" s="228" t="str">
        <f t="shared" si="4"/>
        <v>#N/A</v>
      </c>
      <c r="S51" s="220" t="str">
        <f t="shared" si="5"/>
        <v>#N/A</v>
      </c>
      <c r="T51" s="220" t="str">
        <f t="shared" si="6"/>
        <v>#N/A</v>
      </c>
      <c r="U51" s="221">
        <f t="shared" si="7"/>
        <v>0</v>
      </c>
      <c r="V51" s="229" t="str">
        <f>ifs($N51="",VLOOKUP($B51&amp;$E51,'VISIT DATA'!$A$2:$J100,7,FALSE), $N51="SWAB","OUTSA-RW",$N51="SWQU","OUTSA-SaQu", AND($L51="X",$M51="X",$N51="QUEST"),"OUT-UAQPre",$N51="QUEST","OUT-UAQ", $N51="Walk in","ColUATele")</f>
        <v>#N/A</v>
      </c>
      <c r="W51" s="24" t="str">
        <f t="shared" si="8"/>
        <v>#N/A</v>
      </c>
      <c r="X51" s="222" t="str">
        <f t="shared" si="9"/>
        <v/>
      </c>
      <c r="Y51" s="222" t="str">
        <f t="shared" si="10"/>
        <v/>
      </c>
      <c r="Z51" s="224" t="str">
        <f t="shared" si="11"/>
        <v> </v>
      </c>
      <c r="AA51" s="244"/>
    </row>
    <row r="52">
      <c r="A52" s="214" t="str">
        <f>IFS($B52=FALSE,"",$B52,VLOOKUP($B52,'PATIENT DATA (072721)'!A:C, 2, 0))</f>
        <v/>
      </c>
      <c r="B52" s="215"/>
      <c r="C52" s="230" t="str">
        <f>IF(COUNTIF('PATIENT DATA (072721)'!A:A, B52)=0, "X","✓")</f>
        <v>X</v>
      </c>
      <c r="D52" s="226" t="str">
        <f>IFS($B52=FALSE,"",$B52,VLOOKUP($B52,'PATIENT DATA (072721)'!A:C, 3, 0))</f>
        <v/>
      </c>
      <c r="E52" s="218">
        <v>44572.0</v>
      </c>
      <c r="F52" s="219" t="str">
        <f>ifs($B52="","",$B52, VLOOKUP($B52&amp;$E52, 'VISIT DATA'!A:O,3,0))</f>
        <v/>
      </c>
      <c r="G52" s="231"/>
      <c r="H52" s="221" t="str">
        <f>ifs($B52="","",$B52, VLOOKUP($B52&amp;$E52, 'VISIT DATA'!$A:$O,13,0))</f>
        <v/>
      </c>
      <c r="I52" s="262" t="str">
        <f>VLOOKUP($B52&amp;$E52,'VISIT DATA'!A:J, 9, FALSE)</f>
        <v>#N/A</v>
      </c>
      <c r="J52" s="223" t="str">
        <f>VLOOKUP(B52&amp;E52,'VISIT DATA'!A:N,10,FALSE)</f>
        <v>#N/A</v>
      </c>
      <c r="K52" s="225"/>
      <c r="L52" s="224"/>
      <c r="M52" s="224"/>
      <c r="N52" s="225"/>
      <c r="O52" s="216" t="str">
        <f t="shared" si="1"/>
        <v>X</v>
      </c>
      <c r="P52" s="226" t="str">
        <f t="shared" si="2"/>
        <v>#N/A</v>
      </c>
      <c r="Q52" s="227" t="str">
        <f t="shared" si="3"/>
        <v>#N/A</v>
      </c>
      <c r="R52" s="228" t="str">
        <f t="shared" si="4"/>
        <v>#N/A</v>
      </c>
      <c r="S52" s="220" t="str">
        <f t="shared" si="5"/>
        <v>#N/A</v>
      </c>
      <c r="T52" s="220" t="str">
        <f t="shared" si="6"/>
        <v>#N/A</v>
      </c>
      <c r="U52" s="221">
        <f t="shared" si="7"/>
        <v>0</v>
      </c>
      <c r="V52" s="229" t="str">
        <f>ifs($N52="",VLOOKUP($B52&amp;$E52,'VISIT DATA'!$A$2:$J100,7,FALSE), $N52="SWAB","OUTSA-RW",$N52="SWQU","OUTSA-SaQu", AND($L52="X",$M52="X",$N52="QUEST"),"OUT-UAQPre",$N52="QUEST","OUT-UAQ", $N52="Walk in","ColUATele")</f>
        <v>#N/A</v>
      </c>
      <c r="W52" s="24" t="str">
        <f t="shared" si="8"/>
        <v>#N/A</v>
      </c>
      <c r="X52" s="222" t="str">
        <f t="shared" si="9"/>
        <v/>
      </c>
      <c r="Y52" s="222" t="str">
        <f t="shared" si="10"/>
        <v/>
      </c>
      <c r="Z52" s="224" t="str">
        <f t="shared" si="11"/>
        <v> </v>
      </c>
      <c r="AA52" s="244"/>
    </row>
    <row r="53">
      <c r="A53" s="214" t="str">
        <f>IFS($B53=FALSE,"",$B53,VLOOKUP($B53,'PATIENT DATA (072721)'!A:C, 2, 0))</f>
        <v/>
      </c>
      <c r="B53" s="215"/>
      <c r="C53" s="230" t="str">
        <f>IF(COUNTIF('PATIENT DATA (072721)'!A:A, B53)=0, "X","✓")</f>
        <v>X</v>
      </c>
      <c r="D53" s="226" t="str">
        <f>IFS($B53=FALSE,"",$B53,VLOOKUP($B53,'PATIENT DATA (072721)'!A:C, 3, 0))</f>
        <v/>
      </c>
      <c r="E53" s="218">
        <v>44572.0</v>
      </c>
      <c r="F53" s="219" t="str">
        <f>ifs($B53="","",$B53, VLOOKUP($B53&amp;$E53, 'VISIT DATA'!A:O,3,0))</f>
        <v/>
      </c>
      <c r="G53" s="231"/>
      <c r="H53" s="221" t="str">
        <f>ifs($B53="","",$B53, VLOOKUP($B53&amp;$E53, 'VISIT DATA'!$A:$O,13,0))</f>
        <v/>
      </c>
      <c r="I53" s="262" t="str">
        <f>VLOOKUP($B53&amp;$E53,'VISIT DATA'!A:J, 9, FALSE)</f>
        <v>#N/A</v>
      </c>
      <c r="J53" s="223" t="str">
        <f>VLOOKUP(B53&amp;E53,'VISIT DATA'!A:N,10,FALSE)</f>
        <v>#N/A</v>
      </c>
      <c r="K53" s="224"/>
      <c r="L53" s="224"/>
      <c r="M53" s="224"/>
      <c r="N53" s="225"/>
      <c r="O53" s="216" t="str">
        <f t="shared" si="1"/>
        <v>X</v>
      </c>
      <c r="P53" s="226" t="str">
        <f t="shared" si="2"/>
        <v>#N/A</v>
      </c>
      <c r="Q53" s="227" t="str">
        <f t="shared" si="3"/>
        <v>#N/A</v>
      </c>
      <c r="R53" s="228" t="str">
        <f t="shared" si="4"/>
        <v>#N/A</v>
      </c>
      <c r="S53" s="220" t="str">
        <f t="shared" si="5"/>
        <v>#N/A</v>
      </c>
      <c r="T53" s="220" t="str">
        <f t="shared" si="6"/>
        <v>#N/A</v>
      </c>
      <c r="U53" s="221">
        <f t="shared" si="7"/>
        <v>0</v>
      </c>
      <c r="V53" s="229" t="str">
        <f>ifs($N53="",VLOOKUP($B53&amp;$E53,'VISIT DATA'!$A$2:$J100,7,FALSE), $N53="SWAB","OUTSA-RW",$N53="SWQU","OUTSA-SaQu", AND($L53="X",$M53="X",$N53="QUEST"),"OUT-UAQPre",$N53="QUEST","OUT-UAQ", $N53="Walk in","ColUATele")</f>
        <v>#N/A</v>
      </c>
      <c r="W53" s="24" t="str">
        <f t="shared" si="8"/>
        <v>#N/A</v>
      </c>
      <c r="X53" s="222" t="str">
        <f t="shared" si="9"/>
        <v/>
      </c>
      <c r="Y53" s="222" t="str">
        <f t="shared" si="10"/>
        <v/>
      </c>
      <c r="Z53" s="224" t="str">
        <f t="shared" si="11"/>
        <v> </v>
      </c>
      <c r="AA53" s="244"/>
    </row>
    <row r="54">
      <c r="A54" s="214" t="str">
        <f>IFS($B54=FALSE,"",$B54,VLOOKUP($B54,'PATIENT DATA (072721)'!A:C, 2, 0))</f>
        <v/>
      </c>
      <c r="B54" s="215"/>
      <c r="C54" s="230" t="str">
        <f>IF(COUNTIF('PATIENT DATA (072721)'!A:A, B54)=0, "X","✓")</f>
        <v>X</v>
      </c>
      <c r="D54" s="226" t="str">
        <f>IFS($B54=FALSE,"",$B54,VLOOKUP($B54,'PATIENT DATA (072721)'!A:C, 3, 0))</f>
        <v/>
      </c>
      <c r="E54" s="218">
        <v>44572.0</v>
      </c>
      <c r="F54" s="219" t="str">
        <f>ifs($B54="","",$B54, VLOOKUP($B54&amp;$E54, 'VISIT DATA'!A:O,3,0))</f>
        <v/>
      </c>
      <c r="G54" s="231"/>
      <c r="H54" s="221" t="str">
        <f>ifs($B54="","",$B54, VLOOKUP($B54&amp;$E54, 'VISIT DATA'!$A:$O,13,0))</f>
        <v/>
      </c>
      <c r="I54" s="262" t="str">
        <f>VLOOKUP($B54&amp;$E54,'VISIT DATA'!A:J, 9, FALSE)</f>
        <v>#N/A</v>
      </c>
      <c r="J54" s="223" t="str">
        <f>VLOOKUP(B54&amp;E54,'VISIT DATA'!A:N,10,FALSE)</f>
        <v>#N/A</v>
      </c>
      <c r="K54" s="225"/>
      <c r="L54" s="224"/>
      <c r="M54" s="224"/>
      <c r="N54" s="225"/>
      <c r="O54" s="216" t="str">
        <f t="shared" si="1"/>
        <v>X</v>
      </c>
      <c r="P54" s="226" t="str">
        <f t="shared" si="2"/>
        <v>#N/A</v>
      </c>
      <c r="Q54" s="227" t="str">
        <f t="shared" si="3"/>
        <v>#N/A</v>
      </c>
      <c r="R54" s="228" t="str">
        <f t="shared" si="4"/>
        <v>#N/A</v>
      </c>
      <c r="S54" s="220" t="str">
        <f t="shared" si="5"/>
        <v>#N/A</v>
      </c>
      <c r="T54" s="220" t="str">
        <f t="shared" si="6"/>
        <v>#N/A</v>
      </c>
      <c r="U54" s="221">
        <f t="shared" si="7"/>
        <v>0</v>
      </c>
      <c r="V54" s="229" t="str">
        <f>ifs($N54="",VLOOKUP($B54&amp;$E54,'VISIT DATA'!$A$2:$J100,7,FALSE), $N54="SWAB","OUTSA-RW",$N54="SWQU","OUTSA-SaQu", AND($L54="X",$M54="X",$N54="QUEST"),"OUT-UAQPre",$N54="QUEST","OUT-UAQ", $N54="Walk in","ColUATele")</f>
        <v>#N/A</v>
      </c>
      <c r="W54" s="24" t="str">
        <f t="shared" si="8"/>
        <v>#N/A</v>
      </c>
      <c r="X54" s="222" t="str">
        <f t="shared" si="9"/>
        <v/>
      </c>
      <c r="Y54" s="222" t="str">
        <f t="shared" si="10"/>
        <v/>
      </c>
      <c r="Z54" s="224" t="str">
        <f t="shared" si="11"/>
        <v> </v>
      </c>
      <c r="AA54" s="244"/>
    </row>
    <row r="55">
      <c r="A55" s="214" t="str">
        <f>IFS($B55=FALSE,"",$B55,VLOOKUP($B55,'PATIENT DATA (072721)'!A:C, 2, 0))</f>
        <v/>
      </c>
      <c r="B55" s="215"/>
      <c r="C55" s="230" t="str">
        <f>IF(COUNTIF('PATIENT DATA (072721)'!A:A, B55)=0, "X","✓")</f>
        <v>X</v>
      </c>
      <c r="D55" s="226" t="str">
        <f>IFS($B55=FALSE,"",$B55,VLOOKUP($B55,'PATIENT DATA (072721)'!A:C, 3, 0))</f>
        <v/>
      </c>
      <c r="E55" s="218">
        <v>44572.0</v>
      </c>
      <c r="F55" s="219" t="str">
        <f>ifs($B55="","",$B55, VLOOKUP($B55&amp;$E55, 'VISIT DATA'!A:O,3,0))</f>
        <v/>
      </c>
      <c r="G55" s="231"/>
      <c r="H55" s="221" t="str">
        <f>ifs($B55="","",$B55, VLOOKUP($B55&amp;$E55, 'VISIT DATA'!$A:$O,13,0))</f>
        <v/>
      </c>
      <c r="I55" s="262" t="str">
        <f>VLOOKUP($B55&amp;$E55,'VISIT DATA'!A:J, 9, FALSE)</f>
        <v>#N/A</v>
      </c>
      <c r="J55" s="223" t="str">
        <f>VLOOKUP(B55&amp;E55,'VISIT DATA'!A:N,10,FALSE)</f>
        <v>#N/A</v>
      </c>
      <c r="K55" s="225"/>
      <c r="L55" s="224"/>
      <c r="M55" s="224"/>
      <c r="N55" s="225"/>
      <c r="O55" s="216" t="str">
        <f t="shared" si="1"/>
        <v>X</v>
      </c>
      <c r="P55" s="226" t="str">
        <f t="shared" si="2"/>
        <v>#N/A</v>
      </c>
      <c r="Q55" s="227" t="str">
        <f t="shared" si="3"/>
        <v>#N/A</v>
      </c>
      <c r="R55" s="228" t="str">
        <f t="shared" si="4"/>
        <v>#N/A</v>
      </c>
      <c r="S55" s="220" t="str">
        <f t="shared" si="5"/>
        <v>#N/A</v>
      </c>
      <c r="T55" s="220" t="str">
        <f t="shared" si="6"/>
        <v>#N/A</v>
      </c>
      <c r="U55" s="221">
        <f t="shared" si="7"/>
        <v>0</v>
      </c>
      <c r="V55" s="229" t="str">
        <f>ifs($N55="",VLOOKUP($B55&amp;$E55,'VISIT DATA'!$A$2:$J100,7,FALSE), $N55="SWAB","OUTSA-RW",$N55="SWQU","OUTSA-SaQu", AND($L55="X",$M55="X",$N55="QUEST"),"OUT-UAQPre",$N55="QUEST","OUT-UAQ", $N55="Walk in","ColUATele")</f>
        <v>#N/A</v>
      </c>
      <c r="W55" s="24" t="str">
        <f t="shared" si="8"/>
        <v>#N/A</v>
      </c>
      <c r="X55" s="222" t="str">
        <f t="shared" si="9"/>
        <v/>
      </c>
      <c r="Y55" s="222" t="str">
        <f t="shared" si="10"/>
        <v/>
      </c>
      <c r="Z55" s="224" t="str">
        <f t="shared" si="11"/>
        <v> </v>
      </c>
      <c r="AA55" s="244"/>
    </row>
    <row r="56">
      <c r="A56" s="214" t="str">
        <f>IFS($B56=FALSE,"",$B56,VLOOKUP($B56,'PATIENT DATA (072721)'!A:C, 2, 0))</f>
        <v/>
      </c>
      <c r="B56" s="215"/>
      <c r="C56" s="230" t="str">
        <f>IF(COUNTIF('PATIENT DATA (072721)'!A:A, B56)=0, "X","✓")</f>
        <v>X</v>
      </c>
      <c r="D56" s="226" t="str">
        <f>IFS($B56=FALSE,"",$B56,VLOOKUP($B56,'PATIENT DATA (072721)'!A:C, 3, 0))</f>
        <v/>
      </c>
      <c r="E56" s="218">
        <v>44572.0</v>
      </c>
      <c r="F56" s="219" t="str">
        <f>ifs($B56="","",$B56, VLOOKUP($B56&amp;$E56, 'VISIT DATA'!A:O,3,0))</f>
        <v/>
      </c>
      <c r="G56" s="231"/>
      <c r="H56" s="221" t="str">
        <f>ifs($B56="","",$B56, VLOOKUP($B56&amp;$E56, 'VISIT DATA'!$A:$O,13,0))</f>
        <v/>
      </c>
      <c r="I56" s="262" t="str">
        <f>VLOOKUP($B56&amp;$E56,'VISIT DATA'!A:J, 9, FALSE)</f>
        <v>#N/A</v>
      </c>
      <c r="J56" s="223" t="str">
        <f>VLOOKUP(B56&amp;E56,'VISIT DATA'!A:N,10,FALSE)</f>
        <v>#N/A</v>
      </c>
      <c r="K56" s="225"/>
      <c r="L56" s="224"/>
      <c r="M56" s="224"/>
      <c r="N56" s="225"/>
      <c r="O56" s="216" t="str">
        <f t="shared" si="1"/>
        <v>X</v>
      </c>
      <c r="P56" s="226" t="str">
        <f t="shared" si="2"/>
        <v>#N/A</v>
      </c>
      <c r="Q56" s="227" t="str">
        <f t="shared" si="3"/>
        <v>#N/A</v>
      </c>
      <c r="R56" s="228" t="str">
        <f t="shared" si="4"/>
        <v>#N/A</v>
      </c>
      <c r="S56" s="220" t="str">
        <f t="shared" si="5"/>
        <v>#N/A</v>
      </c>
      <c r="T56" s="220" t="str">
        <f t="shared" si="6"/>
        <v>#N/A</v>
      </c>
      <c r="U56" s="221">
        <f t="shared" si="7"/>
        <v>0</v>
      </c>
      <c r="V56" s="229" t="str">
        <f>ifs($N56="",VLOOKUP($B56&amp;$E56,'VISIT DATA'!$A$2:$J100,7,FALSE), $N56="SWAB","OUTSA-RW",$N56="SWQU","OUTSA-SaQu", AND($L56="X",$M56="X",$N56="QUEST"),"OUT-UAQPre",$N56="QUEST","OUT-UAQ", $N56="Walk in","ColUATele")</f>
        <v>#N/A</v>
      </c>
      <c r="W56" s="24" t="str">
        <f t="shared" si="8"/>
        <v>#N/A</v>
      </c>
      <c r="X56" s="222" t="str">
        <f t="shared" si="9"/>
        <v/>
      </c>
      <c r="Y56" s="222" t="str">
        <f t="shared" si="10"/>
        <v/>
      </c>
      <c r="Z56" s="224" t="str">
        <f t="shared" si="11"/>
        <v> </v>
      </c>
      <c r="AA56" s="244"/>
    </row>
    <row r="57">
      <c r="A57" s="214" t="str">
        <f>IFS($B57=FALSE,"",$B57,VLOOKUP($B57,'PATIENT DATA (072721)'!A:C, 2, 0))</f>
        <v/>
      </c>
      <c r="B57" s="215"/>
      <c r="C57" s="230" t="str">
        <f>IF(COUNTIF('PATIENT DATA (072721)'!A:A, B57)=0, "X","✓")</f>
        <v>X</v>
      </c>
      <c r="D57" s="226" t="str">
        <f>IFS($B57=FALSE,"",$B57,VLOOKUP($B57,'PATIENT DATA (072721)'!A:C, 3, 0))</f>
        <v/>
      </c>
      <c r="E57" s="218">
        <v>44572.0</v>
      </c>
      <c r="F57" s="219" t="str">
        <f>ifs($B57="","",$B57, VLOOKUP($B57&amp;$E57, 'VISIT DATA'!A:O,3,0))</f>
        <v/>
      </c>
      <c r="G57" s="231"/>
      <c r="H57" s="221" t="str">
        <f>ifs($B57="","",$B57, VLOOKUP($B57&amp;$E57, 'VISIT DATA'!$A:$O,13,0))</f>
        <v/>
      </c>
      <c r="I57" s="262" t="str">
        <f>VLOOKUP($B57&amp;$E57,'VISIT DATA'!A:J, 9, FALSE)</f>
        <v>#N/A</v>
      </c>
      <c r="J57" s="223" t="str">
        <f>VLOOKUP(B57&amp;E57,'VISIT DATA'!A:N,10,FALSE)</f>
        <v>#N/A</v>
      </c>
      <c r="K57" s="225"/>
      <c r="L57" s="224"/>
      <c r="M57" s="224"/>
      <c r="N57" s="225"/>
      <c r="O57" s="216" t="str">
        <f t="shared" si="1"/>
        <v>X</v>
      </c>
      <c r="P57" s="226" t="str">
        <f t="shared" si="2"/>
        <v>#N/A</v>
      </c>
      <c r="Q57" s="227" t="str">
        <f t="shared" si="3"/>
        <v>#N/A</v>
      </c>
      <c r="R57" s="228" t="str">
        <f t="shared" si="4"/>
        <v>#N/A</v>
      </c>
      <c r="S57" s="220" t="str">
        <f t="shared" si="5"/>
        <v>#N/A</v>
      </c>
      <c r="T57" s="220" t="str">
        <f t="shared" si="6"/>
        <v>#N/A</v>
      </c>
      <c r="U57" s="221">
        <f t="shared" si="7"/>
        <v>0</v>
      </c>
      <c r="V57" s="229" t="str">
        <f>ifs($N57="",VLOOKUP($B57&amp;$E57,'VISIT DATA'!$A$2:$J100,7,FALSE), $N57="SWAB","OUTSA-RW",$N57="SWQU","OUTSA-SaQu", AND($L57="X",$M57="X",$N57="QUEST"),"OUT-UAQPre",$N57="QUEST","OUT-UAQ", $N57="Walk in","ColUATele")</f>
        <v>#N/A</v>
      </c>
      <c r="W57" s="24" t="str">
        <f t="shared" si="8"/>
        <v>#N/A</v>
      </c>
      <c r="X57" s="222" t="str">
        <f t="shared" si="9"/>
        <v/>
      </c>
      <c r="Y57" s="222" t="str">
        <f t="shared" si="10"/>
        <v/>
      </c>
      <c r="Z57" s="224" t="str">
        <f t="shared" si="11"/>
        <v> </v>
      </c>
      <c r="AA57" s="244"/>
    </row>
    <row r="58">
      <c r="A58" s="214" t="str">
        <f>IFS($B58=FALSE,"",$B58,VLOOKUP($B58,'PATIENT DATA (072721)'!A:C, 2, 0))</f>
        <v/>
      </c>
      <c r="B58" s="215"/>
      <c r="C58" s="230" t="str">
        <f>IF(COUNTIF('PATIENT DATA (072721)'!A:A, B58)=0, "X","✓")</f>
        <v>X</v>
      </c>
      <c r="D58" s="226" t="str">
        <f>IFS($B58=FALSE,"",$B58,VLOOKUP($B58,'PATIENT DATA (072721)'!A:C, 3, 0))</f>
        <v/>
      </c>
      <c r="E58" s="218">
        <v>44572.0</v>
      </c>
      <c r="F58" s="219" t="str">
        <f>ifs($B58="","",$B58, VLOOKUP($B58&amp;$E58, 'VISIT DATA'!A:O,3,0))</f>
        <v/>
      </c>
      <c r="G58" s="231"/>
      <c r="H58" s="221" t="str">
        <f>ifs($B58="","",$B58, VLOOKUP($B58&amp;$E58, 'VISIT DATA'!$A:$O,13,0))</f>
        <v/>
      </c>
      <c r="I58" s="262" t="str">
        <f>VLOOKUP($B58&amp;$E58,'VISIT DATA'!A:J, 9, FALSE)</f>
        <v>#N/A</v>
      </c>
      <c r="J58" s="223" t="str">
        <f>VLOOKUP(B58&amp;E58,'VISIT DATA'!A:N,10,FALSE)</f>
        <v>#N/A</v>
      </c>
      <c r="K58" s="224"/>
      <c r="L58" s="224"/>
      <c r="M58" s="224"/>
      <c r="N58" s="225"/>
      <c r="O58" s="216" t="str">
        <f t="shared" si="1"/>
        <v>X</v>
      </c>
      <c r="P58" s="226" t="str">
        <f t="shared" si="2"/>
        <v>#N/A</v>
      </c>
      <c r="Q58" s="227" t="str">
        <f t="shared" si="3"/>
        <v>#N/A</v>
      </c>
      <c r="R58" s="228" t="str">
        <f t="shared" si="4"/>
        <v>#N/A</v>
      </c>
      <c r="S58" s="220" t="str">
        <f t="shared" si="5"/>
        <v>#N/A</v>
      </c>
      <c r="T58" s="220" t="str">
        <f t="shared" si="6"/>
        <v>#N/A</v>
      </c>
      <c r="U58" s="221">
        <f t="shared" si="7"/>
        <v>0</v>
      </c>
      <c r="V58" s="229" t="str">
        <f>ifs($N58="",VLOOKUP($B58&amp;$E58,'VISIT DATA'!$A$2:$J100,7,FALSE), $N58="SWAB","OUTSA-RW",$N58="SWQU","OUTSA-SaQu", AND($L58="X",$M58="X",$N58="QUEST"),"OUT-UAQPre",$N58="QUEST","OUT-UAQ", $N58="Walk in","ColUATele")</f>
        <v>#N/A</v>
      </c>
      <c r="W58" s="24" t="str">
        <f t="shared" si="8"/>
        <v>#N/A</v>
      </c>
      <c r="X58" s="222" t="str">
        <f t="shared" si="9"/>
        <v/>
      </c>
      <c r="Y58" s="222" t="str">
        <f t="shared" si="10"/>
        <v/>
      </c>
      <c r="Z58" s="224" t="str">
        <f t="shared" si="11"/>
        <v> </v>
      </c>
      <c r="AA58" s="244"/>
    </row>
    <row r="59">
      <c r="A59" s="214" t="str">
        <f>IFS($B59=FALSE,"",$B59,VLOOKUP($B59,'PATIENT DATA (072721)'!A:C, 2, 0))</f>
        <v/>
      </c>
      <c r="B59" s="215"/>
      <c r="C59" s="230" t="str">
        <f>IF(COUNTIF('PATIENT DATA (072721)'!A:A, B59)=0, "X","✓")</f>
        <v>X</v>
      </c>
      <c r="D59" s="226" t="str">
        <f>IFS($B59=FALSE,"",$B59,VLOOKUP($B59,'PATIENT DATA (072721)'!A:C, 3, 0))</f>
        <v/>
      </c>
      <c r="E59" s="218">
        <v>44572.0</v>
      </c>
      <c r="F59" s="219" t="str">
        <f>ifs($B59="","",$B59, VLOOKUP($B59&amp;$E59, 'VISIT DATA'!A:O,3,0))</f>
        <v/>
      </c>
      <c r="G59" s="231"/>
      <c r="H59" s="221" t="str">
        <f>ifs($B59="","",$B59, VLOOKUP($B59&amp;$E59, 'VISIT DATA'!$A:$O,13,0))</f>
        <v/>
      </c>
      <c r="I59" s="262" t="str">
        <f>VLOOKUP($B59&amp;$E59,'VISIT DATA'!A:J, 9, FALSE)</f>
        <v>#N/A</v>
      </c>
      <c r="J59" s="223" t="str">
        <f>VLOOKUP(B59&amp;E59,'VISIT DATA'!A:N,10,FALSE)</f>
        <v>#N/A</v>
      </c>
      <c r="K59" s="224"/>
      <c r="L59" s="224"/>
      <c r="M59" s="224"/>
      <c r="N59" s="225"/>
      <c r="O59" s="216" t="str">
        <f t="shared" si="1"/>
        <v>X</v>
      </c>
      <c r="P59" s="226" t="str">
        <f t="shared" si="2"/>
        <v>#N/A</v>
      </c>
      <c r="Q59" s="227" t="str">
        <f t="shared" si="3"/>
        <v>#N/A</v>
      </c>
      <c r="R59" s="228" t="str">
        <f t="shared" si="4"/>
        <v>#N/A</v>
      </c>
      <c r="S59" s="220" t="str">
        <f t="shared" si="5"/>
        <v>#N/A</v>
      </c>
      <c r="T59" s="220" t="str">
        <f t="shared" si="6"/>
        <v>#N/A</v>
      </c>
      <c r="U59" s="221">
        <f t="shared" si="7"/>
        <v>0</v>
      </c>
      <c r="V59" s="229" t="str">
        <f>ifs($N59="",VLOOKUP($B59&amp;$E59,'VISIT DATA'!$A$2:$J100,7,FALSE), $N59="SWAB","OUTSA-RW",$N59="SWQU","OUTSA-SaQu", AND($L59="X",$M59="X",$N59="QUEST"),"OUT-UAQPre",$N59="QUEST","OUT-UAQ", $N59="Walk in","ColUATele")</f>
        <v>#N/A</v>
      </c>
      <c r="W59" s="24" t="str">
        <f t="shared" si="8"/>
        <v>#N/A</v>
      </c>
      <c r="X59" s="222" t="str">
        <f t="shared" si="9"/>
        <v/>
      </c>
      <c r="Y59" s="222" t="str">
        <f t="shared" si="10"/>
        <v/>
      </c>
      <c r="Z59" s="224" t="str">
        <f t="shared" si="11"/>
        <v> </v>
      </c>
      <c r="AA59" s="244"/>
    </row>
    <row r="60">
      <c r="A60" s="214" t="str">
        <f>IFS($B60=FALSE,"",$B60,VLOOKUP($B60,'PATIENT DATA (072721)'!A:C, 2, 0))</f>
        <v/>
      </c>
      <c r="B60" s="215"/>
      <c r="C60" s="230" t="str">
        <f>IF(COUNTIF('PATIENT DATA (072721)'!A:A, B60)=0, "X","✓")</f>
        <v>X</v>
      </c>
      <c r="D60" s="226" t="str">
        <f>IFS($B60=FALSE,"",$B60,VLOOKUP($B60,'PATIENT DATA (072721)'!A:C, 3, 0))</f>
        <v/>
      </c>
      <c r="E60" s="218">
        <v>44572.0</v>
      </c>
      <c r="F60" s="219" t="str">
        <f>ifs($B60="","",$B60, VLOOKUP($B60&amp;$E60, 'VISIT DATA'!A:O,3,0))</f>
        <v/>
      </c>
      <c r="G60" s="231"/>
      <c r="H60" s="221" t="str">
        <f>ifs($B60="","",$B60, VLOOKUP($B60&amp;$E60, 'VISIT DATA'!$A:$O,13,0))</f>
        <v/>
      </c>
      <c r="I60" s="262" t="str">
        <f>VLOOKUP($B60&amp;$E60,'VISIT DATA'!A:J, 9, FALSE)</f>
        <v>#N/A</v>
      </c>
      <c r="J60" s="223" t="str">
        <f>VLOOKUP(B60&amp;E60,'VISIT DATA'!A:N,10,FALSE)</f>
        <v>#N/A</v>
      </c>
      <c r="K60" s="225"/>
      <c r="L60" s="224"/>
      <c r="M60" s="224"/>
      <c r="N60" s="225"/>
      <c r="O60" s="216" t="str">
        <f t="shared" si="1"/>
        <v>X</v>
      </c>
      <c r="P60" s="226" t="str">
        <f t="shared" si="2"/>
        <v>#N/A</v>
      </c>
      <c r="Q60" s="227" t="str">
        <f t="shared" si="3"/>
        <v>#N/A</v>
      </c>
      <c r="R60" s="228" t="str">
        <f t="shared" si="4"/>
        <v>#N/A</v>
      </c>
      <c r="S60" s="220" t="str">
        <f t="shared" si="5"/>
        <v>#N/A</v>
      </c>
      <c r="T60" s="220" t="str">
        <f t="shared" si="6"/>
        <v>#N/A</v>
      </c>
      <c r="U60" s="221">
        <f t="shared" si="7"/>
        <v>0</v>
      </c>
      <c r="V60" s="229" t="str">
        <f>ifs($N60="",VLOOKUP($B60&amp;$E60,'VISIT DATA'!$A$2:$J100,7,FALSE), $N60="SWAB","OUTSA-RW",$N60="SWQU","OUTSA-SaQu", AND($L60="X",$M60="X",$N60="QUEST"),"OUT-UAQPre",$N60="QUEST","OUT-UAQ", $N60="Walk in","ColUATele")</f>
        <v>#N/A</v>
      </c>
      <c r="W60" s="24" t="str">
        <f t="shared" si="8"/>
        <v>#N/A</v>
      </c>
      <c r="X60" s="222" t="str">
        <f t="shared" si="9"/>
        <v/>
      </c>
      <c r="Y60" s="222" t="str">
        <f t="shared" si="10"/>
        <v/>
      </c>
      <c r="Z60" s="224" t="str">
        <f t="shared" si="11"/>
        <v> </v>
      </c>
      <c r="AA60" s="244"/>
    </row>
    <row r="61">
      <c r="A61" s="214" t="str">
        <f>IFS($B61=FALSE,"",$B61,VLOOKUP($B61,'PATIENT DATA (072721)'!A:C, 2, 0))</f>
        <v/>
      </c>
      <c r="B61" s="215"/>
      <c r="C61" s="230" t="str">
        <f>IF(COUNTIF('PATIENT DATA (072721)'!A:A, B61)=0, "X","✓")</f>
        <v>X</v>
      </c>
      <c r="D61" s="226" t="str">
        <f>IFS($B61=FALSE,"",$B61,VLOOKUP($B61,'PATIENT DATA (072721)'!A:C, 3, 0))</f>
        <v/>
      </c>
      <c r="E61" s="218">
        <v>44572.0</v>
      </c>
      <c r="F61" s="219" t="str">
        <f>ifs($B61="","",$B61, VLOOKUP($B61&amp;$E61, 'VISIT DATA'!A:O,3,0))</f>
        <v/>
      </c>
      <c r="G61" s="231"/>
      <c r="H61" s="221" t="str">
        <f>ifs($B61="","",$B61, VLOOKUP($B61&amp;$E61, 'VISIT DATA'!$A:$O,13,0))</f>
        <v/>
      </c>
      <c r="I61" s="262" t="str">
        <f>VLOOKUP($B61&amp;$E61,'VISIT DATA'!A:J, 9, FALSE)</f>
        <v>#N/A</v>
      </c>
      <c r="J61" s="223" t="str">
        <f>VLOOKUP(B61&amp;E61,'VISIT DATA'!A:N,10,FALSE)</f>
        <v>#N/A</v>
      </c>
      <c r="K61" s="225"/>
      <c r="L61" s="224"/>
      <c r="M61" s="224"/>
      <c r="N61" s="225"/>
      <c r="O61" s="216" t="str">
        <f t="shared" si="1"/>
        <v>X</v>
      </c>
      <c r="P61" s="226" t="str">
        <f t="shared" si="2"/>
        <v>#N/A</v>
      </c>
      <c r="Q61" s="227" t="str">
        <f t="shared" si="3"/>
        <v>#N/A</v>
      </c>
      <c r="R61" s="228" t="str">
        <f t="shared" si="4"/>
        <v>#N/A</v>
      </c>
      <c r="S61" s="220" t="str">
        <f t="shared" si="5"/>
        <v>#N/A</v>
      </c>
      <c r="T61" s="220" t="str">
        <f t="shared" si="6"/>
        <v>#N/A</v>
      </c>
      <c r="U61" s="221">
        <f t="shared" si="7"/>
        <v>0</v>
      </c>
      <c r="V61" s="229" t="str">
        <f>ifs($N61="",VLOOKUP($B61&amp;$E61,'VISIT DATA'!$A$2:$J100,7,FALSE), $N61="SWAB","OUTSA-RW",$N61="SWQU","OUTSA-SaQu", AND($L61="X",$M61="X",$N61="QUEST"),"OUT-UAQPre",$N61="QUEST","OUT-UAQ", $N61="Walk in","ColUATele")</f>
        <v>#N/A</v>
      </c>
      <c r="W61" s="24" t="str">
        <f t="shared" si="8"/>
        <v>#N/A</v>
      </c>
      <c r="X61" s="222" t="str">
        <f t="shared" si="9"/>
        <v/>
      </c>
      <c r="Y61" s="222" t="str">
        <f t="shared" si="10"/>
        <v/>
      </c>
      <c r="Z61" s="224" t="str">
        <f t="shared" si="11"/>
        <v> </v>
      </c>
      <c r="AA61" s="244"/>
    </row>
    <row r="62">
      <c r="A62" s="214" t="str">
        <f>IFS($B62=FALSE,"",$B62,VLOOKUP($B62,'PATIENT DATA (072721)'!A:C, 2, 0))</f>
        <v/>
      </c>
      <c r="B62" s="215"/>
      <c r="C62" s="230" t="str">
        <f>IF(COUNTIF('PATIENT DATA (072721)'!A:A, B62)=0, "X","✓")</f>
        <v>X</v>
      </c>
      <c r="D62" s="226" t="str">
        <f>IFS($B62=FALSE,"",$B62,VLOOKUP($B62,'PATIENT DATA (072721)'!A:C, 3, 0))</f>
        <v/>
      </c>
      <c r="E62" s="218">
        <v>44572.0</v>
      </c>
      <c r="F62" s="219" t="str">
        <f>ifs($B62="","",$B62, VLOOKUP($B62&amp;$E62, 'VISIT DATA'!A:O,3,0))</f>
        <v/>
      </c>
      <c r="G62" s="231"/>
      <c r="H62" s="221" t="str">
        <f>ifs($B62="","",$B62, VLOOKUP($B62&amp;$E62, 'VISIT DATA'!$A:$O,13,0))</f>
        <v/>
      </c>
      <c r="I62" s="262" t="str">
        <f>VLOOKUP($B62&amp;$E62,'VISIT DATA'!A:J, 9, FALSE)</f>
        <v>#N/A</v>
      </c>
      <c r="J62" s="223" t="str">
        <f>VLOOKUP(B62&amp;E62,'VISIT DATA'!A:N,10,FALSE)</f>
        <v>#N/A</v>
      </c>
      <c r="K62" s="225"/>
      <c r="L62" s="224"/>
      <c r="M62" s="224"/>
      <c r="N62" s="225"/>
      <c r="O62" s="216" t="str">
        <f t="shared" si="1"/>
        <v>X</v>
      </c>
      <c r="P62" s="226" t="str">
        <f t="shared" si="2"/>
        <v>#N/A</v>
      </c>
      <c r="Q62" s="227" t="str">
        <f t="shared" si="3"/>
        <v>#N/A</v>
      </c>
      <c r="R62" s="228" t="str">
        <f t="shared" si="4"/>
        <v>#N/A</v>
      </c>
      <c r="S62" s="220" t="str">
        <f t="shared" si="5"/>
        <v>#N/A</v>
      </c>
      <c r="T62" s="220" t="str">
        <f t="shared" si="6"/>
        <v>#N/A</v>
      </c>
      <c r="U62" s="221">
        <f t="shared" si="7"/>
        <v>0</v>
      </c>
      <c r="V62" s="229" t="str">
        <f>ifs($N62="",VLOOKUP($B62&amp;$E62,'VISIT DATA'!$A$2:$J100,7,FALSE), $N62="SWAB","OUTSA-RW",$N62="SWQU","OUTSA-SaQu", AND($L62="X",$M62="X",$N62="QUEST"),"OUT-UAQPre",$N62="QUEST","OUT-UAQ", $N62="Walk in","ColUATele")</f>
        <v>#N/A</v>
      </c>
      <c r="W62" s="24" t="str">
        <f t="shared" si="8"/>
        <v>#N/A</v>
      </c>
      <c r="X62" s="222" t="str">
        <f t="shared" si="9"/>
        <v/>
      </c>
      <c r="Y62" s="222" t="str">
        <f t="shared" si="10"/>
        <v/>
      </c>
      <c r="Z62" s="224" t="str">
        <f t="shared" si="11"/>
        <v> </v>
      </c>
      <c r="AA62" s="244"/>
    </row>
    <row r="63">
      <c r="A63" s="214" t="str">
        <f>IFS($B63=FALSE,"",$B63,VLOOKUP($B63,'PATIENT DATA (072721)'!A:C, 2, 0))</f>
        <v/>
      </c>
      <c r="B63" s="215"/>
      <c r="C63" s="230" t="str">
        <f>IF(COUNTIF('PATIENT DATA (072721)'!A:A, B63)=0, "X","✓")</f>
        <v>X</v>
      </c>
      <c r="D63" s="226" t="str">
        <f>IFS($B63=FALSE,"",$B63,VLOOKUP($B63,'PATIENT DATA (072721)'!A:C, 3, 0))</f>
        <v/>
      </c>
      <c r="E63" s="218">
        <v>44572.0</v>
      </c>
      <c r="F63" s="219" t="str">
        <f>ifs($B63="","",$B63, VLOOKUP($B63&amp;$E63, 'VISIT DATA'!A:O,3,0))</f>
        <v/>
      </c>
      <c r="G63" s="231"/>
      <c r="H63" s="221" t="str">
        <f>ifs($B63="","",$B63, VLOOKUP($B63&amp;$E63, 'VISIT DATA'!$A:$O,13,0))</f>
        <v/>
      </c>
      <c r="I63" s="262" t="str">
        <f>VLOOKUP($B63&amp;$E63,'VISIT DATA'!A:J, 9, FALSE)</f>
        <v>#N/A</v>
      </c>
      <c r="J63" s="223" t="str">
        <f>VLOOKUP(B63&amp;E63,'VISIT DATA'!A:N,10,FALSE)</f>
        <v>#N/A</v>
      </c>
      <c r="K63" s="225"/>
      <c r="L63" s="224"/>
      <c r="M63" s="224"/>
      <c r="N63" s="225"/>
      <c r="O63" s="216" t="str">
        <f t="shared" si="1"/>
        <v>X</v>
      </c>
      <c r="P63" s="226" t="str">
        <f t="shared" si="2"/>
        <v>#N/A</v>
      </c>
      <c r="Q63" s="227" t="str">
        <f t="shared" si="3"/>
        <v>#N/A</v>
      </c>
      <c r="R63" s="228" t="str">
        <f t="shared" si="4"/>
        <v>#N/A</v>
      </c>
      <c r="S63" s="220" t="str">
        <f t="shared" si="5"/>
        <v>#N/A</v>
      </c>
      <c r="T63" s="220" t="str">
        <f t="shared" si="6"/>
        <v>#N/A</v>
      </c>
      <c r="U63" s="221">
        <f t="shared" si="7"/>
        <v>0</v>
      </c>
      <c r="V63" s="229" t="str">
        <f>ifs($N63="",VLOOKUP($B63&amp;$E63,'VISIT DATA'!$A$2:$J100,7,FALSE), $N63="SWAB","OUTSA-RW",$N63="SWQU","OUTSA-SaQu", AND($L63="X",$M63="X",$N63="QUEST"),"OUT-UAQPre",$N63="QUEST","OUT-UAQ", $N63="Walk in","ColUATele")</f>
        <v>#N/A</v>
      </c>
      <c r="W63" s="24" t="str">
        <f t="shared" si="8"/>
        <v>#N/A</v>
      </c>
      <c r="X63" s="222" t="str">
        <f t="shared" si="9"/>
        <v/>
      </c>
      <c r="Y63" s="222" t="str">
        <f t="shared" si="10"/>
        <v/>
      </c>
      <c r="Z63" s="224" t="str">
        <f t="shared" si="11"/>
        <v> </v>
      </c>
      <c r="AA63" s="244"/>
    </row>
    <row r="64">
      <c r="A64" s="214" t="str">
        <f>IFS($B64=FALSE,"",$B64,VLOOKUP($B64,'PATIENT DATA (072721)'!A:C, 2, 0))</f>
        <v/>
      </c>
      <c r="B64" s="215"/>
      <c r="C64" s="230" t="str">
        <f>IF(COUNTIF('PATIENT DATA (072721)'!A:A, B64)=0, "X","✓")</f>
        <v>X</v>
      </c>
      <c r="D64" s="226" t="str">
        <f>IFS($B64=FALSE,"",$B64,VLOOKUP($B64,'PATIENT DATA (072721)'!A:C, 3, 0))</f>
        <v/>
      </c>
      <c r="E64" s="218">
        <v>44572.0</v>
      </c>
      <c r="F64" s="219" t="str">
        <f>ifs($B64="","",$B64, VLOOKUP($B64&amp;$E64, 'VISIT DATA'!A:O,3,0))</f>
        <v/>
      </c>
      <c r="G64" s="231"/>
      <c r="H64" s="221" t="str">
        <f>ifs($B64="","",$B64, VLOOKUP($B64&amp;$E64, 'VISIT DATA'!$A:$O,13,0))</f>
        <v/>
      </c>
      <c r="I64" s="262" t="str">
        <f>VLOOKUP($B64&amp;$E64,'VISIT DATA'!A:J, 9, FALSE)</f>
        <v>#N/A</v>
      </c>
      <c r="J64" s="223" t="str">
        <f>VLOOKUP(B64&amp;E64,'VISIT DATA'!A:N,10,FALSE)</f>
        <v>#N/A</v>
      </c>
      <c r="K64" s="225"/>
      <c r="L64" s="224"/>
      <c r="M64" s="224"/>
      <c r="N64" s="225"/>
      <c r="O64" s="216" t="str">
        <f t="shared" si="1"/>
        <v>X</v>
      </c>
      <c r="P64" s="226" t="str">
        <f t="shared" si="2"/>
        <v>#N/A</v>
      </c>
      <c r="Q64" s="227" t="str">
        <f t="shared" si="3"/>
        <v>#N/A</v>
      </c>
      <c r="R64" s="228" t="str">
        <f t="shared" si="4"/>
        <v>#N/A</v>
      </c>
      <c r="S64" s="220" t="str">
        <f t="shared" si="5"/>
        <v>#N/A</v>
      </c>
      <c r="T64" s="220" t="str">
        <f t="shared" si="6"/>
        <v>#N/A</v>
      </c>
      <c r="U64" s="221">
        <f t="shared" si="7"/>
        <v>0</v>
      </c>
      <c r="V64" s="229" t="str">
        <f>ifs($N64="",VLOOKUP($B64&amp;$E64,'VISIT DATA'!$A$2:$J100,7,FALSE), $N64="SWAB","OUTSA-RW",$N64="SWQU","OUTSA-SaQu", AND($L64="X",$M64="X",$N64="QUEST"),"OUT-UAQPre",$N64="QUEST","OUT-UAQ", $N64="Walk in","ColUATele")</f>
        <v>#N/A</v>
      </c>
      <c r="W64" s="24" t="str">
        <f t="shared" si="8"/>
        <v>#N/A</v>
      </c>
      <c r="X64" s="222" t="str">
        <f t="shared" si="9"/>
        <v/>
      </c>
      <c r="Y64" s="222" t="str">
        <f t="shared" si="10"/>
        <v/>
      </c>
      <c r="Z64" s="224" t="str">
        <f t="shared" si="11"/>
        <v> </v>
      </c>
      <c r="AA64" s="244"/>
    </row>
    <row r="65">
      <c r="A65" s="214" t="str">
        <f>IFS($B65=FALSE,"",$B65,VLOOKUP($B65,'PATIENT DATA (072721)'!A:C, 2, 0))</f>
        <v/>
      </c>
      <c r="B65" s="215"/>
      <c r="C65" s="230" t="str">
        <f>IF(COUNTIF('PATIENT DATA (072721)'!A:A, B65)=0, "X","✓")</f>
        <v>X</v>
      </c>
      <c r="D65" s="226" t="str">
        <f>IFS($B65=FALSE,"",$B65,VLOOKUP($B65,'PATIENT DATA (072721)'!A:C, 3, 0))</f>
        <v/>
      </c>
      <c r="E65" s="218">
        <v>44572.0</v>
      </c>
      <c r="F65" s="219" t="str">
        <f>ifs($B65="","",$B65, VLOOKUP($B65&amp;$E65, 'VISIT DATA'!A:O,3,0))</f>
        <v/>
      </c>
      <c r="G65" s="231"/>
      <c r="H65" s="221" t="str">
        <f>ifs($B65="","",$B65, VLOOKUP($B65&amp;$E65, 'VISIT DATA'!$A:$O,13,0))</f>
        <v/>
      </c>
      <c r="I65" s="262" t="str">
        <f>VLOOKUP($B65&amp;$E65,'VISIT DATA'!A:J, 9, FALSE)</f>
        <v>#N/A</v>
      </c>
      <c r="J65" s="223" t="str">
        <f>VLOOKUP(B65&amp;E65,'VISIT DATA'!A:N,10,FALSE)</f>
        <v>#N/A</v>
      </c>
      <c r="K65" s="225"/>
      <c r="L65" s="224"/>
      <c r="M65" s="224"/>
      <c r="N65" s="225"/>
      <c r="O65" s="216" t="str">
        <f t="shared" si="1"/>
        <v>X</v>
      </c>
      <c r="P65" s="226" t="str">
        <f t="shared" si="2"/>
        <v>#N/A</v>
      </c>
      <c r="Q65" s="227" t="str">
        <f t="shared" si="3"/>
        <v>#N/A</v>
      </c>
      <c r="R65" s="228" t="str">
        <f t="shared" si="4"/>
        <v>#N/A</v>
      </c>
      <c r="S65" s="220" t="str">
        <f t="shared" si="5"/>
        <v>#N/A</v>
      </c>
      <c r="T65" s="220" t="str">
        <f t="shared" si="6"/>
        <v>#N/A</v>
      </c>
      <c r="U65" s="221">
        <f t="shared" si="7"/>
        <v>0</v>
      </c>
      <c r="V65" s="229" t="str">
        <f>ifs($N65="",VLOOKUP($B65&amp;$E65,'VISIT DATA'!$A$2:$J100,7,FALSE), $N65="SWAB","OUTSA-RW",$N65="SWQU","OUTSA-SaQu", AND($L65="X",$M65="X",$N65="QUEST"),"OUT-UAQPre",$N65="QUEST","OUT-UAQ", $N65="Walk in","ColUATele")</f>
        <v>#N/A</v>
      </c>
      <c r="W65" s="24" t="str">
        <f t="shared" si="8"/>
        <v>#N/A</v>
      </c>
      <c r="X65" s="222" t="str">
        <f t="shared" si="9"/>
        <v/>
      </c>
      <c r="Y65" s="222" t="str">
        <f t="shared" si="10"/>
        <v/>
      </c>
      <c r="Z65" s="224" t="str">
        <f t="shared" si="11"/>
        <v> </v>
      </c>
      <c r="AA65" s="244"/>
    </row>
    <row r="66">
      <c r="A66" s="214" t="str">
        <f>IFS($B66=FALSE,"",$B66,VLOOKUP($B66,'PATIENT DATA (072721)'!A:C, 2, 0))</f>
        <v/>
      </c>
      <c r="B66" s="215"/>
      <c r="C66" s="230" t="str">
        <f>IF(COUNTIF('PATIENT DATA (072721)'!A:A, B66)=0, "X","✓")</f>
        <v>X</v>
      </c>
      <c r="D66" s="226" t="str">
        <f>IFS($B66=FALSE,"",$B66,VLOOKUP($B66,'PATIENT DATA (072721)'!A:C, 3, 0))</f>
        <v/>
      </c>
      <c r="E66" s="218">
        <v>44572.0</v>
      </c>
      <c r="F66" s="219" t="str">
        <f>ifs($B66="","",$B66, VLOOKUP($B66&amp;$E66, 'VISIT DATA'!A:O,3,0))</f>
        <v/>
      </c>
      <c r="G66" s="231"/>
      <c r="H66" s="221" t="str">
        <f>ifs($B66="","",$B66, VLOOKUP($B66&amp;$E66, 'VISIT DATA'!$A:$O,13,0))</f>
        <v/>
      </c>
      <c r="I66" s="262" t="str">
        <f>VLOOKUP($B66&amp;$E66,'VISIT DATA'!A:J, 9, FALSE)</f>
        <v>#N/A</v>
      </c>
      <c r="J66" s="223" t="str">
        <f>VLOOKUP(B66&amp;E66,'VISIT DATA'!A:N,10,FALSE)</f>
        <v>#N/A</v>
      </c>
      <c r="K66" s="225"/>
      <c r="L66" s="224"/>
      <c r="M66" s="224"/>
      <c r="N66" s="225"/>
      <c r="O66" s="216" t="str">
        <f t="shared" si="1"/>
        <v>X</v>
      </c>
      <c r="P66" s="226" t="str">
        <f t="shared" si="2"/>
        <v>#N/A</v>
      </c>
      <c r="Q66" s="227" t="str">
        <f t="shared" si="3"/>
        <v>#N/A</v>
      </c>
      <c r="R66" s="228" t="str">
        <f t="shared" si="4"/>
        <v>#N/A</v>
      </c>
      <c r="S66" s="220" t="str">
        <f t="shared" si="5"/>
        <v>#N/A</v>
      </c>
      <c r="T66" s="220" t="str">
        <f t="shared" si="6"/>
        <v>#N/A</v>
      </c>
      <c r="U66" s="221">
        <f t="shared" si="7"/>
        <v>0</v>
      </c>
      <c r="V66" s="229" t="str">
        <f>ifs($N66="",VLOOKUP($B66&amp;$E66,'VISIT DATA'!$A$2:$J100,7,FALSE), $N66="SWAB","OUTSA-RW",$N66="SWQU","OUTSA-SaQu", AND($L66="X",$M66="X",$N66="QUEST"),"OUT-UAQPre",$N66="QUEST","OUT-UAQ", $N66="Walk in","ColUATele")</f>
        <v>#N/A</v>
      </c>
      <c r="W66" s="24" t="str">
        <f t="shared" si="8"/>
        <v>#N/A</v>
      </c>
      <c r="X66" s="222" t="str">
        <f t="shared" si="9"/>
        <v/>
      </c>
      <c r="Y66" s="222" t="str">
        <f t="shared" si="10"/>
        <v/>
      </c>
      <c r="Z66" s="224" t="str">
        <f t="shared" si="11"/>
        <v> </v>
      </c>
      <c r="AA66" s="244"/>
    </row>
    <row r="67">
      <c r="A67" s="214" t="str">
        <f>IFS($B67=FALSE,"",$B67,VLOOKUP($B67,'PATIENT DATA (072721)'!A:C, 2, 0))</f>
        <v/>
      </c>
      <c r="B67" s="215"/>
      <c r="C67" s="230" t="str">
        <f>IF(COUNTIF('PATIENT DATA (072721)'!A:A, B67)=0, "X","✓")</f>
        <v>X</v>
      </c>
      <c r="D67" s="226" t="str">
        <f>IFS($B67=FALSE,"",$B67,VLOOKUP($B67,'PATIENT DATA (072721)'!A:C, 3, 0))</f>
        <v/>
      </c>
      <c r="E67" s="218">
        <v>44572.0</v>
      </c>
      <c r="F67" s="219" t="str">
        <f>ifs($B67="","",$B67, VLOOKUP($B67&amp;$E67, 'VISIT DATA'!A:O,3,0))</f>
        <v/>
      </c>
      <c r="G67" s="231"/>
      <c r="H67" s="221" t="str">
        <f>ifs($B67="","",$B67, VLOOKUP($B67&amp;$E67, 'VISIT DATA'!$A:$O,13,0))</f>
        <v/>
      </c>
      <c r="I67" s="262" t="str">
        <f>VLOOKUP($B67&amp;$E67,'VISIT DATA'!A:J, 9, FALSE)</f>
        <v>#N/A</v>
      </c>
      <c r="J67" s="223" t="str">
        <f>VLOOKUP(B67&amp;E67,'VISIT DATA'!A:N,10,FALSE)</f>
        <v>#N/A</v>
      </c>
      <c r="K67" s="225"/>
      <c r="L67" s="224"/>
      <c r="M67" s="224"/>
      <c r="N67" s="225"/>
      <c r="O67" s="216" t="str">
        <f t="shared" si="1"/>
        <v>X</v>
      </c>
      <c r="P67" s="226" t="str">
        <f t="shared" si="2"/>
        <v>#N/A</v>
      </c>
      <c r="Q67" s="227" t="str">
        <f t="shared" si="3"/>
        <v>#N/A</v>
      </c>
      <c r="R67" s="228" t="str">
        <f t="shared" si="4"/>
        <v>#N/A</v>
      </c>
      <c r="S67" s="220" t="str">
        <f t="shared" si="5"/>
        <v>#N/A</v>
      </c>
      <c r="T67" s="220" t="str">
        <f t="shared" si="6"/>
        <v>#N/A</v>
      </c>
      <c r="U67" s="221">
        <f t="shared" si="7"/>
        <v>0</v>
      </c>
      <c r="V67" s="229" t="str">
        <f>ifs($N67="",VLOOKUP($B67&amp;$E67,'VISIT DATA'!$A$2:$J100,7,FALSE), $N67="SWAB","OUTSA-RW",$N67="SWQU","OUTSA-SaQu", AND($L67="X",$M67="X",$N67="QUEST"),"OUT-UAQPre",$N67="QUEST","OUT-UAQ", $N67="Walk in","ColUATele")</f>
        <v>#N/A</v>
      </c>
      <c r="W67" s="24" t="str">
        <f t="shared" si="8"/>
        <v>#N/A</v>
      </c>
      <c r="X67" s="222" t="str">
        <f t="shared" si="9"/>
        <v/>
      </c>
      <c r="Y67" s="222" t="str">
        <f t="shared" si="10"/>
        <v/>
      </c>
      <c r="Z67" s="224" t="str">
        <f t="shared" si="11"/>
        <v> </v>
      </c>
      <c r="AA67" s="244"/>
    </row>
    <row r="68">
      <c r="A68" s="214" t="str">
        <f>IFS($B68=FALSE,"",$B68,VLOOKUP($B68,'PATIENT DATA (072721)'!A:C, 2, 0))</f>
        <v/>
      </c>
      <c r="B68" s="215"/>
      <c r="C68" s="230" t="str">
        <f>IF(COUNTIF('PATIENT DATA (072721)'!A:A, B68)=0, "X","✓")</f>
        <v>X</v>
      </c>
      <c r="D68" s="226" t="str">
        <f>IFS($B68=FALSE,"",$B68,VLOOKUP($B68,'PATIENT DATA (072721)'!A:C, 3, 0))</f>
        <v/>
      </c>
      <c r="E68" s="218">
        <v>44572.0</v>
      </c>
      <c r="F68" s="219" t="str">
        <f>ifs($B68="","",$B68, VLOOKUP($B68&amp;$E68, 'VISIT DATA'!A:O,3,0))</f>
        <v/>
      </c>
      <c r="G68" s="231"/>
      <c r="H68" s="221" t="str">
        <f>ifs($B68="","",$B68, VLOOKUP($B68&amp;$E68, 'VISIT DATA'!$A:$O,13,0))</f>
        <v/>
      </c>
      <c r="I68" s="262" t="str">
        <f>VLOOKUP($B68&amp;$E68,'VISIT DATA'!A:J, 9, FALSE)</f>
        <v>#N/A</v>
      </c>
      <c r="J68" s="223" t="str">
        <f>VLOOKUP(B68&amp;E68,'VISIT DATA'!A:N,10,FALSE)</f>
        <v>#N/A</v>
      </c>
      <c r="K68" s="225"/>
      <c r="L68" s="224"/>
      <c r="M68" s="224"/>
      <c r="N68" s="225"/>
      <c r="O68" s="216" t="str">
        <f t="shared" si="1"/>
        <v>X</v>
      </c>
      <c r="P68" s="226" t="str">
        <f t="shared" si="2"/>
        <v>#N/A</v>
      </c>
      <c r="Q68" s="227" t="str">
        <f t="shared" si="3"/>
        <v>#N/A</v>
      </c>
      <c r="R68" s="228" t="str">
        <f t="shared" si="4"/>
        <v>#N/A</v>
      </c>
      <c r="S68" s="220" t="str">
        <f t="shared" si="5"/>
        <v>#N/A</v>
      </c>
      <c r="T68" s="220" t="str">
        <f t="shared" si="6"/>
        <v>#N/A</v>
      </c>
      <c r="U68" s="221">
        <f t="shared" si="7"/>
        <v>0</v>
      </c>
      <c r="V68" s="229" t="str">
        <f>ifs($N68="",VLOOKUP($B68&amp;$E68,'VISIT DATA'!$A$2:$J100,7,FALSE), $N68="SWAB","OUTSA-RW",$N68="SWQU","OUTSA-SaQu", AND($L68="X",$M68="X",$N68="QUEST"),"OUT-UAQPre",$N68="QUEST","OUT-UAQ", $N68="Walk in","ColUATele")</f>
        <v>#N/A</v>
      </c>
      <c r="W68" s="24" t="str">
        <f t="shared" si="8"/>
        <v>#N/A</v>
      </c>
      <c r="X68" s="222" t="str">
        <f t="shared" si="9"/>
        <v/>
      </c>
      <c r="Y68" s="222" t="str">
        <f t="shared" si="10"/>
        <v/>
      </c>
      <c r="Z68" s="224" t="str">
        <f t="shared" si="11"/>
        <v> </v>
      </c>
      <c r="AA68" s="244"/>
    </row>
    <row r="69">
      <c r="A69" s="214" t="str">
        <f>IFS($B69=FALSE,"",$B69,VLOOKUP($B69,'PATIENT DATA (072721)'!A:C, 2, 0))</f>
        <v/>
      </c>
      <c r="B69" s="215"/>
      <c r="C69" s="230" t="str">
        <f>IF(COUNTIF('PATIENT DATA (072721)'!A:A, B69)=0, "X","✓")</f>
        <v>X</v>
      </c>
      <c r="D69" s="226" t="str">
        <f>IFS($B69=FALSE,"",$B69,VLOOKUP($B69,'PATIENT DATA (072721)'!A:C, 3, 0))</f>
        <v/>
      </c>
      <c r="E69" s="218">
        <v>44572.0</v>
      </c>
      <c r="F69" s="219" t="str">
        <f>ifs($B69="","",$B69, VLOOKUP($B69&amp;$E69, 'VISIT DATA'!A:O,3,0))</f>
        <v/>
      </c>
      <c r="G69" s="231"/>
      <c r="H69" s="221" t="str">
        <f>ifs($B69="","",$B69, VLOOKUP($B69&amp;$E69, 'VISIT DATA'!$A:$O,13,0))</f>
        <v/>
      </c>
      <c r="I69" s="262" t="str">
        <f>VLOOKUP($B69&amp;$E69,'VISIT DATA'!A:J, 9, FALSE)</f>
        <v>#N/A</v>
      </c>
      <c r="J69" s="223" t="str">
        <f>VLOOKUP(B69&amp;E69,'VISIT DATA'!A:N,10,FALSE)</f>
        <v>#N/A</v>
      </c>
      <c r="K69" s="224"/>
      <c r="L69" s="224"/>
      <c r="M69" s="224"/>
      <c r="N69" s="225"/>
      <c r="O69" s="216" t="str">
        <f t="shared" si="1"/>
        <v>X</v>
      </c>
      <c r="P69" s="226" t="str">
        <f t="shared" si="2"/>
        <v>#N/A</v>
      </c>
      <c r="Q69" s="227" t="str">
        <f t="shared" si="3"/>
        <v>#N/A</v>
      </c>
      <c r="R69" s="228" t="str">
        <f t="shared" si="4"/>
        <v>#N/A</v>
      </c>
      <c r="S69" s="220" t="str">
        <f t="shared" si="5"/>
        <v>#N/A</v>
      </c>
      <c r="T69" s="220" t="str">
        <f t="shared" si="6"/>
        <v>#N/A</v>
      </c>
      <c r="U69" s="221">
        <f t="shared" si="7"/>
        <v>0</v>
      </c>
      <c r="V69" s="229" t="str">
        <f>ifs($N69="",VLOOKUP($B69&amp;$E69,'VISIT DATA'!$A$2:$J100,7,FALSE), $N69="SWAB","OUTSA-RW",$N69="SWQU","OUTSA-SaQu", AND($L69="X",$M69="X",$N69="QUEST"),"OUT-UAQPre",$N69="QUEST","OUT-UAQ", $N69="Walk in","ColUATele")</f>
        <v>#N/A</v>
      </c>
      <c r="W69" s="24" t="str">
        <f t="shared" si="8"/>
        <v>#N/A</v>
      </c>
      <c r="X69" s="222" t="str">
        <f t="shared" si="9"/>
        <v/>
      </c>
      <c r="Y69" s="222" t="str">
        <f t="shared" si="10"/>
        <v/>
      </c>
      <c r="Z69" s="224" t="str">
        <f t="shared" si="11"/>
        <v> </v>
      </c>
      <c r="AA69" s="244"/>
    </row>
    <row r="70">
      <c r="A70" s="214" t="str">
        <f>IFS($B70=FALSE,"",$B70,VLOOKUP($B70,'PATIENT DATA (072721)'!A:C, 2, 0))</f>
        <v/>
      </c>
      <c r="B70" s="215"/>
      <c r="C70" s="230" t="str">
        <f>IF(COUNTIF('PATIENT DATA (072721)'!A:A, B70)=0, "X","✓")</f>
        <v>X</v>
      </c>
      <c r="D70" s="226" t="str">
        <f>IFS($B70=FALSE,"",$B70,VLOOKUP($B70,'PATIENT DATA (072721)'!A:C, 3, 0))</f>
        <v/>
      </c>
      <c r="E70" s="218">
        <v>44572.0</v>
      </c>
      <c r="F70" s="219" t="str">
        <f>ifs($B70="","",$B70, VLOOKUP($B70&amp;$E70, 'VISIT DATA'!A:O,3,0))</f>
        <v/>
      </c>
      <c r="G70" s="231"/>
      <c r="H70" s="221" t="str">
        <f>ifs($B70="","",$B70, VLOOKUP($B70&amp;$E70, 'VISIT DATA'!$A:$O,13,0))</f>
        <v/>
      </c>
      <c r="I70" s="262" t="str">
        <f>VLOOKUP($B70&amp;$E70,'VISIT DATA'!A:J, 9, FALSE)</f>
        <v>#N/A</v>
      </c>
      <c r="J70" s="223" t="str">
        <f>VLOOKUP(B70&amp;E70,'VISIT DATA'!A:N,10,FALSE)</f>
        <v>#N/A</v>
      </c>
      <c r="K70" s="224"/>
      <c r="L70" s="224"/>
      <c r="M70" s="224"/>
      <c r="N70" s="225"/>
      <c r="O70" s="216" t="str">
        <f t="shared" si="1"/>
        <v>X</v>
      </c>
      <c r="P70" s="226" t="str">
        <f t="shared" si="2"/>
        <v>#N/A</v>
      </c>
      <c r="Q70" s="227" t="str">
        <f t="shared" si="3"/>
        <v>#N/A</v>
      </c>
      <c r="R70" s="228" t="str">
        <f t="shared" si="4"/>
        <v>#N/A</v>
      </c>
      <c r="S70" s="220" t="str">
        <f t="shared" si="5"/>
        <v>#N/A</v>
      </c>
      <c r="T70" s="220" t="str">
        <f t="shared" si="6"/>
        <v>#N/A</v>
      </c>
      <c r="U70" s="221">
        <f t="shared" si="7"/>
        <v>0</v>
      </c>
      <c r="V70" s="229" t="str">
        <f>ifs($N70="",VLOOKUP($B70&amp;$E70,'VISIT DATA'!$A$2:$J100,7,FALSE), $N70="SWAB","OUTSA-RW",$N70="SWQU","OUTSA-SaQu", AND($L70="X",$M70="X",$N70="QUEST"),"OUT-UAQPre",$N70="QUEST","OUT-UAQ", $N70="Walk in","ColUATele")</f>
        <v>#N/A</v>
      </c>
      <c r="W70" s="24" t="str">
        <f t="shared" si="8"/>
        <v>#N/A</v>
      </c>
      <c r="X70" s="222" t="str">
        <f t="shared" si="9"/>
        <v/>
      </c>
      <c r="Y70" s="222" t="str">
        <f t="shared" si="10"/>
        <v/>
      </c>
      <c r="Z70" s="224" t="str">
        <f t="shared" si="11"/>
        <v> </v>
      </c>
      <c r="AA70" s="244"/>
    </row>
    <row r="71">
      <c r="A71" s="214" t="str">
        <f>IFS($B71=FALSE,"",$B71,VLOOKUP($B71,'PATIENT DATA (072721)'!A:C, 2, 0))</f>
        <v/>
      </c>
      <c r="B71" s="215"/>
      <c r="C71" s="230" t="str">
        <f>IF(COUNTIF('PATIENT DATA (072721)'!A:A, B71)=0, "X","✓")</f>
        <v>X</v>
      </c>
      <c r="D71" s="226" t="str">
        <f>IFS($B71=FALSE,"",$B71,VLOOKUP($B71,'PATIENT DATA (072721)'!A:C, 3, 0))</f>
        <v/>
      </c>
      <c r="E71" s="218">
        <v>44572.0</v>
      </c>
      <c r="F71" s="219" t="str">
        <f>ifs($B71="","",$B71, VLOOKUP($B71&amp;$E71, 'VISIT DATA'!A:O,3,0))</f>
        <v/>
      </c>
      <c r="G71" s="231"/>
      <c r="H71" s="221" t="str">
        <f>ifs($B71="","",$B71, VLOOKUP($B71&amp;$E71, 'VISIT DATA'!$A:$O,13,0))</f>
        <v/>
      </c>
      <c r="I71" s="262" t="str">
        <f>VLOOKUP($B71&amp;$E71,'VISIT DATA'!A:J, 9, FALSE)</f>
        <v>#N/A</v>
      </c>
      <c r="J71" s="223" t="str">
        <f>VLOOKUP(B71&amp;E71,'VISIT DATA'!A:N,10,FALSE)</f>
        <v>#N/A</v>
      </c>
      <c r="K71" s="225"/>
      <c r="L71" s="224"/>
      <c r="M71" s="224"/>
      <c r="N71" s="225"/>
      <c r="O71" s="216" t="str">
        <f t="shared" si="1"/>
        <v>X</v>
      </c>
      <c r="P71" s="226" t="str">
        <f t="shared" si="2"/>
        <v>#N/A</v>
      </c>
      <c r="Q71" s="227" t="str">
        <f t="shared" si="3"/>
        <v>#N/A</v>
      </c>
      <c r="R71" s="228" t="str">
        <f t="shared" si="4"/>
        <v>#N/A</v>
      </c>
      <c r="S71" s="220" t="str">
        <f t="shared" si="5"/>
        <v>#N/A</v>
      </c>
      <c r="T71" s="220" t="str">
        <f t="shared" si="6"/>
        <v>#N/A</v>
      </c>
      <c r="U71" s="221">
        <f t="shared" si="7"/>
        <v>0</v>
      </c>
      <c r="V71" s="229" t="str">
        <f>ifs($N71="",VLOOKUP($B71&amp;$E71,'VISIT DATA'!$A$2:$J100,7,FALSE), $N71="SWAB","OUTSA-RW",$N71="SWQU","OUTSA-SaQu", AND($L71="X",$M71="X",$N71="QUEST"),"OUT-UAQPre",$N71="QUEST","OUT-UAQ", $N71="Walk in","ColUATele")</f>
        <v>#N/A</v>
      </c>
      <c r="W71" s="24" t="str">
        <f t="shared" si="8"/>
        <v>#N/A</v>
      </c>
      <c r="X71" s="222" t="str">
        <f t="shared" si="9"/>
        <v/>
      </c>
      <c r="Y71" s="222" t="str">
        <f t="shared" si="10"/>
        <v/>
      </c>
      <c r="Z71" s="224" t="str">
        <f t="shared" si="11"/>
        <v> </v>
      </c>
      <c r="AA71" s="244"/>
    </row>
    <row r="72">
      <c r="A72" s="214" t="str">
        <f>IFS($B72=FALSE,"",$B72,VLOOKUP($B72,'PATIENT DATA (072721)'!A:C, 2, 0))</f>
        <v/>
      </c>
      <c r="B72" s="215"/>
      <c r="C72" s="230" t="str">
        <f>IF(COUNTIF('PATIENT DATA (072721)'!A:A, B72)=0, "X","✓")</f>
        <v>X</v>
      </c>
      <c r="D72" s="226" t="str">
        <f>IFS($B72=FALSE,"",$B72,VLOOKUP($B72,'PATIENT DATA (072721)'!A:C, 3, 0))</f>
        <v/>
      </c>
      <c r="E72" s="218">
        <v>44572.0</v>
      </c>
      <c r="F72" s="219" t="str">
        <f>ifs($B72="","",$B72, VLOOKUP($B72&amp;$E72, 'VISIT DATA'!A:O,3,0))</f>
        <v/>
      </c>
      <c r="G72" s="231"/>
      <c r="H72" s="221" t="str">
        <f>ifs($B72="","",$B72, VLOOKUP($B72&amp;$E72, 'VISIT DATA'!$A:$O,13,0))</f>
        <v/>
      </c>
      <c r="I72" s="262" t="str">
        <f>VLOOKUP($B72&amp;$E72,'VISIT DATA'!A:J, 9, FALSE)</f>
        <v>#N/A</v>
      </c>
      <c r="J72" s="223" t="str">
        <f>VLOOKUP(B72&amp;E72,'VISIT DATA'!A:N,10,FALSE)</f>
        <v>#N/A</v>
      </c>
      <c r="K72" s="225"/>
      <c r="L72" s="224"/>
      <c r="M72" s="224"/>
      <c r="N72" s="225"/>
      <c r="O72" s="216" t="str">
        <f t="shared" si="1"/>
        <v>X</v>
      </c>
      <c r="P72" s="226" t="str">
        <f t="shared" si="2"/>
        <v>#N/A</v>
      </c>
      <c r="Q72" s="227" t="str">
        <f t="shared" si="3"/>
        <v>#N/A</v>
      </c>
      <c r="R72" s="228" t="str">
        <f t="shared" si="4"/>
        <v>#N/A</v>
      </c>
      <c r="S72" s="220" t="str">
        <f t="shared" si="5"/>
        <v>#N/A</v>
      </c>
      <c r="T72" s="220" t="str">
        <f t="shared" si="6"/>
        <v>#N/A</v>
      </c>
      <c r="U72" s="221">
        <f t="shared" si="7"/>
        <v>0</v>
      </c>
      <c r="V72" s="229" t="str">
        <f>ifs($N72="",VLOOKUP($B72&amp;$E72,'VISIT DATA'!$A$2:$J100,7,FALSE), $N72="SWAB","OUTSA-RW",$N72="SWQU","OUTSA-SaQu", AND($L72="X",$M72="X",$N72="QUEST"),"OUT-UAQPre",$N72="QUEST","OUT-UAQ", $N72="Walk in","ColUATele")</f>
        <v>#N/A</v>
      </c>
      <c r="W72" s="24" t="str">
        <f t="shared" si="8"/>
        <v>#N/A</v>
      </c>
      <c r="X72" s="222" t="str">
        <f t="shared" si="9"/>
        <v/>
      </c>
      <c r="Y72" s="222" t="str">
        <f t="shared" si="10"/>
        <v/>
      </c>
      <c r="Z72" s="224" t="str">
        <f t="shared" si="11"/>
        <v> </v>
      </c>
      <c r="AA72" s="244"/>
    </row>
    <row r="73">
      <c r="A73" s="214" t="str">
        <f>IFS($B73=FALSE,"",$B73,VLOOKUP($B73,'PATIENT DATA (072721)'!A:C, 2, 0))</f>
        <v/>
      </c>
      <c r="B73" s="215"/>
      <c r="C73" s="230" t="str">
        <f>IF(COUNTIF('PATIENT DATA (072721)'!A:A, B73)=0, "X","✓")</f>
        <v>X</v>
      </c>
      <c r="D73" s="226" t="str">
        <f>IFS($B73=FALSE,"",$B73,VLOOKUP($B73,'PATIENT DATA (072721)'!A:C, 3, 0))</f>
        <v/>
      </c>
      <c r="E73" s="218">
        <v>44572.0</v>
      </c>
      <c r="F73" s="219" t="str">
        <f>ifs($B73="","",$B73, VLOOKUP($B73&amp;$E73, 'VISIT DATA'!A:O,3,0))</f>
        <v/>
      </c>
      <c r="G73" s="231"/>
      <c r="H73" s="221" t="str">
        <f>ifs($B73="","",$B73, VLOOKUP($B73&amp;$E73, 'VISIT DATA'!$A:$O,13,0))</f>
        <v/>
      </c>
      <c r="I73" s="262" t="str">
        <f>VLOOKUP($B73&amp;$E73,'VISIT DATA'!A:J, 9, FALSE)</f>
        <v>#N/A</v>
      </c>
      <c r="J73" s="223" t="str">
        <f>VLOOKUP(B73&amp;E73,'VISIT DATA'!A:N,10,FALSE)</f>
        <v>#N/A</v>
      </c>
      <c r="K73" s="225"/>
      <c r="L73" s="224"/>
      <c r="M73" s="224"/>
      <c r="N73" s="225"/>
      <c r="O73" s="216" t="str">
        <f t="shared" si="1"/>
        <v>X</v>
      </c>
      <c r="P73" s="226" t="str">
        <f t="shared" si="2"/>
        <v>#N/A</v>
      </c>
      <c r="Q73" s="227" t="str">
        <f t="shared" si="3"/>
        <v>#N/A</v>
      </c>
      <c r="R73" s="228" t="str">
        <f t="shared" si="4"/>
        <v>#N/A</v>
      </c>
      <c r="S73" s="220" t="str">
        <f t="shared" si="5"/>
        <v>#N/A</v>
      </c>
      <c r="T73" s="220" t="str">
        <f t="shared" si="6"/>
        <v>#N/A</v>
      </c>
      <c r="U73" s="221">
        <f t="shared" si="7"/>
        <v>0</v>
      </c>
      <c r="V73" s="229" t="str">
        <f>ifs($N73="",VLOOKUP($B73&amp;$E73,'VISIT DATA'!$A$2:$J100,7,FALSE), $N73="SWAB","OUTSA-RW",$N73="SWQU","OUTSA-SaQu", AND($L73="X",$M73="X",$N73="QUEST"),"OUT-UAQPre",$N73="QUEST","OUT-UAQ", $N73="Walk in","ColUATele")</f>
        <v>#N/A</v>
      </c>
      <c r="W73" s="24" t="str">
        <f t="shared" si="8"/>
        <v>#N/A</v>
      </c>
      <c r="X73" s="222" t="str">
        <f t="shared" si="9"/>
        <v/>
      </c>
      <c r="Y73" s="222" t="str">
        <f t="shared" si="10"/>
        <v/>
      </c>
      <c r="Z73" s="224" t="str">
        <f t="shared" si="11"/>
        <v> </v>
      </c>
      <c r="AA73" s="244"/>
    </row>
    <row r="74">
      <c r="A74" s="214" t="str">
        <f>IFS($B74=FALSE,"",$B74,VLOOKUP($B74,'PATIENT DATA (072721)'!A:C, 2, 0))</f>
        <v/>
      </c>
      <c r="B74" s="215"/>
      <c r="C74" s="230" t="str">
        <f>IF(COUNTIF('PATIENT DATA (072721)'!A:A, B74)=0, "X","✓")</f>
        <v>X</v>
      </c>
      <c r="D74" s="226" t="str">
        <f>IFS($B74=FALSE,"",$B74,VLOOKUP($B74,'PATIENT DATA (072721)'!A:C, 3, 0))</f>
        <v/>
      </c>
      <c r="E74" s="218">
        <v>44572.0</v>
      </c>
      <c r="F74" s="219" t="str">
        <f>ifs($B74="","",$B74, VLOOKUP($B74&amp;$E74, 'VISIT DATA'!A:O,3,0))</f>
        <v/>
      </c>
      <c r="G74" s="231"/>
      <c r="H74" s="221" t="str">
        <f>ifs($B74="","",$B74, VLOOKUP($B74&amp;$E74, 'VISIT DATA'!$A:$O,13,0))</f>
        <v/>
      </c>
      <c r="I74" s="262" t="str">
        <f>VLOOKUP($B74&amp;$E74,'VISIT DATA'!A:J, 9, FALSE)</f>
        <v>#N/A</v>
      </c>
      <c r="J74" s="223" t="str">
        <f>VLOOKUP(B74&amp;E74,'VISIT DATA'!A:N,10,FALSE)</f>
        <v>#N/A</v>
      </c>
      <c r="K74" s="225"/>
      <c r="L74" s="224"/>
      <c r="M74" s="224"/>
      <c r="N74" s="225"/>
      <c r="O74" s="216" t="str">
        <f t="shared" si="1"/>
        <v>X</v>
      </c>
      <c r="P74" s="226" t="str">
        <f t="shared" si="2"/>
        <v>#N/A</v>
      </c>
      <c r="Q74" s="227" t="str">
        <f t="shared" si="3"/>
        <v>#N/A</v>
      </c>
      <c r="R74" s="228" t="str">
        <f t="shared" si="4"/>
        <v>#N/A</v>
      </c>
      <c r="S74" s="220" t="str">
        <f t="shared" si="5"/>
        <v>#N/A</v>
      </c>
      <c r="T74" s="220" t="str">
        <f t="shared" si="6"/>
        <v>#N/A</v>
      </c>
      <c r="U74" s="221">
        <f t="shared" si="7"/>
        <v>0</v>
      </c>
      <c r="V74" s="229" t="str">
        <f>ifs($N74="",VLOOKUP($B74&amp;$E74,'VISIT DATA'!$A$2:$J100,7,FALSE), $N74="SWAB","OUTSA-RW",$N74="SWQU","OUTSA-SaQu", AND($L74="X",$M74="X",$N74="QUEST"),"OUT-UAQPre",$N74="QUEST","OUT-UAQ", $N74="Walk in","ColUATele")</f>
        <v>#N/A</v>
      </c>
      <c r="W74" s="24" t="str">
        <f t="shared" si="8"/>
        <v>#N/A</v>
      </c>
      <c r="X74" s="222" t="str">
        <f t="shared" si="9"/>
        <v/>
      </c>
      <c r="Y74" s="222" t="str">
        <f t="shared" si="10"/>
        <v/>
      </c>
      <c r="Z74" s="224" t="str">
        <f t="shared" si="11"/>
        <v> </v>
      </c>
      <c r="AA74" s="244"/>
    </row>
    <row r="75">
      <c r="A75" s="214" t="str">
        <f>IFS($B75=FALSE,"",$B75,VLOOKUP($B75,'PATIENT DATA (072721)'!A:C, 2, 0))</f>
        <v/>
      </c>
      <c r="B75" s="215"/>
      <c r="C75" s="230" t="str">
        <f>IF(COUNTIF('PATIENT DATA (072721)'!A:A, B75)=0, "X","✓")</f>
        <v>X</v>
      </c>
      <c r="D75" s="226" t="str">
        <f>IFS($B75=FALSE,"",$B75,VLOOKUP($B75,'PATIENT DATA (072721)'!A:C, 3, 0))</f>
        <v/>
      </c>
      <c r="E75" s="218">
        <v>44572.0</v>
      </c>
      <c r="F75" s="219" t="str">
        <f>ifs($B75="","",$B75, VLOOKUP($B75&amp;$E75, 'VISIT DATA'!A:O,3,0))</f>
        <v/>
      </c>
      <c r="G75" s="231"/>
      <c r="H75" s="221" t="str">
        <f>ifs($B75="","",$B75, VLOOKUP($B75&amp;$E75, 'VISIT DATA'!$A:$O,13,0))</f>
        <v/>
      </c>
      <c r="I75" s="262" t="str">
        <f>VLOOKUP($B75&amp;$E75,'VISIT DATA'!A:J, 9, FALSE)</f>
        <v>#N/A</v>
      </c>
      <c r="J75" s="223" t="str">
        <f>VLOOKUP(B75&amp;E75,'VISIT DATA'!A:N,10,FALSE)</f>
        <v>#N/A</v>
      </c>
      <c r="K75" s="225"/>
      <c r="L75" s="224"/>
      <c r="M75" s="224"/>
      <c r="N75" s="225"/>
      <c r="O75" s="216" t="str">
        <f t="shared" si="1"/>
        <v>X</v>
      </c>
      <c r="P75" s="226" t="str">
        <f t="shared" si="2"/>
        <v>#N/A</v>
      </c>
      <c r="Q75" s="227" t="str">
        <f t="shared" si="3"/>
        <v>#N/A</v>
      </c>
      <c r="R75" s="228" t="str">
        <f t="shared" si="4"/>
        <v>#N/A</v>
      </c>
      <c r="S75" s="220" t="str">
        <f t="shared" si="5"/>
        <v>#N/A</v>
      </c>
      <c r="T75" s="220" t="str">
        <f t="shared" si="6"/>
        <v>#N/A</v>
      </c>
      <c r="U75" s="221">
        <f t="shared" si="7"/>
        <v>0</v>
      </c>
      <c r="V75" s="229" t="str">
        <f>ifs($N75="",VLOOKUP($B75&amp;$E75,'VISIT DATA'!$A$2:$J100,7,FALSE), $N75="SWAB","OUTSA-RW",$N75="SWQU","OUTSA-SaQu", AND($L75="X",$M75="X",$N75="QUEST"),"OUT-UAQPre",$N75="QUEST","OUT-UAQ", $N75="Walk in","ColUATele")</f>
        <v>#N/A</v>
      </c>
      <c r="W75" s="24" t="str">
        <f t="shared" si="8"/>
        <v>#N/A</v>
      </c>
      <c r="X75" s="222" t="str">
        <f t="shared" si="9"/>
        <v/>
      </c>
      <c r="Y75" s="222" t="str">
        <f t="shared" si="10"/>
        <v/>
      </c>
      <c r="Z75" s="224" t="str">
        <f t="shared" si="11"/>
        <v> </v>
      </c>
      <c r="AA75" s="244"/>
    </row>
    <row r="76">
      <c r="A76" s="214" t="str">
        <f>IFS($B76=FALSE,"",$B76,VLOOKUP($B76,'PATIENT DATA (072721)'!A:C, 2, 0))</f>
        <v/>
      </c>
      <c r="B76" s="215"/>
      <c r="C76" s="230" t="str">
        <f>IF(COUNTIF('PATIENT DATA (072721)'!A:A, B76)=0, "X","✓")</f>
        <v>X</v>
      </c>
      <c r="D76" s="226" t="str">
        <f>IFS($B76=FALSE,"",$B76,VLOOKUP($B76,'PATIENT DATA (072721)'!A:C, 3, 0))</f>
        <v/>
      </c>
      <c r="E76" s="218">
        <v>44572.0</v>
      </c>
      <c r="F76" s="219" t="str">
        <f>ifs($B76="","",$B76, VLOOKUP($B76&amp;$E76, 'VISIT DATA'!A:O,3,0))</f>
        <v/>
      </c>
      <c r="G76" s="231"/>
      <c r="H76" s="221" t="str">
        <f>ifs($B76="","",$B76, VLOOKUP($B76&amp;$E76, 'VISIT DATA'!$A:$O,13,0))</f>
        <v/>
      </c>
      <c r="I76" s="262" t="str">
        <f>VLOOKUP($B76&amp;$E76,'VISIT DATA'!A:J, 9, FALSE)</f>
        <v>#N/A</v>
      </c>
      <c r="J76" s="223" t="str">
        <f>VLOOKUP(B76&amp;E76,'VISIT DATA'!A:N,10,FALSE)</f>
        <v>#N/A</v>
      </c>
      <c r="K76" s="225"/>
      <c r="L76" s="224"/>
      <c r="M76" s="224"/>
      <c r="N76" s="225"/>
      <c r="O76" s="216" t="str">
        <f t="shared" si="1"/>
        <v>X</v>
      </c>
      <c r="P76" s="226" t="str">
        <f t="shared" si="2"/>
        <v>#N/A</v>
      </c>
      <c r="Q76" s="227" t="str">
        <f t="shared" si="3"/>
        <v>#N/A</v>
      </c>
      <c r="R76" s="228" t="str">
        <f t="shared" si="4"/>
        <v>#N/A</v>
      </c>
      <c r="S76" s="220" t="str">
        <f t="shared" si="5"/>
        <v>#N/A</v>
      </c>
      <c r="T76" s="220" t="str">
        <f t="shared" si="6"/>
        <v>#N/A</v>
      </c>
      <c r="U76" s="221">
        <f t="shared" si="7"/>
        <v>0</v>
      </c>
      <c r="V76" s="229" t="str">
        <f>ifs($N76="",VLOOKUP($B76&amp;$E76,'VISIT DATA'!$A$2:$J100,7,FALSE), $N76="SWAB","OUTSA-RW",$N76="SWQU","OUTSA-SaQu", AND($L76="X",$M76="X",$N76="QUEST"),"OUT-UAQPre",$N76="QUEST","OUT-UAQ", $N76="Walk in","ColUATele")</f>
        <v>#N/A</v>
      </c>
      <c r="W76" s="24" t="str">
        <f t="shared" si="8"/>
        <v>#N/A</v>
      </c>
      <c r="X76" s="222" t="str">
        <f t="shared" si="9"/>
        <v/>
      </c>
      <c r="Y76" s="222" t="str">
        <f t="shared" si="10"/>
        <v/>
      </c>
      <c r="Z76" s="224" t="str">
        <f t="shared" si="11"/>
        <v> </v>
      </c>
      <c r="AA76" s="244"/>
    </row>
    <row r="77">
      <c r="A77" s="214" t="str">
        <f>IFS($B77=FALSE,"",$B77,VLOOKUP($B77,'PATIENT DATA (072721)'!A:C, 2, 0))</f>
        <v/>
      </c>
      <c r="B77" s="215"/>
      <c r="C77" s="230" t="str">
        <f>IF(COUNTIF('PATIENT DATA (072721)'!A:A, B77)=0, "X","✓")</f>
        <v>X</v>
      </c>
      <c r="D77" s="226" t="str">
        <f>IFS($B77=FALSE,"",$B77,VLOOKUP($B77,'PATIENT DATA (072721)'!A:C, 3, 0))</f>
        <v/>
      </c>
      <c r="E77" s="218">
        <v>44572.0</v>
      </c>
      <c r="F77" s="219" t="str">
        <f>ifs($B77="","",$B77, VLOOKUP($B77&amp;$E77, 'VISIT DATA'!A:O,3,0))</f>
        <v/>
      </c>
      <c r="G77" s="231"/>
      <c r="H77" s="221" t="str">
        <f>ifs($B77="","",$B77, VLOOKUP($B77&amp;$E77, 'VISIT DATA'!$A:$O,13,0))</f>
        <v/>
      </c>
      <c r="I77" s="262" t="str">
        <f>VLOOKUP($B77&amp;$E77,'VISIT DATA'!A:J, 9, FALSE)</f>
        <v>#N/A</v>
      </c>
      <c r="J77" s="223" t="str">
        <f>VLOOKUP(B77&amp;E77,'VISIT DATA'!A:N,10,FALSE)</f>
        <v>#N/A</v>
      </c>
      <c r="K77" s="225"/>
      <c r="L77" s="224"/>
      <c r="M77" s="224"/>
      <c r="N77" s="225"/>
      <c r="O77" s="216" t="str">
        <f t="shared" si="1"/>
        <v>X</v>
      </c>
      <c r="P77" s="226" t="str">
        <f t="shared" si="2"/>
        <v>#N/A</v>
      </c>
      <c r="Q77" s="227" t="str">
        <f t="shared" si="3"/>
        <v>#N/A</v>
      </c>
      <c r="R77" s="228" t="str">
        <f t="shared" si="4"/>
        <v>#N/A</v>
      </c>
      <c r="S77" s="220" t="str">
        <f t="shared" si="5"/>
        <v>#N/A</v>
      </c>
      <c r="T77" s="220" t="str">
        <f t="shared" si="6"/>
        <v>#N/A</v>
      </c>
      <c r="U77" s="221">
        <f t="shared" si="7"/>
        <v>0</v>
      </c>
      <c r="V77" s="229" t="str">
        <f>ifs($N77="",VLOOKUP($B77&amp;$E77,'VISIT DATA'!$A$2:$J100,7,FALSE), $N77="SWAB","OUTSA-RW",$N77="SWQU","OUTSA-SaQu", AND($L77="X",$M77="X",$N77="QUEST"),"OUT-UAQPre",$N77="QUEST","OUT-UAQ", $N77="Walk in","ColUATele")</f>
        <v>#N/A</v>
      </c>
      <c r="W77" s="24" t="str">
        <f t="shared" si="8"/>
        <v>#N/A</v>
      </c>
      <c r="X77" s="222" t="str">
        <f t="shared" si="9"/>
        <v/>
      </c>
      <c r="Y77" s="222" t="str">
        <f t="shared" si="10"/>
        <v/>
      </c>
      <c r="Z77" s="224" t="str">
        <f t="shared" si="11"/>
        <v> </v>
      </c>
      <c r="AA77" s="244"/>
    </row>
    <row r="78">
      <c r="A78" s="214" t="str">
        <f>IFS($B78=FALSE,"",$B78,VLOOKUP($B78,'PATIENT DATA (072721)'!A:C, 2, 0))</f>
        <v/>
      </c>
      <c r="B78" s="215"/>
      <c r="C78" s="230" t="str">
        <f>IF(COUNTIF('PATIENT DATA (072721)'!A:A, B78)=0, "X","✓")</f>
        <v>X</v>
      </c>
      <c r="D78" s="226" t="str">
        <f>IFS($B78=FALSE,"",$B78,VLOOKUP($B78,'PATIENT DATA (072721)'!A:C, 3, 0))</f>
        <v/>
      </c>
      <c r="E78" s="218">
        <v>44572.0</v>
      </c>
      <c r="F78" s="219" t="str">
        <f>ifs($B78="","",$B78, VLOOKUP($B78&amp;$E78, 'VISIT DATA'!A:O,3,0))</f>
        <v/>
      </c>
      <c r="G78" s="231"/>
      <c r="H78" s="221" t="str">
        <f>ifs($B78="","",$B78, VLOOKUP($B78&amp;$E78, 'VISIT DATA'!$A:$O,13,0))</f>
        <v/>
      </c>
      <c r="I78" s="262" t="str">
        <f>VLOOKUP($B78&amp;$E78,'VISIT DATA'!A:J, 9, FALSE)</f>
        <v>#N/A</v>
      </c>
      <c r="J78" s="223" t="str">
        <f>VLOOKUP(B78&amp;E78,'VISIT DATA'!A:N,10,FALSE)</f>
        <v>#N/A</v>
      </c>
      <c r="K78" s="225"/>
      <c r="L78" s="224"/>
      <c r="M78" s="224"/>
      <c r="N78" s="225"/>
      <c r="O78" s="216" t="str">
        <f t="shared" si="1"/>
        <v>X</v>
      </c>
      <c r="P78" s="226" t="str">
        <f t="shared" si="2"/>
        <v>#N/A</v>
      </c>
      <c r="Q78" s="227" t="str">
        <f t="shared" si="3"/>
        <v>#N/A</v>
      </c>
      <c r="R78" s="228" t="str">
        <f t="shared" si="4"/>
        <v>#N/A</v>
      </c>
      <c r="S78" s="220" t="str">
        <f t="shared" si="5"/>
        <v>#N/A</v>
      </c>
      <c r="T78" s="220" t="str">
        <f t="shared" si="6"/>
        <v>#N/A</v>
      </c>
      <c r="U78" s="221">
        <f t="shared" si="7"/>
        <v>0</v>
      </c>
      <c r="V78" s="229" t="str">
        <f>ifs($N78="",VLOOKUP($B78&amp;$E78,'VISIT DATA'!$A$2:$J100,7,FALSE), $N78="SWAB","OUTSA-RW",$N78="SWQU","OUTSA-SaQu", AND($L78="X",$M78="X",$N78="QUEST"),"OUT-UAQPre",$N78="QUEST","OUT-UAQ", $N78="Walk in","ColUATele")</f>
        <v>#N/A</v>
      </c>
      <c r="W78" s="24" t="str">
        <f t="shared" si="8"/>
        <v>#N/A</v>
      </c>
      <c r="X78" s="222" t="str">
        <f t="shared" si="9"/>
        <v/>
      </c>
      <c r="Y78" s="222" t="str">
        <f t="shared" si="10"/>
        <v/>
      </c>
      <c r="Z78" s="224" t="str">
        <f t="shared" si="11"/>
        <v> </v>
      </c>
      <c r="AA78" s="244"/>
    </row>
    <row r="79">
      <c r="A79" s="214" t="str">
        <f>IFS($B79=FALSE,"",$B79,VLOOKUP($B79,'PATIENT DATA (072721)'!A:C, 2, 0))</f>
        <v/>
      </c>
      <c r="B79" s="215"/>
      <c r="C79" s="230" t="str">
        <f>IF(COUNTIF('PATIENT DATA (072721)'!A:A, B79)=0, "X","✓")</f>
        <v>X</v>
      </c>
      <c r="D79" s="226" t="str">
        <f>IFS($B79=FALSE,"",$B79,VLOOKUP($B79,'PATIENT DATA (072721)'!A:C, 3, 0))</f>
        <v/>
      </c>
      <c r="E79" s="218">
        <v>44572.0</v>
      </c>
      <c r="F79" s="219" t="str">
        <f>ifs($B79="","",$B79, VLOOKUP($B79&amp;$E79, 'VISIT DATA'!A:O,3,0))</f>
        <v/>
      </c>
      <c r="G79" s="231"/>
      <c r="H79" s="221" t="str">
        <f>ifs($B79="","",$B79, VLOOKUP($B79&amp;$E79, 'VISIT DATA'!$A:$O,13,0))</f>
        <v/>
      </c>
      <c r="I79" s="262" t="str">
        <f>VLOOKUP($B79&amp;$E79,'VISIT DATA'!A:J, 9, FALSE)</f>
        <v>#N/A</v>
      </c>
      <c r="J79" s="223" t="str">
        <f>VLOOKUP(B79&amp;E79,'VISIT DATA'!A:N,10,FALSE)</f>
        <v>#N/A</v>
      </c>
      <c r="K79" s="225"/>
      <c r="L79" s="224"/>
      <c r="M79" s="224"/>
      <c r="N79" s="225"/>
      <c r="O79" s="216" t="str">
        <f t="shared" si="1"/>
        <v>X</v>
      </c>
      <c r="P79" s="226" t="str">
        <f t="shared" si="2"/>
        <v>#N/A</v>
      </c>
      <c r="Q79" s="227" t="str">
        <f t="shared" si="3"/>
        <v>#N/A</v>
      </c>
      <c r="R79" s="228" t="str">
        <f t="shared" si="4"/>
        <v>#N/A</v>
      </c>
      <c r="S79" s="220" t="str">
        <f t="shared" si="5"/>
        <v>#N/A</v>
      </c>
      <c r="T79" s="220" t="str">
        <f t="shared" si="6"/>
        <v>#N/A</v>
      </c>
      <c r="U79" s="221">
        <f t="shared" si="7"/>
        <v>0</v>
      </c>
      <c r="V79" s="229" t="str">
        <f>ifs($N79="",VLOOKUP($B79&amp;$E79,'VISIT DATA'!$A$2:$J100,7,FALSE), $N79="SWAB","OUTSA-RW",$N79="SWQU","OUTSA-SaQu", AND($L79="X",$M79="X",$N79="QUEST"),"OUT-UAQPre",$N79="QUEST","OUT-UAQ", $N79="Walk in","ColUATele")</f>
        <v>#N/A</v>
      </c>
      <c r="W79" s="24" t="str">
        <f t="shared" si="8"/>
        <v>#N/A</v>
      </c>
      <c r="X79" s="222" t="str">
        <f t="shared" si="9"/>
        <v/>
      </c>
      <c r="Y79" s="222" t="str">
        <f t="shared" si="10"/>
        <v/>
      </c>
      <c r="Z79" s="224" t="str">
        <f t="shared" si="11"/>
        <v> </v>
      </c>
      <c r="AA79" s="244"/>
    </row>
    <row r="80">
      <c r="A80" s="214" t="str">
        <f>IFS($B80=FALSE,"",$B80,VLOOKUP($B80,'PATIENT DATA (072721)'!A:C, 2, 0))</f>
        <v/>
      </c>
      <c r="B80" s="215"/>
      <c r="C80" s="230" t="str">
        <f>IF(COUNTIF('PATIENT DATA (072721)'!A:A, B80)=0, "X","✓")</f>
        <v>X</v>
      </c>
      <c r="D80" s="226" t="str">
        <f>IFS($B80=FALSE,"",$B80,VLOOKUP($B80,'PATIENT DATA (072721)'!A:C, 3, 0))</f>
        <v/>
      </c>
      <c r="E80" s="218">
        <v>44572.0</v>
      </c>
      <c r="F80" s="219" t="str">
        <f>ifs($B80="","",$B80, VLOOKUP($B80&amp;$E80, 'VISIT DATA'!A:O,3,0))</f>
        <v/>
      </c>
      <c r="G80" s="231"/>
      <c r="H80" s="221" t="str">
        <f>ifs($B80="","",$B80, VLOOKUP($B80&amp;$E80, 'VISIT DATA'!$A:$O,13,0))</f>
        <v/>
      </c>
      <c r="I80" s="262" t="str">
        <f>VLOOKUP($B80&amp;$E80,'VISIT DATA'!A:J, 9, FALSE)</f>
        <v>#N/A</v>
      </c>
      <c r="J80" s="223" t="str">
        <f>VLOOKUP(B80&amp;E80,'VISIT DATA'!A:N,10,FALSE)</f>
        <v>#N/A</v>
      </c>
      <c r="K80" s="225"/>
      <c r="L80" s="224"/>
      <c r="M80" s="224"/>
      <c r="N80" s="225"/>
      <c r="O80" s="216" t="str">
        <f t="shared" si="1"/>
        <v>X</v>
      </c>
      <c r="P80" s="226" t="str">
        <f t="shared" si="2"/>
        <v>#N/A</v>
      </c>
      <c r="Q80" s="227" t="str">
        <f t="shared" si="3"/>
        <v>#N/A</v>
      </c>
      <c r="R80" s="228" t="str">
        <f t="shared" si="4"/>
        <v>#N/A</v>
      </c>
      <c r="S80" s="220" t="str">
        <f t="shared" si="5"/>
        <v>#N/A</v>
      </c>
      <c r="T80" s="220" t="str">
        <f t="shared" si="6"/>
        <v>#N/A</v>
      </c>
      <c r="U80" s="221">
        <f t="shared" si="7"/>
        <v>0</v>
      </c>
      <c r="V80" s="229" t="str">
        <f>ifs($N80="",VLOOKUP($B80&amp;$E80,'VISIT DATA'!$A$2:$J100,7,FALSE), $N80="SWAB","OUTSA-RW",$N80="SWQU","OUTSA-SaQu", AND($L80="X",$M80="X",$N80="QUEST"),"OUT-UAQPre",$N80="QUEST","OUT-UAQ", $N80="Walk in","ColUATele")</f>
        <v>#N/A</v>
      </c>
      <c r="W80" s="24" t="str">
        <f t="shared" si="8"/>
        <v>#N/A</v>
      </c>
      <c r="X80" s="222" t="str">
        <f t="shared" si="9"/>
        <v/>
      </c>
      <c r="Y80" s="222" t="str">
        <f t="shared" si="10"/>
        <v/>
      </c>
      <c r="Z80" s="224" t="str">
        <f t="shared" si="11"/>
        <v> </v>
      </c>
      <c r="AA80" s="244"/>
    </row>
    <row r="81">
      <c r="A81" s="214" t="str">
        <f>IFS($B81=FALSE,"",$B81,VLOOKUP($B81,'PATIENT DATA (072721)'!A:C, 2, 0))</f>
        <v/>
      </c>
      <c r="B81" s="215"/>
      <c r="C81" s="230" t="str">
        <f>IF(COUNTIF('PATIENT DATA (072721)'!A:A, B81)=0, "X","✓")</f>
        <v>X</v>
      </c>
      <c r="D81" s="226" t="str">
        <f>IFS($B81=FALSE,"",$B81,VLOOKUP($B81,'PATIENT DATA (072721)'!A:C, 3, 0))</f>
        <v/>
      </c>
      <c r="E81" s="218">
        <v>44572.0</v>
      </c>
      <c r="F81" s="219" t="str">
        <f>ifs($B81="","",$B81, VLOOKUP($B81&amp;$E81, 'VISIT DATA'!A:O,3,0))</f>
        <v/>
      </c>
      <c r="G81" s="231"/>
      <c r="H81" s="221" t="str">
        <f>ifs($B81="","",$B81, VLOOKUP($B81&amp;$E81, 'VISIT DATA'!$A:$O,13,0))</f>
        <v/>
      </c>
      <c r="I81" s="262" t="str">
        <f>VLOOKUP($B81&amp;$E81,'VISIT DATA'!A:J, 9, FALSE)</f>
        <v>#N/A</v>
      </c>
      <c r="J81" s="223" t="str">
        <f>VLOOKUP(B81&amp;E81,'VISIT DATA'!A:N,10,FALSE)</f>
        <v>#N/A</v>
      </c>
      <c r="K81" s="225"/>
      <c r="L81" s="224"/>
      <c r="M81" s="224"/>
      <c r="N81" s="225"/>
      <c r="O81" s="216" t="str">
        <f t="shared" si="1"/>
        <v>X</v>
      </c>
      <c r="P81" s="226" t="str">
        <f t="shared" si="2"/>
        <v>#N/A</v>
      </c>
      <c r="Q81" s="227" t="str">
        <f t="shared" si="3"/>
        <v>#N/A</v>
      </c>
      <c r="R81" s="228" t="str">
        <f t="shared" si="4"/>
        <v>#N/A</v>
      </c>
      <c r="S81" s="220" t="str">
        <f t="shared" si="5"/>
        <v>#N/A</v>
      </c>
      <c r="T81" s="220" t="str">
        <f t="shared" si="6"/>
        <v>#N/A</v>
      </c>
      <c r="U81" s="221">
        <f t="shared" si="7"/>
        <v>0</v>
      </c>
      <c r="V81" s="229" t="str">
        <f>ifs($N81="",VLOOKUP($B81&amp;$E81,'VISIT DATA'!$A$2:$J100,7,FALSE), $N81="SWAB","OUTSA-RW",$N81="SWQU","OUTSA-SaQu", AND($L81="X",$M81="X",$N81="QUEST"),"OUT-UAQPre",$N81="QUEST","OUT-UAQ", $N81="Walk in","ColUATele")</f>
        <v>#N/A</v>
      </c>
      <c r="W81" s="24" t="str">
        <f t="shared" si="8"/>
        <v>#N/A</v>
      </c>
      <c r="X81" s="222" t="str">
        <f t="shared" si="9"/>
        <v/>
      </c>
      <c r="Y81" s="222" t="str">
        <f t="shared" si="10"/>
        <v/>
      </c>
      <c r="Z81" s="224" t="str">
        <f t="shared" si="11"/>
        <v> </v>
      </c>
      <c r="AA81" s="244"/>
    </row>
    <row r="82">
      <c r="A82" s="214" t="str">
        <f>IFS($B82=FALSE,"",$B82,VLOOKUP($B82,'PATIENT DATA (072721)'!A:C, 2, 0))</f>
        <v/>
      </c>
      <c r="B82" s="215"/>
      <c r="C82" s="230" t="str">
        <f>IF(COUNTIF('PATIENT DATA (072721)'!A:A, B82)=0, "X","✓")</f>
        <v>X</v>
      </c>
      <c r="D82" s="226" t="str">
        <f>IFS($B82=FALSE,"",$B82,VLOOKUP($B82,'PATIENT DATA (072721)'!A:C, 3, 0))</f>
        <v/>
      </c>
      <c r="E82" s="218">
        <v>44572.0</v>
      </c>
      <c r="F82" s="219" t="str">
        <f>ifs($B82="","",$B82, VLOOKUP($B82&amp;$E82, 'VISIT DATA'!A:O,3,0))</f>
        <v/>
      </c>
      <c r="G82" s="231"/>
      <c r="H82" s="221" t="str">
        <f>ifs($B82="","",$B82, VLOOKUP($B82&amp;$E82, 'VISIT DATA'!$A:$O,13,0))</f>
        <v/>
      </c>
      <c r="I82" s="262" t="str">
        <f>VLOOKUP($B82&amp;$E82,'VISIT DATA'!A:J, 9, FALSE)</f>
        <v>#N/A</v>
      </c>
      <c r="J82" s="223" t="str">
        <f>VLOOKUP(B82&amp;E82,'VISIT DATA'!A:N,10,FALSE)</f>
        <v>#N/A</v>
      </c>
      <c r="K82" s="225"/>
      <c r="L82" s="224"/>
      <c r="M82" s="224"/>
      <c r="N82" s="225"/>
      <c r="O82" s="216" t="str">
        <f t="shared" si="1"/>
        <v>X</v>
      </c>
      <c r="P82" s="226" t="str">
        <f t="shared" si="2"/>
        <v>#N/A</v>
      </c>
      <c r="Q82" s="227" t="str">
        <f t="shared" si="3"/>
        <v>#N/A</v>
      </c>
      <c r="R82" s="228" t="str">
        <f t="shared" si="4"/>
        <v>#N/A</v>
      </c>
      <c r="S82" s="220" t="str">
        <f t="shared" si="5"/>
        <v>#N/A</v>
      </c>
      <c r="T82" s="220" t="str">
        <f t="shared" si="6"/>
        <v>#N/A</v>
      </c>
      <c r="U82" s="221">
        <f t="shared" si="7"/>
        <v>0</v>
      </c>
      <c r="V82" s="229" t="str">
        <f>ifs($N82="",VLOOKUP($B82&amp;$E82,'VISIT DATA'!$A$2:$J100,7,FALSE), $N82="SWAB","OUTSA-RW",$N82="SWQU","OUTSA-SaQu", AND($L82="X",$M82="X",$N82="QUEST"),"OUT-UAQPre",$N82="QUEST","OUT-UAQ", $N82="Walk in","ColUATele")</f>
        <v>#N/A</v>
      </c>
      <c r="W82" s="24" t="str">
        <f t="shared" si="8"/>
        <v>#N/A</v>
      </c>
      <c r="X82" s="222" t="str">
        <f t="shared" si="9"/>
        <v/>
      </c>
      <c r="Y82" s="222" t="str">
        <f t="shared" si="10"/>
        <v/>
      </c>
      <c r="Z82" s="224" t="str">
        <f t="shared" si="11"/>
        <v> </v>
      </c>
      <c r="AA82" s="244"/>
    </row>
    <row r="83">
      <c r="A83" s="214" t="str">
        <f>IFS($B83=FALSE,"",$B83,VLOOKUP($B83,'PATIENT DATA (072721)'!A:C, 2, 0))</f>
        <v/>
      </c>
      <c r="B83" s="215"/>
      <c r="C83" s="230" t="str">
        <f>IF(COUNTIF('PATIENT DATA (072721)'!A:A, B83)=0, "X","✓")</f>
        <v>X</v>
      </c>
      <c r="D83" s="226" t="str">
        <f>IFS($B83=FALSE,"",$B83,VLOOKUP($B83,'PATIENT DATA (072721)'!A:C, 3, 0))</f>
        <v/>
      </c>
      <c r="E83" s="218">
        <v>44572.0</v>
      </c>
      <c r="F83" s="219" t="str">
        <f>ifs($B83="","",$B83, VLOOKUP($B83&amp;$E83, 'VISIT DATA'!A:O,3,0))</f>
        <v/>
      </c>
      <c r="G83" s="231"/>
      <c r="H83" s="221" t="str">
        <f>ifs($B83="","",$B83, VLOOKUP($B83&amp;$E83, 'VISIT DATA'!$A:$O,13,0))</f>
        <v/>
      </c>
      <c r="I83" s="262" t="str">
        <f>VLOOKUP($B83&amp;$E83,'VISIT DATA'!A:J, 9, FALSE)</f>
        <v>#N/A</v>
      </c>
      <c r="J83" s="223" t="str">
        <f>VLOOKUP(B83&amp;E83,'VISIT DATA'!A:N,10,FALSE)</f>
        <v>#N/A</v>
      </c>
      <c r="K83" s="225"/>
      <c r="L83" s="224"/>
      <c r="M83" s="224"/>
      <c r="N83" s="225"/>
      <c r="O83" s="216" t="str">
        <f t="shared" si="1"/>
        <v>X</v>
      </c>
      <c r="P83" s="226" t="str">
        <f t="shared" si="2"/>
        <v>#N/A</v>
      </c>
      <c r="Q83" s="227" t="str">
        <f t="shared" si="3"/>
        <v>#N/A</v>
      </c>
      <c r="R83" s="228" t="str">
        <f t="shared" si="4"/>
        <v>#N/A</v>
      </c>
      <c r="S83" s="220" t="str">
        <f t="shared" si="5"/>
        <v>#N/A</v>
      </c>
      <c r="T83" s="220" t="str">
        <f t="shared" si="6"/>
        <v>#N/A</v>
      </c>
      <c r="U83" s="221">
        <f t="shared" si="7"/>
        <v>0</v>
      </c>
      <c r="V83" s="229" t="str">
        <f>ifs($N83="",VLOOKUP($B83&amp;$E83,'VISIT DATA'!$A$2:$J100,7,FALSE), $N83="SWAB","OUTSA-RW",$N83="SWQU","OUTSA-SaQu", AND($L83="X",$M83="X",$N83="QUEST"),"OUT-UAQPre",$N83="QUEST","OUT-UAQ", $N83="Walk in","ColUATele")</f>
        <v>#N/A</v>
      </c>
      <c r="W83" s="24" t="str">
        <f t="shared" si="8"/>
        <v>#N/A</v>
      </c>
      <c r="X83" s="222" t="str">
        <f t="shared" si="9"/>
        <v/>
      </c>
      <c r="Y83" s="222" t="str">
        <f t="shared" si="10"/>
        <v/>
      </c>
      <c r="Z83" s="224" t="str">
        <f t="shared" si="11"/>
        <v> </v>
      </c>
      <c r="AA83" s="244"/>
    </row>
    <row r="84">
      <c r="A84" s="214" t="str">
        <f>IFS($B84=FALSE,"",$B84,VLOOKUP($B84,'PATIENT DATA (072721)'!A:C, 2, 0))</f>
        <v/>
      </c>
      <c r="B84" s="215"/>
      <c r="C84" s="230" t="str">
        <f>IF(COUNTIF('PATIENT DATA (072721)'!A:A, B84)=0, "X","✓")</f>
        <v>X</v>
      </c>
      <c r="D84" s="226" t="str">
        <f>IFS($B84=FALSE,"",$B84,VLOOKUP($B84,'PATIENT DATA (072721)'!A:C, 3, 0))</f>
        <v/>
      </c>
      <c r="E84" s="218">
        <v>44572.0</v>
      </c>
      <c r="F84" s="219" t="str">
        <f>ifs($B84="","",$B84, VLOOKUP($B84&amp;$E84, 'VISIT DATA'!A:O,3,0))</f>
        <v/>
      </c>
      <c r="G84" s="231"/>
      <c r="H84" s="221" t="str">
        <f>ifs($B84="","",$B84, VLOOKUP($B84&amp;$E84, 'VISIT DATA'!$A:$O,13,0))</f>
        <v/>
      </c>
      <c r="I84" s="262" t="str">
        <f>VLOOKUP($B84&amp;$E84,'VISIT DATA'!A:J, 9, FALSE)</f>
        <v>#N/A</v>
      </c>
      <c r="J84" s="223" t="str">
        <f>VLOOKUP(B84&amp;E84,'VISIT DATA'!A:N,10,FALSE)</f>
        <v>#N/A</v>
      </c>
      <c r="K84" s="225"/>
      <c r="L84" s="224"/>
      <c r="M84" s="224"/>
      <c r="N84" s="225"/>
      <c r="O84" s="216" t="str">
        <f t="shared" si="1"/>
        <v>X</v>
      </c>
      <c r="P84" s="226" t="str">
        <f t="shared" si="2"/>
        <v>#N/A</v>
      </c>
      <c r="Q84" s="227" t="str">
        <f t="shared" si="3"/>
        <v>#N/A</v>
      </c>
      <c r="R84" s="228" t="str">
        <f t="shared" si="4"/>
        <v>#N/A</v>
      </c>
      <c r="S84" s="220" t="str">
        <f t="shared" si="5"/>
        <v>#N/A</v>
      </c>
      <c r="T84" s="220" t="str">
        <f t="shared" si="6"/>
        <v>#N/A</v>
      </c>
      <c r="U84" s="221">
        <f t="shared" si="7"/>
        <v>0</v>
      </c>
      <c r="V84" s="229" t="str">
        <f>ifs($N84="",VLOOKUP($B84&amp;$E84,'VISIT DATA'!$A$2:$J100,7,FALSE), $N84="SWAB","OUTSA-RW",$N84="SWQU","OUTSA-SaQu", AND($L84="X",$M84="X",$N84="QUEST"),"OUT-UAQPre",$N84="QUEST","OUT-UAQ", $N84="Walk in","ColUATele")</f>
        <v>#N/A</v>
      </c>
      <c r="W84" s="24" t="str">
        <f t="shared" si="8"/>
        <v>#N/A</v>
      </c>
      <c r="X84" s="222" t="str">
        <f t="shared" si="9"/>
        <v/>
      </c>
      <c r="Y84" s="222" t="str">
        <f t="shared" si="10"/>
        <v/>
      </c>
      <c r="Z84" s="224" t="str">
        <f t="shared" si="11"/>
        <v> </v>
      </c>
      <c r="AA84" s="244"/>
    </row>
    <row r="85">
      <c r="A85" s="214" t="str">
        <f>IFS($B85=FALSE,"",$B85,VLOOKUP($B85,'PATIENT DATA (072721)'!A:C, 2, 0))</f>
        <v/>
      </c>
      <c r="B85" s="215"/>
      <c r="C85" s="230" t="str">
        <f>IF(COUNTIF('PATIENT DATA (072721)'!A:A, B85)=0, "X","✓")</f>
        <v>X</v>
      </c>
      <c r="D85" s="226" t="str">
        <f>IFS($B85=FALSE,"",$B85,VLOOKUP($B85,'PATIENT DATA (072721)'!A:C, 3, 0))</f>
        <v/>
      </c>
      <c r="E85" s="218">
        <v>44572.0</v>
      </c>
      <c r="F85" s="219" t="str">
        <f>ifs($B85="","",$B85, VLOOKUP($B85&amp;$E85, 'VISIT DATA'!A:O,3,0))</f>
        <v/>
      </c>
      <c r="G85" s="231"/>
      <c r="H85" s="221" t="str">
        <f>ifs($B85="","",$B85, VLOOKUP($B85&amp;$E85, 'VISIT DATA'!$A:$O,13,0))</f>
        <v/>
      </c>
      <c r="I85" s="262" t="str">
        <f>VLOOKUP($B85&amp;$E85,'VISIT DATA'!A:J, 9, FALSE)</f>
        <v>#N/A</v>
      </c>
      <c r="J85" s="223" t="str">
        <f>VLOOKUP(B85&amp;E85,'VISIT DATA'!A:N,10,FALSE)</f>
        <v>#N/A</v>
      </c>
      <c r="K85" s="225"/>
      <c r="L85" s="224"/>
      <c r="M85" s="224"/>
      <c r="N85" s="225"/>
      <c r="O85" s="216" t="str">
        <f t="shared" si="1"/>
        <v>X</v>
      </c>
      <c r="P85" s="226" t="str">
        <f t="shared" si="2"/>
        <v>#N/A</v>
      </c>
      <c r="Q85" s="227" t="str">
        <f t="shared" si="3"/>
        <v>#N/A</v>
      </c>
      <c r="R85" s="228" t="str">
        <f t="shared" si="4"/>
        <v>#N/A</v>
      </c>
      <c r="S85" s="220" t="str">
        <f t="shared" si="5"/>
        <v>#N/A</v>
      </c>
      <c r="T85" s="220" t="str">
        <f t="shared" si="6"/>
        <v>#N/A</v>
      </c>
      <c r="U85" s="221">
        <f t="shared" si="7"/>
        <v>0</v>
      </c>
      <c r="V85" s="229" t="str">
        <f>ifs($N85="",VLOOKUP($B85&amp;$E85,'VISIT DATA'!$A$2:$J100,7,FALSE), $N85="SWAB","OUTSA-RW",$N85="SWQU","OUTSA-SaQu", AND($L85="X",$M85="X",$N85="QUEST"),"OUT-UAQPre",$N85="QUEST","OUT-UAQ", $N85="Walk in","ColUATele")</f>
        <v>#N/A</v>
      </c>
      <c r="W85" s="24" t="str">
        <f t="shared" si="8"/>
        <v>#N/A</v>
      </c>
      <c r="X85" s="222" t="str">
        <f t="shared" si="9"/>
        <v/>
      </c>
      <c r="Y85" s="222" t="str">
        <f t="shared" si="10"/>
        <v/>
      </c>
      <c r="Z85" s="224" t="str">
        <f t="shared" si="11"/>
        <v> </v>
      </c>
      <c r="AA85" s="244"/>
    </row>
    <row r="86">
      <c r="A86" s="214" t="str">
        <f>IFS($B86=FALSE,"",$B86,VLOOKUP($B86,'PATIENT DATA (072721)'!A:C, 2, 0))</f>
        <v/>
      </c>
      <c r="B86" s="215"/>
      <c r="C86" s="230" t="str">
        <f>IF(COUNTIF('PATIENT DATA (072721)'!A:A, B86)=0, "X","✓")</f>
        <v>X</v>
      </c>
      <c r="D86" s="226" t="str">
        <f>IFS($B86=FALSE,"",$B86,VLOOKUP($B86,'PATIENT DATA (072721)'!A:C, 3, 0))</f>
        <v/>
      </c>
      <c r="E86" s="218">
        <v>44572.0</v>
      </c>
      <c r="F86" s="219" t="str">
        <f>ifs($B86="","",$B86, VLOOKUP($B86&amp;$E86, 'VISIT DATA'!A:O,3,0))</f>
        <v/>
      </c>
      <c r="G86" s="231"/>
      <c r="H86" s="221" t="str">
        <f>ifs($B86="","",$B86, VLOOKUP($B86&amp;$E86, 'VISIT DATA'!$A:$O,13,0))</f>
        <v/>
      </c>
      <c r="I86" s="262" t="str">
        <f>VLOOKUP($B86&amp;$E86,'VISIT DATA'!A:J, 9, FALSE)</f>
        <v>#N/A</v>
      </c>
      <c r="J86" s="223" t="str">
        <f>VLOOKUP(B86&amp;E86,'VISIT DATA'!A:N,10,FALSE)</f>
        <v>#N/A</v>
      </c>
      <c r="K86" s="225"/>
      <c r="L86" s="224"/>
      <c r="M86" s="224"/>
      <c r="N86" s="225"/>
      <c r="O86" s="216" t="str">
        <f t="shared" si="1"/>
        <v>X</v>
      </c>
      <c r="P86" s="226" t="str">
        <f t="shared" si="2"/>
        <v>#N/A</v>
      </c>
      <c r="Q86" s="227" t="str">
        <f t="shared" si="3"/>
        <v>#N/A</v>
      </c>
      <c r="R86" s="228" t="str">
        <f t="shared" si="4"/>
        <v>#N/A</v>
      </c>
      <c r="S86" s="220" t="str">
        <f t="shared" si="5"/>
        <v>#N/A</v>
      </c>
      <c r="T86" s="220" t="str">
        <f t="shared" si="6"/>
        <v>#N/A</v>
      </c>
      <c r="U86" s="221">
        <f t="shared" si="7"/>
        <v>0</v>
      </c>
      <c r="V86" s="229" t="str">
        <f>ifs($N86="",VLOOKUP($B86&amp;$E86,'VISIT DATA'!$A$2:$J100,7,FALSE), $N86="SWAB","OUTSA-RW",$N86="SWQU","OUTSA-SaQu", AND($L86="X",$M86="X",$N86="QUEST"),"OUT-UAQPre",$N86="QUEST","OUT-UAQ", $N86="Walk in","ColUATele")</f>
        <v>#N/A</v>
      </c>
      <c r="W86" s="24" t="str">
        <f t="shared" si="8"/>
        <v>#N/A</v>
      </c>
      <c r="X86" s="222" t="str">
        <f t="shared" si="9"/>
        <v/>
      </c>
      <c r="Y86" s="222" t="str">
        <f t="shared" si="10"/>
        <v/>
      </c>
      <c r="Z86" s="224" t="str">
        <f t="shared" si="11"/>
        <v> </v>
      </c>
      <c r="AA86" s="244"/>
    </row>
    <row r="87">
      <c r="A87" s="214" t="str">
        <f>IFS($B87=FALSE,"",$B87,VLOOKUP($B87,'PATIENT DATA (072721)'!A:C, 2, 0))</f>
        <v/>
      </c>
      <c r="B87" s="215"/>
      <c r="C87" s="230" t="str">
        <f>IF(COUNTIF('PATIENT DATA (072721)'!A:A, B87)=0, "X","✓")</f>
        <v>X</v>
      </c>
      <c r="D87" s="226" t="str">
        <f>IFS($B87=FALSE,"",$B87,VLOOKUP($B87,'PATIENT DATA (072721)'!A:C, 3, 0))</f>
        <v/>
      </c>
      <c r="E87" s="218">
        <v>44572.0</v>
      </c>
      <c r="F87" s="219" t="str">
        <f>ifs($B87="","",$B87, VLOOKUP($B87&amp;$E87, 'VISIT DATA'!A:O,3,0))</f>
        <v/>
      </c>
      <c r="G87" s="231"/>
      <c r="H87" s="221" t="str">
        <f>ifs($B87="","",$B87, VLOOKUP($B87&amp;$E87, 'VISIT DATA'!$A:$O,13,0))</f>
        <v/>
      </c>
      <c r="I87" s="262" t="str">
        <f>VLOOKUP($B87&amp;$E87,'VISIT DATA'!A:J, 9, FALSE)</f>
        <v>#N/A</v>
      </c>
      <c r="J87" s="223" t="str">
        <f>VLOOKUP(B87&amp;E87,'VISIT DATA'!A:N,10,FALSE)</f>
        <v>#N/A</v>
      </c>
      <c r="K87" s="225"/>
      <c r="L87" s="224"/>
      <c r="M87" s="224"/>
      <c r="N87" s="225"/>
      <c r="O87" s="216" t="str">
        <f t="shared" si="1"/>
        <v>X</v>
      </c>
      <c r="P87" s="226" t="str">
        <f t="shared" si="2"/>
        <v>#N/A</v>
      </c>
      <c r="Q87" s="227" t="str">
        <f t="shared" si="3"/>
        <v>#N/A</v>
      </c>
      <c r="R87" s="228" t="str">
        <f t="shared" si="4"/>
        <v>#N/A</v>
      </c>
      <c r="S87" s="220" t="str">
        <f t="shared" si="5"/>
        <v>#N/A</v>
      </c>
      <c r="T87" s="220" t="str">
        <f t="shared" si="6"/>
        <v>#N/A</v>
      </c>
      <c r="U87" s="221">
        <f t="shared" si="7"/>
        <v>0</v>
      </c>
      <c r="V87" s="229" t="str">
        <f>ifs($N87="",VLOOKUP($B87&amp;$E87,'VISIT DATA'!$A$2:$J100,7,FALSE), $N87="SWAB","OUTSA-RW",$N87="SWQU","OUTSA-SaQu", AND($L87="X",$M87="X",$N87="QUEST"),"OUT-UAQPre",$N87="QUEST","OUT-UAQ", $N87="Walk in","ColUATele")</f>
        <v>#N/A</v>
      </c>
      <c r="W87" s="24" t="str">
        <f t="shared" si="8"/>
        <v>#N/A</v>
      </c>
      <c r="X87" s="222" t="str">
        <f t="shared" si="9"/>
        <v/>
      </c>
      <c r="Y87" s="222" t="str">
        <f t="shared" si="10"/>
        <v/>
      </c>
      <c r="Z87" s="224" t="str">
        <f t="shared" si="11"/>
        <v> </v>
      </c>
      <c r="AA87" s="244"/>
    </row>
    <row r="88">
      <c r="A88" s="214" t="str">
        <f>IFS($B88=FALSE,"",$B88,VLOOKUP($B88,'PATIENT DATA (072721)'!A:C, 2, 0))</f>
        <v/>
      </c>
      <c r="B88" s="215"/>
      <c r="C88" s="230" t="str">
        <f>IF(COUNTIF('PATIENT DATA (072721)'!A:A, B88)=0, "X","✓")</f>
        <v>X</v>
      </c>
      <c r="D88" s="226" t="str">
        <f>IFS($B88=FALSE,"",$B88,VLOOKUP($B88,'PATIENT DATA (072721)'!A:C, 3, 0))</f>
        <v/>
      </c>
      <c r="E88" s="218">
        <v>44572.0</v>
      </c>
      <c r="F88" s="219" t="str">
        <f>ifs($B88="","",$B88, VLOOKUP($B88&amp;$E88, 'VISIT DATA'!A:O,3,0))</f>
        <v/>
      </c>
      <c r="G88" s="231"/>
      <c r="H88" s="221" t="str">
        <f>ifs($B88="","",$B88, VLOOKUP($B88&amp;$E88, 'VISIT DATA'!$A:$O,13,0))</f>
        <v/>
      </c>
      <c r="I88" s="262" t="str">
        <f>VLOOKUP($B88&amp;$E88,'VISIT DATA'!A:J, 9, FALSE)</f>
        <v>#N/A</v>
      </c>
      <c r="J88" s="223" t="str">
        <f>VLOOKUP(B88&amp;E88,'VISIT DATA'!A:N,10,FALSE)</f>
        <v>#N/A</v>
      </c>
      <c r="K88" s="225"/>
      <c r="L88" s="224"/>
      <c r="M88" s="224"/>
      <c r="N88" s="225"/>
      <c r="O88" s="216" t="str">
        <f t="shared" si="1"/>
        <v>X</v>
      </c>
      <c r="P88" s="226" t="str">
        <f t="shared" si="2"/>
        <v>#N/A</v>
      </c>
      <c r="Q88" s="227" t="str">
        <f t="shared" si="3"/>
        <v>#N/A</v>
      </c>
      <c r="R88" s="228" t="str">
        <f t="shared" si="4"/>
        <v>#N/A</v>
      </c>
      <c r="S88" s="220" t="str">
        <f t="shared" si="5"/>
        <v>#N/A</v>
      </c>
      <c r="T88" s="220" t="str">
        <f t="shared" si="6"/>
        <v>#N/A</v>
      </c>
      <c r="U88" s="221">
        <f t="shared" si="7"/>
        <v>0</v>
      </c>
      <c r="V88" s="229" t="str">
        <f>ifs($N88="",VLOOKUP($B88&amp;$E88,'VISIT DATA'!$A$2:$J100,7,FALSE), $N88="SWAB","OUTSA-RW",$N88="SWQU","OUTSA-SaQu", AND($L88="X",$M88="X",$N88="QUEST"),"OUT-UAQPre",$N88="QUEST","OUT-UAQ", $N88="Walk in","ColUATele")</f>
        <v>#N/A</v>
      </c>
      <c r="W88" s="24" t="str">
        <f t="shared" si="8"/>
        <v>#N/A</v>
      </c>
      <c r="X88" s="222" t="str">
        <f t="shared" si="9"/>
        <v/>
      </c>
      <c r="Y88" s="222" t="str">
        <f t="shared" si="10"/>
        <v/>
      </c>
      <c r="Z88" s="224" t="str">
        <f t="shared" si="11"/>
        <v> </v>
      </c>
      <c r="AA88" s="244"/>
    </row>
    <row r="89">
      <c r="A89" s="214" t="str">
        <f>IFS($B89=FALSE,"",$B89,VLOOKUP($B89,'PATIENT DATA (072721)'!A:C, 2, 0))</f>
        <v/>
      </c>
      <c r="B89" s="215"/>
      <c r="C89" s="230" t="str">
        <f>IF(COUNTIF('PATIENT DATA (072721)'!A:A, B89)=0, "X","✓")</f>
        <v>X</v>
      </c>
      <c r="D89" s="226" t="str">
        <f>IFS($B89=FALSE,"",$B89,VLOOKUP($B89,'PATIENT DATA (072721)'!A:C, 3, 0))</f>
        <v/>
      </c>
      <c r="E89" s="218">
        <v>44572.0</v>
      </c>
      <c r="F89" s="219" t="str">
        <f>ifs($B89="","",$B89, VLOOKUP($B89&amp;$E89, 'VISIT DATA'!A:O,3,0))</f>
        <v/>
      </c>
      <c r="G89" s="231"/>
      <c r="H89" s="221" t="str">
        <f>ifs($B89="","",$B89, VLOOKUP($B89&amp;$E89, 'VISIT DATA'!$A:$O,13,0))</f>
        <v/>
      </c>
      <c r="I89" s="262" t="str">
        <f>VLOOKUP($B89&amp;$E89,'VISIT DATA'!A:J, 9, FALSE)</f>
        <v>#N/A</v>
      </c>
      <c r="J89" s="223" t="str">
        <f>VLOOKUP(B89&amp;E89,'VISIT DATA'!A:N,10,FALSE)</f>
        <v>#N/A</v>
      </c>
      <c r="K89" s="225"/>
      <c r="L89" s="224"/>
      <c r="M89" s="224"/>
      <c r="N89" s="225"/>
      <c r="O89" s="216" t="str">
        <f t="shared" si="1"/>
        <v>X</v>
      </c>
      <c r="P89" s="226" t="str">
        <f t="shared" si="2"/>
        <v>#N/A</v>
      </c>
      <c r="Q89" s="227" t="str">
        <f t="shared" si="3"/>
        <v>#N/A</v>
      </c>
      <c r="R89" s="228" t="str">
        <f t="shared" si="4"/>
        <v>#N/A</v>
      </c>
      <c r="S89" s="220" t="str">
        <f t="shared" si="5"/>
        <v>#N/A</v>
      </c>
      <c r="T89" s="220" t="str">
        <f t="shared" si="6"/>
        <v>#N/A</v>
      </c>
      <c r="U89" s="221">
        <f t="shared" si="7"/>
        <v>0</v>
      </c>
      <c r="V89" s="229" t="str">
        <f>ifs($N89="",VLOOKUP($B89&amp;$E89,'VISIT DATA'!$A$2:$J100,7,FALSE), $N89="SWAB","OUTSA-RW",$N89="SWQU","OUTSA-SaQu", AND($L89="X",$M89="X",$N89="QUEST"),"OUT-UAQPre",$N89="QUEST","OUT-UAQ", $N89="Walk in","ColUATele")</f>
        <v>#N/A</v>
      </c>
      <c r="W89" s="24" t="str">
        <f t="shared" si="8"/>
        <v>#N/A</v>
      </c>
      <c r="X89" s="222" t="str">
        <f t="shared" si="9"/>
        <v/>
      </c>
      <c r="Y89" s="222" t="str">
        <f t="shared" si="10"/>
        <v/>
      </c>
      <c r="Z89" s="224" t="str">
        <f t="shared" si="11"/>
        <v> </v>
      </c>
      <c r="AA89" s="244"/>
    </row>
    <row r="90">
      <c r="A90" s="214" t="str">
        <f>IFS($B90=FALSE,"",$B90,VLOOKUP($B90,'PATIENT DATA (072721)'!A:C, 2, 0))</f>
        <v/>
      </c>
      <c r="B90" s="215"/>
      <c r="C90" s="230" t="str">
        <f>IF(COUNTIF('PATIENT DATA (072721)'!A:A, B90)=0, "X","✓")</f>
        <v>X</v>
      </c>
      <c r="D90" s="226" t="str">
        <f>IFS($B90=FALSE,"",$B90,VLOOKUP($B90,'PATIENT DATA (072721)'!A:C, 3, 0))</f>
        <v/>
      </c>
      <c r="E90" s="218">
        <v>44572.0</v>
      </c>
      <c r="F90" s="219" t="str">
        <f>ifs($B90="","",$B90, VLOOKUP($B90&amp;$E90, 'VISIT DATA'!A:O,3,0))</f>
        <v/>
      </c>
      <c r="G90" s="231"/>
      <c r="H90" s="221" t="str">
        <f>ifs($B90="","",$B90, VLOOKUP($B90&amp;$E90, 'VISIT DATA'!$A:$O,13,0))</f>
        <v/>
      </c>
      <c r="I90" s="262" t="str">
        <f>VLOOKUP($B90&amp;$E90,'VISIT DATA'!A:J, 9, FALSE)</f>
        <v>#N/A</v>
      </c>
      <c r="J90" s="223" t="str">
        <f>VLOOKUP(B90&amp;E90,'VISIT DATA'!A:N,10,FALSE)</f>
        <v>#N/A</v>
      </c>
      <c r="K90" s="225"/>
      <c r="L90" s="224"/>
      <c r="M90" s="224"/>
      <c r="N90" s="225"/>
      <c r="O90" s="216" t="str">
        <f t="shared" si="1"/>
        <v>X</v>
      </c>
      <c r="P90" s="226" t="str">
        <f t="shared" si="2"/>
        <v>#N/A</v>
      </c>
      <c r="Q90" s="227" t="str">
        <f t="shared" si="3"/>
        <v>#N/A</v>
      </c>
      <c r="R90" s="228" t="str">
        <f t="shared" si="4"/>
        <v>#N/A</v>
      </c>
      <c r="S90" s="220" t="str">
        <f t="shared" si="5"/>
        <v>#N/A</v>
      </c>
      <c r="T90" s="220" t="str">
        <f t="shared" si="6"/>
        <v>#N/A</v>
      </c>
      <c r="U90" s="221">
        <f t="shared" si="7"/>
        <v>0</v>
      </c>
      <c r="V90" s="229" t="str">
        <f>ifs($N90="",VLOOKUP($B90&amp;$E90,'VISIT DATA'!$A$2:$J100,7,FALSE), $N90="SWAB","OUTSA-RW",$N90="SWQU","OUTSA-SaQu", AND($L90="X",$M90="X",$N90="QUEST"),"OUT-UAQPre",$N90="QUEST","OUT-UAQ", $N90="Walk in","ColUATele")</f>
        <v>#N/A</v>
      </c>
      <c r="W90" s="24" t="str">
        <f t="shared" si="8"/>
        <v>#N/A</v>
      </c>
      <c r="X90" s="222" t="str">
        <f t="shared" si="9"/>
        <v/>
      </c>
      <c r="Y90" s="222" t="str">
        <f t="shared" si="10"/>
        <v/>
      </c>
      <c r="Z90" s="224" t="str">
        <f t="shared" si="11"/>
        <v> </v>
      </c>
      <c r="AA90" s="244"/>
    </row>
    <row r="91">
      <c r="A91" s="214" t="str">
        <f>IFS($B91=FALSE,"",$B91,VLOOKUP($B91,'PATIENT DATA (072721)'!A:C, 2, 0))</f>
        <v/>
      </c>
      <c r="B91" s="215"/>
      <c r="C91" s="230" t="str">
        <f>IF(COUNTIF('PATIENT DATA (072721)'!A:A, B91)=0, "X","✓")</f>
        <v>X</v>
      </c>
      <c r="D91" s="226" t="str">
        <f>IFS($B91=FALSE,"",$B91,VLOOKUP($B91,'PATIENT DATA (072721)'!A:C, 3, 0))</f>
        <v/>
      </c>
      <c r="E91" s="218">
        <v>44572.0</v>
      </c>
      <c r="F91" s="219" t="str">
        <f>ifs($B91="","",$B91, VLOOKUP($B91&amp;$E91, 'VISIT DATA'!A:O,3,0))</f>
        <v/>
      </c>
      <c r="G91" s="231"/>
      <c r="H91" s="221" t="str">
        <f>ifs($B91="","",$B91, VLOOKUP($B91&amp;$E91, 'VISIT DATA'!$A:$O,13,0))</f>
        <v/>
      </c>
      <c r="I91" s="262" t="str">
        <f>VLOOKUP($B91&amp;$E91,'VISIT DATA'!A:J, 9, FALSE)</f>
        <v>#N/A</v>
      </c>
      <c r="J91" s="223" t="str">
        <f>VLOOKUP(B91&amp;E91,'VISIT DATA'!A:N,10,FALSE)</f>
        <v>#N/A</v>
      </c>
      <c r="K91" s="225"/>
      <c r="L91" s="224"/>
      <c r="M91" s="224"/>
      <c r="N91" s="225"/>
      <c r="O91" s="216" t="str">
        <f t="shared" si="1"/>
        <v>X</v>
      </c>
      <c r="P91" s="226" t="str">
        <f t="shared" si="2"/>
        <v>#N/A</v>
      </c>
      <c r="Q91" s="227" t="str">
        <f t="shared" si="3"/>
        <v>#N/A</v>
      </c>
      <c r="R91" s="228" t="str">
        <f t="shared" si="4"/>
        <v>#N/A</v>
      </c>
      <c r="S91" s="220" t="str">
        <f t="shared" si="5"/>
        <v>#N/A</v>
      </c>
      <c r="T91" s="220" t="str">
        <f t="shared" si="6"/>
        <v>#N/A</v>
      </c>
      <c r="U91" s="221">
        <f t="shared" si="7"/>
        <v>0</v>
      </c>
      <c r="V91" s="229" t="str">
        <f>ifs($N91="",VLOOKUP($B91&amp;$E91,'VISIT DATA'!$A$2:$J100,7,FALSE), $N91="SWAB","OUTSA-RW",$N91="SWQU","OUTSA-SaQu", AND($L91="X",$M91="X",$N91="QUEST"),"OUT-UAQPre",$N91="QUEST","OUT-UAQ", $N91="Walk in","ColUATele")</f>
        <v>#N/A</v>
      </c>
      <c r="W91" s="24" t="str">
        <f t="shared" si="8"/>
        <v>#N/A</v>
      </c>
      <c r="X91" s="222" t="str">
        <f t="shared" si="9"/>
        <v/>
      </c>
      <c r="Y91" s="222" t="str">
        <f t="shared" si="10"/>
        <v/>
      </c>
      <c r="Z91" s="224" t="str">
        <f t="shared" si="11"/>
        <v> </v>
      </c>
      <c r="AA91" s="244"/>
    </row>
    <row r="92">
      <c r="A92" s="214" t="str">
        <f>IFS($B92=FALSE,"",$B92,VLOOKUP($B92,'PATIENT DATA (072721)'!A:C, 2, 0))</f>
        <v/>
      </c>
      <c r="B92" s="215"/>
      <c r="C92" s="230" t="str">
        <f>IF(COUNTIF('PATIENT DATA (072721)'!A:A, B92)=0, "X","✓")</f>
        <v>X</v>
      </c>
      <c r="D92" s="226" t="str">
        <f>IFS($B92=FALSE,"",$B92,VLOOKUP($B92,'PATIENT DATA (072721)'!A:C, 3, 0))</f>
        <v/>
      </c>
      <c r="E92" s="218">
        <v>44572.0</v>
      </c>
      <c r="F92" s="219" t="str">
        <f>ifs($B92="","",$B92, VLOOKUP($B92&amp;$E92, 'VISIT DATA'!A:O,3,0))</f>
        <v/>
      </c>
      <c r="G92" s="231"/>
      <c r="H92" s="221" t="str">
        <f>ifs($B92="","",$B92, VLOOKUP($B92&amp;$E92, 'VISIT DATA'!$A:$O,13,0))</f>
        <v/>
      </c>
      <c r="I92" s="262" t="str">
        <f>VLOOKUP($B92&amp;$E92,'VISIT DATA'!A:J, 9, FALSE)</f>
        <v>#N/A</v>
      </c>
      <c r="J92" s="223" t="str">
        <f>VLOOKUP(B92&amp;E92,'VISIT DATA'!A:N,10,FALSE)</f>
        <v>#N/A</v>
      </c>
      <c r="K92" s="225"/>
      <c r="L92" s="224"/>
      <c r="M92" s="224"/>
      <c r="N92" s="225"/>
      <c r="O92" s="216" t="str">
        <f t="shared" si="1"/>
        <v>X</v>
      </c>
      <c r="P92" s="226" t="str">
        <f t="shared" si="2"/>
        <v>#N/A</v>
      </c>
      <c r="Q92" s="227" t="str">
        <f t="shared" si="3"/>
        <v>#N/A</v>
      </c>
      <c r="R92" s="228" t="str">
        <f t="shared" si="4"/>
        <v>#N/A</v>
      </c>
      <c r="S92" s="220" t="str">
        <f t="shared" si="5"/>
        <v>#N/A</v>
      </c>
      <c r="T92" s="220" t="str">
        <f t="shared" si="6"/>
        <v>#N/A</v>
      </c>
      <c r="U92" s="221">
        <f t="shared" si="7"/>
        <v>0</v>
      </c>
      <c r="V92" s="229" t="str">
        <f>ifs($N92="",VLOOKUP($B92&amp;$E92,'VISIT DATA'!$A$2:$J100,7,FALSE), $N92="SWAB","OUTSA-RW",$N92="SWQU","OUTSA-SaQu", AND($L92="X",$M92="X",$N92="QUEST"),"OUT-UAQPre",$N92="QUEST","OUT-UAQ", $N92="Walk in","ColUATele")</f>
        <v>#N/A</v>
      </c>
      <c r="W92" s="24" t="str">
        <f t="shared" si="8"/>
        <v>#N/A</v>
      </c>
      <c r="X92" s="222" t="str">
        <f t="shared" si="9"/>
        <v/>
      </c>
      <c r="Y92" s="222" t="str">
        <f t="shared" si="10"/>
        <v/>
      </c>
      <c r="Z92" s="224" t="str">
        <f t="shared" si="11"/>
        <v> </v>
      </c>
      <c r="AA92" s="244"/>
    </row>
    <row r="93">
      <c r="A93" s="214" t="str">
        <f>IFS($B93=FALSE,"",$B93,VLOOKUP($B93,'PATIENT DATA (072721)'!A:C, 2, 0))</f>
        <v/>
      </c>
      <c r="B93" s="215"/>
      <c r="C93" s="230" t="str">
        <f>IF(COUNTIF('PATIENT DATA (072721)'!A:A, B93)=0, "X","✓")</f>
        <v>X</v>
      </c>
      <c r="D93" s="226" t="str">
        <f>IFS($B93=FALSE,"",$B93,VLOOKUP($B93,'PATIENT DATA (072721)'!A:C, 3, 0))</f>
        <v/>
      </c>
      <c r="E93" s="218">
        <v>44572.0</v>
      </c>
      <c r="F93" s="219" t="str">
        <f>ifs($B93="","",$B93, VLOOKUP($B93&amp;$E93, 'VISIT DATA'!A:O,3,0))</f>
        <v/>
      </c>
      <c r="G93" s="231"/>
      <c r="H93" s="221" t="str">
        <f>ifs($B93="","",$B93, VLOOKUP($B93&amp;$E93, 'VISIT DATA'!$A:$O,13,0))</f>
        <v/>
      </c>
      <c r="I93" s="262" t="str">
        <f>VLOOKUP($B93&amp;$E93,'VISIT DATA'!A:J, 9, FALSE)</f>
        <v>#N/A</v>
      </c>
      <c r="J93" s="223" t="str">
        <f>VLOOKUP(B93&amp;E93,'VISIT DATA'!A:N,10,FALSE)</f>
        <v>#N/A</v>
      </c>
      <c r="K93" s="225"/>
      <c r="L93" s="224"/>
      <c r="M93" s="224"/>
      <c r="N93" s="225"/>
      <c r="O93" s="216" t="str">
        <f t="shared" si="1"/>
        <v>X</v>
      </c>
      <c r="P93" s="226" t="str">
        <f t="shared" si="2"/>
        <v>#N/A</v>
      </c>
      <c r="Q93" s="227" t="str">
        <f t="shared" si="3"/>
        <v>#N/A</v>
      </c>
      <c r="R93" s="228" t="str">
        <f t="shared" si="4"/>
        <v>#N/A</v>
      </c>
      <c r="S93" s="220" t="str">
        <f t="shared" si="5"/>
        <v>#N/A</v>
      </c>
      <c r="T93" s="220" t="str">
        <f t="shared" si="6"/>
        <v>#N/A</v>
      </c>
      <c r="U93" s="221">
        <f t="shared" si="7"/>
        <v>0</v>
      </c>
      <c r="V93" s="229" t="str">
        <f>ifs($N93="",VLOOKUP($B93&amp;$E93,'VISIT DATA'!$A$2:$J100,7,FALSE), $N93="SWAB","OUTSA-RW",$N93="SWQU","OUTSA-SaQu", AND($L93="X",$M93="X",$N93="QUEST"),"OUT-UAQPre",$N93="QUEST","OUT-UAQ", $N93="Walk in","ColUATele")</f>
        <v>#N/A</v>
      </c>
      <c r="W93" s="24" t="str">
        <f t="shared" si="8"/>
        <v>#N/A</v>
      </c>
      <c r="X93" s="222" t="str">
        <f t="shared" si="9"/>
        <v/>
      </c>
      <c r="Y93" s="222" t="str">
        <f t="shared" si="10"/>
        <v/>
      </c>
      <c r="Z93" s="224" t="str">
        <f t="shared" si="11"/>
        <v> </v>
      </c>
      <c r="AA93" s="244"/>
    </row>
    <row r="94">
      <c r="A94" s="214" t="str">
        <f>IFS($B94=FALSE,"",$B94,VLOOKUP($B94,'PATIENT DATA (072721)'!A:C, 2, 0))</f>
        <v/>
      </c>
      <c r="B94" s="215"/>
      <c r="C94" s="230" t="str">
        <f>IF(COUNTIF('PATIENT DATA (072721)'!A:A, B94)=0, "X","✓")</f>
        <v>X</v>
      </c>
      <c r="D94" s="226" t="str">
        <f>IFS($B94=FALSE,"",$B94,VLOOKUP($B94,'PATIENT DATA (072721)'!A:C, 3, 0))</f>
        <v/>
      </c>
      <c r="E94" s="218">
        <v>44572.0</v>
      </c>
      <c r="F94" s="219" t="str">
        <f>ifs($B94="","",$B94, VLOOKUP($B94&amp;$E94, 'VISIT DATA'!A:O,3,0))</f>
        <v/>
      </c>
      <c r="G94" s="231"/>
      <c r="H94" s="221" t="str">
        <f>ifs($B94="","",$B94, VLOOKUP($B94&amp;$E94, 'VISIT DATA'!$A:$O,13,0))</f>
        <v/>
      </c>
      <c r="I94" s="262" t="str">
        <f>VLOOKUP($B94&amp;$E94,'VISIT DATA'!A:J, 9, FALSE)</f>
        <v>#N/A</v>
      </c>
      <c r="J94" s="223" t="str">
        <f>VLOOKUP(B94&amp;E94,'VISIT DATA'!A:N,10,FALSE)</f>
        <v>#N/A</v>
      </c>
      <c r="K94" s="225"/>
      <c r="L94" s="224"/>
      <c r="M94" s="224"/>
      <c r="N94" s="225"/>
      <c r="O94" s="216" t="str">
        <f t="shared" si="1"/>
        <v>X</v>
      </c>
      <c r="P94" s="226" t="str">
        <f t="shared" si="2"/>
        <v>#N/A</v>
      </c>
      <c r="Q94" s="227" t="str">
        <f t="shared" si="3"/>
        <v>#N/A</v>
      </c>
      <c r="R94" s="228" t="str">
        <f t="shared" si="4"/>
        <v>#N/A</v>
      </c>
      <c r="S94" s="220" t="str">
        <f t="shared" si="5"/>
        <v>#N/A</v>
      </c>
      <c r="T94" s="220" t="str">
        <f t="shared" si="6"/>
        <v>#N/A</v>
      </c>
      <c r="U94" s="221">
        <f t="shared" si="7"/>
        <v>0</v>
      </c>
      <c r="V94" s="229" t="str">
        <f>ifs($N94="",VLOOKUP($B94&amp;$E94,'VISIT DATA'!$A$2:$J100,7,FALSE), $N94="SWAB","OUTSA-RW",$N94="SWQU","OUTSA-SaQu", AND($L94="X",$M94="X",$N94="QUEST"),"OUT-UAQPre",$N94="QUEST","OUT-UAQ", $N94="Walk in","ColUATele")</f>
        <v>#N/A</v>
      </c>
      <c r="W94" s="24" t="str">
        <f t="shared" si="8"/>
        <v>#N/A</v>
      </c>
      <c r="X94" s="222" t="str">
        <f t="shared" si="9"/>
        <v/>
      </c>
      <c r="Y94" s="222" t="str">
        <f t="shared" si="10"/>
        <v/>
      </c>
      <c r="Z94" s="224" t="str">
        <f t="shared" si="11"/>
        <v> </v>
      </c>
      <c r="AA94" s="244"/>
    </row>
    <row r="95">
      <c r="A95" s="214" t="str">
        <f>IFS($B95=FALSE,"",$B95,VLOOKUP($B95,'PATIENT DATA (072721)'!A:C, 2, 0))</f>
        <v/>
      </c>
      <c r="B95" s="215"/>
      <c r="C95" s="230" t="str">
        <f>IF(COUNTIF('PATIENT DATA (072721)'!A:A, B95)=0, "X","✓")</f>
        <v>X</v>
      </c>
      <c r="D95" s="226" t="str">
        <f>IFS($B95=FALSE,"",$B95,VLOOKUP($B95,'PATIENT DATA (072721)'!A:C, 3, 0))</f>
        <v/>
      </c>
      <c r="E95" s="218">
        <v>44572.0</v>
      </c>
      <c r="F95" s="219" t="str">
        <f>ifs($B95="","",$B95, VLOOKUP($B95&amp;$E95, 'VISIT DATA'!A:O,3,0))</f>
        <v/>
      </c>
      <c r="G95" s="231"/>
      <c r="H95" s="221" t="str">
        <f>ifs($B95="","",$B95, VLOOKUP($B95&amp;$E95, 'VISIT DATA'!$A:$O,13,0))</f>
        <v/>
      </c>
      <c r="I95" s="262" t="str">
        <f>VLOOKUP($B95&amp;$E95,'VISIT DATA'!A:J, 9, FALSE)</f>
        <v>#N/A</v>
      </c>
      <c r="J95" s="223" t="str">
        <f>VLOOKUP(B95&amp;E95,'VISIT DATA'!A:N,10,FALSE)</f>
        <v>#N/A</v>
      </c>
      <c r="K95" s="225"/>
      <c r="L95" s="224"/>
      <c r="M95" s="224"/>
      <c r="N95" s="225"/>
      <c r="O95" s="216" t="str">
        <f t="shared" si="1"/>
        <v>X</v>
      </c>
      <c r="P95" s="226" t="str">
        <f t="shared" si="2"/>
        <v>#N/A</v>
      </c>
      <c r="Q95" s="227" t="str">
        <f t="shared" si="3"/>
        <v>#N/A</v>
      </c>
      <c r="R95" s="228" t="str">
        <f t="shared" si="4"/>
        <v>#N/A</v>
      </c>
      <c r="S95" s="220" t="str">
        <f t="shared" si="5"/>
        <v>#N/A</v>
      </c>
      <c r="T95" s="220" t="str">
        <f t="shared" si="6"/>
        <v>#N/A</v>
      </c>
      <c r="U95" s="221">
        <f t="shared" si="7"/>
        <v>0</v>
      </c>
      <c r="V95" s="229" t="str">
        <f>ifs($N95="",VLOOKUP($B95&amp;$E95,'VISIT DATA'!$A$2:$J100,7,FALSE), $N95="SWAB","OUTSA-RW",$N95="SWQU","OUTSA-SaQu", AND($L95="X",$M95="X",$N95="QUEST"),"OUT-UAQPre",$N95="QUEST","OUT-UAQ", $N95="Walk in","ColUATele")</f>
        <v>#N/A</v>
      </c>
      <c r="W95" s="24" t="str">
        <f t="shared" si="8"/>
        <v>#N/A</v>
      </c>
      <c r="X95" s="222" t="str">
        <f t="shared" si="9"/>
        <v/>
      </c>
      <c r="Y95" s="222" t="str">
        <f t="shared" si="10"/>
        <v/>
      </c>
      <c r="Z95" s="224" t="str">
        <f t="shared" si="11"/>
        <v> </v>
      </c>
      <c r="AA95" s="244"/>
    </row>
    <row r="96">
      <c r="A96" s="214" t="str">
        <f>IFS($B96=FALSE,"",$B96,VLOOKUP($B96,'PATIENT DATA (072721)'!A:C, 2, 0))</f>
        <v/>
      </c>
      <c r="B96" s="215"/>
      <c r="C96" s="230" t="str">
        <f>IF(COUNTIF('PATIENT DATA (072721)'!A:A, B96)=0, "X","✓")</f>
        <v>X</v>
      </c>
      <c r="D96" s="226" t="str">
        <f>IFS($B96=FALSE,"",$B96,VLOOKUP($B96,'PATIENT DATA (072721)'!A:C, 3, 0))</f>
        <v/>
      </c>
      <c r="E96" s="218">
        <v>44572.0</v>
      </c>
      <c r="F96" s="219" t="str">
        <f>ifs($B96="","",$B96, VLOOKUP($B96&amp;$E96, 'VISIT DATA'!A:O,3,0))</f>
        <v/>
      </c>
      <c r="G96" s="231"/>
      <c r="H96" s="221" t="str">
        <f>ifs($B96="","",$B96, VLOOKUP($B96&amp;$E96, 'VISIT DATA'!$A:$O,13,0))</f>
        <v/>
      </c>
      <c r="I96" s="262" t="str">
        <f>VLOOKUP($B96&amp;$E96,'VISIT DATA'!A:J, 9, FALSE)</f>
        <v>#N/A</v>
      </c>
      <c r="J96" s="223" t="str">
        <f>VLOOKUP(B96&amp;E96,'VISIT DATA'!A:N,10,FALSE)</f>
        <v>#N/A</v>
      </c>
      <c r="K96" s="225"/>
      <c r="L96" s="224"/>
      <c r="M96" s="224"/>
      <c r="N96" s="225"/>
      <c r="O96" s="216" t="str">
        <f t="shared" si="1"/>
        <v>X</v>
      </c>
      <c r="P96" s="226" t="str">
        <f t="shared" si="2"/>
        <v>#N/A</v>
      </c>
      <c r="Q96" s="227" t="str">
        <f t="shared" si="3"/>
        <v>#N/A</v>
      </c>
      <c r="R96" s="228" t="str">
        <f t="shared" si="4"/>
        <v>#N/A</v>
      </c>
      <c r="S96" s="220" t="str">
        <f t="shared" si="5"/>
        <v>#N/A</v>
      </c>
      <c r="T96" s="220" t="str">
        <f t="shared" si="6"/>
        <v>#N/A</v>
      </c>
      <c r="U96" s="221">
        <f t="shared" si="7"/>
        <v>0</v>
      </c>
      <c r="V96" s="229" t="str">
        <f>ifs($N96="",VLOOKUP($B96&amp;$E96,'VISIT DATA'!$A$2:$J100,7,FALSE), $N96="SWAB","OUTSA-RW",$N96="SWQU","OUTSA-SaQu", AND($L96="X",$M96="X",$N96="QUEST"),"OUT-UAQPre",$N96="QUEST","OUT-UAQ", $N96="Walk in","ColUATele")</f>
        <v>#N/A</v>
      </c>
      <c r="W96" s="24" t="str">
        <f t="shared" si="8"/>
        <v>#N/A</v>
      </c>
      <c r="X96" s="222" t="str">
        <f t="shared" si="9"/>
        <v/>
      </c>
      <c r="Y96" s="222" t="str">
        <f t="shared" si="10"/>
        <v/>
      </c>
      <c r="Z96" s="224" t="str">
        <f t="shared" si="11"/>
        <v> </v>
      </c>
      <c r="AA96" s="244"/>
    </row>
    <row r="97">
      <c r="A97" s="214" t="str">
        <f>IFS($B97=FALSE,"",$B97,VLOOKUP($B97,'PATIENT DATA (072721)'!A:C, 2, 0))</f>
        <v/>
      </c>
      <c r="B97" s="215"/>
      <c r="C97" s="230" t="str">
        <f>IF(COUNTIF('PATIENT DATA (072721)'!A:A, B97)=0, "X","✓")</f>
        <v>X</v>
      </c>
      <c r="D97" s="226" t="str">
        <f>IFS($B97=FALSE,"",$B97,VLOOKUP($B97,'PATIENT DATA (072721)'!A:C, 3, 0))</f>
        <v/>
      </c>
      <c r="E97" s="218">
        <v>44572.0</v>
      </c>
      <c r="F97" s="219" t="str">
        <f>ifs($B97="","",$B97, VLOOKUP($B97&amp;$E97, 'VISIT DATA'!A:O,3,0))</f>
        <v/>
      </c>
      <c r="G97" s="231"/>
      <c r="H97" s="221" t="str">
        <f>ifs($B97="","",$B97, VLOOKUP($B97&amp;$E97, 'VISIT DATA'!$A:$O,13,0))</f>
        <v/>
      </c>
      <c r="I97" s="262" t="str">
        <f>VLOOKUP($B97&amp;$E97,'VISIT DATA'!A:J, 9, FALSE)</f>
        <v>#N/A</v>
      </c>
      <c r="J97" s="223" t="str">
        <f>VLOOKUP(B97&amp;E97,'VISIT DATA'!A:N,10,FALSE)</f>
        <v>#N/A</v>
      </c>
      <c r="K97" s="225"/>
      <c r="L97" s="224"/>
      <c r="M97" s="224"/>
      <c r="N97" s="225"/>
      <c r="O97" s="216" t="str">
        <f t="shared" si="1"/>
        <v>X</v>
      </c>
      <c r="P97" s="226" t="str">
        <f t="shared" si="2"/>
        <v>#N/A</v>
      </c>
      <c r="Q97" s="227" t="str">
        <f t="shared" si="3"/>
        <v>#N/A</v>
      </c>
      <c r="R97" s="228" t="str">
        <f t="shared" si="4"/>
        <v>#N/A</v>
      </c>
      <c r="S97" s="220" t="str">
        <f t="shared" si="5"/>
        <v>#N/A</v>
      </c>
      <c r="T97" s="220" t="str">
        <f t="shared" si="6"/>
        <v>#N/A</v>
      </c>
      <c r="U97" s="221">
        <f t="shared" si="7"/>
        <v>0</v>
      </c>
      <c r="V97" s="229" t="str">
        <f>ifs($N97="",VLOOKUP($B97&amp;$E97,'VISIT DATA'!$A$2:$J100,7,FALSE), $N97="SWAB","OUTSA-RW",$N97="SWQU","OUTSA-SaQu", AND($L97="X",$M97="X",$N97="QUEST"),"OUT-UAQPre",$N97="QUEST","OUT-UAQ", $N97="Walk in","ColUATele")</f>
        <v>#N/A</v>
      </c>
      <c r="W97" s="24" t="str">
        <f t="shared" si="8"/>
        <v>#N/A</v>
      </c>
      <c r="X97" s="222" t="str">
        <f t="shared" si="9"/>
        <v/>
      </c>
      <c r="Y97" s="222" t="str">
        <f t="shared" si="10"/>
        <v/>
      </c>
      <c r="Z97" s="224" t="str">
        <f t="shared" si="11"/>
        <v> </v>
      </c>
      <c r="AA97" s="244"/>
    </row>
    <row r="98">
      <c r="A98" s="214" t="str">
        <f>IFS($B98=FALSE,"",$B98,VLOOKUP($B98,'PATIENT DATA (072721)'!A:C, 2, 0))</f>
        <v/>
      </c>
      <c r="B98" s="215"/>
      <c r="C98" s="230" t="str">
        <f>IF(COUNTIF('PATIENT DATA (072721)'!A:A, B98)=0, "X","✓")</f>
        <v>X</v>
      </c>
      <c r="D98" s="226" t="str">
        <f>IFS($B98=FALSE,"",$B98,VLOOKUP($B98,'PATIENT DATA (072721)'!A:C, 3, 0))</f>
        <v/>
      </c>
      <c r="E98" s="218">
        <v>44572.0</v>
      </c>
      <c r="F98" s="219" t="str">
        <f>ifs($B98="","",$B98, VLOOKUP($B98&amp;$E98, 'VISIT DATA'!A:O,3,0))</f>
        <v/>
      </c>
      <c r="G98" s="231"/>
      <c r="H98" s="221" t="str">
        <f>ifs($B98="","",$B98, VLOOKUP($B98&amp;$E98, 'VISIT DATA'!$A:$O,13,0))</f>
        <v/>
      </c>
      <c r="I98" s="262" t="str">
        <f>VLOOKUP($B98&amp;$E98,'VISIT DATA'!A:J, 9, FALSE)</f>
        <v>#N/A</v>
      </c>
      <c r="J98" s="223" t="str">
        <f>VLOOKUP(B98&amp;E98,'VISIT DATA'!A:N,10,FALSE)</f>
        <v>#N/A</v>
      </c>
      <c r="K98" s="225"/>
      <c r="L98" s="224"/>
      <c r="M98" s="224"/>
      <c r="N98" s="225"/>
      <c r="O98" s="216" t="str">
        <f t="shared" si="1"/>
        <v>X</v>
      </c>
      <c r="P98" s="226" t="str">
        <f t="shared" si="2"/>
        <v>#N/A</v>
      </c>
      <c r="Q98" s="227" t="str">
        <f t="shared" si="3"/>
        <v>#N/A</v>
      </c>
      <c r="R98" s="228" t="str">
        <f t="shared" si="4"/>
        <v>#N/A</v>
      </c>
      <c r="S98" s="220" t="str">
        <f t="shared" si="5"/>
        <v>#N/A</v>
      </c>
      <c r="T98" s="220" t="str">
        <f t="shared" si="6"/>
        <v>#N/A</v>
      </c>
      <c r="U98" s="221">
        <f t="shared" si="7"/>
        <v>0</v>
      </c>
      <c r="V98" s="229" t="str">
        <f>ifs($N98="",VLOOKUP($B98&amp;$E98,'VISIT DATA'!$A$2:$J100,7,FALSE), $N98="SWAB","OUTSA-RW",$N98="SWQU","OUTSA-SaQu", AND($L98="X",$M98="X",$N98="QUEST"),"OUT-UAQPre",$N98="QUEST","OUT-UAQ", $N98="Walk in","ColUATele")</f>
        <v>#N/A</v>
      </c>
      <c r="W98" s="24" t="str">
        <f t="shared" si="8"/>
        <v>#N/A</v>
      </c>
      <c r="X98" s="222" t="str">
        <f t="shared" si="9"/>
        <v/>
      </c>
      <c r="Y98" s="222" t="str">
        <f t="shared" si="10"/>
        <v/>
      </c>
      <c r="Z98" s="224" t="str">
        <f t="shared" si="11"/>
        <v> </v>
      </c>
      <c r="AA98" s="244"/>
    </row>
    <row r="99">
      <c r="A99" s="214" t="str">
        <f>IFS($B99=FALSE,"",$B99,VLOOKUP($B99,'PATIENT DATA (072721)'!A:C, 2, 0))</f>
        <v/>
      </c>
      <c r="B99" s="215"/>
      <c r="C99" s="230" t="str">
        <f>IF(COUNTIF('PATIENT DATA (072721)'!A:A, B99)=0, "X","✓")</f>
        <v>X</v>
      </c>
      <c r="D99" s="226" t="str">
        <f>IFS($B99=FALSE,"",$B99,VLOOKUP($B99,'PATIENT DATA (072721)'!A:C, 3, 0))</f>
        <v/>
      </c>
      <c r="E99" s="218">
        <v>44572.0</v>
      </c>
      <c r="F99" s="219" t="str">
        <f>ifs($B99="","",$B99, VLOOKUP($B99&amp;$E99, 'VISIT DATA'!A:O,3,0))</f>
        <v/>
      </c>
      <c r="G99" s="231"/>
      <c r="H99" s="221" t="str">
        <f>ifs($B99="","",$B99, VLOOKUP($B99&amp;$E99, 'VISIT DATA'!$A:$O,13,0))</f>
        <v/>
      </c>
      <c r="I99" s="262" t="str">
        <f>VLOOKUP($B99&amp;$E99,'VISIT DATA'!A:J, 9, FALSE)</f>
        <v>#N/A</v>
      </c>
      <c r="J99" s="223" t="str">
        <f>VLOOKUP(B99&amp;E99,'VISIT DATA'!A:N,10,FALSE)</f>
        <v>#N/A</v>
      </c>
      <c r="K99" s="225"/>
      <c r="L99" s="224"/>
      <c r="M99" s="224"/>
      <c r="N99" s="225"/>
      <c r="O99" s="216" t="str">
        <f t="shared" si="1"/>
        <v>X</v>
      </c>
      <c r="P99" s="226" t="str">
        <f t="shared" si="2"/>
        <v>#N/A</v>
      </c>
      <c r="Q99" s="227" t="str">
        <f t="shared" si="3"/>
        <v>#N/A</v>
      </c>
      <c r="R99" s="228" t="str">
        <f t="shared" si="4"/>
        <v>#N/A</v>
      </c>
      <c r="S99" s="220" t="str">
        <f t="shared" si="5"/>
        <v>#N/A</v>
      </c>
      <c r="T99" s="220" t="str">
        <f t="shared" si="6"/>
        <v>#N/A</v>
      </c>
      <c r="U99" s="221">
        <f t="shared" si="7"/>
        <v>0</v>
      </c>
      <c r="V99" s="229" t="str">
        <f>ifs($N99="",VLOOKUP($B99&amp;$E99,'VISIT DATA'!$A$2:$J100,7,FALSE), $N99="SWAB","OUTSA-RW",$N99="SWQU","OUTSA-SaQu", AND($L99="X",$M99="X",$N99="QUEST"),"OUT-UAQPre",$N99="QUEST","OUT-UAQ", $N99="Walk in","ColUATele")</f>
        <v>#N/A</v>
      </c>
      <c r="W99" s="24" t="str">
        <f t="shared" si="8"/>
        <v>#N/A</v>
      </c>
      <c r="X99" s="222" t="str">
        <f t="shared" si="9"/>
        <v/>
      </c>
      <c r="Y99" s="222" t="str">
        <f t="shared" si="10"/>
        <v/>
      </c>
      <c r="Z99" s="224" t="str">
        <f t="shared" si="11"/>
        <v> </v>
      </c>
      <c r="AA99" s="244"/>
    </row>
    <row r="100">
      <c r="A100" s="232"/>
      <c r="B100" s="232"/>
      <c r="C100" s="232"/>
      <c r="D100" s="232"/>
      <c r="E100" s="263"/>
      <c r="F100" s="234"/>
      <c r="G100" s="232"/>
      <c r="H100" s="235"/>
      <c r="I100" s="232"/>
      <c r="J100" s="232"/>
      <c r="K100" s="236" t="s">
        <v>6333</v>
      </c>
      <c r="L100" s="237">
        <f>COUNTIFS(K1:L80, "X")</f>
        <v>33</v>
      </c>
      <c r="M100" s="236" t="s">
        <v>6334</v>
      </c>
      <c r="N100" s="237">
        <f>COUNTIFS(M1:M80, "X")</f>
        <v>9</v>
      </c>
      <c r="O100" s="238"/>
      <c r="P100" s="238"/>
      <c r="Q100" s="238"/>
      <c r="R100" s="238"/>
      <c r="S100" s="238"/>
      <c r="T100" s="238"/>
      <c r="U100" s="238"/>
      <c r="V100" s="239"/>
      <c r="W100" s="238"/>
      <c r="X100" s="238"/>
      <c r="Y100" s="238"/>
      <c r="Z100" s="238"/>
      <c r="AA100" s="238"/>
    </row>
  </sheetData>
  <customSheetViews>
    <customSheetView guid="{20F5F3BA-172D-4727-943D-E296FD1F3EFA}" filter="1" showAutoFilter="1">
      <autoFilter ref="$A$1:$AA$100"/>
    </customSheetView>
  </customSheetViews>
  <conditionalFormatting sqref="A1:X100">
    <cfRule type="expression" dxfId="5" priority="1">
      <formula>$X1="ERROR"</formula>
    </cfRule>
  </conditionalFormatting>
  <conditionalFormatting sqref="A1:Z99">
    <cfRule type="expression" dxfId="5" priority="2">
      <formula>$Y1="NO MATCH"</formula>
    </cfRule>
  </conditionalFormatting>
  <conditionalFormatting sqref="C2:C99 O2:O99">
    <cfRule type="containsText" dxfId="5" priority="3" operator="containsText" text="X">
      <formula>NOT(ISERROR(SEARCH(("X"),(C2))))</formula>
    </cfRule>
  </conditionalFormatting>
  <conditionalFormatting sqref="A1:Z99">
    <cfRule type="expression" dxfId="4" priority="4">
      <formula>$Z1="Repeat"</formula>
    </cfRule>
  </conditionalFormatting>
  <conditionalFormatting sqref="V2:V99">
    <cfRule type="expression" dxfId="10" priority="5">
      <formula>$N2="QUEST"</formula>
    </cfRule>
  </conditionalFormatting>
  <conditionalFormatting sqref="C2:C99 O2:O99">
    <cfRule type="containsText" dxfId="10" priority="6" operator="containsText" text="✓">
      <formula>NOT(ISERROR(SEARCH(("✓"),(C2))))</formula>
    </cfRule>
  </conditionalFormatting>
  <conditionalFormatting sqref="A1:U99">
    <cfRule type="expression" dxfId="20" priority="7">
      <formula>$J1="MOLINA DUAL COMPLETE NEW MEXICO"</formula>
    </cfRule>
  </conditionalFormatting>
  <conditionalFormatting sqref="A1:U99">
    <cfRule type="expression" dxfId="20" priority="8">
      <formula>$J1="MOLINA DUAL COMPLETE TEXAS"</formula>
    </cfRule>
  </conditionalFormatting>
  <conditionalFormatting sqref="A1:U99">
    <cfRule type="expression" dxfId="20" priority="9">
      <formula>$J1="MOLINA MARKETPLACE TEXAS"</formula>
    </cfRule>
  </conditionalFormatting>
  <conditionalFormatting sqref="K1:K99">
    <cfRule type="containsText" dxfId="6" priority="10" operator="containsText" text="x">
      <formula>NOT(ISERROR(SEARCH(("x"),(K1))))</formula>
    </cfRule>
  </conditionalFormatting>
  <conditionalFormatting sqref="M1:M99">
    <cfRule type="containsText" dxfId="21" priority="11" operator="containsText" text="X">
      <formula>NOT(ISERROR(SEARCH(("X"),(M1))))</formula>
    </cfRule>
  </conditionalFormatting>
  <conditionalFormatting sqref="L1:L99">
    <cfRule type="containsText" dxfId="22" priority="12" operator="containsText" text="X">
      <formula>NOT(ISERROR(SEARCH(("X"),(L1))))</formula>
    </cfRule>
  </conditionalFormatting>
  <conditionalFormatting sqref="C1:C99 O1:O99">
    <cfRule type="containsBlanks" dxfId="23" priority="13">
      <formula>LEN(TRIM(C1))=0</formula>
    </cfRule>
  </conditionalFormatting>
  <conditionalFormatting sqref="J1:J99 N1:O1 Z1">
    <cfRule type="containsText" dxfId="24" priority="14" operator="containsText" text="Molina">
      <formula>NOT(ISERROR(SEARCH(("Molina"),(J1))))</formula>
    </cfRule>
  </conditionalFormatting>
  <conditionalFormatting sqref="K1:M99">
    <cfRule type="containsBlanks" dxfId="25" priority="15">
      <formula>LEN(TRIM(K1))=0</formula>
    </cfRule>
  </conditionalFormatting>
  <conditionalFormatting sqref="O1:O99 A2:N99 P2:Z99">
    <cfRule type="expression" dxfId="10" priority="16">
      <formula>$N1="SWAB"</formula>
    </cfRule>
  </conditionalFormatting>
  <conditionalFormatting sqref="J1:J99">
    <cfRule type="containsText" dxfId="5" priority="17" operator="containsText" text="Self Pay">
      <formula>NOT(ISERROR(SEARCH(("Self Pay"),(J1))))</formula>
    </cfRule>
  </conditionalFormatting>
  <conditionalFormatting sqref="J1:J99">
    <cfRule type="containsText" dxfId="5" priority="18" operator="containsText" text="Self-Pay">
      <formula>NOT(ISERROR(SEARCH(("Self-Pay"),(J1))))</formula>
    </cfRule>
  </conditionalFormatting>
  <conditionalFormatting sqref="J1:J99">
    <cfRule type="containsText" dxfId="5" priority="19" operator="containsText" text="Third Party">
      <formula>NOT(ISERROR(SEARCH(("Third Party"),(J1))))</formula>
    </cfRule>
  </conditionalFormatting>
  <conditionalFormatting sqref="A1:U99">
    <cfRule type="expression" dxfId="26" priority="20">
      <formula>$J1="SUPERIOR HEALTH PLAN"</formula>
    </cfRule>
  </conditionalFormatting>
  <conditionalFormatting sqref="A1:U99">
    <cfRule type="expression" dxfId="26" priority="21">
      <formula>$J1="AMBETTER - SUPERIOR"</formula>
    </cfRule>
  </conditionalFormatting>
  <conditionalFormatting sqref="A1:U99">
    <cfRule type="expression" dxfId="19" priority="22">
      <formula>$J1="Wellmed - Humana"</formula>
    </cfRule>
  </conditionalFormatting>
  <conditionalFormatting sqref="A1:U99">
    <cfRule type="expression" dxfId="19" priority="23">
      <formula>$J1="WELLMED - AARP MEDICARE COMPLETE"</formula>
    </cfRule>
  </conditionalFormatting>
  <conditionalFormatting sqref="A1:U99">
    <cfRule type="expression" dxfId="19" priority="24">
      <formula>$J1="WELLMED - AMERIVANTAGE"</formula>
    </cfRule>
  </conditionalFormatting>
  <conditionalFormatting sqref="A1:U99">
    <cfRule type="expression" dxfId="19" priority="25">
      <formula>$J1="WELLMED - CIGNA HEALTHSPRING"</formula>
    </cfRule>
  </conditionalFormatting>
  <conditionalFormatting sqref="A1:U99">
    <cfRule type="expression" dxfId="19" priority="26">
      <formula>$J1="WELLMED - UHC CHRONIC COMPLETE HMO C-SNP"</formula>
    </cfRule>
  </conditionalFormatting>
  <conditionalFormatting sqref="A1:U99">
    <cfRule type="expression" dxfId="19" priority="27">
      <formula>$J1="WELLMED - UHC DUAL COMPLETE HMO SNP"</formula>
    </cfRule>
  </conditionalFormatting>
  <conditionalFormatting sqref="A1:U99">
    <cfRule type="expression" dxfId="19" priority="28">
      <formula>$J1="WELLMED - UHC DUAL COMPLETE SNP"</formula>
    </cfRule>
  </conditionalFormatting>
  <conditionalFormatting sqref="A1:U99">
    <cfRule type="expression" dxfId="20" priority="29">
      <formula>$J1="MOLINA DUAL COMPLETE NEW MEXICO"</formula>
    </cfRule>
  </conditionalFormatting>
  <conditionalFormatting sqref="A1:U99">
    <cfRule type="expression" dxfId="20" priority="30">
      <formula>$J1="MOLINA DUAL COMPLETE TEXAS"</formula>
    </cfRule>
  </conditionalFormatting>
  <conditionalFormatting sqref="A1:U99">
    <cfRule type="expression" dxfId="20" priority="31">
      <formula>$J1="MOLINA MARKETPLACE TEXAS"</formula>
    </cfRule>
  </conditionalFormatting>
  <conditionalFormatting sqref="A1:U99">
    <cfRule type="expression" dxfId="20" priority="32">
      <formula>$J1="MOLINA MEDICAID TEXAS"</formula>
    </cfRule>
  </conditionalFormatting>
  <conditionalFormatting sqref="A1:U99">
    <cfRule type="expression" dxfId="27" priority="33">
      <formula>$J1="HUMANA OPEN ACCESS PLAN"</formula>
    </cfRule>
  </conditionalFormatting>
  <conditionalFormatting sqref="A1:U99">
    <cfRule type="expression" dxfId="28" priority="34">
      <formula>$J1="HUMANA CHOICE CARE"</formula>
    </cfRule>
  </conditionalFormatting>
  <conditionalFormatting sqref="V1:W99">
    <cfRule type="expression" dxfId="11" priority="35">
      <formula>$V1="UA"</formula>
    </cfRule>
  </conditionalFormatting>
  <conditionalFormatting sqref="V1:W99">
    <cfRule type="expression" dxfId="12" priority="36">
      <formula>$V1="OUTUA-PrRW"</formula>
    </cfRule>
  </conditionalFormatting>
  <conditionalFormatting sqref="V1:W99">
    <cfRule type="expression" dxfId="12" priority="37">
      <formula>$V1="OUT-UAQPre"</formula>
    </cfRule>
  </conditionalFormatting>
  <conditionalFormatting sqref="V1:W99">
    <cfRule type="expression" dxfId="13" priority="38">
      <formula>$V1="UA-Prelim"</formula>
    </cfRule>
  </conditionalFormatting>
  <conditionalFormatting sqref="V1:W99">
    <cfRule type="expression" dxfId="6" priority="39">
      <formula>$V1="UA-NWPT"</formula>
    </cfRule>
  </conditionalFormatting>
  <conditionalFormatting sqref="N1:N100 O1:O99">
    <cfRule type="expression" dxfId="5" priority="40">
      <formula>$O1="X"</formula>
    </cfRule>
  </conditionalFormatting>
  <conditionalFormatting sqref="V1:W99">
    <cfRule type="expression" dxfId="10" priority="41">
      <formula>$V1="OUT-UAQ"</formula>
    </cfRule>
  </conditionalFormatting>
  <conditionalFormatting sqref="V1:W99">
    <cfRule type="expression" dxfId="10" priority="42">
      <formula>$V1="OUTUA-FURW"</formula>
    </cfRule>
  </conditionalFormatting>
  <conditionalFormatting sqref="V1:W99">
    <cfRule type="expression" dxfId="14" priority="43">
      <formula>$V1="OUTSA-SaQu"</formula>
    </cfRule>
  </conditionalFormatting>
  <conditionalFormatting sqref="V1:W99">
    <cfRule type="expression" dxfId="14" priority="44">
      <formula>$V1="OUTSA-RW"</formula>
    </cfRule>
  </conditionalFormatting>
  <dataValidations>
    <dataValidation type="list" allowBlank="1" showErrorMessage="1" sqref="H2:H99">
      <formula1>"CH,DA,DC,DM,FA,LM"</formula1>
    </dataValidation>
    <dataValidation type="list" allowBlank="1" showErrorMessage="1" sqref="J2:J99">
      <formula1>Data!$A$2:$A100</formula1>
    </dataValidation>
    <dataValidation type="custom" allowBlank="1" showDropDown="1" showInputMessage="1" showErrorMessage="1" prompt="CAPITALS" sqref="A1:A99">
      <formula1>ISERROR(SEARCH((exact(upper(B:N),B:N)),(A1)))</formula1>
    </dataValidation>
    <dataValidation type="list" allowBlank="1" showErrorMessage="1" sqref="F2:F99">
      <formula1>Data!$B$1:$B$44</formula1>
    </dataValidation>
    <dataValidation type="custom" allowBlank="1" showDropDown="1" showInputMessage="1" showErrorMessage="1" prompt="CAPITALS" sqref="B1:B99">
      <formula1>ISERROR(SEARCH((exact(upper(B:O),B:O)),(B1)))</formula1>
    </dataValidation>
    <dataValidation type="list" allowBlank="1" showErrorMessage="1" sqref="G2:G99">
      <formula1>"F,M"</formula1>
    </dataValidation>
    <dataValidation type="list" allowBlank="1" showErrorMessage="1" sqref="K2:M99">
      <formula1>"X"</formula1>
    </dataValidation>
    <dataValidation type="list" allowBlank="1" showInputMessage="1" showErrorMessage="1" prompt="Click and enter a value from range 'Insurance Data'!C2:C608" sqref="E2:E99">
      <formula1>Data!$C:$C</formula1>
    </dataValidation>
    <dataValidation type="list" allowBlank="1" showErrorMessage="1" sqref="I2:I99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1.0"/>
    <col customWidth="1" min="2" max="2" width="6.43"/>
    <col customWidth="1" min="3" max="3" width="2.14"/>
    <col customWidth="1" min="4" max="4" width="9.71"/>
    <col customWidth="1" min="5" max="5" width="10.71"/>
    <col customWidth="1" min="6" max="6" width="11.57"/>
    <col customWidth="1" min="7" max="7" width="8.43"/>
    <col customWidth="1" min="8" max="8" width="8.29"/>
    <col customWidth="1" min="9" max="9" width="12.71"/>
    <col customWidth="1" min="10" max="10" width="38.14"/>
    <col customWidth="1" min="11" max="11" width="8.29"/>
    <col customWidth="1" min="12" max="12" width="8.57"/>
    <col customWidth="1" min="13" max="13" width="7.57"/>
    <col customWidth="1" min="14" max="14" width="7.0"/>
    <col customWidth="1" min="15" max="15" width="2.14"/>
    <col customWidth="1" hidden="1" min="16" max="20" width="12.57"/>
    <col customWidth="1" hidden="1" min="21" max="21" width="2.14"/>
    <col customWidth="1" min="22" max="22" width="14.86"/>
    <col customWidth="1" hidden="1" min="23" max="24" width="34.57"/>
    <col customWidth="1" hidden="1" min="25" max="25" width="12.14"/>
    <col customWidth="1" hidden="1" min="26" max="26" width="1.57"/>
    <col customWidth="1" min="27" max="27" width="9.57"/>
  </cols>
  <sheetData>
    <row r="1">
      <c r="A1" s="204" t="s">
        <v>24</v>
      </c>
      <c r="B1" s="205" t="s">
        <v>6237</v>
      </c>
      <c r="C1" s="206"/>
      <c r="D1" s="207" t="s">
        <v>25</v>
      </c>
      <c r="E1" s="280" t="s">
        <v>21</v>
      </c>
      <c r="F1" s="208" t="s">
        <v>6077</v>
      </c>
      <c r="G1" s="208" t="s">
        <v>6318</v>
      </c>
      <c r="H1" s="209" t="s">
        <v>2</v>
      </c>
      <c r="I1" s="209" t="s">
        <v>6206</v>
      </c>
      <c r="J1" s="209" t="s">
        <v>6135</v>
      </c>
      <c r="K1" s="208" t="s">
        <v>6353</v>
      </c>
      <c r="L1" s="208" t="s">
        <v>6354</v>
      </c>
      <c r="M1" s="208" t="s">
        <v>6240</v>
      </c>
      <c r="N1" s="210" t="s">
        <v>7</v>
      </c>
      <c r="O1" s="206"/>
      <c r="P1" s="207" t="s">
        <v>6188</v>
      </c>
      <c r="Q1" s="208" t="s">
        <v>6319</v>
      </c>
      <c r="R1" s="208" t="s">
        <v>6132</v>
      </c>
      <c r="S1" s="208" t="s">
        <v>6134</v>
      </c>
      <c r="T1" s="208" t="s">
        <v>6147</v>
      </c>
      <c r="U1" s="211"/>
      <c r="V1" s="212" t="s">
        <v>6320</v>
      </c>
      <c r="W1" s="207"/>
      <c r="X1" s="209"/>
      <c r="Y1" s="208" t="s">
        <v>6321</v>
      </c>
      <c r="Z1" s="213"/>
      <c r="AA1" s="241"/>
    </row>
    <row r="2">
      <c r="A2" s="214" t="str">
        <f>IFS($B2=FALSE,"",$B2,VLOOKUP($B2,'PATIENT DATA (072721)'!A:C, 2, 0))</f>
        <v>CHAVEZ, LETICIA</v>
      </c>
      <c r="B2" s="215">
        <v>11342.0</v>
      </c>
      <c r="C2" s="216" t="str">
        <f>IF(COUNTIF('PATIENT DATA (072721)'!A:A, B2)=0, "X","✓")</f>
        <v>✓</v>
      </c>
      <c r="D2" s="226">
        <f>IFS($B2=FALSE,"",$B2,VLOOKUP($B2,'PATIENT DATA (072721)'!A:C, 3, 0))</f>
        <v>23571</v>
      </c>
      <c r="E2" s="218">
        <v>44574.0</v>
      </c>
      <c r="F2" s="219">
        <f>ifs($B2="","",$B2, VLOOKUP($B2&amp;$E2, 'VISIT DATA'!A:O,3,0))</f>
        <v>0.34375</v>
      </c>
      <c r="G2" s="220" t="s">
        <v>6323</v>
      </c>
      <c r="H2" s="221" t="s">
        <v>12</v>
      </c>
      <c r="I2" s="222" t="str">
        <f>VLOOKUP($B2&amp;$E2,'VISIT DATA'!A:J, 9, FALSE)</f>
        <v>THOMAS</v>
      </c>
      <c r="J2" s="223" t="str">
        <f>VLOOKUP(B2&amp;E2,'VISIT DATA'!A:N,10,FALSE)</f>
        <v>WELLMED - CIGNA HEALTHSPRING</v>
      </c>
      <c r="K2" s="242"/>
      <c r="L2" s="224" t="s">
        <v>6242</v>
      </c>
      <c r="M2" s="224"/>
      <c r="N2" s="225"/>
      <c r="O2" s="216" t="str">
        <f t="shared" ref="O2:O99" si="1">IF(OR(K2 = "x",L2 = "x",M2 = "x"),"✓", "X")</f>
        <v>✓</v>
      </c>
      <c r="P2" s="226" t="str">
        <f t="shared" ref="P2:P99" si="2">ifs(SEARCH($P$1,$J2)&gt;=1,"X")</f>
        <v>X</v>
      </c>
      <c r="Q2" s="227" t="str">
        <f t="shared" ref="Q2:Q99" si="3">ifs(SEARCH($Q$1,$J2)&gt;=1,"X")</f>
        <v>#VALUE!</v>
      </c>
      <c r="R2" s="228" t="str">
        <f t="shared" ref="R2:R99" si="4">ifs(SEARCH($R$1,$J2)&gt;=1,"X")</f>
        <v>#VALUE!</v>
      </c>
      <c r="S2" s="220" t="str">
        <f t="shared" ref="S2:S99" si="5">ifs(SEARCH($S$1,$J2)&gt;=1,"X")</f>
        <v>#VALUE!</v>
      </c>
      <c r="T2" s="220" t="str">
        <f t="shared" ref="T2:T99" si="6">ifs(SEARCH($T$1,$J2)&gt;=1,"X")</f>
        <v>#VALUE!</v>
      </c>
      <c r="U2" s="221">
        <f t="shared" ref="U2:U99" si="7">countif($P2:$T2,"X")</f>
        <v>1</v>
      </c>
      <c r="V2" s="229" t="str">
        <f>ifs($N2="",VLOOKUP($B2&amp;$E2,'VISIT DATA'!$A$2:$J100,7,FALSE), $N2="SWAB","OUTSA-RW",$N2="SWQU","OUTSA-SaQu", AND($L2="X",$M2="X",$N2="QUEST"),"OUT-UAQPre",$N2="QUEST","OUT-UAQ", $N2="Walk in","ColUATele")</f>
        <v>OUTUA-FURW</v>
      </c>
      <c r="W2" s="24" t="str">
        <f t="shared" ref="W2:W99" si="8">ifs($V2="UA-NWPT","UA-NWPT : UA New Patient",$V2="UA","UA : Urine Analysis In House",$V2="UA-Prelim","UA-Prelim : Preliminary UA Test",$V2="OUT-UAQ","OUT-UAQ : Quest Out UA",$V2="OUT-UAQPre", "OUT-UAQPre : OUT UA Prelim Quest",$V2="OUTSA-SaQu","OUTSA-SaQu : Saliva Out Quest",$V2="ColUATele","Collected Telemed",$V2="OUTUA-PrRW", "OUTUA-PrRW : OUT UA Prelimin Redwood",$V2="OUTUA-FURW", "OUTUA-FURW : OUT UA FU Redwood",$V2="OUTUA-NWRW", "OUTUA-NWRW : OUT UA New Redwood",$V2="OUTSA-RW", "OUTSA-RW : OUT Saliva Redwood")</f>
        <v>OUTUA-FURW : OUT UA FU Redwood</v>
      </c>
      <c r="X2" s="222" t="str">
        <f t="shared" ref="X2:X99" si="9">ifs($B2="","",and($K2="X",$L2="X",$M2="X",$N2="SWAB"), "ERROR",and($K2="X",$L2="X",$N2="SWAB"), "ERROR", and($L2="X",$N2="SWAB"), "OUTSA-RW : OUT Saliva Redwood", and($K2="X",$M2="X", $N2="SWAB"),"ERROR", and($M2="X",$N2="SWAB"), "OUTSA-RW : OUT Saliva Redwood", and($K2="X",$N2="SWAB"),"OUTSA-RW : OUT Saliva Redwood",and($K2="X",$L2="X"),"ERROR", and($K2="X",$M2="X"),"ERROR",and($M2="X",$U2=1), "OUTUA-PrRW : OUT UA Prelimin Redwood", and($K2="X",$U2=1), "OUTUA-NWRW : OUT UA New Redwood", and($L2="X",$U2=1), "OUTUA-FURW : OUT UA FU Redwood", and($L2="X",$M2="X",$U2=1), "OUTUA-PrRW : OUT UA Prelimin Redwood", $K2="X","UA-NWPT : UA New Patient", and($L2="X",$M2="X"),"UA-Prelim : Preliminary UA Test",and($L2="X",$N2="SWAB"),"OUTSA-RW : OUT Saliva Redwood",$L2="X","UA : Urine Analysis In House",$M2="X","UA-Prelim : Preliminary UA Test")</f>
        <v>OUTUA-FURW : OUT UA FU Redwood</v>
      </c>
      <c r="Y2" s="222" t="str">
        <f t="shared" ref="Y2:Y99" si="10">IFS($B2="","",X2=W2,"MATCH",X2&lt;&gt;W2,"NO MATCH")</f>
        <v>MATCH</v>
      </c>
      <c r="Z2" s="224" t="str">
        <f t="shared" ref="Z2:Z99" si="11">IF((countif($B$2:$B100,$B2)&gt;1),"Repeat"," ")</f>
        <v> </v>
      </c>
      <c r="AA2" s="243"/>
    </row>
    <row r="3">
      <c r="A3" s="214" t="str">
        <f>IFS($B3=FALSE,"",$B3,VLOOKUP($B3,'PATIENT DATA (072721)'!A:C, 2, 0))</f>
        <v>SOSA, MARY</v>
      </c>
      <c r="B3" s="215">
        <v>11852.0</v>
      </c>
      <c r="C3" s="216" t="str">
        <f>IF(COUNTIF('PATIENT DATA (072721)'!A:A, B3)=0, "X","✓")</f>
        <v>✓</v>
      </c>
      <c r="D3" s="226">
        <f>IFS($B3=FALSE,"",$B3,VLOOKUP($B3,'PATIENT DATA (072721)'!A:C, 3, 0))</f>
        <v>12931</v>
      </c>
      <c r="E3" s="218">
        <v>44574.0</v>
      </c>
      <c r="F3" s="219">
        <f>ifs($B3="","",$B3, VLOOKUP($B3&amp;$E3, 'VISIT DATA'!A:O,3,0))</f>
        <v>0.3333333333</v>
      </c>
      <c r="G3" s="220" t="s">
        <v>6323</v>
      </c>
      <c r="H3" s="221" t="s">
        <v>14</v>
      </c>
      <c r="I3" s="222" t="str">
        <f>VLOOKUP($B3&amp;$E3,'VISIT DATA'!A:J, 9, FALSE)</f>
        <v>TORRES</v>
      </c>
      <c r="J3" s="223" t="str">
        <f>VLOOKUP(B3&amp;E3,'VISIT DATA'!A:N,10,FALSE)</f>
        <v>HUMANA GOLD PLUS HMO</v>
      </c>
      <c r="K3" s="224"/>
      <c r="L3" s="224" t="s">
        <v>6242</v>
      </c>
      <c r="M3" s="224"/>
      <c r="N3" s="225"/>
      <c r="O3" s="216" t="str">
        <f t="shared" si="1"/>
        <v>✓</v>
      </c>
      <c r="P3" s="226" t="str">
        <f t="shared" si="2"/>
        <v>#VALUE!</v>
      </c>
      <c r="Q3" s="227" t="str">
        <f t="shared" si="3"/>
        <v>#VALUE!</v>
      </c>
      <c r="R3" s="228" t="str">
        <f t="shared" si="4"/>
        <v>#VALUE!</v>
      </c>
      <c r="S3" s="220" t="str">
        <f t="shared" si="5"/>
        <v>#VALUE!</v>
      </c>
      <c r="T3" s="220" t="str">
        <f t="shared" si="6"/>
        <v>#VALUE!</v>
      </c>
      <c r="U3" s="221">
        <f t="shared" si="7"/>
        <v>0</v>
      </c>
      <c r="V3" s="229" t="str">
        <f>ifs($N3="",VLOOKUP($B3&amp;$E3,'VISIT DATA'!$A$2:$J100,7,FALSE), $N3="SWAB","OUTSA-RW",$N3="SWQU","OUTSA-SaQu", AND($L3="X",$M3="X",$N3="QUEST"),"OUT-UAQPre",$N3="QUEST","OUT-UAQ", $N3="Walk in","ColUATele")</f>
        <v>UA</v>
      </c>
      <c r="W3" s="24" t="str">
        <f t="shared" si="8"/>
        <v>UA : Urine Analysis In House</v>
      </c>
      <c r="X3" s="222" t="str">
        <f t="shared" si="9"/>
        <v>UA : Urine Analysis In House</v>
      </c>
      <c r="Y3" s="222" t="str">
        <f t="shared" si="10"/>
        <v>MATCH</v>
      </c>
      <c r="Z3" s="224" t="str">
        <f t="shared" si="11"/>
        <v> </v>
      </c>
      <c r="AA3" s="243"/>
    </row>
    <row r="4">
      <c r="A4" s="214" t="str">
        <f>IFS($B4=FALSE,"",$B4,VLOOKUP($B4,'PATIENT DATA (072721)'!A:C, 2, 0))</f>
        <v>RAMOS, ANTONIO JR</v>
      </c>
      <c r="B4" s="215">
        <v>9938.0</v>
      </c>
      <c r="C4" s="216" t="str">
        <f>IF(COUNTIF('PATIENT DATA (072721)'!A:A, B4)=0, "X","✓")</f>
        <v>✓</v>
      </c>
      <c r="D4" s="226">
        <f>IFS($B4=FALSE,"",$B4,VLOOKUP($B4,'PATIENT DATA (072721)'!A:C, 3, 0))</f>
        <v>25985</v>
      </c>
      <c r="E4" s="218">
        <v>44574.0</v>
      </c>
      <c r="F4" s="219">
        <f>ifs($B4="","",$B4, VLOOKUP($B4&amp;$E4, 'VISIT DATA'!A:O,3,0))</f>
        <v>0.34375</v>
      </c>
      <c r="G4" s="220" t="s">
        <v>6328</v>
      </c>
      <c r="H4" s="221" t="s">
        <v>14</v>
      </c>
      <c r="I4" s="222" t="str">
        <f>VLOOKUP($B4&amp;$E4,'VISIT DATA'!A:J, 9, FALSE)</f>
        <v>TORRES</v>
      </c>
      <c r="J4" s="223" t="str">
        <f>VLOOKUP(B4&amp;E4,'VISIT DATA'!A:N,10,FALSE)</f>
        <v>AETNA</v>
      </c>
      <c r="K4" s="242"/>
      <c r="L4" s="224" t="s">
        <v>6242</v>
      </c>
      <c r="M4" s="224"/>
      <c r="N4" s="225"/>
      <c r="O4" s="216" t="str">
        <f t="shared" si="1"/>
        <v>✓</v>
      </c>
      <c r="P4" s="226" t="str">
        <f t="shared" si="2"/>
        <v>#VALUE!</v>
      </c>
      <c r="Q4" s="227" t="str">
        <f t="shared" si="3"/>
        <v>#VALUE!</v>
      </c>
      <c r="R4" s="228" t="str">
        <f t="shared" si="4"/>
        <v>#VALUE!</v>
      </c>
      <c r="S4" s="220" t="str">
        <f t="shared" si="5"/>
        <v>#VALUE!</v>
      </c>
      <c r="T4" s="220" t="str">
        <f t="shared" si="6"/>
        <v>#VALUE!</v>
      </c>
      <c r="U4" s="221">
        <f t="shared" si="7"/>
        <v>0</v>
      </c>
      <c r="V4" s="229" t="str">
        <f>ifs($N4="",VLOOKUP($B4&amp;$E4,'VISIT DATA'!$A$2:$J100,7,FALSE), $N4="SWAB","OUTSA-RW",$N4="SWQU","OUTSA-SaQu", AND($L4="X",$M4="X",$N4="QUEST"),"OUT-UAQPre",$N4="QUEST","OUT-UAQ", $N4="Walk in","ColUATele")</f>
        <v>UA</v>
      </c>
      <c r="W4" s="24" t="str">
        <f t="shared" si="8"/>
        <v>UA : Urine Analysis In House</v>
      </c>
      <c r="X4" s="222" t="str">
        <f t="shared" si="9"/>
        <v>UA : Urine Analysis In House</v>
      </c>
      <c r="Y4" s="222" t="str">
        <f t="shared" si="10"/>
        <v>MATCH</v>
      </c>
      <c r="Z4" s="224" t="str">
        <f t="shared" si="11"/>
        <v> </v>
      </c>
      <c r="AA4" s="243"/>
    </row>
    <row r="5">
      <c r="A5" s="214" t="str">
        <f>IFS($B5=FALSE,"",$B5,VLOOKUP($B5,'PATIENT DATA (072721)'!A:C, 2, 0))</f>
        <v>BONNER, HUBERT</v>
      </c>
      <c r="B5" s="215">
        <v>9493.0</v>
      </c>
      <c r="C5" s="216" t="str">
        <f>IF(COUNTIF('PATIENT DATA (072721)'!A:A, B5)=0, "X","✓")</f>
        <v>✓</v>
      </c>
      <c r="D5" s="226">
        <f>IFS($B5=FALSE,"",$B5,VLOOKUP($B5,'PATIENT DATA (072721)'!A:C, 3, 0))</f>
        <v>20636</v>
      </c>
      <c r="E5" s="218">
        <v>44574.0</v>
      </c>
      <c r="F5" s="219">
        <f>ifs($B5="","",$B5, VLOOKUP($B5&amp;$E5, 'VISIT DATA'!A:O,3,0))</f>
        <v>0.375</v>
      </c>
      <c r="G5" s="220" t="s">
        <v>6328</v>
      </c>
      <c r="H5" s="221" t="s">
        <v>14</v>
      </c>
      <c r="I5" s="222" t="str">
        <f>VLOOKUP($B5&amp;$E5,'VISIT DATA'!A:J, 9, FALSE)</f>
        <v>TORRES</v>
      </c>
      <c r="J5" s="223" t="str">
        <f>VLOOKUP(B5&amp;E5,'VISIT DATA'!A:N,10,FALSE)</f>
        <v>WPS VA - COMMUNITY CARE</v>
      </c>
      <c r="K5" s="224"/>
      <c r="L5" s="224" t="s">
        <v>6242</v>
      </c>
      <c r="M5" s="224"/>
      <c r="N5" s="225"/>
      <c r="O5" s="216" t="str">
        <f t="shared" si="1"/>
        <v>✓</v>
      </c>
      <c r="P5" s="226" t="str">
        <f t="shared" si="2"/>
        <v>#VALUE!</v>
      </c>
      <c r="Q5" s="227" t="str">
        <f t="shared" si="3"/>
        <v>#VALUE!</v>
      </c>
      <c r="R5" s="228" t="str">
        <f t="shared" si="4"/>
        <v>#VALUE!</v>
      </c>
      <c r="S5" s="220" t="str">
        <f t="shared" si="5"/>
        <v>#VALUE!</v>
      </c>
      <c r="T5" s="220" t="str">
        <f t="shared" si="6"/>
        <v>#VALUE!</v>
      </c>
      <c r="U5" s="221">
        <f t="shared" si="7"/>
        <v>0</v>
      </c>
      <c r="V5" s="229" t="str">
        <f>ifs($N5="",VLOOKUP($B5&amp;$E5,'VISIT DATA'!$A$2:$J100,7,FALSE), $N5="SWAB","OUTSA-RW",$N5="SWQU","OUTSA-SaQu", AND($L5="X",$M5="X",$N5="QUEST"),"OUT-UAQPre",$N5="QUEST","OUT-UAQ", $N5="Walk in","ColUATele")</f>
        <v>UA-Prelim</v>
      </c>
      <c r="W5" s="24" t="str">
        <f t="shared" si="8"/>
        <v>UA-Prelim : Preliminary UA Test</v>
      </c>
      <c r="X5" s="222" t="str">
        <f t="shared" si="9"/>
        <v>UA : Urine Analysis In House</v>
      </c>
      <c r="Y5" s="222" t="str">
        <f t="shared" si="10"/>
        <v>NO MATCH</v>
      </c>
      <c r="Z5" s="224" t="str">
        <f t="shared" si="11"/>
        <v> </v>
      </c>
      <c r="AA5" s="243"/>
    </row>
    <row r="6">
      <c r="A6" s="214" t="str">
        <f>IFS($B6=FALSE,"",$B6,VLOOKUP($B6,'PATIENT DATA (072721)'!A:C, 2, 0))</f>
        <v>VALDIVIA, MARIA I</v>
      </c>
      <c r="B6" s="215">
        <v>9248.0</v>
      </c>
      <c r="C6" s="216" t="str">
        <f>IF(COUNTIF('PATIENT DATA (072721)'!A:A, B6)=0, "X","✓")</f>
        <v>✓</v>
      </c>
      <c r="D6" s="226">
        <f>IFS($B6=FALSE,"",$B6,VLOOKUP($B6,'PATIENT DATA (072721)'!A:C, 3, 0))</f>
        <v>21239</v>
      </c>
      <c r="E6" s="218">
        <v>44574.0</v>
      </c>
      <c r="F6" s="219">
        <f>ifs($B6="","",$B6, VLOOKUP($B6&amp;$E6, 'VISIT DATA'!A:O,3,0))</f>
        <v>0.3645833333</v>
      </c>
      <c r="G6" s="220" t="s">
        <v>6323</v>
      </c>
      <c r="H6" s="221" t="s">
        <v>12</v>
      </c>
      <c r="I6" s="222" t="str">
        <f>VLOOKUP($B6&amp;$E6,'VISIT DATA'!A:J, 9, FALSE)</f>
        <v>LOPEZ</v>
      </c>
      <c r="J6" s="223" t="str">
        <f>VLOOKUP(B6&amp;E6,'VISIT DATA'!A:N,10,FALSE)</f>
        <v>AETNA MEDICARE ADVANTAGE</v>
      </c>
      <c r="K6" s="224"/>
      <c r="L6" s="224" t="s">
        <v>6242</v>
      </c>
      <c r="M6" s="224"/>
      <c r="N6" s="225"/>
      <c r="O6" s="216" t="str">
        <f t="shared" si="1"/>
        <v>✓</v>
      </c>
      <c r="P6" s="226" t="str">
        <f t="shared" si="2"/>
        <v>#VALUE!</v>
      </c>
      <c r="Q6" s="227" t="str">
        <f t="shared" si="3"/>
        <v>#VALUE!</v>
      </c>
      <c r="R6" s="228" t="str">
        <f t="shared" si="4"/>
        <v>#VALUE!</v>
      </c>
      <c r="S6" s="220" t="str">
        <f t="shared" si="5"/>
        <v>#VALUE!</v>
      </c>
      <c r="T6" s="220" t="str">
        <f t="shared" si="6"/>
        <v>#VALUE!</v>
      </c>
      <c r="U6" s="221">
        <f t="shared" si="7"/>
        <v>0</v>
      </c>
      <c r="V6" s="229" t="str">
        <f>ifs($N6="",VLOOKUP($B6&amp;$E6,'VISIT DATA'!$A$2:$J100,7,FALSE), $N6="SWAB","OUTSA-RW",$N6="SWQU","OUTSA-SaQu", AND($L6="X",$M6="X",$N6="QUEST"),"OUT-UAQPre",$N6="QUEST","OUT-UAQ", $N6="Walk in","ColUATele")</f>
        <v>UA</v>
      </c>
      <c r="W6" s="24" t="str">
        <f t="shared" si="8"/>
        <v>UA : Urine Analysis In House</v>
      </c>
      <c r="X6" s="222" t="str">
        <f t="shared" si="9"/>
        <v>UA : Urine Analysis In House</v>
      </c>
      <c r="Y6" s="222" t="str">
        <f t="shared" si="10"/>
        <v>MATCH</v>
      </c>
      <c r="Z6" s="224" t="str">
        <f t="shared" si="11"/>
        <v> </v>
      </c>
      <c r="AA6" s="243"/>
    </row>
    <row r="7">
      <c r="A7" s="214" t="str">
        <f>IFS($B7=FALSE,"",$B7,VLOOKUP($B7,'PATIENT DATA (072721)'!A:C, 2, 0))</f>
        <v>TELLES, EMILIO J</v>
      </c>
      <c r="B7" s="215">
        <v>17005.0</v>
      </c>
      <c r="C7" s="216" t="str">
        <f>IF(COUNTIF('PATIENT DATA (072721)'!A:A, B7)=0, "X","✓")</f>
        <v>✓</v>
      </c>
      <c r="D7" s="226">
        <f>IFS($B7=FALSE,"",$B7,VLOOKUP($B7,'PATIENT DATA (072721)'!A:C, 3, 0))</f>
        <v>22398</v>
      </c>
      <c r="E7" s="218">
        <v>44574.0</v>
      </c>
      <c r="F7" s="219">
        <f>ifs($B7="","",$B7, VLOOKUP($B7&amp;$E7, 'VISIT DATA'!A:O,3,0))</f>
        <v>0.375</v>
      </c>
      <c r="G7" s="220" t="s">
        <v>6328</v>
      </c>
      <c r="H7" s="221" t="s">
        <v>13</v>
      </c>
      <c r="I7" s="222" t="str">
        <f>VLOOKUP($B7&amp;$E7,'VISIT DATA'!A:J, 9, FALSE)</f>
        <v>LOPEZ</v>
      </c>
      <c r="J7" s="223" t="str">
        <f>VLOOKUP(B7&amp;E7,'VISIT DATA'!A:N,10,FALSE)</f>
        <v>AUXIANT - PHCS PPO</v>
      </c>
      <c r="K7" s="242"/>
      <c r="L7" s="224" t="s">
        <v>6242</v>
      </c>
      <c r="M7" s="224" t="s">
        <v>6242</v>
      </c>
      <c r="N7" s="225"/>
      <c r="O7" s="216" t="str">
        <f t="shared" si="1"/>
        <v>✓</v>
      </c>
      <c r="P7" s="226" t="str">
        <f t="shared" si="2"/>
        <v>#VALUE!</v>
      </c>
      <c r="Q7" s="227" t="str">
        <f t="shared" si="3"/>
        <v>#VALUE!</v>
      </c>
      <c r="R7" s="228" t="str">
        <f t="shared" si="4"/>
        <v>#VALUE!</v>
      </c>
      <c r="S7" s="220" t="str">
        <f t="shared" si="5"/>
        <v>#VALUE!</v>
      </c>
      <c r="T7" s="220" t="str">
        <f t="shared" si="6"/>
        <v>#VALUE!</v>
      </c>
      <c r="U7" s="221">
        <f t="shared" si="7"/>
        <v>0</v>
      </c>
      <c r="V7" s="229" t="str">
        <f>ifs($N7="",VLOOKUP($B7&amp;$E7,'VISIT DATA'!$A$2:$J100,7,FALSE), $N7="SWAB","OUTSA-RW",$N7="SWQU","OUTSA-SaQu", AND($L7="X",$M7="X",$N7="QUEST"),"OUT-UAQPre",$N7="QUEST","OUT-UAQ", $N7="Walk in","ColUATele")</f>
        <v>UA-Prelim</v>
      </c>
      <c r="W7" s="24" t="str">
        <f t="shared" si="8"/>
        <v>UA-Prelim : Preliminary UA Test</v>
      </c>
      <c r="X7" s="222" t="str">
        <f t="shared" si="9"/>
        <v>UA-Prelim : Preliminary UA Test</v>
      </c>
      <c r="Y7" s="222" t="str">
        <f t="shared" si="10"/>
        <v>MATCH</v>
      </c>
      <c r="Z7" s="224" t="str">
        <f t="shared" si="11"/>
        <v> </v>
      </c>
      <c r="AA7" s="243"/>
    </row>
    <row r="8">
      <c r="A8" s="214" t="str">
        <f>IFS($B8=FALSE,"",$B8,VLOOKUP($B8,'PATIENT DATA (072721)'!A:C, 2, 0))</f>
        <v>ANAYA, GUADALUPE L</v>
      </c>
      <c r="B8" s="215">
        <v>16388.0</v>
      </c>
      <c r="C8" s="216" t="str">
        <f>IF(COUNTIF('PATIENT DATA (072721)'!A:A, B8)=0, "X","✓")</f>
        <v>✓</v>
      </c>
      <c r="D8" s="226">
        <f>IFS($B8=FALSE,"",$B8,VLOOKUP($B8,'PATIENT DATA (072721)'!A:C, 3, 0))</f>
        <v>15830</v>
      </c>
      <c r="E8" s="218">
        <v>44574.0</v>
      </c>
      <c r="F8" s="219">
        <f>ifs($B8="","",$B8, VLOOKUP($B8&amp;$E8, 'VISIT DATA'!A:O,3,0))</f>
        <v>0.4479166667</v>
      </c>
      <c r="G8" s="220" t="s">
        <v>6323</v>
      </c>
      <c r="H8" s="221" t="s">
        <v>12</v>
      </c>
      <c r="I8" s="222" t="str">
        <f>VLOOKUP($B8&amp;$E8,'VISIT DATA'!A:J, 9, FALSE)</f>
        <v>LOPEZ</v>
      </c>
      <c r="J8" s="223" t="str">
        <f>VLOOKUP(B8&amp;E8,'VISIT DATA'!A:N,10,FALSE)</f>
        <v>UNITED HEALTH CARE</v>
      </c>
      <c r="K8" s="242"/>
      <c r="L8" s="224" t="s">
        <v>6242</v>
      </c>
      <c r="M8" s="224"/>
      <c r="N8" s="225"/>
      <c r="O8" s="216" t="str">
        <f t="shared" si="1"/>
        <v>✓</v>
      </c>
      <c r="P8" s="226" t="str">
        <f t="shared" si="2"/>
        <v>#VALUE!</v>
      </c>
      <c r="Q8" s="227" t="str">
        <f t="shared" si="3"/>
        <v>#VALUE!</v>
      </c>
      <c r="R8" s="228" t="str">
        <f t="shared" si="4"/>
        <v>#VALUE!</v>
      </c>
      <c r="S8" s="220" t="str">
        <f t="shared" si="5"/>
        <v>#VALUE!</v>
      </c>
      <c r="T8" s="220" t="str">
        <f t="shared" si="6"/>
        <v>#VALUE!</v>
      </c>
      <c r="U8" s="221">
        <f t="shared" si="7"/>
        <v>0</v>
      </c>
      <c r="V8" s="229" t="str">
        <f>ifs($N8="",VLOOKUP($B8&amp;$E8,'VISIT DATA'!$A$2:$J100,7,FALSE), $N8="SWAB","OUTSA-RW",$N8="SWQU","OUTSA-SaQu", AND($L8="X",$M8="X",$N8="QUEST"),"OUT-UAQPre",$N8="QUEST","OUT-UAQ", $N8="Walk in","ColUATele")</f>
        <v>UA</v>
      </c>
      <c r="W8" s="24" t="str">
        <f t="shared" si="8"/>
        <v>UA : Urine Analysis In House</v>
      </c>
      <c r="X8" s="222" t="str">
        <f t="shared" si="9"/>
        <v>UA : Urine Analysis In House</v>
      </c>
      <c r="Y8" s="222" t="str">
        <f t="shared" si="10"/>
        <v>MATCH</v>
      </c>
      <c r="Z8" s="224" t="str">
        <f t="shared" si="11"/>
        <v> </v>
      </c>
      <c r="AA8" s="243"/>
    </row>
    <row r="9">
      <c r="A9" s="214" t="str">
        <f>IFS($B9=FALSE,"",$B9,VLOOKUP($B9,'PATIENT DATA (072721)'!A:C, 2, 0))</f>
        <v>CARLTON, DEANNA C</v>
      </c>
      <c r="B9" s="215">
        <v>16427.0</v>
      </c>
      <c r="C9" s="216" t="str">
        <f>IF(COUNTIF('PATIENT DATA (072721)'!A:A, B9)=0, "X","✓")</f>
        <v>✓</v>
      </c>
      <c r="D9" s="226">
        <f>IFS($B9=FALSE,"",$B9,VLOOKUP($B9,'PATIENT DATA (072721)'!A:C, 3, 0))</f>
        <v>24828</v>
      </c>
      <c r="E9" s="218">
        <v>44574.0</v>
      </c>
      <c r="F9" s="219">
        <f>ifs($B9="","",$B9, VLOOKUP($B9&amp;$E9, 'VISIT DATA'!A:O,3,0))</f>
        <v>0.3958333333</v>
      </c>
      <c r="G9" s="220" t="s">
        <v>6323</v>
      </c>
      <c r="H9" s="221" t="s">
        <v>12</v>
      </c>
      <c r="I9" s="222" t="str">
        <f>VLOOKUP($B9&amp;$E9,'VISIT DATA'!A:J, 9, FALSE)</f>
        <v>LOPEZ</v>
      </c>
      <c r="J9" s="223" t="str">
        <f>VLOOKUP(B9&amp;E9,'VISIT DATA'!A:N,10,FALSE)</f>
        <v>AMERIGROUP</v>
      </c>
      <c r="K9" s="224"/>
      <c r="L9" s="224" t="s">
        <v>6242</v>
      </c>
      <c r="M9" s="224"/>
      <c r="N9" s="225"/>
      <c r="O9" s="216" t="str">
        <f t="shared" si="1"/>
        <v>✓</v>
      </c>
      <c r="P9" s="226" t="str">
        <f t="shared" si="2"/>
        <v>#VALUE!</v>
      </c>
      <c r="Q9" s="227" t="str">
        <f t="shared" si="3"/>
        <v>#VALUE!</v>
      </c>
      <c r="R9" s="228" t="str">
        <f t="shared" si="4"/>
        <v>#VALUE!</v>
      </c>
      <c r="S9" s="220" t="str">
        <f t="shared" si="5"/>
        <v>#VALUE!</v>
      </c>
      <c r="T9" s="220" t="str">
        <f t="shared" si="6"/>
        <v>#VALUE!</v>
      </c>
      <c r="U9" s="221">
        <f t="shared" si="7"/>
        <v>0</v>
      </c>
      <c r="V9" s="229" t="str">
        <f>ifs($N9="",VLOOKUP($B9&amp;$E9,'VISIT DATA'!$A$2:$J100,7,FALSE), $N9="SWAB","OUTSA-RW",$N9="SWQU","OUTSA-SaQu", AND($L9="X",$M9="X",$N9="QUEST"),"OUT-UAQPre",$N9="QUEST","OUT-UAQ", $N9="Walk in","ColUATele")</f>
        <v>OUTUA-FURW</v>
      </c>
      <c r="W9" s="24" t="str">
        <f t="shared" si="8"/>
        <v>OUTUA-FURW : OUT UA FU Redwood</v>
      </c>
      <c r="X9" s="222" t="str">
        <f t="shared" si="9"/>
        <v>UA : Urine Analysis In House</v>
      </c>
      <c r="Y9" s="222" t="str">
        <f t="shared" si="10"/>
        <v>NO MATCH</v>
      </c>
      <c r="Z9" s="224" t="str">
        <f t="shared" si="11"/>
        <v> </v>
      </c>
      <c r="AA9" s="243"/>
    </row>
    <row r="10">
      <c r="A10" s="214" t="str">
        <f>IFS($B10=FALSE,"",$B10,VLOOKUP($B10,'PATIENT DATA (072721)'!A:C, 2, 0))</f>
        <v>MONTES, ROWENA R</v>
      </c>
      <c r="B10" s="215">
        <v>14095.0</v>
      </c>
      <c r="C10" s="216" t="str">
        <f>IF(COUNTIF('PATIENT DATA (072721)'!A:A, B10)=0, "X","✓")</f>
        <v>✓</v>
      </c>
      <c r="D10" s="226">
        <f>IFS($B10=FALSE,"",$B10,VLOOKUP($B10,'PATIENT DATA (072721)'!A:C, 3, 0))</f>
        <v>22965</v>
      </c>
      <c r="E10" s="218">
        <v>44574.0</v>
      </c>
      <c r="F10" s="219">
        <f>ifs($B10="","",$B10, VLOOKUP($B10&amp;$E10, 'VISIT DATA'!A:O,3,0))</f>
        <v>0.3958333333</v>
      </c>
      <c r="G10" s="220" t="s">
        <v>6323</v>
      </c>
      <c r="H10" s="221" t="s">
        <v>15</v>
      </c>
      <c r="I10" s="222" t="str">
        <f>VLOOKUP($B10&amp;$E10,'VISIT DATA'!A:J, 9, FALSE)</f>
        <v>MARTINEZ</v>
      </c>
      <c r="J10" s="223" t="str">
        <f>VLOOKUP(B10&amp;E10,'VISIT DATA'!A:N,10,FALSE)</f>
        <v>BCBSTX PPO</v>
      </c>
      <c r="K10" s="224"/>
      <c r="L10" s="224" t="s">
        <v>6242</v>
      </c>
      <c r="M10" s="224" t="s">
        <v>6242</v>
      </c>
      <c r="N10" s="225"/>
      <c r="O10" s="216" t="str">
        <f t="shared" si="1"/>
        <v>✓</v>
      </c>
      <c r="P10" s="226" t="str">
        <f t="shared" si="2"/>
        <v>#VALUE!</v>
      </c>
      <c r="Q10" s="227" t="str">
        <f t="shared" si="3"/>
        <v>#VALUE!</v>
      </c>
      <c r="R10" s="228" t="str">
        <f t="shared" si="4"/>
        <v>#VALUE!</v>
      </c>
      <c r="S10" s="220" t="str">
        <f t="shared" si="5"/>
        <v>#VALUE!</v>
      </c>
      <c r="T10" s="220" t="str">
        <f t="shared" si="6"/>
        <v>#VALUE!</v>
      </c>
      <c r="U10" s="221">
        <f t="shared" si="7"/>
        <v>0</v>
      </c>
      <c r="V10" s="229" t="str">
        <f>ifs($N10="",VLOOKUP($B10&amp;$E10,'VISIT DATA'!$A$2:$J100,7,FALSE), $N10="SWAB","OUTSA-RW",$N10="SWQU","OUTSA-SaQu", AND($L10="X",$M10="X",$N10="QUEST"),"OUT-UAQPre",$N10="QUEST","OUT-UAQ", $N10="Walk in","ColUATele")</f>
        <v>UA-Prelim</v>
      </c>
      <c r="W10" s="24" t="str">
        <f t="shared" si="8"/>
        <v>UA-Prelim : Preliminary UA Test</v>
      </c>
      <c r="X10" s="222" t="str">
        <f t="shared" si="9"/>
        <v>UA-Prelim : Preliminary UA Test</v>
      </c>
      <c r="Y10" s="222" t="str">
        <f t="shared" si="10"/>
        <v>MATCH</v>
      </c>
      <c r="Z10" s="224" t="str">
        <f t="shared" si="11"/>
        <v> </v>
      </c>
      <c r="AA10" s="243"/>
    </row>
    <row r="11">
      <c r="A11" s="214" t="str">
        <f>IFS($B11=FALSE,"",$B11,VLOOKUP($B11,'PATIENT DATA (072721)'!A:C, 2, 0))</f>
        <v>RENTERIA, RICARDO</v>
      </c>
      <c r="B11" s="215">
        <v>12567.0</v>
      </c>
      <c r="C11" s="216" t="str">
        <f>IF(COUNTIF('PATIENT DATA (072721)'!A:A, B11)=0, "X","✓")</f>
        <v>✓</v>
      </c>
      <c r="D11" s="226">
        <f>IFS($B11=FALSE,"",$B11,VLOOKUP($B11,'PATIENT DATA (072721)'!A:C, 3, 0))</f>
        <v>21873</v>
      </c>
      <c r="E11" s="218">
        <v>44574.0</v>
      </c>
      <c r="F11" s="219">
        <f>ifs($B11="","",$B11, VLOOKUP($B11&amp;$E11, 'VISIT DATA'!A:O,3,0))</f>
        <v>0.3958333333</v>
      </c>
      <c r="G11" s="220" t="s">
        <v>6328</v>
      </c>
      <c r="H11" s="221" t="s">
        <v>15</v>
      </c>
      <c r="I11" s="222" t="str">
        <f>VLOOKUP($B11&amp;$E11,'VISIT DATA'!A:J, 9, FALSE)</f>
        <v>MARTINEZ</v>
      </c>
      <c r="J11" s="223" t="str">
        <f>VLOOKUP(B11&amp;E11,'VISIT DATA'!A:N,10,FALSE)</f>
        <v>TRICARE PRIME</v>
      </c>
      <c r="K11" s="242"/>
      <c r="L11" s="224" t="s">
        <v>6242</v>
      </c>
      <c r="M11" s="224"/>
      <c r="N11" s="225"/>
      <c r="O11" s="216" t="str">
        <f t="shared" si="1"/>
        <v>✓</v>
      </c>
      <c r="P11" s="226" t="str">
        <f t="shared" si="2"/>
        <v>#VALUE!</v>
      </c>
      <c r="Q11" s="227" t="str">
        <f t="shared" si="3"/>
        <v>#VALUE!</v>
      </c>
      <c r="R11" s="228" t="str">
        <f t="shared" si="4"/>
        <v>#VALUE!</v>
      </c>
      <c r="S11" s="220" t="str">
        <f t="shared" si="5"/>
        <v>#VALUE!</v>
      </c>
      <c r="T11" s="220" t="str">
        <f t="shared" si="6"/>
        <v>#VALUE!</v>
      </c>
      <c r="U11" s="221">
        <f t="shared" si="7"/>
        <v>0</v>
      </c>
      <c r="V11" s="229" t="str">
        <f>ifs($N11="",VLOOKUP($B11&amp;$E11,'VISIT DATA'!$A$2:$J100,7,FALSE), $N11="SWAB","OUTSA-RW",$N11="SWQU","OUTSA-SaQu", AND($L11="X",$M11="X",$N11="QUEST"),"OUT-UAQPre",$N11="QUEST","OUT-UAQ", $N11="Walk in","ColUATele")</f>
        <v>UA</v>
      </c>
      <c r="W11" s="24" t="str">
        <f t="shared" si="8"/>
        <v>UA : Urine Analysis In House</v>
      </c>
      <c r="X11" s="222" t="str">
        <f t="shared" si="9"/>
        <v>UA : Urine Analysis In House</v>
      </c>
      <c r="Y11" s="222" t="str">
        <f t="shared" si="10"/>
        <v>MATCH</v>
      </c>
      <c r="Z11" s="224" t="str">
        <f t="shared" si="11"/>
        <v> </v>
      </c>
      <c r="AA11" s="243"/>
    </row>
    <row r="12">
      <c r="A12" s="214" t="str">
        <f>IFS($B12=FALSE,"",$B12,VLOOKUP($B12,'PATIENT DATA (072721)'!A:C, 2, 0))</f>
        <v>HERNANDEZ, EMMA</v>
      </c>
      <c r="B12" s="215">
        <v>9531.0</v>
      </c>
      <c r="C12" s="216" t="str">
        <f>IF(COUNTIF('PATIENT DATA (072721)'!A:A, B12)=0, "X","✓")</f>
        <v>✓</v>
      </c>
      <c r="D12" s="226">
        <f>IFS($B12=FALSE,"",$B12,VLOOKUP($B12,'PATIENT DATA (072721)'!A:C, 3, 0))</f>
        <v>17451</v>
      </c>
      <c r="E12" s="218">
        <v>44574.0</v>
      </c>
      <c r="F12" s="219">
        <f>ifs($B12="","",$B12, VLOOKUP($B12&amp;$E12, 'VISIT DATA'!A:O,3,0))</f>
        <v>0.3958333333</v>
      </c>
      <c r="G12" s="220" t="s">
        <v>6323</v>
      </c>
      <c r="H12" s="221" t="s">
        <v>14</v>
      </c>
      <c r="I12" s="222" t="str">
        <f>VLOOKUP($B12&amp;$E12,'VISIT DATA'!A:J, 9, FALSE)</f>
        <v>TORRES</v>
      </c>
      <c r="J12" s="223" t="str">
        <f>VLOOKUP(B12&amp;E12,'VISIT DATA'!A:N,10,FALSE)</f>
        <v>WELLMED - UHC CHRONIC COMPLETE HMO C-SNP</v>
      </c>
      <c r="K12" s="224"/>
      <c r="L12" s="224" t="s">
        <v>6242</v>
      </c>
      <c r="M12" s="224" t="s">
        <v>6242</v>
      </c>
      <c r="N12" s="225"/>
      <c r="O12" s="216" t="str">
        <f t="shared" si="1"/>
        <v>✓</v>
      </c>
      <c r="P12" s="226" t="str">
        <f t="shared" si="2"/>
        <v>X</v>
      </c>
      <c r="Q12" s="227" t="str">
        <f t="shared" si="3"/>
        <v>#VALUE!</v>
      </c>
      <c r="R12" s="228" t="str">
        <f t="shared" si="4"/>
        <v>#VALUE!</v>
      </c>
      <c r="S12" s="220" t="str">
        <f t="shared" si="5"/>
        <v>#VALUE!</v>
      </c>
      <c r="T12" s="220" t="str">
        <f t="shared" si="6"/>
        <v>#VALUE!</v>
      </c>
      <c r="U12" s="221">
        <f t="shared" si="7"/>
        <v>1</v>
      </c>
      <c r="V12" s="229" t="str">
        <f>ifs($N12="",VLOOKUP($B12&amp;$E12,'VISIT DATA'!$A$2:$J100,7,FALSE), $N12="SWAB","OUTSA-RW",$N12="SWQU","OUTSA-SaQu", AND($L12="X",$M12="X",$N12="QUEST"),"OUT-UAQPre",$N12="QUEST","OUT-UAQ", $N12="Walk in","ColUATele")</f>
        <v>OUTUA-PrRW</v>
      </c>
      <c r="W12" s="24" t="str">
        <f t="shared" si="8"/>
        <v>OUTUA-PrRW : OUT UA Prelimin Redwood</v>
      </c>
      <c r="X12" s="222" t="str">
        <f t="shared" si="9"/>
        <v>OUTUA-PrRW : OUT UA Prelimin Redwood</v>
      </c>
      <c r="Y12" s="222" t="str">
        <f t="shared" si="10"/>
        <v>MATCH</v>
      </c>
      <c r="Z12" s="224" t="str">
        <f t="shared" si="11"/>
        <v> </v>
      </c>
      <c r="AA12" s="243"/>
    </row>
    <row r="13">
      <c r="A13" s="214" t="str">
        <f>IFS($B13=FALSE,"",$B13,VLOOKUP($B13,'PATIENT DATA (072721)'!A:C, 2, 0))</f>
        <v>SAVAGE, JOSEPH</v>
      </c>
      <c r="B13" s="215">
        <v>13695.0</v>
      </c>
      <c r="C13" s="216" t="str">
        <f>IF(COUNTIF('PATIENT DATA (072721)'!A:A, B13)=0, "X","✓")</f>
        <v>✓</v>
      </c>
      <c r="D13" s="226">
        <f>IFS($B13=FALSE,"",$B13,VLOOKUP($B13,'PATIENT DATA (072721)'!A:C, 3, 0))</f>
        <v>20076</v>
      </c>
      <c r="E13" s="218">
        <v>44574.0</v>
      </c>
      <c r="F13" s="219">
        <f>ifs($B13="","",$B13, VLOOKUP($B13&amp;$E13, 'VISIT DATA'!A:O,3,0))</f>
        <v>0.40625</v>
      </c>
      <c r="G13" s="220" t="s">
        <v>6328</v>
      </c>
      <c r="H13" s="221" t="s">
        <v>14</v>
      </c>
      <c r="I13" s="222" t="str">
        <f>VLOOKUP($B13&amp;$E13,'VISIT DATA'!A:J, 9, FALSE)</f>
        <v>TORRES</v>
      </c>
      <c r="J13" s="223" t="str">
        <f>VLOOKUP(B13&amp;E13,'VISIT DATA'!A:N,10,FALSE)</f>
        <v>UHC MEDICARE COMPLETE</v>
      </c>
      <c r="K13" s="242"/>
      <c r="L13" s="224" t="s">
        <v>6242</v>
      </c>
      <c r="M13" s="224"/>
      <c r="N13" s="225"/>
      <c r="O13" s="216" t="str">
        <f t="shared" si="1"/>
        <v>✓</v>
      </c>
      <c r="P13" s="226" t="str">
        <f t="shared" si="2"/>
        <v>#VALUE!</v>
      </c>
      <c r="Q13" s="227" t="str">
        <f t="shared" si="3"/>
        <v>#VALUE!</v>
      </c>
      <c r="R13" s="228" t="str">
        <f t="shared" si="4"/>
        <v>#VALUE!</v>
      </c>
      <c r="S13" s="220" t="str">
        <f t="shared" si="5"/>
        <v>#VALUE!</v>
      </c>
      <c r="T13" s="220" t="str">
        <f t="shared" si="6"/>
        <v>#VALUE!</v>
      </c>
      <c r="U13" s="221">
        <f t="shared" si="7"/>
        <v>0</v>
      </c>
      <c r="V13" s="229" t="str">
        <f>ifs($N13="",VLOOKUP($B13&amp;$E13,'VISIT DATA'!$A$2:$J100,7,FALSE), $N13="SWAB","OUTSA-RW",$N13="SWQU","OUTSA-SaQu", AND($L13="X",$M13="X",$N13="QUEST"),"OUT-UAQPre",$N13="QUEST","OUT-UAQ", $N13="Walk in","ColUATele")</f>
        <v>UA</v>
      </c>
      <c r="W13" s="24" t="str">
        <f t="shared" si="8"/>
        <v>UA : Urine Analysis In House</v>
      </c>
      <c r="X13" s="222" t="str">
        <f t="shared" si="9"/>
        <v>UA : Urine Analysis In House</v>
      </c>
      <c r="Y13" s="222" t="str">
        <f t="shared" si="10"/>
        <v>MATCH</v>
      </c>
      <c r="Z13" s="224" t="str">
        <f t="shared" si="11"/>
        <v> </v>
      </c>
      <c r="AA13" s="243"/>
    </row>
    <row r="14">
      <c r="A14" s="214" t="str">
        <f>IFS($B14=FALSE,"",$B14,VLOOKUP($B14,'PATIENT DATA (072721)'!A:C, 2, 0))</f>
        <v>REYNA, FRANK</v>
      </c>
      <c r="B14" s="215">
        <v>12804.0</v>
      </c>
      <c r="C14" s="216" t="str">
        <f>IF(COUNTIF('PATIENT DATA (072721)'!A:A, B14)=0, "X","✓")</f>
        <v>✓</v>
      </c>
      <c r="D14" s="226">
        <f>IFS($B14=FALSE,"",$B14,VLOOKUP($B14,'PATIENT DATA (072721)'!A:C, 3, 0))</f>
        <v>20763</v>
      </c>
      <c r="E14" s="218">
        <v>44574.0</v>
      </c>
      <c r="F14" s="219">
        <f>ifs($B14="","",$B14, VLOOKUP($B14&amp;$E14, 'VISIT DATA'!A:O,3,0))</f>
        <v>0.4270833333</v>
      </c>
      <c r="G14" s="220" t="s">
        <v>6328</v>
      </c>
      <c r="H14" s="221" t="s">
        <v>13</v>
      </c>
      <c r="I14" s="222" t="str">
        <f>VLOOKUP($B14&amp;$E14,'VISIT DATA'!A:J, 9, FALSE)</f>
        <v>LOPEZ</v>
      </c>
      <c r="J14" s="223" t="str">
        <f>VLOOKUP(B14&amp;E14,'VISIT DATA'!A:N,10,FALSE)</f>
        <v>UNITED HEALTH CARE CHOICEPLUS</v>
      </c>
      <c r="K14" s="225"/>
      <c r="L14" s="224" t="s">
        <v>6242</v>
      </c>
      <c r="M14" s="224"/>
      <c r="N14" s="225"/>
      <c r="O14" s="216" t="str">
        <f t="shared" si="1"/>
        <v>✓</v>
      </c>
      <c r="P14" s="226" t="str">
        <f t="shared" si="2"/>
        <v>#VALUE!</v>
      </c>
      <c r="Q14" s="227" t="str">
        <f t="shared" si="3"/>
        <v>#VALUE!</v>
      </c>
      <c r="R14" s="228" t="str">
        <f t="shared" si="4"/>
        <v>#VALUE!</v>
      </c>
      <c r="S14" s="220" t="str">
        <f t="shared" si="5"/>
        <v>#VALUE!</v>
      </c>
      <c r="T14" s="220" t="str">
        <f t="shared" si="6"/>
        <v>#VALUE!</v>
      </c>
      <c r="U14" s="221">
        <f t="shared" si="7"/>
        <v>0</v>
      </c>
      <c r="V14" s="229" t="str">
        <f>ifs($N14="",VLOOKUP($B14&amp;$E14,'VISIT DATA'!$A$2:$J100,7,FALSE), $N14="SWAB","OUTSA-RW",$N14="SWQU","OUTSA-SaQu", AND($L14="X",$M14="X",$N14="QUEST"),"OUT-UAQPre",$N14="QUEST","OUT-UAQ", $N14="Walk in","ColUATele")</f>
        <v>UA</v>
      </c>
      <c r="W14" s="24" t="str">
        <f t="shared" si="8"/>
        <v>UA : Urine Analysis In House</v>
      </c>
      <c r="X14" s="222" t="str">
        <f t="shared" si="9"/>
        <v>UA : Urine Analysis In House</v>
      </c>
      <c r="Y14" s="222" t="str">
        <f t="shared" si="10"/>
        <v>MATCH</v>
      </c>
      <c r="Z14" s="224" t="str">
        <f t="shared" si="11"/>
        <v> </v>
      </c>
      <c r="AA14" s="244"/>
    </row>
    <row r="15">
      <c r="A15" s="214" t="str">
        <f>IFS($B15=FALSE,"",$B15,VLOOKUP($B15,'PATIENT DATA (072721)'!A:C, 2, 0))</f>
        <v>ATONDO, JESUS A</v>
      </c>
      <c r="B15" s="215">
        <v>15277.0</v>
      </c>
      <c r="C15" s="216" t="str">
        <f>IF(COUNTIF('PATIENT DATA (072721)'!A:A, B15)=0, "X","✓")</f>
        <v>✓</v>
      </c>
      <c r="D15" s="226">
        <f>IFS($B15=FALSE,"",$B15,VLOOKUP($B15,'PATIENT DATA (072721)'!A:C, 3, 0))</f>
        <v>12693</v>
      </c>
      <c r="E15" s="218">
        <v>44574.0</v>
      </c>
      <c r="F15" s="219">
        <f>ifs($B15="","",$B15, VLOOKUP($B15&amp;$E15, 'VISIT DATA'!A:O,3,0))</f>
        <v>0.4270833333</v>
      </c>
      <c r="G15" s="220" t="s">
        <v>6328</v>
      </c>
      <c r="H15" s="221" t="s">
        <v>12</v>
      </c>
      <c r="I15" s="222" t="str">
        <f>VLOOKUP($B15&amp;$E15,'VISIT DATA'!A:J, 9, FALSE)</f>
        <v>THOMAS</v>
      </c>
      <c r="J15" s="223" t="str">
        <f>VLOOKUP(B15&amp;E15,'VISIT DATA'!A:N,10,FALSE)</f>
        <v>WELLMED - UHC DUAL COMPLETE SNP</v>
      </c>
      <c r="K15" s="225"/>
      <c r="L15" s="224" t="s">
        <v>6242</v>
      </c>
      <c r="M15" s="224"/>
      <c r="N15" s="225"/>
      <c r="O15" s="216" t="str">
        <f t="shared" si="1"/>
        <v>✓</v>
      </c>
      <c r="P15" s="226" t="str">
        <f t="shared" si="2"/>
        <v>X</v>
      </c>
      <c r="Q15" s="227" t="str">
        <f t="shared" si="3"/>
        <v>#VALUE!</v>
      </c>
      <c r="R15" s="228" t="str">
        <f t="shared" si="4"/>
        <v>#VALUE!</v>
      </c>
      <c r="S15" s="220" t="str">
        <f t="shared" si="5"/>
        <v>#VALUE!</v>
      </c>
      <c r="T15" s="220" t="str">
        <f t="shared" si="6"/>
        <v>#VALUE!</v>
      </c>
      <c r="U15" s="221">
        <f t="shared" si="7"/>
        <v>1</v>
      </c>
      <c r="V15" s="229" t="str">
        <f>ifs($N15="",VLOOKUP($B15&amp;$E15,'VISIT DATA'!$A$2:$J100,7,FALSE), $N15="SWAB","OUTSA-RW",$N15="SWQU","OUTSA-SaQu", AND($L15="X",$M15="X",$N15="QUEST"),"OUT-UAQPre",$N15="QUEST","OUT-UAQ", $N15="Walk in","ColUATele")</f>
        <v>OUTUA-FURW</v>
      </c>
      <c r="W15" s="24" t="str">
        <f t="shared" si="8"/>
        <v>OUTUA-FURW : OUT UA FU Redwood</v>
      </c>
      <c r="X15" s="222" t="str">
        <f t="shared" si="9"/>
        <v>OUTUA-FURW : OUT UA FU Redwood</v>
      </c>
      <c r="Y15" s="222" t="str">
        <f t="shared" si="10"/>
        <v>MATCH</v>
      </c>
      <c r="Z15" s="224" t="str">
        <f t="shared" si="11"/>
        <v> </v>
      </c>
      <c r="AA15" s="244"/>
    </row>
    <row r="16">
      <c r="A16" s="214" t="str">
        <f>IFS($B16=FALSE,"",$B16,VLOOKUP($B16,'PATIENT DATA (072721)'!A:C, 2, 0))</f>
        <v>BARRERA, JULIAN</v>
      </c>
      <c r="B16" s="215">
        <v>12318.0</v>
      </c>
      <c r="C16" s="216" t="str">
        <f>IF(COUNTIF('PATIENT DATA (072721)'!A:A, B16)=0, "X","✓")</f>
        <v>✓</v>
      </c>
      <c r="D16" s="226">
        <f>IFS($B16=FALSE,"",$B16,VLOOKUP($B16,'PATIENT DATA (072721)'!A:C, 3, 0))</f>
        <v>20463</v>
      </c>
      <c r="E16" s="218">
        <v>44574.0</v>
      </c>
      <c r="F16" s="219">
        <f>ifs($B16="","",$B16, VLOOKUP($B16&amp;$E16, 'VISIT DATA'!A:O,3,0))</f>
        <v>0.4375</v>
      </c>
      <c r="G16" s="220" t="s">
        <v>6328</v>
      </c>
      <c r="H16" s="221" t="s">
        <v>14</v>
      </c>
      <c r="I16" s="222" t="str">
        <f>VLOOKUP($B16&amp;$E16,'VISIT DATA'!A:J, 9, FALSE)</f>
        <v>TORRES</v>
      </c>
      <c r="J16" s="223" t="str">
        <f>VLOOKUP(B16&amp;E16,'VISIT DATA'!A:N,10,FALSE)</f>
        <v>WELLMED - UHC DUAL COMPLETE SNP</v>
      </c>
      <c r="K16" s="224"/>
      <c r="L16" s="224" t="s">
        <v>6242</v>
      </c>
      <c r="M16" s="224" t="s">
        <v>6242</v>
      </c>
      <c r="N16" s="225"/>
      <c r="O16" s="216" t="str">
        <f t="shared" si="1"/>
        <v>✓</v>
      </c>
      <c r="P16" s="226" t="str">
        <f t="shared" si="2"/>
        <v>X</v>
      </c>
      <c r="Q16" s="227" t="str">
        <f t="shared" si="3"/>
        <v>#VALUE!</v>
      </c>
      <c r="R16" s="228" t="str">
        <f t="shared" si="4"/>
        <v>#VALUE!</v>
      </c>
      <c r="S16" s="220" t="str">
        <f t="shared" si="5"/>
        <v>#VALUE!</v>
      </c>
      <c r="T16" s="220" t="str">
        <f t="shared" si="6"/>
        <v>#VALUE!</v>
      </c>
      <c r="U16" s="221">
        <f t="shared" si="7"/>
        <v>1</v>
      </c>
      <c r="V16" s="229" t="str">
        <f>ifs($N16="",VLOOKUP($B16&amp;$E16,'VISIT DATA'!$A$2:$J100,7,FALSE), $N16="SWAB","OUTSA-RW",$N16="SWQU","OUTSA-SaQu", AND($L16="X",$M16="X",$N16="QUEST"),"OUT-UAQPre",$N16="QUEST","OUT-UAQ", $N16="Walk in","ColUATele")</f>
        <v>OUTUA-PrRW</v>
      </c>
      <c r="W16" s="24" t="str">
        <f t="shared" si="8"/>
        <v>OUTUA-PrRW : OUT UA Prelimin Redwood</v>
      </c>
      <c r="X16" s="222" t="str">
        <f t="shared" si="9"/>
        <v>OUTUA-PrRW : OUT UA Prelimin Redwood</v>
      </c>
      <c r="Y16" s="222" t="str">
        <f t="shared" si="10"/>
        <v>MATCH</v>
      </c>
      <c r="Z16" s="224" t="str">
        <f t="shared" si="11"/>
        <v> </v>
      </c>
      <c r="AA16" s="244"/>
    </row>
    <row r="17">
      <c r="A17" s="214" t="str">
        <f>IFS($B17=FALSE,"",$B17,VLOOKUP($B17,'PATIENT DATA (072721)'!A:C, 2, 0))</f>
        <v>TREVINO, ROBERT</v>
      </c>
      <c r="B17" s="215">
        <v>14113.0</v>
      </c>
      <c r="C17" s="216" t="str">
        <f>IF(COUNTIF('PATIENT DATA (072721)'!A:A, B17)=0, "X","✓")</f>
        <v>✓</v>
      </c>
      <c r="D17" s="226">
        <f>IFS($B17=FALSE,"",$B17,VLOOKUP($B17,'PATIENT DATA (072721)'!A:C, 3, 0))</f>
        <v>21851</v>
      </c>
      <c r="E17" s="218">
        <v>44574.0</v>
      </c>
      <c r="F17" s="219">
        <f>ifs($B17="","",$B17, VLOOKUP($B17&amp;$E17, 'VISIT DATA'!A:O,3,0))</f>
        <v>0.40625</v>
      </c>
      <c r="G17" s="220" t="s">
        <v>6328</v>
      </c>
      <c r="H17" s="221" t="s">
        <v>13</v>
      </c>
      <c r="I17" s="222" t="str">
        <f>VLOOKUP($B17&amp;$E17,'VISIT DATA'!A:J, 9, FALSE)</f>
        <v>LOPEZ</v>
      </c>
      <c r="J17" s="223" t="str">
        <f>VLOOKUP(B17&amp;E17,'VISIT DATA'!A:N,10,FALSE)</f>
        <v>WC - SEDGWICK</v>
      </c>
      <c r="K17" s="225"/>
      <c r="L17" s="224" t="s">
        <v>6242</v>
      </c>
      <c r="M17" s="224"/>
      <c r="N17" s="224"/>
      <c r="O17" s="216" t="str">
        <f t="shared" si="1"/>
        <v>✓</v>
      </c>
      <c r="P17" s="226" t="str">
        <f t="shared" si="2"/>
        <v>#VALUE!</v>
      </c>
      <c r="Q17" s="227" t="str">
        <f t="shared" si="3"/>
        <v>#VALUE!</v>
      </c>
      <c r="R17" s="228" t="str">
        <f t="shared" si="4"/>
        <v>#VALUE!</v>
      </c>
      <c r="S17" s="220" t="str">
        <f t="shared" si="5"/>
        <v>#VALUE!</v>
      </c>
      <c r="T17" s="220" t="str">
        <f t="shared" si="6"/>
        <v>#VALUE!</v>
      </c>
      <c r="U17" s="221">
        <f t="shared" si="7"/>
        <v>0</v>
      </c>
      <c r="V17" s="229" t="str">
        <f>ifs($N17="",VLOOKUP($B17&amp;$E17,'VISIT DATA'!$A$2:$J100,7,FALSE), $N17="SWAB","OUTSA-RW",$N17="SWQU","OUTSA-SaQu", AND($L17="X",$M17="X",$N17="QUEST"),"OUT-UAQPre",$N17="QUEST","OUT-UAQ", $N17="Walk in","ColUATele")</f>
        <v>UA</v>
      </c>
      <c r="W17" s="24" t="str">
        <f t="shared" si="8"/>
        <v>UA : Urine Analysis In House</v>
      </c>
      <c r="X17" s="222" t="str">
        <f t="shared" si="9"/>
        <v>UA : Urine Analysis In House</v>
      </c>
      <c r="Y17" s="222" t="str">
        <f t="shared" si="10"/>
        <v>MATCH</v>
      </c>
      <c r="Z17" s="224" t="str">
        <f t="shared" si="11"/>
        <v> </v>
      </c>
      <c r="AA17" s="245"/>
    </row>
    <row r="18">
      <c r="A18" s="214" t="str">
        <f>IFS($B18=FALSE,"",$B18,VLOOKUP($B18,'PATIENT DATA (072721)'!A:C, 2, 0))</f>
        <v>TORRES DE MELENDEZ, CARMEN</v>
      </c>
      <c r="B18" s="215">
        <v>17478.0</v>
      </c>
      <c r="C18" s="216" t="str">
        <f>IF(COUNTIF('PATIENT DATA (072721)'!A:A, B18)=0, "X","✓")</f>
        <v>✓</v>
      </c>
      <c r="D18" s="226">
        <f>IFS($B18=FALSE,"",$B18,VLOOKUP($B18,'PATIENT DATA (072721)'!A:C, 3, 0))</f>
        <v>17962</v>
      </c>
      <c r="E18" s="218">
        <v>44574.0</v>
      </c>
      <c r="F18" s="219">
        <f>ifs($B18="","",$B18, VLOOKUP($B18&amp;$E18, 'VISIT DATA'!A:O,3,0))</f>
        <v>0.4270833333</v>
      </c>
      <c r="G18" s="220" t="s">
        <v>6323</v>
      </c>
      <c r="H18" s="221" t="s">
        <v>12</v>
      </c>
      <c r="I18" s="222" t="str">
        <f>VLOOKUP($B18&amp;$E18,'VISIT DATA'!A:J, 9, FALSE)</f>
        <v>THOMAS</v>
      </c>
      <c r="J18" s="223" t="str">
        <f>VLOOKUP(B18&amp;E18,'VISIT DATA'!A:N,10,FALSE)</f>
        <v>WELLMED - UHC DUAL COMPLETE SNP</v>
      </c>
      <c r="K18" s="224"/>
      <c r="L18" s="224" t="s">
        <v>6242</v>
      </c>
      <c r="M18" s="224" t="s">
        <v>6242</v>
      </c>
      <c r="N18" s="224"/>
      <c r="O18" s="216" t="str">
        <f t="shared" si="1"/>
        <v>✓</v>
      </c>
      <c r="P18" s="226" t="str">
        <f t="shared" si="2"/>
        <v>X</v>
      </c>
      <c r="Q18" s="227" t="str">
        <f t="shared" si="3"/>
        <v>#VALUE!</v>
      </c>
      <c r="R18" s="228" t="str">
        <f t="shared" si="4"/>
        <v>#VALUE!</v>
      </c>
      <c r="S18" s="220" t="str">
        <f t="shared" si="5"/>
        <v>#VALUE!</v>
      </c>
      <c r="T18" s="220" t="str">
        <f t="shared" si="6"/>
        <v>#VALUE!</v>
      </c>
      <c r="U18" s="221">
        <f t="shared" si="7"/>
        <v>1</v>
      </c>
      <c r="V18" s="229" t="str">
        <f>ifs($N18="",VLOOKUP($B18&amp;$E18,'VISIT DATA'!$A$2:$J100,7,FALSE), $N18="SWAB","OUTSA-RW",$N18="SWQU","OUTSA-SaQu", AND($L18="X",$M18="X",$N18="QUEST"),"OUT-UAQPre",$N18="QUEST","OUT-UAQ", $N18="Walk in","ColUATele")</f>
        <v>OUTUA-PrRW</v>
      </c>
      <c r="W18" s="24" t="str">
        <f t="shared" si="8"/>
        <v>OUTUA-PrRW : OUT UA Prelimin Redwood</v>
      </c>
      <c r="X18" s="222" t="str">
        <f t="shared" si="9"/>
        <v>OUTUA-PrRW : OUT UA Prelimin Redwood</v>
      </c>
      <c r="Y18" s="222" t="str">
        <f t="shared" si="10"/>
        <v>MATCH</v>
      </c>
      <c r="Z18" s="224" t="str">
        <f t="shared" si="11"/>
        <v> </v>
      </c>
      <c r="AA18" s="244"/>
    </row>
    <row r="19">
      <c r="A19" s="214" t="str">
        <f>IFS($B19=FALSE,"",$B19,VLOOKUP($B19,'PATIENT DATA (072721)'!A:C, 2, 0))</f>
        <v>VASQUEZ, ROBERTO</v>
      </c>
      <c r="B19" s="215">
        <v>9182.0</v>
      </c>
      <c r="C19" s="216" t="str">
        <f>IF(COUNTIF('PATIENT DATA (072721)'!A:A, B19)=0, "X","✓")</f>
        <v>✓</v>
      </c>
      <c r="D19" s="226">
        <f>IFS($B19=FALSE,"",$B19,VLOOKUP($B19,'PATIENT DATA (072721)'!A:C, 3, 0))</f>
        <v>25713</v>
      </c>
      <c r="E19" s="218">
        <v>44574.0</v>
      </c>
      <c r="F19" s="219">
        <f>ifs($B19="","",$B19, VLOOKUP($B19&amp;$E19, 'VISIT DATA'!A:O,3,0))</f>
        <v>0.40625</v>
      </c>
      <c r="G19" s="220" t="s">
        <v>6328</v>
      </c>
      <c r="H19" s="221" t="s">
        <v>15</v>
      </c>
      <c r="I19" s="222" t="str">
        <f>VLOOKUP($B19&amp;$E19,'VISIT DATA'!A:J, 9, FALSE)</f>
        <v>TORRES</v>
      </c>
      <c r="J19" s="223" t="str">
        <f>VLOOKUP(B19&amp;E19,'VISIT DATA'!A:N,10,FALSE)</f>
        <v>WPS VA - COMMUNITY CARE</v>
      </c>
      <c r="K19" s="225"/>
      <c r="L19" s="224" t="s">
        <v>6242</v>
      </c>
      <c r="M19" s="224"/>
      <c r="N19" s="225"/>
      <c r="O19" s="216" t="str">
        <f t="shared" si="1"/>
        <v>✓</v>
      </c>
      <c r="P19" s="226" t="str">
        <f t="shared" si="2"/>
        <v>#VALUE!</v>
      </c>
      <c r="Q19" s="227" t="str">
        <f t="shared" si="3"/>
        <v>#VALUE!</v>
      </c>
      <c r="R19" s="228" t="str">
        <f t="shared" si="4"/>
        <v>#VALUE!</v>
      </c>
      <c r="S19" s="220" t="str">
        <f t="shared" si="5"/>
        <v>#VALUE!</v>
      </c>
      <c r="T19" s="220" t="str">
        <f t="shared" si="6"/>
        <v>#VALUE!</v>
      </c>
      <c r="U19" s="221">
        <f t="shared" si="7"/>
        <v>0</v>
      </c>
      <c r="V19" s="229" t="str">
        <f>ifs($N19="",VLOOKUP($B19&amp;$E19,'VISIT DATA'!$A$2:$J100,7,FALSE), $N19="SWAB","OUTSA-RW",$N19="SWQU","OUTSA-SaQu", AND($L19="X",$M19="X",$N19="QUEST"),"OUT-UAQPre",$N19="QUEST","OUT-UAQ", $N19="Walk in","ColUATele")</f>
        <v>UA</v>
      </c>
      <c r="W19" s="24" t="str">
        <f t="shared" si="8"/>
        <v>UA : Urine Analysis In House</v>
      </c>
      <c r="X19" s="222" t="str">
        <f t="shared" si="9"/>
        <v>UA : Urine Analysis In House</v>
      </c>
      <c r="Y19" s="222" t="str">
        <f t="shared" si="10"/>
        <v>MATCH</v>
      </c>
      <c r="Z19" s="224" t="str">
        <f t="shared" si="11"/>
        <v> </v>
      </c>
      <c r="AA19" s="244"/>
    </row>
    <row r="20">
      <c r="A20" s="214" t="str">
        <f>IFS($B20=FALSE,"",$B20,VLOOKUP($B20,'PATIENT DATA (072721)'!A:C, 2, 0))</f>
        <v>PONCE, LIDIA</v>
      </c>
      <c r="B20" s="215">
        <v>10521.0</v>
      </c>
      <c r="C20" s="216" t="str">
        <f>IF(COUNTIF('PATIENT DATA (072721)'!A:A, B20)=0, "X","✓")</f>
        <v>✓</v>
      </c>
      <c r="D20" s="226">
        <f>IFS($B20=FALSE,"",$B20,VLOOKUP($B20,'PATIENT DATA (072721)'!A:C, 3, 0))</f>
        <v>22660</v>
      </c>
      <c r="E20" s="218">
        <v>44574.0</v>
      </c>
      <c r="F20" s="219">
        <f>ifs($B20="","",$B20, VLOOKUP($B20&amp;$E20, 'VISIT DATA'!A:O,3,0))</f>
        <v>0.4270833333</v>
      </c>
      <c r="G20" s="220" t="s">
        <v>6323</v>
      </c>
      <c r="H20" s="221" t="s">
        <v>14</v>
      </c>
      <c r="I20" s="222" t="str">
        <f>VLOOKUP($B20&amp;$E20,'VISIT DATA'!A:J, 9, FALSE)</f>
        <v>TORRES</v>
      </c>
      <c r="J20" s="223" t="str">
        <f>VLOOKUP(B20&amp;E20,'VISIT DATA'!A:N,10,FALSE)</f>
        <v>AMERIVANTAGE</v>
      </c>
      <c r="K20" s="225"/>
      <c r="L20" s="224" t="s">
        <v>6242</v>
      </c>
      <c r="M20" s="224"/>
      <c r="N20" s="224"/>
      <c r="O20" s="216" t="str">
        <f t="shared" si="1"/>
        <v>✓</v>
      </c>
      <c r="P20" s="226" t="str">
        <f t="shared" si="2"/>
        <v>#VALUE!</v>
      </c>
      <c r="Q20" s="227" t="str">
        <f t="shared" si="3"/>
        <v>#VALUE!</v>
      </c>
      <c r="R20" s="228" t="str">
        <f t="shared" si="4"/>
        <v>#VALUE!</v>
      </c>
      <c r="S20" s="220" t="str">
        <f t="shared" si="5"/>
        <v>#VALUE!</v>
      </c>
      <c r="T20" s="220" t="str">
        <f t="shared" si="6"/>
        <v>#VALUE!</v>
      </c>
      <c r="U20" s="221">
        <f t="shared" si="7"/>
        <v>0</v>
      </c>
      <c r="V20" s="229" t="str">
        <f>ifs($N20="",VLOOKUP($B20&amp;$E20,'VISIT DATA'!$A$2:$J100,7,FALSE), $N20="SWAB","OUTSA-RW",$N20="SWQU","OUTSA-SaQu", AND($L20="X",$M20="X",$N20="QUEST"),"OUT-UAQPre",$N20="QUEST","OUT-UAQ", $N20="Walk in","ColUATele")</f>
        <v>UA</v>
      </c>
      <c r="W20" s="24" t="str">
        <f t="shared" si="8"/>
        <v>UA : Urine Analysis In House</v>
      </c>
      <c r="X20" s="222" t="str">
        <f t="shared" si="9"/>
        <v>UA : Urine Analysis In House</v>
      </c>
      <c r="Y20" s="222" t="str">
        <f t="shared" si="10"/>
        <v>MATCH</v>
      </c>
      <c r="Z20" s="224" t="str">
        <f t="shared" si="11"/>
        <v> </v>
      </c>
      <c r="AA20" s="244"/>
    </row>
    <row r="21">
      <c r="A21" s="214" t="str">
        <f>IFS($B21=FALSE,"",$B21,VLOOKUP($B21,'PATIENT DATA (072721)'!A:C, 2, 0))</f>
        <v>GONZALEZ, ALBERT</v>
      </c>
      <c r="B21" s="215">
        <v>13668.0</v>
      </c>
      <c r="C21" s="216" t="str">
        <f>IF(COUNTIF('PATIENT DATA (072721)'!A:A, B21)=0, "X","✓")</f>
        <v>✓</v>
      </c>
      <c r="D21" s="226">
        <f>IFS($B21=FALSE,"",$B21,VLOOKUP($B21,'PATIENT DATA (072721)'!A:C, 3, 0))</f>
        <v>23634</v>
      </c>
      <c r="E21" s="218">
        <v>44574.0</v>
      </c>
      <c r="F21" s="219">
        <f>ifs($B21="","",$B21, VLOOKUP($B21&amp;$E21, 'VISIT DATA'!A:O,3,0))</f>
        <v>0.4375</v>
      </c>
      <c r="G21" s="220" t="s">
        <v>6328</v>
      </c>
      <c r="H21" s="221" t="s">
        <v>12</v>
      </c>
      <c r="I21" s="222" t="str">
        <f>VLOOKUP($B21&amp;$E21,'VISIT DATA'!A:J, 9, FALSE)</f>
        <v>LOPEZ</v>
      </c>
      <c r="J21" s="223" t="str">
        <f>VLOOKUP(B21&amp;E21,'VISIT DATA'!A:N,10,FALSE)</f>
        <v>MEDICAID TEXAS</v>
      </c>
      <c r="K21" s="225"/>
      <c r="L21" s="224" t="s">
        <v>6242</v>
      </c>
      <c r="M21" s="224"/>
      <c r="N21" s="225"/>
      <c r="O21" s="216" t="str">
        <f t="shared" si="1"/>
        <v>✓</v>
      </c>
      <c r="P21" s="226" t="str">
        <f t="shared" si="2"/>
        <v>#VALUE!</v>
      </c>
      <c r="Q21" s="227" t="str">
        <f t="shared" si="3"/>
        <v>#VALUE!</v>
      </c>
      <c r="R21" s="228" t="str">
        <f t="shared" si="4"/>
        <v>#VALUE!</v>
      </c>
      <c r="S21" s="220" t="str">
        <f t="shared" si="5"/>
        <v>#VALUE!</v>
      </c>
      <c r="T21" s="220" t="str">
        <f t="shared" si="6"/>
        <v>#VALUE!</v>
      </c>
      <c r="U21" s="221">
        <f t="shared" si="7"/>
        <v>0</v>
      </c>
      <c r="V21" s="229" t="str">
        <f>ifs($N21="",VLOOKUP($B21&amp;$E21,'VISIT DATA'!$A$2:$J100,7,FALSE), $N21="SWAB","OUTSA-RW",$N21="SWQU","OUTSA-SaQu", AND($L21="X",$M21="X",$N21="QUEST"),"OUT-UAQPre",$N21="QUEST","OUT-UAQ", $N21="Walk in","ColUATele")</f>
        <v>UA</v>
      </c>
      <c r="W21" s="24" t="str">
        <f t="shared" si="8"/>
        <v>UA : Urine Analysis In House</v>
      </c>
      <c r="X21" s="222" t="str">
        <f t="shared" si="9"/>
        <v>UA : Urine Analysis In House</v>
      </c>
      <c r="Y21" s="222" t="str">
        <f t="shared" si="10"/>
        <v>MATCH</v>
      </c>
      <c r="Z21" s="224" t="str">
        <f t="shared" si="11"/>
        <v> </v>
      </c>
      <c r="AA21" s="244"/>
    </row>
    <row r="22">
      <c r="A22" s="214" t="str">
        <f>IFS($B22=FALSE,"",$B22,VLOOKUP($B22,'PATIENT DATA (072721)'!A:C, 2, 0))</f>
        <v>GUTIERREZ, MARK A</v>
      </c>
      <c r="B22" s="215">
        <v>13860.0</v>
      </c>
      <c r="C22" s="216" t="str">
        <f>IF(COUNTIF('PATIENT DATA (072721)'!A:A, B22)=0, "X","✓")</f>
        <v>✓</v>
      </c>
      <c r="D22" s="226">
        <f>IFS($B22=FALSE,"",$B22,VLOOKUP($B22,'PATIENT DATA (072721)'!A:C, 3, 0))</f>
        <v>23450</v>
      </c>
      <c r="E22" s="218">
        <v>44574.0</v>
      </c>
      <c r="F22" s="219">
        <f>ifs($B22="","",$B22, VLOOKUP($B22&amp;$E22, 'VISIT DATA'!A:O,3,0))</f>
        <v>0.4583333333</v>
      </c>
      <c r="G22" s="220" t="s">
        <v>6328</v>
      </c>
      <c r="H22" s="221" t="s">
        <v>14</v>
      </c>
      <c r="I22" s="222" t="str">
        <f>VLOOKUP($B22&amp;$E22,'VISIT DATA'!A:J, 9, FALSE)</f>
        <v>TORRES</v>
      </c>
      <c r="J22" s="223" t="str">
        <f>VLOOKUP(B22&amp;E22,'VISIT DATA'!A:N,10,FALSE)</f>
        <v>AMERIGROUP</v>
      </c>
      <c r="K22" s="225"/>
      <c r="L22" s="224" t="s">
        <v>6242</v>
      </c>
      <c r="M22" s="224"/>
      <c r="N22" s="225"/>
      <c r="O22" s="216" t="str">
        <f t="shared" si="1"/>
        <v>✓</v>
      </c>
      <c r="P22" s="226" t="str">
        <f t="shared" si="2"/>
        <v>#VALUE!</v>
      </c>
      <c r="Q22" s="227" t="str">
        <f t="shared" si="3"/>
        <v>#VALUE!</v>
      </c>
      <c r="R22" s="228" t="str">
        <f t="shared" si="4"/>
        <v>#VALUE!</v>
      </c>
      <c r="S22" s="220" t="str">
        <f t="shared" si="5"/>
        <v>#VALUE!</v>
      </c>
      <c r="T22" s="220" t="str">
        <f t="shared" si="6"/>
        <v>#VALUE!</v>
      </c>
      <c r="U22" s="221">
        <f t="shared" si="7"/>
        <v>0</v>
      </c>
      <c r="V22" s="229" t="str">
        <f>ifs($N22="",VLOOKUP($B22&amp;$E22,'VISIT DATA'!$A$2:$J100,7,FALSE), $N22="SWAB","OUTSA-RW",$N22="SWQU","OUTSA-SaQu", AND($L22="X",$M22="X",$N22="QUEST"),"OUT-UAQPre",$N22="QUEST","OUT-UAQ", $N22="Walk in","ColUATele")</f>
        <v>UA</v>
      </c>
      <c r="W22" s="24" t="str">
        <f t="shared" si="8"/>
        <v>UA : Urine Analysis In House</v>
      </c>
      <c r="X22" s="222" t="str">
        <f t="shared" si="9"/>
        <v>UA : Urine Analysis In House</v>
      </c>
      <c r="Y22" s="222" t="str">
        <f t="shared" si="10"/>
        <v>MATCH</v>
      </c>
      <c r="Z22" s="224" t="str">
        <f t="shared" si="11"/>
        <v> </v>
      </c>
      <c r="AA22" s="244"/>
    </row>
    <row r="23">
      <c r="A23" s="214" t="str">
        <f>IFS($B23=FALSE,"",$B23,VLOOKUP($B23,'PATIENT DATA (072721)'!A:C, 2, 0))</f>
        <v>HICKS, JOSE</v>
      </c>
      <c r="B23" s="215">
        <v>11910.0</v>
      </c>
      <c r="C23" s="216" t="str">
        <f>IF(COUNTIF('PATIENT DATA (072721)'!A:A, B23)=0, "X","✓")</f>
        <v>✓</v>
      </c>
      <c r="D23" s="226">
        <f>IFS($B23=FALSE,"",$B23,VLOOKUP($B23,'PATIENT DATA (072721)'!A:C, 3, 0))</f>
        <v>25986</v>
      </c>
      <c r="E23" s="218">
        <v>44574.0</v>
      </c>
      <c r="F23" s="219">
        <f>ifs($B23="","",$B23, VLOOKUP($B23&amp;$E23, 'VISIT DATA'!A:O,3,0))</f>
        <v>0.4375</v>
      </c>
      <c r="G23" s="220" t="s">
        <v>6328</v>
      </c>
      <c r="H23" s="221" t="s">
        <v>15</v>
      </c>
      <c r="I23" s="222" t="str">
        <f>VLOOKUP($B23&amp;$E23,'VISIT DATA'!A:J, 9, FALSE)</f>
        <v>MARTINEZ</v>
      </c>
      <c r="J23" s="223" t="str">
        <f>VLOOKUP(B23&amp;E23,'VISIT DATA'!A:N,10,FALSE)</f>
        <v>BCBS FEDERAL</v>
      </c>
      <c r="K23" s="225"/>
      <c r="L23" s="224" t="s">
        <v>6242</v>
      </c>
      <c r="M23" s="224"/>
      <c r="N23" s="225"/>
      <c r="O23" s="216" t="str">
        <f t="shared" si="1"/>
        <v>✓</v>
      </c>
      <c r="P23" s="226" t="str">
        <f t="shared" si="2"/>
        <v>#VALUE!</v>
      </c>
      <c r="Q23" s="227" t="str">
        <f t="shared" si="3"/>
        <v>#VALUE!</v>
      </c>
      <c r="R23" s="228" t="str">
        <f t="shared" si="4"/>
        <v>#VALUE!</v>
      </c>
      <c r="S23" s="220" t="str">
        <f t="shared" si="5"/>
        <v>#VALUE!</v>
      </c>
      <c r="T23" s="220" t="str">
        <f t="shared" si="6"/>
        <v>#VALUE!</v>
      </c>
      <c r="U23" s="221">
        <f t="shared" si="7"/>
        <v>0</v>
      </c>
      <c r="V23" s="229" t="str">
        <f>ifs($N23="",VLOOKUP($B23&amp;$E23,'VISIT DATA'!$A$2:$J100,7,FALSE), $N23="SWAB","OUTSA-RW",$N23="SWQU","OUTSA-SaQu", AND($L23="X",$M23="X",$N23="QUEST"),"OUT-UAQPre",$N23="QUEST","OUT-UAQ", $N23="Walk in","ColUATele")</f>
        <v>UA</v>
      </c>
      <c r="W23" s="24" t="str">
        <f t="shared" si="8"/>
        <v>UA : Urine Analysis In House</v>
      </c>
      <c r="X23" s="222" t="str">
        <f t="shared" si="9"/>
        <v>UA : Urine Analysis In House</v>
      </c>
      <c r="Y23" s="222" t="str">
        <f t="shared" si="10"/>
        <v>MATCH</v>
      </c>
      <c r="Z23" s="224" t="str">
        <f t="shared" si="11"/>
        <v> </v>
      </c>
      <c r="AA23" s="244"/>
    </row>
    <row r="24">
      <c r="A24" s="214" t="str">
        <f>IFS($B24=FALSE,"",$B24,VLOOKUP($B24,'PATIENT DATA (072721)'!A:C, 2, 0))</f>
        <v>DEMASSEY, DAVID</v>
      </c>
      <c r="B24" s="215">
        <v>11282.0</v>
      </c>
      <c r="C24" s="216" t="str">
        <f>IF(COUNTIF('PATIENT DATA (072721)'!A:A, B24)=0, "X","✓")</f>
        <v>✓</v>
      </c>
      <c r="D24" s="226">
        <f>IFS($B24=FALSE,"",$B24,VLOOKUP($B24,'PATIENT DATA (072721)'!A:C, 3, 0))</f>
        <v>20131</v>
      </c>
      <c r="E24" s="218">
        <v>44574.0</v>
      </c>
      <c r="F24" s="219">
        <f>ifs($B24="","",$B24, VLOOKUP($B24&amp;$E24, 'VISIT DATA'!A:O,3,0))</f>
        <v>0.4166666667</v>
      </c>
      <c r="G24" s="220" t="s">
        <v>6328</v>
      </c>
      <c r="H24" s="221" t="s">
        <v>15</v>
      </c>
      <c r="I24" s="222" t="str">
        <f>VLOOKUP($B24&amp;$E24,'VISIT DATA'!A:J, 9, FALSE)</f>
        <v>MARTINEZ</v>
      </c>
      <c r="J24" s="223" t="str">
        <f>VLOOKUP(B24&amp;E24,'VISIT DATA'!A:N,10,FALSE)</f>
        <v>WPS VA - COMMUNITY CARE</v>
      </c>
      <c r="K24" s="225"/>
      <c r="L24" s="224" t="s">
        <v>6242</v>
      </c>
      <c r="M24" s="224"/>
      <c r="N24" s="224"/>
      <c r="O24" s="216" t="str">
        <f t="shared" si="1"/>
        <v>✓</v>
      </c>
      <c r="P24" s="226" t="str">
        <f t="shared" si="2"/>
        <v>#VALUE!</v>
      </c>
      <c r="Q24" s="227" t="str">
        <f t="shared" si="3"/>
        <v>#VALUE!</v>
      </c>
      <c r="R24" s="228" t="str">
        <f t="shared" si="4"/>
        <v>#VALUE!</v>
      </c>
      <c r="S24" s="220" t="str">
        <f t="shared" si="5"/>
        <v>#VALUE!</v>
      </c>
      <c r="T24" s="220" t="str">
        <f t="shared" si="6"/>
        <v>#VALUE!</v>
      </c>
      <c r="U24" s="221">
        <f t="shared" si="7"/>
        <v>0</v>
      </c>
      <c r="V24" s="229" t="str">
        <f>ifs($N24="",VLOOKUP($B24&amp;$E24,'VISIT DATA'!$A$2:$J100,7,FALSE), $N24="SWAB","OUTSA-RW",$N24="SWQU","OUTSA-SaQu", AND($L24="X",$M24="X",$N24="QUEST"),"OUT-UAQPre",$N24="QUEST","OUT-UAQ", $N24="Walk in","ColUATele")</f>
        <v>UA</v>
      </c>
      <c r="W24" s="24" t="str">
        <f t="shared" si="8"/>
        <v>UA : Urine Analysis In House</v>
      </c>
      <c r="X24" s="222" t="str">
        <f t="shared" si="9"/>
        <v>UA : Urine Analysis In House</v>
      </c>
      <c r="Y24" s="222" t="str">
        <f t="shared" si="10"/>
        <v>MATCH</v>
      </c>
      <c r="Z24" s="224" t="str">
        <f t="shared" si="11"/>
        <v> </v>
      </c>
      <c r="AA24" s="244"/>
    </row>
    <row r="25">
      <c r="A25" s="214" t="str">
        <f>IFS($B25=FALSE,"",$B25,VLOOKUP($B25,'PATIENT DATA (072721)'!A:C, 2, 0))</f>
        <v>CASTANEDA, YOLANDA</v>
      </c>
      <c r="B25" s="215">
        <v>15214.0</v>
      </c>
      <c r="C25" s="216" t="str">
        <f>IF(COUNTIF('PATIENT DATA (072721)'!A:A, B25)=0, "X","✓")</f>
        <v>✓</v>
      </c>
      <c r="D25" s="226">
        <f>IFS($B25=FALSE,"",$B25,VLOOKUP($B25,'PATIENT DATA (072721)'!A:C, 3, 0))</f>
        <v>17411</v>
      </c>
      <c r="E25" s="218">
        <v>44574.0</v>
      </c>
      <c r="F25" s="219">
        <f>ifs($B25="","",$B25, VLOOKUP($B25&amp;$E25, 'VISIT DATA'!A:O,3,0))</f>
        <v>0.4583333333</v>
      </c>
      <c r="G25" s="220" t="s">
        <v>6323</v>
      </c>
      <c r="H25" s="221" t="s">
        <v>15</v>
      </c>
      <c r="I25" s="222" t="str">
        <f>VLOOKUP($B25&amp;$E25,'VISIT DATA'!A:J, 9, FALSE)</f>
        <v>TORRES</v>
      </c>
      <c r="J25" s="223" t="str">
        <f>VLOOKUP(B25&amp;E25,'VISIT DATA'!A:N,10,FALSE)</f>
        <v>WELLMED - HUMANA</v>
      </c>
      <c r="K25" s="224"/>
      <c r="L25" s="224" t="s">
        <v>6242</v>
      </c>
      <c r="M25" s="224" t="s">
        <v>6242</v>
      </c>
      <c r="N25" s="225"/>
      <c r="O25" s="216" t="str">
        <f t="shared" si="1"/>
        <v>✓</v>
      </c>
      <c r="P25" s="226" t="str">
        <f t="shared" si="2"/>
        <v>X</v>
      </c>
      <c r="Q25" s="227" t="str">
        <f t="shared" si="3"/>
        <v>#VALUE!</v>
      </c>
      <c r="R25" s="228" t="str">
        <f t="shared" si="4"/>
        <v>#VALUE!</v>
      </c>
      <c r="S25" s="220" t="str">
        <f t="shared" si="5"/>
        <v>#VALUE!</v>
      </c>
      <c r="T25" s="220" t="str">
        <f t="shared" si="6"/>
        <v>#VALUE!</v>
      </c>
      <c r="U25" s="221">
        <f t="shared" si="7"/>
        <v>1</v>
      </c>
      <c r="V25" s="229" t="str">
        <f>ifs($N25="",VLOOKUP($B25&amp;$E25,'VISIT DATA'!$A$2:$J100,7,FALSE), $N25="SWAB","OUTSA-RW",$N25="SWQU","OUTSA-SaQu", AND($L25="X",$M25="X",$N25="QUEST"),"OUT-UAQPre",$N25="QUEST","OUT-UAQ", $N25="Walk in","ColUATele")</f>
        <v>OUTUA-PrRW</v>
      </c>
      <c r="W25" s="24" t="str">
        <f t="shared" si="8"/>
        <v>OUTUA-PrRW : OUT UA Prelimin Redwood</v>
      </c>
      <c r="X25" s="222" t="str">
        <f t="shared" si="9"/>
        <v>OUTUA-PrRW : OUT UA Prelimin Redwood</v>
      </c>
      <c r="Y25" s="222" t="str">
        <f t="shared" si="10"/>
        <v>MATCH</v>
      </c>
      <c r="Z25" s="224" t="str">
        <f t="shared" si="11"/>
        <v> </v>
      </c>
      <c r="AA25" s="244"/>
    </row>
    <row r="26">
      <c r="A26" s="214" t="str">
        <f>IFS($B26=FALSE,"",$B26,VLOOKUP($B26,'PATIENT DATA (072721)'!A:C, 2, 0))</f>
        <v>BELTRAN, ANTONIA</v>
      </c>
      <c r="B26" s="215">
        <v>12477.0</v>
      </c>
      <c r="C26" s="216" t="str">
        <f>IF(COUNTIF('PATIENT DATA (072721)'!A:A, B26)=0, "X","✓")</f>
        <v>✓</v>
      </c>
      <c r="D26" s="226">
        <f>IFS($B26=FALSE,"",$B26,VLOOKUP($B26,'PATIENT DATA (072721)'!A:C, 3, 0))</f>
        <v>24073</v>
      </c>
      <c r="E26" s="218">
        <v>44574.0</v>
      </c>
      <c r="F26" s="219">
        <f>ifs($B26="","",$B26, VLOOKUP($B26&amp;$E26, 'VISIT DATA'!A:O,3,0))</f>
        <v>0.3645833333</v>
      </c>
      <c r="G26" s="220" t="s">
        <v>6323</v>
      </c>
      <c r="H26" s="221" t="s">
        <v>15</v>
      </c>
      <c r="I26" s="222" t="str">
        <f>VLOOKUP($B26&amp;$E26,'VISIT DATA'!A:J, 9, FALSE)</f>
        <v>TORRES</v>
      </c>
      <c r="J26" s="223" t="str">
        <f>VLOOKUP(B26&amp;E26,'VISIT DATA'!A:N,10,FALSE)</f>
        <v>MOLINA MARKETPLACE TEXAS</v>
      </c>
      <c r="K26" s="224"/>
      <c r="L26" s="224" t="s">
        <v>6242</v>
      </c>
      <c r="M26" s="224" t="s">
        <v>6242</v>
      </c>
      <c r="N26" s="224"/>
      <c r="O26" s="216" t="str">
        <f t="shared" si="1"/>
        <v>✓</v>
      </c>
      <c r="P26" s="226" t="str">
        <f t="shared" si="2"/>
        <v>#VALUE!</v>
      </c>
      <c r="Q26" s="227" t="str">
        <f t="shared" si="3"/>
        <v>X</v>
      </c>
      <c r="R26" s="228" t="str">
        <f t="shared" si="4"/>
        <v>#VALUE!</v>
      </c>
      <c r="S26" s="220" t="str">
        <f t="shared" si="5"/>
        <v>#VALUE!</v>
      </c>
      <c r="T26" s="220" t="str">
        <f t="shared" si="6"/>
        <v>#VALUE!</v>
      </c>
      <c r="U26" s="221">
        <f t="shared" si="7"/>
        <v>1</v>
      </c>
      <c r="V26" s="229" t="str">
        <f>ifs($N26="",VLOOKUP($B26&amp;$E26,'VISIT DATA'!$A$2:$J100,7,FALSE), $N26="SWAB","OUTSA-RW",$N26="SWQU","OUTSA-SaQu", AND($L26="X",$M26="X",$N26="QUEST"),"OUT-UAQPre",$N26="QUEST","OUT-UAQ", $N26="Walk in","ColUATele")</f>
        <v>OUTUA-PrRW</v>
      </c>
      <c r="W26" s="24" t="str">
        <f t="shared" si="8"/>
        <v>OUTUA-PrRW : OUT UA Prelimin Redwood</v>
      </c>
      <c r="X26" s="222" t="str">
        <f t="shared" si="9"/>
        <v>OUTUA-PrRW : OUT UA Prelimin Redwood</v>
      </c>
      <c r="Y26" s="222" t="str">
        <f t="shared" si="10"/>
        <v>MATCH</v>
      </c>
      <c r="Z26" s="224" t="str">
        <f t="shared" si="11"/>
        <v> </v>
      </c>
      <c r="AA26" s="245"/>
    </row>
    <row r="27">
      <c r="A27" s="214" t="str">
        <f>IFS($B27=FALSE,"",$B27,VLOOKUP($B27,'PATIENT DATA (072721)'!A:C, 2, 0))</f>
        <v>ALARCON, VICTOR</v>
      </c>
      <c r="B27" s="215">
        <v>12467.0</v>
      </c>
      <c r="C27" s="216" t="str">
        <f>IF(COUNTIF('PATIENT DATA (072721)'!A:A, B27)=0, "X","✓")</f>
        <v>✓</v>
      </c>
      <c r="D27" s="226">
        <f>IFS($B27=FALSE,"",$B27,VLOOKUP($B27,'PATIENT DATA (072721)'!A:C, 3, 0))</f>
        <v>20416</v>
      </c>
      <c r="E27" s="218">
        <v>44574.0</v>
      </c>
      <c r="F27" s="219">
        <f>ifs($B27="","",$B27, VLOOKUP($B27&amp;$E27, 'VISIT DATA'!A:O,3,0))</f>
        <v>0.4583333333</v>
      </c>
      <c r="G27" s="220" t="s">
        <v>6328</v>
      </c>
      <c r="H27" s="221" t="s">
        <v>15</v>
      </c>
      <c r="I27" s="222" t="str">
        <f>VLOOKUP($B27&amp;$E27,'VISIT DATA'!A:J, 9, FALSE)</f>
        <v>MARTINEZ</v>
      </c>
      <c r="J27" s="223" t="str">
        <f>VLOOKUP(B27&amp;E27,'VISIT DATA'!A:N,10,FALSE)</f>
        <v>HUMANA MEDICARE PPO</v>
      </c>
      <c r="K27" s="224"/>
      <c r="L27" s="224" t="s">
        <v>6242</v>
      </c>
      <c r="M27" s="224"/>
      <c r="N27" s="225"/>
      <c r="O27" s="216" t="str">
        <f t="shared" si="1"/>
        <v>✓</v>
      </c>
      <c r="P27" s="226" t="str">
        <f t="shared" si="2"/>
        <v>#VALUE!</v>
      </c>
      <c r="Q27" s="227" t="str">
        <f t="shared" si="3"/>
        <v>#VALUE!</v>
      </c>
      <c r="R27" s="228" t="str">
        <f t="shared" si="4"/>
        <v>#VALUE!</v>
      </c>
      <c r="S27" s="220" t="str">
        <f t="shared" si="5"/>
        <v>#VALUE!</v>
      </c>
      <c r="T27" s="220" t="str">
        <f t="shared" si="6"/>
        <v>#VALUE!</v>
      </c>
      <c r="U27" s="221">
        <f t="shared" si="7"/>
        <v>0</v>
      </c>
      <c r="V27" s="229" t="str">
        <f>ifs($N27="",VLOOKUP($B27&amp;$E27,'VISIT DATA'!$A$2:$J100,7,FALSE), $N27="SWAB","OUTSA-RW",$N27="SWQU","OUTSA-SaQu", AND($L27="X",$M27="X",$N27="QUEST"),"OUT-UAQPre",$N27="QUEST","OUT-UAQ", $N27="Walk in","ColUATele")</f>
        <v>UA</v>
      </c>
      <c r="W27" s="24" t="str">
        <f t="shared" si="8"/>
        <v>UA : Urine Analysis In House</v>
      </c>
      <c r="X27" s="222" t="str">
        <f t="shared" si="9"/>
        <v>UA : Urine Analysis In House</v>
      </c>
      <c r="Y27" s="222" t="str">
        <f t="shared" si="10"/>
        <v>MATCH</v>
      </c>
      <c r="Z27" s="224" t="str">
        <f t="shared" si="11"/>
        <v> </v>
      </c>
      <c r="AA27" s="244"/>
    </row>
    <row r="28">
      <c r="A28" s="214" t="str">
        <f>IFS($B28=FALSE,"",$B28,VLOOKUP($B28,'PATIENT DATA (072721)'!A:C, 2, 0))</f>
        <v>BRISENO, SYLVIA D</v>
      </c>
      <c r="B28" s="215">
        <v>17890.0</v>
      </c>
      <c r="C28" s="216" t="str">
        <f>IF(COUNTIF('PATIENT DATA (072721)'!A:A, B28)=0, "X","✓")</f>
        <v>✓</v>
      </c>
      <c r="D28" s="226">
        <f>IFS($B28=FALSE,"",$B28,VLOOKUP($B28,'PATIENT DATA (072721)'!A:C, 3, 0))</f>
        <v>20526</v>
      </c>
      <c r="E28" s="218">
        <v>44574.0</v>
      </c>
      <c r="F28" s="219">
        <f>ifs($B28="","",$B28, VLOOKUP($B28&amp;$E28, 'VISIT DATA'!A:O,3,0))</f>
        <v>0.46875</v>
      </c>
      <c r="G28" s="220" t="s">
        <v>6323</v>
      </c>
      <c r="H28" s="221" t="s">
        <v>12</v>
      </c>
      <c r="I28" s="222" t="str">
        <f>VLOOKUP($B28&amp;$E28,'VISIT DATA'!A:J, 9, FALSE)</f>
        <v>THOMAS</v>
      </c>
      <c r="J28" s="223" t="str">
        <f>VLOOKUP(B28&amp;E28,'VISIT DATA'!A:N,10,FALSE)</f>
        <v>WELLMED - UHC DUAL COMPLETE SNP</v>
      </c>
      <c r="K28" s="224" t="s">
        <v>6242</v>
      </c>
      <c r="L28" s="224"/>
      <c r="M28" s="224"/>
      <c r="N28" s="225"/>
      <c r="O28" s="216" t="str">
        <f t="shared" si="1"/>
        <v>✓</v>
      </c>
      <c r="P28" s="226" t="str">
        <f t="shared" si="2"/>
        <v>X</v>
      </c>
      <c r="Q28" s="227" t="str">
        <f t="shared" si="3"/>
        <v>#VALUE!</v>
      </c>
      <c r="R28" s="228" t="str">
        <f t="shared" si="4"/>
        <v>#VALUE!</v>
      </c>
      <c r="S28" s="220" t="str">
        <f t="shared" si="5"/>
        <v>#VALUE!</v>
      </c>
      <c r="T28" s="220" t="str">
        <f t="shared" si="6"/>
        <v>#VALUE!</v>
      </c>
      <c r="U28" s="221">
        <f t="shared" si="7"/>
        <v>1</v>
      </c>
      <c r="V28" s="229" t="str">
        <f>ifs($N28="",VLOOKUP($B28&amp;$E28,'VISIT DATA'!$A$2:$J100,7,FALSE), $N28="SWAB","OUTSA-RW",$N28="SWQU","OUTSA-SaQu", AND($L28="X",$M28="X",$N28="QUEST"),"OUT-UAQPre",$N28="QUEST","OUT-UAQ", $N28="Walk in","ColUATele")</f>
        <v>OUTUA-NWRW</v>
      </c>
      <c r="W28" s="24" t="str">
        <f t="shared" si="8"/>
        <v>OUTUA-NWRW : OUT UA New Redwood</v>
      </c>
      <c r="X28" s="222" t="str">
        <f t="shared" si="9"/>
        <v>OUTUA-NWRW : OUT UA New Redwood</v>
      </c>
      <c r="Y28" s="222" t="str">
        <f t="shared" si="10"/>
        <v>MATCH</v>
      </c>
      <c r="Z28" s="224" t="str">
        <f t="shared" si="11"/>
        <v> </v>
      </c>
      <c r="AA28" s="244"/>
    </row>
    <row r="29">
      <c r="A29" s="214" t="str">
        <f>IFS($B29=FALSE,"",$B29,VLOOKUP($B29,'PATIENT DATA (072721)'!A:C, 2, 0))</f>
        <v>GONZALEZ, EDUARDO L</v>
      </c>
      <c r="B29" s="215">
        <v>17630.0</v>
      </c>
      <c r="C29" s="216" t="str">
        <f>IF(COUNTIF('PATIENT DATA (072721)'!A:A, B29)=0, "X","✓")</f>
        <v>✓</v>
      </c>
      <c r="D29" s="226">
        <f>IFS($B29=FALSE,"",$B29,VLOOKUP($B29,'PATIENT DATA (072721)'!A:C, 3, 0))</f>
        <v>16735</v>
      </c>
      <c r="E29" s="218">
        <v>44574.0</v>
      </c>
      <c r="F29" s="219">
        <f>ifs($B29="","",$B29, VLOOKUP($B29&amp;$E29, 'VISIT DATA'!A:O,3,0))</f>
        <v>0.46875</v>
      </c>
      <c r="G29" s="220" t="s">
        <v>6328</v>
      </c>
      <c r="H29" s="221" t="s">
        <v>15</v>
      </c>
      <c r="I29" s="222" t="str">
        <f>VLOOKUP($B29&amp;$E29,'VISIT DATA'!A:J, 9, FALSE)</f>
        <v>MARTINEZ</v>
      </c>
      <c r="J29" s="223" t="str">
        <f>VLOOKUP(B29&amp;E29,'VISIT DATA'!A:N,10,FALSE)</f>
        <v>WELLMED - CIGNA HEALTHSPRING</v>
      </c>
      <c r="K29" s="224"/>
      <c r="L29" s="224" t="s">
        <v>6242</v>
      </c>
      <c r="M29" s="224"/>
      <c r="N29" s="224"/>
      <c r="O29" s="216" t="str">
        <f t="shared" si="1"/>
        <v>✓</v>
      </c>
      <c r="P29" s="226" t="str">
        <f t="shared" si="2"/>
        <v>X</v>
      </c>
      <c r="Q29" s="227" t="str">
        <f t="shared" si="3"/>
        <v>#VALUE!</v>
      </c>
      <c r="R29" s="228" t="str">
        <f t="shared" si="4"/>
        <v>#VALUE!</v>
      </c>
      <c r="S29" s="220" t="str">
        <f t="shared" si="5"/>
        <v>#VALUE!</v>
      </c>
      <c r="T29" s="220" t="str">
        <f t="shared" si="6"/>
        <v>#VALUE!</v>
      </c>
      <c r="U29" s="221">
        <f t="shared" si="7"/>
        <v>1</v>
      </c>
      <c r="V29" s="229" t="str">
        <f>ifs($N29="",VLOOKUP($B29&amp;$E29,'VISIT DATA'!$A$2:$J100,7,FALSE), $N29="SWAB","OUTSA-RW",$N29="SWQU","OUTSA-SaQu", AND($L29="X",$M29="X",$N29="QUEST"),"OUT-UAQPre",$N29="QUEST","OUT-UAQ", $N29="Walk in","ColUATele")</f>
        <v>OUTUA-FURW</v>
      </c>
      <c r="W29" s="24" t="str">
        <f t="shared" si="8"/>
        <v>OUTUA-FURW : OUT UA FU Redwood</v>
      </c>
      <c r="X29" s="222" t="str">
        <f t="shared" si="9"/>
        <v>OUTUA-FURW : OUT UA FU Redwood</v>
      </c>
      <c r="Y29" s="222" t="str">
        <f t="shared" si="10"/>
        <v>MATCH</v>
      </c>
      <c r="Z29" s="224" t="str">
        <f t="shared" si="11"/>
        <v> </v>
      </c>
      <c r="AA29" s="245"/>
    </row>
    <row r="30">
      <c r="A30" s="214" t="str">
        <f>IFS($B30=FALSE,"",$B30,VLOOKUP($B30,'PATIENT DATA (072721)'!A:C, 2, 0))</f>
        <v>MOSS, JENNIE G</v>
      </c>
      <c r="B30" s="215">
        <v>9286.0</v>
      </c>
      <c r="C30" s="230" t="str">
        <f>IF(COUNTIF('PATIENT DATA (072721)'!A:A, B30)=0, "X","✓")</f>
        <v>✓</v>
      </c>
      <c r="D30" s="226">
        <f>IFS($B30=FALSE,"",$B30,VLOOKUP($B30,'PATIENT DATA (072721)'!A:C, 3, 0))</f>
        <v>14829</v>
      </c>
      <c r="E30" s="218">
        <v>44574.0</v>
      </c>
      <c r="F30" s="219">
        <f>ifs($B30="","",$B30, VLOOKUP($B30&amp;$E30, 'VISIT DATA'!A:O,3,0))</f>
        <v>0.5729166667</v>
      </c>
      <c r="G30" s="231" t="s">
        <v>6323</v>
      </c>
      <c r="H30" s="221" t="s">
        <v>12</v>
      </c>
      <c r="I30" s="222" t="str">
        <f>VLOOKUP($B30&amp;$E30,'VISIT DATA'!A:J, 9, FALSE)</f>
        <v>LOPEZ</v>
      </c>
      <c r="J30" s="223" t="str">
        <f>VLOOKUP(B30&amp;E30,'VISIT DATA'!A:N,10,FALSE)</f>
        <v>MEDICARE TEXAS</v>
      </c>
      <c r="K30" s="224"/>
      <c r="L30" s="224" t="s">
        <v>6242</v>
      </c>
      <c r="M30" s="224"/>
      <c r="N30" s="225"/>
      <c r="O30" s="216" t="str">
        <f t="shared" si="1"/>
        <v>✓</v>
      </c>
      <c r="P30" s="226" t="str">
        <f t="shared" si="2"/>
        <v>#VALUE!</v>
      </c>
      <c r="Q30" s="227" t="str">
        <f t="shared" si="3"/>
        <v>#VALUE!</v>
      </c>
      <c r="R30" s="228" t="str">
        <f t="shared" si="4"/>
        <v>#VALUE!</v>
      </c>
      <c r="S30" s="220" t="str">
        <f t="shared" si="5"/>
        <v>#VALUE!</v>
      </c>
      <c r="T30" s="220" t="str">
        <f t="shared" si="6"/>
        <v>#VALUE!</v>
      </c>
      <c r="U30" s="221">
        <f t="shared" si="7"/>
        <v>0</v>
      </c>
      <c r="V30" s="229" t="str">
        <f>ifs($N30="",VLOOKUP($B30&amp;$E30,'VISIT DATA'!$A$2:$J100,7,FALSE), $N30="SWAB","OUTSA-RW",$N30="SWQU","OUTSA-SaQu", AND($L30="X",$M30="X",$N30="QUEST"),"OUT-UAQPre",$N30="QUEST","OUT-UAQ", $N30="Walk in","ColUATele")</f>
        <v>UA</v>
      </c>
      <c r="W30" s="24" t="str">
        <f t="shared" si="8"/>
        <v>UA : Urine Analysis In House</v>
      </c>
      <c r="X30" s="222" t="str">
        <f t="shared" si="9"/>
        <v>UA : Urine Analysis In House</v>
      </c>
      <c r="Y30" s="222" t="str">
        <f t="shared" si="10"/>
        <v>MATCH</v>
      </c>
      <c r="Z30" s="224" t="str">
        <f t="shared" si="11"/>
        <v> </v>
      </c>
      <c r="AA30" s="244"/>
    </row>
    <row r="31">
      <c r="A31" s="214" t="str">
        <f>IFS($B31=FALSE,"",$B31,VLOOKUP($B31,'PATIENT DATA (072721)'!A:C, 2, 0))</f>
        <v>TORRES, FRANCISCO A</v>
      </c>
      <c r="B31" s="215">
        <v>17125.0</v>
      </c>
      <c r="C31" s="230" t="str">
        <f>IF(COUNTIF('PATIENT DATA (072721)'!A:A, B31)=0, "X","✓")</f>
        <v>✓</v>
      </c>
      <c r="D31" s="226">
        <f>IFS($B31=FALSE,"",$B31,VLOOKUP($B31,'PATIENT DATA (072721)'!A:C, 3, 0))</f>
        <v>17554</v>
      </c>
      <c r="E31" s="218">
        <v>44574.0</v>
      </c>
      <c r="F31" s="219">
        <f>ifs($B31="","",$B31, VLOOKUP($B31&amp;$E31, 'VISIT DATA'!A:O,3,0))</f>
        <v>0.5520833333</v>
      </c>
      <c r="G31" s="231" t="s">
        <v>6328</v>
      </c>
      <c r="H31" s="221" t="s">
        <v>12</v>
      </c>
      <c r="I31" s="222" t="str">
        <f>VLOOKUP($B31&amp;$E31,'VISIT DATA'!A:J, 9, FALSE)</f>
        <v>LOPEZ</v>
      </c>
      <c r="J31" s="223" t="str">
        <f>VLOOKUP(B31&amp;E31,'VISIT DATA'!A:N,10,FALSE)</f>
        <v>WELLCARE OF TEXAS</v>
      </c>
      <c r="K31" s="225"/>
      <c r="L31" s="224" t="s">
        <v>6242</v>
      </c>
      <c r="M31" s="224" t="s">
        <v>6242</v>
      </c>
      <c r="N31" s="225"/>
      <c r="O31" s="216" t="str">
        <f t="shared" si="1"/>
        <v>✓</v>
      </c>
      <c r="P31" s="226" t="str">
        <f t="shared" si="2"/>
        <v>#VALUE!</v>
      </c>
      <c r="Q31" s="227" t="str">
        <f t="shared" si="3"/>
        <v>#VALUE!</v>
      </c>
      <c r="R31" s="228" t="str">
        <f t="shared" si="4"/>
        <v>#VALUE!</v>
      </c>
      <c r="S31" s="220" t="str">
        <f t="shared" si="5"/>
        <v>#VALUE!</v>
      </c>
      <c r="T31" s="220" t="str">
        <f t="shared" si="6"/>
        <v>#VALUE!</v>
      </c>
      <c r="U31" s="221">
        <f t="shared" si="7"/>
        <v>0</v>
      </c>
      <c r="V31" s="229" t="str">
        <f>ifs($N31="",VLOOKUP($B31&amp;$E31,'VISIT DATA'!$A$2:$J100,7,FALSE), $N31="SWAB","OUTSA-RW",$N31="SWQU","OUTSA-SaQu", AND($L31="X",$M31="X",$N31="QUEST"),"OUT-UAQPre",$N31="QUEST","OUT-UAQ", $N31="Walk in","ColUATele")</f>
        <v>UA-Prelim</v>
      </c>
      <c r="W31" s="24" t="str">
        <f t="shared" si="8"/>
        <v>UA-Prelim : Preliminary UA Test</v>
      </c>
      <c r="X31" s="222" t="str">
        <f t="shared" si="9"/>
        <v>UA-Prelim : Preliminary UA Test</v>
      </c>
      <c r="Y31" s="222" t="str">
        <f t="shared" si="10"/>
        <v>MATCH</v>
      </c>
      <c r="Z31" s="224" t="str">
        <f t="shared" si="11"/>
        <v> </v>
      </c>
      <c r="AA31" s="244"/>
    </row>
    <row r="32">
      <c r="A32" s="214" t="str">
        <f>IFS($B32=FALSE,"",$B32,VLOOKUP($B32,'PATIENT DATA (072721)'!A:C, 2, 0))</f>
        <v>KESSLER, MAGDALENA D</v>
      </c>
      <c r="B32" s="215">
        <v>14550.0</v>
      </c>
      <c r="C32" s="230" t="str">
        <f>IF(COUNTIF('PATIENT DATA (072721)'!A:A, B32)=0, "X","✓")</f>
        <v>✓</v>
      </c>
      <c r="D32" s="226">
        <f>IFS($B32=FALSE,"",$B32,VLOOKUP($B32,'PATIENT DATA (072721)'!A:C, 3, 0))</f>
        <v>23451</v>
      </c>
      <c r="E32" s="218">
        <v>44574.0</v>
      </c>
      <c r="F32" s="219">
        <f>ifs($B32="","",$B32, VLOOKUP($B32&amp;$E32, 'VISIT DATA'!A:O,3,0))</f>
        <v>0.59375</v>
      </c>
      <c r="G32" s="231" t="s">
        <v>6323</v>
      </c>
      <c r="H32" s="221" t="s">
        <v>12</v>
      </c>
      <c r="I32" s="222" t="str">
        <f>VLOOKUP($B32&amp;$E32,'VISIT DATA'!A:J, 9, FALSE)</f>
        <v>THOMAS</v>
      </c>
      <c r="J32" s="223" t="str">
        <f>VLOOKUP(B32&amp;E32,'VISIT DATA'!A:N,10,FALSE)</f>
        <v>WELLMED - HUMANA</v>
      </c>
      <c r="K32" s="224"/>
      <c r="L32" s="224" t="s">
        <v>6242</v>
      </c>
      <c r="M32" s="224"/>
      <c r="N32" s="225"/>
      <c r="O32" s="216" t="str">
        <f t="shared" si="1"/>
        <v>✓</v>
      </c>
      <c r="P32" s="226" t="str">
        <f t="shared" si="2"/>
        <v>X</v>
      </c>
      <c r="Q32" s="227" t="str">
        <f t="shared" si="3"/>
        <v>#VALUE!</v>
      </c>
      <c r="R32" s="228" t="str">
        <f t="shared" si="4"/>
        <v>#VALUE!</v>
      </c>
      <c r="S32" s="220" t="str">
        <f t="shared" si="5"/>
        <v>#VALUE!</v>
      </c>
      <c r="T32" s="220" t="str">
        <f t="shared" si="6"/>
        <v>#VALUE!</v>
      </c>
      <c r="U32" s="221">
        <f t="shared" si="7"/>
        <v>1</v>
      </c>
      <c r="V32" s="229" t="str">
        <f>ifs($N32="",VLOOKUP($B32&amp;$E32,'VISIT DATA'!$A$2:$J100,7,FALSE), $N32="SWAB","OUTSA-RW",$N32="SWQU","OUTSA-SaQu", AND($L32="X",$M32="X",$N32="QUEST"),"OUT-UAQPre",$N32="QUEST","OUT-UAQ", $N32="Walk in","ColUATele")</f>
        <v>OUTUA-FURW</v>
      </c>
      <c r="W32" s="24" t="str">
        <f t="shared" si="8"/>
        <v>OUTUA-FURW : OUT UA FU Redwood</v>
      </c>
      <c r="X32" s="222" t="str">
        <f t="shared" si="9"/>
        <v>OUTUA-FURW : OUT UA FU Redwood</v>
      </c>
      <c r="Y32" s="222" t="str">
        <f t="shared" si="10"/>
        <v>MATCH</v>
      </c>
      <c r="Z32" s="224" t="str">
        <f t="shared" si="11"/>
        <v> </v>
      </c>
      <c r="AA32" s="244"/>
    </row>
    <row r="33">
      <c r="A33" s="214" t="str">
        <f>IFS($B33=FALSE,"",$B33,VLOOKUP($B33,'PATIENT DATA (072721)'!A:C, 2, 0))</f>
        <v>ROYSDON, CHERYL</v>
      </c>
      <c r="B33" s="215">
        <v>11640.0</v>
      </c>
      <c r="C33" s="230" t="str">
        <f>IF(COUNTIF('PATIENT DATA (072721)'!A:A, B33)=0, "X","✓")</f>
        <v>✓</v>
      </c>
      <c r="D33" s="226">
        <f>IFS($B33=FALSE,"",$B33,VLOOKUP($B33,'PATIENT DATA (072721)'!A:C, 3, 0))</f>
        <v>23524</v>
      </c>
      <c r="E33" s="218">
        <v>44574.0</v>
      </c>
      <c r="F33" s="219">
        <f>ifs($B33="","",$B33, VLOOKUP($B33&amp;$E33, 'VISIT DATA'!A:O,3,0))</f>
        <v>0.5729166667</v>
      </c>
      <c r="G33" s="231" t="s">
        <v>6323</v>
      </c>
      <c r="H33" s="221" t="s">
        <v>15</v>
      </c>
      <c r="I33" s="222" t="str">
        <f>VLOOKUP($B33&amp;$E33,'VISIT DATA'!A:J, 9, FALSE)</f>
        <v>TORRES</v>
      </c>
      <c r="J33" s="223" t="str">
        <f>VLOOKUP(B33&amp;E33,'VISIT DATA'!A:N,10,FALSE)</f>
        <v>MOLINA MARKETPLACE TEXAS</v>
      </c>
      <c r="K33" s="225"/>
      <c r="L33" s="224" t="s">
        <v>6242</v>
      </c>
      <c r="M33" s="224"/>
      <c r="N33" s="225"/>
      <c r="O33" s="216" t="str">
        <f t="shared" si="1"/>
        <v>✓</v>
      </c>
      <c r="P33" s="226" t="str">
        <f t="shared" si="2"/>
        <v>#VALUE!</v>
      </c>
      <c r="Q33" s="227" t="str">
        <f t="shared" si="3"/>
        <v>X</v>
      </c>
      <c r="R33" s="228" t="str">
        <f t="shared" si="4"/>
        <v>#VALUE!</v>
      </c>
      <c r="S33" s="220" t="str">
        <f t="shared" si="5"/>
        <v>#VALUE!</v>
      </c>
      <c r="T33" s="220" t="str">
        <f t="shared" si="6"/>
        <v>#VALUE!</v>
      </c>
      <c r="U33" s="221">
        <f t="shared" si="7"/>
        <v>1</v>
      </c>
      <c r="V33" s="229" t="str">
        <f>ifs($N33="",VLOOKUP($B33&amp;$E33,'VISIT DATA'!$A$2:$J100,7,FALSE), $N33="SWAB","OUTSA-RW",$N33="SWQU","OUTSA-SaQu", AND($L33="X",$M33="X",$N33="QUEST"),"OUT-UAQPre",$N33="QUEST","OUT-UAQ", $N33="Walk in","ColUATele")</f>
        <v>OUTUA-FURW</v>
      </c>
      <c r="W33" s="24" t="str">
        <f t="shared" si="8"/>
        <v>OUTUA-FURW : OUT UA FU Redwood</v>
      </c>
      <c r="X33" s="222" t="str">
        <f t="shared" si="9"/>
        <v>OUTUA-FURW : OUT UA FU Redwood</v>
      </c>
      <c r="Y33" s="222" t="str">
        <f t="shared" si="10"/>
        <v>MATCH</v>
      </c>
      <c r="Z33" s="224" t="str">
        <f t="shared" si="11"/>
        <v> </v>
      </c>
      <c r="AA33" s="244"/>
    </row>
    <row r="34">
      <c r="A34" s="214" t="str">
        <f>IFS($B34=FALSE,"",$B34,VLOOKUP($B34,'PATIENT DATA (072721)'!A:C, 2, 0))</f>
        <v>HIDALGO, GILBERTO</v>
      </c>
      <c r="B34" s="215">
        <v>17195.0</v>
      </c>
      <c r="C34" s="230" t="str">
        <f>IF(COUNTIF('PATIENT DATA (072721)'!A:A, B34)=0, "X","✓")</f>
        <v>✓</v>
      </c>
      <c r="D34" s="226">
        <f>IFS($B34=FALSE,"",$B34,VLOOKUP($B34,'PATIENT DATA (072721)'!A:C, 3, 0))</f>
        <v>23337</v>
      </c>
      <c r="E34" s="218">
        <v>44574.0</v>
      </c>
      <c r="F34" s="219">
        <f>ifs($B34="","",$B34, VLOOKUP($B34&amp;$E34, 'VISIT DATA'!A:O,3,0))</f>
        <v>0.5625</v>
      </c>
      <c r="G34" s="231" t="s">
        <v>6328</v>
      </c>
      <c r="H34" s="221" t="s">
        <v>15</v>
      </c>
      <c r="I34" s="222" t="str">
        <f>VLOOKUP($B34&amp;$E34,'VISIT DATA'!A:J, 9, FALSE)</f>
        <v>MARTINEZ</v>
      </c>
      <c r="J34" s="223" t="str">
        <f>VLOOKUP(B34&amp;E34,'VISIT DATA'!A:N,10,FALSE)</f>
        <v>MOLINA MEDICAID TEXAS</v>
      </c>
      <c r="K34" s="225"/>
      <c r="L34" s="224" t="s">
        <v>6242</v>
      </c>
      <c r="M34" s="224"/>
      <c r="N34" s="225"/>
      <c r="O34" s="216" t="str">
        <f t="shared" si="1"/>
        <v>✓</v>
      </c>
      <c r="P34" s="226" t="str">
        <f t="shared" si="2"/>
        <v>#VALUE!</v>
      </c>
      <c r="Q34" s="227" t="str">
        <f t="shared" si="3"/>
        <v>X</v>
      </c>
      <c r="R34" s="228" t="str">
        <f t="shared" si="4"/>
        <v>#VALUE!</v>
      </c>
      <c r="S34" s="220" t="str">
        <f t="shared" si="5"/>
        <v>#VALUE!</v>
      </c>
      <c r="T34" s="220" t="str">
        <f t="shared" si="6"/>
        <v>#VALUE!</v>
      </c>
      <c r="U34" s="221">
        <f t="shared" si="7"/>
        <v>1</v>
      </c>
      <c r="V34" s="229" t="str">
        <f>ifs($N34="",VLOOKUP($B34&amp;$E34,'VISIT DATA'!$A$2:$J100,7,FALSE), $N34="SWAB","OUTSA-RW",$N34="SWQU","OUTSA-SaQu", AND($L34="X",$M34="X",$N34="QUEST"),"OUT-UAQPre",$N34="QUEST","OUT-UAQ", $N34="Walk in","ColUATele")</f>
        <v>OUTUA-FURW</v>
      </c>
      <c r="W34" s="24" t="str">
        <f t="shared" si="8"/>
        <v>OUTUA-FURW : OUT UA FU Redwood</v>
      </c>
      <c r="X34" s="222" t="str">
        <f t="shared" si="9"/>
        <v>OUTUA-FURW : OUT UA FU Redwood</v>
      </c>
      <c r="Y34" s="222" t="str">
        <f t="shared" si="10"/>
        <v>MATCH</v>
      </c>
      <c r="Z34" s="224" t="str">
        <f t="shared" si="11"/>
        <v> </v>
      </c>
      <c r="AA34" s="244"/>
    </row>
    <row r="35">
      <c r="A35" s="214" t="str">
        <f>IFS($B35=FALSE,"",$B35,VLOOKUP($B35,'PATIENT DATA (072721)'!A:C, 2, 0))</f>
        <v>MADRID, RICARDO</v>
      </c>
      <c r="B35" s="215">
        <v>14073.0</v>
      </c>
      <c r="C35" s="230" t="str">
        <f>IF(COUNTIF('PATIENT DATA (072721)'!A:A, B35)=0, "X","✓")</f>
        <v>✓</v>
      </c>
      <c r="D35" s="226">
        <f>IFS($B35=FALSE,"",$B35,VLOOKUP($B35,'PATIENT DATA (072721)'!A:C, 3, 0))</f>
        <v>19245</v>
      </c>
      <c r="E35" s="218">
        <v>44574.0</v>
      </c>
      <c r="F35" s="219">
        <f>ifs($B35="","",$B35, VLOOKUP($B35&amp;$E35, 'VISIT DATA'!A:O,3,0))</f>
        <v>0.5416666667</v>
      </c>
      <c r="G35" s="231" t="s">
        <v>6328</v>
      </c>
      <c r="H35" s="221" t="s">
        <v>15</v>
      </c>
      <c r="I35" s="222" t="str">
        <f>VLOOKUP($B35&amp;$E35,'VISIT DATA'!A:J, 9, FALSE)</f>
        <v>MARTINEZ</v>
      </c>
      <c r="J35" s="223" t="str">
        <f>VLOOKUP(B35&amp;E35,'VISIT DATA'!A:N,10,FALSE)</f>
        <v>WPS VA - COMMUNITY CARE</v>
      </c>
      <c r="K35" s="224"/>
      <c r="L35" s="224" t="s">
        <v>6242</v>
      </c>
      <c r="M35" s="224"/>
      <c r="N35" s="224"/>
      <c r="O35" s="216" t="str">
        <f t="shared" si="1"/>
        <v>✓</v>
      </c>
      <c r="P35" s="226" t="str">
        <f t="shared" si="2"/>
        <v>#VALUE!</v>
      </c>
      <c r="Q35" s="227" t="str">
        <f t="shared" si="3"/>
        <v>#VALUE!</v>
      </c>
      <c r="R35" s="228" t="str">
        <f t="shared" si="4"/>
        <v>#VALUE!</v>
      </c>
      <c r="S35" s="220" t="str">
        <f t="shared" si="5"/>
        <v>#VALUE!</v>
      </c>
      <c r="T35" s="220" t="str">
        <f t="shared" si="6"/>
        <v>#VALUE!</v>
      </c>
      <c r="U35" s="221">
        <f t="shared" si="7"/>
        <v>0</v>
      </c>
      <c r="V35" s="229" t="str">
        <f>ifs($N35="",VLOOKUP($B35&amp;$E35,'VISIT DATA'!$A$2:$J100,7,FALSE), $N35="SWAB","OUTSA-RW",$N35="SWQU","OUTSA-SaQu", AND($L35="X",$M35="X",$N35="QUEST"),"OUT-UAQPre",$N35="QUEST","OUT-UAQ", $N35="Walk in","ColUATele")</f>
        <v>UA</v>
      </c>
      <c r="W35" s="24" t="str">
        <f t="shared" si="8"/>
        <v>UA : Urine Analysis In House</v>
      </c>
      <c r="X35" s="222" t="str">
        <f t="shared" si="9"/>
        <v>UA : Urine Analysis In House</v>
      </c>
      <c r="Y35" s="222" t="str">
        <f t="shared" si="10"/>
        <v>MATCH</v>
      </c>
      <c r="Z35" s="224" t="str">
        <f t="shared" si="11"/>
        <v> </v>
      </c>
      <c r="AA35" s="244"/>
    </row>
    <row r="36">
      <c r="A36" s="214" t="str">
        <f>IFS($B36=FALSE,"",$B36,VLOOKUP($B36,'PATIENT DATA (072721)'!A:C, 2, 0))</f>
        <v>ORTEGA, HORTENCIA R</v>
      </c>
      <c r="B36" s="215">
        <v>9210.0</v>
      </c>
      <c r="C36" s="230" t="str">
        <f>IF(COUNTIF('PATIENT DATA (072721)'!A:A, B36)=0, "X","✓")</f>
        <v>✓</v>
      </c>
      <c r="D36" s="226">
        <f>IFS($B36=FALSE,"",$B36,VLOOKUP($B36,'PATIENT DATA (072721)'!A:C, 3, 0))</f>
        <v>9983</v>
      </c>
      <c r="E36" s="218">
        <v>44574.0</v>
      </c>
      <c r="F36" s="219">
        <f>ifs($B36="","",$B36, VLOOKUP($B36&amp;$E36, 'VISIT DATA'!A:O,3,0))</f>
        <v>0.5625</v>
      </c>
      <c r="G36" s="231" t="s">
        <v>6323</v>
      </c>
      <c r="H36" s="221" t="s">
        <v>13</v>
      </c>
      <c r="I36" s="222" t="str">
        <f>VLOOKUP($B36&amp;$E36,'VISIT DATA'!A:J, 9, FALSE)</f>
        <v>THOMAS</v>
      </c>
      <c r="J36" s="223" t="str">
        <f>VLOOKUP(B36&amp;E36,'VISIT DATA'!A:N,10,FALSE)</f>
        <v>MEDICARE TEXAS</v>
      </c>
      <c r="K36" s="225"/>
      <c r="L36" s="224" t="s">
        <v>6242</v>
      </c>
      <c r="M36" s="224" t="s">
        <v>6242</v>
      </c>
      <c r="N36" s="225"/>
      <c r="O36" s="216" t="str">
        <f t="shared" si="1"/>
        <v>✓</v>
      </c>
      <c r="P36" s="226" t="str">
        <f t="shared" si="2"/>
        <v>#VALUE!</v>
      </c>
      <c r="Q36" s="227" t="str">
        <f t="shared" si="3"/>
        <v>#VALUE!</v>
      </c>
      <c r="R36" s="228" t="str">
        <f t="shared" si="4"/>
        <v>#VALUE!</v>
      </c>
      <c r="S36" s="220" t="str">
        <f t="shared" si="5"/>
        <v>#VALUE!</v>
      </c>
      <c r="T36" s="220" t="str">
        <f t="shared" si="6"/>
        <v>#VALUE!</v>
      </c>
      <c r="U36" s="221">
        <f t="shared" si="7"/>
        <v>0</v>
      </c>
      <c r="V36" s="229" t="str">
        <f>ifs($N36="",VLOOKUP($B36&amp;$E36,'VISIT DATA'!$A$2:$J100,7,FALSE), $N36="SWAB","OUTSA-RW",$N36="SWQU","OUTSA-SaQu", AND($L36="X",$M36="X",$N36="QUEST"),"OUT-UAQPre",$N36="QUEST","OUT-UAQ", $N36="Walk in","ColUATele")</f>
        <v>UA-Prelim</v>
      </c>
      <c r="W36" s="24" t="str">
        <f t="shared" si="8"/>
        <v>UA-Prelim : Preliminary UA Test</v>
      </c>
      <c r="X36" s="222" t="str">
        <f t="shared" si="9"/>
        <v>UA-Prelim : Preliminary UA Test</v>
      </c>
      <c r="Y36" s="222" t="str">
        <f t="shared" si="10"/>
        <v>MATCH</v>
      </c>
      <c r="Z36" s="224" t="str">
        <f t="shared" si="11"/>
        <v> </v>
      </c>
      <c r="AA36" s="244"/>
    </row>
    <row r="37">
      <c r="A37" s="214" t="str">
        <f>IFS($B37=FALSE,"",$B37,VLOOKUP($B37,'PATIENT DATA (072721)'!A:C, 2, 0))</f>
        <v>NUNEZ, MARICELA</v>
      </c>
      <c r="B37" s="215">
        <v>14691.0</v>
      </c>
      <c r="C37" s="230" t="str">
        <f>IF(COUNTIF('PATIENT DATA (072721)'!A:A, B37)=0, "X","✓")</f>
        <v>✓</v>
      </c>
      <c r="D37" s="226">
        <f>IFS($B37=FALSE,"",$B37,VLOOKUP($B37,'PATIENT DATA (072721)'!A:C, 3, 0))</f>
        <v>18045</v>
      </c>
      <c r="E37" s="218">
        <v>44574.0</v>
      </c>
      <c r="F37" s="219">
        <f>ifs($B37="","",$B37, VLOOKUP($B37&amp;$E37, 'VISIT DATA'!A:O,3,0))</f>
        <v>0.5729166667</v>
      </c>
      <c r="G37" s="231" t="s">
        <v>6323</v>
      </c>
      <c r="H37" s="221" t="s">
        <v>13</v>
      </c>
      <c r="I37" s="222" t="str">
        <f>VLOOKUP($B37&amp;$E37,'VISIT DATA'!A:J, 9, FALSE)</f>
        <v>THOMAS</v>
      </c>
      <c r="J37" s="223" t="str">
        <f>VLOOKUP(B37&amp;E37,'VISIT DATA'!A:N,10,FALSE)</f>
        <v>MEDICARE TEXAS</v>
      </c>
      <c r="K37" s="225"/>
      <c r="L37" s="224" t="s">
        <v>6242</v>
      </c>
      <c r="M37" s="224"/>
      <c r="N37" s="225"/>
      <c r="O37" s="216" t="str">
        <f t="shared" si="1"/>
        <v>✓</v>
      </c>
      <c r="P37" s="226" t="str">
        <f t="shared" si="2"/>
        <v>#VALUE!</v>
      </c>
      <c r="Q37" s="227" t="str">
        <f t="shared" si="3"/>
        <v>#VALUE!</v>
      </c>
      <c r="R37" s="228" t="str">
        <f t="shared" si="4"/>
        <v>#VALUE!</v>
      </c>
      <c r="S37" s="220" t="str">
        <f t="shared" si="5"/>
        <v>#VALUE!</v>
      </c>
      <c r="T37" s="220" t="str">
        <f t="shared" si="6"/>
        <v>#VALUE!</v>
      </c>
      <c r="U37" s="221">
        <f t="shared" si="7"/>
        <v>0</v>
      </c>
      <c r="V37" s="229" t="str">
        <f>ifs($N37="",VLOOKUP($B37&amp;$E37,'VISIT DATA'!$A$2:$J100,7,FALSE), $N37="SWAB","OUTSA-RW",$N37="SWQU","OUTSA-SaQu", AND($L37="X",$M37="X",$N37="QUEST"),"OUT-UAQPre",$N37="QUEST","OUT-UAQ", $N37="Walk in","ColUATele")</f>
        <v>UA</v>
      </c>
      <c r="W37" s="24" t="str">
        <f t="shared" si="8"/>
        <v>UA : Urine Analysis In House</v>
      </c>
      <c r="X37" s="222" t="str">
        <f t="shared" si="9"/>
        <v>UA : Urine Analysis In House</v>
      </c>
      <c r="Y37" s="222" t="str">
        <f t="shared" si="10"/>
        <v>MATCH</v>
      </c>
      <c r="Z37" s="224" t="str">
        <f t="shared" si="11"/>
        <v> </v>
      </c>
      <c r="AA37" s="244"/>
    </row>
    <row r="38">
      <c r="A38" s="214" t="str">
        <f>IFS($B38=FALSE,"",$B38,VLOOKUP($B38,'PATIENT DATA (072721)'!A:C, 2, 0))</f>
        <v>GOMEZ-LEON, IRENE C</v>
      </c>
      <c r="B38" s="215">
        <v>9214.0</v>
      </c>
      <c r="C38" s="230" t="str">
        <f>IF(COUNTIF('PATIENT DATA (072721)'!A:A, B38)=0, "X","✓")</f>
        <v>✓</v>
      </c>
      <c r="D38" s="226">
        <f>IFS($B38=FALSE,"",$B38,VLOOKUP($B38,'PATIENT DATA (072721)'!A:C, 3, 0))</f>
        <v>20158</v>
      </c>
      <c r="E38" s="218">
        <v>44574.0</v>
      </c>
      <c r="F38" s="219">
        <f>ifs($B38="","",$B38, VLOOKUP($B38&amp;$E38, 'VISIT DATA'!A:O,3,0))</f>
        <v>0.5833333333</v>
      </c>
      <c r="G38" s="231" t="s">
        <v>6323</v>
      </c>
      <c r="H38" s="221" t="s">
        <v>14</v>
      </c>
      <c r="I38" s="222" t="str">
        <f>VLOOKUP($B38&amp;$E38,'VISIT DATA'!A:J, 9, FALSE)</f>
        <v>MARTINEZ</v>
      </c>
      <c r="J38" s="223" t="str">
        <f>VLOOKUP(B38&amp;E38,'VISIT DATA'!A:N,10,FALSE)</f>
        <v>HUMANA GOLD PLUS HMO</v>
      </c>
      <c r="K38" s="225"/>
      <c r="L38" s="224" t="s">
        <v>6242</v>
      </c>
      <c r="M38" s="224" t="s">
        <v>6242</v>
      </c>
      <c r="N38" s="225"/>
      <c r="O38" s="216" t="str">
        <f t="shared" si="1"/>
        <v>✓</v>
      </c>
      <c r="P38" s="226" t="str">
        <f t="shared" si="2"/>
        <v>#VALUE!</v>
      </c>
      <c r="Q38" s="227" t="str">
        <f t="shared" si="3"/>
        <v>#VALUE!</v>
      </c>
      <c r="R38" s="228" t="str">
        <f t="shared" si="4"/>
        <v>#VALUE!</v>
      </c>
      <c r="S38" s="220" t="str">
        <f t="shared" si="5"/>
        <v>#VALUE!</v>
      </c>
      <c r="T38" s="220" t="str">
        <f t="shared" si="6"/>
        <v>#VALUE!</v>
      </c>
      <c r="U38" s="221">
        <f t="shared" si="7"/>
        <v>0</v>
      </c>
      <c r="V38" s="229" t="str">
        <f>ifs($N38="",VLOOKUP($B38&amp;$E38,'VISIT DATA'!$A$2:$J100,7,FALSE), $N38="SWAB","OUTSA-RW",$N38="SWQU","OUTSA-SaQu", AND($L38="X",$M38="X",$N38="QUEST"),"OUT-UAQPre",$N38="QUEST","OUT-UAQ", $N38="Walk in","ColUATele")</f>
        <v>UA-Prelim</v>
      </c>
      <c r="W38" s="24" t="str">
        <f t="shared" si="8"/>
        <v>UA-Prelim : Preliminary UA Test</v>
      </c>
      <c r="X38" s="222" t="str">
        <f t="shared" si="9"/>
        <v>UA-Prelim : Preliminary UA Test</v>
      </c>
      <c r="Y38" s="222" t="str">
        <f t="shared" si="10"/>
        <v>MATCH</v>
      </c>
      <c r="Z38" s="224" t="str">
        <f t="shared" si="11"/>
        <v> </v>
      </c>
      <c r="AA38" s="244"/>
    </row>
    <row r="39">
      <c r="A39" s="214" t="str">
        <f>IFS($B39=FALSE,"",$B39,VLOOKUP($B39,'PATIENT DATA (072721)'!A:C, 2, 0))</f>
        <v>MIRANDA DE FRANCO, ZENAIDA</v>
      </c>
      <c r="B39" s="215">
        <v>15842.0</v>
      </c>
      <c r="C39" s="230" t="str">
        <f>IF(COUNTIF('PATIENT DATA (072721)'!A:A, B39)=0, "X","✓")</f>
        <v>✓</v>
      </c>
      <c r="D39" s="226">
        <f>IFS($B39=FALSE,"",$B39,VLOOKUP($B39,'PATIENT DATA (072721)'!A:C, 3, 0))</f>
        <v>18789</v>
      </c>
      <c r="E39" s="218">
        <v>44574.0</v>
      </c>
      <c r="F39" s="219" t="str">
        <f>ifs($B39="","",$B39, VLOOKUP($B39&amp;$E39, 'VISIT DATA'!A:O,3,0))</f>
        <v>#N/A</v>
      </c>
      <c r="G39" s="231" t="s">
        <v>6323</v>
      </c>
      <c r="H39" s="221" t="s">
        <v>14</v>
      </c>
      <c r="I39" s="222" t="str">
        <f>VLOOKUP($B39&amp;$E39,'VISIT DATA'!A:J, 9, FALSE)</f>
        <v>#N/A</v>
      </c>
      <c r="J39" s="223" t="str">
        <f>VLOOKUP(B39&amp;E39,'VISIT DATA'!A:N,10,FALSE)</f>
        <v>#N/A</v>
      </c>
      <c r="K39" s="225"/>
      <c r="L39" s="224" t="s">
        <v>6242</v>
      </c>
      <c r="M39" s="224"/>
      <c r="N39" s="225"/>
      <c r="O39" s="216" t="str">
        <f t="shared" si="1"/>
        <v>✓</v>
      </c>
      <c r="P39" s="226" t="str">
        <f t="shared" si="2"/>
        <v>#N/A</v>
      </c>
      <c r="Q39" s="227" t="str">
        <f t="shared" si="3"/>
        <v>#N/A</v>
      </c>
      <c r="R39" s="228" t="str">
        <f t="shared" si="4"/>
        <v>#N/A</v>
      </c>
      <c r="S39" s="220" t="str">
        <f t="shared" si="5"/>
        <v>#N/A</v>
      </c>
      <c r="T39" s="220" t="str">
        <f t="shared" si="6"/>
        <v>#N/A</v>
      </c>
      <c r="U39" s="221">
        <f t="shared" si="7"/>
        <v>0</v>
      </c>
      <c r="V39" s="229" t="str">
        <f>ifs($N39="",VLOOKUP($B39&amp;$E39,'VISIT DATA'!$A$2:$J100,7,FALSE), $N39="SWAB","OUTSA-RW",$N39="SWQU","OUTSA-SaQu", AND($L39="X",$M39="X",$N39="QUEST"),"OUT-UAQPre",$N39="QUEST","OUT-UAQ", $N39="Walk in","ColUATele")</f>
        <v>#N/A</v>
      </c>
      <c r="W39" s="24" t="str">
        <f t="shared" si="8"/>
        <v>#N/A</v>
      </c>
      <c r="X39" s="222" t="str">
        <f t="shared" si="9"/>
        <v>UA : Urine Analysis In House</v>
      </c>
      <c r="Y39" s="222" t="str">
        <f t="shared" si="10"/>
        <v>#N/A</v>
      </c>
      <c r="Z39" s="224" t="str">
        <f t="shared" si="11"/>
        <v> </v>
      </c>
      <c r="AA39" s="244"/>
    </row>
    <row r="40">
      <c r="A40" s="214" t="str">
        <f>IFS($B40=FALSE,"",$B40,VLOOKUP($B40,'PATIENT DATA (072721)'!A:C, 2, 0))</f>
        <v>MEZA, MANUEL</v>
      </c>
      <c r="B40" s="215">
        <v>14713.0</v>
      </c>
      <c r="C40" s="230" t="str">
        <f>IF(COUNTIF('PATIENT DATA (072721)'!A:A, B40)=0, "X","✓")</f>
        <v>✓</v>
      </c>
      <c r="D40" s="226">
        <f>IFS($B40=FALSE,"",$B40,VLOOKUP($B40,'PATIENT DATA (072721)'!A:C, 3, 0))</f>
        <v>17115</v>
      </c>
      <c r="E40" s="218">
        <v>44574.0</v>
      </c>
      <c r="F40" s="219">
        <f>ifs($B40="","",$B40, VLOOKUP($B40&amp;$E40, 'VISIT DATA'!A:O,3,0))</f>
        <v>0.6041666667</v>
      </c>
      <c r="G40" s="231" t="s">
        <v>6328</v>
      </c>
      <c r="H40" s="221" t="s">
        <v>12</v>
      </c>
      <c r="I40" s="222" t="str">
        <f>VLOOKUP($B40&amp;$E40,'VISIT DATA'!A:J, 9, FALSE)</f>
        <v>THOMAS</v>
      </c>
      <c r="J40" s="223" t="str">
        <f>VLOOKUP(B40&amp;E40,'VISIT DATA'!A:N,10,FALSE)</f>
        <v>WELLMED - UHC DUAL COMPLETE SNP</v>
      </c>
      <c r="K40" s="224"/>
      <c r="L40" s="224" t="s">
        <v>6242</v>
      </c>
      <c r="M40" s="224"/>
      <c r="N40" s="225"/>
      <c r="O40" s="216" t="str">
        <f t="shared" si="1"/>
        <v>✓</v>
      </c>
      <c r="P40" s="226" t="str">
        <f t="shared" si="2"/>
        <v>X</v>
      </c>
      <c r="Q40" s="227" t="str">
        <f t="shared" si="3"/>
        <v>#VALUE!</v>
      </c>
      <c r="R40" s="228" t="str">
        <f t="shared" si="4"/>
        <v>#VALUE!</v>
      </c>
      <c r="S40" s="220" t="str">
        <f t="shared" si="5"/>
        <v>#VALUE!</v>
      </c>
      <c r="T40" s="220" t="str">
        <f t="shared" si="6"/>
        <v>#VALUE!</v>
      </c>
      <c r="U40" s="221">
        <f t="shared" si="7"/>
        <v>1</v>
      </c>
      <c r="V40" s="229" t="str">
        <f>ifs($N40="",VLOOKUP($B40&amp;$E40,'VISIT DATA'!$A$2:$J100,7,FALSE), $N40="SWAB","OUTSA-RW",$N40="SWQU","OUTSA-SaQu", AND($L40="X",$M40="X",$N40="QUEST"),"OUT-UAQPre",$N40="QUEST","OUT-UAQ", $N40="Walk in","ColUATele")</f>
        <v>OUTUA-FURW</v>
      </c>
      <c r="W40" s="24" t="str">
        <f t="shared" si="8"/>
        <v>OUTUA-FURW : OUT UA FU Redwood</v>
      </c>
      <c r="X40" s="222" t="str">
        <f t="shared" si="9"/>
        <v>OUTUA-FURW : OUT UA FU Redwood</v>
      </c>
      <c r="Y40" s="222" t="str">
        <f t="shared" si="10"/>
        <v>MATCH</v>
      </c>
      <c r="Z40" s="224" t="str">
        <f t="shared" si="11"/>
        <v> </v>
      </c>
      <c r="AA40" s="244"/>
    </row>
    <row r="41">
      <c r="A41" s="214" t="str">
        <f>IFS($B41=FALSE,"",$B41,VLOOKUP($B41,'PATIENT DATA (072721)'!A:C, 2, 0))</f>
        <v>VALDEZ RODRIGUEZ, MARIA</v>
      </c>
      <c r="B41" s="215">
        <v>10164.0</v>
      </c>
      <c r="C41" s="216" t="str">
        <f>IF(COUNTIF('PATIENT DATA (072721)'!A:A, B41)=0, "X","✓")</f>
        <v>✓</v>
      </c>
      <c r="D41" s="226">
        <f>IFS($B41=FALSE,"",$B41,VLOOKUP($B41,'PATIENT DATA (072721)'!A:C, 3, 0))</f>
        <v>21050</v>
      </c>
      <c r="E41" s="218">
        <v>44574.0</v>
      </c>
      <c r="F41" s="219">
        <f>ifs($B41="","",$B41, VLOOKUP($B41&amp;$E41, 'VISIT DATA'!A:O,3,0))</f>
        <v>0.5625</v>
      </c>
      <c r="G41" s="220" t="s">
        <v>6323</v>
      </c>
      <c r="H41" s="221" t="s">
        <v>14</v>
      </c>
      <c r="I41" s="222" t="str">
        <f>VLOOKUP($B41&amp;$E41,'VISIT DATA'!A:J, 9, FALSE)</f>
        <v>TORRES</v>
      </c>
      <c r="J41" s="223" t="str">
        <f>VLOOKUP(B41&amp;E41,'VISIT DATA'!A:N,10,FALSE)</f>
        <v>MOLINA MEDICAID TEXAS</v>
      </c>
      <c r="K41" s="225"/>
      <c r="L41" s="224" t="s">
        <v>6242</v>
      </c>
      <c r="M41" s="224" t="s">
        <v>6242</v>
      </c>
      <c r="N41" s="225"/>
      <c r="O41" s="216" t="str">
        <f t="shared" si="1"/>
        <v>✓</v>
      </c>
      <c r="P41" s="226" t="str">
        <f t="shared" si="2"/>
        <v>#VALUE!</v>
      </c>
      <c r="Q41" s="227" t="str">
        <f t="shared" si="3"/>
        <v>X</v>
      </c>
      <c r="R41" s="228" t="str">
        <f t="shared" si="4"/>
        <v>#VALUE!</v>
      </c>
      <c r="S41" s="220" t="str">
        <f t="shared" si="5"/>
        <v>#VALUE!</v>
      </c>
      <c r="T41" s="220" t="str">
        <f t="shared" si="6"/>
        <v>#VALUE!</v>
      </c>
      <c r="U41" s="221">
        <f t="shared" si="7"/>
        <v>1</v>
      </c>
      <c r="V41" s="229" t="str">
        <f>ifs($N41="",VLOOKUP($B41&amp;$E41,'VISIT DATA'!$A$2:$J100,7,FALSE), $N41="SWAB","OUTSA-RW",$N41="SWQU","OUTSA-SaQu", AND($L41="X",$M41="X",$N41="QUEST"),"OUT-UAQPre",$N41="QUEST","OUT-UAQ", $N41="Walk in","ColUATele")</f>
        <v>OUTUA-PrRW</v>
      </c>
      <c r="W41" s="24" t="str">
        <f t="shared" si="8"/>
        <v>OUTUA-PrRW : OUT UA Prelimin Redwood</v>
      </c>
      <c r="X41" s="222" t="str">
        <f t="shared" si="9"/>
        <v>OUTUA-PrRW : OUT UA Prelimin Redwood</v>
      </c>
      <c r="Y41" s="222" t="str">
        <f t="shared" si="10"/>
        <v>MATCH</v>
      </c>
      <c r="Z41" s="224" t="str">
        <f t="shared" si="11"/>
        <v> </v>
      </c>
      <c r="AA41" s="244"/>
    </row>
    <row r="42">
      <c r="A42" s="214" t="str">
        <f>IFS($B42=FALSE,"",$B42,VLOOKUP($B42,'PATIENT DATA (072721)'!A:C, 2, 0))</f>
        <v>LOPEZ, MIGUEL</v>
      </c>
      <c r="B42" s="215">
        <v>14076.0</v>
      </c>
      <c r="C42" s="216" t="str">
        <f>IF(COUNTIF('PATIENT DATA (072721)'!A:A, B42)=0, "X","✓")</f>
        <v>✓</v>
      </c>
      <c r="D42" s="226">
        <f>IFS($B42=FALSE,"",$B42,VLOOKUP($B42,'PATIENT DATA (072721)'!A:C, 3, 0))</f>
        <v>29289</v>
      </c>
      <c r="E42" s="218">
        <v>44574.0</v>
      </c>
      <c r="F42" s="219">
        <f>ifs($B42="","",$B42, VLOOKUP($B42&amp;$E42, 'VISIT DATA'!A:O,3,0))</f>
        <v>0.59375</v>
      </c>
      <c r="G42" s="220" t="s">
        <v>6328</v>
      </c>
      <c r="H42" s="221" t="s">
        <v>13</v>
      </c>
      <c r="I42" s="222" t="str">
        <f>VLOOKUP($B42&amp;$E42,'VISIT DATA'!A:J, 9, FALSE)</f>
        <v>LOPEZ</v>
      </c>
      <c r="J42" s="223" t="str">
        <f>VLOOKUP(B42&amp;E42,'VISIT DATA'!A:N,10,FALSE)</f>
        <v>WPS VA - COMMUNITY CARE</v>
      </c>
      <c r="K42" s="225"/>
      <c r="L42" s="224" t="s">
        <v>6242</v>
      </c>
      <c r="M42" s="224"/>
      <c r="N42" s="225"/>
      <c r="O42" s="216" t="str">
        <f t="shared" si="1"/>
        <v>✓</v>
      </c>
      <c r="P42" s="226" t="str">
        <f t="shared" si="2"/>
        <v>#VALUE!</v>
      </c>
      <c r="Q42" s="227" t="str">
        <f t="shared" si="3"/>
        <v>#VALUE!</v>
      </c>
      <c r="R42" s="228" t="str">
        <f t="shared" si="4"/>
        <v>#VALUE!</v>
      </c>
      <c r="S42" s="220" t="str">
        <f t="shared" si="5"/>
        <v>#VALUE!</v>
      </c>
      <c r="T42" s="220" t="str">
        <f t="shared" si="6"/>
        <v>#VALUE!</v>
      </c>
      <c r="U42" s="221">
        <f t="shared" si="7"/>
        <v>0</v>
      </c>
      <c r="V42" s="229" t="str">
        <f>ifs($N42="",VLOOKUP($B42&amp;$E42,'VISIT DATA'!$A$2:$J100,7,FALSE), $N42="SWAB","OUTSA-RW",$N42="SWQU","OUTSA-SaQu", AND($L42="X",$M42="X",$N42="QUEST"),"OUT-UAQPre",$N42="QUEST","OUT-UAQ", $N42="Walk in","ColUATele")</f>
        <v>UA</v>
      </c>
      <c r="W42" s="24" t="str">
        <f t="shared" si="8"/>
        <v>UA : Urine Analysis In House</v>
      </c>
      <c r="X42" s="222" t="str">
        <f t="shared" si="9"/>
        <v>UA : Urine Analysis In House</v>
      </c>
      <c r="Y42" s="222" t="str">
        <f t="shared" si="10"/>
        <v>MATCH</v>
      </c>
      <c r="Z42" s="224" t="str">
        <f t="shared" si="11"/>
        <v> </v>
      </c>
      <c r="AA42" s="244"/>
    </row>
    <row r="43">
      <c r="A43" s="214" t="str">
        <f>IFS($B43=FALSE,"",$B43,VLOOKUP($B43,'PATIENT DATA (072721)'!A:C, 2, 0))</f>
        <v>MUNN, GARRY L</v>
      </c>
      <c r="B43" s="215">
        <v>17850.0</v>
      </c>
      <c r="C43" s="216" t="str">
        <f>IF(COUNTIF('PATIENT DATA (072721)'!A:A, B43)=0, "X","✓")</f>
        <v>✓</v>
      </c>
      <c r="D43" s="226">
        <f>IFS($B43=FALSE,"",$B43,VLOOKUP($B43,'PATIENT DATA (072721)'!A:C, 3, 0))</f>
        <v>21645</v>
      </c>
      <c r="E43" s="218">
        <v>44574.0</v>
      </c>
      <c r="F43" s="219">
        <f>ifs($B43="","",$B43, VLOOKUP($B43&amp;$E43, 'VISIT DATA'!A:O,3,0))</f>
        <v>0.59375</v>
      </c>
      <c r="G43" s="220" t="s">
        <v>6328</v>
      </c>
      <c r="H43" s="221" t="s">
        <v>12</v>
      </c>
      <c r="I43" s="222" t="str">
        <f>VLOOKUP($B43&amp;$E43,'VISIT DATA'!A:J, 9, FALSE)</f>
        <v>THOMAS</v>
      </c>
      <c r="J43" s="223" t="str">
        <f>VLOOKUP(B43&amp;E43,'VISIT DATA'!A:N,10,FALSE)</f>
        <v>WELLMED - UHC DUAL COMPLETE SNP</v>
      </c>
      <c r="K43" s="224" t="s">
        <v>6242</v>
      </c>
      <c r="L43" s="224"/>
      <c r="M43" s="224"/>
      <c r="N43" s="225"/>
      <c r="O43" s="216" t="str">
        <f t="shared" si="1"/>
        <v>✓</v>
      </c>
      <c r="P43" s="226" t="str">
        <f t="shared" si="2"/>
        <v>X</v>
      </c>
      <c r="Q43" s="227" t="str">
        <f t="shared" si="3"/>
        <v>#VALUE!</v>
      </c>
      <c r="R43" s="228" t="str">
        <f t="shared" si="4"/>
        <v>#VALUE!</v>
      </c>
      <c r="S43" s="220" t="str">
        <f t="shared" si="5"/>
        <v>#VALUE!</v>
      </c>
      <c r="T43" s="220" t="str">
        <f t="shared" si="6"/>
        <v>#VALUE!</v>
      </c>
      <c r="U43" s="221">
        <f t="shared" si="7"/>
        <v>1</v>
      </c>
      <c r="V43" s="229" t="str">
        <f>ifs($N43="",VLOOKUP($B43&amp;$E43,'VISIT DATA'!$A$2:$J100,7,FALSE), $N43="SWAB","OUTSA-RW",$N43="SWQU","OUTSA-SaQu", AND($L43="X",$M43="X",$N43="QUEST"),"OUT-UAQPre",$N43="QUEST","OUT-UAQ", $N43="Walk in","ColUATele")</f>
        <v>OUTUA-NWRW</v>
      </c>
      <c r="W43" s="24" t="str">
        <f t="shared" si="8"/>
        <v>OUTUA-NWRW : OUT UA New Redwood</v>
      </c>
      <c r="X43" s="222" t="str">
        <f t="shared" si="9"/>
        <v>OUTUA-NWRW : OUT UA New Redwood</v>
      </c>
      <c r="Y43" s="222" t="str">
        <f t="shared" si="10"/>
        <v>MATCH</v>
      </c>
      <c r="Z43" s="224" t="str">
        <f t="shared" si="11"/>
        <v> </v>
      </c>
      <c r="AA43" s="244"/>
    </row>
    <row r="44">
      <c r="A44" s="214" t="str">
        <f>IFS($B44=FALSE,"",$B44,VLOOKUP($B44,'PATIENT DATA (072721)'!A:C, 2, 0))</f>
        <v>ARRIOLA, PEDRO F</v>
      </c>
      <c r="B44" s="215">
        <v>13938.0</v>
      </c>
      <c r="C44" s="216" t="str">
        <f>IF(COUNTIF('PATIENT DATA (072721)'!A:A, B44)=0, "X","✓")</f>
        <v>✓</v>
      </c>
      <c r="D44" s="226">
        <f>IFS($B44=FALSE,"",$B44,VLOOKUP($B44,'PATIENT DATA (072721)'!A:C, 3, 0))</f>
        <v>17231</v>
      </c>
      <c r="E44" s="218">
        <v>44574.0</v>
      </c>
      <c r="F44" s="219">
        <f>ifs($B44="","",$B44, VLOOKUP($B44&amp;$E44, 'VISIT DATA'!A:O,3,0))</f>
        <v>0.6041666667</v>
      </c>
      <c r="G44" s="220" t="s">
        <v>6328</v>
      </c>
      <c r="H44" s="221" t="s">
        <v>13</v>
      </c>
      <c r="I44" s="222" t="str">
        <f>VLOOKUP($B44&amp;$E44,'VISIT DATA'!A:J, 9, FALSE)</f>
        <v>LOPEZ</v>
      </c>
      <c r="J44" s="223" t="str">
        <f>VLOOKUP(B44&amp;E44,'VISIT DATA'!A:N,10,FALSE)</f>
        <v>WPS VA - COMMUNITY CARE</v>
      </c>
      <c r="K44" s="224"/>
      <c r="L44" s="224" t="s">
        <v>6242</v>
      </c>
      <c r="M44" s="224"/>
      <c r="N44" s="225"/>
      <c r="O44" s="216" t="str">
        <f t="shared" si="1"/>
        <v>✓</v>
      </c>
      <c r="P44" s="226" t="str">
        <f t="shared" si="2"/>
        <v>#VALUE!</v>
      </c>
      <c r="Q44" s="227" t="str">
        <f t="shared" si="3"/>
        <v>#VALUE!</v>
      </c>
      <c r="R44" s="228" t="str">
        <f t="shared" si="4"/>
        <v>#VALUE!</v>
      </c>
      <c r="S44" s="220" t="str">
        <f t="shared" si="5"/>
        <v>#VALUE!</v>
      </c>
      <c r="T44" s="220" t="str">
        <f t="shared" si="6"/>
        <v>#VALUE!</v>
      </c>
      <c r="U44" s="221">
        <f t="shared" si="7"/>
        <v>0</v>
      </c>
      <c r="V44" s="229" t="str">
        <f>ifs($N44="",VLOOKUP($B44&amp;$E44,'VISIT DATA'!$A$2:$J100,7,FALSE), $N44="SWAB","OUTSA-RW",$N44="SWQU","OUTSA-SaQu", AND($L44="X",$M44="X",$N44="QUEST"),"OUT-UAQPre",$N44="QUEST","OUT-UAQ", $N44="Walk in","ColUATele")</f>
        <v>UA</v>
      </c>
      <c r="W44" s="24" t="str">
        <f t="shared" si="8"/>
        <v>UA : Urine Analysis In House</v>
      </c>
      <c r="X44" s="222" t="str">
        <f t="shared" si="9"/>
        <v>UA : Urine Analysis In House</v>
      </c>
      <c r="Y44" s="222" t="str">
        <f t="shared" si="10"/>
        <v>MATCH</v>
      </c>
      <c r="Z44" s="224" t="str">
        <f t="shared" si="11"/>
        <v> </v>
      </c>
      <c r="AA44" s="244"/>
    </row>
    <row r="45">
      <c r="A45" s="214" t="str">
        <f>IFS($B45=FALSE,"",$B45,VLOOKUP($B45,'PATIENT DATA (072721)'!A:C, 2, 0))</f>
        <v>TYQUIENGCO, MELVIN</v>
      </c>
      <c r="B45" s="215">
        <v>12740.0</v>
      </c>
      <c r="C45" s="216" t="str">
        <f>IF(COUNTIF('PATIENT DATA (072721)'!A:A, B45)=0, "X","✓")</f>
        <v>✓</v>
      </c>
      <c r="D45" s="226">
        <f>IFS($B45=FALSE,"",$B45,VLOOKUP($B45,'PATIENT DATA (072721)'!A:C, 3, 0))</f>
        <v>24173</v>
      </c>
      <c r="E45" s="218">
        <v>44574.0</v>
      </c>
      <c r="F45" s="219">
        <f>ifs($B45="","",$B45, VLOOKUP($B45&amp;$E45, 'VISIT DATA'!A:O,3,0))</f>
        <v>0.5833333333</v>
      </c>
      <c r="G45" s="220" t="s">
        <v>6328</v>
      </c>
      <c r="H45" s="221" t="s">
        <v>14</v>
      </c>
      <c r="I45" s="222" t="str">
        <f>VLOOKUP($B45&amp;$E45,'VISIT DATA'!A:J, 9, FALSE)</f>
        <v>TORRES</v>
      </c>
      <c r="J45" s="223" t="str">
        <f>VLOOKUP(B45&amp;E45,'VISIT DATA'!A:N,10,FALSE)</f>
        <v>WPS VA - COMMUNITY CARE</v>
      </c>
      <c r="K45" s="225"/>
      <c r="L45" s="224" t="s">
        <v>6242</v>
      </c>
      <c r="M45" s="224"/>
      <c r="N45" s="225"/>
      <c r="O45" s="216" t="str">
        <f t="shared" si="1"/>
        <v>✓</v>
      </c>
      <c r="P45" s="226" t="str">
        <f t="shared" si="2"/>
        <v>#VALUE!</v>
      </c>
      <c r="Q45" s="227" t="str">
        <f t="shared" si="3"/>
        <v>#VALUE!</v>
      </c>
      <c r="R45" s="228" t="str">
        <f t="shared" si="4"/>
        <v>#VALUE!</v>
      </c>
      <c r="S45" s="220" t="str">
        <f t="shared" si="5"/>
        <v>#VALUE!</v>
      </c>
      <c r="T45" s="220" t="str">
        <f t="shared" si="6"/>
        <v>#VALUE!</v>
      </c>
      <c r="U45" s="221">
        <f t="shared" si="7"/>
        <v>0</v>
      </c>
      <c r="V45" s="229" t="str">
        <f>ifs($N45="",VLOOKUP($B45&amp;$E45,'VISIT DATA'!$A$2:$J100,7,FALSE), $N45="SWAB","OUTSA-RW",$N45="SWQU","OUTSA-SaQu", AND($L45="X",$M45="X",$N45="QUEST"),"OUT-UAQPre",$N45="QUEST","OUT-UAQ", $N45="Walk in","ColUATele")</f>
        <v>UA</v>
      </c>
      <c r="W45" s="24" t="str">
        <f t="shared" si="8"/>
        <v>UA : Urine Analysis In House</v>
      </c>
      <c r="X45" s="222" t="str">
        <f t="shared" si="9"/>
        <v>UA : Urine Analysis In House</v>
      </c>
      <c r="Y45" s="222" t="str">
        <f t="shared" si="10"/>
        <v>MATCH</v>
      </c>
      <c r="Z45" s="224" t="str">
        <f t="shared" si="11"/>
        <v> </v>
      </c>
      <c r="AA45" s="244"/>
    </row>
    <row r="46">
      <c r="A46" s="214" t="str">
        <f>IFS($B46=FALSE,"",$B46,VLOOKUP($B46,'PATIENT DATA (072721)'!A:C, 2, 0))</f>
        <v>MARQUEZ, JOSE D</v>
      </c>
      <c r="B46" s="215">
        <v>17577.0</v>
      </c>
      <c r="C46" s="216" t="str">
        <f>IF(COUNTIF('PATIENT DATA (072721)'!A:A, B46)=0, "X","✓")</f>
        <v>✓</v>
      </c>
      <c r="D46" s="226">
        <f>IFS($B46=FALSE,"",$B46,VLOOKUP($B46,'PATIENT DATA (072721)'!A:C, 3, 0))</f>
        <v>23885</v>
      </c>
      <c r="E46" s="218">
        <v>44574.0</v>
      </c>
      <c r="F46" s="219">
        <f>ifs($B46="","",$B46, VLOOKUP($B46&amp;$E46, 'VISIT DATA'!A:O,3,0))</f>
        <v>0.6041666667</v>
      </c>
      <c r="G46" s="220" t="s">
        <v>6328</v>
      </c>
      <c r="H46" s="221" t="s">
        <v>14</v>
      </c>
      <c r="I46" s="222" t="str">
        <f>VLOOKUP($B46&amp;$E46,'VISIT DATA'!A:J, 9, FALSE)</f>
        <v>TORRES</v>
      </c>
      <c r="J46" s="223" t="str">
        <f>VLOOKUP(B46&amp;E46,'VISIT DATA'!A:N,10,FALSE)</f>
        <v>WELLMED - UHC DUAL COMPLETE SNP</v>
      </c>
      <c r="K46" s="224"/>
      <c r="L46" s="224" t="s">
        <v>6242</v>
      </c>
      <c r="M46" s="224" t="s">
        <v>6242</v>
      </c>
      <c r="N46" s="225"/>
      <c r="O46" s="216" t="str">
        <f t="shared" si="1"/>
        <v>✓</v>
      </c>
      <c r="P46" s="226" t="str">
        <f t="shared" si="2"/>
        <v>X</v>
      </c>
      <c r="Q46" s="227" t="str">
        <f t="shared" si="3"/>
        <v>#VALUE!</v>
      </c>
      <c r="R46" s="228" t="str">
        <f t="shared" si="4"/>
        <v>#VALUE!</v>
      </c>
      <c r="S46" s="220" t="str">
        <f t="shared" si="5"/>
        <v>#VALUE!</v>
      </c>
      <c r="T46" s="220" t="str">
        <f t="shared" si="6"/>
        <v>#VALUE!</v>
      </c>
      <c r="U46" s="221">
        <f t="shared" si="7"/>
        <v>1</v>
      </c>
      <c r="V46" s="229" t="str">
        <f>ifs($N46="",VLOOKUP($B46&amp;$E46,'VISIT DATA'!$A$2:$J100,7,FALSE), $N46="SWAB","OUTSA-RW",$N46="SWQU","OUTSA-SaQu", AND($L46="X",$M46="X",$N46="QUEST"),"OUT-UAQPre",$N46="QUEST","OUT-UAQ", $N46="Walk in","ColUATele")</f>
        <v>OUTUA-PrRW</v>
      </c>
      <c r="W46" s="24" t="str">
        <f t="shared" si="8"/>
        <v>OUTUA-PrRW : OUT UA Prelimin Redwood</v>
      </c>
      <c r="X46" s="222" t="str">
        <f t="shared" si="9"/>
        <v>OUTUA-PrRW : OUT UA Prelimin Redwood</v>
      </c>
      <c r="Y46" s="222" t="str">
        <f t="shared" si="10"/>
        <v>MATCH</v>
      </c>
      <c r="Z46" s="224" t="str">
        <f t="shared" si="11"/>
        <v> </v>
      </c>
      <c r="AA46" s="244"/>
    </row>
    <row r="47">
      <c r="A47" s="214" t="str">
        <f>IFS($B47=FALSE,"",$B47,VLOOKUP($B47,'PATIENT DATA (072721)'!A:C, 2, 0))</f>
        <v>AGUIRRE, IVONNE</v>
      </c>
      <c r="B47" s="215">
        <v>13278.0</v>
      </c>
      <c r="C47" s="230" t="str">
        <f>IF(COUNTIF('PATIENT DATA (072721)'!A:A, B47)=0, "X","✓")</f>
        <v>✓</v>
      </c>
      <c r="D47" s="226">
        <f>IFS($B47=FALSE,"",$B47,VLOOKUP($B47,'PATIENT DATA (072721)'!A:C, 3, 0))</f>
        <v>20536</v>
      </c>
      <c r="E47" s="218">
        <v>44574.0</v>
      </c>
      <c r="F47" s="219">
        <f>ifs($B47="","",$B47, VLOOKUP($B47&amp;$E47, 'VISIT DATA'!A:O,3,0))</f>
        <v>0.6145833333</v>
      </c>
      <c r="G47" s="220" t="s">
        <v>6323</v>
      </c>
      <c r="H47" s="221" t="s">
        <v>14</v>
      </c>
      <c r="I47" s="222" t="str">
        <f>VLOOKUP($B47&amp;$E47,'VISIT DATA'!A:J, 9, FALSE)</f>
        <v>TORRES</v>
      </c>
      <c r="J47" s="223" t="str">
        <f>VLOOKUP(B47&amp;E47,'VISIT DATA'!A:N,10,FALSE)</f>
        <v>BCBSTX PPO</v>
      </c>
      <c r="K47" s="225"/>
      <c r="L47" s="224" t="s">
        <v>6242</v>
      </c>
      <c r="M47" s="224"/>
      <c r="N47" s="225"/>
      <c r="O47" s="216" t="str">
        <f t="shared" si="1"/>
        <v>✓</v>
      </c>
      <c r="P47" s="226" t="str">
        <f t="shared" si="2"/>
        <v>#VALUE!</v>
      </c>
      <c r="Q47" s="227" t="str">
        <f t="shared" si="3"/>
        <v>#VALUE!</v>
      </c>
      <c r="R47" s="228" t="str">
        <f t="shared" si="4"/>
        <v>#VALUE!</v>
      </c>
      <c r="S47" s="220" t="str">
        <f t="shared" si="5"/>
        <v>#VALUE!</v>
      </c>
      <c r="T47" s="220" t="str">
        <f t="shared" si="6"/>
        <v>#VALUE!</v>
      </c>
      <c r="U47" s="221">
        <f t="shared" si="7"/>
        <v>0</v>
      </c>
      <c r="V47" s="229" t="str">
        <f>ifs($N47="",VLOOKUP($B47&amp;$E47,'VISIT DATA'!$A$2:$J100,7,FALSE), $N47="SWAB","OUTSA-RW",$N47="SWQU","OUTSA-SaQu", AND($L47="X",$M47="X",$N47="QUEST"),"OUT-UAQPre",$N47="QUEST","OUT-UAQ", $N47="Walk in","ColUATele")</f>
        <v>UA</v>
      </c>
      <c r="W47" s="24" t="str">
        <f t="shared" si="8"/>
        <v>UA : Urine Analysis In House</v>
      </c>
      <c r="X47" s="222" t="str">
        <f t="shared" si="9"/>
        <v>UA : Urine Analysis In House</v>
      </c>
      <c r="Y47" s="222" t="str">
        <f t="shared" si="10"/>
        <v>MATCH</v>
      </c>
      <c r="Z47" s="224" t="str">
        <f t="shared" si="11"/>
        <v> </v>
      </c>
      <c r="AA47" s="244"/>
    </row>
    <row r="48">
      <c r="A48" s="214" t="str">
        <f>IFS($B48=FALSE,"",$B48,VLOOKUP($B48,'PATIENT DATA (072721)'!A:C, 2, 0))</f>
        <v>HERNANDEZ, ALFREDO</v>
      </c>
      <c r="B48" s="215">
        <v>13050.0</v>
      </c>
      <c r="C48" s="230" t="str">
        <f>IF(COUNTIF('PATIENT DATA (072721)'!A:A, B48)=0, "X","✓")</f>
        <v>✓</v>
      </c>
      <c r="D48" s="226">
        <f>IFS($B48=FALSE,"",$B48,VLOOKUP($B48,'PATIENT DATA (072721)'!A:C, 3, 0))</f>
        <v>23718</v>
      </c>
      <c r="E48" s="218">
        <v>44574.0</v>
      </c>
      <c r="F48" s="219">
        <f>ifs($B48="","",$B48, VLOOKUP($B48&amp;$E48, 'VISIT DATA'!A:O,3,0))</f>
        <v>0.625</v>
      </c>
      <c r="G48" s="220" t="s">
        <v>6328</v>
      </c>
      <c r="H48" s="221" t="s">
        <v>14</v>
      </c>
      <c r="I48" s="222" t="str">
        <f>VLOOKUP($B48&amp;$E48,'VISIT DATA'!A:J, 9, FALSE)</f>
        <v>TORRES</v>
      </c>
      <c r="J48" s="223" t="str">
        <f>VLOOKUP(B48&amp;E48,'VISIT DATA'!A:N,10,FALSE)</f>
        <v>WELLMED - UHC DUAL COMPLETE SNP</v>
      </c>
      <c r="K48" s="225"/>
      <c r="L48" s="224" t="s">
        <v>6242</v>
      </c>
      <c r="M48" s="224" t="s">
        <v>6242</v>
      </c>
      <c r="N48" s="224"/>
      <c r="O48" s="216" t="str">
        <f t="shared" si="1"/>
        <v>✓</v>
      </c>
      <c r="P48" s="226" t="str">
        <f t="shared" si="2"/>
        <v>X</v>
      </c>
      <c r="Q48" s="227" t="str">
        <f t="shared" si="3"/>
        <v>#VALUE!</v>
      </c>
      <c r="R48" s="228" t="str">
        <f t="shared" si="4"/>
        <v>#VALUE!</v>
      </c>
      <c r="S48" s="220" t="str">
        <f t="shared" si="5"/>
        <v>#VALUE!</v>
      </c>
      <c r="T48" s="220" t="str">
        <f t="shared" si="6"/>
        <v>#VALUE!</v>
      </c>
      <c r="U48" s="221">
        <f t="shared" si="7"/>
        <v>1</v>
      </c>
      <c r="V48" s="229" t="str">
        <f>ifs($N48="",VLOOKUP($B48&amp;$E48,'VISIT DATA'!$A$2:$J100,7,FALSE), $N48="SWAB","OUTSA-RW",$N48="SWQU","OUTSA-SaQu", AND($L48="X",$M48="X",$N48="QUEST"),"OUT-UAQPre",$N48="QUEST","OUT-UAQ", $N48="Walk in","ColUATele")</f>
        <v>OUTUA-PrRW</v>
      </c>
      <c r="W48" s="24" t="str">
        <f t="shared" si="8"/>
        <v>OUTUA-PrRW : OUT UA Prelimin Redwood</v>
      </c>
      <c r="X48" s="222" t="str">
        <f t="shared" si="9"/>
        <v>OUTUA-PrRW : OUT UA Prelimin Redwood</v>
      </c>
      <c r="Y48" s="222" t="str">
        <f t="shared" si="10"/>
        <v>MATCH</v>
      </c>
      <c r="Z48" s="224" t="str">
        <f t="shared" si="11"/>
        <v> </v>
      </c>
      <c r="AA48" s="244"/>
    </row>
    <row r="49">
      <c r="A49" s="214" t="str">
        <f>IFS($B49=FALSE,"",$B49,VLOOKUP($B49,'PATIENT DATA (072721)'!A:C, 2, 0))</f>
        <v>HERNANDEZ, BLANCA A</v>
      </c>
      <c r="B49" s="215">
        <v>17376.0</v>
      </c>
      <c r="C49" s="247" t="str">
        <f>IF(COUNTIF('PATIENT DATA (072721)'!A:A, B49)=0, "X","✓")</f>
        <v>✓</v>
      </c>
      <c r="D49" s="226">
        <f>IFS($B49=FALSE,"",$B49,VLOOKUP($B49,'PATIENT DATA (072721)'!A:C, 3, 0))</f>
        <v>16276</v>
      </c>
      <c r="E49" s="218">
        <v>44574.0</v>
      </c>
      <c r="F49" s="219"/>
      <c r="G49" s="220" t="s">
        <v>6323</v>
      </c>
      <c r="H49" s="221" t="s">
        <v>12</v>
      </c>
      <c r="I49" s="222" t="str">
        <f>VLOOKUP($B49&amp;$E49,'VISIT DATA'!A:J, 9, FALSE)</f>
        <v>THOMAS</v>
      </c>
      <c r="J49" s="223" t="str">
        <f>VLOOKUP(B49&amp;E49,'VISIT DATA'!A:N,10,FALSE)</f>
        <v>WELLMED - AMERIVANTAGE</v>
      </c>
      <c r="K49" s="224" t="s">
        <v>6242</v>
      </c>
      <c r="L49" s="224"/>
      <c r="M49" s="224"/>
      <c r="N49" s="225"/>
      <c r="O49" s="247" t="str">
        <f t="shared" si="1"/>
        <v>✓</v>
      </c>
      <c r="P49" s="226" t="str">
        <f t="shared" si="2"/>
        <v>X</v>
      </c>
      <c r="Q49" s="227" t="str">
        <f t="shared" si="3"/>
        <v>#VALUE!</v>
      </c>
      <c r="R49" s="228" t="str">
        <f t="shared" si="4"/>
        <v>#VALUE!</v>
      </c>
      <c r="S49" s="220" t="str">
        <f t="shared" si="5"/>
        <v>#VALUE!</v>
      </c>
      <c r="T49" s="220" t="str">
        <f t="shared" si="6"/>
        <v>#VALUE!</v>
      </c>
      <c r="U49" s="221">
        <f t="shared" si="7"/>
        <v>1</v>
      </c>
      <c r="V49" s="229" t="str">
        <f>ifs($N49="",VLOOKUP($B49&amp;$E49,'VISIT DATA'!$A$2:$J100,7,FALSE), $N49="SWAB","OUTSA-RW",$N49="SWQU","OUTSA-SaQu", AND($L49="X",$M49="X",$N49="QUEST"),"OUT-UAQPre",$N49="QUEST","OUT-UAQ", $N49="Walk in","ColUATele")</f>
        <v>OUTUA-NWRW</v>
      </c>
      <c r="W49" s="24" t="str">
        <f t="shared" si="8"/>
        <v>OUTUA-NWRW : OUT UA New Redwood</v>
      </c>
      <c r="X49" s="222" t="str">
        <f t="shared" si="9"/>
        <v>OUTUA-NWRW : OUT UA New Redwood</v>
      </c>
      <c r="Y49" s="222" t="str">
        <f t="shared" si="10"/>
        <v>MATCH</v>
      </c>
      <c r="Z49" s="224" t="str">
        <f t="shared" si="11"/>
        <v> </v>
      </c>
      <c r="AA49" s="244"/>
    </row>
    <row r="50">
      <c r="A50" s="248" t="str">
        <f>IFS($B50=FALSE,"",$B50,VLOOKUP($B50,'PATIENT DATA (072721)'!A:C, 2, 0))</f>
        <v>FLORES, GUADALUPE</v>
      </c>
      <c r="B50" s="249">
        <v>15673.0</v>
      </c>
      <c r="C50" s="250" t="str">
        <f>IF(COUNTIF('PATIENT DATA (072721)'!A:A, B50)=0, "X","✓")</f>
        <v>✓</v>
      </c>
      <c r="D50" s="251">
        <f>IFS($B50=FALSE,"",$B50,VLOOKUP($B50,'PATIENT DATA (072721)'!A:C, 3, 0))</f>
        <v>21105</v>
      </c>
      <c r="E50" s="252">
        <v>44574.0</v>
      </c>
      <c r="F50" s="253">
        <f>ifs($B50="","",$B50, VLOOKUP($B50&amp;$E50, 'VISIT DATA'!A:O,3,0))</f>
        <v>0.625</v>
      </c>
      <c r="G50" s="254" t="s">
        <v>6323</v>
      </c>
      <c r="H50" s="255" t="s">
        <v>12</v>
      </c>
      <c r="I50" s="256" t="str">
        <f>VLOOKUP($B50&amp;$E50,'VISIT DATA'!A:J, 9, FALSE)</f>
        <v>THOMAS</v>
      </c>
      <c r="J50" s="257" t="str">
        <f>VLOOKUP(B50&amp;E50,'VISIT DATA'!A:N,10,FALSE)</f>
        <v>WELLMED - HUMANA</v>
      </c>
      <c r="K50" s="258"/>
      <c r="L50" s="259" t="s">
        <v>6242</v>
      </c>
      <c r="M50" s="259" t="s">
        <v>6242</v>
      </c>
      <c r="N50" s="258"/>
      <c r="O50" s="260" t="str">
        <f t="shared" si="1"/>
        <v>✓</v>
      </c>
      <c r="P50" s="226" t="str">
        <f t="shared" si="2"/>
        <v>X</v>
      </c>
      <c r="Q50" s="227" t="str">
        <f t="shared" si="3"/>
        <v>#VALUE!</v>
      </c>
      <c r="R50" s="228" t="str">
        <f t="shared" si="4"/>
        <v>#VALUE!</v>
      </c>
      <c r="S50" s="220" t="str">
        <f t="shared" si="5"/>
        <v>#VALUE!</v>
      </c>
      <c r="T50" s="220" t="str">
        <f t="shared" si="6"/>
        <v>#VALUE!</v>
      </c>
      <c r="U50" s="221">
        <f t="shared" si="7"/>
        <v>1</v>
      </c>
      <c r="V50" s="261" t="str">
        <f>ifs($N50="",VLOOKUP($B50&amp;$E50,'VISIT DATA'!$A$2:$J100,7,FALSE), $N50="SWAB","OUTSA-RW",$N50="SWQU","OUTSA-SaQu", AND($L50="X",$M50="X",$N50="QUEST"),"OUT-UAQPre",$N50="QUEST","OUT-UAQ", $N50="Walk in","ColUATele")</f>
        <v>OUTUA-PrRW</v>
      </c>
      <c r="W50" s="24" t="str">
        <f t="shared" si="8"/>
        <v>OUTUA-PrRW : OUT UA Prelimin Redwood</v>
      </c>
      <c r="X50" s="222" t="str">
        <f t="shared" si="9"/>
        <v>OUTUA-PrRW : OUT UA Prelimin Redwood</v>
      </c>
      <c r="Y50" s="222" t="str">
        <f t="shared" si="10"/>
        <v>MATCH</v>
      </c>
      <c r="Z50" s="224" t="str">
        <f t="shared" si="11"/>
        <v> </v>
      </c>
      <c r="AA50" s="244"/>
    </row>
    <row r="51">
      <c r="A51" s="214" t="str">
        <f>IFS($B51=FALSE,"",$B51,VLOOKUP($B51,'PATIENT DATA (072721)'!A:C, 2, 0))</f>
        <v>RAMIREZ, ELIZABETH</v>
      </c>
      <c r="B51" s="215">
        <v>15628.0</v>
      </c>
      <c r="C51" s="230" t="str">
        <f>IF(COUNTIF('PATIENT DATA (072721)'!A:A, B51)=0, "X","✓")</f>
        <v>✓</v>
      </c>
      <c r="D51" s="226">
        <f>IFS($B51=FALSE,"",$B51,VLOOKUP($B51,'PATIENT DATA (072721)'!A:C, 3, 0))</f>
        <v>25832</v>
      </c>
      <c r="E51" s="218">
        <v>44574.0</v>
      </c>
      <c r="F51" s="219">
        <f>ifs($B51="","",$B51, VLOOKUP($B51&amp;$E51, 'VISIT DATA'!A:O,3,0))</f>
        <v>0.6145833333</v>
      </c>
      <c r="G51" s="231" t="s">
        <v>6323</v>
      </c>
      <c r="H51" s="221" t="s">
        <v>13</v>
      </c>
      <c r="I51" s="262" t="str">
        <f>VLOOKUP($B51&amp;$E51,'VISIT DATA'!A:J, 9, FALSE)</f>
        <v>LOPEZ</v>
      </c>
      <c r="J51" s="223" t="str">
        <f>VLOOKUP(B51&amp;E51,'VISIT DATA'!A:N,10,FALSE)</f>
        <v>MOLINA MEDICAID TEXAS</v>
      </c>
      <c r="K51" s="225"/>
      <c r="L51" s="224" t="s">
        <v>6242</v>
      </c>
      <c r="M51" s="224"/>
      <c r="N51" s="225"/>
      <c r="O51" s="216" t="str">
        <f t="shared" si="1"/>
        <v>✓</v>
      </c>
      <c r="P51" s="226" t="str">
        <f t="shared" si="2"/>
        <v>#VALUE!</v>
      </c>
      <c r="Q51" s="227" t="str">
        <f t="shared" si="3"/>
        <v>X</v>
      </c>
      <c r="R51" s="228" t="str">
        <f t="shared" si="4"/>
        <v>#VALUE!</v>
      </c>
      <c r="S51" s="220" t="str">
        <f t="shared" si="5"/>
        <v>#VALUE!</v>
      </c>
      <c r="T51" s="220" t="str">
        <f t="shared" si="6"/>
        <v>#VALUE!</v>
      </c>
      <c r="U51" s="221">
        <f t="shared" si="7"/>
        <v>1</v>
      </c>
      <c r="V51" s="229" t="str">
        <f>ifs($N51="",VLOOKUP($B51&amp;$E51,'VISIT DATA'!$A$2:$J100,7,FALSE), $N51="SWAB","OUTSA-RW",$N51="SWQU","OUTSA-SaQu", AND($L51="X",$M51="X",$N51="QUEST"),"OUT-UAQPre",$N51="QUEST","OUT-UAQ", $N51="Walk in","ColUATele")</f>
        <v>OUTUA-FURW</v>
      </c>
      <c r="W51" s="24" t="str">
        <f t="shared" si="8"/>
        <v>OUTUA-FURW : OUT UA FU Redwood</v>
      </c>
      <c r="X51" s="222" t="str">
        <f t="shared" si="9"/>
        <v>OUTUA-FURW : OUT UA FU Redwood</v>
      </c>
      <c r="Y51" s="222" t="str">
        <f t="shared" si="10"/>
        <v>MATCH</v>
      </c>
      <c r="Z51" s="224" t="str">
        <f t="shared" si="11"/>
        <v> </v>
      </c>
      <c r="AA51" s="244"/>
    </row>
    <row r="52">
      <c r="A52" s="214" t="str">
        <f>IFS($B52=FALSE,"",$B52,VLOOKUP($B52,'PATIENT DATA (072721)'!A:C, 2, 0))</f>
        <v>GALLARDO, ENRIQUE</v>
      </c>
      <c r="B52" s="215">
        <v>15699.0</v>
      </c>
      <c r="C52" s="230" t="str">
        <f>IF(COUNTIF('PATIENT DATA (072721)'!A:A, B52)=0, "X","✓")</f>
        <v>✓</v>
      </c>
      <c r="D52" s="226">
        <f>IFS($B52=FALSE,"",$B52,VLOOKUP($B52,'PATIENT DATA (072721)'!A:C, 3, 0))</f>
        <v>19665</v>
      </c>
      <c r="E52" s="218">
        <v>44574.0</v>
      </c>
      <c r="F52" s="219">
        <f>ifs($B52="","",$B52, VLOOKUP($B52&amp;$E52, 'VISIT DATA'!A:O,3,0))</f>
        <v>0.625</v>
      </c>
      <c r="G52" s="231" t="s">
        <v>6328</v>
      </c>
      <c r="H52" s="221" t="s">
        <v>15</v>
      </c>
      <c r="I52" s="262" t="str">
        <f>VLOOKUP($B52&amp;$E52,'VISIT DATA'!A:J, 9, FALSE)</f>
        <v>MARTINEZ</v>
      </c>
      <c r="J52" s="223" t="str">
        <f>VLOOKUP(B52&amp;E52,'VISIT DATA'!A:N,10,FALSE)</f>
        <v>WELLMED - UHC DUAL COMPLETE SNP</v>
      </c>
      <c r="K52" s="225"/>
      <c r="L52" s="224" t="s">
        <v>6242</v>
      </c>
      <c r="M52" s="224" t="s">
        <v>6242</v>
      </c>
      <c r="N52" s="225"/>
      <c r="O52" s="216" t="str">
        <f t="shared" si="1"/>
        <v>✓</v>
      </c>
      <c r="P52" s="226" t="str">
        <f t="shared" si="2"/>
        <v>X</v>
      </c>
      <c r="Q52" s="227" t="str">
        <f t="shared" si="3"/>
        <v>#VALUE!</v>
      </c>
      <c r="R52" s="228" t="str">
        <f t="shared" si="4"/>
        <v>#VALUE!</v>
      </c>
      <c r="S52" s="220" t="str">
        <f t="shared" si="5"/>
        <v>#VALUE!</v>
      </c>
      <c r="T52" s="220" t="str">
        <f t="shared" si="6"/>
        <v>#VALUE!</v>
      </c>
      <c r="U52" s="221">
        <f t="shared" si="7"/>
        <v>1</v>
      </c>
      <c r="V52" s="229" t="str">
        <f>ifs($N52="",VLOOKUP($B52&amp;$E52,'VISIT DATA'!$A$2:$J100,7,FALSE), $N52="SWAB","OUTSA-RW",$N52="SWQU","OUTSA-SaQu", AND($L52="X",$M52="X",$N52="QUEST"),"OUT-UAQPre",$N52="QUEST","OUT-UAQ", $N52="Walk in","ColUATele")</f>
        <v>OUTUA-PrRW</v>
      </c>
      <c r="W52" s="24" t="str">
        <f t="shared" si="8"/>
        <v>OUTUA-PrRW : OUT UA Prelimin Redwood</v>
      </c>
      <c r="X52" s="222" t="str">
        <f t="shared" si="9"/>
        <v>OUTUA-PrRW : OUT UA Prelimin Redwood</v>
      </c>
      <c r="Y52" s="222" t="str">
        <f t="shared" si="10"/>
        <v>MATCH</v>
      </c>
      <c r="Z52" s="224" t="str">
        <f t="shared" si="11"/>
        <v> </v>
      </c>
      <c r="AA52" s="244"/>
    </row>
    <row r="53">
      <c r="A53" s="214" t="str">
        <f>IFS($B53=FALSE,"",$B53,VLOOKUP($B53,'PATIENT DATA (072721)'!A:C, 2, 0))</f>
        <v>MACIAS, EDWARD</v>
      </c>
      <c r="B53" s="215">
        <v>12933.0</v>
      </c>
      <c r="C53" s="230" t="str">
        <f>IF(COUNTIF('PATIENT DATA (072721)'!A:A, B53)=0, "X","✓")</f>
        <v>✓</v>
      </c>
      <c r="D53" s="226">
        <f>IFS($B53=FALSE,"",$B53,VLOOKUP($B53,'PATIENT DATA (072721)'!A:C, 3, 0))</f>
        <v>22390</v>
      </c>
      <c r="E53" s="218">
        <v>44574.0</v>
      </c>
      <c r="F53" s="219">
        <f>ifs($B53="","",$B53, VLOOKUP($B53&amp;$E53, 'VISIT DATA'!A:O,3,0))</f>
        <v>0.5625</v>
      </c>
      <c r="G53" s="231" t="s">
        <v>6328</v>
      </c>
      <c r="H53" s="221" t="s">
        <v>15</v>
      </c>
      <c r="I53" s="262" t="str">
        <f>VLOOKUP($B53&amp;$E53,'VISIT DATA'!A:J, 9, FALSE)</f>
        <v>MARTINEZ</v>
      </c>
      <c r="J53" s="223" t="str">
        <f>VLOOKUP(B53&amp;E53,'VISIT DATA'!A:N,10,FALSE)</f>
        <v>HUMANA MEDICARE PPO</v>
      </c>
      <c r="K53" s="224"/>
      <c r="L53" s="224" t="s">
        <v>6242</v>
      </c>
      <c r="M53" s="224"/>
      <c r="N53" s="225"/>
      <c r="O53" s="216" t="str">
        <f t="shared" si="1"/>
        <v>✓</v>
      </c>
      <c r="P53" s="226" t="str">
        <f t="shared" si="2"/>
        <v>#VALUE!</v>
      </c>
      <c r="Q53" s="227" t="str">
        <f t="shared" si="3"/>
        <v>#VALUE!</v>
      </c>
      <c r="R53" s="228" t="str">
        <f t="shared" si="4"/>
        <v>#VALUE!</v>
      </c>
      <c r="S53" s="220" t="str">
        <f t="shared" si="5"/>
        <v>#VALUE!</v>
      </c>
      <c r="T53" s="220" t="str">
        <f t="shared" si="6"/>
        <v>#VALUE!</v>
      </c>
      <c r="U53" s="221">
        <f t="shared" si="7"/>
        <v>0</v>
      </c>
      <c r="V53" s="229" t="str">
        <f>ifs($N53="",VLOOKUP($B53&amp;$E53,'VISIT DATA'!$A$2:$J100,7,FALSE), $N53="SWAB","OUTSA-RW",$N53="SWQU","OUTSA-SaQu", AND($L53="X",$M53="X",$N53="QUEST"),"OUT-UAQPre",$N53="QUEST","OUT-UAQ", $N53="Walk in","ColUATele")</f>
        <v>UA</v>
      </c>
      <c r="W53" s="24" t="str">
        <f t="shared" si="8"/>
        <v>UA : Urine Analysis In House</v>
      </c>
      <c r="X53" s="222" t="str">
        <f t="shared" si="9"/>
        <v>UA : Urine Analysis In House</v>
      </c>
      <c r="Y53" s="222" t="str">
        <f t="shared" si="10"/>
        <v>MATCH</v>
      </c>
      <c r="Z53" s="224" t="str">
        <f t="shared" si="11"/>
        <v> </v>
      </c>
      <c r="AA53" s="244"/>
    </row>
    <row r="54">
      <c r="A54" s="214" t="str">
        <f>IFS($B54=FALSE,"",$B54,VLOOKUP($B54,'PATIENT DATA (072721)'!A:C, 2, 0))</f>
        <v>RODRIGUEZ, MARTHA A</v>
      </c>
      <c r="B54" s="215">
        <v>13405.0</v>
      </c>
      <c r="C54" s="230" t="str">
        <f>IF(COUNTIF('PATIENT DATA (072721)'!A:A, B54)=0, "X","✓")</f>
        <v>✓</v>
      </c>
      <c r="D54" s="226">
        <f>IFS($B54=FALSE,"",$B54,VLOOKUP($B54,'PATIENT DATA (072721)'!A:C, 3, 0))</f>
        <v>23929</v>
      </c>
      <c r="E54" s="218">
        <v>44574.0</v>
      </c>
      <c r="F54" s="219" t="str">
        <f>ifs($B54="","",$B54, VLOOKUP($B54&amp;$E54, 'VISIT DATA'!A:O,3,0))</f>
        <v>#N/A</v>
      </c>
      <c r="G54" s="231" t="s">
        <v>6323</v>
      </c>
      <c r="H54" s="221" t="s">
        <v>14</v>
      </c>
      <c r="I54" s="262" t="str">
        <f>VLOOKUP($B54&amp;$E54,'VISIT DATA'!A:J, 9, FALSE)</f>
        <v>#N/A</v>
      </c>
      <c r="J54" s="223" t="str">
        <f>VLOOKUP(B54&amp;E54,'VISIT DATA'!A:N,10,FALSE)</f>
        <v>#N/A</v>
      </c>
      <c r="K54" s="225"/>
      <c r="L54" s="224" t="s">
        <v>6242</v>
      </c>
      <c r="M54" s="224"/>
      <c r="N54" s="225"/>
      <c r="O54" s="216" t="str">
        <f t="shared" si="1"/>
        <v>✓</v>
      </c>
      <c r="P54" s="226" t="str">
        <f t="shared" si="2"/>
        <v>#N/A</v>
      </c>
      <c r="Q54" s="227" t="str">
        <f t="shared" si="3"/>
        <v>#N/A</v>
      </c>
      <c r="R54" s="228" t="str">
        <f t="shared" si="4"/>
        <v>#N/A</v>
      </c>
      <c r="S54" s="220" t="str">
        <f t="shared" si="5"/>
        <v>#N/A</v>
      </c>
      <c r="T54" s="220" t="str">
        <f t="shared" si="6"/>
        <v>#N/A</v>
      </c>
      <c r="U54" s="221">
        <f t="shared" si="7"/>
        <v>0</v>
      </c>
      <c r="V54" s="229" t="str">
        <f>ifs($N54="",VLOOKUP($B54&amp;$E54,'VISIT DATA'!$A$2:$J100,7,FALSE), $N54="SWAB","OUTSA-RW",$N54="SWQU","OUTSA-SaQu", AND($L54="X",$M54="X",$N54="QUEST"),"OUT-UAQPre",$N54="QUEST","OUT-UAQ", $N54="Walk in","ColUATele")</f>
        <v>#N/A</v>
      </c>
      <c r="W54" s="24" t="str">
        <f t="shared" si="8"/>
        <v>#N/A</v>
      </c>
      <c r="X54" s="222" t="str">
        <f t="shared" si="9"/>
        <v>UA : Urine Analysis In House</v>
      </c>
      <c r="Y54" s="222" t="str">
        <f t="shared" si="10"/>
        <v>#N/A</v>
      </c>
      <c r="Z54" s="224" t="str">
        <f t="shared" si="11"/>
        <v> </v>
      </c>
      <c r="AA54" s="244"/>
    </row>
    <row r="55" hidden="1">
      <c r="A55" s="214" t="str">
        <f>IFS($B55=FALSE,"",$B55,VLOOKUP($B55,'PATIENT DATA (072721)'!A:C, 2, 0))</f>
        <v/>
      </c>
      <c r="B55" s="215"/>
      <c r="C55" s="230" t="str">
        <f>IF(COUNTIF('PATIENT DATA (072721)'!A:A, B55)=0, "X","✓")</f>
        <v>X</v>
      </c>
      <c r="D55" s="226" t="str">
        <f>IFS($B55=FALSE,"",$B55,VLOOKUP($B55,'PATIENT DATA (072721)'!A:C, 3, 0))</f>
        <v/>
      </c>
      <c r="E55" s="218">
        <v>44574.0</v>
      </c>
      <c r="F55" s="219" t="str">
        <f>ifs($B55="","",$B55, VLOOKUP($B55&amp;$E55, 'VISIT DATA'!A:O,3,0))</f>
        <v/>
      </c>
      <c r="G55" s="231"/>
      <c r="H55" s="221" t="str">
        <f>ifs($B55="","",$B55, VLOOKUP($B55&amp;$E55, 'VISIT DATA'!$A:$O,13,0))</f>
        <v/>
      </c>
      <c r="I55" s="262" t="str">
        <f>VLOOKUP($B55&amp;$E55,'VISIT DATA'!A:J, 9, FALSE)</f>
        <v>#N/A</v>
      </c>
      <c r="J55" s="223" t="str">
        <f>VLOOKUP(B55&amp;E55,'VISIT DATA'!A:N,10,FALSE)</f>
        <v>#N/A</v>
      </c>
      <c r="K55" s="225"/>
      <c r="L55" s="224"/>
      <c r="M55" s="224"/>
      <c r="N55" s="225"/>
      <c r="O55" s="216" t="str">
        <f t="shared" si="1"/>
        <v>X</v>
      </c>
      <c r="P55" s="226" t="str">
        <f t="shared" si="2"/>
        <v>#N/A</v>
      </c>
      <c r="Q55" s="227" t="str">
        <f t="shared" si="3"/>
        <v>#N/A</v>
      </c>
      <c r="R55" s="228" t="str">
        <f t="shared" si="4"/>
        <v>#N/A</v>
      </c>
      <c r="S55" s="220" t="str">
        <f t="shared" si="5"/>
        <v>#N/A</v>
      </c>
      <c r="T55" s="220" t="str">
        <f t="shared" si="6"/>
        <v>#N/A</v>
      </c>
      <c r="U55" s="221">
        <f t="shared" si="7"/>
        <v>0</v>
      </c>
      <c r="V55" s="229" t="str">
        <f>ifs($N55="",VLOOKUP($B55&amp;$E55,'VISIT DATA'!$A$2:$J100,7,FALSE), $N55="SWAB","OUTSA-RW",$N55="SWQU","OUTSA-SaQu", AND($L55="X",$M55="X",$N55="QUEST"),"OUT-UAQPre",$N55="QUEST","OUT-UAQ", $N55="Walk in","ColUATele")</f>
        <v>#N/A</v>
      </c>
      <c r="W55" s="24" t="str">
        <f t="shared" si="8"/>
        <v>#N/A</v>
      </c>
      <c r="X55" s="222" t="str">
        <f t="shared" si="9"/>
        <v/>
      </c>
      <c r="Y55" s="222" t="str">
        <f t="shared" si="10"/>
        <v/>
      </c>
      <c r="Z55" s="224" t="str">
        <f t="shared" si="11"/>
        <v> </v>
      </c>
      <c r="AA55" s="244"/>
    </row>
    <row r="56" hidden="1">
      <c r="A56" s="214" t="str">
        <f>IFS($B56=FALSE,"",$B56,VLOOKUP($B56,'PATIENT DATA (072721)'!A:C, 2, 0))</f>
        <v/>
      </c>
      <c r="B56" s="215"/>
      <c r="C56" s="230" t="str">
        <f>IF(COUNTIF('PATIENT DATA (072721)'!A:A, B56)=0, "X","✓")</f>
        <v>X</v>
      </c>
      <c r="D56" s="226" t="str">
        <f>IFS($B56=FALSE,"",$B56,VLOOKUP($B56,'PATIENT DATA (072721)'!A:C, 3, 0))</f>
        <v/>
      </c>
      <c r="E56" s="218">
        <v>44574.0</v>
      </c>
      <c r="F56" s="219" t="str">
        <f>ifs($B56="","",$B56, VLOOKUP($B56&amp;$E56, 'VISIT DATA'!A:O,3,0))</f>
        <v/>
      </c>
      <c r="G56" s="231"/>
      <c r="H56" s="221" t="str">
        <f>ifs($B56="","",$B56, VLOOKUP($B56&amp;$E56, 'VISIT DATA'!$A:$O,13,0))</f>
        <v/>
      </c>
      <c r="I56" s="262" t="str">
        <f>VLOOKUP($B56&amp;$E56,'VISIT DATA'!A:J, 9, FALSE)</f>
        <v>#N/A</v>
      </c>
      <c r="J56" s="223" t="str">
        <f>VLOOKUP(B56&amp;E56,'VISIT DATA'!A:N,10,FALSE)</f>
        <v>#N/A</v>
      </c>
      <c r="K56" s="225"/>
      <c r="L56" s="224"/>
      <c r="M56" s="224"/>
      <c r="N56" s="225"/>
      <c r="O56" s="216" t="str">
        <f t="shared" si="1"/>
        <v>X</v>
      </c>
      <c r="P56" s="226" t="str">
        <f t="shared" si="2"/>
        <v>#N/A</v>
      </c>
      <c r="Q56" s="227" t="str">
        <f t="shared" si="3"/>
        <v>#N/A</v>
      </c>
      <c r="R56" s="228" t="str">
        <f t="shared" si="4"/>
        <v>#N/A</v>
      </c>
      <c r="S56" s="220" t="str">
        <f t="shared" si="5"/>
        <v>#N/A</v>
      </c>
      <c r="T56" s="220" t="str">
        <f t="shared" si="6"/>
        <v>#N/A</v>
      </c>
      <c r="U56" s="221">
        <f t="shared" si="7"/>
        <v>0</v>
      </c>
      <c r="V56" s="229" t="str">
        <f>ifs($N56="",VLOOKUP($B56&amp;$E56,'VISIT DATA'!$A$2:$J100,7,FALSE), $N56="SWAB","OUTSA-RW",$N56="SWQU","OUTSA-SaQu", AND($L56="X",$M56="X",$N56="QUEST"),"OUT-UAQPre",$N56="QUEST","OUT-UAQ", $N56="Walk in","ColUATele")</f>
        <v>#N/A</v>
      </c>
      <c r="W56" s="24" t="str">
        <f t="shared" si="8"/>
        <v>#N/A</v>
      </c>
      <c r="X56" s="222" t="str">
        <f t="shared" si="9"/>
        <v/>
      </c>
      <c r="Y56" s="222" t="str">
        <f t="shared" si="10"/>
        <v/>
      </c>
      <c r="Z56" s="224" t="str">
        <f t="shared" si="11"/>
        <v> </v>
      </c>
      <c r="AA56" s="244"/>
    </row>
    <row r="57" hidden="1">
      <c r="A57" s="214" t="str">
        <f>IFS($B57=FALSE,"",$B57,VLOOKUP($B57,'PATIENT DATA (072721)'!A:C, 2, 0))</f>
        <v/>
      </c>
      <c r="B57" s="215"/>
      <c r="C57" s="230" t="str">
        <f>IF(COUNTIF('PATIENT DATA (072721)'!A:A, B57)=0, "X","✓")</f>
        <v>X</v>
      </c>
      <c r="D57" s="226" t="str">
        <f>IFS($B57=FALSE,"",$B57,VLOOKUP($B57,'PATIENT DATA (072721)'!A:C, 3, 0))</f>
        <v/>
      </c>
      <c r="E57" s="218">
        <v>44574.0</v>
      </c>
      <c r="F57" s="219" t="str">
        <f>ifs($B57="","",$B57, VLOOKUP($B57&amp;$E57, 'VISIT DATA'!A:O,3,0))</f>
        <v/>
      </c>
      <c r="G57" s="231"/>
      <c r="H57" s="221" t="str">
        <f>ifs($B57="","",$B57, VLOOKUP($B57&amp;$E57, 'VISIT DATA'!$A:$O,13,0))</f>
        <v/>
      </c>
      <c r="I57" s="262" t="str">
        <f>VLOOKUP($B57&amp;$E57,'VISIT DATA'!A:J, 9, FALSE)</f>
        <v>#N/A</v>
      </c>
      <c r="J57" s="223" t="str">
        <f>VLOOKUP(B57&amp;E57,'VISIT DATA'!A:N,10,FALSE)</f>
        <v>#N/A</v>
      </c>
      <c r="K57" s="225"/>
      <c r="L57" s="224"/>
      <c r="M57" s="224"/>
      <c r="N57" s="225"/>
      <c r="O57" s="216" t="str">
        <f t="shared" si="1"/>
        <v>X</v>
      </c>
      <c r="P57" s="226" t="str">
        <f t="shared" si="2"/>
        <v>#N/A</v>
      </c>
      <c r="Q57" s="227" t="str">
        <f t="shared" si="3"/>
        <v>#N/A</v>
      </c>
      <c r="R57" s="228" t="str">
        <f t="shared" si="4"/>
        <v>#N/A</v>
      </c>
      <c r="S57" s="220" t="str">
        <f t="shared" si="5"/>
        <v>#N/A</v>
      </c>
      <c r="T57" s="220" t="str">
        <f t="shared" si="6"/>
        <v>#N/A</v>
      </c>
      <c r="U57" s="221">
        <f t="shared" si="7"/>
        <v>0</v>
      </c>
      <c r="V57" s="229" t="str">
        <f>ifs($N57="",VLOOKUP($B57&amp;$E57,'VISIT DATA'!$A$2:$J100,7,FALSE), $N57="SWAB","OUTSA-RW",$N57="SWQU","OUTSA-SaQu", AND($L57="X",$M57="X",$N57="QUEST"),"OUT-UAQPre",$N57="QUEST","OUT-UAQ", $N57="Walk in","ColUATele")</f>
        <v>#N/A</v>
      </c>
      <c r="W57" s="24" t="str">
        <f t="shared" si="8"/>
        <v>#N/A</v>
      </c>
      <c r="X57" s="222" t="str">
        <f t="shared" si="9"/>
        <v/>
      </c>
      <c r="Y57" s="222" t="str">
        <f t="shared" si="10"/>
        <v/>
      </c>
      <c r="Z57" s="224" t="str">
        <f t="shared" si="11"/>
        <v> </v>
      </c>
      <c r="AA57" s="244"/>
    </row>
    <row r="58" hidden="1">
      <c r="A58" s="214" t="str">
        <f>IFS($B58=FALSE,"",$B58,VLOOKUP($B58,'PATIENT DATA (072721)'!A:C, 2, 0))</f>
        <v/>
      </c>
      <c r="B58" s="215"/>
      <c r="C58" s="230" t="str">
        <f>IF(COUNTIF('PATIENT DATA (072721)'!A:A, B58)=0, "X","✓")</f>
        <v>X</v>
      </c>
      <c r="D58" s="226" t="str">
        <f>IFS($B58=FALSE,"",$B58,VLOOKUP($B58,'PATIENT DATA (072721)'!A:C, 3, 0))</f>
        <v/>
      </c>
      <c r="E58" s="218">
        <v>44574.0</v>
      </c>
      <c r="F58" s="219" t="str">
        <f>ifs($B58="","",$B58, VLOOKUP($B58&amp;$E58, 'VISIT DATA'!A:O,3,0))</f>
        <v/>
      </c>
      <c r="G58" s="231"/>
      <c r="H58" s="221" t="str">
        <f>ifs($B58="","",$B58, VLOOKUP($B58&amp;$E58, 'VISIT DATA'!$A:$O,13,0))</f>
        <v/>
      </c>
      <c r="I58" s="262" t="str">
        <f>VLOOKUP($B58&amp;$E58,'VISIT DATA'!A:J, 9, FALSE)</f>
        <v>#N/A</v>
      </c>
      <c r="J58" s="223" t="str">
        <f>VLOOKUP(B58&amp;E58,'VISIT DATA'!A:N,10,FALSE)</f>
        <v>#N/A</v>
      </c>
      <c r="K58" s="224"/>
      <c r="L58" s="224"/>
      <c r="M58" s="224"/>
      <c r="N58" s="225"/>
      <c r="O58" s="216" t="str">
        <f t="shared" si="1"/>
        <v>X</v>
      </c>
      <c r="P58" s="226" t="str">
        <f t="shared" si="2"/>
        <v>#N/A</v>
      </c>
      <c r="Q58" s="227" t="str">
        <f t="shared" si="3"/>
        <v>#N/A</v>
      </c>
      <c r="R58" s="228" t="str">
        <f t="shared" si="4"/>
        <v>#N/A</v>
      </c>
      <c r="S58" s="220" t="str">
        <f t="shared" si="5"/>
        <v>#N/A</v>
      </c>
      <c r="T58" s="220" t="str">
        <f t="shared" si="6"/>
        <v>#N/A</v>
      </c>
      <c r="U58" s="221">
        <f t="shared" si="7"/>
        <v>0</v>
      </c>
      <c r="V58" s="229" t="str">
        <f>ifs($N58="",VLOOKUP($B58&amp;$E58,'VISIT DATA'!$A$2:$J100,7,FALSE), $N58="SWAB","OUTSA-RW",$N58="SWQU","OUTSA-SaQu", AND($L58="X",$M58="X",$N58="QUEST"),"OUT-UAQPre",$N58="QUEST","OUT-UAQ", $N58="Walk in","ColUATele")</f>
        <v>#N/A</v>
      </c>
      <c r="W58" s="24" t="str">
        <f t="shared" si="8"/>
        <v>#N/A</v>
      </c>
      <c r="X58" s="222" t="str">
        <f t="shared" si="9"/>
        <v/>
      </c>
      <c r="Y58" s="222" t="str">
        <f t="shared" si="10"/>
        <v/>
      </c>
      <c r="Z58" s="224" t="str">
        <f t="shared" si="11"/>
        <v> </v>
      </c>
      <c r="AA58" s="244"/>
    </row>
    <row r="59" hidden="1">
      <c r="A59" s="214" t="str">
        <f>IFS($B59=FALSE,"",$B59,VLOOKUP($B59,'PATIENT DATA (072721)'!A:C, 2, 0))</f>
        <v/>
      </c>
      <c r="B59" s="215"/>
      <c r="C59" s="230" t="str">
        <f>IF(COUNTIF('PATIENT DATA (072721)'!A:A, B59)=0, "X","✓")</f>
        <v>X</v>
      </c>
      <c r="D59" s="226" t="str">
        <f>IFS($B59=FALSE,"",$B59,VLOOKUP($B59,'PATIENT DATA (072721)'!A:C, 3, 0))</f>
        <v/>
      </c>
      <c r="E59" s="218">
        <v>44574.0</v>
      </c>
      <c r="F59" s="219" t="str">
        <f>ifs($B59="","",$B59, VLOOKUP($B59&amp;$E59, 'VISIT DATA'!A:O,3,0))</f>
        <v/>
      </c>
      <c r="G59" s="231"/>
      <c r="H59" s="221" t="str">
        <f>ifs($B59="","",$B59, VLOOKUP($B59&amp;$E59, 'VISIT DATA'!$A:$O,13,0))</f>
        <v/>
      </c>
      <c r="I59" s="262" t="str">
        <f>VLOOKUP($B59&amp;$E59,'VISIT DATA'!A:J, 9, FALSE)</f>
        <v>#N/A</v>
      </c>
      <c r="J59" s="223" t="str">
        <f>VLOOKUP(B59&amp;E59,'VISIT DATA'!A:N,10,FALSE)</f>
        <v>#N/A</v>
      </c>
      <c r="K59" s="224"/>
      <c r="L59" s="224"/>
      <c r="M59" s="224"/>
      <c r="N59" s="225"/>
      <c r="O59" s="216" t="str">
        <f t="shared" si="1"/>
        <v>X</v>
      </c>
      <c r="P59" s="226" t="str">
        <f t="shared" si="2"/>
        <v>#N/A</v>
      </c>
      <c r="Q59" s="227" t="str">
        <f t="shared" si="3"/>
        <v>#N/A</v>
      </c>
      <c r="R59" s="228" t="str">
        <f t="shared" si="4"/>
        <v>#N/A</v>
      </c>
      <c r="S59" s="220" t="str">
        <f t="shared" si="5"/>
        <v>#N/A</v>
      </c>
      <c r="T59" s="220" t="str">
        <f t="shared" si="6"/>
        <v>#N/A</v>
      </c>
      <c r="U59" s="221">
        <f t="shared" si="7"/>
        <v>0</v>
      </c>
      <c r="V59" s="229" t="str">
        <f>ifs($N59="",VLOOKUP($B59&amp;$E59,'VISIT DATA'!$A$2:$J100,7,FALSE), $N59="SWAB","OUTSA-RW",$N59="SWQU","OUTSA-SaQu", AND($L59="X",$M59="X",$N59="QUEST"),"OUT-UAQPre",$N59="QUEST","OUT-UAQ", $N59="Walk in","ColUATele")</f>
        <v>#N/A</v>
      </c>
      <c r="W59" s="24" t="str">
        <f t="shared" si="8"/>
        <v>#N/A</v>
      </c>
      <c r="X59" s="222" t="str">
        <f t="shared" si="9"/>
        <v/>
      </c>
      <c r="Y59" s="222" t="str">
        <f t="shared" si="10"/>
        <v/>
      </c>
      <c r="Z59" s="224" t="str">
        <f t="shared" si="11"/>
        <v> </v>
      </c>
      <c r="AA59" s="244"/>
    </row>
    <row r="60" hidden="1">
      <c r="A60" s="214" t="str">
        <f>IFS($B60=FALSE,"",$B60,VLOOKUP($B60,'PATIENT DATA (072721)'!A:C, 2, 0))</f>
        <v/>
      </c>
      <c r="B60" s="215"/>
      <c r="C60" s="230" t="str">
        <f>IF(COUNTIF('PATIENT DATA (072721)'!A:A, B60)=0, "X","✓")</f>
        <v>X</v>
      </c>
      <c r="D60" s="226" t="str">
        <f>IFS($B60=FALSE,"",$B60,VLOOKUP($B60,'PATIENT DATA (072721)'!A:C, 3, 0))</f>
        <v/>
      </c>
      <c r="E60" s="218">
        <v>44574.0</v>
      </c>
      <c r="F60" s="219" t="str">
        <f>ifs($B60="","",$B60, VLOOKUP($B60&amp;$E60, 'VISIT DATA'!A:O,3,0))</f>
        <v/>
      </c>
      <c r="G60" s="231"/>
      <c r="H60" s="221" t="str">
        <f>ifs($B60="","",$B60, VLOOKUP($B60&amp;$E60, 'VISIT DATA'!$A:$O,13,0))</f>
        <v/>
      </c>
      <c r="I60" s="262" t="str">
        <f>VLOOKUP($B60&amp;$E60,'VISIT DATA'!A:J, 9, FALSE)</f>
        <v>#N/A</v>
      </c>
      <c r="J60" s="223" t="str">
        <f>VLOOKUP(B60&amp;E60,'VISIT DATA'!A:N,10,FALSE)</f>
        <v>#N/A</v>
      </c>
      <c r="K60" s="225"/>
      <c r="L60" s="224"/>
      <c r="M60" s="224"/>
      <c r="N60" s="225"/>
      <c r="O60" s="216" t="str">
        <f t="shared" si="1"/>
        <v>X</v>
      </c>
      <c r="P60" s="226" t="str">
        <f t="shared" si="2"/>
        <v>#N/A</v>
      </c>
      <c r="Q60" s="227" t="str">
        <f t="shared" si="3"/>
        <v>#N/A</v>
      </c>
      <c r="R60" s="228" t="str">
        <f t="shared" si="4"/>
        <v>#N/A</v>
      </c>
      <c r="S60" s="220" t="str">
        <f t="shared" si="5"/>
        <v>#N/A</v>
      </c>
      <c r="T60" s="220" t="str">
        <f t="shared" si="6"/>
        <v>#N/A</v>
      </c>
      <c r="U60" s="221">
        <f t="shared" si="7"/>
        <v>0</v>
      </c>
      <c r="V60" s="229" t="str">
        <f>ifs($N60="",VLOOKUP($B60&amp;$E60,'VISIT DATA'!$A$2:$J100,7,FALSE), $N60="SWAB","OUTSA-RW",$N60="SWQU","OUTSA-SaQu", AND($L60="X",$M60="X",$N60="QUEST"),"OUT-UAQPre",$N60="QUEST","OUT-UAQ", $N60="Walk in","ColUATele")</f>
        <v>#N/A</v>
      </c>
      <c r="W60" s="24" t="str">
        <f t="shared" si="8"/>
        <v>#N/A</v>
      </c>
      <c r="X60" s="222" t="str">
        <f t="shared" si="9"/>
        <v/>
      </c>
      <c r="Y60" s="222" t="str">
        <f t="shared" si="10"/>
        <v/>
      </c>
      <c r="Z60" s="224" t="str">
        <f t="shared" si="11"/>
        <v> </v>
      </c>
      <c r="AA60" s="244"/>
    </row>
    <row r="61" hidden="1">
      <c r="A61" s="214" t="str">
        <f>IFS($B61=FALSE,"",$B61,VLOOKUP($B61,'PATIENT DATA (072721)'!A:C, 2, 0))</f>
        <v/>
      </c>
      <c r="B61" s="215"/>
      <c r="C61" s="230" t="str">
        <f>IF(COUNTIF('PATIENT DATA (072721)'!A:A, B61)=0, "X","✓")</f>
        <v>X</v>
      </c>
      <c r="D61" s="226" t="str">
        <f>IFS($B61=FALSE,"",$B61,VLOOKUP($B61,'PATIENT DATA (072721)'!A:C, 3, 0))</f>
        <v/>
      </c>
      <c r="E61" s="218">
        <v>44574.0</v>
      </c>
      <c r="F61" s="219" t="str">
        <f>ifs($B61="","",$B61, VLOOKUP($B61&amp;$E61, 'VISIT DATA'!A:O,3,0))</f>
        <v/>
      </c>
      <c r="G61" s="231"/>
      <c r="H61" s="221" t="str">
        <f>ifs($B61="","",$B61, VLOOKUP($B61&amp;$E61, 'VISIT DATA'!$A:$O,13,0))</f>
        <v/>
      </c>
      <c r="I61" s="262" t="str">
        <f>VLOOKUP($B61&amp;$E61,'VISIT DATA'!A:J, 9, FALSE)</f>
        <v>#N/A</v>
      </c>
      <c r="J61" s="223" t="str">
        <f>VLOOKUP(B61&amp;E61,'VISIT DATA'!A:N,10,FALSE)</f>
        <v>#N/A</v>
      </c>
      <c r="K61" s="225"/>
      <c r="L61" s="224"/>
      <c r="M61" s="224"/>
      <c r="N61" s="225"/>
      <c r="O61" s="216" t="str">
        <f t="shared" si="1"/>
        <v>X</v>
      </c>
      <c r="P61" s="226" t="str">
        <f t="shared" si="2"/>
        <v>#N/A</v>
      </c>
      <c r="Q61" s="227" t="str">
        <f t="shared" si="3"/>
        <v>#N/A</v>
      </c>
      <c r="R61" s="228" t="str">
        <f t="shared" si="4"/>
        <v>#N/A</v>
      </c>
      <c r="S61" s="220" t="str">
        <f t="shared" si="5"/>
        <v>#N/A</v>
      </c>
      <c r="T61" s="220" t="str">
        <f t="shared" si="6"/>
        <v>#N/A</v>
      </c>
      <c r="U61" s="221">
        <f t="shared" si="7"/>
        <v>0</v>
      </c>
      <c r="V61" s="229" t="str">
        <f>ifs($N61="",VLOOKUP($B61&amp;$E61,'VISIT DATA'!$A$2:$J100,7,FALSE), $N61="SWAB","OUTSA-RW",$N61="SWQU","OUTSA-SaQu", AND($L61="X",$M61="X",$N61="QUEST"),"OUT-UAQPre",$N61="QUEST","OUT-UAQ", $N61="Walk in","ColUATele")</f>
        <v>#N/A</v>
      </c>
      <c r="W61" s="24" t="str">
        <f t="shared" si="8"/>
        <v>#N/A</v>
      </c>
      <c r="X61" s="222" t="str">
        <f t="shared" si="9"/>
        <v/>
      </c>
      <c r="Y61" s="222" t="str">
        <f t="shared" si="10"/>
        <v/>
      </c>
      <c r="Z61" s="224" t="str">
        <f t="shared" si="11"/>
        <v> </v>
      </c>
      <c r="AA61" s="244"/>
    </row>
    <row r="62" hidden="1">
      <c r="A62" s="214" t="str">
        <f>IFS($B62=FALSE,"",$B62,VLOOKUP($B62,'PATIENT DATA (072721)'!A:C, 2, 0))</f>
        <v/>
      </c>
      <c r="B62" s="215"/>
      <c r="C62" s="230" t="str">
        <f>IF(COUNTIF('PATIENT DATA (072721)'!A:A, B62)=0, "X","✓")</f>
        <v>X</v>
      </c>
      <c r="D62" s="226" t="str">
        <f>IFS($B62=FALSE,"",$B62,VLOOKUP($B62,'PATIENT DATA (072721)'!A:C, 3, 0))</f>
        <v/>
      </c>
      <c r="E62" s="218">
        <v>44574.0</v>
      </c>
      <c r="F62" s="219" t="str">
        <f>ifs($B62="","",$B62, VLOOKUP($B62&amp;$E62, 'VISIT DATA'!A:O,3,0))</f>
        <v/>
      </c>
      <c r="G62" s="231"/>
      <c r="H62" s="221" t="str">
        <f>ifs($B62="","",$B62, VLOOKUP($B62&amp;$E62, 'VISIT DATA'!$A:$O,13,0))</f>
        <v/>
      </c>
      <c r="I62" s="262" t="str">
        <f>VLOOKUP($B62&amp;$E62,'VISIT DATA'!A:J, 9, FALSE)</f>
        <v>#N/A</v>
      </c>
      <c r="J62" s="223" t="str">
        <f>VLOOKUP(B62&amp;E62,'VISIT DATA'!A:N,10,FALSE)</f>
        <v>#N/A</v>
      </c>
      <c r="K62" s="225"/>
      <c r="L62" s="224"/>
      <c r="M62" s="224"/>
      <c r="N62" s="225"/>
      <c r="O62" s="216" t="str">
        <f t="shared" si="1"/>
        <v>X</v>
      </c>
      <c r="P62" s="226" t="str">
        <f t="shared" si="2"/>
        <v>#N/A</v>
      </c>
      <c r="Q62" s="227" t="str">
        <f t="shared" si="3"/>
        <v>#N/A</v>
      </c>
      <c r="R62" s="228" t="str">
        <f t="shared" si="4"/>
        <v>#N/A</v>
      </c>
      <c r="S62" s="220" t="str">
        <f t="shared" si="5"/>
        <v>#N/A</v>
      </c>
      <c r="T62" s="220" t="str">
        <f t="shared" si="6"/>
        <v>#N/A</v>
      </c>
      <c r="U62" s="221">
        <f t="shared" si="7"/>
        <v>0</v>
      </c>
      <c r="V62" s="229" t="str">
        <f>ifs($N62="",VLOOKUP($B62&amp;$E62,'VISIT DATA'!$A$2:$J100,7,FALSE), $N62="SWAB","OUTSA-RW",$N62="SWQU","OUTSA-SaQu", AND($L62="X",$M62="X",$N62="QUEST"),"OUT-UAQPre",$N62="QUEST","OUT-UAQ", $N62="Walk in","ColUATele")</f>
        <v>#N/A</v>
      </c>
      <c r="W62" s="24" t="str">
        <f t="shared" si="8"/>
        <v>#N/A</v>
      </c>
      <c r="X62" s="222" t="str">
        <f t="shared" si="9"/>
        <v/>
      </c>
      <c r="Y62" s="222" t="str">
        <f t="shared" si="10"/>
        <v/>
      </c>
      <c r="Z62" s="224" t="str">
        <f t="shared" si="11"/>
        <v> </v>
      </c>
      <c r="AA62" s="244"/>
    </row>
    <row r="63" hidden="1">
      <c r="A63" s="214" t="str">
        <f>IFS($B63=FALSE,"",$B63,VLOOKUP($B63,'PATIENT DATA (072721)'!A:C, 2, 0))</f>
        <v/>
      </c>
      <c r="B63" s="215"/>
      <c r="C63" s="230" t="str">
        <f>IF(COUNTIF('PATIENT DATA (072721)'!A:A, B63)=0, "X","✓")</f>
        <v>X</v>
      </c>
      <c r="D63" s="226" t="str">
        <f>IFS($B63=FALSE,"",$B63,VLOOKUP($B63,'PATIENT DATA (072721)'!A:C, 3, 0))</f>
        <v/>
      </c>
      <c r="E63" s="218">
        <v>44574.0</v>
      </c>
      <c r="F63" s="219" t="str">
        <f>ifs($B63="","",$B63, VLOOKUP($B63&amp;$E63, 'VISIT DATA'!A:O,3,0))</f>
        <v/>
      </c>
      <c r="G63" s="231"/>
      <c r="H63" s="221" t="str">
        <f>ifs($B63="","",$B63, VLOOKUP($B63&amp;$E63, 'VISIT DATA'!$A:$O,13,0))</f>
        <v/>
      </c>
      <c r="I63" s="262" t="str">
        <f>VLOOKUP($B63&amp;$E63,'VISIT DATA'!A:J, 9, FALSE)</f>
        <v>#N/A</v>
      </c>
      <c r="J63" s="223" t="str">
        <f>VLOOKUP(B63&amp;E63,'VISIT DATA'!A:N,10,FALSE)</f>
        <v>#N/A</v>
      </c>
      <c r="K63" s="225"/>
      <c r="L63" s="224"/>
      <c r="M63" s="224"/>
      <c r="N63" s="225"/>
      <c r="O63" s="216" t="str">
        <f t="shared" si="1"/>
        <v>X</v>
      </c>
      <c r="P63" s="226" t="str">
        <f t="shared" si="2"/>
        <v>#N/A</v>
      </c>
      <c r="Q63" s="227" t="str">
        <f t="shared" si="3"/>
        <v>#N/A</v>
      </c>
      <c r="R63" s="228" t="str">
        <f t="shared" si="4"/>
        <v>#N/A</v>
      </c>
      <c r="S63" s="220" t="str">
        <f t="shared" si="5"/>
        <v>#N/A</v>
      </c>
      <c r="T63" s="220" t="str">
        <f t="shared" si="6"/>
        <v>#N/A</v>
      </c>
      <c r="U63" s="221">
        <f t="shared" si="7"/>
        <v>0</v>
      </c>
      <c r="V63" s="229" t="str">
        <f>ifs($N63="",VLOOKUP($B63&amp;$E63,'VISIT DATA'!$A$2:$J100,7,FALSE), $N63="SWAB","OUTSA-RW",$N63="SWQU","OUTSA-SaQu", AND($L63="X",$M63="X",$N63="QUEST"),"OUT-UAQPre",$N63="QUEST","OUT-UAQ", $N63="Walk in","ColUATele")</f>
        <v>#N/A</v>
      </c>
      <c r="W63" s="24" t="str">
        <f t="shared" si="8"/>
        <v>#N/A</v>
      </c>
      <c r="X63" s="222" t="str">
        <f t="shared" si="9"/>
        <v/>
      </c>
      <c r="Y63" s="222" t="str">
        <f t="shared" si="10"/>
        <v/>
      </c>
      <c r="Z63" s="224" t="str">
        <f t="shared" si="11"/>
        <v> </v>
      </c>
      <c r="AA63" s="244"/>
    </row>
    <row r="64" hidden="1">
      <c r="A64" s="214" t="str">
        <f>IFS($B64=FALSE,"",$B64,VLOOKUP($B64,'PATIENT DATA (072721)'!A:C, 2, 0))</f>
        <v/>
      </c>
      <c r="B64" s="215"/>
      <c r="C64" s="230" t="str">
        <f>IF(COUNTIF('PATIENT DATA (072721)'!A:A, B64)=0, "X","✓")</f>
        <v>X</v>
      </c>
      <c r="D64" s="226" t="str">
        <f>IFS($B64=FALSE,"",$B64,VLOOKUP($B64,'PATIENT DATA (072721)'!A:C, 3, 0))</f>
        <v/>
      </c>
      <c r="E64" s="218">
        <v>44574.0</v>
      </c>
      <c r="F64" s="219" t="str">
        <f>ifs($B64="","",$B64, VLOOKUP($B64&amp;$E64, 'VISIT DATA'!A:O,3,0))</f>
        <v/>
      </c>
      <c r="G64" s="231"/>
      <c r="H64" s="221" t="str">
        <f>ifs($B64="","",$B64, VLOOKUP($B64&amp;$E64, 'VISIT DATA'!$A:$O,13,0))</f>
        <v/>
      </c>
      <c r="I64" s="262" t="str">
        <f>VLOOKUP($B64&amp;$E64,'VISIT DATA'!A:J, 9, FALSE)</f>
        <v>#N/A</v>
      </c>
      <c r="J64" s="223" t="str">
        <f>VLOOKUP(B64&amp;E64,'VISIT DATA'!A:N,10,FALSE)</f>
        <v>#N/A</v>
      </c>
      <c r="K64" s="225"/>
      <c r="L64" s="224"/>
      <c r="M64" s="224"/>
      <c r="N64" s="225"/>
      <c r="O64" s="216" t="str">
        <f t="shared" si="1"/>
        <v>X</v>
      </c>
      <c r="P64" s="226" t="str">
        <f t="shared" si="2"/>
        <v>#N/A</v>
      </c>
      <c r="Q64" s="227" t="str">
        <f t="shared" si="3"/>
        <v>#N/A</v>
      </c>
      <c r="R64" s="228" t="str">
        <f t="shared" si="4"/>
        <v>#N/A</v>
      </c>
      <c r="S64" s="220" t="str">
        <f t="shared" si="5"/>
        <v>#N/A</v>
      </c>
      <c r="T64" s="220" t="str">
        <f t="shared" si="6"/>
        <v>#N/A</v>
      </c>
      <c r="U64" s="221">
        <f t="shared" si="7"/>
        <v>0</v>
      </c>
      <c r="V64" s="229" t="str">
        <f>ifs($N64="",VLOOKUP($B64&amp;$E64,'VISIT DATA'!$A$2:$J100,7,FALSE), $N64="SWAB","OUTSA-RW",$N64="SWQU","OUTSA-SaQu", AND($L64="X",$M64="X",$N64="QUEST"),"OUT-UAQPre",$N64="QUEST","OUT-UAQ", $N64="Walk in","ColUATele")</f>
        <v>#N/A</v>
      </c>
      <c r="W64" s="24" t="str">
        <f t="shared" si="8"/>
        <v>#N/A</v>
      </c>
      <c r="X64" s="222" t="str">
        <f t="shared" si="9"/>
        <v/>
      </c>
      <c r="Y64" s="222" t="str">
        <f t="shared" si="10"/>
        <v/>
      </c>
      <c r="Z64" s="224" t="str">
        <f t="shared" si="11"/>
        <v> </v>
      </c>
      <c r="AA64" s="244"/>
    </row>
    <row r="65" hidden="1">
      <c r="A65" s="214" t="str">
        <f>IFS($B65=FALSE,"",$B65,VLOOKUP($B65,'PATIENT DATA (072721)'!A:C, 2, 0))</f>
        <v/>
      </c>
      <c r="B65" s="215"/>
      <c r="C65" s="230" t="str">
        <f>IF(COUNTIF('PATIENT DATA (072721)'!A:A, B65)=0, "X","✓")</f>
        <v>X</v>
      </c>
      <c r="D65" s="226" t="str">
        <f>IFS($B65=FALSE,"",$B65,VLOOKUP($B65,'PATIENT DATA (072721)'!A:C, 3, 0))</f>
        <v/>
      </c>
      <c r="E65" s="218">
        <v>44574.0</v>
      </c>
      <c r="F65" s="219" t="str">
        <f>ifs($B65="","",$B65, VLOOKUP($B65&amp;$E65, 'VISIT DATA'!A:O,3,0))</f>
        <v/>
      </c>
      <c r="G65" s="231"/>
      <c r="H65" s="221" t="str">
        <f>ifs($B65="","",$B65, VLOOKUP($B65&amp;$E65, 'VISIT DATA'!$A:$O,13,0))</f>
        <v/>
      </c>
      <c r="I65" s="262" t="str">
        <f>VLOOKUP($B65&amp;$E65,'VISIT DATA'!A:J, 9, FALSE)</f>
        <v>#N/A</v>
      </c>
      <c r="J65" s="223" t="str">
        <f>VLOOKUP(B65&amp;E65,'VISIT DATA'!A:N,10,FALSE)</f>
        <v>#N/A</v>
      </c>
      <c r="K65" s="225"/>
      <c r="L65" s="224"/>
      <c r="M65" s="224"/>
      <c r="N65" s="225"/>
      <c r="O65" s="216" t="str">
        <f t="shared" si="1"/>
        <v>X</v>
      </c>
      <c r="P65" s="226" t="str">
        <f t="shared" si="2"/>
        <v>#N/A</v>
      </c>
      <c r="Q65" s="227" t="str">
        <f t="shared" si="3"/>
        <v>#N/A</v>
      </c>
      <c r="R65" s="228" t="str">
        <f t="shared" si="4"/>
        <v>#N/A</v>
      </c>
      <c r="S65" s="220" t="str">
        <f t="shared" si="5"/>
        <v>#N/A</v>
      </c>
      <c r="T65" s="220" t="str">
        <f t="shared" si="6"/>
        <v>#N/A</v>
      </c>
      <c r="U65" s="221">
        <f t="shared" si="7"/>
        <v>0</v>
      </c>
      <c r="V65" s="229" t="str">
        <f>ifs($N65="",VLOOKUP($B65&amp;$E65,'VISIT DATA'!$A$2:$J100,7,FALSE), $N65="SWAB","OUTSA-RW",$N65="SWQU","OUTSA-SaQu", AND($L65="X",$M65="X",$N65="QUEST"),"OUT-UAQPre",$N65="QUEST","OUT-UAQ", $N65="Walk in","ColUATele")</f>
        <v>#N/A</v>
      </c>
      <c r="W65" s="24" t="str">
        <f t="shared" si="8"/>
        <v>#N/A</v>
      </c>
      <c r="X65" s="222" t="str">
        <f t="shared" si="9"/>
        <v/>
      </c>
      <c r="Y65" s="222" t="str">
        <f t="shared" si="10"/>
        <v/>
      </c>
      <c r="Z65" s="224" t="str">
        <f t="shared" si="11"/>
        <v> </v>
      </c>
      <c r="AA65" s="244"/>
    </row>
    <row r="66" hidden="1">
      <c r="A66" s="214" t="str">
        <f>IFS($B66=FALSE,"",$B66,VLOOKUP($B66,'PATIENT DATA (072721)'!A:C, 2, 0))</f>
        <v/>
      </c>
      <c r="B66" s="215"/>
      <c r="C66" s="230" t="str">
        <f>IF(COUNTIF('PATIENT DATA (072721)'!A:A, B66)=0, "X","✓")</f>
        <v>X</v>
      </c>
      <c r="D66" s="226" t="str">
        <f>IFS($B66=FALSE,"",$B66,VLOOKUP($B66,'PATIENT DATA (072721)'!A:C, 3, 0))</f>
        <v/>
      </c>
      <c r="E66" s="218">
        <v>44574.0</v>
      </c>
      <c r="F66" s="219" t="str">
        <f>ifs($B66="","",$B66, VLOOKUP($B66&amp;$E66, 'VISIT DATA'!A:O,3,0))</f>
        <v/>
      </c>
      <c r="G66" s="231"/>
      <c r="H66" s="221" t="str">
        <f>ifs($B66="","",$B66, VLOOKUP($B66&amp;$E66, 'VISIT DATA'!$A:$O,13,0))</f>
        <v/>
      </c>
      <c r="I66" s="262" t="str">
        <f>VLOOKUP($B66&amp;$E66,'VISIT DATA'!A:J, 9, FALSE)</f>
        <v>#N/A</v>
      </c>
      <c r="J66" s="223" t="str">
        <f>VLOOKUP(B66&amp;E66,'VISIT DATA'!A:N,10,FALSE)</f>
        <v>#N/A</v>
      </c>
      <c r="K66" s="225"/>
      <c r="L66" s="224"/>
      <c r="M66" s="224"/>
      <c r="N66" s="225"/>
      <c r="O66" s="216" t="str">
        <f t="shared" si="1"/>
        <v>X</v>
      </c>
      <c r="P66" s="226" t="str">
        <f t="shared" si="2"/>
        <v>#N/A</v>
      </c>
      <c r="Q66" s="227" t="str">
        <f t="shared" si="3"/>
        <v>#N/A</v>
      </c>
      <c r="R66" s="228" t="str">
        <f t="shared" si="4"/>
        <v>#N/A</v>
      </c>
      <c r="S66" s="220" t="str">
        <f t="shared" si="5"/>
        <v>#N/A</v>
      </c>
      <c r="T66" s="220" t="str">
        <f t="shared" si="6"/>
        <v>#N/A</v>
      </c>
      <c r="U66" s="221">
        <f t="shared" si="7"/>
        <v>0</v>
      </c>
      <c r="V66" s="229" t="str">
        <f>ifs($N66="",VLOOKUP($B66&amp;$E66,'VISIT DATA'!$A$2:$J100,7,FALSE), $N66="SWAB","OUTSA-RW",$N66="SWQU","OUTSA-SaQu", AND($L66="X",$M66="X",$N66="QUEST"),"OUT-UAQPre",$N66="QUEST","OUT-UAQ", $N66="Walk in","ColUATele")</f>
        <v>#N/A</v>
      </c>
      <c r="W66" s="24" t="str">
        <f t="shared" si="8"/>
        <v>#N/A</v>
      </c>
      <c r="X66" s="222" t="str">
        <f t="shared" si="9"/>
        <v/>
      </c>
      <c r="Y66" s="222" t="str">
        <f t="shared" si="10"/>
        <v/>
      </c>
      <c r="Z66" s="224" t="str">
        <f t="shared" si="11"/>
        <v> </v>
      </c>
      <c r="AA66" s="244"/>
    </row>
    <row r="67" hidden="1">
      <c r="A67" s="214" t="str">
        <f>IFS($B67=FALSE,"",$B67,VLOOKUP($B67,'PATIENT DATA (072721)'!A:C, 2, 0))</f>
        <v/>
      </c>
      <c r="B67" s="215"/>
      <c r="C67" s="230" t="str">
        <f>IF(COUNTIF('PATIENT DATA (072721)'!A:A, B67)=0, "X","✓")</f>
        <v>X</v>
      </c>
      <c r="D67" s="226" t="str">
        <f>IFS($B67=FALSE,"",$B67,VLOOKUP($B67,'PATIENT DATA (072721)'!A:C, 3, 0))</f>
        <v/>
      </c>
      <c r="E67" s="218">
        <v>44574.0</v>
      </c>
      <c r="F67" s="219" t="str">
        <f>ifs($B67="","",$B67, VLOOKUP($B67&amp;$E67, 'VISIT DATA'!A:O,3,0))</f>
        <v/>
      </c>
      <c r="G67" s="231"/>
      <c r="H67" s="221" t="str">
        <f>ifs($B67="","",$B67, VLOOKUP($B67&amp;$E67, 'VISIT DATA'!$A:$O,13,0))</f>
        <v/>
      </c>
      <c r="I67" s="262" t="str">
        <f>VLOOKUP($B67&amp;$E67,'VISIT DATA'!A:J, 9, FALSE)</f>
        <v>#N/A</v>
      </c>
      <c r="J67" s="223" t="str">
        <f>VLOOKUP(B67&amp;E67,'VISIT DATA'!A:N,10,FALSE)</f>
        <v>#N/A</v>
      </c>
      <c r="K67" s="225"/>
      <c r="L67" s="224"/>
      <c r="M67" s="224"/>
      <c r="N67" s="225"/>
      <c r="O67" s="216" t="str">
        <f t="shared" si="1"/>
        <v>X</v>
      </c>
      <c r="P67" s="226" t="str">
        <f t="shared" si="2"/>
        <v>#N/A</v>
      </c>
      <c r="Q67" s="227" t="str">
        <f t="shared" si="3"/>
        <v>#N/A</v>
      </c>
      <c r="R67" s="228" t="str">
        <f t="shared" si="4"/>
        <v>#N/A</v>
      </c>
      <c r="S67" s="220" t="str">
        <f t="shared" si="5"/>
        <v>#N/A</v>
      </c>
      <c r="T67" s="220" t="str">
        <f t="shared" si="6"/>
        <v>#N/A</v>
      </c>
      <c r="U67" s="221">
        <f t="shared" si="7"/>
        <v>0</v>
      </c>
      <c r="V67" s="229" t="str">
        <f>ifs($N67="",VLOOKUP($B67&amp;$E67,'VISIT DATA'!$A$2:$J100,7,FALSE), $N67="SWAB","OUTSA-RW",$N67="SWQU","OUTSA-SaQu", AND($L67="X",$M67="X",$N67="QUEST"),"OUT-UAQPre",$N67="QUEST","OUT-UAQ", $N67="Walk in","ColUATele")</f>
        <v>#N/A</v>
      </c>
      <c r="W67" s="24" t="str">
        <f t="shared" si="8"/>
        <v>#N/A</v>
      </c>
      <c r="X67" s="222" t="str">
        <f t="shared" si="9"/>
        <v/>
      </c>
      <c r="Y67" s="222" t="str">
        <f t="shared" si="10"/>
        <v/>
      </c>
      <c r="Z67" s="224" t="str">
        <f t="shared" si="11"/>
        <v> </v>
      </c>
      <c r="AA67" s="244"/>
    </row>
    <row r="68" hidden="1">
      <c r="A68" s="214" t="str">
        <f>IFS($B68=FALSE,"",$B68,VLOOKUP($B68,'PATIENT DATA (072721)'!A:C, 2, 0))</f>
        <v/>
      </c>
      <c r="B68" s="215"/>
      <c r="C68" s="230" t="str">
        <f>IF(COUNTIF('PATIENT DATA (072721)'!A:A, B68)=0, "X","✓")</f>
        <v>X</v>
      </c>
      <c r="D68" s="226" t="str">
        <f>IFS($B68=FALSE,"",$B68,VLOOKUP($B68,'PATIENT DATA (072721)'!A:C, 3, 0))</f>
        <v/>
      </c>
      <c r="E68" s="218">
        <v>44574.0</v>
      </c>
      <c r="F68" s="219" t="str">
        <f>ifs($B68="","",$B68, VLOOKUP($B68&amp;$E68, 'VISIT DATA'!A:O,3,0))</f>
        <v/>
      </c>
      <c r="G68" s="231"/>
      <c r="H68" s="221" t="str">
        <f>ifs($B68="","",$B68, VLOOKUP($B68&amp;$E68, 'VISIT DATA'!$A:$O,13,0))</f>
        <v/>
      </c>
      <c r="I68" s="262" t="str">
        <f>VLOOKUP($B68&amp;$E68,'VISIT DATA'!A:J, 9, FALSE)</f>
        <v>#N/A</v>
      </c>
      <c r="J68" s="223" t="str">
        <f>VLOOKUP(B68&amp;E68,'VISIT DATA'!A:N,10,FALSE)</f>
        <v>#N/A</v>
      </c>
      <c r="K68" s="225"/>
      <c r="L68" s="224"/>
      <c r="M68" s="224"/>
      <c r="N68" s="225"/>
      <c r="O68" s="216" t="str">
        <f t="shared" si="1"/>
        <v>X</v>
      </c>
      <c r="P68" s="226" t="str">
        <f t="shared" si="2"/>
        <v>#N/A</v>
      </c>
      <c r="Q68" s="227" t="str">
        <f t="shared" si="3"/>
        <v>#N/A</v>
      </c>
      <c r="R68" s="228" t="str">
        <f t="shared" si="4"/>
        <v>#N/A</v>
      </c>
      <c r="S68" s="220" t="str">
        <f t="shared" si="5"/>
        <v>#N/A</v>
      </c>
      <c r="T68" s="220" t="str">
        <f t="shared" si="6"/>
        <v>#N/A</v>
      </c>
      <c r="U68" s="221">
        <f t="shared" si="7"/>
        <v>0</v>
      </c>
      <c r="V68" s="229" t="str">
        <f>ifs($N68="",VLOOKUP($B68&amp;$E68,'VISIT DATA'!$A$2:$J100,7,FALSE), $N68="SWAB","OUTSA-RW",$N68="SWQU","OUTSA-SaQu", AND($L68="X",$M68="X",$N68="QUEST"),"OUT-UAQPre",$N68="QUEST","OUT-UAQ", $N68="Walk in","ColUATele")</f>
        <v>#N/A</v>
      </c>
      <c r="W68" s="24" t="str">
        <f t="shared" si="8"/>
        <v>#N/A</v>
      </c>
      <c r="X68" s="222" t="str">
        <f t="shared" si="9"/>
        <v/>
      </c>
      <c r="Y68" s="222" t="str">
        <f t="shared" si="10"/>
        <v/>
      </c>
      <c r="Z68" s="224" t="str">
        <f t="shared" si="11"/>
        <v> </v>
      </c>
      <c r="AA68" s="244"/>
    </row>
    <row r="69" hidden="1">
      <c r="A69" s="214" t="str">
        <f>IFS($B69=FALSE,"",$B69,VLOOKUP($B69,'PATIENT DATA (072721)'!A:C, 2, 0))</f>
        <v/>
      </c>
      <c r="B69" s="215"/>
      <c r="C69" s="230" t="str">
        <f>IF(COUNTIF('PATIENT DATA (072721)'!A:A, B69)=0, "X","✓")</f>
        <v>X</v>
      </c>
      <c r="D69" s="226" t="str">
        <f>IFS($B69=FALSE,"",$B69,VLOOKUP($B69,'PATIENT DATA (072721)'!A:C, 3, 0))</f>
        <v/>
      </c>
      <c r="E69" s="218">
        <v>44574.0</v>
      </c>
      <c r="F69" s="219" t="str">
        <f>ifs($B69="","",$B69, VLOOKUP($B69&amp;$E69, 'VISIT DATA'!A:O,3,0))</f>
        <v/>
      </c>
      <c r="G69" s="231"/>
      <c r="H69" s="221" t="str">
        <f>ifs($B69="","",$B69, VLOOKUP($B69&amp;$E69, 'VISIT DATA'!$A:$O,13,0))</f>
        <v/>
      </c>
      <c r="I69" s="262" t="str">
        <f>VLOOKUP($B69&amp;$E69,'VISIT DATA'!A:J, 9, FALSE)</f>
        <v>#N/A</v>
      </c>
      <c r="J69" s="223" t="str">
        <f>VLOOKUP(B69&amp;E69,'VISIT DATA'!A:N,10,FALSE)</f>
        <v>#N/A</v>
      </c>
      <c r="K69" s="224"/>
      <c r="L69" s="224"/>
      <c r="M69" s="224"/>
      <c r="N69" s="225"/>
      <c r="O69" s="216" t="str">
        <f t="shared" si="1"/>
        <v>X</v>
      </c>
      <c r="P69" s="226" t="str">
        <f t="shared" si="2"/>
        <v>#N/A</v>
      </c>
      <c r="Q69" s="227" t="str">
        <f t="shared" si="3"/>
        <v>#N/A</v>
      </c>
      <c r="R69" s="228" t="str">
        <f t="shared" si="4"/>
        <v>#N/A</v>
      </c>
      <c r="S69" s="220" t="str">
        <f t="shared" si="5"/>
        <v>#N/A</v>
      </c>
      <c r="T69" s="220" t="str">
        <f t="shared" si="6"/>
        <v>#N/A</v>
      </c>
      <c r="U69" s="221">
        <f t="shared" si="7"/>
        <v>0</v>
      </c>
      <c r="V69" s="229" t="str">
        <f>ifs($N69="",VLOOKUP($B69&amp;$E69,'VISIT DATA'!$A$2:$J100,7,FALSE), $N69="SWAB","OUTSA-RW",$N69="SWQU","OUTSA-SaQu", AND($L69="X",$M69="X",$N69="QUEST"),"OUT-UAQPre",$N69="QUEST","OUT-UAQ", $N69="Walk in","ColUATele")</f>
        <v>#N/A</v>
      </c>
      <c r="W69" s="24" t="str">
        <f t="shared" si="8"/>
        <v>#N/A</v>
      </c>
      <c r="X69" s="222" t="str">
        <f t="shared" si="9"/>
        <v/>
      </c>
      <c r="Y69" s="222" t="str">
        <f t="shared" si="10"/>
        <v/>
      </c>
      <c r="Z69" s="224" t="str">
        <f t="shared" si="11"/>
        <v> </v>
      </c>
      <c r="AA69" s="244"/>
    </row>
    <row r="70" hidden="1">
      <c r="A70" s="214" t="str">
        <f>IFS($B70=FALSE,"",$B70,VLOOKUP($B70,'PATIENT DATA (072721)'!A:C, 2, 0))</f>
        <v/>
      </c>
      <c r="B70" s="215"/>
      <c r="C70" s="230" t="str">
        <f>IF(COUNTIF('PATIENT DATA (072721)'!A:A, B70)=0, "X","✓")</f>
        <v>X</v>
      </c>
      <c r="D70" s="226" t="str">
        <f>IFS($B70=FALSE,"",$B70,VLOOKUP($B70,'PATIENT DATA (072721)'!A:C, 3, 0))</f>
        <v/>
      </c>
      <c r="E70" s="218">
        <v>44574.0</v>
      </c>
      <c r="F70" s="219" t="str">
        <f>ifs($B70="","",$B70, VLOOKUP($B70&amp;$E70, 'VISIT DATA'!A:O,3,0))</f>
        <v/>
      </c>
      <c r="G70" s="231"/>
      <c r="H70" s="221" t="str">
        <f>ifs($B70="","",$B70, VLOOKUP($B70&amp;$E70, 'VISIT DATA'!$A:$O,13,0))</f>
        <v/>
      </c>
      <c r="I70" s="262" t="str">
        <f>VLOOKUP($B70&amp;$E70,'VISIT DATA'!A:J, 9, FALSE)</f>
        <v>#N/A</v>
      </c>
      <c r="J70" s="223" t="str">
        <f>VLOOKUP(B70&amp;E70,'VISIT DATA'!A:N,10,FALSE)</f>
        <v>#N/A</v>
      </c>
      <c r="K70" s="224"/>
      <c r="L70" s="224"/>
      <c r="M70" s="224"/>
      <c r="N70" s="225"/>
      <c r="O70" s="216" t="str">
        <f t="shared" si="1"/>
        <v>X</v>
      </c>
      <c r="P70" s="226" t="str">
        <f t="shared" si="2"/>
        <v>#N/A</v>
      </c>
      <c r="Q70" s="227" t="str">
        <f t="shared" si="3"/>
        <v>#N/A</v>
      </c>
      <c r="R70" s="228" t="str">
        <f t="shared" si="4"/>
        <v>#N/A</v>
      </c>
      <c r="S70" s="220" t="str">
        <f t="shared" si="5"/>
        <v>#N/A</v>
      </c>
      <c r="T70" s="220" t="str">
        <f t="shared" si="6"/>
        <v>#N/A</v>
      </c>
      <c r="U70" s="221">
        <f t="shared" si="7"/>
        <v>0</v>
      </c>
      <c r="V70" s="229" t="str">
        <f>ifs($N70="",VLOOKUP($B70&amp;$E70,'VISIT DATA'!$A$2:$J100,7,FALSE), $N70="SWAB","OUTSA-RW",$N70="SWQU","OUTSA-SaQu", AND($L70="X",$M70="X",$N70="QUEST"),"OUT-UAQPre",$N70="QUEST","OUT-UAQ", $N70="Walk in","ColUATele")</f>
        <v>#N/A</v>
      </c>
      <c r="W70" s="24" t="str">
        <f t="shared" si="8"/>
        <v>#N/A</v>
      </c>
      <c r="X70" s="222" t="str">
        <f t="shared" si="9"/>
        <v/>
      </c>
      <c r="Y70" s="222" t="str">
        <f t="shared" si="10"/>
        <v/>
      </c>
      <c r="Z70" s="224" t="str">
        <f t="shared" si="11"/>
        <v> </v>
      </c>
      <c r="AA70" s="244"/>
    </row>
    <row r="71" hidden="1">
      <c r="A71" s="214" t="str">
        <f>IFS($B71=FALSE,"",$B71,VLOOKUP($B71,'PATIENT DATA (072721)'!A:C, 2, 0))</f>
        <v/>
      </c>
      <c r="B71" s="215"/>
      <c r="C71" s="230" t="str">
        <f>IF(COUNTIF('PATIENT DATA (072721)'!A:A, B71)=0, "X","✓")</f>
        <v>X</v>
      </c>
      <c r="D71" s="226" t="str">
        <f>IFS($B71=FALSE,"",$B71,VLOOKUP($B71,'PATIENT DATA (072721)'!A:C, 3, 0))</f>
        <v/>
      </c>
      <c r="E71" s="218">
        <v>44574.0</v>
      </c>
      <c r="F71" s="219" t="str">
        <f>ifs($B71="","",$B71, VLOOKUP($B71&amp;$E71, 'VISIT DATA'!A:O,3,0))</f>
        <v/>
      </c>
      <c r="G71" s="231"/>
      <c r="H71" s="221" t="str">
        <f>ifs($B71="","",$B71, VLOOKUP($B71&amp;$E71, 'VISIT DATA'!$A:$O,13,0))</f>
        <v/>
      </c>
      <c r="I71" s="262" t="str">
        <f>VLOOKUP($B71&amp;$E71,'VISIT DATA'!A:J, 9, FALSE)</f>
        <v>#N/A</v>
      </c>
      <c r="J71" s="223" t="str">
        <f>VLOOKUP(B71&amp;E71,'VISIT DATA'!A:N,10,FALSE)</f>
        <v>#N/A</v>
      </c>
      <c r="K71" s="225"/>
      <c r="L71" s="224"/>
      <c r="M71" s="224"/>
      <c r="N71" s="225"/>
      <c r="O71" s="216" t="str">
        <f t="shared" si="1"/>
        <v>X</v>
      </c>
      <c r="P71" s="226" t="str">
        <f t="shared" si="2"/>
        <v>#N/A</v>
      </c>
      <c r="Q71" s="227" t="str">
        <f t="shared" si="3"/>
        <v>#N/A</v>
      </c>
      <c r="R71" s="228" t="str">
        <f t="shared" si="4"/>
        <v>#N/A</v>
      </c>
      <c r="S71" s="220" t="str">
        <f t="shared" si="5"/>
        <v>#N/A</v>
      </c>
      <c r="T71" s="220" t="str">
        <f t="shared" si="6"/>
        <v>#N/A</v>
      </c>
      <c r="U71" s="221">
        <f t="shared" si="7"/>
        <v>0</v>
      </c>
      <c r="V71" s="229" t="str">
        <f>ifs($N71="",VLOOKUP($B71&amp;$E71,'VISIT DATA'!$A$2:$J100,7,FALSE), $N71="SWAB","OUTSA-RW",$N71="SWQU","OUTSA-SaQu", AND($L71="X",$M71="X",$N71="QUEST"),"OUT-UAQPre",$N71="QUEST","OUT-UAQ", $N71="Walk in","ColUATele")</f>
        <v>#N/A</v>
      </c>
      <c r="W71" s="24" t="str">
        <f t="shared" si="8"/>
        <v>#N/A</v>
      </c>
      <c r="X71" s="222" t="str">
        <f t="shared" si="9"/>
        <v/>
      </c>
      <c r="Y71" s="222" t="str">
        <f t="shared" si="10"/>
        <v/>
      </c>
      <c r="Z71" s="224" t="str">
        <f t="shared" si="11"/>
        <v> </v>
      </c>
      <c r="AA71" s="244"/>
    </row>
    <row r="72" hidden="1">
      <c r="A72" s="214" t="str">
        <f>IFS($B72=FALSE,"",$B72,VLOOKUP($B72,'PATIENT DATA (072721)'!A:C, 2, 0))</f>
        <v/>
      </c>
      <c r="B72" s="215"/>
      <c r="C72" s="230" t="str">
        <f>IF(COUNTIF('PATIENT DATA (072721)'!A:A, B72)=0, "X","✓")</f>
        <v>X</v>
      </c>
      <c r="D72" s="226" t="str">
        <f>IFS($B72=FALSE,"",$B72,VLOOKUP($B72,'PATIENT DATA (072721)'!A:C, 3, 0))</f>
        <v/>
      </c>
      <c r="E72" s="218">
        <v>44574.0</v>
      </c>
      <c r="F72" s="219" t="str">
        <f>ifs($B72="","",$B72, VLOOKUP($B72&amp;$E72, 'VISIT DATA'!A:O,3,0))</f>
        <v/>
      </c>
      <c r="G72" s="231"/>
      <c r="H72" s="221" t="str">
        <f>ifs($B72="","",$B72, VLOOKUP($B72&amp;$E72, 'VISIT DATA'!$A:$O,13,0))</f>
        <v/>
      </c>
      <c r="I72" s="262" t="str">
        <f>VLOOKUP($B72&amp;$E72,'VISIT DATA'!A:J, 9, FALSE)</f>
        <v>#N/A</v>
      </c>
      <c r="J72" s="223" t="str">
        <f>VLOOKUP(B72&amp;E72,'VISIT DATA'!A:N,10,FALSE)</f>
        <v>#N/A</v>
      </c>
      <c r="K72" s="225"/>
      <c r="L72" s="224"/>
      <c r="M72" s="224"/>
      <c r="N72" s="225"/>
      <c r="O72" s="216" t="str">
        <f t="shared" si="1"/>
        <v>X</v>
      </c>
      <c r="P72" s="226" t="str">
        <f t="shared" si="2"/>
        <v>#N/A</v>
      </c>
      <c r="Q72" s="227" t="str">
        <f t="shared" si="3"/>
        <v>#N/A</v>
      </c>
      <c r="R72" s="228" t="str">
        <f t="shared" si="4"/>
        <v>#N/A</v>
      </c>
      <c r="S72" s="220" t="str">
        <f t="shared" si="5"/>
        <v>#N/A</v>
      </c>
      <c r="T72" s="220" t="str">
        <f t="shared" si="6"/>
        <v>#N/A</v>
      </c>
      <c r="U72" s="221">
        <f t="shared" si="7"/>
        <v>0</v>
      </c>
      <c r="V72" s="229" t="str">
        <f>ifs($N72="",VLOOKUP($B72&amp;$E72,'VISIT DATA'!$A$2:$J100,7,FALSE), $N72="SWAB","OUTSA-RW",$N72="SWQU","OUTSA-SaQu", AND($L72="X",$M72="X",$N72="QUEST"),"OUT-UAQPre",$N72="QUEST","OUT-UAQ", $N72="Walk in","ColUATele")</f>
        <v>#N/A</v>
      </c>
      <c r="W72" s="24" t="str">
        <f t="shared" si="8"/>
        <v>#N/A</v>
      </c>
      <c r="X72" s="222" t="str">
        <f t="shared" si="9"/>
        <v/>
      </c>
      <c r="Y72" s="222" t="str">
        <f t="shared" si="10"/>
        <v/>
      </c>
      <c r="Z72" s="224" t="str">
        <f t="shared" si="11"/>
        <v> </v>
      </c>
      <c r="AA72" s="244"/>
    </row>
    <row r="73" hidden="1">
      <c r="A73" s="214" t="str">
        <f>IFS($B73=FALSE,"",$B73,VLOOKUP($B73,'PATIENT DATA (072721)'!A:C, 2, 0))</f>
        <v/>
      </c>
      <c r="B73" s="215"/>
      <c r="C73" s="230" t="str">
        <f>IF(COUNTIF('PATIENT DATA (072721)'!A:A, B73)=0, "X","✓")</f>
        <v>X</v>
      </c>
      <c r="D73" s="226" t="str">
        <f>IFS($B73=FALSE,"",$B73,VLOOKUP($B73,'PATIENT DATA (072721)'!A:C, 3, 0))</f>
        <v/>
      </c>
      <c r="E73" s="218">
        <v>44574.0</v>
      </c>
      <c r="F73" s="219" t="str">
        <f>ifs($B73="","",$B73, VLOOKUP($B73&amp;$E73, 'VISIT DATA'!A:O,3,0))</f>
        <v/>
      </c>
      <c r="G73" s="231"/>
      <c r="H73" s="221" t="str">
        <f>ifs($B73="","",$B73, VLOOKUP($B73&amp;$E73, 'VISIT DATA'!$A:$O,13,0))</f>
        <v/>
      </c>
      <c r="I73" s="262" t="str">
        <f>VLOOKUP($B73&amp;$E73,'VISIT DATA'!A:J, 9, FALSE)</f>
        <v>#N/A</v>
      </c>
      <c r="J73" s="223" t="str">
        <f>VLOOKUP(B73&amp;E73,'VISIT DATA'!A:N,10,FALSE)</f>
        <v>#N/A</v>
      </c>
      <c r="K73" s="225"/>
      <c r="L73" s="224"/>
      <c r="M73" s="224"/>
      <c r="N73" s="225"/>
      <c r="O73" s="216" t="str">
        <f t="shared" si="1"/>
        <v>X</v>
      </c>
      <c r="P73" s="226" t="str">
        <f t="shared" si="2"/>
        <v>#N/A</v>
      </c>
      <c r="Q73" s="227" t="str">
        <f t="shared" si="3"/>
        <v>#N/A</v>
      </c>
      <c r="R73" s="228" t="str">
        <f t="shared" si="4"/>
        <v>#N/A</v>
      </c>
      <c r="S73" s="220" t="str">
        <f t="shared" si="5"/>
        <v>#N/A</v>
      </c>
      <c r="T73" s="220" t="str">
        <f t="shared" si="6"/>
        <v>#N/A</v>
      </c>
      <c r="U73" s="221">
        <f t="shared" si="7"/>
        <v>0</v>
      </c>
      <c r="V73" s="229" t="str">
        <f>ifs($N73="",VLOOKUP($B73&amp;$E73,'VISIT DATA'!$A$2:$J100,7,FALSE), $N73="SWAB","OUTSA-RW",$N73="SWQU","OUTSA-SaQu", AND($L73="X",$M73="X",$N73="QUEST"),"OUT-UAQPre",$N73="QUEST","OUT-UAQ", $N73="Walk in","ColUATele")</f>
        <v>#N/A</v>
      </c>
      <c r="W73" s="24" t="str">
        <f t="shared" si="8"/>
        <v>#N/A</v>
      </c>
      <c r="X73" s="222" t="str">
        <f t="shared" si="9"/>
        <v/>
      </c>
      <c r="Y73" s="222" t="str">
        <f t="shared" si="10"/>
        <v/>
      </c>
      <c r="Z73" s="224" t="str">
        <f t="shared" si="11"/>
        <v> </v>
      </c>
      <c r="AA73" s="244"/>
    </row>
    <row r="74" hidden="1">
      <c r="A74" s="214" t="str">
        <f>IFS($B74=FALSE,"",$B74,VLOOKUP($B74,'PATIENT DATA (072721)'!A:C, 2, 0))</f>
        <v/>
      </c>
      <c r="B74" s="215"/>
      <c r="C74" s="230" t="str">
        <f>IF(COUNTIF('PATIENT DATA (072721)'!A:A, B74)=0, "X","✓")</f>
        <v>X</v>
      </c>
      <c r="D74" s="226" t="str">
        <f>IFS($B74=FALSE,"",$B74,VLOOKUP($B74,'PATIENT DATA (072721)'!A:C, 3, 0))</f>
        <v/>
      </c>
      <c r="E74" s="218">
        <v>44574.0</v>
      </c>
      <c r="F74" s="219" t="str">
        <f>ifs($B74="","",$B74, VLOOKUP($B74&amp;$E74, 'VISIT DATA'!A:O,3,0))</f>
        <v/>
      </c>
      <c r="G74" s="231"/>
      <c r="H74" s="221" t="str">
        <f>ifs($B74="","",$B74, VLOOKUP($B74&amp;$E74, 'VISIT DATA'!$A:$O,13,0))</f>
        <v/>
      </c>
      <c r="I74" s="262" t="str">
        <f>VLOOKUP($B74&amp;$E74,'VISIT DATA'!A:J, 9, FALSE)</f>
        <v>#N/A</v>
      </c>
      <c r="J74" s="223" t="str">
        <f>VLOOKUP(B74&amp;E74,'VISIT DATA'!A:N,10,FALSE)</f>
        <v>#N/A</v>
      </c>
      <c r="K74" s="225"/>
      <c r="L74" s="224"/>
      <c r="M74" s="224"/>
      <c r="N74" s="225"/>
      <c r="O74" s="216" t="str">
        <f t="shared" si="1"/>
        <v>X</v>
      </c>
      <c r="P74" s="226" t="str">
        <f t="shared" si="2"/>
        <v>#N/A</v>
      </c>
      <c r="Q74" s="227" t="str">
        <f t="shared" si="3"/>
        <v>#N/A</v>
      </c>
      <c r="R74" s="228" t="str">
        <f t="shared" si="4"/>
        <v>#N/A</v>
      </c>
      <c r="S74" s="220" t="str">
        <f t="shared" si="5"/>
        <v>#N/A</v>
      </c>
      <c r="T74" s="220" t="str">
        <f t="shared" si="6"/>
        <v>#N/A</v>
      </c>
      <c r="U74" s="221">
        <f t="shared" si="7"/>
        <v>0</v>
      </c>
      <c r="V74" s="229" t="str">
        <f>ifs($N74="",VLOOKUP($B74&amp;$E74,'VISIT DATA'!$A$2:$J100,7,FALSE), $N74="SWAB","OUTSA-RW",$N74="SWQU","OUTSA-SaQu", AND($L74="X",$M74="X",$N74="QUEST"),"OUT-UAQPre",$N74="QUEST","OUT-UAQ", $N74="Walk in","ColUATele")</f>
        <v>#N/A</v>
      </c>
      <c r="W74" s="24" t="str">
        <f t="shared" si="8"/>
        <v>#N/A</v>
      </c>
      <c r="X74" s="222" t="str">
        <f t="shared" si="9"/>
        <v/>
      </c>
      <c r="Y74" s="222" t="str">
        <f t="shared" si="10"/>
        <v/>
      </c>
      <c r="Z74" s="224" t="str">
        <f t="shared" si="11"/>
        <v> </v>
      </c>
      <c r="AA74" s="244"/>
    </row>
    <row r="75" hidden="1">
      <c r="A75" s="214" t="str">
        <f>IFS($B75=FALSE,"",$B75,VLOOKUP($B75,'PATIENT DATA (072721)'!A:C, 2, 0))</f>
        <v/>
      </c>
      <c r="B75" s="215"/>
      <c r="C75" s="230" t="str">
        <f>IF(COUNTIF('PATIENT DATA (072721)'!A:A, B75)=0, "X","✓")</f>
        <v>X</v>
      </c>
      <c r="D75" s="226" t="str">
        <f>IFS($B75=FALSE,"",$B75,VLOOKUP($B75,'PATIENT DATA (072721)'!A:C, 3, 0))</f>
        <v/>
      </c>
      <c r="E75" s="218">
        <v>44574.0</v>
      </c>
      <c r="F75" s="219" t="str">
        <f>ifs($B75="","",$B75, VLOOKUP($B75&amp;$E75, 'VISIT DATA'!A:O,3,0))</f>
        <v/>
      </c>
      <c r="G75" s="231"/>
      <c r="H75" s="221" t="str">
        <f>ifs($B75="","",$B75, VLOOKUP($B75&amp;$E75, 'VISIT DATA'!$A:$O,13,0))</f>
        <v/>
      </c>
      <c r="I75" s="262" t="str">
        <f>VLOOKUP($B75&amp;$E75,'VISIT DATA'!A:J, 9, FALSE)</f>
        <v>#N/A</v>
      </c>
      <c r="J75" s="223" t="str">
        <f>VLOOKUP(B75&amp;E75,'VISIT DATA'!A:N,10,FALSE)</f>
        <v>#N/A</v>
      </c>
      <c r="K75" s="225"/>
      <c r="L75" s="224"/>
      <c r="M75" s="224"/>
      <c r="N75" s="225"/>
      <c r="O75" s="216" t="str">
        <f t="shared" si="1"/>
        <v>X</v>
      </c>
      <c r="P75" s="226" t="str">
        <f t="shared" si="2"/>
        <v>#N/A</v>
      </c>
      <c r="Q75" s="227" t="str">
        <f t="shared" si="3"/>
        <v>#N/A</v>
      </c>
      <c r="R75" s="228" t="str">
        <f t="shared" si="4"/>
        <v>#N/A</v>
      </c>
      <c r="S75" s="220" t="str">
        <f t="shared" si="5"/>
        <v>#N/A</v>
      </c>
      <c r="T75" s="220" t="str">
        <f t="shared" si="6"/>
        <v>#N/A</v>
      </c>
      <c r="U75" s="221">
        <f t="shared" si="7"/>
        <v>0</v>
      </c>
      <c r="V75" s="229" t="str">
        <f>ifs($N75="",VLOOKUP($B75&amp;$E75,'VISIT DATA'!$A$2:$J100,7,FALSE), $N75="SWAB","OUTSA-RW",$N75="SWQU","OUTSA-SaQu", AND($L75="X",$M75="X",$N75="QUEST"),"OUT-UAQPre",$N75="QUEST","OUT-UAQ", $N75="Walk in","ColUATele")</f>
        <v>#N/A</v>
      </c>
      <c r="W75" s="24" t="str">
        <f t="shared" si="8"/>
        <v>#N/A</v>
      </c>
      <c r="X75" s="222" t="str">
        <f t="shared" si="9"/>
        <v/>
      </c>
      <c r="Y75" s="222" t="str">
        <f t="shared" si="10"/>
        <v/>
      </c>
      <c r="Z75" s="224" t="str">
        <f t="shared" si="11"/>
        <v> </v>
      </c>
      <c r="AA75" s="244"/>
    </row>
    <row r="76" hidden="1">
      <c r="A76" s="214" t="str">
        <f>IFS($B76=FALSE,"",$B76,VLOOKUP($B76,'PATIENT DATA (072721)'!A:C, 2, 0))</f>
        <v/>
      </c>
      <c r="B76" s="215"/>
      <c r="C76" s="230" t="str">
        <f>IF(COUNTIF('PATIENT DATA (072721)'!A:A, B76)=0, "X","✓")</f>
        <v>X</v>
      </c>
      <c r="D76" s="226" t="str">
        <f>IFS($B76=FALSE,"",$B76,VLOOKUP($B76,'PATIENT DATA (072721)'!A:C, 3, 0))</f>
        <v/>
      </c>
      <c r="E76" s="218">
        <v>44574.0</v>
      </c>
      <c r="F76" s="219" t="str">
        <f>ifs($B76="","",$B76, VLOOKUP($B76&amp;$E76, 'VISIT DATA'!A:O,3,0))</f>
        <v/>
      </c>
      <c r="G76" s="231"/>
      <c r="H76" s="221" t="str">
        <f>ifs($B76="","",$B76, VLOOKUP($B76&amp;$E76, 'VISIT DATA'!$A:$O,13,0))</f>
        <v/>
      </c>
      <c r="I76" s="262" t="str">
        <f>VLOOKUP($B76&amp;$E76,'VISIT DATA'!A:J, 9, FALSE)</f>
        <v>#N/A</v>
      </c>
      <c r="J76" s="223" t="str">
        <f>VLOOKUP(B76&amp;E76,'VISIT DATA'!A:N,10,FALSE)</f>
        <v>#N/A</v>
      </c>
      <c r="K76" s="225"/>
      <c r="L76" s="224"/>
      <c r="M76" s="224"/>
      <c r="N76" s="225"/>
      <c r="O76" s="216" t="str">
        <f t="shared" si="1"/>
        <v>X</v>
      </c>
      <c r="P76" s="226" t="str">
        <f t="shared" si="2"/>
        <v>#N/A</v>
      </c>
      <c r="Q76" s="227" t="str">
        <f t="shared" si="3"/>
        <v>#N/A</v>
      </c>
      <c r="R76" s="228" t="str">
        <f t="shared" si="4"/>
        <v>#N/A</v>
      </c>
      <c r="S76" s="220" t="str">
        <f t="shared" si="5"/>
        <v>#N/A</v>
      </c>
      <c r="T76" s="220" t="str">
        <f t="shared" si="6"/>
        <v>#N/A</v>
      </c>
      <c r="U76" s="221">
        <f t="shared" si="7"/>
        <v>0</v>
      </c>
      <c r="V76" s="229" t="str">
        <f>ifs($N76="",VLOOKUP($B76&amp;$E76,'VISIT DATA'!$A$2:$J100,7,FALSE), $N76="SWAB","OUTSA-RW",$N76="SWQU","OUTSA-SaQu", AND($L76="X",$M76="X",$N76="QUEST"),"OUT-UAQPre",$N76="QUEST","OUT-UAQ", $N76="Walk in","ColUATele")</f>
        <v>#N/A</v>
      </c>
      <c r="W76" s="24" t="str">
        <f t="shared" si="8"/>
        <v>#N/A</v>
      </c>
      <c r="X76" s="222" t="str">
        <f t="shared" si="9"/>
        <v/>
      </c>
      <c r="Y76" s="222" t="str">
        <f t="shared" si="10"/>
        <v/>
      </c>
      <c r="Z76" s="224" t="str">
        <f t="shared" si="11"/>
        <v> </v>
      </c>
      <c r="AA76" s="244"/>
    </row>
    <row r="77" hidden="1">
      <c r="A77" s="214" t="str">
        <f>IFS($B77=FALSE,"",$B77,VLOOKUP($B77,'PATIENT DATA (072721)'!A:C, 2, 0))</f>
        <v/>
      </c>
      <c r="B77" s="215"/>
      <c r="C77" s="230" t="str">
        <f>IF(COUNTIF('PATIENT DATA (072721)'!A:A, B77)=0, "X","✓")</f>
        <v>X</v>
      </c>
      <c r="D77" s="226" t="str">
        <f>IFS($B77=FALSE,"",$B77,VLOOKUP($B77,'PATIENT DATA (072721)'!A:C, 3, 0))</f>
        <v/>
      </c>
      <c r="E77" s="218">
        <v>44574.0</v>
      </c>
      <c r="F77" s="219" t="str">
        <f>ifs($B77="","",$B77, VLOOKUP($B77&amp;$E77, 'VISIT DATA'!A:O,3,0))</f>
        <v/>
      </c>
      <c r="G77" s="231"/>
      <c r="H77" s="221" t="str">
        <f>ifs($B77="","",$B77, VLOOKUP($B77&amp;$E77, 'VISIT DATA'!$A:$O,13,0))</f>
        <v/>
      </c>
      <c r="I77" s="262" t="str">
        <f>VLOOKUP($B77&amp;$E77,'VISIT DATA'!A:J, 9, FALSE)</f>
        <v>#N/A</v>
      </c>
      <c r="J77" s="223" t="str">
        <f>VLOOKUP(B77&amp;E77,'VISIT DATA'!A:N,10,FALSE)</f>
        <v>#N/A</v>
      </c>
      <c r="K77" s="225"/>
      <c r="L77" s="224"/>
      <c r="M77" s="224"/>
      <c r="N77" s="225"/>
      <c r="O77" s="216" t="str">
        <f t="shared" si="1"/>
        <v>X</v>
      </c>
      <c r="P77" s="226" t="str">
        <f t="shared" si="2"/>
        <v>#N/A</v>
      </c>
      <c r="Q77" s="227" t="str">
        <f t="shared" si="3"/>
        <v>#N/A</v>
      </c>
      <c r="R77" s="228" t="str">
        <f t="shared" si="4"/>
        <v>#N/A</v>
      </c>
      <c r="S77" s="220" t="str">
        <f t="shared" si="5"/>
        <v>#N/A</v>
      </c>
      <c r="T77" s="220" t="str">
        <f t="shared" si="6"/>
        <v>#N/A</v>
      </c>
      <c r="U77" s="221">
        <f t="shared" si="7"/>
        <v>0</v>
      </c>
      <c r="V77" s="229" t="str">
        <f>ifs($N77="",VLOOKUP($B77&amp;$E77,'VISIT DATA'!$A$2:$J100,7,FALSE), $N77="SWAB","OUTSA-RW",$N77="SWQU","OUTSA-SaQu", AND($L77="X",$M77="X",$N77="QUEST"),"OUT-UAQPre",$N77="QUEST","OUT-UAQ", $N77="Walk in","ColUATele")</f>
        <v>#N/A</v>
      </c>
      <c r="W77" s="24" t="str">
        <f t="shared" si="8"/>
        <v>#N/A</v>
      </c>
      <c r="X77" s="222" t="str">
        <f t="shared" si="9"/>
        <v/>
      </c>
      <c r="Y77" s="222" t="str">
        <f t="shared" si="10"/>
        <v/>
      </c>
      <c r="Z77" s="224" t="str">
        <f t="shared" si="11"/>
        <v> </v>
      </c>
      <c r="AA77" s="244"/>
    </row>
    <row r="78" hidden="1">
      <c r="A78" s="214" t="str">
        <f>IFS($B78=FALSE,"",$B78,VLOOKUP($B78,'PATIENT DATA (072721)'!A:C, 2, 0))</f>
        <v/>
      </c>
      <c r="B78" s="215"/>
      <c r="C78" s="230" t="str">
        <f>IF(COUNTIF('PATIENT DATA (072721)'!A:A, B78)=0, "X","✓")</f>
        <v>X</v>
      </c>
      <c r="D78" s="226" t="str">
        <f>IFS($B78=FALSE,"",$B78,VLOOKUP($B78,'PATIENT DATA (072721)'!A:C, 3, 0))</f>
        <v/>
      </c>
      <c r="E78" s="218">
        <v>44574.0</v>
      </c>
      <c r="F78" s="219" t="str">
        <f>ifs($B78="","",$B78, VLOOKUP($B78&amp;$E78, 'VISIT DATA'!A:O,3,0))</f>
        <v/>
      </c>
      <c r="G78" s="231"/>
      <c r="H78" s="221" t="str">
        <f>ifs($B78="","",$B78, VLOOKUP($B78&amp;$E78, 'VISIT DATA'!$A:$O,13,0))</f>
        <v/>
      </c>
      <c r="I78" s="262" t="str">
        <f>VLOOKUP($B78&amp;$E78,'VISIT DATA'!A:J, 9, FALSE)</f>
        <v>#N/A</v>
      </c>
      <c r="J78" s="223" t="str">
        <f>VLOOKUP(B78&amp;E78,'VISIT DATA'!A:N,10,FALSE)</f>
        <v>#N/A</v>
      </c>
      <c r="K78" s="225"/>
      <c r="L78" s="224"/>
      <c r="M78" s="224"/>
      <c r="N78" s="225"/>
      <c r="O78" s="216" t="str">
        <f t="shared" si="1"/>
        <v>X</v>
      </c>
      <c r="P78" s="226" t="str">
        <f t="shared" si="2"/>
        <v>#N/A</v>
      </c>
      <c r="Q78" s="227" t="str">
        <f t="shared" si="3"/>
        <v>#N/A</v>
      </c>
      <c r="R78" s="228" t="str">
        <f t="shared" si="4"/>
        <v>#N/A</v>
      </c>
      <c r="S78" s="220" t="str">
        <f t="shared" si="5"/>
        <v>#N/A</v>
      </c>
      <c r="T78" s="220" t="str">
        <f t="shared" si="6"/>
        <v>#N/A</v>
      </c>
      <c r="U78" s="221">
        <f t="shared" si="7"/>
        <v>0</v>
      </c>
      <c r="V78" s="229" t="str">
        <f>ifs($N78="",VLOOKUP($B78&amp;$E78,'VISIT DATA'!$A$2:$J100,7,FALSE), $N78="SWAB","OUTSA-RW",$N78="SWQU","OUTSA-SaQu", AND($L78="X",$M78="X",$N78="QUEST"),"OUT-UAQPre",$N78="QUEST","OUT-UAQ", $N78="Walk in","ColUATele")</f>
        <v>#N/A</v>
      </c>
      <c r="W78" s="24" t="str">
        <f t="shared" si="8"/>
        <v>#N/A</v>
      </c>
      <c r="X78" s="222" t="str">
        <f t="shared" si="9"/>
        <v/>
      </c>
      <c r="Y78" s="222" t="str">
        <f t="shared" si="10"/>
        <v/>
      </c>
      <c r="Z78" s="224" t="str">
        <f t="shared" si="11"/>
        <v> </v>
      </c>
      <c r="AA78" s="244"/>
    </row>
    <row r="79" hidden="1">
      <c r="A79" s="214" t="str">
        <f>IFS($B79=FALSE,"",$B79,VLOOKUP($B79,'PATIENT DATA (072721)'!A:C, 2, 0))</f>
        <v/>
      </c>
      <c r="B79" s="215"/>
      <c r="C79" s="230" t="str">
        <f>IF(COUNTIF('PATIENT DATA (072721)'!A:A, B79)=0, "X","✓")</f>
        <v>X</v>
      </c>
      <c r="D79" s="226" t="str">
        <f>IFS($B79=FALSE,"",$B79,VLOOKUP($B79,'PATIENT DATA (072721)'!A:C, 3, 0))</f>
        <v/>
      </c>
      <c r="E79" s="218">
        <v>44574.0</v>
      </c>
      <c r="F79" s="219" t="str">
        <f>ifs($B79="","",$B79, VLOOKUP($B79&amp;$E79, 'VISIT DATA'!A:O,3,0))</f>
        <v/>
      </c>
      <c r="G79" s="231"/>
      <c r="H79" s="221" t="str">
        <f>ifs($B79="","",$B79, VLOOKUP($B79&amp;$E79, 'VISIT DATA'!$A:$O,13,0))</f>
        <v/>
      </c>
      <c r="I79" s="262" t="str">
        <f>VLOOKUP($B79&amp;$E79,'VISIT DATA'!A:J, 9, FALSE)</f>
        <v>#N/A</v>
      </c>
      <c r="J79" s="223" t="str">
        <f>VLOOKUP(B79&amp;E79,'VISIT DATA'!A:N,10,FALSE)</f>
        <v>#N/A</v>
      </c>
      <c r="K79" s="225"/>
      <c r="L79" s="224"/>
      <c r="M79" s="224"/>
      <c r="N79" s="225"/>
      <c r="O79" s="216" t="str">
        <f t="shared" si="1"/>
        <v>X</v>
      </c>
      <c r="P79" s="226" t="str">
        <f t="shared" si="2"/>
        <v>#N/A</v>
      </c>
      <c r="Q79" s="227" t="str">
        <f t="shared" si="3"/>
        <v>#N/A</v>
      </c>
      <c r="R79" s="228" t="str">
        <f t="shared" si="4"/>
        <v>#N/A</v>
      </c>
      <c r="S79" s="220" t="str">
        <f t="shared" si="5"/>
        <v>#N/A</v>
      </c>
      <c r="T79" s="220" t="str">
        <f t="shared" si="6"/>
        <v>#N/A</v>
      </c>
      <c r="U79" s="221">
        <f t="shared" si="7"/>
        <v>0</v>
      </c>
      <c r="V79" s="229" t="str">
        <f>ifs($N79="",VLOOKUP($B79&amp;$E79,'VISIT DATA'!$A$2:$J100,7,FALSE), $N79="SWAB","OUTSA-RW",$N79="SWQU","OUTSA-SaQu", AND($L79="X",$M79="X",$N79="QUEST"),"OUT-UAQPre",$N79="QUEST","OUT-UAQ", $N79="Walk in","ColUATele")</f>
        <v>#N/A</v>
      </c>
      <c r="W79" s="24" t="str">
        <f t="shared" si="8"/>
        <v>#N/A</v>
      </c>
      <c r="X79" s="222" t="str">
        <f t="shared" si="9"/>
        <v/>
      </c>
      <c r="Y79" s="222" t="str">
        <f t="shared" si="10"/>
        <v/>
      </c>
      <c r="Z79" s="224" t="str">
        <f t="shared" si="11"/>
        <v> </v>
      </c>
      <c r="AA79" s="244"/>
    </row>
    <row r="80" hidden="1">
      <c r="A80" s="214" t="str">
        <f>IFS($B80=FALSE,"",$B80,VLOOKUP($B80,'PATIENT DATA (072721)'!A:C, 2, 0))</f>
        <v/>
      </c>
      <c r="B80" s="215"/>
      <c r="C80" s="230" t="str">
        <f>IF(COUNTIF('PATIENT DATA (072721)'!A:A, B80)=0, "X","✓")</f>
        <v>X</v>
      </c>
      <c r="D80" s="226" t="str">
        <f>IFS($B80=FALSE,"",$B80,VLOOKUP($B80,'PATIENT DATA (072721)'!A:C, 3, 0))</f>
        <v/>
      </c>
      <c r="E80" s="218">
        <v>44574.0</v>
      </c>
      <c r="F80" s="219" t="str">
        <f>ifs($B80="","",$B80, VLOOKUP($B80&amp;$E80, 'VISIT DATA'!A:O,3,0))</f>
        <v/>
      </c>
      <c r="G80" s="231"/>
      <c r="H80" s="221" t="str">
        <f>ifs($B80="","",$B80, VLOOKUP($B80&amp;$E80, 'VISIT DATA'!$A:$O,13,0))</f>
        <v/>
      </c>
      <c r="I80" s="262" t="str">
        <f>VLOOKUP($B80&amp;$E80,'VISIT DATA'!A:J, 9, FALSE)</f>
        <v>#N/A</v>
      </c>
      <c r="J80" s="223" t="str">
        <f>VLOOKUP(B80&amp;E80,'VISIT DATA'!A:N,10,FALSE)</f>
        <v>#N/A</v>
      </c>
      <c r="K80" s="225"/>
      <c r="L80" s="224"/>
      <c r="M80" s="224"/>
      <c r="N80" s="225"/>
      <c r="O80" s="216" t="str">
        <f t="shared" si="1"/>
        <v>X</v>
      </c>
      <c r="P80" s="226" t="str">
        <f t="shared" si="2"/>
        <v>#N/A</v>
      </c>
      <c r="Q80" s="227" t="str">
        <f t="shared" si="3"/>
        <v>#N/A</v>
      </c>
      <c r="R80" s="228" t="str">
        <f t="shared" si="4"/>
        <v>#N/A</v>
      </c>
      <c r="S80" s="220" t="str">
        <f t="shared" si="5"/>
        <v>#N/A</v>
      </c>
      <c r="T80" s="220" t="str">
        <f t="shared" si="6"/>
        <v>#N/A</v>
      </c>
      <c r="U80" s="221">
        <f t="shared" si="7"/>
        <v>0</v>
      </c>
      <c r="V80" s="229" t="str">
        <f>ifs($N80="",VLOOKUP($B80&amp;$E80,'VISIT DATA'!$A$2:$J100,7,FALSE), $N80="SWAB","OUTSA-RW",$N80="SWQU","OUTSA-SaQu", AND($L80="X",$M80="X",$N80="QUEST"),"OUT-UAQPre",$N80="QUEST","OUT-UAQ", $N80="Walk in","ColUATele")</f>
        <v>#N/A</v>
      </c>
      <c r="W80" s="24" t="str">
        <f t="shared" si="8"/>
        <v>#N/A</v>
      </c>
      <c r="X80" s="222" t="str">
        <f t="shared" si="9"/>
        <v/>
      </c>
      <c r="Y80" s="222" t="str">
        <f t="shared" si="10"/>
        <v/>
      </c>
      <c r="Z80" s="224" t="str">
        <f t="shared" si="11"/>
        <v> </v>
      </c>
      <c r="AA80" s="244"/>
    </row>
    <row r="81" hidden="1">
      <c r="A81" s="214" t="str">
        <f>IFS($B81=FALSE,"",$B81,VLOOKUP($B81,'PATIENT DATA (072721)'!A:C, 2, 0))</f>
        <v/>
      </c>
      <c r="B81" s="215"/>
      <c r="C81" s="230" t="str">
        <f>IF(COUNTIF('PATIENT DATA (072721)'!A:A, B81)=0, "X","✓")</f>
        <v>X</v>
      </c>
      <c r="D81" s="226" t="str">
        <f>IFS($B81=FALSE,"",$B81,VLOOKUP($B81,'PATIENT DATA (072721)'!A:C, 3, 0))</f>
        <v/>
      </c>
      <c r="E81" s="218">
        <v>44574.0</v>
      </c>
      <c r="F81" s="219" t="str">
        <f>ifs($B81="","",$B81, VLOOKUP($B81&amp;$E81, 'VISIT DATA'!A:O,3,0))</f>
        <v/>
      </c>
      <c r="G81" s="231"/>
      <c r="H81" s="221" t="str">
        <f>ifs($B81="","",$B81, VLOOKUP($B81&amp;$E81, 'VISIT DATA'!$A:$O,13,0))</f>
        <v/>
      </c>
      <c r="I81" s="262" t="str">
        <f>VLOOKUP($B81&amp;$E81,'VISIT DATA'!A:J, 9, FALSE)</f>
        <v>#N/A</v>
      </c>
      <c r="J81" s="223" t="str">
        <f>VLOOKUP(B81&amp;E81,'VISIT DATA'!A:N,10,FALSE)</f>
        <v>#N/A</v>
      </c>
      <c r="K81" s="225"/>
      <c r="L81" s="224"/>
      <c r="M81" s="224"/>
      <c r="N81" s="225"/>
      <c r="O81" s="216" t="str">
        <f t="shared" si="1"/>
        <v>X</v>
      </c>
      <c r="P81" s="226" t="str">
        <f t="shared" si="2"/>
        <v>#N/A</v>
      </c>
      <c r="Q81" s="227" t="str">
        <f t="shared" si="3"/>
        <v>#N/A</v>
      </c>
      <c r="R81" s="228" t="str">
        <f t="shared" si="4"/>
        <v>#N/A</v>
      </c>
      <c r="S81" s="220" t="str">
        <f t="shared" si="5"/>
        <v>#N/A</v>
      </c>
      <c r="T81" s="220" t="str">
        <f t="shared" si="6"/>
        <v>#N/A</v>
      </c>
      <c r="U81" s="221">
        <f t="shared" si="7"/>
        <v>0</v>
      </c>
      <c r="V81" s="229" t="str">
        <f>ifs($N81="",VLOOKUP($B81&amp;$E81,'VISIT DATA'!$A$2:$J100,7,FALSE), $N81="SWAB","OUTSA-RW",$N81="SWQU","OUTSA-SaQu", AND($L81="X",$M81="X",$N81="QUEST"),"OUT-UAQPre",$N81="QUEST","OUT-UAQ", $N81="Walk in","ColUATele")</f>
        <v>#N/A</v>
      </c>
      <c r="W81" s="24" t="str">
        <f t="shared" si="8"/>
        <v>#N/A</v>
      </c>
      <c r="X81" s="222" t="str">
        <f t="shared" si="9"/>
        <v/>
      </c>
      <c r="Y81" s="222" t="str">
        <f t="shared" si="10"/>
        <v/>
      </c>
      <c r="Z81" s="224" t="str">
        <f t="shared" si="11"/>
        <v> </v>
      </c>
      <c r="AA81" s="244"/>
    </row>
    <row r="82" hidden="1">
      <c r="A82" s="214" t="str">
        <f>IFS($B82=FALSE,"",$B82,VLOOKUP($B82,'PATIENT DATA (072721)'!A:C, 2, 0))</f>
        <v/>
      </c>
      <c r="B82" s="215"/>
      <c r="C82" s="230" t="str">
        <f>IF(COUNTIF('PATIENT DATA (072721)'!A:A, B82)=0, "X","✓")</f>
        <v>X</v>
      </c>
      <c r="D82" s="226" t="str">
        <f>IFS($B82=FALSE,"",$B82,VLOOKUP($B82,'PATIENT DATA (072721)'!A:C, 3, 0))</f>
        <v/>
      </c>
      <c r="E82" s="218">
        <v>44574.0</v>
      </c>
      <c r="F82" s="219" t="str">
        <f>ifs($B82="","",$B82, VLOOKUP($B82&amp;$E82, 'VISIT DATA'!A:O,3,0))</f>
        <v/>
      </c>
      <c r="G82" s="231"/>
      <c r="H82" s="221" t="str">
        <f>ifs($B82="","",$B82, VLOOKUP($B82&amp;$E82, 'VISIT DATA'!$A:$O,13,0))</f>
        <v/>
      </c>
      <c r="I82" s="262" t="str">
        <f>VLOOKUP($B82&amp;$E82,'VISIT DATA'!A:J, 9, FALSE)</f>
        <v>#N/A</v>
      </c>
      <c r="J82" s="223" t="str">
        <f>VLOOKUP(B82&amp;E82,'VISIT DATA'!A:N,10,FALSE)</f>
        <v>#N/A</v>
      </c>
      <c r="K82" s="225"/>
      <c r="L82" s="224"/>
      <c r="M82" s="224"/>
      <c r="N82" s="225"/>
      <c r="O82" s="216" t="str">
        <f t="shared" si="1"/>
        <v>X</v>
      </c>
      <c r="P82" s="226" t="str">
        <f t="shared" si="2"/>
        <v>#N/A</v>
      </c>
      <c r="Q82" s="227" t="str">
        <f t="shared" si="3"/>
        <v>#N/A</v>
      </c>
      <c r="R82" s="228" t="str">
        <f t="shared" si="4"/>
        <v>#N/A</v>
      </c>
      <c r="S82" s="220" t="str">
        <f t="shared" si="5"/>
        <v>#N/A</v>
      </c>
      <c r="T82" s="220" t="str">
        <f t="shared" si="6"/>
        <v>#N/A</v>
      </c>
      <c r="U82" s="221">
        <f t="shared" si="7"/>
        <v>0</v>
      </c>
      <c r="V82" s="229" t="str">
        <f>ifs($N82="",VLOOKUP($B82&amp;$E82,'VISIT DATA'!$A$2:$J100,7,FALSE), $N82="SWAB","OUTSA-RW",$N82="SWQU","OUTSA-SaQu", AND($L82="X",$M82="X",$N82="QUEST"),"OUT-UAQPre",$N82="QUEST","OUT-UAQ", $N82="Walk in","ColUATele")</f>
        <v>#N/A</v>
      </c>
      <c r="W82" s="24" t="str">
        <f t="shared" si="8"/>
        <v>#N/A</v>
      </c>
      <c r="X82" s="222" t="str">
        <f t="shared" si="9"/>
        <v/>
      </c>
      <c r="Y82" s="222" t="str">
        <f t="shared" si="10"/>
        <v/>
      </c>
      <c r="Z82" s="224" t="str">
        <f t="shared" si="11"/>
        <v> </v>
      </c>
      <c r="AA82" s="244"/>
    </row>
    <row r="83" hidden="1">
      <c r="A83" s="214" t="str">
        <f>IFS($B83=FALSE,"",$B83,VLOOKUP($B83,'PATIENT DATA (072721)'!A:C, 2, 0))</f>
        <v/>
      </c>
      <c r="B83" s="215"/>
      <c r="C83" s="230" t="str">
        <f>IF(COUNTIF('PATIENT DATA (072721)'!A:A, B83)=0, "X","✓")</f>
        <v>X</v>
      </c>
      <c r="D83" s="226" t="str">
        <f>IFS($B83=FALSE,"",$B83,VLOOKUP($B83,'PATIENT DATA (072721)'!A:C, 3, 0))</f>
        <v/>
      </c>
      <c r="E83" s="218">
        <v>44574.0</v>
      </c>
      <c r="F83" s="219" t="str">
        <f>ifs($B83="","",$B83, VLOOKUP($B83&amp;$E83, 'VISIT DATA'!A:O,3,0))</f>
        <v/>
      </c>
      <c r="G83" s="231"/>
      <c r="H83" s="221" t="str">
        <f>ifs($B83="","",$B83, VLOOKUP($B83&amp;$E83, 'VISIT DATA'!$A:$O,13,0))</f>
        <v/>
      </c>
      <c r="I83" s="262" t="str">
        <f>VLOOKUP($B83&amp;$E83,'VISIT DATA'!A:J, 9, FALSE)</f>
        <v>#N/A</v>
      </c>
      <c r="J83" s="223" t="str">
        <f>VLOOKUP(B83&amp;E83,'VISIT DATA'!A:N,10,FALSE)</f>
        <v>#N/A</v>
      </c>
      <c r="K83" s="225"/>
      <c r="L83" s="224"/>
      <c r="M83" s="224"/>
      <c r="N83" s="225"/>
      <c r="O83" s="216" t="str">
        <f t="shared" si="1"/>
        <v>X</v>
      </c>
      <c r="P83" s="226" t="str">
        <f t="shared" si="2"/>
        <v>#N/A</v>
      </c>
      <c r="Q83" s="227" t="str">
        <f t="shared" si="3"/>
        <v>#N/A</v>
      </c>
      <c r="R83" s="228" t="str">
        <f t="shared" si="4"/>
        <v>#N/A</v>
      </c>
      <c r="S83" s="220" t="str">
        <f t="shared" si="5"/>
        <v>#N/A</v>
      </c>
      <c r="T83" s="220" t="str">
        <f t="shared" si="6"/>
        <v>#N/A</v>
      </c>
      <c r="U83" s="221">
        <f t="shared" si="7"/>
        <v>0</v>
      </c>
      <c r="V83" s="229" t="str">
        <f>ifs($N83="",VLOOKUP($B83&amp;$E83,'VISIT DATA'!$A$2:$J100,7,FALSE), $N83="SWAB","OUTSA-RW",$N83="SWQU","OUTSA-SaQu", AND($L83="X",$M83="X",$N83="QUEST"),"OUT-UAQPre",$N83="QUEST","OUT-UAQ", $N83="Walk in","ColUATele")</f>
        <v>#N/A</v>
      </c>
      <c r="W83" s="24" t="str">
        <f t="shared" si="8"/>
        <v>#N/A</v>
      </c>
      <c r="X83" s="222" t="str">
        <f t="shared" si="9"/>
        <v/>
      </c>
      <c r="Y83" s="222" t="str">
        <f t="shared" si="10"/>
        <v/>
      </c>
      <c r="Z83" s="224" t="str">
        <f t="shared" si="11"/>
        <v> </v>
      </c>
      <c r="AA83" s="244"/>
    </row>
    <row r="84" hidden="1">
      <c r="A84" s="214" t="str">
        <f>IFS($B84=FALSE,"",$B84,VLOOKUP($B84,'PATIENT DATA (072721)'!A:C, 2, 0))</f>
        <v/>
      </c>
      <c r="B84" s="215"/>
      <c r="C84" s="230" t="str">
        <f>IF(COUNTIF('PATIENT DATA (072721)'!A:A, B84)=0, "X","✓")</f>
        <v>X</v>
      </c>
      <c r="D84" s="226" t="str">
        <f>IFS($B84=FALSE,"",$B84,VLOOKUP($B84,'PATIENT DATA (072721)'!A:C, 3, 0))</f>
        <v/>
      </c>
      <c r="E84" s="218">
        <v>44574.0</v>
      </c>
      <c r="F84" s="219" t="str">
        <f>ifs($B84="","",$B84, VLOOKUP($B84&amp;$E84, 'VISIT DATA'!A:O,3,0))</f>
        <v/>
      </c>
      <c r="G84" s="231"/>
      <c r="H84" s="221" t="str">
        <f>ifs($B84="","",$B84, VLOOKUP($B84&amp;$E84, 'VISIT DATA'!$A:$O,13,0))</f>
        <v/>
      </c>
      <c r="I84" s="262" t="str">
        <f>VLOOKUP($B84&amp;$E84,'VISIT DATA'!A:J, 9, FALSE)</f>
        <v>#N/A</v>
      </c>
      <c r="J84" s="223" t="str">
        <f>VLOOKUP(B84&amp;E84,'VISIT DATA'!A:N,10,FALSE)</f>
        <v>#N/A</v>
      </c>
      <c r="K84" s="225"/>
      <c r="L84" s="224"/>
      <c r="M84" s="224"/>
      <c r="N84" s="225"/>
      <c r="O84" s="216" t="str">
        <f t="shared" si="1"/>
        <v>X</v>
      </c>
      <c r="P84" s="226" t="str">
        <f t="shared" si="2"/>
        <v>#N/A</v>
      </c>
      <c r="Q84" s="227" t="str">
        <f t="shared" si="3"/>
        <v>#N/A</v>
      </c>
      <c r="R84" s="228" t="str">
        <f t="shared" si="4"/>
        <v>#N/A</v>
      </c>
      <c r="S84" s="220" t="str">
        <f t="shared" si="5"/>
        <v>#N/A</v>
      </c>
      <c r="T84" s="220" t="str">
        <f t="shared" si="6"/>
        <v>#N/A</v>
      </c>
      <c r="U84" s="221">
        <f t="shared" si="7"/>
        <v>0</v>
      </c>
      <c r="V84" s="229" t="str">
        <f>ifs($N84="",VLOOKUP($B84&amp;$E84,'VISIT DATA'!$A$2:$J100,7,FALSE), $N84="SWAB","OUTSA-RW",$N84="SWQU","OUTSA-SaQu", AND($L84="X",$M84="X",$N84="QUEST"),"OUT-UAQPre",$N84="QUEST","OUT-UAQ", $N84="Walk in","ColUATele")</f>
        <v>#N/A</v>
      </c>
      <c r="W84" s="24" t="str">
        <f t="shared" si="8"/>
        <v>#N/A</v>
      </c>
      <c r="X84" s="222" t="str">
        <f t="shared" si="9"/>
        <v/>
      </c>
      <c r="Y84" s="222" t="str">
        <f t="shared" si="10"/>
        <v/>
      </c>
      <c r="Z84" s="224" t="str">
        <f t="shared" si="11"/>
        <v> </v>
      </c>
      <c r="AA84" s="244"/>
    </row>
    <row r="85" hidden="1">
      <c r="A85" s="214" t="str">
        <f>IFS($B85=FALSE,"",$B85,VLOOKUP($B85,'PATIENT DATA (072721)'!A:C, 2, 0))</f>
        <v/>
      </c>
      <c r="B85" s="215"/>
      <c r="C85" s="230" t="str">
        <f>IF(COUNTIF('PATIENT DATA (072721)'!A:A, B85)=0, "X","✓")</f>
        <v>X</v>
      </c>
      <c r="D85" s="226" t="str">
        <f>IFS($B85=FALSE,"",$B85,VLOOKUP($B85,'PATIENT DATA (072721)'!A:C, 3, 0))</f>
        <v/>
      </c>
      <c r="E85" s="218">
        <v>44574.0</v>
      </c>
      <c r="F85" s="219" t="str">
        <f>ifs($B85="","",$B85, VLOOKUP($B85&amp;$E85, 'VISIT DATA'!A:O,3,0))</f>
        <v/>
      </c>
      <c r="G85" s="231"/>
      <c r="H85" s="221" t="str">
        <f>ifs($B85="","",$B85, VLOOKUP($B85&amp;$E85, 'VISIT DATA'!$A:$O,13,0))</f>
        <v/>
      </c>
      <c r="I85" s="262" t="str">
        <f>VLOOKUP($B85&amp;$E85,'VISIT DATA'!A:J, 9, FALSE)</f>
        <v>#N/A</v>
      </c>
      <c r="J85" s="223" t="str">
        <f>VLOOKUP(B85&amp;E85,'VISIT DATA'!A:N,10,FALSE)</f>
        <v>#N/A</v>
      </c>
      <c r="K85" s="225"/>
      <c r="L85" s="224"/>
      <c r="M85" s="224"/>
      <c r="N85" s="225"/>
      <c r="O85" s="216" t="str">
        <f t="shared" si="1"/>
        <v>X</v>
      </c>
      <c r="P85" s="226" t="str">
        <f t="shared" si="2"/>
        <v>#N/A</v>
      </c>
      <c r="Q85" s="227" t="str">
        <f t="shared" si="3"/>
        <v>#N/A</v>
      </c>
      <c r="R85" s="228" t="str">
        <f t="shared" si="4"/>
        <v>#N/A</v>
      </c>
      <c r="S85" s="220" t="str">
        <f t="shared" si="5"/>
        <v>#N/A</v>
      </c>
      <c r="T85" s="220" t="str">
        <f t="shared" si="6"/>
        <v>#N/A</v>
      </c>
      <c r="U85" s="221">
        <f t="shared" si="7"/>
        <v>0</v>
      </c>
      <c r="V85" s="229" t="str">
        <f>ifs($N85="",VLOOKUP($B85&amp;$E85,'VISIT DATA'!$A$2:$J100,7,FALSE), $N85="SWAB","OUTSA-RW",$N85="SWQU","OUTSA-SaQu", AND($L85="X",$M85="X",$N85="QUEST"),"OUT-UAQPre",$N85="QUEST","OUT-UAQ", $N85="Walk in","ColUATele")</f>
        <v>#N/A</v>
      </c>
      <c r="W85" s="24" t="str">
        <f t="shared" si="8"/>
        <v>#N/A</v>
      </c>
      <c r="X85" s="222" t="str">
        <f t="shared" si="9"/>
        <v/>
      </c>
      <c r="Y85" s="222" t="str">
        <f t="shared" si="10"/>
        <v/>
      </c>
      <c r="Z85" s="224" t="str">
        <f t="shared" si="11"/>
        <v> </v>
      </c>
      <c r="AA85" s="244"/>
    </row>
    <row r="86" hidden="1">
      <c r="A86" s="214" t="str">
        <f>IFS($B86=FALSE,"",$B86,VLOOKUP($B86,'PATIENT DATA (072721)'!A:C, 2, 0))</f>
        <v/>
      </c>
      <c r="B86" s="215"/>
      <c r="C86" s="230" t="str">
        <f>IF(COUNTIF('PATIENT DATA (072721)'!A:A, B86)=0, "X","✓")</f>
        <v>X</v>
      </c>
      <c r="D86" s="226" t="str">
        <f>IFS($B86=FALSE,"",$B86,VLOOKUP($B86,'PATIENT DATA (072721)'!A:C, 3, 0))</f>
        <v/>
      </c>
      <c r="E86" s="218">
        <v>44574.0</v>
      </c>
      <c r="F86" s="219" t="str">
        <f>ifs($B86="","",$B86, VLOOKUP($B86&amp;$E86, 'VISIT DATA'!A:O,3,0))</f>
        <v/>
      </c>
      <c r="G86" s="231"/>
      <c r="H86" s="221" t="str">
        <f>ifs($B86="","",$B86, VLOOKUP($B86&amp;$E86, 'VISIT DATA'!$A:$O,13,0))</f>
        <v/>
      </c>
      <c r="I86" s="262" t="str">
        <f>VLOOKUP($B86&amp;$E86,'VISIT DATA'!A:J, 9, FALSE)</f>
        <v>#N/A</v>
      </c>
      <c r="J86" s="223" t="str">
        <f>VLOOKUP(B86&amp;E86,'VISIT DATA'!A:N,10,FALSE)</f>
        <v>#N/A</v>
      </c>
      <c r="K86" s="225"/>
      <c r="L86" s="224"/>
      <c r="M86" s="224"/>
      <c r="N86" s="225"/>
      <c r="O86" s="216" t="str">
        <f t="shared" si="1"/>
        <v>X</v>
      </c>
      <c r="P86" s="226" t="str">
        <f t="shared" si="2"/>
        <v>#N/A</v>
      </c>
      <c r="Q86" s="227" t="str">
        <f t="shared" si="3"/>
        <v>#N/A</v>
      </c>
      <c r="R86" s="228" t="str">
        <f t="shared" si="4"/>
        <v>#N/A</v>
      </c>
      <c r="S86" s="220" t="str">
        <f t="shared" si="5"/>
        <v>#N/A</v>
      </c>
      <c r="T86" s="220" t="str">
        <f t="shared" si="6"/>
        <v>#N/A</v>
      </c>
      <c r="U86" s="221">
        <f t="shared" si="7"/>
        <v>0</v>
      </c>
      <c r="V86" s="229" t="str">
        <f>ifs($N86="",VLOOKUP($B86&amp;$E86,'VISIT DATA'!$A$2:$J100,7,FALSE), $N86="SWAB","OUTSA-RW",$N86="SWQU","OUTSA-SaQu", AND($L86="X",$M86="X",$N86="QUEST"),"OUT-UAQPre",$N86="QUEST","OUT-UAQ", $N86="Walk in","ColUATele")</f>
        <v>#N/A</v>
      </c>
      <c r="W86" s="24" t="str">
        <f t="shared" si="8"/>
        <v>#N/A</v>
      </c>
      <c r="X86" s="222" t="str">
        <f t="shared" si="9"/>
        <v/>
      </c>
      <c r="Y86" s="222" t="str">
        <f t="shared" si="10"/>
        <v/>
      </c>
      <c r="Z86" s="224" t="str">
        <f t="shared" si="11"/>
        <v> </v>
      </c>
      <c r="AA86" s="244"/>
    </row>
    <row r="87" hidden="1">
      <c r="A87" s="214" t="str">
        <f>IFS($B87=FALSE,"",$B87,VLOOKUP($B87,'PATIENT DATA (072721)'!A:C, 2, 0))</f>
        <v/>
      </c>
      <c r="B87" s="215"/>
      <c r="C87" s="230" t="str">
        <f>IF(COUNTIF('PATIENT DATA (072721)'!A:A, B87)=0, "X","✓")</f>
        <v>X</v>
      </c>
      <c r="D87" s="226" t="str">
        <f>IFS($B87=FALSE,"",$B87,VLOOKUP($B87,'PATIENT DATA (072721)'!A:C, 3, 0))</f>
        <v/>
      </c>
      <c r="E87" s="218">
        <v>44574.0</v>
      </c>
      <c r="F87" s="219" t="str">
        <f>ifs($B87="","",$B87, VLOOKUP($B87&amp;$E87, 'VISIT DATA'!A:O,3,0))</f>
        <v/>
      </c>
      <c r="G87" s="231"/>
      <c r="H87" s="221" t="str">
        <f>ifs($B87="","",$B87, VLOOKUP($B87&amp;$E87, 'VISIT DATA'!$A:$O,13,0))</f>
        <v/>
      </c>
      <c r="I87" s="262" t="str">
        <f>VLOOKUP($B87&amp;$E87,'VISIT DATA'!A:J, 9, FALSE)</f>
        <v>#N/A</v>
      </c>
      <c r="J87" s="223" t="str">
        <f>VLOOKUP(B87&amp;E87,'VISIT DATA'!A:N,10,FALSE)</f>
        <v>#N/A</v>
      </c>
      <c r="K87" s="225"/>
      <c r="L87" s="224"/>
      <c r="M87" s="224"/>
      <c r="N87" s="225"/>
      <c r="O87" s="216" t="str">
        <f t="shared" si="1"/>
        <v>X</v>
      </c>
      <c r="P87" s="226" t="str">
        <f t="shared" si="2"/>
        <v>#N/A</v>
      </c>
      <c r="Q87" s="227" t="str">
        <f t="shared" si="3"/>
        <v>#N/A</v>
      </c>
      <c r="R87" s="228" t="str">
        <f t="shared" si="4"/>
        <v>#N/A</v>
      </c>
      <c r="S87" s="220" t="str">
        <f t="shared" si="5"/>
        <v>#N/A</v>
      </c>
      <c r="T87" s="220" t="str">
        <f t="shared" si="6"/>
        <v>#N/A</v>
      </c>
      <c r="U87" s="221">
        <f t="shared" si="7"/>
        <v>0</v>
      </c>
      <c r="V87" s="229" t="str">
        <f>ifs($N87="",VLOOKUP($B87&amp;$E87,'VISIT DATA'!$A$2:$J100,7,FALSE), $N87="SWAB","OUTSA-RW",$N87="SWQU","OUTSA-SaQu", AND($L87="X",$M87="X",$N87="QUEST"),"OUT-UAQPre",$N87="QUEST","OUT-UAQ", $N87="Walk in","ColUATele")</f>
        <v>#N/A</v>
      </c>
      <c r="W87" s="24" t="str">
        <f t="shared" si="8"/>
        <v>#N/A</v>
      </c>
      <c r="X87" s="222" t="str">
        <f t="shared" si="9"/>
        <v/>
      </c>
      <c r="Y87" s="222" t="str">
        <f t="shared" si="10"/>
        <v/>
      </c>
      <c r="Z87" s="224" t="str">
        <f t="shared" si="11"/>
        <v> </v>
      </c>
      <c r="AA87" s="244"/>
    </row>
    <row r="88" hidden="1">
      <c r="A88" s="214" t="str">
        <f>IFS($B88=FALSE,"",$B88,VLOOKUP($B88,'PATIENT DATA (072721)'!A:C, 2, 0))</f>
        <v/>
      </c>
      <c r="B88" s="215"/>
      <c r="C88" s="230" t="str">
        <f>IF(COUNTIF('PATIENT DATA (072721)'!A:A, B88)=0, "X","✓")</f>
        <v>X</v>
      </c>
      <c r="D88" s="226" t="str">
        <f>IFS($B88=FALSE,"",$B88,VLOOKUP($B88,'PATIENT DATA (072721)'!A:C, 3, 0))</f>
        <v/>
      </c>
      <c r="E88" s="218">
        <v>44574.0</v>
      </c>
      <c r="F88" s="219" t="str">
        <f>ifs($B88="","",$B88, VLOOKUP($B88&amp;$E88, 'VISIT DATA'!A:O,3,0))</f>
        <v/>
      </c>
      <c r="G88" s="231"/>
      <c r="H88" s="221" t="str">
        <f>ifs($B88="","",$B88, VLOOKUP($B88&amp;$E88, 'VISIT DATA'!$A:$O,13,0))</f>
        <v/>
      </c>
      <c r="I88" s="262" t="str">
        <f>VLOOKUP($B88&amp;$E88,'VISIT DATA'!A:J, 9, FALSE)</f>
        <v>#N/A</v>
      </c>
      <c r="J88" s="223" t="str">
        <f>VLOOKUP(B88&amp;E88,'VISIT DATA'!A:N,10,FALSE)</f>
        <v>#N/A</v>
      </c>
      <c r="K88" s="225"/>
      <c r="L88" s="224"/>
      <c r="M88" s="224"/>
      <c r="N88" s="225"/>
      <c r="O88" s="216" t="str">
        <f t="shared" si="1"/>
        <v>X</v>
      </c>
      <c r="P88" s="226" t="str">
        <f t="shared" si="2"/>
        <v>#N/A</v>
      </c>
      <c r="Q88" s="227" t="str">
        <f t="shared" si="3"/>
        <v>#N/A</v>
      </c>
      <c r="R88" s="228" t="str">
        <f t="shared" si="4"/>
        <v>#N/A</v>
      </c>
      <c r="S88" s="220" t="str">
        <f t="shared" si="5"/>
        <v>#N/A</v>
      </c>
      <c r="T88" s="220" t="str">
        <f t="shared" si="6"/>
        <v>#N/A</v>
      </c>
      <c r="U88" s="221">
        <f t="shared" si="7"/>
        <v>0</v>
      </c>
      <c r="V88" s="229" t="str">
        <f>ifs($N88="",VLOOKUP($B88&amp;$E88,'VISIT DATA'!$A$2:$J100,7,FALSE), $N88="SWAB","OUTSA-RW",$N88="SWQU","OUTSA-SaQu", AND($L88="X",$M88="X",$N88="QUEST"),"OUT-UAQPre",$N88="QUEST","OUT-UAQ", $N88="Walk in","ColUATele")</f>
        <v>#N/A</v>
      </c>
      <c r="W88" s="24" t="str">
        <f t="shared" si="8"/>
        <v>#N/A</v>
      </c>
      <c r="X88" s="222" t="str">
        <f t="shared" si="9"/>
        <v/>
      </c>
      <c r="Y88" s="222" t="str">
        <f t="shared" si="10"/>
        <v/>
      </c>
      <c r="Z88" s="224" t="str">
        <f t="shared" si="11"/>
        <v> </v>
      </c>
      <c r="AA88" s="244"/>
    </row>
    <row r="89" hidden="1">
      <c r="A89" s="214" t="str">
        <f>IFS($B89=FALSE,"",$B89,VLOOKUP($B89,'PATIENT DATA (072721)'!A:C, 2, 0))</f>
        <v/>
      </c>
      <c r="B89" s="215"/>
      <c r="C89" s="230" t="str">
        <f>IF(COUNTIF('PATIENT DATA (072721)'!A:A, B89)=0, "X","✓")</f>
        <v>X</v>
      </c>
      <c r="D89" s="226" t="str">
        <f>IFS($B89=FALSE,"",$B89,VLOOKUP($B89,'PATIENT DATA (072721)'!A:C, 3, 0))</f>
        <v/>
      </c>
      <c r="E89" s="218">
        <v>44574.0</v>
      </c>
      <c r="F89" s="219" t="str">
        <f>ifs($B89="","",$B89, VLOOKUP($B89&amp;$E89, 'VISIT DATA'!A:O,3,0))</f>
        <v/>
      </c>
      <c r="G89" s="231"/>
      <c r="H89" s="221" t="str">
        <f>ifs($B89="","",$B89, VLOOKUP($B89&amp;$E89, 'VISIT DATA'!$A:$O,13,0))</f>
        <v/>
      </c>
      <c r="I89" s="262" t="str">
        <f>VLOOKUP($B89&amp;$E89,'VISIT DATA'!A:J, 9, FALSE)</f>
        <v>#N/A</v>
      </c>
      <c r="J89" s="223" t="str">
        <f>VLOOKUP(B89&amp;E89,'VISIT DATA'!A:N,10,FALSE)</f>
        <v>#N/A</v>
      </c>
      <c r="K89" s="225"/>
      <c r="L89" s="224"/>
      <c r="M89" s="224"/>
      <c r="N89" s="225"/>
      <c r="O89" s="216" t="str">
        <f t="shared" si="1"/>
        <v>X</v>
      </c>
      <c r="P89" s="226" t="str">
        <f t="shared" si="2"/>
        <v>#N/A</v>
      </c>
      <c r="Q89" s="227" t="str">
        <f t="shared" si="3"/>
        <v>#N/A</v>
      </c>
      <c r="R89" s="228" t="str">
        <f t="shared" si="4"/>
        <v>#N/A</v>
      </c>
      <c r="S89" s="220" t="str">
        <f t="shared" si="5"/>
        <v>#N/A</v>
      </c>
      <c r="T89" s="220" t="str">
        <f t="shared" si="6"/>
        <v>#N/A</v>
      </c>
      <c r="U89" s="221">
        <f t="shared" si="7"/>
        <v>0</v>
      </c>
      <c r="V89" s="229" t="str">
        <f>ifs($N89="",VLOOKUP($B89&amp;$E89,'VISIT DATA'!$A$2:$J100,7,FALSE), $N89="SWAB","OUTSA-RW",$N89="SWQU","OUTSA-SaQu", AND($L89="X",$M89="X",$N89="QUEST"),"OUT-UAQPre",$N89="QUEST","OUT-UAQ", $N89="Walk in","ColUATele")</f>
        <v>#N/A</v>
      </c>
      <c r="W89" s="24" t="str">
        <f t="shared" si="8"/>
        <v>#N/A</v>
      </c>
      <c r="X89" s="222" t="str">
        <f t="shared" si="9"/>
        <v/>
      </c>
      <c r="Y89" s="222" t="str">
        <f t="shared" si="10"/>
        <v/>
      </c>
      <c r="Z89" s="224" t="str">
        <f t="shared" si="11"/>
        <v> </v>
      </c>
      <c r="AA89" s="244"/>
    </row>
    <row r="90" hidden="1">
      <c r="A90" s="214" t="str">
        <f>IFS($B90=FALSE,"",$B90,VLOOKUP($B90,'PATIENT DATA (072721)'!A:C, 2, 0))</f>
        <v/>
      </c>
      <c r="B90" s="215"/>
      <c r="C90" s="230" t="str">
        <f>IF(COUNTIF('PATIENT DATA (072721)'!A:A, B90)=0, "X","✓")</f>
        <v>X</v>
      </c>
      <c r="D90" s="226" t="str">
        <f>IFS($B90=FALSE,"",$B90,VLOOKUP($B90,'PATIENT DATA (072721)'!A:C, 3, 0))</f>
        <v/>
      </c>
      <c r="E90" s="218">
        <v>44574.0</v>
      </c>
      <c r="F90" s="219" t="str">
        <f>ifs($B90="","",$B90, VLOOKUP($B90&amp;$E90, 'VISIT DATA'!A:O,3,0))</f>
        <v/>
      </c>
      <c r="G90" s="231"/>
      <c r="H90" s="221" t="str">
        <f>ifs($B90="","",$B90, VLOOKUP($B90&amp;$E90, 'VISIT DATA'!$A:$O,13,0))</f>
        <v/>
      </c>
      <c r="I90" s="262" t="str">
        <f>VLOOKUP($B90&amp;$E90,'VISIT DATA'!A:J, 9, FALSE)</f>
        <v>#N/A</v>
      </c>
      <c r="J90" s="223" t="str">
        <f>VLOOKUP(B90&amp;E90,'VISIT DATA'!A:N,10,FALSE)</f>
        <v>#N/A</v>
      </c>
      <c r="K90" s="225"/>
      <c r="L90" s="224"/>
      <c r="M90" s="224"/>
      <c r="N90" s="225"/>
      <c r="O90" s="216" t="str">
        <f t="shared" si="1"/>
        <v>X</v>
      </c>
      <c r="P90" s="226" t="str">
        <f t="shared" si="2"/>
        <v>#N/A</v>
      </c>
      <c r="Q90" s="227" t="str">
        <f t="shared" si="3"/>
        <v>#N/A</v>
      </c>
      <c r="R90" s="228" t="str">
        <f t="shared" si="4"/>
        <v>#N/A</v>
      </c>
      <c r="S90" s="220" t="str">
        <f t="shared" si="5"/>
        <v>#N/A</v>
      </c>
      <c r="T90" s="220" t="str">
        <f t="shared" si="6"/>
        <v>#N/A</v>
      </c>
      <c r="U90" s="221">
        <f t="shared" si="7"/>
        <v>0</v>
      </c>
      <c r="V90" s="229" t="str">
        <f>ifs($N90="",VLOOKUP($B90&amp;$E90,'VISIT DATA'!$A$2:$J100,7,FALSE), $N90="SWAB","OUTSA-RW",$N90="SWQU","OUTSA-SaQu", AND($L90="X",$M90="X",$N90="QUEST"),"OUT-UAQPre",$N90="QUEST","OUT-UAQ", $N90="Walk in","ColUATele")</f>
        <v>#N/A</v>
      </c>
      <c r="W90" s="24" t="str">
        <f t="shared" si="8"/>
        <v>#N/A</v>
      </c>
      <c r="X90" s="222" t="str">
        <f t="shared" si="9"/>
        <v/>
      </c>
      <c r="Y90" s="222" t="str">
        <f t="shared" si="10"/>
        <v/>
      </c>
      <c r="Z90" s="224" t="str">
        <f t="shared" si="11"/>
        <v> </v>
      </c>
      <c r="AA90" s="244"/>
    </row>
    <row r="91" hidden="1">
      <c r="A91" s="214" t="str">
        <f>IFS($B91=FALSE,"",$B91,VLOOKUP($B91,'PATIENT DATA (072721)'!A:C, 2, 0))</f>
        <v/>
      </c>
      <c r="B91" s="215"/>
      <c r="C91" s="230" t="str">
        <f>IF(COUNTIF('PATIENT DATA (072721)'!A:A, B91)=0, "X","✓")</f>
        <v>X</v>
      </c>
      <c r="D91" s="226" t="str">
        <f>IFS($B91=FALSE,"",$B91,VLOOKUP($B91,'PATIENT DATA (072721)'!A:C, 3, 0))</f>
        <v/>
      </c>
      <c r="E91" s="218">
        <v>44574.0</v>
      </c>
      <c r="F91" s="219" t="str">
        <f>ifs($B91="","",$B91, VLOOKUP($B91&amp;$E91, 'VISIT DATA'!A:O,3,0))</f>
        <v/>
      </c>
      <c r="G91" s="231"/>
      <c r="H91" s="221" t="str">
        <f>ifs($B91="","",$B91, VLOOKUP($B91&amp;$E91, 'VISIT DATA'!$A:$O,13,0))</f>
        <v/>
      </c>
      <c r="I91" s="262" t="str">
        <f>VLOOKUP($B91&amp;$E91,'VISIT DATA'!A:J, 9, FALSE)</f>
        <v>#N/A</v>
      </c>
      <c r="J91" s="223" t="str">
        <f>VLOOKUP(B91&amp;E91,'VISIT DATA'!A:N,10,FALSE)</f>
        <v>#N/A</v>
      </c>
      <c r="K91" s="225"/>
      <c r="L91" s="224"/>
      <c r="M91" s="224"/>
      <c r="N91" s="225"/>
      <c r="O91" s="216" t="str">
        <f t="shared" si="1"/>
        <v>X</v>
      </c>
      <c r="P91" s="226" t="str">
        <f t="shared" si="2"/>
        <v>#N/A</v>
      </c>
      <c r="Q91" s="227" t="str">
        <f t="shared" si="3"/>
        <v>#N/A</v>
      </c>
      <c r="R91" s="228" t="str">
        <f t="shared" si="4"/>
        <v>#N/A</v>
      </c>
      <c r="S91" s="220" t="str">
        <f t="shared" si="5"/>
        <v>#N/A</v>
      </c>
      <c r="T91" s="220" t="str">
        <f t="shared" si="6"/>
        <v>#N/A</v>
      </c>
      <c r="U91" s="221">
        <f t="shared" si="7"/>
        <v>0</v>
      </c>
      <c r="V91" s="229" t="str">
        <f>ifs($N91="",VLOOKUP($B91&amp;$E91,'VISIT DATA'!$A$2:$J100,7,FALSE), $N91="SWAB","OUTSA-RW",$N91="SWQU","OUTSA-SaQu", AND($L91="X",$M91="X",$N91="QUEST"),"OUT-UAQPre",$N91="QUEST","OUT-UAQ", $N91="Walk in","ColUATele")</f>
        <v>#N/A</v>
      </c>
      <c r="W91" s="24" t="str">
        <f t="shared" si="8"/>
        <v>#N/A</v>
      </c>
      <c r="X91" s="222" t="str">
        <f t="shared" si="9"/>
        <v/>
      </c>
      <c r="Y91" s="222" t="str">
        <f t="shared" si="10"/>
        <v/>
      </c>
      <c r="Z91" s="224" t="str">
        <f t="shared" si="11"/>
        <v> </v>
      </c>
      <c r="AA91" s="244"/>
    </row>
    <row r="92" hidden="1">
      <c r="A92" s="214" t="str">
        <f>IFS($B92=FALSE,"",$B92,VLOOKUP($B92,'PATIENT DATA (072721)'!A:C, 2, 0))</f>
        <v/>
      </c>
      <c r="B92" s="215"/>
      <c r="C92" s="230" t="str">
        <f>IF(COUNTIF('PATIENT DATA (072721)'!A:A, B92)=0, "X","✓")</f>
        <v>X</v>
      </c>
      <c r="D92" s="226" t="str">
        <f>IFS($B92=FALSE,"",$B92,VLOOKUP($B92,'PATIENT DATA (072721)'!A:C, 3, 0))</f>
        <v/>
      </c>
      <c r="E92" s="218">
        <v>44574.0</v>
      </c>
      <c r="F92" s="219" t="str">
        <f>ifs($B92="","",$B92, VLOOKUP($B92&amp;$E92, 'VISIT DATA'!A:O,3,0))</f>
        <v/>
      </c>
      <c r="G92" s="231"/>
      <c r="H92" s="221" t="str">
        <f>ifs($B92="","",$B92, VLOOKUP($B92&amp;$E92, 'VISIT DATA'!$A:$O,13,0))</f>
        <v/>
      </c>
      <c r="I92" s="262" t="str">
        <f>VLOOKUP($B92&amp;$E92,'VISIT DATA'!A:J, 9, FALSE)</f>
        <v>#N/A</v>
      </c>
      <c r="J92" s="223" t="str">
        <f>VLOOKUP(B92&amp;E92,'VISIT DATA'!A:N,10,FALSE)</f>
        <v>#N/A</v>
      </c>
      <c r="K92" s="225"/>
      <c r="L92" s="224"/>
      <c r="M92" s="224"/>
      <c r="N92" s="225"/>
      <c r="O92" s="216" t="str">
        <f t="shared" si="1"/>
        <v>X</v>
      </c>
      <c r="P92" s="226" t="str">
        <f t="shared" si="2"/>
        <v>#N/A</v>
      </c>
      <c r="Q92" s="227" t="str">
        <f t="shared" si="3"/>
        <v>#N/A</v>
      </c>
      <c r="R92" s="228" t="str">
        <f t="shared" si="4"/>
        <v>#N/A</v>
      </c>
      <c r="S92" s="220" t="str">
        <f t="shared" si="5"/>
        <v>#N/A</v>
      </c>
      <c r="T92" s="220" t="str">
        <f t="shared" si="6"/>
        <v>#N/A</v>
      </c>
      <c r="U92" s="221">
        <f t="shared" si="7"/>
        <v>0</v>
      </c>
      <c r="V92" s="229" t="str">
        <f>ifs($N92="",VLOOKUP($B92&amp;$E92,'VISIT DATA'!$A$2:$J100,7,FALSE), $N92="SWAB","OUTSA-RW",$N92="SWQU","OUTSA-SaQu", AND($L92="X",$M92="X",$N92="QUEST"),"OUT-UAQPre",$N92="QUEST","OUT-UAQ", $N92="Walk in","ColUATele")</f>
        <v>#N/A</v>
      </c>
      <c r="W92" s="24" t="str">
        <f t="shared" si="8"/>
        <v>#N/A</v>
      </c>
      <c r="X92" s="222" t="str">
        <f t="shared" si="9"/>
        <v/>
      </c>
      <c r="Y92" s="222" t="str">
        <f t="shared" si="10"/>
        <v/>
      </c>
      <c r="Z92" s="224" t="str">
        <f t="shared" si="11"/>
        <v> </v>
      </c>
      <c r="AA92" s="244"/>
    </row>
    <row r="93" hidden="1">
      <c r="A93" s="214" t="str">
        <f>IFS($B93=FALSE,"",$B93,VLOOKUP($B93,'PATIENT DATA (072721)'!A:C, 2, 0))</f>
        <v/>
      </c>
      <c r="B93" s="215"/>
      <c r="C93" s="230" t="str">
        <f>IF(COUNTIF('PATIENT DATA (072721)'!A:A, B93)=0, "X","✓")</f>
        <v>X</v>
      </c>
      <c r="D93" s="226" t="str">
        <f>IFS($B93=FALSE,"",$B93,VLOOKUP($B93,'PATIENT DATA (072721)'!A:C, 3, 0))</f>
        <v/>
      </c>
      <c r="E93" s="218">
        <v>44574.0</v>
      </c>
      <c r="F93" s="219" t="str">
        <f>ifs($B93="","",$B93, VLOOKUP($B93&amp;$E93, 'VISIT DATA'!A:O,3,0))</f>
        <v/>
      </c>
      <c r="G93" s="231"/>
      <c r="H93" s="221" t="str">
        <f>ifs($B93="","",$B93, VLOOKUP($B93&amp;$E93, 'VISIT DATA'!$A:$O,13,0))</f>
        <v/>
      </c>
      <c r="I93" s="262" t="str">
        <f>VLOOKUP($B93&amp;$E93,'VISIT DATA'!A:J, 9, FALSE)</f>
        <v>#N/A</v>
      </c>
      <c r="J93" s="223" t="str">
        <f>VLOOKUP(B93&amp;E93,'VISIT DATA'!A:N,10,FALSE)</f>
        <v>#N/A</v>
      </c>
      <c r="K93" s="225"/>
      <c r="L93" s="224"/>
      <c r="M93" s="224"/>
      <c r="N93" s="225"/>
      <c r="O93" s="216" t="str">
        <f t="shared" si="1"/>
        <v>X</v>
      </c>
      <c r="P93" s="226" t="str">
        <f t="shared" si="2"/>
        <v>#N/A</v>
      </c>
      <c r="Q93" s="227" t="str">
        <f t="shared" si="3"/>
        <v>#N/A</v>
      </c>
      <c r="R93" s="228" t="str">
        <f t="shared" si="4"/>
        <v>#N/A</v>
      </c>
      <c r="S93" s="220" t="str">
        <f t="shared" si="5"/>
        <v>#N/A</v>
      </c>
      <c r="T93" s="220" t="str">
        <f t="shared" si="6"/>
        <v>#N/A</v>
      </c>
      <c r="U93" s="221">
        <f t="shared" si="7"/>
        <v>0</v>
      </c>
      <c r="V93" s="229" t="str">
        <f>ifs($N93="",VLOOKUP($B93&amp;$E93,'VISIT DATA'!$A$2:$J100,7,FALSE), $N93="SWAB","OUTSA-RW",$N93="SWQU","OUTSA-SaQu", AND($L93="X",$M93="X",$N93="QUEST"),"OUT-UAQPre",$N93="QUEST","OUT-UAQ", $N93="Walk in","ColUATele")</f>
        <v>#N/A</v>
      </c>
      <c r="W93" s="24" t="str">
        <f t="shared" si="8"/>
        <v>#N/A</v>
      </c>
      <c r="X93" s="222" t="str">
        <f t="shared" si="9"/>
        <v/>
      </c>
      <c r="Y93" s="222" t="str">
        <f t="shared" si="10"/>
        <v/>
      </c>
      <c r="Z93" s="224" t="str">
        <f t="shared" si="11"/>
        <v> </v>
      </c>
      <c r="AA93" s="244"/>
    </row>
    <row r="94" hidden="1">
      <c r="A94" s="214" t="str">
        <f>IFS($B94=FALSE,"",$B94,VLOOKUP($B94,'PATIENT DATA (072721)'!A:C, 2, 0))</f>
        <v/>
      </c>
      <c r="B94" s="215"/>
      <c r="C94" s="230" t="str">
        <f>IF(COUNTIF('PATIENT DATA (072721)'!A:A, B94)=0, "X","✓")</f>
        <v>X</v>
      </c>
      <c r="D94" s="226" t="str">
        <f>IFS($B94=FALSE,"",$B94,VLOOKUP($B94,'PATIENT DATA (072721)'!A:C, 3, 0))</f>
        <v/>
      </c>
      <c r="E94" s="218">
        <v>44574.0</v>
      </c>
      <c r="F94" s="219" t="str">
        <f>ifs($B94="","",$B94, VLOOKUP($B94&amp;$E94, 'VISIT DATA'!A:O,3,0))</f>
        <v/>
      </c>
      <c r="G94" s="231"/>
      <c r="H94" s="221" t="str">
        <f>ifs($B94="","",$B94, VLOOKUP($B94&amp;$E94, 'VISIT DATA'!$A:$O,13,0))</f>
        <v/>
      </c>
      <c r="I94" s="262" t="str">
        <f>VLOOKUP($B94&amp;$E94,'VISIT DATA'!A:J, 9, FALSE)</f>
        <v>#N/A</v>
      </c>
      <c r="J94" s="223" t="str">
        <f>VLOOKUP(B94&amp;E94,'VISIT DATA'!A:N,10,FALSE)</f>
        <v>#N/A</v>
      </c>
      <c r="K94" s="225"/>
      <c r="L94" s="224"/>
      <c r="M94" s="224"/>
      <c r="N94" s="225"/>
      <c r="O94" s="216" t="str">
        <f t="shared" si="1"/>
        <v>X</v>
      </c>
      <c r="P94" s="226" t="str">
        <f t="shared" si="2"/>
        <v>#N/A</v>
      </c>
      <c r="Q94" s="227" t="str">
        <f t="shared" si="3"/>
        <v>#N/A</v>
      </c>
      <c r="R94" s="228" t="str">
        <f t="shared" si="4"/>
        <v>#N/A</v>
      </c>
      <c r="S94" s="220" t="str">
        <f t="shared" si="5"/>
        <v>#N/A</v>
      </c>
      <c r="T94" s="220" t="str">
        <f t="shared" si="6"/>
        <v>#N/A</v>
      </c>
      <c r="U94" s="221">
        <f t="shared" si="7"/>
        <v>0</v>
      </c>
      <c r="V94" s="229" t="str">
        <f>ifs($N94="",VLOOKUP($B94&amp;$E94,'VISIT DATA'!$A$2:$J100,7,FALSE), $N94="SWAB","OUTSA-RW",$N94="SWQU","OUTSA-SaQu", AND($L94="X",$M94="X",$N94="QUEST"),"OUT-UAQPre",$N94="QUEST","OUT-UAQ", $N94="Walk in","ColUATele")</f>
        <v>#N/A</v>
      </c>
      <c r="W94" s="24" t="str">
        <f t="shared" si="8"/>
        <v>#N/A</v>
      </c>
      <c r="X94" s="222" t="str">
        <f t="shared" si="9"/>
        <v/>
      </c>
      <c r="Y94" s="222" t="str">
        <f t="shared" si="10"/>
        <v/>
      </c>
      <c r="Z94" s="224" t="str">
        <f t="shared" si="11"/>
        <v> </v>
      </c>
      <c r="AA94" s="244"/>
    </row>
    <row r="95" hidden="1">
      <c r="A95" s="214" t="str">
        <f>IFS($B95=FALSE,"",$B95,VLOOKUP($B95,'PATIENT DATA (072721)'!A:C, 2, 0))</f>
        <v/>
      </c>
      <c r="B95" s="215"/>
      <c r="C95" s="230" t="str">
        <f>IF(COUNTIF('PATIENT DATA (072721)'!A:A, B95)=0, "X","✓")</f>
        <v>X</v>
      </c>
      <c r="D95" s="226" t="str">
        <f>IFS($B95=FALSE,"",$B95,VLOOKUP($B95,'PATIENT DATA (072721)'!A:C, 3, 0))</f>
        <v/>
      </c>
      <c r="E95" s="218">
        <v>44574.0</v>
      </c>
      <c r="F95" s="219" t="str">
        <f>ifs($B95="","",$B95, VLOOKUP($B95&amp;$E95, 'VISIT DATA'!A:O,3,0))</f>
        <v/>
      </c>
      <c r="G95" s="231"/>
      <c r="H95" s="221" t="str">
        <f>ifs($B95="","",$B95, VLOOKUP($B95&amp;$E95, 'VISIT DATA'!$A:$O,13,0))</f>
        <v/>
      </c>
      <c r="I95" s="262" t="str">
        <f>VLOOKUP($B95&amp;$E95,'VISIT DATA'!A:J, 9, FALSE)</f>
        <v>#N/A</v>
      </c>
      <c r="J95" s="223" t="str">
        <f>VLOOKUP(B95&amp;E95,'VISIT DATA'!A:N,10,FALSE)</f>
        <v>#N/A</v>
      </c>
      <c r="K95" s="225"/>
      <c r="L95" s="224"/>
      <c r="M95" s="224"/>
      <c r="N95" s="225"/>
      <c r="O95" s="216" t="str">
        <f t="shared" si="1"/>
        <v>X</v>
      </c>
      <c r="P95" s="226" t="str">
        <f t="shared" si="2"/>
        <v>#N/A</v>
      </c>
      <c r="Q95" s="227" t="str">
        <f t="shared" si="3"/>
        <v>#N/A</v>
      </c>
      <c r="R95" s="228" t="str">
        <f t="shared" si="4"/>
        <v>#N/A</v>
      </c>
      <c r="S95" s="220" t="str">
        <f t="shared" si="5"/>
        <v>#N/A</v>
      </c>
      <c r="T95" s="220" t="str">
        <f t="shared" si="6"/>
        <v>#N/A</v>
      </c>
      <c r="U95" s="221">
        <f t="shared" si="7"/>
        <v>0</v>
      </c>
      <c r="V95" s="229" t="str">
        <f>ifs($N95="",VLOOKUP($B95&amp;$E95,'VISIT DATA'!$A$2:$J100,7,FALSE), $N95="SWAB","OUTSA-RW",$N95="SWQU","OUTSA-SaQu", AND($L95="X",$M95="X",$N95="QUEST"),"OUT-UAQPre",$N95="QUEST","OUT-UAQ", $N95="Walk in","ColUATele")</f>
        <v>#N/A</v>
      </c>
      <c r="W95" s="24" t="str">
        <f t="shared" si="8"/>
        <v>#N/A</v>
      </c>
      <c r="X95" s="222" t="str">
        <f t="shared" si="9"/>
        <v/>
      </c>
      <c r="Y95" s="222" t="str">
        <f t="shared" si="10"/>
        <v/>
      </c>
      <c r="Z95" s="224" t="str">
        <f t="shared" si="11"/>
        <v> </v>
      </c>
      <c r="AA95" s="244"/>
    </row>
    <row r="96" hidden="1">
      <c r="A96" s="214" t="str">
        <f>IFS($B96=FALSE,"",$B96,VLOOKUP($B96,'PATIENT DATA (072721)'!A:C, 2, 0))</f>
        <v/>
      </c>
      <c r="B96" s="215"/>
      <c r="C96" s="230" t="str">
        <f>IF(COUNTIF('PATIENT DATA (072721)'!A:A, B96)=0, "X","✓")</f>
        <v>X</v>
      </c>
      <c r="D96" s="226" t="str">
        <f>IFS($B96=FALSE,"",$B96,VLOOKUP($B96,'PATIENT DATA (072721)'!A:C, 3, 0))</f>
        <v/>
      </c>
      <c r="E96" s="218">
        <v>44574.0</v>
      </c>
      <c r="F96" s="219" t="str">
        <f>ifs($B96="","",$B96, VLOOKUP($B96&amp;$E96, 'VISIT DATA'!A:O,3,0))</f>
        <v/>
      </c>
      <c r="G96" s="231"/>
      <c r="H96" s="221" t="str">
        <f>ifs($B96="","",$B96, VLOOKUP($B96&amp;$E96, 'VISIT DATA'!$A:$O,13,0))</f>
        <v/>
      </c>
      <c r="I96" s="262" t="str">
        <f>VLOOKUP($B96&amp;$E96,'VISIT DATA'!A:J, 9, FALSE)</f>
        <v>#N/A</v>
      </c>
      <c r="J96" s="223" t="str">
        <f>VLOOKUP(B96&amp;E96,'VISIT DATA'!A:N,10,FALSE)</f>
        <v>#N/A</v>
      </c>
      <c r="K96" s="225"/>
      <c r="L96" s="224"/>
      <c r="M96" s="224"/>
      <c r="N96" s="225"/>
      <c r="O96" s="216" t="str">
        <f t="shared" si="1"/>
        <v>X</v>
      </c>
      <c r="P96" s="226" t="str">
        <f t="shared" si="2"/>
        <v>#N/A</v>
      </c>
      <c r="Q96" s="227" t="str">
        <f t="shared" si="3"/>
        <v>#N/A</v>
      </c>
      <c r="R96" s="228" t="str">
        <f t="shared" si="4"/>
        <v>#N/A</v>
      </c>
      <c r="S96" s="220" t="str">
        <f t="shared" si="5"/>
        <v>#N/A</v>
      </c>
      <c r="T96" s="220" t="str">
        <f t="shared" si="6"/>
        <v>#N/A</v>
      </c>
      <c r="U96" s="221">
        <f t="shared" si="7"/>
        <v>0</v>
      </c>
      <c r="V96" s="229" t="str">
        <f>ifs($N96="",VLOOKUP($B96&amp;$E96,'VISIT DATA'!$A$2:$J100,7,FALSE), $N96="SWAB","OUTSA-RW",$N96="SWQU","OUTSA-SaQu", AND($L96="X",$M96="X",$N96="QUEST"),"OUT-UAQPre",$N96="QUEST","OUT-UAQ", $N96="Walk in","ColUATele")</f>
        <v>#N/A</v>
      </c>
      <c r="W96" s="24" t="str">
        <f t="shared" si="8"/>
        <v>#N/A</v>
      </c>
      <c r="X96" s="222" t="str">
        <f t="shared" si="9"/>
        <v/>
      </c>
      <c r="Y96" s="222" t="str">
        <f t="shared" si="10"/>
        <v/>
      </c>
      <c r="Z96" s="224" t="str">
        <f t="shared" si="11"/>
        <v> </v>
      </c>
      <c r="AA96" s="244"/>
    </row>
    <row r="97" hidden="1">
      <c r="A97" s="214" t="str">
        <f>IFS($B97=FALSE,"",$B97,VLOOKUP($B97,'PATIENT DATA (072721)'!A:C, 2, 0))</f>
        <v/>
      </c>
      <c r="B97" s="215"/>
      <c r="C97" s="230" t="str">
        <f>IF(COUNTIF('PATIENT DATA (072721)'!A:A, B97)=0, "X","✓")</f>
        <v>X</v>
      </c>
      <c r="D97" s="226" t="str">
        <f>IFS($B97=FALSE,"",$B97,VLOOKUP($B97,'PATIENT DATA (072721)'!A:C, 3, 0))</f>
        <v/>
      </c>
      <c r="E97" s="218">
        <v>44574.0</v>
      </c>
      <c r="F97" s="219" t="str">
        <f>ifs($B97="","",$B97, VLOOKUP($B97&amp;$E97, 'VISIT DATA'!A:O,3,0))</f>
        <v/>
      </c>
      <c r="G97" s="231"/>
      <c r="H97" s="221" t="str">
        <f>ifs($B97="","",$B97, VLOOKUP($B97&amp;$E97, 'VISIT DATA'!$A:$O,13,0))</f>
        <v/>
      </c>
      <c r="I97" s="262" t="str">
        <f>VLOOKUP($B97&amp;$E97,'VISIT DATA'!A:J, 9, FALSE)</f>
        <v>#N/A</v>
      </c>
      <c r="J97" s="223" t="str">
        <f>VLOOKUP(B97&amp;E97,'VISIT DATA'!A:N,10,FALSE)</f>
        <v>#N/A</v>
      </c>
      <c r="K97" s="225"/>
      <c r="L97" s="224"/>
      <c r="M97" s="224"/>
      <c r="N97" s="225"/>
      <c r="O97" s="216" t="str">
        <f t="shared" si="1"/>
        <v>X</v>
      </c>
      <c r="P97" s="226" t="str">
        <f t="shared" si="2"/>
        <v>#N/A</v>
      </c>
      <c r="Q97" s="227" t="str">
        <f t="shared" si="3"/>
        <v>#N/A</v>
      </c>
      <c r="R97" s="228" t="str">
        <f t="shared" si="4"/>
        <v>#N/A</v>
      </c>
      <c r="S97" s="220" t="str">
        <f t="shared" si="5"/>
        <v>#N/A</v>
      </c>
      <c r="T97" s="220" t="str">
        <f t="shared" si="6"/>
        <v>#N/A</v>
      </c>
      <c r="U97" s="221">
        <f t="shared" si="7"/>
        <v>0</v>
      </c>
      <c r="V97" s="229" t="str">
        <f>ifs($N97="",VLOOKUP($B97&amp;$E97,'VISIT DATA'!$A$2:$J100,7,FALSE), $N97="SWAB","OUTSA-RW",$N97="SWQU","OUTSA-SaQu", AND($L97="X",$M97="X",$N97="QUEST"),"OUT-UAQPre",$N97="QUEST","OUT-UAQ", $N97="Walk in","ColUATele")</f>
        <v>#N/A</v>
      </c>
      <c r="W97" s="24" t="str">
        <f t="shared" si="8"/>
        <v>#N/A</v>
      </c>
      <c r="X97" s="222" t="str">
        <f t="shared" si="9"/>
        <v/>
      </c>
      <c r="Y97" s="222" t="str">
        <f t="shared" si="10"/>
        <v/>
      </c>
      <c r="Z97" s="224" t="str">
        <f t="shared" si="11"/>
        <v> </v>
      </c>
      <c r="AA97" s="244"/>
    </row>
    <row r="98" hidden="1">
      <c r="A98" s="214" t="str">
        <f>IFS($B98=FALSE,"",$B98,VLOOKUP($B98,'PATIENT DATA (072721)'!A:C, 2, 0))</f>
        <v/>
      </c>
      <c r="B98" s="215"/>
      <c r="C98" s="230" t="str">
        <f>IF(COUNTIF('PATIENT DATA (072721)'!A:A, B98)=0, "X","✓")</f>
        <v>X</v>
      </c>
      <c r="D98" s="226" t="str">
        <f>IFS($B98=FALSE,"",$B98,VLOOKUP($B98,'PATIENT DATA (072721)'!A:C, 3, 0))</f>
        <v/>
      </c>
      <c r="E98" s="218">
        <v>44574.0</v>
      </c>
      <c r="F98" s="219" t="str">
        <f>ifs($B98="","",$B98, VLOOKUP($B98&amp;$E98, 'VISIT DATA'!A:O,3,0))</f>
        <v/>
      </c>
      <c r="G98" s="231"/>
      <c r="H98" s="221" t="str">
        <f>ifs($B98="","",$B98, VLOOKUP($B98&amp;$E98, 'VISIT DATA'!$A:$O,13,0))</f>
        <v/>
      </c>
      <c r="I98" s="262" t="str">
        <f>VLOOKUP($B98&amp;$E98,'VISIT DATA'!A:J, 9, FALSE)</f>
        <v>#N/A</v>
      </c>
      <c r="J98" s="223" t="str">
        <f>VLOOKUP(B98&amp;E98,'VISIT DATA'!A:N,10,FALSE)</f>
        <v>#N/A</v>
      </c>
      <c r="K98" s="225"/>
      <c r="L98" s="224"/>
      <c r="M98" s="224"/>
      <c r="N98" s="225"/>
      <c r="O98" s="216" t="str">
        <f t="shared" si="1"/>
        <v>X</v>
      </c>
      <c r="P98" s="226" t="str">
        <f t="shared" si="2"/>
        <v>#N/A</v>
      </c>
      <c r="Q98" s="227" t="str">
        <f t="shared" si="3"/>
        <v>#N/A</v>
      </c>
      <c r="R98" s="228" t="str">
        <f t="shared" si="4"/>
        <v>#N/A</v>
      </c>
      <c r="S98" s="220" t="str">
        <f t="shared" si="5"/>
        <v>#N/A</v>
      </c>
      <c r="T98" s="220" t="str">
        <f t="shared" si="6"/>
        <v>#N/A</v>
      </c>
      <c r="U98" s="221">
        <f t="shared" si="7"/>
        <v>0</v>
      </c>
      <c r="V98" s="229" t="str">
        <f>ifs($N98="",VLOOKUP($B98&amp;$E98,'VISIT DATA'!$A$2:$J100,7,FALSE), $N98="SWAB","OUTSA-RW",$N98="SWQU","OUTSA-SaQu", AND($L98="X",$M98="X",$N98="QUEST"),"OUT-UAQPre",$N98="QUEST","OUT-UAQ", $N98="Walk in","ColUATele")</f>
        <v>#N/A</v>
      </c>
      <c r="W98" s="24" t="str">
        <f t="shared" si="8"/>
        <v>#N/A</v>
      </c>
      <c r="X98" s="222" t="str">
        <f t="shared" si="9"/>
        <v/>
      </c>
      <c r="Y98" s="222" t="str">
        <f t="shared" si="10"/>
        <v/>
      </c>
      <c r="Z98" s="224" t="str">
        <f t="shared" si="11"/>
        <v> </v>
      </c>
      <c r="AA98" s="244"/>
    </row>
    <row r="99" hidden="1">
      <c r="A99" s="214" t="str">
        <f>IFS($B99=FALSE,"",$B99,VLOOKUP($B99,'PATIENT DATA (072721)'!A:C, 2, 0))</f>
        <v/>
      </c>
      <c r="B99" s="215"/>
      <c r="C99" s="230" t="str">
        <f>IF(COUNTIF('PATIENT DATA (072721)'!A:A, B99)=0, "X","✓")</f>
        <v>X</v>
      </c>
      <c r="D99" s="226" t="str">
        <f>IFS($B99=FALSE,"",$B99,VLOOKUP($B99,'PATIENT DATA (072721)'!A:C, 3, 0))</f>
        <v/>
      </c>
      <c r="E99" s="218">
        <v>44574.0</v>
      </c>
      <c r="F99" s="219" t="str">
        <f>ifs($B99="","",$B99, VLOOKUP($B99&amp;$E99, 'VISIT DATA'!A:O,3,0))</f>
        <v/>
      </c>
      <c r="G99" s="231"/>
      <c r="H99" s="221" t="str">
        <f>ifs($B99="","",$B99, VLOOKUP($B99&amp;$E99, 'VISIT DATA'!$A:$O,13,0))</f>
        <v/>
      </c>
      <c r="I99" s="262" t="str">
        <f>VLOOKUP($B99&amp;$E99,'VISIT DATA'!A:J, 9, FALSE)</f>
        <v>#N/A</v>
      </c>
      <c r="J99" s="223" t="str">
        <f>VLOOKUP(B99&amp;E99,'VISIT DATA'!A:N,10,FALSE)</f>
        <v>#N/A</v>
      </c>
      <c r="K99" s="225"/>
      <c r="L99" s="224"/>
      <c r="M99" s="224"/>
      <c r="N99" s="225"/>
      <c r="O99" s="216" t="str">
        <f t="shared" si="1"/>
        <v>X</v>
      </c>
      <c r="P99" s="226" t="str">
        <f t="shared" si="2"/>
        <v>#N/A</v>
      </c>
      <c r="Q99" s="227" t="str">
        <f t="shared" si="3"/>
        <v>#N/A</v>
      </c>
      <c r="R99" s="228" t="str">
        <f t="shared" si="4"/>
        <v>#N/A</v>
      </c>
      <c r="S99" s="220" t="str">
        <f t="shared" si="5"/>
        <v>#N/A</v>
      </c>
      <c r="T99" s="220" t="str">
        <f t="shared" si="6"/>
        <v>#N/A</v>
      </c>
      <c r="U99" s="221">
        <f t="shared" si="7"/>
        <v>0</v>
      </c>
      <c r="V99" s="229" t="str">
        <f>ifs($N99="",VLOOKUP($B99&amp;$E99,'VISIT DATA'!$A$2:$J100,7,FALSE), $N99="SWAB","OUTSA-RW",$N99="SWQU","OUTSA-SaQu", AND($L99="X",$M99="X",$N99="QUEST"),"OUT-UAQPre",$N99="QUEST","OUT-UAQ", $N99="Walk in","ColUATele")</f>
        <v>#N/A</v>
      </c>
      <c r="W99" s="24" t="str">
        <f t="shared" si="8"/>
        <v>#N/A</v>
      </c>
      <c r="X99" s="222" t="str">
        <f t="shared" si="9"/>
        <v/>
      </c>
      <c r="Y99" s="222" t="str">
        <f t="shared" si="10"/>
        <v/>
      </c>
      <c r="Z99" s="224" t="str">
        <f t="shared" si="11"/>
        <v> </v>
      </c>
      <c r="AA99" s="244"/>
    </row>
    <row r="100">
      <c r="A100" s="232"/>
      <c r="B100" s="232"/>
      <c r="C100" s="232"/>
      <c r="D100" s="232"/>
      <c r="E100" s="263"/>
      <c r="F100" s="234"/>
      <c r="G100" s="232"/>
      <c r="H100" s="235"/>
      <c r="I100" s="232"/>
      <c r="J100" s="232"/>
      <c r="K100" s="236" t="s">
        <v>6333</v>
      </c>
      <c r="L100" s="237">
        <f>COUNTIFS(K1:L80, "X")</f>
        <v>53</v>
      </c>
      <c r="M100" s="236" t="s">
        <v>6334</v>
      </c>
      <c r="N100" s="237">
        <f>COUNTIFS(M1:M80, "X")</f>
        <v>15</v>
      </c>
      <c r="O100" s="238"/>
      <c r="P100" s="238"/>
      <c r="Q100" s="238"/>
      <c r="R100" s="238"/>
      <c r="S100" s="238"/>
      <c r="T100" s="238"/>
      <c r="U100" s="238"/>
      <c r="V100" s="239"/>
      <c r="W100" s="238"/>
      <c r="X100" s="238"/>
      <c r="Y100" s="238"/>
      <c r="Z100" s="238"/>
      <c r="AA100" s="238"/>
    </row>
  </sheetData>
  <autoFilter ref="$A$1:$AA$100">
    <filterColumn colId="14">
      <filters blank="1">
        <filter val="✓"/>
      </filters>
    </filterColumn>
  </autoFilter>
  <customSheetViews>
    <customSheetView guid="{20F5F3BA-172D-4727-943D-E296FD1F3EFA}" filter="1" showAutoFilter="1">
      <autoFilter ref="$A$1:$AA$100"/>
    </customSheetView>
  </customSheetViews>
  <conditionalFormatting sqref="A1:X100">
    <cfRule type="expression" dxfId="5" priority="1">
      <formula>$X1="ERROR"</formula>
    </cfRule>
  </conditionalFormatting>
  <conditionalFormatting sqref="A1:Z99">
    <cfRule type="expression" dxfId="5" priority="2">
      <formula>$Y1="NO MATCH"</formula>
    </cfRule>
  </conditionalFormatting>
  <conditionalFormatting sqref="C2:C99 O2:O99">
    <cfRule type="containsText" dxfId="5" priority="3" operator="containsText" text="X">
      <formula>NOT(ISERROR(SEARCH(("X"),(C2))))</formula>
    </cfRule>
  </conditionalFormatting>
  <conditionalFormatting sqref="A1:Z99">
    <cfRule type="expression" dxfId="4" priority="4">
      <formula>$Z1="Repeat"</formula>
    </cfRule>
  </conditionalFormatting>
  <conditionalFormatting sqref="V2:V99">
    <cfRule type="expression" dxfId="10" priority="5">
      <formula>$N2="QUEST"</formula>
    </cfRule>
  </conditionalFormatting>
  <conditionalFormatting sqref="C2:C99 O2:O99">
    <cfRule type="containsText" dxfId="10" priority="6" operator="containsText" text="✓">
      <formula>NOT(ISERROR(SEARCH(("✓"),(C2))))</formula>
    </cfRule>
  </conditionalFormatting>
  <conditionalFormatting sqref="A1:U99">
    <cfRule type="expression" dxfId="20" priority="7">
      <formula>$J1="MOLINA DUAL COMPLETE NEW MEXICO"</formula>
    </cfRule>
  </conditionalFormatting>
  <conditionalFormatting sqref="A1:U99">
    <cfRule type="expression" dxfId="20" priority="8">
      <formula>$J1="MOLINA DUAL COMPLETE TEXAS"</formula>
    </cfRule>
  </conditionalFormatting>
  <conditionalFormatting sqref="A1:U99">
    <cfRule type="expression" dxfId="20" priority="9">
      <formula>$J1="MOLINA MARKETPLACE TEXAS"</formula>
    </cfRule>
  </conditionalFormatting>
  <conditionalFormatting sqref="K1:K99">
    <cfRule type="containsText" dxfId="6" priority="10" operator="containsText" text="x">
      <formula>NOT(ISERROR(SEARCH(("x"),(K1))))</formula>
    </cfRule>
  </conditionalFormatting>
  <conditionalFormatting sqref="M1:M99">
    <cfRule type="containsText" dxfId="21" priority="11" operator="containsText" text="X">
      <formula>NOT(ISERROR(SEARCH(("X"),(M1))))</formula>
    </cfRule>
  </conditionalFormatting>
  <conditionalFormatting sqref="L1:L99">
    <cfRule type="containsText" dxfId="22" priority="12" operator="containsText" text="X">
      <formula>NOT(ISERROR(SEARCH(("X"),(L1))))</formula>
    </cfRule>
  </conditionalFormatting>
  <conditionalFormatting sqref="C1:C99 O1:O99">
    <cfRule type="containsBlanks" dxfId="23" priority="13">
      <formula>LEN(TRIM(C1))=0</formula>
    </cfRule>
  </conditionalFormatting>
  <conditionalFormatting sqref="J1:J99 N1:O1 Z1">
    <cfRule type="containsText" dxfId="24" priority="14" operator="containsText" text="Molina">
      <formula>NOT(ISERROR(SEARCH(("Molina"),(J1))))</formula>
    </cfRule>
  </conditionalFormatting>
  <conditionalFormatting sqref="K1:M99">
    <cfRule type="containsBlanks" dxfId="25" priority="15">
      <formula>LEN(TRIM(K1))=0</formula>
    </cfRule>
  </conditionalFormatting>
  <conditionalFormatting sqref="O1:O99 A2:N99 P2:Z99">
    <cfRule type="expression" dxfId="10" priority="16">
      <formula>$N1="SWAB"</formula>
    </cfRule>
  </conditionalFormatting>
  <conditionalFormatting sqref="J1:J99">
    <cfRule type="containsText" dxfId="5" priority="17" operator="containsText" text="Self Pay">
      <formula>NOT(ISERROR(SEARCH(("Self Pay"),(J1))))</formula>
    </cfRule>
  </conditionalFormatting>
  <conditionalFormatting sqref="J1:J99">
    <cfRule type="containsText" dxfId="5" priority="18" operator="containsText" text="Self-Pay">
      <formula>NOT(ISERROR(SEARCH(("Self-Pay"),(J1))))</formula>
    </cfRule>
  </conditionalFormatting>
  <conditionalFormatting sqref="J1:J99">
    <cfRule type="containsText" dxfId="5" priority="19" operator="containsText" text="Third Party">
      <formula>NOT(ISERROR(SEARCH(("Third Party"),(J1))))</formula>
    </cfRule>
  </conditionalFormatting>
  <conditionalFormatting sqref="A1:U99">
    <cfRule type="expression" dxfId="26" priority="20">
      <formula>$J1="SUPERIOR HEALTH PLAN"</formula>
    </cfRule>
  </conditionalFormatting>
  <conditionalFormatting sqref="A1:U99">
    <cfRule type="expression" dxfId="26" priority="21">
      <formula>$J1="AMBETTER - SUPERIOR"</formula>
    </cfRule>
  </conditionalFormatting>
  <conditionalFormatting sqref="A1:U99">
    <cfRule type="expression" dxfId="19" priority="22">
      <formula>$J1="Wellmed - Humana"</formula>
    </cfRule>
  </conditionalFormatting>
  <conditionalFormatting sqref="A1:U99">
    <cfRule type="expression" dxfId="19" priority="23">
      <formula>$J1="WELLMED - AARP MEDICARE COMPLETE"</formula>
    </cfRule>
  </conditionalFormatting>
  <conditionalFormatting sqref="A1:U99">
    <cfRule type="expression" dxfId="19" priority="24">
      <formula>$J1="WELLMED - AMERIVANTAGE"</formula>
    </cfRule>
  </conditionalFormatting>
  <conditionalFormatting sqref="A1:U99">
    <cfRule type="expression" dxfId="19" priority="25">
      <formula>$J1="WELLMED - CIGNA HEALTHSPRING"</formula>
    </cfRule>
  </conditionalFormatting>
  <conditionalFormatting sqref="A1:U99">
    <cfRule type="expression" dxfId="19" priority="26">
      <formula>$J1="WELLMED - UHC CHRONIC COMPLETE HMO C-SNP"</formula>
    </cfRule>
  </conditionalFormatting>
  <conditionalFormatting sqref="A1:U99">
    <cfRule type="expression" dxfId="19" priority="27">
      <formula>$J1="WELLMED - UHC DUAL COMPLETE HMO SNP"</formula>
    </cfRule>
  </conditionalFormatting>
  <conditionalFormatting sqref="A1:U99">
    <cfRule type="expression" dxfId="19" priority="28">
      <formula>$J1="WELLMED - UHC DUAL COMPLETE SNP"</formula>
    </cfRule>
  </conditionalFormatting>
  <conditionalFormatting sqref="A1:U99">
    <cfRule type="expression" dxfId="20" priority="29">
      <formula>$J1="MOLINA DUAL COMPLETE NEW MEXICO"</formula>
    </cfRule>
  </conditionalFormatting>
  <conditionalFormatting sqref="A1:U99">
    <cfRule type="expression" dxfId="20" priority="30">
      <formula>$J1="MOLINA DUAL COMPLETE TEXAS"</formula>
    </cfRule>
  </conditionalFormatting>
  <conditionalFormatting sqref="A1:U99">
    <cfRule type="expression" dxfId="20" priority="31">
      <formula>$J1="MOLINA MARKETPLACE TEXAS"</formula>
    </cfRule>
  </conditionalFormatting>
  <conditionalFormatting sqref="A1:U99">
    <cfRule type="expression" dxfId="20" priority="32">
      <formula>$J1="MOLINA MEDICAID TEXAS"</formula>
    </cfRule>
  </conditionalFormatting>
  <conditionalFormatting sqref="A1:U99">
    <cfRule type="expression" dxfId="27" priority="33">
      <formula>$J1="HUMANA OPEN ACCESS PLAN"</formula>
    </cfRule>
  </conditionalFormatting>
  <conditionalFormatting sqref="A1:U99">
    <cfRule type="expression" dxfId="28" priority="34">
      <formula>$J1="HUMANA CHOICE CARE"</formula>
    </cfRule>
  </conditionalFormatting>
  <conditionalFormatting sqref="V1:W99">
    <cfRule type="expression" dxfId="11" priority="35">
      <formula>$V1="UA"</formula>
    </cfRule>
  </conditionalFormatting>
  <conditionalFormatting sqref="V1:W99">
    <cfRule type="expression" dxfId="12" priority="36">
      <formula>$V1="OUTUA-PrRW"</formula>
    </cfRule>
  </conditionalFormatting>
  <conditionalFormatting sqref="V1:W99">
    <cfRule type="expression" dxfId="12" priority="37">
      <formula>$V1="OUT-UAQPre"</formula>
    </cfRule>
  </conditionalFormatting>
  <conditionalFormatting sqref="V1:W99">
    <cfRule type="expression" dxfId="13" priority="38">
      <formula>$V1="UA-Prelim"</formula>
    </cfRule>
  </conditionalFormatting>
  <conditionalFormatting sqref="V1:W99">
    <cfRule type="expression" dxfId="6" priority="39">
      <formula>$V1="UA-NWPT"</formula>
    </cfRule>
  </conditionalFormatting>
  <conditionalFormatting sqref="N1:N100 O1:O99">
    <cfRule type="expression" dxfId="5" priority="40">
      <formula>$O1="X"</formula>
    </cfRule>
  </conditionalFormatting>
  <conditionalFormatting sqref="V1:W99">
    <cfRule type="expression" dxfId="10" priority="41">
      <formula>$V1="OUT-UAQ"</formula>
    </cfRule>
  </conditionalFormatting>
  <conditionalFormatting sqref="V1:W99">
    <cfRule type="expression" dxfId="10" priority="42">
      <formula>$V1="OUTUA-FURW"</formula>
    </cfRule>
  </conditionalFormatting>
  <conditionalFormatting sqref="V1:W99">
    <cfRule type="expression" dxfId="14" priority="43">
      <formula>$V1="OUTSA-SaQu"</formula>
    </cfRule>
  </conditionalFormatting>
  <conditionalFormatting sqref="V1:W99">
    <cfRule type="expression" dxfId="14" priority="44">
      <formula>$V1="OUTSA-RW"</formula>
    </cfRule>
  </conditionalFormatting>
  <dataValidations>
    <dataValidation type="list" allowBlank="1" showErrorMessage="1" sqref="H2:H99">
      <formula1>"CH,DA,DC,DM,FA,LM"</formula1>
    </dataValidation>
    <dataValidation type="list" allowBlank="1" showErrorMessage="1" sqref="J2:J99">
      <formula1>Data!$A$2:$A100</formula1>
    </dataValidation>
    <dataValidation type="custom" allowBlank="1" showDropDown="1" showInputMessage="1" showErrorMessage="1" prompt="CAPITALS" sqref="A1:A99">
      <formula1>ISERROR(SEARCH((exact(upper(B:N),B:N)),(A1)))</formula1>
    </dataValidation>
    <dataValidation type="list" allowBlank="1" showErrorMessage="1" sqref="F2:F99">
      <formula1>Data!$B$1:$B$44</formula1>
    </dataValidation>
    <dataValidation type="custom" allowBlank="1" showDropDown="1" showInputMessage="1" showErrorMessage="1" prompt="CAPITALS" sqref="B1:B99">
      <formula1>ISERROR(SEARCH((exact(upper(B:O),B:O)),(B1)))</formula1>
    </dataValidation>
    <dataValidation type="list" allowBlank="1" showErrorMessage="1" sqref="G2:G99">
      <formula1>"F,M"</formula1>
    </dataValidation>
    <dataValidation type="list" allowBlank="1" showErrorMessage="1" sqref="K2:M99">
      <formula1>"X"</formula1>
    </dataValidation>
    <dataValidation type="list" allowBlank="1" showInputMessage="1" showErrorMessage="1" prompt="Click and enter a value from range 'Insurance Data'!C2:C608" sqref="E2:E99">
      <formula1>Data!$C:$C</formula1>
    </dataValidation>
    <dataValidation type="list" allowBlank="1" showErrorMessage="1" sqref="I2:I99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23.71"/>
    <col customWidth="1" min="2" max="2" width="9.29"/>
    <col customWidth="1" min="3" max="3" width="2.14"/>
    <col customWidth="1" min="4" max="4" width="9.71"/>
    <col customWidth="1" min="5" max="5" width="10.71"/>
    <col customWidth="1" min="6" max="6" width="11.57"/>
    <col customWidth="1" min="7" max="7" width="8.43"/>
    <col customWidth="1" min="8" max="8" width="8.29"/>
    <col customWidth="1" min="9" max="9" width="12.71"/>
    <col customWidth="1" min="10" max="10" width="38.14"/>
    <col customWidth="1" min="11" max="11" width="8.29"/>
    <col customWidth="1" min="12" max="12" width="8.57"/>
    <col customWidth="1" min="13" max="13" width="7.57"/>
    <col customWidth="1" min="14" max="14" width="7.0"/>
    <col customWidth="1" min="15" max="15" width="2.14"/>
    <col customWidth="1" hidden="1" min="16" max="20" width="12.57"/>
    <col customWidth="1" hidden="1" min="21" max="21" width="2.14"/>
    <col customWidth="1" min="22" max="22" width="14.86"/>
    <col customWidth="1" hidden="1" min="23" max="24" width="34.57"/>
    <col customWidth="1" hidden="1" min="25" max="25" width="12.14"/>
    <col customWidth="1" hidden="1" min="26" max="26" width="1.57"/>
    <col customWidth="1" min="27" max="27" width="9.57"/>
  </cols>
  <sheetData>
    <row r="1">
      <c r="A1" s="204" t="s">
        <v>24</v>
      </c>
      <c r="B1" s="205" t="s">
        <v>6237</v>
      </c>
      <c r="C1" s="206"/>
      <c r="D1" s="207" t="s">
        <v>25</v>
      </c>
      <c r="E1" s="280" t="s">
        <v>21</v>
      </c>
      <c r="F1" s="208" t="s">
        <v>6077</v>
      </c>
      <c r="G1" s="208" t="s">
        <v>6318</v>
      </c>
      <c r="H1" s="209" t="s">
        <v>2</v>
      </c>
      <c r="I1" s="209" t="s">
        <v>6206</v>
      </c>
      <c r="J1" s="209" t="s">
        <v>6135</v>
      </c>
      <c r="K1" s="208" t="s">
        <v>6353</v>
      </c>
      <c r="L1" s="208" t="s">
        <v>6354</v>
      </c>
      <c r="M1" s="208" t="s">
        <v>6240</v>
      </c>
      <c r="N1" s="210" t="s">
        <v>7</v>
      </c>
      <c r="O1" s="206"/>
      <c r="P1" s="207" t="s">
        <v>6188</v>
      </c>
      <c r="Q1" s="208" t="s">
        <v>6319</v>
      </c>
      <c r="R1" s="208" t="s">
        <v>6132</v>
      </c>
      <c r="S1" s="208" t="s">
        <v>6134</v>
      </c>
      <c r="T1" s="208" t="s">
        <v>6147</v>
      </c>
      <c r="U1" s="211"/>
      <c r="V1" s="212" t="s">
        <v>6320</v>
      </c>
      <c r="W1" s="207"/>
      <c r="X1" s="209"/>
      <c r="Y1" s="208" t="s">
        <v>6321</v>
      </c>
      <c r="Z1" s="213"/>
      <c r="AA1" s="241"/>
    </row>
    <row r="2">
      <c r="A2" s="214" t="str">
        <f>IFS($B2=FALSE,"",$B2,VLOOKUP($B2,'PATIENT DATA (072721)'!A:C, 2, 0))</f>
        <v>HERRERA, JUAN J</v>
      </c>
      <c r="B2" s="215">
        <v>15942.0</v>
      </c>
      <c r="C2" s="216" t="str">
        <f>IF(COUNTIF('PATIENT DATA (072721)'!A:A, B2)=0, "X","✓")</f>
        <v>✓</v>
      </c>
      <c r="D2" s="226">
        <f>IFS($B2=FALSE,"",$B2,VLOOKUP($B2,'PATIENT DATA (072721)'!A:C, 3, 0))</f>
        <v>20598</v>
      </c>
      <c r="E2" s="218">
        <v>44575.0</v>
      </c>
      <c r="F2" s="219">
        <f>ifs($B2="","",$B2, VLOOKUP($B2&amp;$E2, 'VISIT DATA'!A:O,3,0))</f>
        <v>0.3333333333</v>
      </c>
      <c r="G2" s="220" t="s">
        <v>6328</v>
      </c>
      <c r="H2" s="221" t="s">
        <v>14</v>
      </c>
      <c r="I2" s="222" t="str">
        <f>VLOOKUP($B2&amp;$E2,'VISIT DATA'!A:J, 9, FALSE)</f>
        <v>TORRES</v>
      </c>
      <c r="J2" s="223" t="str">
        <f>VLOOKUP(B2&amp;E2,'VISIT DATA'!A:N,10,FALSE)</f>
        <v>WELLCARE OF TEXAS HMO</v>
      </c>
      <c r="K2" s="242"/>
      <c r="L2" s="224" t="s">
        <v>6242</v>
      </c>
      <c r="M2" s="224" t="s">
        <v>6242</v>
      </c>
      <c r="N2" s="225"/>
      <c r="O2" s="216" t="str">
        <f t="shared" ref="O2:O99" si="1">IF(OR(K2 = "x",L2 = "x",M2 = "x"),"✓", "X")</f>
        <v>✓</v>
      </c>
      <c r="P2" s="226" t="str">
        <f t="shared" ref="P2:P99" si="2">ifs(SEARCH($P$1,$J2)&gt;=1,"X")</f>
        <v>#VALUE!</v>
      </c>
      <c r="Q2" s="227" t="str">
        <f t="shared" ref="Q2:Q99" si="3">ifs(SEARCH($Q$1,$J2)&gt;=1,"X")</f>
        <v>#VALUE!</v>
      </c>
      <c r="R2" s="228" t="str">
        <f t="shared" ref="R2:R99" si="4">ifs(SEARCH($R$1,$J2)&gt;=1,"X")</f>
        <v>#VALUE!</v>
      </c>
      <c r="S2" s="220" t="str">
        <f t="shared" ref="S2:S99" si="5">ifs(SEARCH($S$1,$J2)&gt;=1,"X")</f>
        <v>#VALUE!</v>
      </c>
      <c r="T2" s="220" t="str">
        <f t="shared" ref="T2:T99" si="6">ifs(SEARCH($T$1,$J2)&gt;=1,"X")</f>
        <v>#VALUE!</v>
      </c>
      <c r="U2" s="221">
        <f t="shared" ref="U2:U99" si="7">countif($P2:$T2,"X")</f>
        <v>0</v>
      </c>
      <c r="V2" s="229" t="str">
        <f>ifs($N2="",VLOOKUP($B2&amp;$E2,'VISIT DATA'!$A$2:$J100,7,FALSE), $N2="SWAB","OUTSA-RW",$N2="SWQU","OUTSA-SaQu", AND($L2="X",$M2="X",$N2="QUEST"),"OUT-UAQPre",$N2="QUEST","OUT-UAQ", $N2="Walk in","ColUATele")</f>
        <v>UA-Prelim</v>
      </c>
      <c r="W2" s="24" t="str">
        <f t="shared" ref="W2:W99" si="8">ifs($V2="UA-NWPT","UA-NWPT : UA New Patient",$V2="UA","UA : Urine Analysis In House",$V2="UA-Prelim","UA-Prelim : Preliminary UA Test",$V2="OUT-UAQ","OUT-UAQ : Quest Out UA",$V2="OUT-UAQPre", "OUT-UAQPre : OUT UA Prelim Quest",$V2="OUTSA-SaQu","OUTSA-SaQu : Saliva Out Quest",$V2="ColUATele","Collected Telemed",$V2="OUTUA-PrRW", "OUTUA-PrRW : OUT UA Prelimin Redwood",$V2="OUTUA-FURW", "OUTUA-FURW : OUT UA FU Redwood",$V2="OUTUA-NWRW", "OUTUA-NWRW : OUT UA New Redwood",$V2="OUTSA-RW", "OUTSA-RW : OUT Saliva Redwood")</f>
        <v>UA-Prelim : Preliminary UA Test</v>
      </c>
      <c r="X2" s="222" t="str">
        <f t="shared" ref="X2:X99" si="9">ifs($B2="","",and($K2="X",$L2="X",$M2="X",$N2="SWAB"), "ERROR",and($K2="X",$L2="X",$N2="SWAB"), "ERROR", and($L2="X",$N2="SWAB"), "OUTSA-RW : OUT Saliva Redwood", and($K2="X",$M2="X", $N2="SWAB"),"ERROR", and($M2="X",$N2="SWAB"), "OUTSA-RW : OUT Saliva Redwood", and($K2="X",$N2="SWAB"),"OUTSA-RW : OUT Saliva Redwood",and($K2="X",$L2="X"),"ERROR", and($K2="X",$M2="X"),"ERROR",and($M2="X",$U2=1), "OUTUA-PrRW : OUT UA Prelimin Redwood", and($K2="X",$U2=1), "OUTUA-NWRW : OUT UA New Redwood", and($L2="X",$U2=1), "OUTUA-FURW : OUT UA FU Redwood", and($L2="X",$M2="X",$U2=1), "OUTUA-PrRW : OUT UA Prelimin Redwood", $K2="X","UA-NWPT : UA New Patient", and($L2="X",$M2="X"),"UA-Prelim : Preliminary UA Test",and($L2="X",$N2="SWAB"),"OUTSA-RW : OUT Saliva Redwood",$L2="X","UA : Urine Analysis In House",$M2="X","UA-Prelim : Preliminary UA Test")</f>
        <v>UA-Prelim : Preliminary UA Test</v>
      </c>
      <c r="Y2" s="222" t="str">
        <f t="shared" ref="Y2:Y99" si="10">IFS($B2="","",X2=W2,"MATCH",X2&lt;&gt;W2,"NO MATCH")</f>
        <v>MATCH</v>
      </c>
      <c r="Z2" s="224" t="str">
        <f t="shared" ref="Z2:Z99" si="11">IF((countif($B$2:$B100,$B2)&gt;1),"Repeat"," ")</f>
        <v> </v>
      </c>
      <c r="AA2" s="243"/>
    </row>
    <row r="3">
      <c r="A3" s="214" t="str">
        <f>IFS($B3=FALSE,"",$B3,VLOOKUP($B3,'PATIENT DATA (072721)'!A:C, 2, 0))</f>
        <v>RIVERA, ROBERT</v>
      </c>
      <c r="B3" s="215">
        <v>14889.0</v>
      </c>
      <c r="C3" s="216" t="str">
        <f>IF(COUNTIF('PATIENT DATA (072721)'!A:A, B3)=0, "X","✓")</f>
        <v>✓</v>
      </c>
      <c r="D3" s="226">
        <f>IFS($B3=FALSE,"",$B3,VLOOKUP($B3,'PATIENT DATA (072721)'!A:C, 3, 0))</f>
        <v>20777</v>
      </c>
      <c r="E3" s="218">
        <v>44575.0</v>
      </c>
      <c r="F3" s="219">
        <f>ifs($B3="","",$B3, VLOOKUP($B3&amp;$E3, 'VISIT DATA'!A:O,3,0))</f>
        <v>0.34375</v>
      </c>
      <c r="G3" s="220" t="s">
        <v>6328</v>
      </c>
      <c r="H3" s="221" t="s">
        <v>14</v>
      </c>
      <c r="I3" s="222" t="str">
        <f>VLOOKUP($B3&amp;$E3,'VISIT DATA'!A:J, 9, FALSE)</f>
        <v>TORRES</v>
      </c>
      <c r="J3" s="223" t="str">
        <f>VLOOKUP(B3&amp;E3,'VISIT DATA'!A:N,10,FALSE)</f>
        <v>WELLMED - UHC CHRONIC COMPLETE HMO C-SNP</v>
      </c>
      <c r="K3" s="224"/>
      <c r="L3" s="224" t="s">
        <v>6242</v>
      </c>
      <c r="M3" s="224"/>
      <c r="N3" s="225"/>
      <c r="O3" s="216" t="str">
        <f t="shared" si="1"/>
        <v>✓</v>
      </c>
      <c r="P3" s="226" t="str">
        <f t="shared" si="2"/>
        <v>X</v>
      </c>
      <c r="Q3" s="227" t="str">
        <f t="shared" si="3"/>
        <v>#VALUE!</v>
      </c>
      <c r="R3" s="228" t="str">
        <f t="shared" si="4"/>
        <v>#VALUE!</v>
      </c>
      <c r="S3" s="220" t="str">
        <f t="shared" si="5"/>
        <v>#VALUE!</v>
      </c>
      <c r="T3" s="220" t="str">
        <f t="shared" si="6"/>
        <v>#VALUE!</v>
      </c>
      <c r="U3" s="221">
        <f t="shared" si="7"/>
        <v>1</v>
      </c>
      <c r="V3" s="229" t="str">
        <f>ifs($N3="",VLOOKUP($B3&amp;$E3,'VISIT DATA'!$A$2:$J100,7,FALSE), $N3="SWAB","OUTSA-RW",$N3="SWQU","OUTSA-SaQu", AND($L3="X",$M3="X",$N3="QUEST"),"OUT-UAQPre",$N3="QUEST","OUT-UAQ", $N3="Walk in","ColUATele")</f>
        <v>OUTUA-FURW</v>
      </c>
      <c r="W3" s="24" t="str">
        <f t="shared" si="8"/>
        <v>OUTUA-FURW : OUT UA FU Redwood</v>
      </c>
      <c r="X3" s="222" t="str">
        <f t="shared" si="9"/>
        <v>OUTUA-FURW : OUT UA FU Redwood</v>
      </c>
      <c r="Y3" s="222" t="str">
        <f t="shared" si="10"/>
        <v>MATCH</v>
      </c>
      <c r="Z3" s="224" t="str">
        <f t="shared" si="11"/>
        <v> </v>
      </c>
      <c r="AA3" s="243"/>
    </row>
    <row r="4">
      <c r="A4" s="214" t="str">
        <f>IFS($B4=FALSE,"",$B4,VLOOKUP($B4,'PATIENT DATA (072721)'!A:C, 2, 0))</f>
        <v>SAENZ, CIRO J</v>
      </c>
      <c r="B4" s="215">
        <v>10702.0</v>
      </c>
      <c r="C4" s="216" t="str">
        <f>IF(COUNTIF('PATIENT DATA (072721)'!A:A, B4)=0, "X","✓")</f>
        <v>✓</v>
      </c>
      <c r="D4" s="226">
        <f>IFS($B4=FALSE,"",$B4,VLOOKUP($B4,'PATIENT DATA (072721)'!A:C, 3, 0))</f>
        <v>18579</v>
      </c>
      <c r="E4" s="218">
        <v>44575.0</v>
      </c>
      <c r="F4" s="219">
        <f>ifs($B4="","",$B4, VLOOKUP($B4&amp;$E4, 'VISIT DATA'!A:O,3,0))</f>
        <v>0.3645833333</v>
      </c>
      <c r="G4" s="220" t="s">
        <v>6328</v>
      </c>
      <c r="H4" s="221" t="s">
        <v>14</v>
      </c>
      <c r="I4" s="222" t="str">
        <f>VLOOKUP($B4&amp;$E4,'VISIT DATA'!A:J, 9, FALSE)</f>
        <v>TORRES</v>
      </c>
      <c r="J4" s="223" t="str">
        <f>VLOOKUP(B4&amp;E4,'VISIT DATA'!A:N,10,FALSE)</f>
        <v>WPS VA - COMMUNITY CARE</v>
      </c>
      <c r="K4" s="242"/>
      <c r="L4" s="224" t="s">
        <v>6242</v>
      </c>
      <c r="M4" s="224" t="s">
        <v>6242</v>
      </c>
      <c r="N4" s="225"/>
      <c r="O4" s="216" t="str">
        <f t="shared" si="1"/>
        <v>✓</v>
      </c>
      <c r="P4" s="226" t="str">
        <f t="shared" si="2"/>
        <v>#VALUE!</v>
      </c>
      <c r="Q4" s="227" t="str">
        <f t="shared" si="3"/>
        <v>#VALUE!</v>
      </c>
      <c r="R4" s="228" t="str">
        <f t="shared" si="4"/>
        <v>#VALUE!</v>
      </c>
      <c r="S4" s="220" t="str">
        <f t="shared" si="5"/>
        <v>#VALUE!</v>
      </c>
      <c r="T4" s="220" t="str">
        <f t="shared" si="6"/>
        <v>#VALUE!</v>
      </c>
      <c r="U4" s="221">
        <f t="shared" si="7"/>
        <v>0</v>
      </c>
      <c r="V4" s="229" t="str">
        <f>ifs($N4="",VLOOKUP($B4&amp;$E4,'VISIT DATA'!$A$2:$J100,7,FALSE), $N4="SWAB","OUTSA-RW",$N4="SWQU","OUTSA-SaQu", AND($L4="X",$M4="X",$N4="QUEST"),"OUT-UAQPre",$N4="QUEST","OUT-UAQ", $N4="Walk in","ColUATele")</f>
        <v>UA-Prelim</v>
      </c>
      <c r="W4" s="24" t="str">
        <f t="shared" si="8"/>
        <v>UA-Prelim : Preliminary UA Test</v>
      </c>
      <c r="X4" s="222" t="str">
        <f t="shared" si="9"/>
        <v>UA-Prelim : Preliminary UA Test</v>
      </c>
      <c r="Y4" s="222" t="str">
        <f t="shared" si="10"/>
        <v>MATCH</v>
      </c>
      <c r="Z4" s="224" t="str">
        <f t="shared" si="11"/>
        <v> </v>
      </c>
      <c r="AA4" s="243"/>
    </row>
    <row r="5">
      <c r="A5" s="214" t="str">
        <f>IFS($B5=FALSE,"",$B5,VLOOKUP($B5,'PATIENT DATA (072721)'!A:C, 2, 0))</f>
        <v>MACKEY, BRIAN</v>
      </c>
      <c r="B5" s="215">
        <v>15879.0</v>
      </c>
      <c r="C5" s="216" t="str">
        <f>IF(COUNTIF('PATIENT DATA (072721)'!A:A, B5)=0, "X","✓")</f>
        <v>✓</v>
      </c>
      <c r="D5" s="226">
        <f>IFS($B5=FALSE,"",$B5,VLOOKUP($B5,'PATIENT DATA (072721)'!A:C, 3, 0))</f>
        <v>28372</v>
      </c>
      <c r="E5" s="218">
        <v>44575.0</v>
      </c>
      <c r="F5" s="219">
        <f>ifs($B5="","",$B5, VLOOKUP($B5&amp;$E5, 'VISIT DATA'!A:O,3,0))</f>
        <v>0.375</v>
      </c>
      <c r="G5" s="220" t="s">
        <v>6328</v>
      </c>
      <c r="H5" s="221" t="s">
        <v>14</v>
      </c>
      <c r="I5" s="222" t="str">
        <f>VLOOKUP($B5&amp;$E5,'VISIT DATA'!A:J, 9, FALSE)</f>
        <v>TORRES</v>
      </c>
      <c r="J5" s="223" t="str">
        <f>VLOOKUP(B5&amp;E5,'VISIT DATA'!A:N,10,FALSE)</f>
        <v>WPS VA - COMMUNITY CARE</v>
      </c>
      <c r="K5" s="224"/>
      <c r="L5" s="224" t="s">
        <v>6242</v>
      </c>
      <c r="M5" s="224"/>
      <c r="N5" s="225"/>
      <c r="O5" s="216" t="str">
        <f t="shared" si="1"/>
        <v>✓</v>
      </c>
      <c r="P5" s="226" t="str">
        <f t="shared" si="2"/>
        <v>#VALUE!</v>
      </c>
      <c r="Q5" s="227" t="str">
        <f t="shared" si="3"/>
        <v>#VALUE!</v>
      </c>
      <c r="R5" s="228" t="str">
        <f t="shared" si="4"/>
        <v>#VALUE!</v>
      </c>
      <c r="S5" s="220" t="str">
        <f t="shared" si="5"/>
        <v>#VALUE!</v>
      </c>
      <c r="T5" s="220" t="str">
        <f t="shared" si="6"/>
        <v>#VALUE!</v>
      </c>
      <c r="U5" s="221">
        <f t="shared" si="7"/>
        <v>0</v>
      </c>
      <c r="V5" s="229" t="str">
        <f>ifs($N5="",VLOOKUP($B5&amp;$E5,'VISIT DATA'!$A$2:$J100,7,FALSE), $N5="SWAB","OUTSA-RW",$N5="SWQU","OUTSA-SaQu", AND($L5="X",$M5="X",$N5="QUEST"),"OUT-UAQPre",$N5="QUEST","OUT-UAQ", $N5="Walk in","ColUATele")</f>
        <v>UA-Prelim</v>
      </c>
      <c r="W5" s="24" t="str">
        <f t="shared" si="8"/>
        <v>UA-Prelim : Preliminary UA Test</v>
      </c>
      <c r="X5" s="222" t="str">
        <f t="shared" si="9"/>
        <v>UA : Urine Analysis In House</v>
      </c>
      <c r="Y5" s="222" t="str">
        <f t="shared" si="10"/>
        <v>NO MATCH</v>
      </c>
      <c r="Z5" s="224" t="str">
        <f t="shared" si="11"/>
        <v> </v>
      </c>
      <c r="AA5" s="243"/>
    </row>
    <row r="6">
      <c r="A6" s="214" t="str">
        <f>IFS($B6=FALSE,"",$B6,VLOOKUP($B6,'PATIENT DATA (072721)'!A:C, 2, 0))</f>
        <v>VICARI, LESLIE C</v>
      </c>
      <c r="B6" s="215">
        <v>15803.0</v>
      </c>
      <c r="C6" s="216" t="str">
        <f>IF(COUNTIF('PATIENT DATA (072721)'!A:A, B6)=0, "X","✓")</f>
        <v>✓</v>
      </c>
      <c r="D6" s="226">
        <f>IFS($B6=FALSE,"",$B6,VLOOKUP($B6,'PATIENT DATA (072721)'!A:C, 3, 0))</f>
        <v>23681</v>
      </c>
      <c r="E6" s="218">
        <v>44575.0</v>
      </c>
      <c r="F6" s="219">
        <f>ifs($B6="","",$B6, VLOOKUP($B6&amp;$E6, 'VISIT DATA'!A:O,3,0))</f>
        <v>0.3645833333</v>
      </c>
      <c r="G6" s="220" t="s">
        <v>6323</v>
      </c>
      <c r="H6" s="221" t="s">
        <v>15</v>
      </c>
      <c r="I6" s="222" t="str">
        <f>VLOOKUP($B6&amp;$E6,'VISIT DATA'!A:J, 9, FALSE)</f>
        <v>MARTINEZ</v>
      </c>
      <c r="J6" s="223" t="str">
        <f>VLOOKUP(B6&amp;E6,'VISIT DATA'!A:N,10,FALSE)</f>
        <v>CIGNA</v>
      </c>
      <c r="K6" s="224"/>
      <c r="L6" s="224" t="s">
        <v>6242</v>
      </c>
      <c r="M6" s="224"/>
      <c r="N6" s="225"/>
      <c r="O6" s="216" t="str">
        <f t="shared" si="1"/>
        <v>✓</v>
      </c>
      <c r="P6" s="226" t="str">
        <f t="shared" si="2"/>
        <v>#VALUE!</v>
      </c>
      <c r="Q6" s="227" t="str">
        <f t="shared" si="3"/>
        <v>#VALUE!</v>
      </c>
      <c r="R6" s="228" t="str">
        <f t="shared" si="4"/>
        <v>#VALUE!</v>
      </c>
      <c r="S6" s="220" t="str">
        <f t="shared" si="5"/>
        <v>#VALUE!</v>
      </c>
      <c r="T6" s="220" t="str">
        <f t="shared" si="6"/>
        <v>#VALUE!</v>
      </c>
      <c r="U6" s="221">
        <f t="shared" si="7"/>
        <v>0</v>
      </c>
      <c r="V6" s="229" t="str">
        <f>ifs($N6="",VLOOKUP($B6&amp;$E6,'VISIT DATA'!$A$2:$J100,7,FALSE), $N6="SWAB","OUTSA-RW",$N6="SWQU","OUTSA-SaQu", AND($L6="X",$M6="X",$N6="QUEST"),"OUT-UAQPre",$N6="QUEST","OUT-UAQ", $N6="Walk in","ColUATele")</f>
        <v>UA</v>
      </c>
      <c r="W6" s="24" t="str">
        <f t="shared" si="8"/>
        <v>UA : Urine Analysis In House</v>
      </c>
      <c r="X6" s="222" t="str">
        <f t="shared" si="9"/>
        <v>UA : Urine Analysis In House</v>
      </c>
      <c r="Y6" s="222" t="str">
        <f t="shared" si="10"/>
        <v>MATCH</v>
      </c>
      <c r="Z6" s="224" t="str">
        <f t="shared" si="11"/>
        <v> </v>
      </c>
      <c r="AA6" s="243"/>
    </row>
    <row r="7">
      <c r="A7" s="214" t="str">
        <f>IFS($B7=FALSE,"",$B7,VLOOKUP($B7,'PATIENT DATA (072721)'!A:C, 2, 0))</f>
        <v>JORDAN, ROBERTO</v>
      </c>
      <c r="B7" s="215">
        <v>16259.0</v>
      </c>
      <c r="C7" s="216" t="str">
        <f>IF(COUNTIF('PATIENT DATA (072721)'!A:A, B7)=0, "X","✓")</f>
        <v>✓</v>
      </c>
      <c r="D7" s="226">
        <f>IFS($B7=FALSE,"",$B7,VLOOKUP($B7,'PATIENT DATA (072721)'!A:C, 3, 0))</f>
        <v>17763</v>
      </c>
      <c r="E7" s="218">
        <v>44575.0</v>
      </c>
      <c r="F7" s="219">
        <f>ifs($B7="","",$B7, VLOOKUP($B7&amp;$E7, 'VISIT DATA'!A:O,3,0))</f>
        <v>0.3854166667</v>
      </c>
      <c r="G7" s="220" t="s">
        <v>6328</v>
      </c>
      <c r="H7" s="221" t="s">
        <v>15</v>
      </c>
      <c r="I7" s="222" t="str">
        <f>VLOOKUP($B7&amp;$E7,'VISIT DATA'!A:J, 9, FALSE)</f>
        <v>TORRES</v>
      </c>
      <c r="J7" s="223" t="str">
        <f>VLOOKUP(B7&amp;E7,'VISIT DATA'!A:N,10,FALSE)</f>
        <v>MEDICARE TEXAS</v>
      </c>
      <c r="K7" s="242"/>
      <c r="L7" s="224" t="s">
        <v>6242</v>
      </c>
      <c r="M7" s="224"/>
      <c r="N7" s="225"/>
      <c r="O7" s="216" t="str">
        <f t="shared" si="1"/>
        <v>✓</v>
      </c>
      <c r="P7" s="226" t="str">
        <f t="shared" si="2"/>
        <v>#VALUE!</v>
      </c>
      <c r="Q7" s="227" t="str">
        <f t="shared" si="3"/>
        <v>#VALUE!</v>
      </c>
      <c r="R7" s="228" t="str">
        <f t="shared" si="4"/>
        <v>#VALUE!</v>
      </c>
      <c r="S7" s="220" t="str">
        <f t="shared" si="5"/>
        <v>#VALUE!</v>
      </c>
      <c r="T7" s="220" t="str">
        <f t="shared" si="6"/>
        <v>#VALUE!</v>
      </c>
      <c r="U7" s="221">
        <f t="shared" si="7"/>
        <v>0</v>
      </c>
      <c r="V7" s="229" t="str">
        <f>ifs($N7="",VLOOKUP($B7&amp;$E7,'VISIT DATA'!$A$2:$J100,7,FALSE), $N7="SWAB","OUTSA-RW",$N7="SWQU","OUTSA-SaQu", AND($L7="X",$M7="X",$N7="QUEST"),"OUT-UAQPre",$N7="QUEST","OUT-UAQ", $N7="Walk in","ColUATele")</f>
        <v>UA</v>
      </c>
      <c r="W7" s="24" t="str">
        <f t="shared" si="8"/>
        <v>UA : Urine Analysis In House</v>
      </c>
      <c r="X7" s="222" t="str">
        <f t="shared" si="9"/>
        <v>UA : Urine Analysis In House</v>
      </c>
      <c r="Y7" s="222" t="str">
        <f t="shared" si="10"/>
        <v>MATCH</v>
      </c>
      <c r="Z7" s="224" t="str">
        <f t="shared" si="11"/>
        <v> </v>
      </c>
      <c r="AA7" s="243"/>
    </row>
    <row r="8">
      <c r="A8" s="214" t="str">
        <f>IFS($B8=FALSE,"",$B8,VLOOKUP($B8,'PATIENT DATA (072721)'!A:C, 2, 0))</f>
        <v>HERNANDEZ, BENITO J</v>
      </c>
      <c r="B8" s="215">
        <v>12473.0</v>
      </c>
      <c r="C8" s="216" t="str">
        <f>IF(COUNTIF('PATIENT DATA (072721)'!A:A, B8)=0, "X","✓")</f>
        <v>✓</v>
      </c>
      <c r="D8" s="226">
        <f>IFS($B8=FALSE,"",$B8,VLOOKUP($B8,'PATIENT DATA (072721)'!A:C, 3, 0))</f>
        <v>23807</v>
      </c>
      <c r="E8" s="218">
        <v>44575.0</v>
      </c>
      <c r="F8" s="219">
        <f>ifs($B8="","",$B8, VLOOKUP($B8&amp;$E8, 'VISIT DATA'!A:O,3,0))</f>
        <v>0.3958333333</v>
      </c>
      <c r="G8" s="220" t="s">
        <v>6328</v>
      </c>
      <c r="H8" s="221" t="s">
        <v>14</v>
      </c>
      <c r="I8" s="222" t="str">
        <f>VLOOKUP($B8&amp;$E8,'VISIT DATA'!A:J, 9, FALSE)</f>
        <v>TORRES</v>
      </c>
      <c r="J8" s="223" t="str">
        <f>VLOOKUP(B8&amp;E8,'VISIT DATA'!A:N,10,FALSE)</f>
        <v>UHC MEDICARE COMPLETE</v>
      </c>
      <c r="K8" s="242"/>
      <c r="L8" s="224" t="s">
        <v>6242</v>
      </c>
      <c r="M8" s="224" t="s">
        <v>6242</v>
      </c>
      <c r="N8" s="225"/>
      <c r="O8" s="216" t="str">
        <f t="shared" si="1"/>
        <v>✓</v>
      </c>
      <c r="P8" s="226" t="str">
        <f t="shared" si="2"/>
        <v>#VALUE!</v>
      </c>
      <c r="Q8" s="227" t="str">
        <f t="shared" si="3"/>
        <v>#VALUE!</v>
      </c>
      <c r="R8" s="228" t="str">
        <f t="shared" si="4"/>
        <v>#VALUE!</v>
      </c>
      <c r="S8" s="220" t="str">
        <f t="shared" si="5"/>
        <v>#VALUE!</v>
      </c>
      <c r="T8" s="220" t="str">
        <f t="shared" si="6"/>
        <v>#VALUE!</v>
      </c>
      <c r="U8" s="221">
        <f t="shared" si="7"/>
        <v>0</v>
      </c>
      <c r="V8" s="229" t="str">
        <f>ifs($N8="",VLOOKUP($B8&amp;$E8,'VISIT DATA'!$A$2:$J100,7,FALSE), $N8="SWAB","OUTSA-RW",$N8="SWQU","OUTSA-SaQu", AND($L8="X",$M8="X",$N8="QUEST"),"OUT-UAQPre",$N8="QUEST","OUT-UAQ", $N8="Walk in","ColUATele")</f>
        <v>UA-Prelim</v>
      </c>
      <c r="W8" s="24" t="str">
        <f t="shared" si="8"/>
        <v>UA-Prelim : Preliminary UA Test</v>
      </c>
      <c r="X8" s="222" t="str">
        <f t="shared" si="9"/>
        <v>UA-Prelim : Preliminary UA Test</v>
      </c>
      <c r="Y8" s="222" t="str">
        <f t="shared" si="10"/>
        <v>MATCH</v>
      </c>
      <c r="Z8" s="224" t="str">
        <f t="shared" si="11"/>
        <v> </v>
      </c>
      <c r="AA8" s="243"/>
    </row>
    <row r="9">
      <c r="A9" s="214" t="str">
        <f>IFS($B9=FALSE,"",$B9,VLOOKUP($B9,'PATIENT DATA (072721)'!A:C, 2, 0))</f>
        <v>RANGEL, OSCAR M</v>
      </c>
      <c r="B9" s="215">
        <v>9656.0</v>
      </c>
      <c r="C9" s="216" t="str">
        <f>IF(COUNTIF('PATIENT DATA (072721)'!A:A, B9)=0, "X","✓")</f>
        <v>✓</v>
      </c>
      <c r="D9" s="226">
        <f>IFS($B9=FALSE,"",$B9,VLOOKUP($B9,'PATIENT DATA (072721)'!A:C, 3, 0))</f>
        <v>18564</v>
      </c>
      <c r="E9" s="218">
        <v>44575.0</v>
      </c>
      <c r="F9" s="219">
        <f>ifs($B9="","",$B9, VLOOKUP($B9&amp;$E9, 'VISIT DATA'!A:O,3,0))</f>
        <v>0.3854166667</v>
      </c>
      <c r="G9" s="220" t="s">
        <v>6328</v>
      </c>
      <c r="H9" s="221" t="s">
        <v>12</v>
      </c>
      <c r="I9" s="222" t="str">
        <f>VLOOKUP($B9&amp;$E9,'VISIT DATA'!A:J, 9, FALSE)</f>
        <v>THOMAS</v>
      </c>
      <c r="J9" s="223" t="str">
        <f>VLOOKUP(B9&amp;E9,'VISIT DATA'!A:N,10,FALSE)</f>
        <v>WELLMED - CIGNA HEALTHSPRING</v>
      </c>
      <c r="K9" s="224"/>
      <c r="L9" s="224" t="s">
        <v>6341</v>
      </c>
      <c r="M9" s="224"/>
      <c r="N9" s="225"/>
      <c r="O9" s="216" t="str">
        <f t="shared" si="1"/>
        <v>✓</v>
      </c>
      <c r="P9" s="226" t="str">
        <f t="shared" si="2"/>
        <v>X</v>
      </c>
      <c r="Q9" s="227" t="str">
        <f t="shared" si="3"/>
        <v>#VALUE!</v>
      </c>
      <c r="R9" s="228" t="str">
        <f t="shared" si="4"/>
        <v>#VALUE!</v>
      </c>
      <c r="S9" s="220" t="str">
        <f t="shared" si="5"/>
        <v>#VALUE!</v>
      </c>
      <c r="T9" s="220" t="str">
        <f t="shared" si="6"/>
        <v>#VALUE!</v>
      </c>
      <c r="U9" s="221">
        <f t="shared" si="7"/>
        <v>1</v>
      </c>
      <c r="V9" s="229" t="str">
        <f>ifs($N9="",VLOOKUP($B9&amp;$E9,'VISIT DATA'!$A$2:$J100,7,FALSE), $N9="SWAB","OUTSA-RW",$N9="SWQU","OUTSA-SaQu", AND($L9="X",$M9="X",$N9="QUEST"),"OUT-UAQPre",$N9="QUEST","OUT-UAQ", $N9="Walk in","ColUATele")</f>
        <v>OUTUA-FURW</v>
      </c>
      <c r="W9" s="24" t="str">
        <f t="shared" si="8"/>
        <v>OUTUA-FURW : OUT UA FU Redwood</v>
      </c>
      <c r="X9" s="222" t="str">
        <f t="shared" si="9"/>
        <v>OUTUA-FURW : OUT UA FU Redwood</v>
      </c>
      <c r="Y9" s="222" t="str">
        <f t="shared" si="10"/>
        <v>MATCH</v>
      </c>
      <c r="Z9" s="224" t="str">
        <f t="shared" si="11"/>
        <v> </v>
      </c>
      <c r="AA9" s="243"/>
    </row>
    <row r="10">
      <c r="A10" s="214" t="str">
        <f>IFS($B10=FALSE,"",$B10,VLOOKUP($B10,'PATIENT DATA (072721)'!A:C, 2, 0))</f>
        <v>MADRID, DELMA A</v>
      </c>
      <c r="B10" s="215">
        <v>15614.0</v>
      </c>
      <c r="C10" s="216" t="str">
        <f>IF(COUNTIF('PATIENT DATA (072721)'!A:A, B10)=0, "X","✓")</f>
        <v>✓</v>
      </c>
      <c r="D10" s="226">
        <f>IFS($B10=FALSE,"",$B10,VLOOKUP($B10,'PATIENT DATA (072721)'!A:C, 3, 0))</f>
        <v>22255</v>
      </c>
      <c r="E10" s="218">
        <v>44575.0</v>
      </c>
      <c r="F10" s="219">
        <f>ifs($B10="","",$B10, VLOOKUP($B10&amp;$E10, 'VISIT DATA'!A:O,3,0))</f>
        <v>0.3645833333</v>
      </c>
      <c r="G10" s="220" t="s">
        <v>6323</v>
      </c>
      <c r="H10" s="221" t="s">
        <v>13</v>
      </c>
      <c r="I10" s="222" t="str">
        <f>VLOOKUP($B10&amp;$E10,'VISIT DATA'!A:J, 9, FALSE)</f>
        <v>LOPEZ</v>
      </c>
      <c r="J10" s="223" t="str">
        <f>VLOOKUP(B10&amp;E10,'VISIT DATA'!A:N,10,FALSE)</f>
        <v>WC - PREMIAN CLAIM SERVICE INC</v>
      </c>
      <c r="K10" s="224"/>
      <c r="L10" s="224" t="s">
        <v>6341</v>
      </c>
      <c r="M10" s="224"/>
      <c r="N10" s="225"/>
      <c r="O10" s="216" t="str">
        <f t="shared" si="1"/>
        <v>✓</v>
      </c>
      <c r="P10" s="226" t="str">
        <f t="shared" si="2"/>
        <v>#VALUE!</v>
      </c>
      <c r="Q10" s="227" t="str">
        <f t="shared" si="3"/>
        <v>#VALUE!</v>
      </c>
      <c r="R10" s="228" t="str">
        <f t="shared" si="4"/>
        <v>#VALUE!</v>
      </c>
      <c r="S10" s="220" t="str">
        <f t="shared" si="5"/>
        <v>#VALUE!</v>
      </c>
      <c r="T10" s="220" t="str">
        <f t="shared" si="6"/>
        <v>#VALUE!</v>
      </c>
      <c r="U10" s="221">
        <f t="shared" si="7"/>
        <v>0</v>
      </c>
      <c r="V10" s="229" t="str">
        <f>ifs($N10="",VLOOKUP($B10&amp;$E10,'VISIT DATA'!$A$2:$J100,7,FALSE), $N10="SWAB","OUTSA-RW",$N10="SWQU","OUTSA-SaQu", AND($L10="X",$M10="X",$N10="QUEST"),"OUT-UAQPre",$N10="QUEST","OUT-UAQ", $N10="Walk in","ColUATele")</f>
        <v>UA</v>
      </c>
      <c r="W10" s="24" t="str">
        <f t="shared" si="8"/>
        <v>UA : Urine Analysis In House</v>
      </c>
      <c r="X10" s="222" t="str">
        <f t="shared" si="9"/>
        <v>UA : Urine Analysis In House</v>
      </c>
      <c r="Y10" s="222" t="str">
        <f t="shared" si="10"/>
        <v>MATCH</v>
      </c>
      <c r="Z10" s="224" t="str">
        <f t="shared" si="11"/>
        <v> </v>
      </c>
      <c r="AA10" s="243"/>
    </row>
    <row r="11">
      <c r="A11" s="214" t="str">
        <f>IFS($B11=FALSE,"",$B11,VLOOKUP($B11,'PATIENT DATA (072721)'!A:C, 2, 0))</f>
        <v>SOLIS, FELIPA</v>
      </c>
      <c r="B11" s="215">
        <v>17303.0</v>
      </c>
      <c r="C11" s="216" t="str">
        <f>IF(COUNTIF('PATIENT DATA (072721)'!A:A, B11)=0, "X","✓")</f>
        <v>✓</v>
      </c>
      <c r="D11" s="226">
        <f>IFS($B11=FALSE,"",$B11,VLOOKUP($B11,'PATIENT DATA (072721)'!A:C, 3, 0))</f>
        <v>13916</v>
      </c>
      <c r="E11" s="218">
        <v>44575.0</v>
      </c>
      <c r="F11" s="219">
        <f>ifs($B11="","",$B11, VLOOKUP($B11&amp;$E11, 'VISIT DATA'!A:O,3,0))</f>
        <v>0.375</v>
      </c>
      <c r="G11" s="220" t="s">
        <v>6323</v>
      </c>
      <c r="H11" s="221" t="s">
        <v>13</v>
      </c>
      <c r="I11" s="222" t="str">
        <f>VLOOKUP($B11&amp;$E11,'VISIT DATA'!A:J, 9, FALSE)</f>
        <v>LOPEZ</v>
      </c>
      <c r="J11" s="223" t="str">
        <f>VLOOKUP(B11&amp;E11,'VISIT DATA'!A:N,10,FALSE)</f>
        <v>WELLMED - UHC DUAL COMPLETE SNP</v>
      </c>
      <c r="K11" s="242"/>
      <c r="L11" s="224" t="s">
        <v>6242</v>
      </c>
      <c r="M11" s="224"/>
      <c r="N11" s="225"/>
      <c r="O11" s="216" t="str">
        <f t="shared" si="1"/>
        <v>✓</v>
      </c>
      <c r="P11" s="226" t="str">
        <f t="shared" si="2"/>
        <v>X</v>
      </c>
      <c r="Q11" s="227" t="str">
        <f t="shared" si="3"/>
        <v>#VALUE!</v>
      </c>
      <c r="R11" s="228" t="str">
        <f t="shared" si="4"/>
        <v>#VALUE!</v>
      </c>
      <c r="S11" s="220" t="str">
        <f t="shared" si="5"/>
        <v>#VALUE!</v>
      </c>
      <c r="T11" s="220" t="str">
        <f t="shared" si="6"/>
        <v>#VALUE!</v>
      </c>
      <c r="U11" s="221">
        <f t="shared" si="7"/>
        <v>1</v>
      </c>
      <c r="V11" s="229" t="str">
        <f>ifs($N11="",VLOOKUP($B11&amp;$E11,'VISIT DATA'!$A$2:$J100,7,FALSE), $N11="SWAB","OUTSA-RW",$N11="SWQU","OUTSA-SaQu", AND($L11="X",$M11="X",$N11="QUEST"),"OUT-UAQPre",$N11="QUEST","OUT-UAQ", $N11="Walk in","ColUATele")</f>
        <v>OUTUA-FURW</v>
      </c>
      <c r="W11" s="24" t="str">
        <f t="shared" si="8"/>
        <v>OUTUA-FURW : OUT UA FU Redwood</v>
      </c>
      <c r="X11" s="222" t="str">
        <f t="shared" si="9"/>
        <v>OUTUA-FURW : OUT UA FU Redwood</v>
      </c>
      <c r="Y11" s="222" t="str">
        <f t="shared" si="10"/>
        <v>MATCH</v>
      </c>
      <c r="Z11" s="224" t="str">
        <f t="shared" si="11"/>
        <v> </v>
      </c>
      <c r="AA11" s="243"/>
    </row>
    <row r="12">
      <c r="A12" s="214" t="str">
        <f>IFS($B12=FALSE,"",$B12,VLOOKUP($B12,'PATIENT DATA (072721)'!A:C, 2, 0))</f>
        <v>MARQUEZ, ELVIRA</v>
      </c>
      <c r="B12" s="215">
        <v>16722.0</v>
      </c>
      <c r="C12" s="216" t="str">
        <f>IF(COUNTIF('PATIENT DATA (072721)'!A:A, B12)=0, "X","✓")</f>
        <v>✓</v>
      </c>
      <c r="D12" s="226">
        <f>IFS($B12=FALSE,"",$B12,VLOOKUP($B12,'PATIENT DATA (072721)'!A:C, 3, 0))</f>
        <v>17812</v>
      </c>
      <c r="E12" s="218">
        <v>44575.0</v>
      </c>
      <c r="F12" s="219">
        <f>ifs($B12="","",$B12, VLOOKUP($B12&amp;$E12, 'VISIT DATA'!A:O,3,0))</f>
        <v>0.3854166667</v>
      </c>
      <c r="G12" s="220" t="s">
        <v>6323</v>
      </c>
      <c r="H12" s="221" t="s">
        <v>13</v>
      </c>
      <c r="I12" s="222" t="str">
        <f>VLOOKUP($B12&amp;$E12,'VISIT DATA'!A:J, 9, FALSE)</f>
        <v>LOPEZ</v>
      </c>
      <c r="J12" s="223" t="str">
        <f>VLOOKUP(B12&amp;E12,'VISIT DATA'!A:N,10,FALSE)</f>
        <v>WELLMED - UHC DUAL COMPLETE HMO SNP</v>
      </c>
      <c r="K12" s="224"/>
      <c r="L12" s="224" t="s">
        <v>6242</v>
      </c>
      <c r="M12" s="224"/>
      <c r="N12" s="225"/>
      <c r="O12" s="216" t="str">
        <f t="shared" si="1"/>
        <v>✓</v>
      </c>
      <c r="P12" s="226" t="str">
        <f t="shared" si="2"/>
        <v>X</v>
      </c>
      <c r="Q12" s="227" t="str">
        <f t="shared" si="3"/>
        <v>#VALUE!</v>
      </c>
      <c r="R12" s="228" t="str">
        <f t="shared" si="4"/>
        <v>#VALUE!</v>
      </c>
      <c r="S12" s="220" t="str">
        <f t="shared" si="5"/>
        <v>#VALUE!</v>
      </c>
      <c r="T12" s="220" t="str">
        <f t="shared" si="6"/>
        <v>#VALUE!</v>
      </c>
      <c r="U12" s="221">
        <f t="shared" si="7"/>
        <v>1</v>
      </c>
      <c r="V12" s="229" t="str">
        <f>ifs($N12="",VLOOKUP($B12&amp;$E12,'VISIT DATA'!$A$2:$J100,7,FALSE), $N12="SWAB","OUTSA-RW",$N12="SWQU","OUTSA-SaQu", AND($L12="X",$M12="X",$N12="QUEST"),"OUT-UAQPre",$N12="QUEST","OUT-UAQ", $N12="Walk in","ColUATele")</f>
        <v>OUTUA-FURW</v>
      </c>
      <c r="W12" s="24" t="str">
        <f t="shared" si="8"/>
        <v>OUTUA-FURW : OUT UA FU Redwood</v>
      </c>
      <c r="X12" s="222" t="str">
        <f t="shared" si="9"/>
        <v>OUTUA-FURW : OUT UA FU Redwood</v>
      </c>
      <c r="Y12" s="222" t="str">
        <f t="shared" si="10"/>
        <v>MATCH</v>
      </c>
      <c r="Z12" s="224" t="str">
        <f t="shared" si="11"/>
        <v> </v>
      </c>
      <c r="AA12" s="243"/>
    </row>
    <row r="13">
      <c r="A13" s="214" t="str">
        <f>IFS($B13=FALSE,"",$B13,VLOOKUP($B13,'PATIENT DATA (072721)'!A:C, 2, 0))</f>
        <v>SLOWIK, KEVIN</v>
      </c>
      <c r="B13" s="215">
        <v>13937.0</v>
      </c>
      <c r="C13" s="216" t="str">
        <f>IF(COUNTIF('PATIENT DATA (072721)'!A:A, B13)=0, "X","✓")</f>
        <v>✓</v>
      </c>
      <c r="D13" s="226">
        <f>IFS($B13=FALSE,"",$B13,VLOOKUP($B13,'PATIENT DATA (072721)'!A:C, 3, 0))</f>
        <v>33308</v>
      </c>
      <c r="E13" s="218">
        <v>44575.0</v>
      </c>
      <c r="F13" s="219">
        <f>ifs($B13="","",$B13, VLOOKUP($B13&amp;$E13, 'VISIT DATA'!A:O,3,0))</f>
        <v>0.3958333333</v>
      </c>
      <c r="G13" s="220" t="s">
        <v>6328</v>
      </c>
      <c r="H13" s="221" t="s">
        <v>15</v>
      </c>
      <c r="I13" s="222" t="str">
        <f>VLOOKUP($B13&amp;$E13,'VISIT DATA'!A:J, 9, FALSE)</f>
        <v>MARTINEZ</v>
      </c>
      <c r="J13" s="223" t="str">
        <f>VLOOKUP(B13&amp;E13,'VISIT DATA'!A:N,10,FALSE)</f>
        <v>SUPERIOR HEALTH PLAN</v>
      </c>
      <c r="K13" s="242"/>
      <c r="L13" s="224" t="s">
        <v>6242</v>
      </c>
      <c r="M13" s="224"/>
      <c r="N13" s="225"/>
      <c r="O13" s="216" t="str">
        <f t="shared" si="1"/>
        <v>✓</v>
      </c>
      <c r="P13" s="226" t="str">
        <f t="shared" si="2"/>
        <v>#VALUE!</v>
      </c>
      <c r="Q13" s="227" t="str">
        <f t="shared" si="3"/>
        <v>#VALUE!</v>
      </c>
      <c r="R13" s="228" t="str">
        <f t="shared" si="4"/>
        <v>#VALUE!</v>
      </c>
      <c r="S13" s="220" t="str">
        <f t="shared" si="5"/>
        <v>#VALUE!</v>
      </c>
      <c r="T13" s="220" t="str">
        <f t="shared" si="6"/>
        <v>#VALUE!</v>
      </c>
      <c r="U13" s="221">
        <f t="shared" si="7"/>
        <v>0</v>
      </c>
      <c r="V13" s="229" t="str">
        <f>ifs($N13="",VLOOKUP($B13&amp;$E13,'VISIT DATA'!$A$2:$J100,7,FALSE), $N13="SWAB","OUTSA-RW",$N13="SWQU","OUTSA-SaQu", AND($L13="X",$M13="X",$N13="QUEST"),"OUT-UAQPre",$N13="QUEST","OUT-UAQ", $N13="Walk in","ColUATele")</f>
        <v>UA</v>
      </c>
      <c r="W13" s="24" t="str">
        <f t="shared" si="8"/>
        <v>UA : Urine Analysis In House</v>
      </c>
      <c r="X13" s="222" t="str">
        <f t="shared" si="9"/>
        <v>UA : Urine Analysis In House</v>
      </c>
      <c r="Y13" s="222" t="str">
        <f t="shared" si="10"/>
        <v>MATCH</v>
      </c>
      <c r="Z13" s="224" t="str">
        <f t="shared" si="11"/>
        <v> </v>
      </c>
      <c r="AA13" s="243"/>
    </row>
    <row r="14">
      <c r="A14" s="214" t="str">
        <f>IFS($B14=FALSE,"",$B14,VLOOKUP($B14,'PATIENT DATA (072721)'!A:C, 2, 0))</f>
        <v>FRANCO, PATRICIA S</v>
      </c>
      <c r="B14" s="215">
        <v>16995.0</v>
      </c>
      <c r="C14" s="216" t="str">
        <f>IF(COUNTIF('PATIENT DATA (072721)'!A:A, B14)=0, "X","✓")</f>
        <v>✓</v>
      </c>
      <c r="D14" s="226">
        <f>IFS($B14=FALSE,"",$B14,VLOOKUP($B14,'PATIENT DATA (072721)'!A:C, 3, 0))</f>
        <v>24264</v>
      </c>
      <c r="E14" s="218">
        <v>44575.0</v>
      </c>
      <c r="F14" s="219">
        <f>ifs($B14="","",$B14, VLOOKUP($B14&amp;$E14, 'VISIT DATA'!A:O,3,0))</f>
        <v>0.40625</v>
      </c>
      <c r="G14" s="220" t="s">
        <v>6323</v>
      </c>
      <c r="H14" s="221" t="s">
        <v>14</v>
      </c>
      <c r="I14" s="222" t="str">
        <f>VLOOKUP($B14&amp;$E14,'VISIT DATA'!A:J, 9, FALSE)</f>
        <v>TORRES</v>
      </c>
      <c r="J14" s="223" t="str">
        <f>VLOOKUP(B14&amp;E14,'VISIT DATA'!A:N,10,FALSE)</f>
        <v>AMERIVANTAGE DUAL</v>
      </c>
      <c r="K14" s="225"/>
      <c r="L14" s="224" t="s">
        <v>6242</v>
      </c>
      <c r="M14" s="224"/>
      <c r="N14" s="225"/>
      <c r="O14" s="216" t="str">
        <f t="shared" si="1"/>
        <v>✓</v>
      </c>
      <c r="P14" s="226" t="str">
        <f t="shared" si="2"/>
        <v>#VALUE!</v>
      </c>
      <c r="Q14" s="227" t="str">
        <f t="shared" si="3"/>
        <v>#VALUE!</v>
      </c>
      <c r="R14" s="228" t="str">
        <f t="shared" si="4"/>
        <v>#VALUE!</v>
      </c>
      <c r="S14" s="220" t="str">
        <f t="shared" si="5"/>
        <v>#VALUE!</v>
      </c>
      <c r="T14" s="220" t="str">
        <f t="shared" si="6"/>
        <v>#VALUE!</v>
      </c>
      <c r="U14" s="221">
        <f t="shared" si="7"/>
        <v>0</v>
      </c>
      <c r="V14" s="229" t="str">
        <f>ifs($N14="",VLOOKUP($B14&amp;$E14,'VISIT DATA'!$A$2:$J100,7,FALSE), $N14="SWAB","OUTSA-RW",$N14="SWQU","OUTSA-SaQu", AND($L14="X",$M14="X",$N14="QUEST"),"OUT-UAQPre",$N14="QUEST","OUT-UAQ", $N14="Walk in","ColUATele")</f>
        <v>UA</v>
      </c>
      <c r="W14" s="24" t="str">
        <f t="shared" si="8"/>
        <v>UA : Urine Analysis In House</v>
      </c>
      <c r="X14" s="222" t="str">
        <f t="shared" si="9"/>
        <v>UA : Urine Analysis In House</v>
      </c>
      <c r="Y14" s="222" t="str">
        <f t="shared" si="10"/>
        <v>MATCH</v>
      </c>
      <c r="Z14" s="224" t="str">
        <f t="shared" si="11"/>
        <v> </v>
      </c>
      <c r="AA14" s="244"/>
    </row>
    <row r="15">
      <c r="A15" s="214" t="str">
        <f>IFS($B15=FALSE,"",$B15,VLOOKUP($B15,'PATIENT DATA (072721)'!A:C, 2, 0))</f>
        <v>GAINES, TRANAY E</v>
      </c>
      <c r="B15" s="215">
        <v>14262.0</v>
      </c>
      <c r="C15" s="216" t="str">
        <f>IF(COUNTIF('PATIENT DATA (072721)'!A:A, B15)=0, "X","✓")</f>
        <v>✓</v>
      </c>
      <c r="D15" s="226">
        <f>IFS($B15=FALSE,"",$B15,VLOOKUP($B15,'PATIENT DATA (072721)'!A:C, 3, 0))</f>
        <v>31118</v>
      </c>
      <c r="E15" s="218">
        <v>44575.0</v>
      </c>
      <c r="F15" s="219">
        <f>ifs($B15="","",$B15, VLOOKUP($B15&amp;$E15, 'VISIT DATA'!A:O,3,0))</f>
        <v>0.3854166667</v>
      </c>
      <c r="G15" s="220" t="s">
        <v>6323</v>
      </c>
      <c r="H15" s="221" t="s">
        <v>15</v>
      </c>
      <c r="I15" s="222" t="str">
        <f>VLOOKUP($B15&amp;$E15,'VISIT DATA'!A:J, 9, FALSE)</f>
        <v>MARTINEZ</v>
      </c>
      <c r="J15" s="223" t="str">
        <f>VLOOKUP(B15&amp;E15,'VISIT DATA'!A:N,10,FALSE)</f>
        <v>MEDICARE TEXAS</v>
      </c>
      <c r="K15" s="225"/>
      <c r="L15" s="224" t="s">
        <v>6242</v>
      </c>
      <c r="M15" s="224" t="s">
        <v>6242</v>
      </c>
      <c r="N15" s="225"/>
      <c r="O15" s="216" t="str">
        <f t="shared" si="1"/>
        <v>✓</v>
      </c>
      <c r="P15" s="226" t="str">
        <f t="shared" si="2"/>
        <v>#VALUE!</v>
      </c>
      <c r="Q15" s="227" t="str">
        <f t="shared" si="3"/>
        <v>#VALUE!</v>
      </c>
      <c r="R15" s="228" t="str">
        <f t="shared" si="4"/>
        <v>#VALUE!</v>
      </c>
      <c r="S15" s="220" t="str">
        <f t="shared" si="5"/>
        <v>#VALUE!</v>
      </c>
      <c r="T15" s="220" t="str">
        <f t="shared" si="6"/>
        <v>#VALUE!</v>
      </c>
      <c r="U15" s="221">
        <f t="shared" si="7"/>
        <v>0</v>
      </c>
      <c r="V15" s="229" t="str">
        <f>ifs($N15="",VLOOKUP($B15&amp;$E15,'VISIT DATA'!$A$2:$J100,7,FALSE), $N15="SWAB","OUTSA-RW",$N15="SWQU","OUTSA-SaQu", AND($L15="X",$M15="X",$N15="QUEST"),"OUT-UAQPre",$N15="QUEST","OUT-UAQ", $N15="Walk in","ColUATele")</f>
        <v>UA-Prelim</v>
      </c>
      <c r="W15" s="24" t="str">
        <f t="shared" si="8"/>
        <v>UA-Prelim : Preliminary UA Test</v>
      </c>
      <c r="X15" s="222" t="str">
        <f t="shared" si="9"/>
        <v>UA-Prelim : Preliminary UA Test</v>
      </c>
      <c r="Y15" s="222" t="str">
        <f t="shared" si="10"/>
        <v>MATCH</v>
      </c>
      <c r="Z15" s="224" t="str">
        <f t="shared" si="11"/>
        <v> </v>
      </c>
      <c r="AA15" s="244"/>
    </row>
    <row r="16">
      <c r="A16" s="214" t="str">
        <f>IFS($B16=FALSE,"",$B16,VLOOKUP($B16,'PATIENT DATA (072721)'!A:C, 2, 0))</f>
        <v>YANEZ, THELMA</v>
      </c>
      <c r="B16" s="215">
        <v>12902.0</v>
      </c>
      <c r="C16" s="216" t="str">
        <f>IF(COUNTIF('PATIENT DATA (072721)'!A:A, B16)=0, "X","✓")</f>
        <v>✓</v>
      </c>
      <c r="D16" s="226">
        <f>IFS($B16=FALSE,"",$B16,VLOOKUP($B16,'PATIENT DATA (072721)'!A:C, 3, 0))</f>
        <v>22034</v>
      </c>
      <c r="E16" s="218">
        <v>44575.0</v>
      </c>
      <c r="F16" s="219">
        <f>ifs($B16="","",$B16, VLOOKUP($B16&amp;$E16, 'VISIT DATA'!A:O,3,0))</f>
        <v>0.4166666667</v>
      </c>
      <c r="G16" s="220" t="s">
        <v>6323</v>
      </c>
      <c r="H16" s="221" t="s">
        <v>12</v>
      </c>
      <c r="I16" s="222" t="str">
        <f>VLOOKUP($B16&amp;$E16,'VISIT DATA'!A:J, 9, FALSE)</f>
        <v>LOPEZ</v>
      </c>
      <c r="J16" s="223" t="str">
        <f>VLOOKUP(B16&amp;E16,'VISIT DATA'!A:N,10,FALSE)</f>
        <v>AMERIGROUP</v>
      </c>
      <c r="K16" s="224"/>
      <c r="L16" s="224" t="s">
        <v>6341</v>
      </c>
      <c r="M16" s="224"/>
      <c r="N16" s="225"/>
      <c r="O16" s="216" t="str">
        <f t="shared" si="1"/>
        <v>✓</v>
      </c>
      <c r="P16" s="226" t="str">
        <f t="shared" si="2"/>
        <v>#VALUE!</v>
      </c>
      <c r="Q16" s="227" t="str">
        <f t="shared" si="3"/>
        <v>#VALUE!</v>
      </c>
      <c r="R16" s="228" t="str">
        <f t="shared" si="4"/>
        <v>#VALUE!</v>
      </c>
      <c r="S16" s="220" t="str">
        <f t="shared" si="5"/>
        <v>#VALUE!</v>
      </c>
      <c r="T16" s="220" t="str">
        <f t="shared" si="6"/>
        <v>#VALUE!</v>
      </c>
      <c r="U16" s="221">
        <f t="shared" si="7"/>
        <v>0</v>
      </c>
      <c r="V16" s="229" t="str">
        <f>ifs($N16="",VLOOKUP($B16&amp;$E16,'VISIT DATA'!$A$2:$J100,7,FALSE), $N16="SWAB","OUTSA-RW",$N16="SWQU","OUTSA-SaQu", AND($L16="X",$M16="X",$N16="QUEST"),"OUT-UAQPre",$N16="QUEST","OUT-UAQ", $N16="Walk in","ColUATele")</f>
        <v>UA</v>
      </c>
      <c r="W16" s="24" t="str">
        <f t="shared" si="8"/>
        <v>UA : Urine Analysis In House</v>
      </c>
      <c r="X16" s="222" t="str">
        <f t="shared" si="9"/>
        <v>UA : Urine Analysis In House</v>
      </c>
      <c r="Y16" s="222" t="str">
        <f t="shared" si="10"/>
        <v>MATCH</v>
      </c>
      <c r="Z16" s="224" t="str">
        <f t="shared" si="11"/>
        <v> </v>
      </c>
      <c r="AA16" s="244"/>
    </row>
    <row r="17">
      <c r="A17" s="214" t="str">
        <f>IFS($B17=FALSE,"",$B17,VLOOKUP($B17,'PATIENT DATA (072721)'!A:C, 2, 0))</f>
        <v>DAVIS, SANTA M</v>
      </c>
      <c r="B17" s="215">
        <v>16297.0</v>
      </c>
      <c r="C17" s="216" t="str">
        <f>IF(COUNTIF('PATIENT DATA (072721)'!A:A, B17)=0, "X","✓")</f>
        <v>✓</v>
      </c>
      <c r="D17" s="226">
        <f>IFS($B17=FALSE,"",$B17,VLOOKUP($B17,'PATIENT DATA (072721)'!A:C, 3, 0))</f>
        <v>15281</v>
      </c>
      <c r="E17" s="218">
        <v>44575.0</v>
      </c>
      <c r="F17" s="219">
        <f>ifs($B17="","",$B17, VLOOKUP($B17&amp;$E17, 'VISIT DATA'!A:O,3,0))</f>
        <v>0.4166666667</v>
      </c>
      <c r="G17" s="220" t="s">
        <v>6323</v>
      </c>
      <c r="H17" s="221" t="s">
        <v>14</v>
      </c>
      <c r="I17" s="222" t="str">
        <f>VLOOKUP($B17&amp;$E17,'VISIT DATA'!A:J, 9, FALSE)</f>
        <v>TORRES</v>
      </c>
      <c r="J17" s="223" t="str">
        <f>VLOOKUP(B17&amp;E17,'VISIT DATA'!A:N,10,FALSE)</f>
        <v>SELF-PAY</v>
      </c>
      <c r="K17" s="225"/>
      <c r="L17" s="224" t="s">
        <v>6242</v>
      </c>
      <c r="M17" s="224" t="s">
        <v>6242</v>
      </c>
      <c r="N17" s="224"/>
      <c r="O17" s="216" t="str">
        <f t="shared" si="1"/>
        <v>✓</v>
      </c>
      <c r="P17" s="226" t="str">
        <f t="shared" si="2"/>
        <v>#VALUE!</v>
      </c>
      <c r="Q17" s="227" t="str">
        <f t="shared" si="3"/>
        <v>#VALUE!</v>
      </c>
      <c r="R17" s="228" t="str">
        <f t="shared" si="4"/>
        <v>#VALUE!</v>
      </c>
      <c r="S17" s="220" t="str">
        <f t="shared" si="5"/>
        <v>#VALUE!</v>
      </c>
      <c r="T17" s="220" t="str">
        <f t="shared" si="6"/>
        <v>X</v>
      </c>
      <c r="U17" s="221">
        <f t="shared" si="7"/>
        <v>1</v>
      </c>
      <c r="V17" s="229" t="str">
        <f>ifs($N17="",VLOOKUP($B17&amp;$E17,'VISIT DATA'!$A$2:$J100,7,FALSE), $N17="SWAB","OUTSA-RW",$N17="SWQU","OUTSA-SaQu", AND($L17="X",$M17="X",$N17="QUEST"),"OUT-UAQPre",$N17="QUEST","OUT-UAQ", $N17="Walk in","ColUATele")</f>
        <v>OUTUA-PrRW</v>
      </c>
      <c r="W17" s="24" t="str">
        <f t="shared" si="8"/>
        <v>OUTUA-PrRW : OUT UA Prelimin Redwood</v>
      </c>
      <c r="X17" s="222" t="str">
        <f t="shared" si="9"/>
        <v>OUTUA-PrRW : OUT UA Prelimin Redwood</v>
      </c>
      <c r="Y17" s="222" t="str">
        <f t="shared" si="10"/>
        <v>MATCH</v>
      </c>
      <c r="Z17" s="224" t="str">
        <f t="shared" si="11"/>
        <v> </v>
      </c>
      <c r="AA17" s="245"/>
    </row>
    <row r="18">
      <c r="A18" s="214" t="str">
        <f>IFS($B18=FALSE,"",$B18,VLOOKUP($B18,'PATIENT DATA (072721)'!A:C, 2, 0))</f>
        <v>MARTINEZ, PAZ</v>
      </c>
      <c r="B18" s="215">
        <v>16184.0</v>
      </c>
      <c r="C18" s="216" t="str">
        <f>IF(COUNTIF('PATIENT DATA (072721)'!A:A, B18)=0, "X","✓")</f>
        <v>✓</v>
      </c>
      <c r="D18" s="226">
        <f>IFS($B18=FALSE,"",$B18,VLOOKUP($B18,'PATIENT DATA (072721)'!A:C, 3, 0))</f>
        <v>17049</v>
      </c>
      <c r="E18" s="218">
        <v>44575.0</v>
      </c>
      <c r="F18" s="219">
        <f>ifs($B18="","",$B18, VLOOKUP($B18&amp;$E18, 'VISIT DATA'!A:O,3,0))</f>
        <v>0.4166666667</v>
      </c>
      <c r="G18" s="220" t="s">
        <v>6323</v>
      </c>
      <c r="H18" s="221" t="s">
        <v>13</v>
      </c>
      <c r="I18" s="222" t="str">
        <f>VLOOKUP($B18&amp;$E18,'VISIT DATA'!A:J, 9, FALSE)</f>
        <v>THOMAS</v>
      </c>
      <c r="J18" s="223" t="str">
        <f>VLOOKUP(B18&amp;E18,'VISIT DATA'!A:N,10,FALSE)</f>
        <v>WELLMED - UHC DUAL COMPLETE HMO SNP</v>
      </c>
      <c r="K18" s="224"/>
      <c r="L18" s="224" t="s">
        <v>6242</v>
      </c>
      <c r="M18" s="224" t="s">
        <v>6242</v>
      </c>
      <c r="N18" s="224"/>
      <c r="O18" s="216" t="str">
        <f t="shared" si="1"/>
        <v>✓</v>
      </c>
      <c r="P18" s="226" t="str">
        <f t="shared" si="2"/>
        <v>X</v>
      </c>
      <c r="Q18" s="227" t="str">
        <f t="shared" si="3"/>
        <v>#VALUE!</v>
      </c>
      <c r="R18" s="228" t="str">
        <f t="shared" si="4"/>
        <v>#VALUE!</v>
      </c>
      <c r="S18" s="220" t="str">
        <f t="shared" si="5"/>
        <v>#VALUE!</v>
      </c>
      <c r="T18" s="220" t="str">
        <f t="shared" si="6"/>
        <v>#VALUE!</v>
      </c>
      <c r="U18" s="221">
        <f t="shared" si="7"/>
        <v>1</v>
      </c>
      <c r="V18" s="229" t="str">
        <f>ifs($N18="",VLOOKUP($B18&amp;$E18,'VISIT DATA'!$A$2:$J100,7,FALSE), $N18="SWAB","OUTSA-RW",$N18="SWQU","OUTSA-SaQu", AND($L18="X",$M18="X",$N18="QUEST"),"OUT-UAQPre",$N18="QUEST","OUT-UAQ", $N18="Walk in","ColUATele")</f>
        <v>OUTUA-PrRW</v>
      </c>
      <c r="W18" s="24" t="str">
        <f t="shared" si="8"/>
        <v>OUTUA-PrRW : OUT UA Prelimin Redwood</v>
      </c>
      <c r="X18" s="222" t="str">
        <f t="shared" si="9"/>
        <v>OUTUA-PrRW : OUT UA Prelimin Redwood</v>
      </c>
      <c r="Y18" s="222" t="str">
        <f t="shared" si="10"/>
        <v>MATCH</v>
      </c>
      <c r="Z18" s="224" t="str">
        <f t="shared" si="11"/>
        <v> </v>
      </c>
      <c r="AA18" s="244"/>
    </row>
    <row r="19">
      <c r="A19" s="214" t="str">
        <f>IFS($B19=FALSE,"",$B19,VLOOKUP($B19,'PATIENT DATA (072721)'!A:C, 2, 0))</f>
        <v>PEREZ, CRUZ A</v>
      </c>
      <c r="B19" s="215">
        <v>15309.0</v>
      </c>
      <c r="C19" s="216" t="str">
        <f>IF(COUNTIF('PATIENT DATA (072721)'!A:A, B19)=0, "X","✓")</f>
        <v>✓</v>
      </c>
      <c r="D19" s="226">
        <f>IFS($B19=FALSE,"",$B19,VLOOKUP($B19,'PATIENT DATA (072721)'!A:C, 3, 0))</f>
        <v>22714</v>
      </c>
      <c r="E19" s="218">
        <v>44575.0</v>
      </c>
      <c r="F19" s="219">
        <f>ifs($B19="","",$B19, VLOOKUP($B19&amp;$E19, 'VISIT DATA'!A:O,3,0))</f>
        <v>0.40625</v>
      </c>
      <c r="G19" s="220" t="s">
        <v>6328</v>
      </c>
      <c r="H19" s="221" t="s">
        <v>15</v>
      </c>
      <c r="I19" s="222" t="str">
        <f>VLOOKUP($B19&amp;$E19,'VISIT DATA'!A:J, 9, FALSE)</f>
        <v>MARTINEZ</v>
      </c>
      <c r="J19" s="223" t="str">
        <f>VLOOKUP(B19&amp;E19,'VISIT DATA'!A:N,10,FALSE)</f>
        <v>WELLMED - CIGNA HEALTHSPRING</v>
      </c>
      <c r="K19" s="225"/>
      <c r="L19" s="224" t="s">
        <v>6242</v>
      </c>
      <c r="M19" s="224" t="s">
        <v>6242</v>
      </c>
      <c r="N19" s="225"/>
      <c r="O19" s="216" t="str">
        <f t="shared" si="1"/>
        <v>✓</v>
      </c>
      <c r="P19" s="226" t="str">
        <f t="shared" si="2"/>
        <v>X</v>
      </c>
      <c r="Q19" s="227" t="str">
        <f t="shared" si="3"/>
        <v>#VALUE!</v>
      </c>
      <c r="R19" s="228" t="str">
        <f t="shared" si="4"/>
        <v>#VALUE!</v>
      </c>
      <c r="S19" s="220" t="str">
        <f t="shared" si="5"/>
        <v>#VALUE!</v>
      </c>
      <c r="T19" s="220" t="str">
        <f t="shared" si="6"/>
        <v>#VALUE!</v>
      </c>
      <c r="U19" s="221">
        <f t="shared" si="7"/>
        <v>1</v>
      </c>
      <c r="V19" s="229" t="str">
        <f>ifs($N19="",VLOOKUP($B19&amp;$E19,'VISIT DATA'!$A$2:$J100,7,FALSE), $N19="SWAB","OUTSA-RW",$N19="SWQU","OUTSA-SaQu", AND($L19="X",$M19="X",$N19="QUEST"),"OUT-UAQPre",$N19="QUEST","OUT-UAQ", $N19="Walk in","ColUATele")</f>
        <v>OUTUA-PrRW</v>
      </c>
      <c r="W19" s="24" t="str">
        <f t="shared" si="8"/>
        <v>OUTUA-PrRW : OUT UA Prelimin Redwood</v>
      </c>
      <c r="X19" s="222" t="str">
        <f t="shared" si="9"/>
        <v>OUTUA-PrRW : OUT UA Prelimin Redwood</v>
      </c>
      <c r="Y19" s="222" t="str">
        <f t="shared" si="10"/>
        <v>MATCH</v>
      </c>
      <c r="Z19" s="224" t="str">
        <f t="shared" si="11"/>
        <v> </v>
      </c>
      <c r="AA19" s="244"/>
    </row>
    <row r="20">
      <c r="A20" s="214" t="str">
        <f>IFS($B20=FALSE,"",$B20,VLOOKUP($B20,'PATIENT DATA (072721)'!A:C, 2, 0))</f>
        <v>GALLARDO, RAMONA</v>
      </c>
      <c r="B20" s="215">
        <v>16383.0</v>
      </c>
      <c r="C20" s="216" t="str">
        <f>IF(COUNTIF('PATIENT DATA (072721)'!A:A, B20)=0, "X","✓")</f>
        <v>✓</v>
      </c>
      <c r="D20" s="226">
        <f>IFS($B20=FALSE,"",$B20,VLOOKUP($B20,'PATIENT DATA (072721)'!A:C, 3, 0))</f>
        <v>13721</v>
      </c>
      <c r="E20" s="218">
        <v>44575.0</v>
      </c>
      <c r="F20" s="219">
        <f>ifs($B20="","",$B20, VLOOKUP($B20&amp;$E20, 'VISIT DATA'!A:O,3,0))</f>
        <v>0.4166666667</v>
      </c>
      <c r="G20" s="220" t="s">
        <v>6323</v>
      </c>
      <c r="H20" s="221" t="s">
        <v>15</v>
      </c>
      <c r="I20" s="222" t="str">
        <f>VLOOKUP($B20&amp;$E20,'VISIT DATA'!A:J, 9, FALSE)</f>
        <v>MARTINEZ</v>
      </c>
      <c r="J20" s="223" t="str">
        <f>VLOOKUP(B20&amp;E20,'VISIT DATA'!A:N,10,FALSE)</f>
        <v>WELLMED - UHC DUAL COMPLETE SNP</v>
      </c>
      <c r="K20" s="225"/>
      <c r="L20" s="224" t="s">
        <v>6242</v>
      </c>
      <c r="M20" s="224"/>
      <c r="N20" s="224"/>
      <c r="O20" s="216" t="str">
        <f t="shared" si="1"/>
        <v>✓</v>
      </c>
      <c r="P20" s="226" t="str">
        <f t="shared" si="2"/>
        <v>X</v>
      </c>
      <c r="Q20" s="227" t="str">
        <f t="shared" si="3"/>
        <v>#VALUE!</v>
      </c>
      <c r="R20" s="228" t="str">
        <f t="shared" si="4"/>
        <v>#VALUE!</v>
      </c>
      <c r="S20" s="220" t="str">
        <f t="shared" si="5"/>
        <v>#VALUE!</v>
      </c>
      <c r="T20" s="220" t="str">
        <f t="shared" si="6"/>
        <v>#VALUE!</v>
      </c>
      <c r="U20" s="221">
        <f t="shared" si="7"/>
        <v>1</v>
      </c>
      <c r="V20" s="229" t="str">
        <f>ifs($N20="",VLOOKUP($B20&amp;$E20,'VISIT DATA'!$A$2:$J100,7,FALSE), $N20="SWAB","OUTSA-RW",$N20="SWQU","OUTSA-SaQu", AND($L20="X",$M20="X",$N20="QUEST"),"OUT-UAQPre",$N20="QUEST","OUT-UAQ", $N20="Walk in","ColUATele")</f>
        <v>OUTUA-FURW</v>
      </c>
      <c r="W20" s="24" t="str">
        <f t="shared" si="8"/>
        <v>OUTUA-FURW : OUT UA FU Redwood</v>
      </c>
      <c r="X20" s="222" t="str">
        <f t="shared" si="9"/>
        <v>OUTUA-FURW : OUT UA FU Redwood</v>
      </c>
      <c r="Y20" s="222" t="str">
        <f t="shared" si="10"/>
        <v>MATCH</v>
      </c>
      <c r="Z20" s="224" t="str">
        <f t="shared" si="11"/>
        <v> </v>
      </c>
      <c r="AA20" s="244"/>
    </row>
    <row r="21">
      <c r="A21" s="214" t="str">
        <f>IFS($B21=FALSE,"",$B21,VLOOKUP($B21,'PATIENT DATA (072721)'!A:C, 2, 0))</f>
        <v>BRASWELL, PETER</v>
      </c>
      <c r="B21" s="215">
        <v>15683.0</v>
      </c>
      <c r="C21" s="216" t="str">
        <f>IF(COUNTIF('PATIENT DATA (072721)'!A:A, B21)=0, "X","✓")</f>
        <v>✓</v>
      </c>
      <c r="D21" s="226">
        <f>IFS($B21=FALSE,"",$B21,VLOOKUP($B21,'PATIENT DATA (072721)'!A:C, 3, 0))</f>
        <v>25687</v>
      </c>
      <c r="E21" s="218">
        <v>44575.0</v>
      </c>
      <c r="F21" s="219">
        <f>ifs($B21="","",$B21, VLOOKUP($B21&amp;$E21, 'VISIT DATA'!A:O,3,0))</f>
        <v>0.4270833333</v>
      </c>
      <c r="G21" s="220" t="s">
        <v>6328</v>
      </c>
      <c r="H21" s="221" t="s">
        <v>15</v>
      </c>
      <c r="I21" s="222" t="str">
        <f>VLOOKUP($B21&amp;$E21,'VISIT DATA'!A:J, 9, FALSE)</f>
        <v>MARTINEZ</v>
      </c>
      <c r="J21" s="223" t="str">
        <f>VLOOKUP(B21&amp;E21,'VISIT DATA'!A:N,10,FALSE)</f>
        <v>AETNA MEDICARE ADVANTAGE</v>
      </c>
      <c r="K21" s="225"/>
      <c r="L21" s="224" t="s">
        <v>6242</v>
      </c>
      <c r="M21" s="224" t="s">
        <v>6242</v>
      </c>
      <c r="N21" s="225"/>
      <c r="O21" s="216" t="str">
        <f t="shared" si="1"/>
        <v>✓</v>
      </c>
      <c r="P21" s="226" t="str">
        <f t="shared" si="2"/>
        <v>#VALUE!</v>
      </c>
      <c r="Q21" s="227" t="str">
        <f t="shared" si="3"/>
        <v>#VALUE!</v>
      </c>
      <c r="R21" s="228" t="str">
        <f t="shared" si="4"/>
        <v>#VALUE!</v>
      </c>
      <c r="S21" s="220" t="str">
        <f t="shared" si="5"/>
        <v>#VALUE!</v>
      </c>
      <c r="T21" s="220" t="str">
        <f t="shared" si="6"/>
        <v>#VALUE!</v>
      </c>
      <c r="U21" s="221">
        <f t="shared" si="7"/>
        <v>0</v>
      </c>
      <c r="V21" s="229" t="str">
        <f>ifs($N21="",VLOOKUP($B21&amp;$E21,'VISIT DATA'!$A$2:$J100,7,FALSE), $N21="SWAB","OUTSA-RW",$N21="SWQU","OUTSA-SaQu", AND($L21="X",$M21="X",$N21="QUEST"),"OUT-UAQPre",$N21="QUEST","OUT-UAQ", $N21="Walk in","ColUATele")</f>
        <v>UA-Prelim</v>
      </c>
      <c r="W21" s="24" t="str">
        <f t="shared" si="8"/>
        <v>UA-Prelim : Preliminary UA Test</v>
      </c>
      <c r="X21" s="222" t="str">
        <f t="shared" si="9"/>
        <v>UA-Prelim : Preliminary UA Test</v>
      </c>
      <c r="Y21" s="222" t="str">
        <f t="shared" si="10"/>
        <v>MATCH</v>
      </c>
      <c r="Z21" s="224" t="str">
        <f t="shared" si="11"/>
        <v> </v>
      </c>
      <c r="AA21" s="244"/>
    </row>
    <row r="22">
      <c r="A22" s="214" t="str">
        <f>IFS($B22=FALSE,"",$B22,VLOOKUP($B22,'PATIENT DATA (072721)'!A:C, 2, 0))</f>
        <v>VARGAS, ESPIRIDION</v>
      </c>
      <c r="B22" s="215">
        <v>9373.0</v>
      </c>
      <c r="C22" s="216" t="str">
        <f>IF(COUNTIF('PATIENT DATA (072721)'!A:A, B22)=0, "X","✓")</f>
        <v>✓</v>
      </c>
      <c r="D22" s="226">
        <f>IFS($B22=FALSE,"",$B22,VLOOKUP($B22,'PATIENT DATA (072721)'!A:C, 3, 0))</f>
        <v>27133</v>
      </c>
      <c r="E22" s="218">
        <v>44575.0</v>
      </c>
      <c r="F22" s="219">
        <f>ifs($B22="","",$B22, VLOOKUP($B22&amp;$E22, 'VISIT DATA'!A:O,3,0))</f>
        <v>0.40625</v>
      </c>
      <c r="G22" s="220" t="s">
        <v>6328</v>
      </c>
      <c r="H22" s="221" t="s">
        <v>15</v>
      </c>
      <c r="I22" s="222" t="str">
        <f>VLOOKUP($B22&amp;$E22,'VISIT DATA'!A:J, 9, FALSE)</f>
        <v>MARTINEZ</v>
      </c>
      <c r="J22" s="223" t="str">
        <f>VLOOKUP(B22&amp;E22,'VISIT DATA'!A:N,10,FALSE)</f>
        <v>WPS VA - COMMUNITY CARE</v>
      </c>
      <c r="K22" s="225"/>
      <c r="L22" s="224" t="s">
        <v>6242</v>
      </c>
      <c r="M22" s="224"/>
      <c r="N22" s="225"/>
      <c r="O22" s="216" t="str">
        <f t="shared" si="1"/>
        <v>✓</v>
      </c>
      <c r="P22" s="226" t="str">
        <f t="shared" si="2"/>
        <v>#VALUE!</v>
      </c>
      <c r="Q22" s="227" t="str">
        <f t="shared" si="3"/>
        <v>#VALUE!</v>
      </c>
      <c r="R22" s="228" t="str">
        <f t="shared" si="4"/>
        <v>#VALUE!</v>
      </c>
      <c r="S22" s="220" t="str">
        <f t="shared" si="5"/>
        <v>#VALUE!</v>
      </c>
      <c r="T22" s="220" t="str">
        <f t="shared" si="6"/>
        <v>#VALUE!</v>
      </c>
      <c r="U22" s="221">
        <f t="shared" si="7"/>
        <v>0</v>
      </c>
      <c r="V22" s="229" t="str">
        <f>ifs($N22="",VLOOKUP($B22&amp;$E22,'VISIT DATA'!$A$2:$J100,7,FALSE), $N22="SWAB","OUTSA-RW",$N22="SWQU","OUTSA-SaQu", AND($L22="X",$M22="X",$N22="QUEST"),"OUT-UAQPre",$N22="QUEST","OUT-UAQ", $N22="Walk in","ColUATele")</f>
        <v>UA</v>
      </c>
      <c r="W22" s="24" t="str">
        <f t="shared" si="8"/>
        <v>UA : Urine Analysis In House</v>
      </c>
      <c r="X22" s="222" t="str">
        <f t="shared" si="9"/>
        <v>UA : Urine Analysis In House</v>
      </c>
      <c r="Y22" s="222" t="str">
        <f t="shared" si="10"/>
        <v>MATCH</v>
      </c>
      <c r="Z22" s="224" t="str">
        <f t="shared" si="11"/>
        <v> </v>
      </c>
      <c r="AA22" s="244"/>
    </row>
    <row r="23">
      <c r="A23" s="214" t="str">
        <f>IFS($B23=FALSE,"",$B23,VLOOKUP($B23,'PATIENT DATA (072721)'!A:C, 2, 0))</f>
        <v>GONZALEZ, JESUS</v>
      </c>
      <c r="B23" s="215">
        <v>11363.0</v>
      </c>
      <c r="C23" s="216" t="str">
        <f>IF(COUNTIF('PATIENT DATA (072721)'!A:A, B23)=0, "X","✓")</f>
        <v>✓</v>
      </c>
      <c r="D23" s="226">
        <f>IFS($B23=FALSE,"",$B23,VLOOKUP($B23,'PATIENT DATA (072721)'!A:C, 3, 0))</f>
        <v>23246</v>
      </c>
      <c r="E23" s="218">
        <v>44575.0</v>
      </c>
      <c r="F23" s="219">
        <f>ifs($B23="","",$B23, VLOOKUP($B23&amp;$E23, 'VISIT DATA'!A:O,3,0))</f>
        <v>0.4166666667</v>
      </c>
      <c r="G23" s="220" t="s">
        <v>6328</v>
      </c>
      <c r="H23" s="221" t="s">
        <v>15</v>
      </c>
      <c r="I23" s="222" t="str">
        <f>VLOOKUP($B23&amp;$E23,'VISIT DATA'!A:J, 9, FALSE)</f>
        <v>MARTINEZ</v>
      </c>
      <c r="J23" s="223" t="str">
        <f>VLOOKUP(B23&amp;E23,'VISIT DATA'!A:N,10,FALSE)</f>
        <v>AETNA</v>
      </c>
      <c r="K23" s="225"/>
      <c r="L23" s="224" t="s">
        <v>6242</v>
      </c>
      <c r="M23" s="224" t="s">
        <v>6242</v>
      </c>
      <c r="N23" s="224" t="s">
        <v>6439</v>
      </c>
      <c r="O23" s="216" t="str">
        <f t="shared" si="1"/>
        <v>✓</v>
      </c>
      <c r="P23" s="226" t="str">
        <f t="shared" si="2"/>
        <v>#VALUE!</v>
      </c>
      <c r="Q23" s="227" t="str">
        <f t="shared" si="3"/>
        <v>#VALUE!</v>
      </c>
      <c r="R23" s="228" t="str">
        <f t="shared" si="4"/>
        <v>#VALUE!</v>
      </c>
      <c r="S23" s="220" t="str">
        <f t="shared" si="5"/>
        <v>#VALUE!</v>
      </c>
      <c r="T23" s="220" t="str">
        <f t="shared" si="6"/>
        <v>#VALUE!</v>
      </c>
      <c r="U23" s="221">
        <f t="shared" si="7"/>
        <v>0</v>
      </c>
      <c r="V23" s="229" t="str">
        <f>ifs($N23="",VLOOKUP($B23&amp;$E23,'VISIT DATA'!$A$2:$J100,7,FALSE), $N23="SWAB","OUTSA-RW",$N23="SWQU","OUTSA-SaQu", AND($L23="X",$M23="X",$N23="QUEST"),"OUT-UAQPre",$N23="QUEST","OUT-UAQ", $N23="Walk in","ColUATele")</f>
        <v>OUT-UAQPre</v>
      </c>
      <c r="W23" s="24" t="str">
        <f t="shared" si="8"/>
        <v>OUT-UAQPre : OUT UA Prelim Quest</v>
      </c>
      <c r="X23" s="222" t="str">
        <f t="shared" si="9"/>
        <v>UA-Prelim : Preliminary UA Test</v>
      </c>
      <c r="Y23" s="222" t="str">
        <f t="shared" si="10"/>
        <v>NO MATCH</v>
      </c>
      <c r="Z23" s="224" t="str">
        <f t="shared" si="11"/>
        <v> </v>
      </c>
      <c r="AA23" s="245" t="s">
        <v>6440</v>
      </c>
    </row>
    <row r="24">
      <c r="A24" s="214" t="str">
        <f>IFS($B24=FALSE,"",$B24,VLOOKUP($B24,'PATIENT DATA (072721)'!A:C, 2, 0))</f>
        <v>ARROYO, ALEXIS</v>
      </c>
      <c r="B24" s="215">
        <v>10338.0</v>
      </c>
      <c r="C24" s="216" t="str">
        <f>IF(COUNTIF('PATIENT DATA (072721)'!A:A, B24)=0, "X","✓")</f>
        <v>✓</v>
      </c>
      <c r="D24" s="226">
        <f>IFS($B24=FALSE,"",$B24,VLOOKUP($B24,'PATIENT DATA (072721)'!A:C, 3, 0))</f>
        <v>34388</v>
      </c>
      <c r="E24" s="218">
        <v>44575.0</v>
      </c>
      <c r="F24" s="219">
        <f>ifs($B24="","",$B24, VLOOKUP($B24&amp;$E24, 'VISIT DATA'!A:O,3,0))</f>
        <v>0.4479166667</v>
      </c>
      <c r="G24" s="220" t="s">
        <v>6323</v>
      </c>
      <c r="H24" s="221" t="s">
        <v>14</v>
      </c>
      <c r="I24" s="222" t="str">
        <f>VLOOKUP($B24&amp;$E24,'VISIT DATA'!A:J, 9, FALSE)</f>
        <v>TORRES</v>
      </c>
      <c r="J24" s="223" t="str">
        <f>VLOOKUP(B24&amp;E24,'VISIT DATA'!A:N,10,FALSE)</f>
        <v>EL PASO HEALTH PLAN</v>
      </c>
      <c r="K24" s="225"/>
      <c r="L24" s="224" t="s">
        <v>6242</v>
      </c>
      <c r="M24" s="224" t="s">
        <v>6242</v>
      </c>
      <c r="N24" s="224"/>
      <c r="O24" s="216" t="str">
        <f t="shared" si="1"/>
        <v>✓</v>
      </c>
      <c r="P24" s="226" t="str">
        <f t="shared" si="2"/>
        <v>#VALUE!</v>
      </c>
      <c r="Q24" s="227" t="str">
        <f t="shared" si="3"/>
        <v>#VALUE!</v>
      </c>
      <c r="R24" s="228" t="str">
        <f t="shared" si="4"/>
        <v>#VALUE!</v>
      </c>
      <c r="S24" s="220" t="str">
        <f t="shared" si="5"/>
        <v>#VALUE!</v>
      </c>
      <c r="T24" s="220" t="str">
        <f t="shared" si="6"/>
        <v>#VALUE!</v>
      </c>
      <c r="U24" s="221">
        <f t="shared" si="7"/>
        <v>0</v>
      </c>
      <c r="V24" s="229" t="str">
        <f>ifs($N24="",VLOOKUP($B24&amp;$E24,'VISIT DATA'!$A$2:$J100,7,FALSE), $N24="SWAB","OUTSA-RW",$N24="SWQU","OUTSA-SaQu", AND($L24="X",$M24="X",$N24="QUEST"),"OUT-UAQPre",$N24="QUEST","OUT-UAQ", $N24="Walk in","ColUATele")</f>
        <v>UA-Prelim</v>
      </c>
      <c r="W24" s="24" t="str">
        <f t="shared" si="8"/>
        <v>UA-Prelim : Preliminary UA Test</v>
      </c>
      <c r="X24" s="222" t="str">
        <f t="shared" si="9"/>
        <v>UA-Prelim : Preliminary UA Test</v>
      </c>
      <c r="Y24" s="222" t="str">
        <f t="shared" si="10"/>
        <v>MATCH</v>
      </c>
      <c r="Z24" s="224" t="str">
        <f t="shared" si="11"/>
        <v> </v>
      </c>
      <c r="AA24" s="244"/>
    </row>
    <row r="25">
      <c r="A25" s="214" t="str">
        <f>IFS($B25=FALSE,"",$B25,VLOOKUP($B25,'PATIENT DATA (072721)'!A:C, 2, 0))</f>
        <v>MIJAREZ, SOFIA H</v>
      </c>
      <c r="B25" s="215">
        <v>15638.0</v>
      </c>
      <c r="C25" s="216" t="str">
        <f>IF(COUNTIF('PATIENT DATA (072721)'!A:A, B25)=0, "X","✓")</f>
        <v>✓</v>
      </c>
      <c r="D25" s="226">
        <f>IFS($B25=FALSE,"",$B25,VLOOKUP($B25,'PATIENT DATA (072721)'!A:C, 3, 0))</f>
        <v>18174</v>
      </c>
      <c r="E25" s="218">
        <v>44575.0</v>
      </c>
      <c r="F25" s="219">
        <f>ifs($B25="","",$B25, VLOOKUP($B25&amp;$E25, 'VISIT DATA'!A:O,3,0))</f>
        <v>0.46875</v>
      </c>
      <c r="G25" s="220" t="s">
        <v>6323</v>
      </c>
      <c r="H25" s="221" t="s">
        <v>13</v>
      </c>
      <c r="I25" s="222" t="str">
        <f>VLOOKUP($B25&amp;$E25,'VISIT DATA'!A:J, 9, FALSE)</f>
        <v>THOMAS</v>
      </c>
      <c r="J25" s="223" t="str">
        <f>VLOOKUP(B25&amp;E25,'VISIT DATA'!A:N,10,FALSE)</f>
        <v>WELLMED - AMERIVANTAGE</v>
      </c>
      <c r="K25" s="224"/>
      <c r="L25" s="224" t="s">
        <v>6242</v>
      </c>
      <c r="M25" s="224"/>
      <c r="N25" s="225"/>
      <c r="O25" s="216" t="str">
        <f t="shared" si="1"/>
        <v>✓</v>
      </c>
      <c r="P25" s="226" t="str">
        <f t="shared" si="2"/>
        <v>X</v>
      </c>
      <c r="Q25" s="227" t="str">
        <f t="shared" si="3"/>
        <v>#VALUE!</v>
      </c>
      <c r="R25" s="228" t="str">
        <f t="shared" si="4"/>
        <v>#VALUE!</v>
      </c>
      <c r="S25" s="220" t="str">
        <f t="shared" si="5"/>
        <v>#VALUE!</v>
      </c>
      <c r="T25" s="220" t="str">
        <f t="shared" si="6"/>
        <v>#VALUE!</v>
      </c>
      <c r="U25" s="221">
        <f t="shared" si="7"/>
        <v>1</v>
      </c>
      <c r="V25" s="229" t="str">
        <f>ifs($N25="",VLOOKUP($B25&amp;$E25,'VISIT DATA'!$A$2:$J100,7,FALSE), $N25="SWAB","OUTSA-RW",$N25="SWQU","OUTSA-SaQu", AND($L25="X",$M25="X",$N25="QUEST"),"OUT-UAQPre",$N25="QUEST","OUT-UAQ", $N25="Walk in","ColUATele")</f>
        <v>OUTUA-FURW</v>
      </c>
      <c r="W25" s="24" t="str">
        <f t="shared" si="8"/>
        <v>OUTUA-FURW : OUT UA FU Redwood</v>
      </c>
      <c r="X25" s="222" t="str">
        <f t="shared" si="9"/>
        <v>OUTUA-FURW : OUT UA FU Redwood</v>
      </c>
      <c r="Y25" s="222" t="str">
        <f t="shared" si="10"/>
        <v>MATCH</v>
      </c>
      <c r="Z25" s="224" t="str">
        <f t="shared" si="11"/>
        <v> </v>
      </c>
      <c r="AA25" s="244"/>
    </row>
    <row r="26">
      <c r="A26" s="214" t="str">
        <f>IFS($B26=FALSE,"",$B26,VLOOKUP($B26,'PATIENT DATA (072721)'!A:C, 2, 0))</f>
        <v>ARREDONDO, ANGELICA O</v>
      </c>
      <c r="B26" s="215">
        <v>10614.0</v>
      </c>
      <c r="C26" s="216" t="str">
        <f>IF(COUNTIF('PATIENT DATA (072721)'!A:A, B26)=0, "X","✓")</f>
        <v>✓</v>
      </c>
      <c r="D26" s="226">
        <f>IFS($B26=FALSE,"",$B26,VLOOKUP($B26,'PATIENT DATA (072721)'!A:C, 3, 0))</f>
        <v>19605</v>
      </c>
      <c r="E26" s="218">
        <v>44575.0</v>
      </c>
      <c r="F26" s="219">
        <f>ifs($B26="","",$B26, VLOOKUP($B26&amp;$E26, 'VISIT DATA'!A:O,3,0))</f>
        <v>0.4375</v>
      </c>
      <c r="G26" s="220" t="s">
        <v>6323</v>
      </c>
      <c r="H26" s="221" t="s">
        <v>12</v>
      </c>
      <c r="I26" s="222" t="str">
        <f>VLOOKUP($B26&amp;$E26,'VISIT DATA'!A:J, 9, FALSE)</f>
        <v>LOPEZ</v>
      </c>
      <c r="J26" s="223" t="str">
        <f>VLOOKUP(B26&amp;E26,'VISIT DATA'!A:N,10,FALSE)</f>
        <v>AETNA</v>
      </c>
      <c r="K26" s="224"/>
      <c r="L26" s="224" t="s">
        <v>6242</v>
      </c>
      <c r="M26" s="224"/>
      <c r="N26" s="224"/>
      <c r="O26" s="216" t="str">
        <f t="shared" si="1"/>
        <v>✓</v>
      </c>
      <c r="P26" s="226" t="str">
        <f t="shared" si="2"/>
        <v>#VALUE!</v>
      </c>
      <c r="Q26" s="227" t="str">
        <f t="shared" si="3"/>
        <v>#VALUE!</v>
      </c>
      <c r="R26" s="228" t="str">
        <f t="shared" si="4"/>
        <v>#VALUE!</v>
      </c>
      <c r="S26" s="220" t="str">
        <f t="shared" si="5"/>
        <v>#VALUE!</v>
      </c>
      <c r="T26" s="220" t="str">
        <f t="shared" si="6"/>
        <v>#VALUE!</v>
      </c>
      <c r="U26" s="221">
        <f t="shared" si="7"/>
        <v>0</v>
      </c>
      <c r="V26" s="229" t="str">
        <f>ifs($N26="",VLOOKUP($B26&amp;$E26,'VISIT DATA'!$A$2:$J100,7,FALSE), $N26="SWAB","OUTSA-RW",$N26="SWQU","OUTSA-SaQu", AND($L26="X",$M26="X",$N26="QUEST"),"OUT-UAQPre",$N26="QUEST","OUT-UAQ", $N26="Walk in","ColUATele")</f>
        <v>UA</v>
      </c>
      <c r="W26" s="24" t="str">
        <f t="shared" si="8"/>
        <v>UA : Urine Analysis In House</v>
      </c>
      <c r="X26" s="222" t="str">
        <f t="shared" si="9"/>
        <v>UA : Urine Analysis In House</v>
      </c>
      <c r="Y26" s="222" t="str">
        <f t="shared" si="10"/>
        <v>MATCH</v>
      </c>
      <c r="Z26" s="224" t="str">
        <f t="shared" si="11"/>
        <v> </v>
      </c>
      <c r="AA26" s="245"/>
    </row>
    <row r="27">
      <c r="A27" s="214" t="str">
        <f>IFS($B27=FALSE,"",$B27,VLOOKUP($B27,'PATIENT DATA (072721)'!A:C, 2, 0))</f>
        <v>BURCIAGA, TONY</v>
      </c>
      <c r="B27" s="215">
        <v>9227.0</v>
      </c>
      <c r="C27" s="216" t="str">
        <f>IF(COUNTIF('PATIENT DATA (072721)'!A:A, B27)=0, "X","✓")</f>
        <v>✓</v>
      </c>
      <c r="D27" s="226">
        <f>IFS($B27=FALSE,"",$B27,VLOOKUP($B27,'PATIENT DATA (072721)'!A:C, 3, 0))</f>
        <v>21258</v>
      </c>
      <c r="E27" s="218">
        <v>44575.0</v>
      </c>
      <c r="F27" s="219">
        <f>ifs($B27="","",$B27, VLOOKUP($B27&amp;$E27, 'VISIT DATA'!A:O,3,0))</f>
        <v>0.4375</v>
      </c>
      <c r="G27" s="220" t="s">
        <v>6328</v>
      </c>
      <c r="H27" s="221" t="s">
        <v>12</v>
      </c>
      <c r="I27" s="222" t="str">
        <f>VLOOKUP($B27&amp;$E27,'VISIT DATA'!A:J, 9, FALSE)</f>
        <v>THOMAS</v>
      </c>
      <c r="J27" s="223" t="str">
        <f>VLOOKUP(B27&amp;E27,'VISIT DATA'!A:N,10,FALSE)</f>
        <v>WELLMED - UHC CHRONIC COMPLETE HMO C-SNP</v>
      </c>
      <c r="K27" s="224"/>
      <c r="L27" s="224" t="s">
        <v>6242</v>
      </c>
      <c r="M27" s="224" t="s">
        <v>6242</v>
      </c>
      <c r="N27" s="225"/>
      <c r="O27" s="216" t="str">
        <f t="shared" si="1"/>
        <v>✓</v>
      </c>
      <c r="P27" s="226" t="str">
        <f t="shared" si="2"/>
        <v>X</v>
      </c>
      <c r="Q27" s="227" t="str">
        <f t="shared" si="3"/>
        <v>#VALUE!</v>
      </c>
      <c r="R27" s="228" t="str">
        <f t="shared" si="4"/>
        <v>#VALUE!</v>
      </c>
      <c r="S27" s="220" t="str">
        <f t="shared" si="5"/>
        <v>#VALUE!</v>
      </c>
      <c r="T27" s="220" t="str">
        <f t="shared" si="6"/>
        <v>#VALUE!</v>
      </c>
      <c r="U27" s="221">
        <f t="shared" si="7"/>
        <v>1</v>
      </c>
      <c r="V27" s="229" t="str">
        <f>ifs($N27="",VLOOKUP($B27&amp;$E27,'VISIT DATA'!$A$2:$J100,7,FALSE), $N27="SWAB","OUTSA-RW",$N27="SWQU","OUTSA-SaQu", AND($L27="X",$M27="X",$N27="QUEST"),"OUT-UAQPre",$N27="QUEST","OUT-UAQ", $N27="Walk in","ColUATele")</f>
        <v>OUTUA-PrRW</v>
      </c>
      <c r="W27" s="24" t="str">
        <f t="shared" si="8"/>
        <v>OUTUA-PrRW : OUT UA Prelimin Redwood</v>
      </c>
      <c r="X27" s="222" t="str">
        <f t="shared" si="9"/>
        <v>OUTUA-PrRW : OUT UA Prelimin Redwood</v>
      </c>
      <c r="Y27" s="222" t="str">
        <f t="shared" si="10"/>
        <v>MATCH</v>
      </c>
      <c r="Z27" s="224" t="str">
        <f t="shared" si="11"/>
        <v> </v>
      </c>
      <c r="AA27" s="244"/>
    </row>
    <row r="28">
      <c r="A28" s="214" t="str">
        <f>IFS($B28=FALSE,"",$B28,VLOOKUP($B28,'PATIENT DATA (072721)'!A:C, 2, 0))</f>
        <v>BACA, BLANCA</v>
      </c>
      <c r="B28" s="215">
        <v>12197.0</v>
      </c>
      <c r="C28" s="216" t="str">
        <f>IF(COUNTIF('PATIENT DATA (072721)'!A:A, B28)=0, "X","✓")</f>
        <v>✓</v>
      </c>
      <c r="D28" s="226">
        <f>IFS($B28=FALSE,"",$B28,VLOOKUP($B28,'PATIENT DATA (072721)'!A:C, 3, 0))</f>
        <v>20786</v>
      </c>
      <c r="E28" s="218">
        <v>44575.0</v>
      </c>
      <c r="F28" s="219">
        <f>ifs($B28="","",$B28, VLOOKUP($B28&amp;$E28, 'VISIT DATA'!A:O,3,0))</f>
        <v>0.4583333333</v>
      </c>
      <c r="G28" s="220" t="s">
        <v>6323</v>
      </c>
      <c r="H28" s="221" t="s">
        <v>14</v>
      </c>
      <c r="I28" s="222" t="str">
        <f>VLOOKUP($B28&amp;$E28,'VISIT DATA'!A:J, 9, FALSE)</f>
        <v>TORRES</v>
      </c>
      <c r="J28" s="223" t="str">
        <f>VLOOKUP(B28&amp;E28,'VISIT DATA'!A:N,10,FALSE)</f>
        <v>WELLCARE OF TEXAS HMO</v>
      </c>
      <c r="K28" s="224"/>
      <c r="L28" s="224" t="s">
        <v>6242</v>
      </c>
      <c r="M28" s="224" t="s">
        <v>6242</v>
      </c>
      <c r="N28" s="225"/>
      <c r="O28" s="216" t="str">
        <f t="shared" si="1"/>
        <v>✓</v>
      </c>
      <c r="P28" s="226" t="str">
        <f t="shared" si="2"/>
        <v>#VALUE!</v>
      </c>
      <c r="Q28" s="227" t="str">
        <f t="shared" si="3"/>
        <v>#VALUE!</v>
      </c>
      <c r="R28" s="228" t="str">
        <f t="shared" si="4"/>
        <v>#VALUE!</v>
      </c>
      <c r="S28" s="220" t="str">
        <f t="shared" si="5"/>
        <v>#VALUE!</v>
      </c>
      <c r="T28" s="220" t="str">
        <f t="shared" si="6"/>
        <v>#VALUE!</v>
      </c>
      <c r="U28" s="221">
        <f t="shared" si="7"/>
        <v>0</v>
      </c>
      <c r="V28" s="229" t="str">
        <f>ifs($N28="",VLOOKUP($B28&amp;$E28,'VISIT DATA'!$A$2:$J100,7,FALSE), $N28="SWAB","OUTSA-RW",$N28="SWQU","OUTSA-SaQu", AND($L28="X",$M28="X",$N28="QUEST"),"OUT-UAQPre",$N28="QUEST","OUT-UAQ", $N28="Walk in","ColUATele")</f>
        <v>UA-Prelim</v>
      </c>
      <c r="W28" s="24" t="str">
        <f t="shared" si="8"/>
        <v>UA-Prelim : Preliminary UA Test</v>
      </c>
      <c r="X28" s="222" t="str">
        <f t="shared" si="9"/>
        <v>UA-Prelim : Preliminary UA Test</v>
      </c>
      <c r="Y28" s="222" t="str">
        <f t="shared" si="10"/>
        <v>MATCH</v>
      </c>
      <c r="Z28" s="224" t="str">
        <f t="shared" si="11"/>
        <v> </v>
      </c>
      <c r="AA28" s="244"/>
    </row>
    <row r="29">
      <c r="A29" s="214" t="str">
        <f>IFS($B29=FALSE,"",$B29,VLOOKUP($B29,'PATIENT DATA (072721)'!A:C, 2, 0))</f>
        <v>BERNAL, GILBERTO</v>
      </c>
      <c r="B29" s="215">
        <v>16928.0</v>
      </c>
      <c r="C29" s="216" t="str">
        <f>IF(COUNTIF('PATIENT DATA (072721)'!A:A, B29)=0, "X","✓")</f>
        <v>✓</v>
      </c>
      <c r="D29" s="226">
        <f>IFS($B29=FALSE,"",$B29,VLOOKUP($B29,'PATIENT DATA (072721)'!A:C, 3, 0))</f>
        <v>20393</v>
      </c>
      <c r="E29" s="218">
        <v>44575.0</v>
      </c>
      <c r="F29" s="219">
        <f>ifs($B29="","",$B29, VLOOKUP($B29&amp;$E29, 'VISIT DATA'!A:O,3,0))</f>
        <v>0.46875</v>
      </c>
      <c r="G29" s="220" t="s">
        <v>6328</v>
      </c>
      <c r="H29" s="221" t="s">
        <v>14</v>
      </c>
      <c r="I29" s="222" t="str">
        <f>VLOOKUP($B29&amp;$E29,'VISIT DATA'!A:J, 9, FALSE)</f>
        <v>TORRES</v>
      </c>
      <c r="J29" s="223" t="str">
        <f>VLOOKUP(B29&amp;E29,'VISIT DATA'!A:N,10,FALSE)</f>
        <v>WPS VA - COMMUNITY CARE</v>
      </c>
      <c r="K29" s="224"/>
      <c r="L29" s="224" t="s">
        <v>6242</v>
      </c>
      <c r="M29" s="224"/>
      <c r="N29" s="224"/>
      <c r="O29" s="216" t="str">
        <f t="shared" si="1"/>
        <v>✓</v>
      </c>
      <c r="P29" s="226" t="str">
        <f t="shared" si="2"/>
        <v>#VALUE!</v>
      </c>
      <c r="Q29" s="227" t="str">
        <f t="shared" si="3"/>
        <v>#VALUE!</v>
      </c>
      <c r="R29" s="228" t="str">
        <f t="shared" si="4"/>
        <v>#VALUE!</v>
      </c>
      <c r="S29" s="220" t="str">
        <f t="shared" si="5"/>
        <v>#VALUE!</v>
      </c>
      <c r="T29" s="220" t="str">
        <f t="shared" si="6"/>
        <v>#VALUE!</v>
      </c>
      <c r="U29" s="221">
        <f t="shared" si="7"/>
        <v>0</v>
      </c>
      <c r="V29" s="229" t="str">
        <f>ifs($N29="",VLOOKUP($B29&amp;$E29,'VISIT DATA'!$A$2:$J100,7,FALSE), $N29="SWAB","OUTSA-RW",$N29="SWQU","OUTSA-SaQu", AND($L29="X",$M29="X",$N29="QUEST"),"OUT-UAQPre",$N29="QUEST","OUT-UAQ", $N29="Walk in","ColUATele")</f>
        <v>UA</v>
      </c>
      <c r="W29" s="24" t="str">
        <f t="shared" si="8"/>
        <v>UA : Urine Analysis In House</v>
      </c>
      <c r="X29" s="222" t="str">
        <f t="shared" si="9"/>
        <v>UA : Urine Analysis In House</v>
      </c>
      <c r="Y29" s="222" t="str">
        <f t="shared" si="10"/>
        <v>MATCH</v>
      </c>
      <c r="Z29" s="224" t="str">
        <f t="shared" si="11"/>
        <v> </v>
      </c>
      <c r="AA29" s="245"/>
    </row>
    <row r="30">
      <c r="A30" s="214" t="str">
        <f>IFS($B30=FALSE,"",$B30,VLOOKUP($B30,'PATIENT DATA (072721)'!A:C, 2, 0))</f>
        <v>SILVAS, TOMAS M</v>
      </c>
      <c r="B30" s="215">
        <v>17217.0</v>
      </c>
      <c r="C30" s="230" t="str">
        <f>IF(COUNTIF('PATIENT DATA (072721)'!A:A, B30)=0, "X","✓")</f>
        <v>✓</v>
      </c>
      <c r="D30" s="226">
        <f>IFS($B30=FALSE,"",$B30,VLOOKUP($B30,'PATIENT DATA (072721)'!A:C, 3, 0))</f>
        <v>14145</v>
      </c>
      <c r="E30" s="218">
        <v>44575.0</v>
      </c>
      <c r="F30" s="219">
        <f>ifs($B30="","",$B30, VLOOKUP($B30&amp;$E30, 'VISIT DATA'!A:O,3,0))</f>
        <v>0.4375</v>
      </c>
      <c r="G30" s="231" t="s">
        <v>6328</v>
      </c>
      <c r="H30" s="221" t="s">
        <v>14</v>
      </c>
      <c r="I30" s="222" t="str">
        <f>VLOOKUP($B30&amp;$E30,'VISIT DATA'!A:J, 9, FALSE)</f>
        <v>TORRES</v>
      </c>
      <c r="J30" s="223" t="str">
        <f>VLOOKUP(B30&amp;E30,'VISIT DATA'!A:N,10,FALSE)</f>
        <v>AUXIANT - PHCS PPO</v>
      </c>
      <c r="K30" s="224"/>
      <c r="L30" s="224" t="s">
        <v>6242</v>
      </c>
      <c r="M30" s="224"/>
      <c r="N30" s="225"/>
      <c r="O30" s="216" t="str">
        <f t="shared" si="1"/>
        <v>✓</v>
      </c>
      <c r="P30" s="226" t="str">
        <f t="shared" si="2"/>
        <v>#VALUE!</v>
      </c>
      <c r="Q30" s="227" t="str">
        <f t="shared" si="3"/>
        <v>#VALUE!</v>
      </c>
      <c r="R30" s="228" t="str">
        <f t="shared" si="4"/>
        <v>#VALUE!</v>
      </c>
      <c r="S30" s="220" t="str">
        <f t="shared" si="5"/>
        <v>#VALUE!</v>
      </c>
      <c r="T30" s="220" t="str">
        <f t="shared" si="6"/>
        <v>#VALUE!</v>
      </c>
      <c r="U30" s="221">
        <f t="shared" si="7"/>
        <v>0</v>
      </c>
      <c r="V30" s="229" t="str">
        <f>ifs($N30="",VLOOKUP($B30&amp;$E30,'VISIT DATA'!$A$2:$J100,7,FALSE), $N30="SWAB","OUTSA-RW",$N30="SWQU","OUTSA-SaQu", AND($L30="X",$M30="X",$N30="QUEST"),"OUT-UAQPre",$N30="QUEST","OUT-UAQ", $N30="Walk in","ColUATele")</f>
        <v>UA</v>
      </c>
      <c r="W30" s="24" t="str">
        <f t="shared" si="8"/>
        <v>UA : Urine Analysis In House</v>
      </c>
      <c r="X30" s="222" t="str">
        <f t="shared" si="9"/>
        <v>UA : Urine Analysis In House</v>
      </c>
      <c r="Y30" s="222" t="str">
        <f t="shared" si="10"/>
        <v>MATCH</v>
      </c>
      <c r="Z30" s="224" t="str">
        <f t="shared" si="11"/>
        <v> </v>
      </c>
      <c r="AA30" s="244"/>
    </row>
    <row r="31">
      <c r="A31" s="214" t="str">
        <f>IFS($B31=FALSE,"",$B31,VLOOKUP($B31,'PATIENT DATA (072721)'!A:C, 2, 0))</f>
        <v>HERRERA, IVAN</v>
      </c>
      <c r="B31" s="215">
        <v>9534.0</v>
      </c>
      <c r="C31" s="230" t="str">
        <f>IF(COUNTIF('PATIENT DATA (072721)'!A:A, B31)=0, "X","✓")</f>
        <v>✓</v>
      </c>
      <c r="D31" s="226">
        <f>IFS($B31=FALSE,"",$B31,VLOOKUP($B31,'PATIENT DATA (072721)'!A:C, 3, 0))</f>
        <v>29839</v>
      </c>
      <c r="E31" s="218">
        <v>44575.0</v>
      </c>
      <c r="F31" s="219">
        <f>ifs($B31="","",$B31, VLOOKUP($B31&amp;$E31, 'VISIT DATA'!A:O,3,0))</f>
        <v>0.4583333333</v>
      </c>
      <c r="G31" s="231" t="s">
        <v>6328</v>
      </c>
      <c r="H31" s="221" t="s">
        <v>15</v>
      </c>
      <c r="I31" s="222" t="str">
        <f>VLOOKUP($B31&amp;$E31,'VISIT DATA'!A:J, 9, FALSE)</f>
        <v>MARTINEZ</v>
      </c>
      <c r="J31" s="223" t="str">
        <f>VLOOKUP(B31&amp;E31,'VISIT DATA'!A:N,10,FALSE)</f>
        <v>WPS VA - COMMUNITY CARE</v>
      </c>
      <c r="K31" s="225"/>
      <c r="L31" s="224" t="s">
        <v>6242</v>
      </c>
      <c r="M31" s="224" t="s">
        <v>6242</v>
      </c>
      <c r="N31" s="225"/>
      <c r="O31" s="216" t="str">
        <f t="shared" si="1"/>
        <v>✓</v>
      </c>
      <c r="P31" s="226" t="str">
        <f t="shared" si="2"/>
        <v>#VALUE!</v>
      </c>
      <c r="Q31" s="227" t="str">
        <f t="shared" si="3"/>
        <v>#VALUE!</v>
      </c>
      <c r="R31" s="228" t="str">
        <f t="shared" si="4"/>
        <v>#VALUE!</v>
      </c>
      <c r="S31" s="220" t="str">
        <f t="shared" si="5"/>
        <v>#VALUE!</v>
      </c>
      <c r="T31" s="220" t="str">
        <f t="shared" si="6"/>
        <v>#VALUE!</v>
      </c>
      <c r="U31" s="221">
        <f t="shared" si="7"/>
        <v>0</v>
      </c>
      <c r="V31" s="229" t="str">
        <f>ifs($N31="",VLOOKUP($B31&amp;$E31,'VISIT DATA'!$A$2:$J100,7,FALSE), $N31="SWAB","OUTSA-RW",$N31="SWQU","OUTSA-SaQu", AND($L31="X",$M31="X",$N31="QUEST"),"OUT-UAQPre",$N31="QUEST","OUT-UAQ", $N31="Walk in","ColUATele")</f>
        <v>UA-Prelim</v>
      </c>
      <c r="W31" s="24" t="str">
        <f t="shared" si="8"/>
        <v>UA-Prelim : Preliminary UA Test</v>
      </c>
      <c r="X31" s="222" t="str">
        <f t="shared" si="9"/>
        <v>UA-Prelim : Preliminary UA Test</v>
      </c>
      <c r="Y31" s="222" t="str">
        <f t="shared" si="10"/>
        <v>MATCH</v>
      </c>
      <c r="Z31" s="224" t="str">
        <f t="shared" si="11"/>
        <v> </v>
      </c>
      <c r="AA31" s="244"/>
    </row>
    <row r="32">
      <c r="A32" s="214" t="str">
        <f>IFS($B32=FALSE,"",$B32,VLOOKUP($B32,'PATIENT DATA (072721)'!A:C, 2, 0))</f>
        <v/>
      </c>
      <c r="B32" s="215"/>
      <c r="C32" s="230" t="str">
        <f>IF(COUNTIF('PATIENT DATA (072721)'!A:A, B32)=0, "X","✓")</f>
        <v>X</v>
      </c>
      <c r="D32" s="226" t="str">
        <f>IFS($B32=FALSE,"",$B32,VLOOKUP($B32,'PATIENT DATA (072721)'!A:C, 3, 0))</f>
        <v/>
      </c>
      <c r="E32" s="218">
        <v>44575.0</v>
      </c>
      <c r="F32" s="219" t="str">
        <f>ifs($B32="","",$B32, VLOOKUP($B32&amp;$E32, 'VISIT DATA'!A:O,3,0))</f>
        <v/>
      </c>
      <c r="G32" s="231"/>
      <c r="H32" s="221"/>
      <c r="I32" s="222" t="str">
        <f>VLOOKUP($B32&amp;$E32,'VISIT DATA'!A:J, 9, FALSE)</f>
        <v>#N/A</v>
      </c>
      <c r="J32" s="223" t="str">
        <f>VLOOKUP(B32&amp;E32,'VISIT DATA'!A:N,10,FALSE)</f>
        <v>#N/A</v>
      </c>
      <c r="K32" s="224"/>
      <c r="L32" s="224"/>
      <c r="M32" s="224"/>
      <c r="N32" s="225"/>
      <c r="O32" s="216" t="str">
        <f t="shared" si="1"/>
        <v>X</v>
      </c>
      <c r="P32" s="226" t="str">
        <f t="shared" si="2"/>
        <v>#N/A</v>
      </c>
      <c r="Q32" s="227" t="str">
        <f t="shared" si="3"/>
        <v>#N/A</v>
      </c>
      <c r="R32" s="228" t="str">
        <f t="shared" si="4"/>
        <v>#N/A</v>
      </c>
      <c r="S32" s="220" t="str">
        <f t="shared" si="5"/>
        <v>#N/A</v>
      </c>
      <c r="T32" s="220" t="str">
        <f t="shared" si="6"/>
        <v>#N/A</v>
      </c>
      <c r="U32" s="221">
        <f t="shared" si="7"/>
        <v>0</v>
      </c>
      <c r="V32" s="229" t="str">
        <f>ifs($N32="",VLOOKUP($B32&amp;$E32,'VISIT DATA'!$A$2:$J100,7,FALSE), $N32="SWAB","OUTSA-RW",$N32="SWQU","OUTSA-SaQu", AND($L32="X",$M32="X",$N32="QUEST"),"OUT-UAQPre",$N32="QUEST","OUT-UAQ", $N32="Walk in","ColUATele")</f>
        <v>#N/A</v>
      </c>
      <c r="W32" s="24" t="str">
        <f t="shared" si="8"/>
        <v>#N/A</v>
      </c>
      <c r="X32" s="222" t="str">
        <f t="shared" si="9"/>
        <v/>
      </c>
      <c r="Y32" s="222" t="str">
        <f t="shared" si="10"/>
        <v/>
      </c>
      <c r="Z32" s="224" t="str">
        <f t="shared" si="11"/>
        <v> </v>
      </c>
      <c r="AA32" s="244"/>
    </row>
    <row r="33">
      <c r="A33" s="214" t="str">
        <f>IFS($B33=FALSE,"",$B33,VLOOKUP($B33,'PATIENT DATA (072721)'!A:C, 2, 0))</f>
        <v/>
      </c>
      <c r="B33" s="215"/>
      <c r="C33" s="230" t="str">
        <f>IF(COUNTIF('PATIENT DATA (072721)'!A:A, B33)=0, "X","✓")</f>
        <v>X</v>
      </c>
      <c r="D33" s="226" t="str">
        <f>IFS($B33=FALSE,"",$B33,VLOOKUP($B33,'PATIENT DATA (072721)'!A:C, 3, 0))</f>
        <v/>
      </c>
      <c r="E33" s="218">
        <v>44575.0</v>
      </c>
      <c r="F33" s="219" t="str">
        <f>ifs($B33="","",$B33, VLOOKUP($B33&amp;$E33, 'VISIT DATA'!A:O,3,0))</f>
        <v/>
      </c>
      <c r="G33" s="231"/>
      <c r="H33" s="221"/>
      <c r="I33" s="222" t="str">
        <f>VLOOKUP($B33&amp;$E33,'VISIT DATA'!A:J, 9, FALSE)</f>
        <v>#N/A</v>
      </c>
      <c r="J33" s="223" t="str">
        <f>VLOOKUP(B33&amp;E33,'VISIT DATA'!A:N,10,FALSE)</f>
        <v>#N/A</v>
      </c>
      <c r="K33" s="225"/>
      <c r="L33" s="224"/>
      <c r="M33" s="224"/>
      <c r="N33" s="225"/>
      <c r="O33" s="216" t="str">
        <f t="shared" si="1"/>
        <v>X</v>
      </c>
      <c r="P33" s="226" t="str">
        <f t="shared" si="2"/>
        <v>#N/A</v>
      </c>
      <c r="Q33" s="227" t="str">
        <f t="shared" si="3"/>
        <v>#N/A</v>
      </c>
      <c r="R33" s="228" t="str">
        <f t="shared" si="4"/>
        <v>#N/A</v>
      </c>
      <c r="S33" s="220" t="str">
        <f t="shared" si="5"/>
        <v>#N/A</v>
      </c>
      <c r="T33" s="220" t="str">
        <f t="shared" si="6"/>
        <v>#N/A</v>
      </c>
      <c r="U33" s="221">
        <f t="shared" si="7"/>
        <v>0</v>
      </c>
      <c r="V33" s="229" t="str">
        <f>ifs($N33="",VLOOKUP($B33&amp;$E33,'VISIT DATA'!$A$2:$J100,7,FALSE), $N33="SWAB","OUTSA-RW",$N33="SWQU","OUTSA-SaQu", AND($L33="X",$M33="X",$N33="QUEST"),"OUT-UAQPre",$N33="QUEST","OUT-UAQ", $N33="Walk in","ColUATele")</f>
        <v>#N/A</v>
      </c>
      <c r="W33" s="24" t="str">
        <f t="shared" si="8"/>
        <v>#N/A</v>
      </c>
      <c r="X33" s="222" t="str">
        <f t="shared" si="9"/>
        <v/>
      </c>
      <c r="Y33" s="222" t="str">
        <f t="shared" si="10"/>
        <v/>
      </c>
      <c r="Z33" s="224" t="str">
        <f t="shared" si="11"/>
        <v> </v>
      </c>
      <c r="AA33" s="244"/>
    </row>
    <row r="34">
      <c r="A34" s="214" t="str">
        <f>IFS($B34=FALSE,"",$B34,VLOOKUP($B34,'PATIENT DATA (072721)'!A:C, 2, 0))</f>
        <v/>
      </c>
      <c r="B34" s="215"/>
      <c r="C34" s="230" t="str">
        <f>IF(COUNTIF('PATIENT DATA (072721)'!A:A, B34)=0, "X","✓")</f>
        <v>X</v>
      </c>
      <c r="D34" s="226" t="str">
        <f>IFS($B34=FALSE,"",$B34,VLOOKUP($B34,'PATIENT DATA (072721)'!A:C, 3, 0))</f>
        <v/>
      </c>
      <c r="E34" s="218">
        <v>44575.0</v>
      </c>
      <c r="F34" s="219" t="str">
        <f>ifs($B34="","",$B34, VLOOKUP($B34&amp;$E34, 'VISIT DATA'!A:O,3,0))</f>
        <v/>
      </c>
      <c r="G34" s="231"/>
      <c r="H34" s="221"/>
      <c r="I34" s="222" t="str">
        <f>VLOOKUP($B34&amp;$E34,'VISIT DATA'!A:J, 9, FALSE)</f>
        <v>#N/A</v>
      </c>
      <c r="J34" s="223" t="str">
        <f>VLOOKUP(B34&amp;E34,'VISIT DATA'!A:N,10,FALSE)</f>
        <v>#N/A</v>
      </c>
      <c r="K34" s="225"/>
      <c r="L34" s="224"/>
      <c r="M34" s="224"/>
      <c r="N34" s="225"/>
      <c r="O34" s="216" t="str">
        <f t="shared" si="1"/>
        <v>X</v>
      </c>
      <c r="P34" s="226" t="str">
        <f t="shared" si="2"/>
        <v>#N/A</v>
      </c>
      <c r="Q34" s="227" t="str">
        <f t="shared" si="3"/>
        <v>#N/A</v>
      </c>
      <c r="R34" s="228" t="str">
        <f t="shared" si="4"/>
        <v>#N/A</v>
      </c>
      <c r="S34" s="220" t="str">
        <f t="shared" si="5"/>
        <v>#N/A</v>
      </c>
      <c r="T34" s="220" t="str">
        <f t="shared" si="6"/>
        <v>#N/A</v>
      </c>
      <c r="U34" s="221">
        <f t="shared" si="7"/>
        <v>0</v>
      </c>
      <c r="V34" s="229" t="str">
        <f>ifs($N34="",VLOOKUP($B34&amp;$E34,'VISIT DATA'!$A$2:$J100,7,FALSE), $N34="SWAB","OUTSA-RW",$N34="SWQU","OUTSA-SaQu", AND($L34="X",$M34="X",$N34="QUEST"),"OUT-UAQPre",$N34="QUEST","OUT-UAQ", $N34="Walk in","ColUATele")</f>
        <v>#N/A</v>
      </c>
      <c r="W34" s="24" t="str">
        <f t="shared" si="8"/>
        <v>#N/A</v>
      </c>
      <c r="X34" s="222" t="str">
        <f t="shared" si="9"/>
        <v/>
      </c>
      <c r="Y34" s="222" t="str">
        <f t="shared" si="10"/>
        <v/>
      </c>
      <c r="Z34" s="224" t="str">
        <f t="shared" si="11"/>
        <v> </v>
      </c>
      <c r="AA34" s="244"/>
    </row>
    <row r="35">
      <c r="A35" s="214" t="str">
        <f>IFS($B35=FALSE,"",$B35,VLOOKUP($B35,'PATIENT DATA (072721)'!A:C, 2, 0))</f>
        <v/>
      </c>
      <c r="B35" s="215"/>
      <c r="C35" s="230" t="str">
        <f>IF(COUNTIF('PATIENT DATA (072721)'!A:A, B35)=0, "X","✓")</f>
        <v>X</v>
      </c>
      <c r="D35" s="226" t="str">
        <f>IFS($B35=FALSE,"",$B35,VLOOKUP($B35,'PATIENT DATA (072721)'!A:C, 3, 0))</f>
        <v/>
      </c>
      <c r="E35" s="218">
        <v>44575.0</v>
      </c>
      <c r="F35" s="219" t="str">
        <f>ifs($B35="","",$B35, VLOOKUP($B35&amp;$E35, 'VISIT DATA'!A:O,3,0))</f>
        <v/>
      </c>
      <c r="G35" s="231"/>
      <c r="H35" s="221"/>
      <c r="I35" s="222" t="str">
        <f>VLOOKUP($B35&amp;$E35,'VISIT DATA'!A:J, 9, FALSE)</f>
        <v>#N/A</v>
      </c>
      <c r="J35" s="223" t="str">
        <f>VLOOKUP(B35&amp;E35,'VISIT DATA'!A:N,10,FALSE)</f>
        <v>#N/A</v>
      </c>
      <c r="K35" s="224"/>
      <c r="L35" s="224"/>
      <c r="M35" s="224"/>
      <c r="N35" s="224"/>
      <c r="O35" s="216" t="str">
        <f t="shared" si="1"/>
        <v>X</v>
      </c>
      <c r="P35" s="226" t="str">
        <f t="shared" si="2"/>
        <v>#N/A</v>
      </c>
      <c r="Q35" s="227" t="str">
        <f t="shared" si="3"/>
        <v>#N/A</v>
      </c>
      <c r="R35" s="228" t="str">
        <f t="shared" si="4"/>
        <v>#N/A</v>
      </c>
      <c r="S35" s="220" t="str">
        <f t="shared" si="5"/>
        <v>#N/A</v>
      </c>
      <c r="T35" s="220" t="str">
        <f t="shared" si="6"/>
        <v>#N/A</v>
      </c>
      <c r="U35" s="221">
        <f t="shared" si="7"/>
        <v>0</v>
      </c>
      <c r="V35" s="229" t="str">
        <f>ifs($N35="",VLOOKUP($B35&amp;$E35,'VISIT DATA'!$A$2:$J100,7,FALSE), $N35="SWAB","OUTSA-RW",$N35="SWQU","OUTSA-SaQu", AND($L35="X",$M35="X",$N35="QUEST"),"OUT-UAQPre",$N35="QUEST","OUT-UAQ", $N35="Walk in","ColUATele")</f>
        <v>#N/A</v>
      </c>
      <c r="W35" s="24" t="str">
        <f t="shared" si="8"/>
        <v>#N/A</v>
      </c>
      <c r="X35" s="222" t="str">
        <f t="shared" si="9"/>
        <v/>
      </c>
      <c r="Y35" s="222" t="str">
        <f t="shared" si="10"/>
        <v/>
      </c>
      <c r="Z35" s="224" t="str">
        <f t="shared" si="11"/>
        <v> </v>
      </c>
      <c r="AA35" s="244"/>
    </row>
    <row r="36">
      <c r="A36" s="214" t="str">
        <f>IFS($B36=FALSE,"",$B36,VLOOKUP($B36,'PATIENT DATA (072721)'!A:C, 2, 0))</f>
        <v/>
      </c>
      <c r="B36" s="215"/>
      <c r="C36" s="230" t="str">
        <f>IF(COUNTIF('PATIENT DATA (072721)'!A:A, B36)=0, "X","✓")</f>
        <v>X</v>
      </c>
      <c r="D36" s="226" t="str">
        <f>IFS($B36=FALSE,"",$B36,VLOOKUP($B36,'PATIENT DATA (072721)'!A:C, 3, 0))</f>
        <v/>
      </c>
      <c r="E36" s="218">
        <v>44575.0</v>
      </c>
      <c r="F36" s="219" t="str">
        <f>ifs($B36="","",$B36, VLOOKUP($B36&amp;$E36, 'VISIT DATA'!A:O,3,0))</f>
        <v/>
      </c>
      <c r="G36" s="231"/>
      <c r="H36" s="221"/>
      <c r="I36" s="222" t="str">
        <f>VLOOKUP($B36&amp;$E36,'VISIT DATA'!A:J, 9, FALSE)</f>
        <v>#N/A</v>
      </c>
      <c r="J36" s="223" t="str">
        <f>VLOOKUP(B36&amp;E36,'VISIT DATA'!A:N,10,FALSE)</f>
        <v>#N/A</v>
      </c>
      <c r="K36" s="225"/>
      <c r="L36" s="224"/>
      <c r="M36" s="224"/>
      <c r="N36" s="225"/>
      <c r="O36" s="216" t="str">
        <f t="shared" si="1"/>
        <v>X</v>
      </c>
      <c r="P36" s="226" t="str">
        <f t="shared" si="2"/>
        <v>#N/A</v>
      </c>
      <c r="Q36" s="227" t="str">
        <f t="shared" si="3"/>
        <v>#N/A</v>
      </c>
      <c r="R36" s="228" t="str">
        <f t="shared" si="4"/>
        <v>#N/A</v>
      </c>
      <c r="S36" s="220" t="str">
        <f t="shared" si="5"/>
        <v>#N/A</v>
      </c>
      <c r="T36" s="220" t="str">
        <f t="shared" si="6"/>
        <v>#N/A</v>
      </c>
      <c r="U36" s="221">
        <f t="shared" si="7"/>
        <v>0</v>
      </c>
      <c r="V36" s="229" t="str">
        <f>ifs($N36="",VLOOKUP($B36&amp;$E36,'VISIT DATA'!$A$2:$J100,7,FALSE), $N36="SWAB","OUTSA-RW",$N36="SWQU","OUTSA-SaQu", AND($L36="X",$M36="X",$N36="QUEST"),"OUT-UAQPre",$N36="QUEST","OUT-UAQ", $N36="Walk in","ColUATele")</f>
        <v>#N/A</v>
      </c>
      <c r="W36" s="24" t="str">
        <f t="shared" si="8"/>
        <v>#N/A</v>
      </c>
      <c r="X36" s="222" t="str">
        <f t="shared" si="9"/>
        <v/>
      </c>
      <c r="Y36" s="222" t="str">
        <f t="shared" si="10"/>
        <v/>
      </c>
      <c r="Z36" s="224" t="str">
        <f t="shared" si="11"/>
        <v> </v>
      </c>
      <c r="AA36" s="244"/>
    </row>
    <row r="37">
      <c r="A37" s="214" t="str">
        <f>IFS($B37=FALSE,"",$B37,VLOOKUP($B37,'PATIENT DATA (072721)'!A:C, 2, 0))</f>
        <v/>
      </c>
      <c r="B37" s="215"/>
      <c r="C37" s="230" t="str">
        <f>IF(COUNTIF('PATIENT DATA (072721)'!A:A, B37)=0, "X","✓")</f>
        <v>X</v>
      </c>
      <c r="D37" s="226" t="str">
        <f>IFS($B37=FALSE,"",$B37,VLOOKUP($B37,'PATIENT DATA (072721)'!A:C, 3, 0))</f>
        <v/>
      </c>
      <c r="E37" s="218">
        <v>44575.0</v>
      </c>
      <c r="F37" s="219" t="str">
        <f>ifs($B37="","",$B37, VLOOKUP($B37&amp;$E37, 'VISIT DATA'!A:O,3,0))</f>
        <v/>
      </c>
      <c r="G37" s="231"/>
      <c r="H37" s="221"/>
      <c r="I37" s="222" t="str">
        <f>VLOOKUP($B37&amp;$E37,'VISIT DATA'!A:J, 9, FALSE)</f>
        <v>#N/A</v>
      </c>
      <c r="J37" s="223" t="str">
        <f>VLOOKUP(B37&amp;E37,'VISIT DATA'!A:N,10,FALSE)</f>
        <v>#N/A</v>
      </c>
      <c r="K37" s="225"/>
      <c r="L37" s="224"/>
      <c r="M37" s="224"/>
      <c r="N37" s="225"/>
      <c r="O37" s="216" t="str">
        <f t="shared" si="1"/>
        <v>X</v>
      </c>
      <c r="P37" s="226" t="str">
        <f t="shared" si="2"/>
        <v>#N/A</v>
      </c>
      <c r="Q37" s="227" t="str">
        <f t="shared" si="3"/>
        <v>#N/A</v>
      </c>
      <c r="R37" s="228" t="str">
        <f t="shared" si="4"/>
        <v>#N/A</v>
      </c>
      <c r="S37" s="220" t="str">
        <f t="shared" si="5"/>
        <v>#N/A</v>
      </c>
      <c r="T37" s="220" t="str">
        <f t="shared" si="6"/>
        <v>#N/A</v>
      </c>
      <c r="U37" s="221">
        <f t="shared" si="7"/>
        <v>0</v>
      </c>
      <c r="V37" s="229" t="str">
        <f>ifs($N37="",VLOOKUP($B37&amp;$E37,'VISIT DATA'!$A$2:$J100,7,FALSE), $N37="SWAB","OUTSA-RW",$N37="SWQU","OUTSA-SaQu", AND($L37="X",$M37="X",$N37="QUEST"),"OUT-UAQPre",$N37="QUEST","OUT-UAQ", $N37="Walk in","ColUATele")</f>
        <v>#N/A</v>
      </c>
      <c r="W37" s="24" t="str">
        <f t="shared" si="8"/>
        <v>#N/A</v>
      </c>
      <c r="X37" s="222" t="str">
        <f t="shared" si="9"/>
        <v/>
      </c>
      <c r="Y37" s="222" t="str">
        <f t="shared" si="10"/>
        <v/>
      </c>
      <c r="Z37" s="224" t="str">
        <f t="shared" si="11"/>
        <v> </v>
      </c>
      <c r="AA37" s="244"/>
    </row>
    <row r="38">
      <c r="A38" s="214" t="str">
        <f>IFS($B38=FALSE,"",$B38,VLOOKUP($B38,'PATIENT DATA (072721)'!A:C, 2, 0))</f>
        <v/>
      </c>
      <c r="B38" s="215"/>
      <c r="C38" s="230" t="str">
        <f>IF(COUNTIF('PATIENT DATA (072721)'!A:A, B38)=0, "X","✓")</f>
        <v>X</v>
      </c>
      <c r="D38" s="226" t="str">
        <f>IFS($B38=FALSE,"",$B38,VLOOKUP($B38,'PATIENT DATA (072721)'!A:C, 3, 0))</f>
        <v/>
      </c>
      <c r="E38" s="218">
        <v>44575.0</v>
      </c>
      <c r="F38" s="219" t="str">
        <f>ifs($B38="","",$B38, VLOOKUP($B38&amp;$E38, 'VISIT DATA'!A:O,3,0))</f>
        <v/>
      </c>
      <c r="G38" s="231"/>
      <c r="H38" s="221"/>
      <c r="I38" s="222" t="str">
        <f>VLOOKUP($B38&amp;$E38,'VISIT DATA'!A:J, 9, FALSE)</f>
        <v>#N/A</v>
      </c>
      <c r="J38" s="223" t="str">
        <f>VLOOKUP(B38&amp;E38,'VISIT DATA'!A:N,10,FALSE)</f>
        <v>#N/A</v>
      </c>
      <c r="K38" s="225"/>
      <c r="L38" s="224"/>
      <c r="M38" s="224"/>
      <c r="N38" s="225"/>
      <c r="O38" s="216" t="str">
        <f t="shared" si="1"/>
        <v>X</v>
      </c>
      <c r="P38" s="226" t="str">
        <f t="shared" si="2"/>
        <v>#N/A</v>
      </c>
      <c r="Q38" s="227" t="str">
        <f t="shared" si="3"/>
        <v>#N/A</v>
      </c>
      <c r="R38" s="228" t="str">
        <f t="shared" si="4"/>
        <v>#N/A</v>
      </c>
      <c r="S38" s="220" t="str">
        <f t="shared" si="5"/>
        <v>#N/A</v>
      </c>
      <c r="T38" s="220" t="str">
        <f t="shared" si="6"/>
        <v>#N/A</v>
      </c>
      <c r="U38" s="221">
        <f t="shared" si="7"/>
        <v>0</v>
      </c>
      <c r="V38" s="229" t="str">
        <f>ifs($N38="",VLOOKUP($B38&amp;$E38,'VISIT DATA'!$A$2:$J100,7,FALSE), $N38="SWAB","OUTSA-RW",$N38="SWQU","OUTSA-SaQu", AND($L38="X",$M38="X",$N38="QUEST"),"OUT-UAQPre",$N38="QUEST","OUT-UAQ", $N38="Walk in","ColUATele")</f>
        <v>#N/A</v>
      </c>
      <c r="W38" s="24" t="str">
        <f t="shared" si="8"/>
        <v>#N/A</v>
      </c>
      <c r="X38" s="222" t="str">
        <f t="shared" si="9"/>
        <v/>
      </c>
      <c r="Y38" s="222" t="str">
        <f t="shared" si="10"/>
        <v/>
      </c>
      <c r="Z38" s="224" t="str">
        <f t="shared" si="11"/>
        <v> </v>
      </c>
      <c r="AA38" s="244"/>
    </row>
    <row r="39">
      <c r="A39" s="214" t="str">
        <f>IFS($B39=FALSE,"",$B39,VLOOKUP($B39,'PATIENT DATA (072721)'!A:C, 2, 0))</f>
        <v/>
      </c>
      <c r="B39" s="215"/>
      <c r="C39" s="230" t="str">
        <f>IF(COUNTIF('PATIENT DATA (072721)'!A:A, B39)=0, "X","✓")</f>
        <v>X</v>
      </c>
      <c r="D39" s="226" t="str">
        <f>IFS($B39=FALSE,"",$B39,VLOOKUP($B39,'PATIENT DATA (072721)'!A:C, 3, 0))</f>
        <v/>
      </c>
      <c r="E39" s="218">
        <v>44575.0</v>
      </c>
      <c r="F39" s="219" t="str">
        <f>ifs($B39="","",$B39, VLOOKUP($B39&amp;$E39, 'VISIT DATA'!A:O,3,0))</f>
        <v/>
      </c>
      <c r="G39" s="231"/>
      <c r="H39" s="221"/>
      <c r="I39" s="222" t="str">
        <f>VLOOKUP($B39&amp;$E39,'VISIT DATA'!A:J, 9, FALSE)</f>
        <v>#N/A</v>
      </c>
      <c r="J39" s="223" t="str">
        <f>VLOOKUP(B39&amp;E39,'VISIT DATA'!A:N,10,FALSE)</f>
        <v>#N/A</v>
      </c>
      <c r="K39" s="225"/>
      <c r="L39" s="224"/>
      <c r="M39" s="224"/>
      <c r="N39" s="225"/>
      <c r="O39" s="216" t="str">
        <f t="shared" si="1"/>
        <v>X</v>
      </c>
      <c r="P39" s="226" t="str">
        <f t="shared" si="2"/>
        <v>#N/A</v>
      </c>
      <c r="Q39" s="227" t="str">
        <f t="shared" si="3"/>
        <v>#N/A</v>
      </c>
      <c r="R39" s="228" t="str">
        <f t="shared" si="4"/>
        <v>#N/A</v>
      </c>
      <c r="S39" s="220" t="str">
        <f t="shared" si="5"/>
        <v>#N/A</v>
      </c>
      <c r="T39" s="220" t="str">
        <f t="shared" si="6"/>
        <v>#N/A</v>
      </c>
      <c r="U39" s="221">
        <f t="shared" si="7"/>
        <v>0</v>
      </c>
      <c r="V39" s="229" t="str">
        <f>ifs($N39="",VLOOKUP($B39&amp;$E39,'VISIT DATA'!$A$2:$J100,7,FALSE), $N39="SWAB","OUTSA-RW",$N39="SWQU","OUTSA-SaQu", AND($L39="X",$M39="X",$N39="QUEST"),"OUT-UAQPre",$N39="QUEST","OUT-UAQ", $N39="Walk in","ColUATele")</f>
        <v>#N/A</v>
      </c>
      <c r="W39" s="24" t="str">
        <f t="shared" si="8"/>
        <v>#N/A</v>
      </c>
      <c r="X39" s="222" t="str">
        <f t="shared" si="9"/>
        <v/>
      </c>
      <c r="Y39" s="222" t="str">
        <f t="shared" si="10"/>
        <v/>
      </c>
      <c r="Z39" s="224" t="str">
        <f t="shared" si="11"/>
        <v> </v>
      </c>
      <c r="AA39" s="244"/>
    </row>
    <row r="40">
      <c r="A40" s="214" t="str">
        <f>IFS($B40=FALSE,"",$B40,VLOOKUP($B40,'PATIENT DATA (072721)'!A:C, 2, 0))</f>
        <v/>
      </c>
      <c r="B40" s="215"/>
      <c r="C40" s="230" t="str">
        <f>IF(COUNTIF('PATIENT DATA (072721)'!A:A, B40)=0, "X","✓")</f>
        <v>X</v>
      </c>
      <c r="D40" s="226" t="str">
        <f>IFS($B40=FALSE,"",$B40,VLOOKUP($B40,'PATIENT DATA (072721)'!A:C, 3, 0))</f>
        <v/>
      </c>
      <c r="E40" s="218">
        <v>44575.0</v>
      </c>
      <c r="F40" s="219" t="str">
        <f>ifs($B40="","",$B40, VLOOKUP($B40&amp;$E40, 'VISIT DATA'!A:O,3,0))</f>
        <v/>
      </c>
      <c r="G40" s="231"/>
      <c r="H40" s="221"/>
      <c r="I40" s="222" t="str">
        <f>VLOOKUP($B40&amp;$E40,'VISIT DATA'!A:J, 9, FALSE)</f>
        <v>#N/A</v>
      </c>
      <c r="J40" s="223" t="str">
        <f>VLOOKUP(B40&amp;E40,'VISIT DATA'!A:N,10,FALSE)</f>
        <v>#N/A</v>
      </c>
      <c r="K40" s="224"/>
      <c r="L40" s="224"/>
      <c r="M40" s="224"/>
      <c r="N40" s="225"/>
      <c r="O40" s="216" t="str">
        <f t="shared" si="1"/>
        <v>X</v>
      </c>
      <c r="P40" s="226" t="str">
        <f t="shared" si="2"/>
        <v>#N/A</v>
      </c>
      <c r="Q40" s="227" t="str">
        <f t="shared" si="3"/>
        <v>#N/A</v>
      </c>
      <c r="R40" s="228" t="str">
        <f t="shared" si="4"/>
        <v>#N/A</v>
      </c>
      <c r="S40" s="220" t="str">
        <f t="shared" si="5"/>
        <v>#N/A</v>
      </c>
      <c r="T40" s="220" t="str">
        <f t="shared" si="6"/>
        <v>#N/A</v>
      </c>
      <c r="U40" s="221">
        <f t="shared" si="7"/>
        <v>0</v>
      </c>
      <c r="V40" s="229" t="str">
        <f>ifs($N40="",VLOOKUP($B40&amp;$E40,'VISIT DATA'!$A$2:$J100,7,FALSE), $N40="SWAB","OUTSA-RW",$N40="SWQU","OUTSA-SaQu", AND($L40="X",$M40="X",$N40="QUEST"),"OUT-UAQPre",$N40="QUEST","OUT-UAQ", $N40="Walk in","ColUATele")</f>
        <v>#N/A</v>
      </c>
      <c r="W40" s="24" t="str">
        <f t="shared" si="8"/>
        <v>#N/A</v>
      </c>
      <c r="X40" s="222" t="str">
        <f t="shared" si="9"/>
        <v/>
      </c>
      <c r="Y40" s="222" t="str">
        <f t="shared" si="10"/>
        <v/>
      </c>
      <c r="Z40" s="224" t="str">
        <f t="shared" si="11"/>
        <v> </v>
      </c>
      <c r="AA40" s="244"/>
    </row>
    <row r="41">
      <c r="A41" s="214" t="str">
        <f>IFS($B41=FALSE,"",$B41,VLOOKUP($B41,'PATIENT DATA (072721)'!A:C, 2, 0))</f>
        <v/>
      </c>
      <c r="B41" s="215"/>
      <c r="C41" s="216" t="str">
        <f>IF(COUNTIF('PATIENT DATA (072721)'!A:A, B41)=0, "X","✓")</f>
        <v>X</v>
      </c>
      <c r="D41" s="226" t="str">
        <f>IFS($B41=FALSE,"",$B41,VLOOKUP($B41,'PATIENT DATA (072721)'!A:C, 3, 0))</f>
        <v/>
      </c>
      <c r="E41" s="218">
        <v>44575.0</v>
      </c>
      <c r="F41" s="219" t="str">
        <f>ifs($B41="","",$B41, VLOOKUP($B41&amp;$E41, 'VISIT DATA'!A:O,3,0))</f>
        <v/>
      </c>
      <c r="G41" s="220"/>
      <c r="H41" s="221"/>
      <c r="I41" s="222" t="str">
        <f>VLOOKUP($B41&amp;$E41,'VISIT DATA'!A:J, 9, FALSE)</f>
        <v>#N/A</v>
      </c>
      <c r="J41" s="223" t="str">
        <f>VLOOKUP(B41&amp;E41,'VISIT DATA'!A:N,10,FALSE)</f>
        <v>#N/A</v>
      </c>
      <c r="K41" s="225"/>
      <c r="L41" s="224"/>
      <c r="M41" s="224"/>
      <c r="N41" s="225"/>
      <c r="O41" s="216" t="str">
        <f t="shared" si="1"/>
        <v>X</v>
      </c>
      <c r="P41" s="226" t="str">
        <f t="shared" si="2"/>
        <v>#N/A</v>
      </c>
      <c r="Q41" s="227" t="str">
        <f t="shared" si="3"/>
        <v>#N/A</v>
      </c>
      <c r="R41" s="228" t="str">
        <f t="shared" si="4"/>
        <v>#N/A</v>
      </c>
      <c r="S41" s="220" t="str">
        <f t="shared" si="5"/>
        <v>#N/A</v>
      </c>
      <c r="T41" s="220" t="str">
        <f t="shared" si="6"/>
        <v>#N/A</v>
      </c>
      <c r="U41" s="221">
        <f t="shared" si="7"/>
        <v>0</v>
      </c>
      <c r="V41" s="229" t="str">
        <f>ifs($N41="",VLOOKUP($B41&amp;$E41,'VISIT DATA'!$A$2:$J100,7,FALSE), $N41="SWAB","OUTSA-RW",$N41="SWQU","OUTSA-SaQu", AND($L41="X",$M41="X",$N41="QUEST"),"OUT-UAQPre",$N41="QUEST","OUT-UAQ", $N41="Walk in","ColUATele")</f>
        <v>#N/A</v>
      </c>
      <c r="W41" s="24" t="str">
        <f t="shared" si="8"/>
        <v>#N/A</v>
      </c>
      <c r="X41" s="222" t="str">
        <f t="shared" si="9"/>
        <v/>
      </c>
      <c r="Y41" s="222" t="str">
        <f t="shared" si="10"/>
        <v/>
      </c>
      <c r="Z41" s="224" t="str">
        <f t="shared" si="11"/>
        <v> </v>
      </c>
      <c r="AA41" s="244"/>
    </row>
    <row r="42">
      <c r="A42" s="214" t="str">
        <f>IFS($B42=FALSE,"",$B42,VLOOKUP($B42,'PATIENT DATA (072721)'!A:C, 2, 0))</f>
        <v/>
      </c>
      <c r="B42" s="215"/>
      <c r="C42" s="216" t="str">
        <f>IF(COUNTIF('PATIENT DATA (072721)'!A:A, B42)=0, "X","✓")</f>
        <v>X</v>
      </c>
      <c r="D42" s="226" t="str">
        <f>IFS($B42=FALSE,"",$B42,VLOOKUP($B42,'PATIENT DATA (072721)'!A:C, 3, 0))</f>
        <v/>
      </c>
      <c r="E42" s="218">
        <v>44575.0</v>
      </c>
      <c r="F42" s="219" t="str">
        <f>ifs($B42="","",$B42, VLOOKUP($B42&amp;$E42, 'VISIT DATA'!A:O,3,0))</f>
        <v/>
      </c>
      <c r="G42" s="220"/>
      <c r="H42" s="221"/>
      <c r="I42" s="222" t="str">
        <f>VLOOKUP($B42&amp;$E42,'VISIT DATA'!A:J, 9, FALSE)</f>
        <v>#N/A</v>
      </c>
      <c r="J42" s="223" t="str">
        <f>VLOOKUP(B42&amp;E42,'VISIT DATA'!A:N,10,FALSE)</f>
        <v>#N/A</v>
      </c>
      <c r="K42" s="225"/>
      <c r="L42" s="224"/>
      <c r="M42" s="224"/>
      <c r="N42" s="225"/>
      <c r="O42" s="216" t="str">
        <f t="shared" si="1"/>
        <v>X</v>
      </c>
      <c r="P42" s="226" t="str">
        <f t="shared" si="2"/>
        <v>#N/A</v>
      </c>
      <c r="Q42" s="227" t="str">
        <f t="shared" si="3"/>
        <v>#N/A</v>
      </c>
      <c r="R42" s="228" t="str">
        <f t="shared" si="4"/>
        <v>#N/A</v>
      </c>
      <c r="S42" s="220" t="str">
        <f t="shared" si="5"/>
        <v>#N/A</v>
      </c>
      <c r="T42" s="220" t="str">
        <f t="shared" si="6"/>
        <v>#N/A</v>
      </c>
      <c r="U42" s="221">
        <f t="shared" si="7"/>
        <v>0</v>
      </c>
      <c r="V42" s="229" t="str">
        <f>ifs($N42="",VLOOKUP($B42&amp;$E42,'VISIT DATA'!$A$2:$J100,7,FALSE), $N42="SWAB","OUTSA-RW",$N42="SWQU","OUTSA-SaQu", AND($L42="X",$M42="X",$N42="QUEST"),"OUT-UAQPre",$N42="QUEST","OUT-UAQ", $N42="Walk in","ColUATele")</f>
        <v>#N/A</v>
      </c>
      <c r="W42" s="24" t="str">
        <f t="shared" si="8"/>
        <v>#N/A</v>
      </c>
      <c r="X42" s="222" t="str">
        <f t="shared" si="9"/>
        <v/>
      </c>
      <c r="Y42" s="222" t="str">
        <f t="shared" si="10"/>
        <v/>
      </c>
      <c r="Z42" s="224" t="str">
        <f t="shared" si="11"/>
        <v> </v>
      </c>
      <c r="AA42" s="244"/>
    </row>
    <row r="43">
      <c r="A43" s="214" t="str">
        <f>IFS($B43=FALSE,"",$B43,VLOOKUP($B43,'PATIENT DATA (072721)'!A:C, 2, 0))</f>
        <v/>
      </c>
      <c r="B43" s="215"/>
      <c r="C43" s="216" t="str">
        <f>IF(COUNTIF('PATIENT DATA (072721)'!A:A, B43)=0, "X","✓")</f>
        <v>X</v>
      </c>
      <c r="D43" s="226" t="str">
        <f>IFS($B43=FALSE,"",$B43,VLOOKUP($B43,'PATIENT DATA (072721)'!A:C, 3, 0))</f>
        <v/>
      </c>
      <c r="E43" s="218">
        <v>44575.0</v>
      </c>
      <c r="F43" s="219" t="str">
        <f>ifs($B43="","",$B43, VLOOKUP($B43&amp;$E43, 'VISIT DATA'!A:O,3,0))</f>
        <v/>
      </c>
      <c r="G43" s="220"/>
      <c r="H43" s="221"/>
      <c r="I43" s="222" t="str">
        <f>VLOOKUP($B43&amp;$E43,'VISIT DATA'!A:J, 9, FALSE)</f>
        <v>#N/A</v>
      </c>
      <c r="J43" s="223" t="str">
        <f>VLOOKUP(B43&amp;E43,'VISIT DATA'!A:N,10,FALSE)</f>
        <v>#N/A</v>
      </c>
      <c r="K43" s="225"/>
      <c r="L43" s="224"/>
      <c r="M43" s="224"/>
      <c r="N43" s="225"/>
      <c r="O43" s="216" t="str">
        <f t="shared" si="1"/>
        <v>X</v>
      </c>
      <c r="P43" s="226" t="str">
        <f t="shared" si="2"/>
        <v>#N/A</v>
      </c>
      <c r="Q43" s="227" t="str">
        <f t="shared" si="3"/>
        <v>#N/A</v>
      </c>
      <c r="R43" s="228" t="str">
        <f t="shared" si="4"/>
        <v>#N/A</v>
      </c>
      <c r="S43" s="220" t="str">
        <f t="shared" si="5"/>
        <v>#N/A</v>
      </c>
      <c r="T43" s="220" t="str">
        <f t="shared" si="6"/>
        <v>#N/A</v>
      </c>
      <c r="U43" s="221">
        <f t="shared" si="7"/>
        <v>0</v>
      </c>
      <c r="V43" s="229" t="str">
        <f>ifs($N43="",VLOOKUP($B43&amp;$E43,'VISIT DATA'!$A$2:$J100,7,FALSE), $N43="SWAB","OUTSA-RW",$N43="SWQU","OUTSA-SaQu", AND($L43="X",$M43="X",$N43="QUEST"),"OUT-UAQPre",$N43="QUEST","OUT-UAQ", $N43="Walk in","ColUATele")</f>
        <v>#N/A</v>
      </c>
      <c r="W43" s="24" t="str">
        <f t="shared" si="8"/>
        <v>#N/A</v>
      </c>
      <c r="X43" s="222" t="str">
        <f t="shared" si="9"/>
        <v/>
      </c>
      <c r="Y43" s="222" t="str">
        <f t="shared" si="10"/>
        <v/>
      </c>
      <c r="Z43" s="224" t="str">
        <f t="shared" si="11"/>
        <v> </v>
      </c>
      <c r="AA43" s="244"/>
    </row>
    <row r="44">
      <c r="A44" s="214" t="str">
        <f>IFS($B44=FALSE,"",$B44,VLOOKUP($B44,'PATIENT DATA (072721)'!A:C, 2, 0))</f>
        <v/>
      </c>
      <c r="B44" s="215"/>
      <c r="C44" s="216" t="str">
        <f>IF(COUNTIF('PATIENT DATA (072721)'!A:A, B44)=0, "X","✓")</f>
        <v>X</v>
      </c>
      <c r="D44" s="226" t="str">
        <f>IFS($B44=FALSE,"",$B44,VLOOKUP($B44,'PATIENT DATA (072721)'!A:C, 3, 0))</f>
        <v/>
      </c>
      <c r="E44" s="218">
        <v>44575.0</v>
      </c>
      <c r="F44" s="219" t="str">
        <f>ifs($B44="","",$B44, VLOOKUP($B44&amp;$E44, 'VISIT DATA'!A:O,3,0))</f>
        <v/>
      </c>
      <c r="G44" s="220"/>
      <c r="H44" s="221"/>
      <c r="I44" s="222" t="str">
        <f>VLOOKUP($B44&amp;$E44,'VISIT DATA'!A:J, 9, FALSE)</f>
        <v>#N/A</v>
      </c>
      <c r="J44" s="223" t="str">
        <f>VLOOKUP(B44&amp;E44,'VISIT DATA'!A:N,10,FALSE)</f>
        <v>#N/A</v>
      </c>
      <c r="K44" s="224"/>
      <c r="L44" s="224"/>
      <c r="M44" s="224"/>
      <c r="N44" s="225"/>
      <c r="O44" s="216" t="str">
        <f t="shared" si="1"/>
        <v>X</v>
      </c>
      <c r="P44" s="226" t="str">
        <f t="shared" si="2"/>
        <v>#N/A</v>
      </c>
      <c r="Q44" s="227" t="str">
        <f t="shared" si="3"/>
        <v>#N/A</v>
      </c>
      <c r="R44" s="228" t="str">
        <f t="shared" si="4"/>
        <v>#N/A</v>
      </c>
      <c r="S44" s="220" t="str">
        <f t="shared" si="5"/>
        <v>#N/A</v>
      </c>
      <c r="T44" s="220" t="str">
        <f t="shared" si="6"/>
        <v>#N/A</v>
      </c>
      <c r="U44" s="221">
        <f t="shared" si="7"/>
        <v>0</v>
      </c>
      <c r="V44" s="229" t="str">
        <f>ifs($N44="",VLOOKUP($B44&amp;$E44,'VISIT DATA'!$A$2:$J100,7,FALSE), $N44="SWAB","OUTSA-RW",$N44="SWQU","OUTSA-SaQu", AND($L44="X",$M44="X",$N44="QUEST"),"OUT-UAQPre",$N44="QUEST","OUT-UAQ", $N44="Walk in","ColUATele")</f>
        <v>#N/A</v>
      </c>
      <c r="W44" s="24" t="str">
        <f t="shared" si="8"/>
        <v>#N/A</v>
      </c>
      <c r="X44" s="222" t="str">
        <f t="shared" si="9"/>
        <v/>
      </c>
      <c r="Y44" s="222" t="str">
        <f t="shared" si="10"/>
        <v/>
      </c>
      <c r="Z44" s="224" t="str">
        <f t="shared" si="11"/>
        <v> </v>
      </c>
      <c r="AA44" s="244"/>
    </row>
    <row r="45">
      <c r="A45" s="214" t="str">
        <f>IFS($B45=FALSE,"",$B45,VLOOKUP($B45,'PATIENT DATA (072721)'!A:C, 2, 0))</f>
        <v/>
      </c>
      <c r="B45" s="215"/>
      <c r="C45" s="216" t="str">
        <f>IF(COUNTIF('PATIENT DATA (072721)'!A:A, B45)=0, "X","✓")</f>
        <v>X</v>
      </c>
      <c r="D45" s="226" t="str">
        <f>IFS($B45=FALSE,"",$B45,VLOOKUP($B45,'PATIENT DATA (072721)'!A:C, 3, 0))</f>
        <v/>
      </c>
      <c r="E45" s="218">
        <v>44575.0</v>
      </c>
      <c r="F45" s="219" t="str">
        <f>ifs($B45="","",$B45, VLOOKUP($B45&amp;$E45, 'VISIT DATA'!A:O,3,0))</f>
        <v/>
      </c>
      <c r="G45" s="220"/>
      <c r="H45" s="221"/>
      <c r="I45" s="222" t="str">
        <f>VLOOKUP($B45&amp;$E45,'VISIT DATA'!A:J, 9, FALSE)</f>
        <v>#N/A</v>
      </c>
      <c r="J45" s="223" t="str">
        <f>VLOOKUP(B45&amp;E45,'VISIT DATA'!A:N,10,FALSE)</f>
        <v>#N/A</v>
      </c>
      <c r="K45" s="225"/>
      <c r="L45" s="224"/>
      <c r="M45" s="224"/>
      <c r="N45" s="225"/>
      <c r="O45" s="216" t="str">
        <f t="shared" si="1"/>
        <v>X</v>
      </c>
      <c r="P45" s="226" t="str">
        <f t="shared" si="2"/>
        <v>#N/A</v>
      </c>
      <c r="Q45" s="227" t="str">
        <f t="shared" si="3"/>
        <v>#N/A</v>
      </c>
      <c r="R45" s="228" t="str">
        <f t="shared" si="4"/>
        <v>#N/A</v>
      </c>
      <c r="S45" s="220" t="str">
        <f t="shared" si="5"/>
        <v>#N/A</v>
      </c>
      <c r="T45" s="220" t="str">
        <f t="shared" si="6"/>
        <v>#N/A</v>
      </c>
      <c r="U45" s="221">
        <f t="shared" si="7"/>
        <v>0</v>
      </c>
      <c r="V45" s="229" t="str">
        <f>ifs($N45="",VLOOKUP($B45&amp;$E45,'VISIT DATA'!$A$2:$J100,7,FALSE), $N45="SWAB","OUTSA-RW",$N45="SWQU","OUTSA-SaQu", AND($L45="X",$M45="X",$N45="QUEST"),"OUT-UAQPre",$N45="QUEST","OUT-UAQ", $N45="Walk in","ColUATele")</f>
        <v>#N/A</v>
      </c>
      <c r="W45" s="24" t="str">
        <f t="shared" si="8"/>
        <v>#N/A</v>
      </c>
      <c r="X45" s="222" t="str">
        <f t="shared" si="9"/>
        <v/>
      </c>
      <c r="Y45" s="222" t="str">
        <f t="shared" si="10"/>
        <v/>
      </c>
      <c r="Z45" s="224" t="str">
        <f t="shared" si="11"/>
        <v> </v>
      </c>
      <c r="AA45" s="244"/>
    </row>
    <row r="46">
      <c r="A46" s="214" t="str">
        <f>IFS($B46=FALSE,"",$B46,VLOOKUP($B46,'PATIENT DATA (072721)'!A:C, 2, 0))</f>
        <v/>
      </c>
      <c r="B46" s="215"/>
      <c r="C46" s="216" t="str">
        <f>IF(COUNTIF('PATIENT DATA (072721)'!A:A, B46)=0, "X","✓")</f>
        <v>X</v>
      </c>
      <c r="D46" s="226" t="str">
        <f>IFS($B46=FALSE,"",$B46,VLOOKUP($B46,'PATIENT DATA (072721)'!A:C, 3, 0))</f>
        <v/>
      </c>
      <c r="E46" s="218">
        <v>44575.0</v>
      </c>
      <c r="F46" s="219" t="str">
        <f>ifs($B46="","",$B46, VLOOKUP($B46&amp;$E46, 'VISIT DATA'!A:O,3,0))</f>
        <v/>
      </c>
      <c r="G46" s="220"/>
      <c r="H46" s="221"/>
      <c r="I46" s="222" t="str">
        <f>VLOOKUP($B46&amp;$E46,'VISIT DATA'!A:J, 9, FALSE)</f>
        <v>#N/A</v>
      </c>
      <c r="J46" s="223" t="str">
        <f>VLOOKUP(B46&amp;E46,'VISIT DATA'!A:N,10,FALSE)</f>
        <v>#N/A</v>
      </c>
      <c r="K46" s="224"/>
      <c r="L46" s="224"/>
      <c r="M46" s="224"/>
      <c r="N46" s="225"/>
      <c r="O46" s="216" t="str">
        <f t="shared" si="1"/>
        <v>X</v>
      </c>
      <c r="P46" s="226" t="str">
        <f t="shared" si="2"/>
        <v>#N/A</v>
      </c>
      <c r="Q46" s="227" t="str">
        <f t="shared" si="3"/>
        <v>#N/A</v>
      </c>
      <c r="R46" s="228" t="str">
        <f t="shared" si="4"/>
        <v>#N/A</v>
      </c>
      <c r="S46" s="220" t="str">
        <f t="shared" si="5"/>
        <v>#N/A</v>
      </c>
      <c r="T46" s="220" t="str">
        <f t="shared" si="6"/>
        <v>#N/A</v>
      </c>
      <c r="U46" s="221">
        <f t="shared" si="7"/>
        <v>0</v>
      </c>
      <c r="V46" s="229" t="str">
        <f>ifs($N46="",VLOOKUP($B46&amp;$E46,'VISIT DATA'!$A$2:$J100,7,FALSE), $N46="SWAB","OUTSA-RW",$N46="SWQU","OUTSA-SaQu", AND($L46="X",$M46="X",$N46="QUEST"),"OUT-UAQPre",$N46="QUEST","OUT-UAQ", $N46="Walk in","ColUATele")</f>
        <v>#N/A</v>
      </c>
      <c r="W46" s="24" t="str">
        <f t="shared" si="8"/>
        <v>#N/A</v>
      </c>
      <c r="X46" s="222" t="str">
        <f t="shared" si="9"/>
        <v/>
      </c>
      <c r="Y46" s="222" t="str">
        <f t="shared" si="10"/>
        <v/>
      </c>
      <c r="Z46" s="224" t="str">
        <f t="shared" si="11"/>
        <v> </v>
      </c>
      <c r="AA46" s="244"/>
    </row>
    <row r="47">
      <c r="A47" s="214" t="str">
        <f>IFS($B47=FALSE,"",$B47,VLOOKUP($B47,'PATIENT DATA (072721)'!A:C, 2, 0))</f>
        <v/>
      </c>
      <c r="B47" s="215"/>
      <c r="C47" s="230" t="str">
        <f>IF(COUNTIF('PATIENT DATA (072721)'!A:A, B47)=0, "X","✓")</f>
        <v>X</v>
      </c>
      <c r="D47" s="226" t="str">
        <f>IFS($B47=FALSE,"",$B47,VLOOKUP($B47,'PATIENT DATA (072721)'!A:C, 3, 0))</f>
        <v/>
      </c>
      <c r="E47" s="218">
        <v>44575.0</v>
      </c>
      <c r="F47" s="219" t="str">
        <f>ifs($B47="","",$B47, VLOOKUP($B47&amp;$E47, 'VISIT DATA'!A:O,3,0))</f>
        <v/>
      </c>
      <c r="G47" s="220"/>
      <c r="H47" s="221"/>
      <c r="I47" s="222" t="str">
        <f>VLOOKUP($B47&amp;$E47,'VISIT DATA'!A:J, 9, FALSE)</f>
        <v>#N/A</v>
      </c>
      <c r="J47" s="223" t="str">
        <f>VLOOKUP(B47&amp;E47,'VISIT DATA'!A:N,10,FALSE)</f>
        <v>#N/A</v>
      </c>
      <c r="K47" s="225"/>
      <c r="L47" s="224"/>
      <c r="M47" s="224"/>
      <c r="N47" s="225"/>
      <c r="O47" s="216" t="str">
        <f t="shared" si="1"/>
        <v>X</v>
      </c>
      <c r="P47" s="226" t="str">
        <f t="shared" si="2"/>
        <v>#N/A</v>
      </c>
      <c r="Q47" s="227" t="str">
        <f t="shared" si="3"/>
        <v>#N/A</v>
      </c>
      <c r="R47" s="228" t="str">
        <f t="shared" si="4"/>
        <v>#N/A</v>
      </c>
      <c r="S47" s="220" t="str">
        <f t="shared" si="5"/>
        <v>#N/A</v>
      </c>
      <c r="T47" s="220" t="str">
        <f t="shared" si="6"/>
        <v>#N/A</v>
      </c>
      <c r="U47" s="221">
        <f t="shared" si="7"/>
        <v>0</v>
      </c>
      <c r="V47" s="229" t="str">
        <f>ifs($N47="",VLOOKUP($B47&amp;$E47,'VISIT DATA'!$A$2:$J100,7,FALSE), $N47="SWAB","OUTSA-RW",$N47="SWQU","OUTSA-SaQu", AND($L47="X",$M47="X",$N47="QUEST"),"OUT-UAQPre",$N47="QUEST","OUT-UAQ", $N47="Walk in","ColUATele")</f>
        <v>#N/A</v>
      </c>
      <c r="W47" s="24" t="str">
        <f t="shared" si="8"/>
        <v>#N/A</v>
      </c>
      <c r="X47" s="222" t="str">
        <f t="shared" si="9"/>
        <v/>
      </c>
      <c r="Y47" s="222" t="str">
        <f t="shared" si="10"/>
        <v/>
      </c>
      <c r="Z47" s="224" t="str">
        <f t="shared" si="11"/>
        <v> </v>
      </c>
      <c r="AA47" s="244"/>
    </row>
    <row r="48">
      <c r="A48" s="214" t="str">
        <f>IFS($B48=FALSE,"",$B48,VLOOKUP($B48,'PATIENT DATA (072721)'!A:C, 2, 0))</f>
        <v/>
      </c>
      <c r="B48" s="215"/>
      <c r="C48" s="230" t="str">
        <f>IF(COUNTIF('PATIENT DATA (072721)'!A:A, B48)=0, "X","✓")</f>
        <v>X</v>
      </c>
      <c r="D48" s="226" t="str">
        <f>IFS($B48=FALSE,"",$B48,VLOOKUP($B48,'PATIENT DATA (072721)'!A:C, 3, 0))</f>
        <v/>
      </c>
      <c r="E48" s="218">
        <v>44575.0</v>
      </c>
      <c r="F48" s="219" t="str">
        <f>ifs($B48="","",$B48, VLOOKUP($B48&amp;$E48, 'VISIT DATA'!A:O,3,0))</f>
        <v/>
      </c>
      <c r="G48" s="220"/>
      <c r="H48" s="221"/>
      <c r="I48" s="222" t="str">
        <f>VLOOKUP($B48&amp;$E48,'VISIT DATA'!A:J, 9, FALSE)</f>
        <v>#N/A</v>
      </c>
      <c r="J48" s="223" t="str">
        <f>VLOOKUP(B48&amp;E48,'VISIT DATA'!A:N,10,FALSE)</f>
        <v>#N/A</v>
      </c>
      <c r="K48" s="225"/>
      <c r="L48" s="224"/>
      <c r="M48" s="224"/>
      <c r="N48" s="224"/>
      <c r="O48" s="216" t="str">
        <f t="shared" si="1"/>
        <v>X</v>
      </c>
      <c r="P48" s="226" t="str">
        <f t="shared" si="2"/>
        <v>#N/A</v>
      </c>
      <c r="Q48" s="227" t="str">
        <f t="shared" si="3"/>
        <v>#N/A</v>
      </c>
      <c r="R48" s="228" t="str">
        <f t="shared" si="4"/>
        <v>#N/A</v>
      </c>
      <c r="S48" s="220" t="str">
        <f t="shared" si="5"/>
        <v>#N/A</v>
      </c>
      <c r="T48" s="220" t="str">
        <f t="shared" si="6"/>
        <v>#N/A</v>
      </c>
      <c r="U48" s="221">
        <f t="shared" si="7"/>
        <v>0</v>
      </c>
      <c r="V48" s="229" t="str">
        <f>ifs($N48="",VLOOKUP($B48&amp;$E48,'VISIT DATA'!$A$2:$J100,7,FALSE), $N48="SWAB","OUTSA-RW",$N48="SWQU","OUTSA-SaQu", AND($L48="X",$M48="X",$N48="QUEST"),"OUT-UAQPre",$N48="QUEST","OUT-UAQ", $N48="Walk in","ColUATele")</f>
        <v>#N/A</v>
      </c>
      <c r="W48" s="24" t="str">
        <f t="shared" si="8"/>
        <v>#N/A</v>
      </c>
      <c r="X48" s="222" t="str">
        <f t="shared" si="9"/>
        <v/>
      </c>
      <c r="Y48" s="222" t="str">
        <f t="shared" si="10"/>
        <v/>
      </c>
      <c r="Z48" s="224" t="str">
        <f t="shared" si="11"/>
        <v> </v>
      </c>
      <c r="AA48" s="244"/>
    </row>
    <row r="49">
      <c r="A49" s="214" t="str">
        <f>IFS($B49=FALSE,"",$B49,VLOOKUP($B49,'PATIENT DATA (072721)'!A:C, 2, 0))</f>
        <v/>
      </c>
      <c r="B49" s="215"/>
      <c r="C49" s="247" t="str">
        <f>IF(COUNTIF('PATIENT DATA (072721)'!A:A, B49)=0, "X","✓")</f>
        <v>X</v>
      </c>
      <c r="D49" s="226" t="str">
        <f>IFS($B49=FALSE,"",$B49,VLOOKUP($B49,'PATIENT DATA (072721)'!A:C, 3, 0))</f>
        <v/>
      </c>
      <c r="E49" s="218">
        <v>44575.0</v>
      </c>
      <c r="F49" s="219"/>
      <c r="G49" s="220"/>
      <c r="H49" s="221"/>
      <c r="I49" s="222" t="str">
        <f>VLOOKUP($B49&amp;$E49,'VISIT DATA'!A:J, 9, FALSE)</f>
        <v>#N/A</v>
      </c>
      <c r="J49" s="223" t="str">
        <f>VLOOKUP(B49&amp;E49,'VISIT DATA'!A:N,10,FALSE)</f>
        <v>#N/A</v>
      </c>
      <c r="K49" s="225"/>
      <c r="L49" s="224"/>
      <c r="M49" s="224"/>
      <c r="N49" s="225"/>
      <c r="O49" s="247" t="str">
        <f t="shared" si="1"/>
        <v>X</v>
      </c>
      <c r="P49" s="226" t="str">
        <f t="shared" si="2"/>
        <v>#N/A</v>
      </c>
      <c r="Q49" s="227" t="str">
        <f t="shared" si="3"/>
        <v>#N/A</v>
      </c>
      <c r="R49" s="228" t="str">
        <f t="shared" si="4"/>
        <v>#N/A</v>
      </c>
      <c r="S49" s="220" t="str">
        <f t="shared" si="5"/>
        <v>#N/A</v>
      </c>
      <c r="T49" s="220" t="str">
        <f t="shared" si="6"/>
        <v>#N/A</v>
      </c>
      <c r="U49" s="221">
        <f t="shared" si="7"/>
        <v>0</v>
      </c>
      <c r="V49" s="229" t="str">
        <f>ifs($N49="",VLOOKUP($B49&amp;$E49,'VISIT DATA'!$A$2:$J100,7,FALSE), $N49="SWAB","OUTSA-RW",$N49="SWQU","OUTSA-SaQu", AND($L49="X",$M49="X",$N49="QUEST"),"OUT-UAQPre",$N49="QUEST","OUT-UAQ", $N49="Walk in","ColUATele")</f>
        <v>#N/A</v>
      </c>
      <c r="W49" s="24" t="str">
        <f t="shared" si="8"/>
        <v>#N/A</v>
      </c>
      <c r="X49" s="222" t="str">
        <f t="shared" si="9"/>
        <v/>
      </c>
      <c r="Y49" s="222" t="str">
        <f t="shared" si="10"/>
        <v/>
      </c>
      <c r="Z49" s="224" t="str">
        <f t="shared" si="11"/>
        <v> </v>
      </c>
      <c r="AA49" s="244"/>
    </row>
    <row r="50">
      <c r="A50" s="248" t="str">
        <f>IFS($B50=FALSE,"",$B50,VLOOKUP($B50,'PATIENT DATA (072721)'!A:C, 2, 0))</f>
        <v/>
      </c>
      <c r="B50" s="249"/>
      <c r="C50" s="250" t="str">
        <f>IF(COUNTIF('PATIENT DATA (072721)'!A:A, B50)=0, "X","✓")</f>
        <v>X</v>
      </c>
      <c r="D50" s="251" t="str">
        <f>IFS($B50=FALSE,"",$B50,VLOOKUP($B50,'PATIENT DATA (072721)'!A:C, 3, 0))</f>
        <v/>
      </c>
      <c r="E50" s="252">
        <v>44575.0</v>
      </c>
      <c r="F50" s="253" t="str">
        <f>ifs($B50="","",$B50, VLOOKUP($B50&amp;$E50, 'VISIT DATA'!A:O,3,0))</f>
        <v/>
      </c>
      <c r="G50" s="254"/>
      <c r="H50" s="255" t="str">
        <f>ifs($B50="","",$B50, VLOOKUP($B50&amp;$E50, 'VISIT DATA'!$A:$O,13,0))</f>
        <v/>
      </c>
      <c r="I50" s="256" t="str">
        <f>VLOOKUP($B50&amp;$E50,'VISIT DATA'!A:J, 9, FALSE)</f>
        <v>#N/A</v>
      </c>
      <c r="J50" s="257" t="str">
        <f>VLOOKUP(B50&amp;E50,'VISIT DATA'!A:N,10,FALSE)</f>
        <v>#N/A</v>
      </c>
      <c r="K50" s="258"/>
      <c r="L50" s="259"/>
      <c r="M50" s="259"/>
      <c r="N50" s="258"/>
      <c r="O50" s="260" t="str">
        <f t="shared" si="1"/>
        <v>X</v>
      </c>
      <c r="P50" s="226" t="str">
        <f t="shared" si="2"/>
        <v>#N/A</v>
      </c>
      <c r="Q50" s="227" t="str">
        <f t="shared" si="3"/>
        <v>#N/A</v>
      </c>
      <c r="R50" s="228" t="str">
        <f t="shared" si="4"/>
        <v>#N/A</v>
      </c>
      <c r="S50" s="220" t="str">
        <f t="shared" si="5"/>
        <v>#N/A</v>
      </c>
      <c r="T50" s="220" t="str">
        <f t="shared" si="6"/>
        <v>#N/A</v>
      </c>
      <c r="U50" s="221">
        <f t="shared" si="7"/>
        <v>0</v>
      </c>
      <c r="V50" s="261" t="str">
        <f>ifs($N50="",VLOOKUP($B50&amp;$E50,'VISIT DATA'!$A$2:$J100,7,FALSE), $N50="SWAB","OUTSA-RW",$N50="SWQU","OUTSA-SaQu", AND($L50="X",$M50="X",$N50="QUEST"),"OUT-UAQPre",$N50="QUEST","OUT-UAQ", $N50="Walk in","ColUATele")</f>
        <v>#N/A</v>
      </c>
      <c r="W50" s="24" t="str">
        <f t="shared" si="8"/>
        <v>#N/A</v>
      </c>
      <c r="X50" s="222" t="str">
        <f t="shared" si="9"/>
        <v/>
      </c>
      <c r="Y50" s="222" t="str">
        <f t="shared" si="10"/>
        <v/>
      </c>
      <c r="Z50" s="224" t="str">
        <f t="shared" si="11"/>
        <v> </v>
      </c>
      <c r="AA50" s="244"/>
    </row>
    <row r="51">
      <c r="A51" s="214" t="str">
        <f>IFS($B51=FALSE,"",$B51,VLOOKUP($B51,'PATIENT DATA (072721)'!A:C, 2, 0))</f>
        <v/>
      </c>
      <c r="B51" s="215"/>
      <c r="C51" s="230" t="str">
        <f>IF(COUNTIF('PATIENT DATA (072721)'!A:A, B51)=0, "X","✓")</f>
        <v>X</v>
      </c>
      <c r="D51" s="226" t="str">
        <f>IFS($B51=FALSE,"",$B51,VLOOKUP($B51,'PATIENT DATA (072721)'!A:C, 3, 0))</f>
        <v/>
      </c>
      <c r="E51" s="218">
        <v>44575.0</v>
      </c>
      <c r="F51" s="219" t="str">
        <f>ifs($B51="","",$B51, VLOOKUP($B51&amp;$E51, 'VISIT DATA'!A:O,3,0))</f>
        <v/>
      </c>
      <c r="G51" s="231"/>
      <c r="H51" s="221" t="str">
        <f>ifs($B51="","",$B51, VLOOKUP($B51&amp;$E51, 'VISIT DATA'!$A:$O,13,0))</f>
        <v/>
      </c>
      <c r="I51" s="262" t="str">
        <f>VLOOKUP($B51&amp;$E51,'VISIT DATA'!A:J, 9, FALSE)</f>
        <v>#N/A</v>
      </c>
      <c r="J51" s="223" t="str">
        <f>VLOOKUP(B51&amp;E51,'VISIT DATA'!A:N,10,FALSE)</f>
        <v>#N/A</v>
      </c>
      <c r="K51" s="225"/>
      <c r="L51" s="224"/>
      <c r="M51" s="224"/>
      <c r="N51" s="225"/>
      <c r="O51" s="216" t="str">
        <f t="shared" si="1"/>
        <v>X</v>
      </c>
      <c r="P51" s="226" t="str">
        <f t="shared" si="2"/>
        <v>#N/A</v>
      </c>
      <c r="Q51" s="227" t="str">
        <f t="shared" si="3"/>
        <v>#N/A</v>
      </c>
      <c r="R51" s="228" t="str">
        <f t="shared" si="4"/>
        <v>#N/A</v>
      </c>
      <c r="S51" s="220" t="str">
        <f t="shared" si="5"/>
        <v>#N/A</v>
      </c>
      <c r="T51" s="220" t="str">
        <f t="shared" si="6"/>
        <v>#N/A</v>
      </c>
      <c r="U51" s="221">
        <f t="shared" si="7"/>
        <v>0</v>
      </c>
      <c r="V51" s="229" t="str">
        <f>ifs($N51="",VLOOKUP($B51&amp;$E51,'VISIT DATA'!$A$2:$J100,7,FALSE), $N51="SWAB","OUTSA-RW",$N51="SWQU","OUTSA-SaQu", AND($L51="X",$M51="X",$N51="QUEST"),"OUT-UAQPre",$N51="QUEST","OUT-UAQ", $N51="Walk in","ColUATele")</f>
        <v>#N/A</v>
      </c>
      <c r="W51" s="24" t="str">
        <f t="shared" si="8"/>
        <v>#N/A</v>
      </c>
      <c r="X51" s="222" t="str">
        <f t="shared" si="9"/>
        <v/>
      </c>
      <c r="Y51" s="222" t="str">
        <f t="shared" si="10"/>
        <v/>
      </c>
      <c r="Z51" s="224" t="str">
        <f t="shared" si="11"/>
        <v> </v>
      </c>
      <c r="AA51" s="244"/>
    </row>
    <row r="52">
      <c r="A52" s="214" t="str">
        <f>IFS($B52=FALSE,"",$B52,VLOOKUP($B52,'PATIENT DATA (072721)'!A:C, 2, 0))</f>
        <v/>
      </c>
      <c r="B52" s="215"/>
      <c r="C52" s="230" t="str">
        <f>IF(COUNTIF('PATIENT DATA (072721)'!A:A, B52)=0, "X","✓")</f>
        <v>X</v>
      </c>
      <c r="D52" s="226" t="str">
        <f>IFS($B52=FALSE,"",$B52,VLOOKUP($B52,'PATIENT DATA (072721)'!A:C, 3, 0))</f>
        <v/>
      </c>
      <c r="E52" s="218">
        <v>44575.0</v>
      </c>
      <c r="F52" s="219" t="str">
        <f>ifs($B52="","",$B52, VLOOKUP($B52&amp;$E52, 'VISIT DATA'!A:O,3,0))</f>
        <v/>
      </c>
      <c r="G52" s="231"/>
      <c r="H52" s="221" t="str">
        <f>ifs($B52="","",$B52, VLOOKUP($B52&amp;$E52, 'VISIT DATA'!$A:$O,13,0))</f>
        <v/>
      </c>
      <c r="I52" s="262" t="str">
        <f>VLOOKUP($B52&amp;$E52,'VISIT DATA'!A:J, 9, FALSE)</f>
        <v>#N/A</v>
      </c>
      <c r="J52" s="223" t="str">
        <f>VLOOKUP(B52&amp;E52,'VISIT DATA'!A:N,10,FALSE)</f>
        <v>#N/A</v>
      </c>
      <c r="K52" s="225"/>
      <c r="L52" s="224"/>
      <c r="M52" s="224"/>
      <c r="N52" s="225"/>
      <c r="O52" s="216" t="str">
        <f t="shared" si="1"/>
        <v>X</v>
      </c>
      <c r="P52" s="226" t="str">
        <f t="shared" si="2"/>
        <v>#N/A</v>
      </c>
      <c r="Q52" s="227" t="str">
        <f t="shared" si="3"/>
        <v>#N/A</v>
      </c>
      <c r="R52" s="228" t="str">
        <f t="shared" si="4"/>
        <v>#N/A</v>
      </c>
      <c r="S52" s="220" t="str">
        <f t="shared" si="5"/>
        <v>#N/A</v>
      </c>
      <c r="T52" s="220" t="str">
        <f t="shared" si="6"/>
        <v>#N/A</v>
      </c>
      <c r="U52" s="221">
        <f t="shared" si="7"/>
        <v>0</v>
      </c>
      <c r="V52" s="229" t="str">
        <f>ifs($N52="",VLOOKUP($B52&amp;$E52,'VISIT DATA'!$A$2:$J100,7,FALSE), $N52="SWAB","OUTSA-RW",$N52="SWQU","OUTSA-SaQu", AND($L52="X",$M52="X",$N52="QUEST"),"OUT-UAQPre",$N52="QUEST","OUT-UAQ", $N52="Walk in","ColUATele")</f>
        <v>#N/A</v>
      </c>
      <c r="W52" s="24" t="str">
        <f t="shared" si="8"/>
        <v>#N/A</v>
      </c>
      <c r="X52" s="222" t="str">
        <f t="shared" si="9"/>
        <v/>
      </c>
      <c r="Y52" s="222" t="str">
        <f t="shared" si="10"/>
        <v/>
      </c>
      <c r="Z52" s="224" t="str">
        <f t="shared" si="11"/>
        <v> </v>
      </c>
      <c r="AA52" s="244"/>
    </row>
    <row r="53">
      <c r="A53" s="214" t="str">
        <f>IFS($B53=FALSE,"",$B53,VLOOKUP($B53,'PATIENT DATA (072721)'!A:C, 2, 0))</f>
        <v/>
      </c>
      <c r="B53" s="215"/>
      <c r="C53" s="230" t="str">
        <f>IF(COUNTIF('PATIENT DATA (072721)'!A:A, B53)=0, "X","✓")</f>
        <v>X</v>
      </c>
      <c r="D53" s="226" t="str">
        <f>IFS($B53=FALSE,"",$B53,VLOOKUP($B53,'PATIENT DATA (072721)'!A:C, 3, 0))</f>
        <v/>
      </c>
      <c r="E53" s="218">
        <v>44575.0</v>
      </c>
      <c r="F53" s="219" t="str">
        <f>ifs($B53="","",$B53, VLOOKUP($B53&amp;$E53, 'VISIT DATA'!A:O,3,0))</f>
        <v/>
      </c>
      <c r="G53" s="231"/>
      <c r="H53" s="221" t="str">
        <f>ifs($B53="","",$B53, VLOOKUP($B53&amp;$E53, 'VISIT DATA'!$A:$O,13,0))</f>
        <v/>
      </c>
      <c r="I53" s="262" t="str">
        <f>VLOOKUP($B53&amp;$E53,'VISIT DATA'!A:J, 9, FALSE)</f>
        <v>#N/A</v>
      </c>
      <c r="J53" s="223" t="str">
        <f>VLOOKUP(B53&amp;E53,'VISIT DATA'!A:N,10,FALSE)</f>
        <v>#N/A</v>
      </c>
      <c r="K53" s="224"/>
      <c r="L53" s="224"/>
      <c r="M53" s="224"/>
      <c r="N53" s="225"/>
      <c r="O53" s="216" t="str">
        <f t="shared" si="1"/>
        <v>X</v>
      </c>
      <c r="P53" s="226" t="str">
        <f t="shared" si="2"/>
        <v>#N/A</v>
      </c>
      <c r="Q53" s="227" t="str">
        <f t="shared" si="3"/>
        <v>#N/A</v>
      </c>
      <c r="R53" s="228" t="str">
        <f t="shared" si="4"/>
        <v>#N/A</v>
      </c>
      <c r="S53" s="220" t="str">
        <f t="shared" si="5"/>
        <v>#N/A</v>
      </c>
      <c r="T53" s="220" t="str">
        <f t="shared" si="6"/>
        <v>#N/A</v>
      </c>
      <c r="U53" s="221">
        <f t="shared" si="7"/>
        <v>0</v>
      </c>
      <c r="V53" s="229" t="str">
        <f>ifs($N53="",VLOOKUP($B53&amp;$E53,'VISIT DATA'!$A$2:$J100,7,FALSE), $N53="SWAB","OUTSA-RW",$N53="SWQU","OUTSA-SaQu", AND($L53="X",$M53="X",$N53="QUEST"),"OUT-UAQPre",$N53="QUEST","OUT-UAQ", $N53="Walk in","ColUATele")</f>
        <v>#N/A</v>
      </c>
      <c r="W53" s="24" t="str">
        <f t="shared" si="8"/>
        <v>#N/A</v>
      </c>
      <c r="X53" s="222" t="str">
        <f t="shared" si="9"/>
        <v/>
      </c>
      <c r="Y53" s="222" t="str">
        <f t="shared" si="10"/>
        <v/>
      </c>
      <c r="Z53" s="224" t="str">
        <f t="shared" si="11"/>
        <v> </v>
      </c>
      <c r="AA53" s="244"/>
    </row>
    <row r="54">
      <c r="A54" s="214" t="str">
        <f>IFS($B54=FALSE,"",$B54,VLOOKUP($B54,'PATIENT DATA (072721)'!A:C, 2, 0))</f>
        <v/>
      </c>
      <c r="B54" s="215"/>
      <c r="C54" s="230" t="str">
        <f>IF(COUNTIF('PATIENT DATA (072721)'!A:A, B54)=0, "X","✓")</f>
        <v>X</v>
      </c>
      <c r="D54" s="226" t="str">
        <f>IFS($B54=FALSE,"",$B54,VLOOKUP($B54,'PATIENT DATA (072721)'!A:C, 3, 0))</f>
        <v/>
      </c>
      <c r="E54" s="218">
        <v>44575.0</v>
      </c>
      <c r="F54" s="219" t="str">
        <f>ifs($B54="","",$B54, VLOOKUP($B54&amp;$E54, 'VISIT DATA'!A:O,3,0))</f>
        <v/>
      </c>
      <c r="G54" s="231"/>
      <c r="H54" s="221" t="str">
        <f>ifs($B54="","",$B54, VLOOKUP($B54&amp;$E54, 'VISIT DATA'!$A:$O,13,0))</f>
        <v/>
      </c>
      <c r="I54" s="262" t="str">
        <f>VLOOKUP($B54&amp;$E54,'VISIT DATA'!A:J, 9, FALSE)</f>
        <v>#N/A</v>
      </c>
      <c r="J54" s="223" t="str">
        <f>VLOOKUP(B54&amp;E54,'VISIT DATA'!A:N,10,FALSE)</f>
        <v>#N/A</v>
      </c>
      <c r="K54" s="225"/>
      <c r="L54" s="224"/>
      <c r="M54" s="224"/>
      <c r="N54" s="225"/>
      <c r="O54" s="216" t="str">
        <f t="shared" si="1"/>
        <v>X</v>
      </c>
      <c r="P54" s="226" t="str">
        <f t="shared" si="2"/>
        <v>#N/A</v>
      </c>
      <c r="Q54" s="227" t="str">
        <f t="shared" si="3"/>
        <v>#N/A</v>
      </c>
      <c r="R54" s="228" t="str">
        <f t="shared" si="4"/>
        <v>#N/A</v>
      </c>
      <c r="S54" s="220" t="str">
        <f t="shared" si="5"/>
        <v>#N/A</v>
      </c>
      <c r="T54" s="220" t="str">
        <f t="shared" si="6"/>
        <v>#N/A</v>
      </c>
      <c r="U54" s="221">
        <f t="shared" si="7"/>
        <v>0</v>
      </c>
      <c r="V54" s="229" t="str">
        <f>ifs($N54="",VLOOKUP($B54&amp;$E54,'VISIT DATA'!$A$2:$J100,7,FALSE), $N54="SWAB","OUTSA-RW",$N54="SWQU","OUTSA-SaQu", AND($L54="X",$M54="X",$N54="QUEST"),"OUT-UAQPre",$N54="QUEST","OUT-UAQ", $N54="Walk in","ColUATele")</f>
        <v>#N/A</v>
      </c>
      <c r="W54" s="24" t="str">
        <f t="shared" si="8"/>
        <v>#N/A</v>
      </c>
      <c r="X54" s="222" t="str">
        <f t="shared" si="9"/>
        <v/>
      </c>
      <c r="Y54" s="222" t="str">
        <f t="shared" si="10"/>
        <v/>
      </c>
      <c r="Z54" s="224" t="str">
        <f t="shared" si="11"/>
        <v> </v>
      </c>
      <c r="AA54" s="244"/>
    </row>
    <row r="55">
      <c r="A55" s="214" t="str">
        <f>IFS($B55=FALSE,"",$B55,VLOOKUP($B55,'PATIENT DATA (072721)'!A:C, 2, 0))</f>
        <v/>
      </c>
      <c r="B55" s="215"/>
      <c r="C55" s="230" t="str">
        <f>IF(COUNTIF('PATIENT DATA (072721)'!A:A, B55)=0, "X","✓")</f>
        <v>X</v>
      </c>
      <c r="D55" s="226" t="str">
        <f>IFS($B55=FALSE,"",$B55,VLOOKUP($B55,'PATIENT DATA (072721)'!A:C, 3, 0))</f>
        <v/>
      </c>
      <c r="E55" s="218">
        <v>44575.0</v>
      </c>
      <c r="F55" s="219" t="str">
        <f>ifs($B55="","",$B55, VLOOKUP($B55&amp;$E55, 'VISIT DATA'!A:O,3,0))</f>
        <v/>
      </c>
      <c r="G55" s="231"/>
      <c r="H55" s="221" t="str">
        <f>ifs($B55="","",$B55, VLOOKUP($B55&amp;$E55, 'VISIT DATA'!$A:$O,13,0))</f>
        <v/>
      </c>
      <c r="I55" s="262" t="str">
        <f>VLOOKUP($B55&amp;$E55,'VISIT DATA'!A:J, 9, FALSE)</f>
        <v>#N/A</v>
      </c>
      <c r="J55" s="223" t="str">
        <f>VLOOKUP(B55&amp;E55,'VISIT DATA'!A:N,10,FALSE)</f>
        <v>#N/A</v>
      </c>
      <c r="K55" s="225"/>
      <c r="L55" s="224"/>
      <c r="M55" s="224"/>
      <c r="N55" s="225"/>
      <c r="O55" s="216" t="str">
        <f t="shared" si="1"/>
        <v>X</v>
      </c>
      <c r="P55" s="226" t="str">
        <f t="shared" si="2"/>
        <v>#N/A</v>
      </c>
      <c r="Q55" s="227" t="str">
        <f t="shared" si="3"/>
        <v>#N/A</v>
      </c>
      <c r="R55" s="228" t="str">
        <f t="shared" si="4"/>
        <v>#N/A</v>
      </c>
      <c r="S55" s="220" t="str">
        <f t="shared" si="5"/>
        <v>#N/A</v>
      </c>
      <c r="T55" s="220" t="str">
        <f t="shared" si="6"/>
        <v>#N/A</v>
      </c>
      <c r="U55" s="221">
        <f t="shared" si="7"/>
        <v>0</v>
      </c>
      <c r="V55" s="229" t="str">
        <f>ifs($N55="",VLOOKUP($B55&amp;$E55,'VISIT DATA'!$A$2:$J100,7,FALSE), $N55="SWAB","OUTSA-RW",$N55="SWQU","OUTSA-SaQu", AND($L55="X",$M55="X",$N55="QUEST"),"OUT-UAQPre",$N55="QUEST","OUT-UAQ", $N55="Walk in","ColUATele")</f>
        <v>#N/A</v>
      </c>
      <c r="W55" s="24" t="str">
        <f t="shared" si="8"/>
        <v>#N/A</v>
      </c>
      <c r="X55" s="222" t="str">
        <f t="shared" si="9"/>
        <v/>
      </c>
      <c r="Y55" s="222" t="str">
        <f t="shared" si="10"/>
        <v/>
      </c>
      <c r="Z55" s="224" t="str">
        <f t="shared" si="11"/>
        <v> </v>
      </c>
      <c r="AA55" s="244"/>
    </row>
    <row r="56">
      <c r="A56" s="214" t="str">
        <f>IFS($B56=FALSE,"",$B56,VLOOKUP($B56,'PATIENT DATA (072721)'!A:C, 2, 0))</f>
        <v/>
      </c>
      <c r="B56" s="215"/>
      <c r="C56" s="230" t="str">
        <f>IF(COUNTIF('PATIENT DATA (072721)'!A:A, B56)=0, "X","✓")</f>
        <v>X</v>
      </c>
      <c r="D56" s="226" t="str">
        <f>IFS($B56=FALSE,"",$B56,VLOOKUP($B56,'PATIENT DATA (072721)'!A:C, 3, 0))</f>
        <v/>
      </c>
      <c r="E56" s="218">
        <v>44575.0</v>
      </c>
      <c r="F56" s="219" t="str">
        <f>ifs($B56="","",$B56, VLOOKUP($B56&amp;$E56, 'VISIT DATA'!A:O,3,0))</f>
        <v/>
      </c>
      <c r="G56" s="231"/>
      <c r="H56" s="221" t="str">
        <f>ifs($B56="","",$B56, VLOOKUP($B56&amp;$E56, 'VISIT DATA'!$A:$O,13,0))</f>
        <v/>
      </c>
      <c r="I56" s="262" t="str">
        <f>VLOOKUP($B56&amp;$E56,'VISIT DATA'!A:J, 9, FALSE)</f>
        <v>#N/A</v>
      </c>
      <c r="J56" s="223" t="str">
        <f>VLOOKUP(B56&amp;E56,'VISIT DATA'!A:N,10,FALSE)</f>
        <v>#N/A</v>
      </c>
      <c r="K56" s="225"/>
      <c r="L56" s="224"/>
      <c r="M56" s="224"/>
      <c r="N56" s="225"/>
      <c r="O56" s="216" t="str">
        <f t="shared" si="1"/>
        <v>X</v>
      </c>
      <c r="P56" s="226" t="str">
        <f t="shared" si="2"/>
        <v>#N/A</v>
      </c>
      <c r="Q56" s="227" t="str">
        <f t="shared" si="3"/>
        <v>#N/A</v>
      </c>
      <c r="R56" s="228" t="str">
        <f t="shared" si="4"/>
        <v>#N/A</v>
      </c>
      <c r="S56" s="220" t="str">
        <f t="shared" si="5"/>
        <v>#N/A</v>
      </c>
      <c r="T56" s="220" t="str">
        <f t="shared" si="6"/>
        <v>#N/A</v>
      </c>
      <c r="U56" s="221">
        <f t="shared" si="7"/>
        <v>0</v>
      </c>
      <c r="V56" s="229" t="str">
        <f>ifs($N56="",VLOOKUP($B56&amp;$E56,'VISIT DATA'!$A$2:$J100,7,FALSE), $N56="SWAB","OUTSA-RW",$N56="SWQU","OUTSA-SaQu", AND($L56="X",$M56="X",$N56="QUEST"),"OUT-UAQPre",$N56="QUEST","OUT-UAQ", $N56="Walk in","ColUATele")</f>
        <v>#N/A</v>
      </c>
      <c r="W56" s="24" t="str">
        <f t="shared" si="8"/>
        <v>#N/A</v>
      </c>
      <c r="X56" s="222" t="str">
        <f t="shared" si="9"/>
        <v/>
      </c>
      <c r="Y56" s="222" t="str">
        <f t="shared" si="10"/>
        <v/>
      </c>
      <c r="Z56" s="224" t="str">
        <f t="shared" si="11"/>
        <v> </v>
      </c>
      <c r="AA56" s="244"/>
    </row>
    <row r="57">
      <c r="A57" s="214" t="str">
        <f>IFS($B57=FALSE,"",$B57,VLOOKUP($B57,'PATIENT DATA (072721)'!A:C, 2, 0))</f>
        <v/>
      </c>
      <c r="B57" s="215"/>
      <c r="C57" s="230" t="str">
        <f>IF(COUNTIF('PATIENT DATA (072721)'!A:A, B57)=0, "X","✓")</f>
        <v>X</v>
      </c>
      <c r="D57" s="226" t="str">
        <f>IFS($B57=FALSE,"",$B57,VLOOKUP($B57,'PATIENT DATA (072721)'!A:C, 3, 0))</f>
        <v/>
      </c>
      <c r="E57" s="218">
        <v>44575.0</v>
      </c>
      <c r="F57" s="219" t="str">
        <f>ifs($B57="","",$B57, VLOOKUP($B57&amp;$E57, 'VISIT DATA'!A:O,3,0))</f>
        <v/>
      </c>
      <c r="G57" s="231"/>
      <c r="H57" s="221" t="str">
        <f>ifs($B57="","",$B57, VLOOKUP($B57&amp;$E57, 'VISIT DATA'!$A:$O,13,0))</f>
        <v/>
      </c>
      <c r="I57" s="262" t="str">
        <f>VLOOKUP($B57&amp;$E57,'VISIT DATA'!A:J, 9, FALSE)</f>
        <v>#N/A</v>
      </c>
      <c r="J57" s="223" t="str">
        <f>VLOOKUP(B57&amp;E57,'VISIT DATA'!A:N,10,FALSE)</f>
        <v>#N/A</v>
      </c>
      <c r="K57" s="225"/>
      <c r="L57" s="224"/>
      <c r="M57" s="224"/>
      <c r="N57" s="225"/>
      <c r="O57" s="216" t="str">
        <f t="shared" si="1"/>
        <v>X</v>
      </c>
      <c r="P57" s="226" t="str">
        <f t="shared" si="2"/>
        <v>#N/A</v>
      </c>
      <c r="Q57" s="227" t="str">
        <f t="shared" si="3"/>
        <v>#N/A</v>
      </c>
      <c r="R57" s="228" t="str">
        <f t="shared" si="4"/>
        <v>#N/A</v>
      </c>
      <c r="S57" s="220" t="str">
        <f t="shared" si="5"/>
        <v>#N/A</v>
      </c>
      <c r="T57" s="220" t="str">
        <f t="shared" si="6"/>
        <v>#N/A</v>
      </c>
      <c r="U57" s="221">
        <f t="shared" si="7"/>
        <v>0</v>
      </c>
      <c r="V57" s="229" t="str">
        <f>ifs($N57="",VLOOKUP($B57&amp;$E57,'VISIT DATA'!$A$2:$J100,7,FALSE), $N57="SWAB","OUTSA-RW",$N57="SWQU","OUTSA-SaQu", AND($L57="X",$M57="X",$N57="QUEST"),"OUT-UAQPre",$N57="QUEST","OUT-UAQ", $N57="Walk in","ColUATele")</f>
        <v>#N/A</v>
      </c>
      <c r="W57" s="24" t="str">
        <f t="shared" si="8"/>
        <v>#N/A</v>
      </c>
      <c r="X57" s="222" t="str">
        <f t="shared" si="9"/>
        <v/>
      </c>
      <c r="Y57" s="222" t="str">
        <f t="shared" si="10"/>
        <v/>
      </c>
      <c r="Z57" s="224" t="str">
        <f t="shared" si="11"/>
        <v> </v>
      </c>
      <c r="AA57" s="244"/>
    </row>
    <row r="58">
      <c r="A58" s="214" t="str">
        <f>IFS($B58=FALSE,"",$B58,VLOOKUP($B58,'PATIENT DATA (072721)'!A:C, 2, 0))</f>
        <v/>
      </c>
      <c r="B58" s="215"/>
      <c r="C58" s="230" t="str">
        <f>IF(COUNTIF('PATIENT DATA (072721)'!A:A, B58)=0, "X","✓")</f>
        <v>X</v>
      </c>
      <c r="D58" s="226" t="str">
        <f>IFS($B58=FALSE,"",$B58,VLOOKUP($B58,'PATIENT DATA (072721)'!A:C, 3, 0))</f>
        <v/>
      </c>
      <c r="E58" s="218">
        <v>44575.0</v>
      </c>
      <c r="F58" s="219" t="str">
        <f>ifs($B58="","",$B58, VLOOKUP($B58&amp;$E58, 'VISIT DATA'!A:O,3,0))</f>
        <v/>
      </c>
      <c r="G58" s="231"/>
      <c r="H58" s="221" t="str">
        <f>ifs($B58="","",$B58, VLOOKUP($B58&amp;$E58, 'VISIT DATA'!$A:$O,13,0))</f>
        <v/>
      </c>
      <c r="I58" s="262" t="str">
        <f>VLOOKUP($B58&amp;$E58,'VISIT DATA'!A:J, 9, FALSE)</f>
        <v>#N/A</v>
      </c>
      <c r="J58" s="223" t="str">
        <f>VLOOKUP(B58&amp;E58,'VISIT DATA'!A:N,10,FALSE)</f>
        <v>#N/A</v>
      </c>
      <c r="K58" s="224"/>
      <c r="L58" s="224"/>
      <c r="M58" s="224"/>
      <c r="N58" s="225"/>
      <c r="O58" s="216" t="str">
        <f t="shared" si="1"/>
        <v>X</v>
      </c>
      <c r="P58" s="226" t="str">
        <f t="shared" si="2"/>
        <v>#N/A</v>
      </c>
      <c r="Q58" s="227" t="str">
        <f t="shared" si="3"/>
        <v>#N/A</v>
      </c>
      <c r="R58" s="228" t="str">
        <f t="shared" si="4"/>
        <v>#N/A</v>
      </c>
      <c r="S58" s="220" t="str">
        <f t="shared" si="5"/>
        <v>#N/A</v>
      </c>
      <c r="T58" s="220" t="str">
        <f t="shared" si="6"/>
        <v>#N/A</v>
      </c>
      <c r="U58" s="221">
        <f t="shared" si="7"/>
        <v>0</v>
      </c>
      <c r="V58" s="229" t="str">
        <f>ifs($N58="",VLOOKUP($B58&amp;$E58,'VISIT DATA'!$A$2:$J100,7,FALSE), $N58="SWAB","OUTSA-RW",$N58="SWQU","OUTSA-SaQu", AND($L58="X",$M58="X",$N58="QUEST"),"OUT-UAQPre",$N58="QUEST","OUT-UAQ", $N58="Walk in","ColUATele")</f>
        <v>#N/A</v>
      </c>
      <c r="W58" s="24" t="str">
        <f t="shared" si="8"/>
        <v>#N/A</v>
      </c>
      <c r="X58" s="222" t="str">
        <f t="shared" si="9"/>
        <v/>
      </c>
      <c r="Y58" s="222" t="str">
        <f t="shared" si="10"/>
        <v/>
      </c>
      <c r="Z58" s="224" t="str">
        <f t="shared" si="11"/>
        <v> </v>
      </c>
      <c r="AA58" s="244"/>
    </row>
    <row r="59">
      <c r="A59" s="214" t="str">
        <f>IFS($B59=FALSE,"",$B59,VLOOKUP($B59,'PATIENT DATA (072721)'!A:C, 2, 0))</f>
        <v/>
      </c>
      <c r="B59" s="215"/>
      <c r="C59" s="230" t="str">
        <f>IF(COUNTIF('PATIENT DATA (072721)'!A:A, B59)=0, "X","✓")</f>
        <v>X</v>
      </c>
      <c r="D59" s="226" t="str">
        <f>IFS($B59=FALSE,"",$B59,VLOOKUP($B59,'PATIENT DATA (072721)'!A:C, 3, 0))</f>
        <v/>
      </c>
      <c r="E59" s="218">
        <v>44575.0</v>
      </c>
      <c r="F59" s="219" t="str">
        <f>ifs($B59="","",$B59, VLOOKUP($B59&amp;$E59, 'VISIT DATA'!A:O,3,0))</f>
        <v/>
      </c>
      <c r="G59" s="231"/>
      <c r="H59" s="221" t="str">
        <f>ifs($B59="","",$B59, VLOOKUP($B59&amp;$E59, 'VISIT DATA'!$A:$O,13,0))</f>
        <v/>
      </c>
      <c r="I59" s="262" t="str">
        <f>VLOOKUP($B59&amp;$E59,'VISIT DATA'!A:J, 9, FALSE)</f>
        <v>#N/A</v>
      </c>
      <c r="J59" s="223" t="str">
        <f>VLOOKUP(B59&amp;E59,'VISIT DATA'!A:N,10,FALSE)</f>
        <v>#N/A</v>
      </c>
      <c r="K59" s="224"/>
      <c r="L59" s="224"/>
      <c r="M59" s="224"/>
      <c r="N59" s="225"/>
      <c r="O59" s="216" t="str">
        <f t="shared" si="1"/>
        <v>X</v>
      </c>
      <c r="P59" s="226" t="str">
        <f t="shared" si="2"/>
        <v>#N/A</v>
      </c>
      <c r="Q59" s="227" t="str">
        <f t="shared" si="3"/>
        <v>#N/A</v>
      </c>
      <c r="R59" s="228" t="str">
        <f t="shared" si="4"/>
        <v>#N/A</v>
      </c>
      <c r="S59" s="220" t="str">
        <f t="shared" si="5"/>
        <v>#N/A</v>
      </c>
      <c r="T59" s="220" t="str">
        <f t="shared" si="6"/>
        <v>#N/A</v>
      </c>
      <c r="U59" s="221">
        <f t="shared" si="7"/>
        <v>0</v>
      </c>
      <c r="V59" s="229" t="str">
        <f>ifs($N59="",VLOOKUP($B59&amp;$E59,'VISIT DATA'!$A$2:$J100,7,FALSE), $N59="SWAB","OUTSA-RW",$N59="SWQU","OUTSA-SaQu", AND($L59="X",$M59="X",$N59="QUEST"),"OUT-UAQPre",$N59="QUEST","OUT-UAQ", $N59="Walk in","ColUATele")</f>
        <v>#N/A</v>
      </c>
      <c r="W59" s="24" t="str">
        <f t="shared" si="8"/>
        <v>#N/A</v>
      </c>
      <c r="X59" s="222" t="str">
        <f t="shared" si="9"/>
        <v/>
      </c>
      <c r="Y59" s="222" t="str">
        <f t="shared" si="10"/>
        <v/>
      </c>
      <c r="Z59" s="224" t="str">
        <f t="shared" si="11"/>
        <v> </v>
      </c>
      <c r="AA59" s="244"/>
    </row>
    <row r="60">
      <c r="A60" s="214" t="str">
        <f>IFS($B60=FALSE,"",$B60,VLOOKUP($B60,'PATIENT DATA (072721)'!A:C, 2, 0))</f>
        <v/>
      </c>
      <c r="B60" s="215"/>
      <c r="C60" s="230" t="str">
        <f>IF(COUNTIF('PATIENT DATA (072721)'!A:A, B60)=0, "X","✓")</f>
        <v>X</v>
      </c>
      <c r="D60" s="226" t="str">
        <f>IFS($B60=FALSE,"",$B60,VLOOKUP($B60,'PATIENT DATA (072721)'!A:C, 3, 0))</f>
        <v/>
      </c>
      <c r="E60" s="218">
        <v>44575.0</v>
      </c>
      <c r="F60" s="219" t="str">
        <f>ifs($B60="","",$B60, VLOOKUP($B60&amp;$E60, 'VISIT DATA'!A:O,3,0))</f>
        <v/>
      </c>
      <c r="G60" s="231"/>
      <c r="H60" s="221" t="str">
        <f>ifs($B60="","",$B60, VLOOKUP($B60&amp;$E60, 'VISIT DATA'!$A:$O,13,0))</f>
        <v/>
      </c>
      <c r="I60" s="262" t="str">
        <f>VLOOKUP($B60&amp;$E60,'VISIT DATA'!A:J, 9, FALSE)</f>
        <v>#N/A</v>
      </c>
      <c r="J60" s="223" t="str">
        <f>VLOOKUP(B60&amp;E60,'VISIT DATA'!A:N,10,FALSE)</f>
        <v>#N/A</v>
      </c>
      <c r="K60" s="225"/>
      <c r="L60" s="224"/>
      <c r="M60" s="224"/>
      <c r="N60" s="225"/>
      <c r="O60" s="216" t="str">
        <f t="shared" si="1"/>
        <v>X</v>
      </c>
      <c r="P60" s="226" t="str">
        <f t="shared" si="2"/>
        <v>#N/A</v>
      </c>
      <c r="Q60" s="227" t="str">
        <f t="shared" si="3"/>
        <v>#N/A</v>
      </c>
      <c r="R60" s="228" t="str">
        <f t="shared" si="4"/>
        <v>#N/A</v>
      </c>
      <c r="S60" s="220" t="str">
        <f t="shared" si="5"/>
        <v>#N/A</v>
      </c>
      <c r="T60" s="220" t="str">
        <f t="shared" si="6"/>
        <v>#N/A</v>
      </c>
      <c r="U60" s="221">
        <f t="shared" si="7"/>
        <v>0</v>
      </c>
      <c r="V60" s="229" t="str">
        <f>ifs($N60="",VLOOKUP($B60&amp;$E60,'VISIT DATA'!$A$2:$J100,7,FALSE), $N60="SWAB","OUTSA-RW",$N60="SWQU","OUTSA-SaQu", AND($L60="X",$M60="X",$N60="QUEST"),"OUT-UAQPre",$N60="QUEST","OUT-UAQ", $N60="Walk in","ColUATele")</f>
        <v>#N/A</v>
      </c>
      <c r="W60" s="24" t="str">
        <f t="shared" si="8"/>
        <v>#N/A</v>
      </c>
      <c r="X60" s="222" t="str">
        <f t="shared" si="9"/>
        <v/>
      </c>
      <c r="Y60" s="222" t="str">
        <f t="shared" si="10"/>
        <v/>
      </c>
      <c r="Z60" s="224" t="str">
        <f t="shared" si="11"/>
        <v> </v>
      </c>
      <c r="AA60" s="244"/>
    </row>
    <row r="61">
      <c r="A61" s="214" t="str">
        <f>IFS($B61=FALSE,"",$B61,VLOOKUP($B61,'PATIENT DATA (072721)'!A:C, 2, 0))</f>
        <v/>
      </c>
      <c r="B61" s="215"/>
      <c r="C61" s="230" t="str">
        <f>IF(COUNTIF('PATIENT DATA (072721)'!A:A, B61)=0, "X","✓")</f>
        <v>X</v>
      </c>
      <c r="D61" s="226" t="str">
        <f>IFS($B61=FALSE,"",$B61,VLOOKUP($B61,'PATIENT DATA (072721)'!A:C, 3, 0))</f>
        <v/>
      </c>
      <c r="E61" s="218">
        <v>44575.0</v>
      </c>
      <c r="F61" s="219" t="str">
        <f>ifs($B61="","",$B61, VLOOKUP($B61&amp;$E61, 'VISIT DATA'!A:O,3,0))</f>
        <v/>
      </c>
      <c r="G61" s="231"/>
      <c r="H61" s="221" t="str">
        <f>ifs($B61="","",$B61, VLOOKUP($B61&amp;$E61, 'VISIT DATA'!$A:$O,13,0))</f>
        <v/>
      </c>
      <c r="I61" s="262" t="str">
        <f>VLOOKUP($B61&amp;$E61,'VISIT DATA'!A:J, 9, FALSE)</f>
        <v>#N/A</v>
      </c>
      <c r="J61" s="223" t="str">
        <f>VLOOKUP(B61&amp;E61,'VISIT DATA'!A:N,10,FALSE)</f>
        <v>#N/A</v>
      </c>
      <c r="K61" s="225"/>
      <c r="L61" s="224"/>
      <c r="M61" s="224"/>
      <c r="N61" s="225"/>
      <c r="O61" s="216" t="str">
        <f t="shared" si="1"/>
        <v>X</v>
      </c>
      <c r="P61" s="226" t="str">
        <f t="shared" si="2"/>
        <v>#N/A</v>
      </c>
      <c r="Q61" s="227" t="str">
        <f t="shared" si="3"/>
        <v>#N/A</v>
      </c>
      <c r="R61" s="228" t="str">
        <f t="shared" si="4"/>
        <v>#N/A</v>
      </c>
      <c r="S61" s="220" t="str">
        <f t="shared" si="5"/>
        <v>#N/A</v>
      </c>
      <c r="T61" s="220" t="str">
        <f t="shared" si="6"/>
        <v>#N/A</v>
      </c>
      <c r="U61" s="221">
        <f t="shared" si="7"/>
        <v>0</v>
      </c>
      <c r="V61" s="229" t="str">
        <f>ifs($N61="",VLOOKUP($B61&amp;$E61,'VISIT DATA'!$A$2:$J100,7,FALSE), $N61="SWAB","OUTSA-RW",$N61="SWQU","OUTSA-SaQu", AND($L61="X",$M61="X",$N61="QUEST"),"OUT-UAQPre",$N61="QUEST","OUT-UAQ", $N61="Walk in","ColUATele")</f>
        <v>#N/A</v>
      </c>
      <c r="W61" s="24" t="str">
        <f t="shared" si="8"/>
        <v>#N/A</v>
      </c>
      <c r="X61" s="222" t="str">
        <f t="shared" si="9"/>
        <v/>
      </c>
      <c r="Y61" s="222" t="str">
        <f t="shared" si="10"/>
        <v/>
      </c>
      <c r="Z61" s="224" t="str">
        <f t="shared" si="11"/>
        <v> </v>
      </c>
      <c r="AA61" s="244"/>
    </row>
    <row r="62">
      <c r="A62" s="214" t="str">
        <f>IFS($B62=FALSE,"",$B62,VLOOKUP($B62,'PATIENT DATA (072721)'!A:C, 2, 0))</f>
        <v/>
      </c>
      <c r="B62" s="215"/>
      <c r="C62" s="230" t="str">
        <f>IF(COUNTIF('PATIENT DATA (072721)'!A:A, B62)=0, "X","✓")</f>
        <v>X</v>
      </c>
      <c r="D62" s="226" t="str">
        <f>IFS($B62=FALSE,"",$B62,VLOOKUP($B62,'PATIENT DATA (072721)'!A:C, 3, 0))</f>
        <v/>
      </c>
      <c r="E62" s="218">
        <v>44575.0</v>
      </c>
      <c r="F62" s="219" t="str">
        <f>ifs($B62="","",$B62, VLOOKUP($B62&amp;$E62, 'VISIT DATA'!A:O,3,0))</f>
        <v/>
      </c>
      <c r="G62" s="231"/>
      <c r="H62" s="221" t="str">
        <f>ifs($B62="","",$B62, VLOOKUP($B62&amp;$E62, 'VISIT DATA'!$A:$O,13,0))</f>
        <v/>
      </c>
      <c r="I62" s="262" t="str">
        <f>VLOOKUP($B62&amp;$E62,'VISIT DATA'!A:J, 9, FALSE)</f>
        <v>#N/A</v>
      </c>
      <c r="J62" s="223" t="str">
        <f>VLOOKUP(B62&amp;E62,'VISIT DATA'!A:N,10,FALSE)</f>
        <v>#N/A</v>
      </c>
      <c r="K62" s="225"/>
      <c r="L62" s="224"/>
      <c r="M62" s="224"/>
      <c r="N62" s="225"/>
      <c r="O62" s="216" t="str">
        <f t="shared" si="1"/>
        <v>X</v>
      </c>
      <c r="P62" s="226" t="str">
        <f t="shared" si="2"/>
        <v>#N/A</v>
      </c>
      <c r="Q62" s="227" t="str">
        <f t="shared" si="3"/>
        <v>#N/A</v>
      </c>
      <c r="R62" s="228" t="str">
        <f t="shared" si="4"/>
        <v>#N/A</v>
      </c>
      <c r="S62" s="220" t="str">
        <f t="shared" si="5"/>
        <v>#N/A</v>
      </c>
      <c r="T62" s="220" t="str">
        <f t="shared" si="6"/>
        <v>#N/A</v>
      </c>
      <c r="U62" s="221">
        <f t="shared" si="7"/>
        <v>0</v>
      </c>
      <c r="V62" s="229" t="str">
        <f>ifs($N62="",VLOOKUP($B62&amp;$E62,'VISIT DATA'!$A$2:$J100,7,FALSE), $N62="SWAB","OUTSA-RW",$N62="SWQU","OUTSA-SaQu", AND($L62="X",$M62="X",$N62="QUEST"),"OUT-UAQPre",$N62="QUEST","OUT-UAQ", $N62="Walk in","ColUATele")</f>
        <v>#N/A</v>
      </c>
      <c r="W62" s="24" t="str">
        <f t="shared" si="8"/>
        <v>#N/A</v>
      </c>
      <c r="X62" s="222" t="str">
        <f t="shared" si="9"/>
        <v/>
      </c>
      <c r="Y62" s="222" t="str">
        <f t="shared" si="10"/>
        <v/>
      </c>
      <c r="Z62" s="224" t="str">
        <f t="shared" si="11"/>
        <v> </v>
      </c>
      <c r="AA62" s="244"/>
    </row>
    <row r="63">
      <c r="A63" s="214" t="str">
        <f>IFS($B63=FALSE,"",$B63,VLOOKUP($B63,'PATIENT DATA (072721)'!A:C, 2, 0))</f>
        <v/>
      </c>
      <c r="B63" s="215"/>
      <c r="C63" s="230" t="str">
        <f>IF(COUNTIF('PATIENT DATA (072721)'!A:A, B63)=0, "X","✓")</f>
        <v>X</v>
      </c>
      <c r="D63" s="226" t="str">
        <f>IFS($B63=FALSE,"",$B63,VLOOKUP($B63,'PATIENT DATA (072721)'!A:C, 3, 0))</f>
        <v/>
      </c>
      <c r="E63" s="218">
        <v>44575.0</v>
      </c>
      <c r="F63" s="219" t="str">
        <f>ifs($B63="","",$B63, VLOOKUP($B63&amp;$E63, 'VISIT DATA'!A:O,3,0))</f>
        <v/>
      </c>
      <c r="G63" s="231"/>
      <c r="H63" s="221" t="str">
        <f>ifs($B63="","",$B63, VLOOKUP($B63&amp;$E63, 'VISIT DATA'!$A:$O,13,0))</f>
        <v/>
      </c>
      <c r="I63" s="262" t="str">
        <f>VLOOKUP($B63&amp;$E63,'VISIT DATA'!A:J, 9, FALSE)</f>
        <v>#N/A</v>
      </c>
      <c r="J63" s="223" t="str">
        <f>VLOOKUP(B63&amp;E63,'VISIT DATA'!A:N,10,FALSE)</f>
        <v>#N/A</v>
      </c>
      <c r="K63" s="225"/>
      <c r="L63" s="224"/>
      <c r="M63" s="224"/>
      <c r="N63" s="225"/>
      <c r="O63" s="216" t="str">
        <f t="shared" si="1"/>
        <v>X</v>
      </c>
      <c r="P63" s="226" t="str">
        <f t="shared" si="2"/>
        <v>#N/A</v>
      </c>
      <c r="Q63" s="227" t="str">
        <f t="shared" si="3"/>
        <v>#N/A</v>
      </c>
      <c r="R63" s="228" t="str">
        <f t="shared" si="4"/>
        <v>#N/A</v>
      </c>
      <c r="S63" s="220" t="str">
        <f t="shared" si="5"/>
        <v>#N/A</v>
      </c>
      <c r="T63" s="220" t="str">
        <f t="shared" si="6"/>
        <v>#N/A</v>
      </c>
      <c r="U63" s="221">
        <f t="shared" si="7"/>
        <v>0</v>
      </c>
      <c r="V63" s="229" t="str">
        <f>ifs($N63="",VLOOKUP($B63&amp;$E63,'VISIT DATA'!$A$2:$J100,7,FALSE), $N63="SWAB","OUTSA-RW",$N63="SWQU","OUTSA-SaQu", AND($L63="X",$M63="X",$N63="QUEST"),"OUT-UAQPre",$N63="QUEST","OUT-UAQ", $N63="Walk in","ColUATele")</f>
        <v>#N/A</v>
      </c>
      <c r="W63" s="24" t="str">
        <f t="shared" si="8"/>
        <v>#N/A</v>
      </c>
      <c r="X63" s="222" t="str">
        <f t="shared" si="9"/>
        <v/>
      </c>
      <c r="Y63" s="222" t="str">
        <f t="shared" si="10"/>
        <v/>
      </c>
      <c r="Z63" s="224" t="str">
        <f t="shared" si="11"/>
        <v> </v>
      </c>
      <c r="AA63" s="244"/>
    </row>
    <row r="64">
      <c r="A64" s="214" t="str">
        <f>IFS($B64=FALSE,"",$B64,VLOOKUP($B64,'PATIENT DATA (072721)'!A:C, 2, 0))</f>
        <v/>
      </c>
      <c r="B64" s="215"/>
      <c r="C64" s="230" t="str">
        <f>IF(COUNTIF('PATIENT DATA (072721)'!A:A, B64)=0, "X","✓")</f>
        <v>X</v>
      </c>
      <c r="D64" s="226" t="str">
        <f>IFS($B64=FALSE,"",$B64,VLOOKUP($B64,'PATIENT DATA (072721)'!A:C, 3, 0))</f>
        <v/>
      </c>
      <c r="E64" s="218">
        <v>44575.0</v>
      </c>
      <c r="F64" s="219" t="str">
        <f>ifs($B64="","",$B64, VLOOKUP($B64&amp;$E64, 'VISIT DATA'!A:O,3,0))</f>
        <v/>
      </c>
      <c r="G64" s="231"/>
      <c r="H64" s="221" t="str">
        <f>ifs($B64="","",$B64, VLOOKUP($B64&amp;$E64, 'VISIT DATA'!$A:$O,13,0))</f>
        <v/>
      </c>
      <c r="I64" s="262" t="str">
        <f>VLOOKUP($B64&amp;$E64,'VISIT DATA'!A:J, 9, FALSE)</f>
        <v>#N/A</v>
      </c>
      <c r="J64" s="223" t="str">
        <f>VLOOKUP(B64&amp;E64,'VISIT DATA'!A:N,10,FALSE)</f>
        <v>#N/A</v>
      </c>
      <c r="K64" s="225"/>
      <c r="L64" s="224"/>
      <c r="M64" s="224"/>
      <c r="N64" s="225"/>
      <c r="O64" s="216" t="str">
        <f t="shared" si="1"/>
        <v>X</v>
      </c>
      <c r="P64" s="226" t="str">
        <f t="shared" si="2"/>
        <v>#N/A</v>
      </c>
      <c r="Q64" s="227" t="str">
        <f t="shared" si="3"/>
        <v>#N/A</v>
      </c>
      <c r="R64" s="228" t="str">
        <f t="shared" si="4"/>
        <v>#N/A</v>
      </c>
      <c r="S64" s="220" t="str">
        <f t="shared" si="5"/>
        <v>#N/A</v>
      </c>
      <c r="T64" s="220" t="str">
        <f t="shared" si="6"/>
        <v>#N/A</v>
      </c>
      <c r="U64" s="221">
        <f t="shared" si="7"/>
        <v>0</v>
      </c>
      <c r="V64" s="229" t="str">
        <f>ifs($N64="",VLOOKUP($B64&amp;$E64,'VISIT DATA'!$A$2:$J100,7,FALSE), $N64="SWAB","OUTSA-RW",$N64="SWQU","OUTSA-SaQu", AND($L64="X",$M64="X",$N64="QUEST"),"OUT-UAQPre",$N64="QUEST","OUT-UAQ", $N64="Walk in","ColUATele")</f>
        <v>#N/A</v>
      </c>
      <c r="W64" s="24" t="str">
        <f t="shared" si="8"/>
        <v>#N/A</v>
      </c>
      <c r="X64" s="222" t="str">
        <f t="shared" si="9"/>
        <v/>
      </c>
      <c r="Y64" s="222" t="str">
        <f t="shared" si="10"/>
        <v/>
      </c>
      <c r="Z64" s="224" t="str">
        <f t="shared" si="11"/>
        <v> </v>
      </c>
      <c r="AA64" s="244"/>
    </row>
    <row r="65">
      <c r="A65" s="214" t="str">
        <f>IFS($B65=FALSE,"",$B65,VLOOKUP($B65,'PATIENT DATA (072721)'!A:C, 2, 0))</f>
        <v/>
      </c>
      <c r="B65" s="215"/>
      <c r="C65" s="230" t="str">
        <f>IF(COUNTIF('PATIENT DATA (072721)'!A:A, B65)=0, "X","✓")</f>
        <v>X</v>
      </c>
      <c r="D65" s="226" t="str">
        <f>IFS($B65=FALSE,"",$B65,VLOOKUP($B65,'PATIENT DATA (072721)'!A:C, 3, 0))</f>
        <v/>
      </c>
      <c r="E65" s="218">
        <v>44575.0</v>
      </c>
      <c r="F65" s="219" t="str">
        <f>ifs($B65="","",$B65, VLOOKUP($B65&amp;$E65, 'VISIT DATA'!A:O,3,0))</f>
        <v/>
      </c>
      <c r="G65" s="231"/>
      <c r="H65" s="221" t="str">
        <f>ifs($B65="","",$B65, VLOOKUP($B65&amp;$E65, 'VISIT DATA'!$A:$O,13,0))</f>
        <v/>
      </c>
      <c r="I65" s="262" t="str">
        <f>VLOOKUP($B65&amp;$E65,'VISIT DATA'!A:J, 9, FALSE)</f>
        <v>#N/A</v>
      </c>
      <c r="J65" s="223" t="str">
        <f>VLOOKUP(B65&amp;E65,'VISIT DATA'!A:N,10,FALSE)</f>
        <v>#N/A</v>
      </c>
      <c r="K65" s="225"/>
      <c r="L65" s="224"/>
      <c r="M65" s="224"/>
      <c r="N65" s="225"/>
      <c r="O65" s="216" t="str">
        <f t="shared" si="1"/>
        <v>X</v>
      </c>
      <c r="P65" s="226" t="str">
        <f t="shared" si="2"/>
        <v>#N/A</v>
      </c>
      <c r="Q65" s="227" t="str">
        <f t="shared" si="3"/>
        <v>#N/A</v>
      </c>
      <c r="R65" s="228" t="str">
        <f t="shared" si="4"/>
        <v>#N/A</v>
      </c>
      <c r="S65" s="220" t="str">
        <f t="shared" si="5"/>
        <v>#N/A</v>
      </c>
      <c r="T65" s="220" t="str">
        <f t="shared" si="6"/>
        <v>#N/A</v>
      </c>
      <c r="U65" s="221">
        <f t="shared" si="7"/>
        <v>0</v>
      </c>
      <c r="V65" s="229" t="str">
        <f>ifs($N65="",VLOOKUP($B65&amp;$E65,'VISIT DATA'!$A$2:$J100,7,FALSE), $N65="SWAB","OUTSA-RW",$N65="SWQU","OUTSA-SaQu", AND($L65="X",$M65="X",$N65="QUEST"),"OUT-UAQPre",$N65="QUEST","OUT-UAQ", $N65="Walk in","ColUATele")</f>
        <v>#N/A</v>
      </c>
      <c r="W65" s="24" t="str">
        <f t="shared" si="8"/>
        <v>#N/A</v>
      </c>
      <c r="X65" s="222" t="str">
        <f t="shared" si="9"/>
        <v/>
      </c>
      <c r="Y65" s="222" t="str">
        <f t="shared" si="10"/>
        <v/>
      </c>
      <c r="Z65" s="224" t="str">
        <f t="shared" si="11"/>
        <v> </v>
      </c>
      <c r="AA65" s="244"/>
    </row>
    <row r="66">
      <c r="A66" s="214" t="str">
        <f>IFS($B66=FALSE,"",$B66,VLOOKUP($B66,'PATIENT DATA (072721)'!A:C, 2, 0))</f>
        <v/>
      </c>
      <c r="B66" s="215"/>
      <c r="C66" s="230" t="str">
        <f>IF(COUNTIF('PATIENT DATA (072721)'!A:A, B66)=0, "X","✓")</f>
        <v>X</v>
      </c>
      <c r="D66" s="226" t="str">
        <f>IFS($B66=FALSE,"",$B66,VLOOKUP($B66,'PATIENT DATA (072721)'!A:C, 3, 0))</f>
        <v/>
      </c>
      <c r="E66" s="218">
        <v>44575.0</v>
      </c>
      <c r="F66" s="219" t="str">
        <f>ifs($B66="","",$B66, VLOOKUP($B66&amp;$E66, 'VISIT DATA'!A:O,3,0))</f>
        <v/>
      </c>
      <c r="G66" s="231"/>
      <c r="H66" s="221" t="str">
        <f>ifs($B66="","",$B66, VLOOKUP($B66&amp;$E66, 'VISIT DATA'!$A:$O,13,0))</f>
        <v/>
      </c>
      <c r="I66" s="262" t="str">
        <f>VLOOKUP($B66&amp;$E66,'VISIT DATA'!A:J, 9, FALSE)</f>
        <v>#N/A</v>
      </c>
      <c r="J66" s="223" t="str">
        <f>VLOOKUP(B66&amp;E66,'VISIT DATA'!A:N,10,FALSE)</f>
        <v>#N/A</v>
      </c>
      <c r="K66" s="225"/>
      <c r="L66" s="224"/>
      <c r="M66" s="224"/>
      <c r="N66" s="225"/>
      <c r="O66" s="216" t="str">
        <f t="shared" si="1"/>
        <v>X</v>
      </c>
      <c r="P66" s="226" t="str">
        <f t="shared" si="2"/>
        <v>#N/A</v>
      </c>
      <c r="Q66" s="227" t="str">
        <f t="shared" si="3"/>
        <v>#N/A</v>
      </c>
      <c r="R66" s="228" t="str">
        <f t="shared" si="4"/>
        <v>#N/A</v>
      </c>
      <c r="S66" s="220" t="str">
        <f t="shared" si="5"/>
        <v>#N/A</v>
      </c>
      <c r="T66" s="220" t="str">
        <f t="shared" si="6"/>
        <v>#N/A</v>
      </c>
      <c r="U66" s="221">
        <f t="shared" si="7"/>
        <v>0</v>
      </c>
      <c r="V66" s="229" t="str">
        <f>ifs($N66="",VLOOKUP($B66&amp;$E66,'VISIT DATA'!$A$2:$J100,7,FALSE), $N66="SWAB","OUTSA-RW",$N66="SWQU","OUTSA-SaQu", AND($L66="X",$M66="X",$N66="QUEST"),"OUT-UAQPre",$N66="QUEST","OUT-UAQ", $N66="Walk in","ColUATele")</f>
        <v>#N/A</v>
      </c>
      <c r="W66" s="24" t="str">
        <f t="shared" si="8"/>
        <v>#N/A</v>
      </c>
      <c r="X66" s="222" t="str">
        <f t="shared" si="9"/>
        <v/>
      </c>
      <c r="Y66" s="222" t="str">
        <f t="shared" si="10"/>
        <v/>
      </c>
      <c r="Z66" s="224" t="str">
        <f t="shared" si="11"/>
        <v> </v>
      </c>
      <c r="AA66" s="244"/>
    </row>
    <row r="67">
      <c r="A67" s="214" t="str">
        <f>IFS($B67=FALSE,"",$B67,VLOOKUP($B67,'PATIENT DATA (072721)'!A:C, 2, 0))</f>
        <v/>
      </c>
      <c r="B67" s="215"/>
      <c r="C67" s="230" t="str">
        <f>IF(COUNTIF('PATIENT DATA (072721)'!A:A, B67)=0, "X","✓")</f>
        <v>X</v>
      </c>
      <c r="D67" s="226" t="str">
        <f>IFS($B67=FALSE,"",$B67,VLOOKUP($B67,'PATIENT DATA (072721)'!A:C, 3, 0))</f>
        <v/>
      </c>
      <c r="E67" s="218">
        <v>44575.0</v>
      </c>
      <c r="F67" s="219" t="str">
        <f>ifs($B67="","",$B67, VLOOKUP($B67&amp;$E67, 'VISIT DATA'!A:O,3,0))</f>
        <v/>
      </c>
      <c r="G67" s="231"/>
      <c r="H67" s="221" t="str">
        <f>ifs($B67="","",$B67, VLOOKUP($B67&amp;$E67, 'VISIT DATA'!$A:$O,13,0))</f>
        <v/>
      </c>
      <c r="I67" s="262" t="str">
        <f>VLOOKUP($B67&amp;$E67,'VISIT DATA'!A:J, 9, FALSE)</f>
        <v>#N/A</v>
      </c>
      <c r="J67" s="223" t="str">
        <f>VLOOKUP(B67&amp;E67,'VISIT DATA'!A:N,10,FALSE)</f>
        <v>#N/A</v>
      </c>
      <c r="K67" s="225"/>
      <c r="L67" s="224"/>
      <c r="M67" s="224"/>
      <c r="N67" s="225"/>
      <c r="O67" s="216" t="str">
        <f t="shared" si="1"/>
        <v>X</v>
      </c>
      <c r="P67" s="226" t="str">
        <f t="shared" si="2"/>
        <v>#N/A</v>
      </c>
      <c r="Q67" s="227" t="str">
        <f t="shared" si="3"/>
        <v>#N/A</v>
      </c>
      <c r="R67" s="228" t="str">
        <f t="shared" si="4"/>
        <v>#N/A</v>
      </c>
      <c r="S67" s="220" t="str">
        <f t="shared" si="5"/>
        <v>#N/A</v>
      </c>
      <c r="T67" s="220" t="str">
        <f t="shared" si="6"/>
        <v>#N/A</v>
      </c>
      <c r="U67" s="221">
        <f t="shared" si="7"/>
        <v>0</v>
      </c>
      <c r="V67" s="229" t="str">
        <f>ifs($N67="",VLOOKUP($B67&amp;$E67,'VISIT DATA'!$A$2:$J100,7,FALSE), $N67="SWAB","OUTSA-RW",$N67="SWQU","OUTSA-SaQu", AND($L67="X",$M67="X",$N67="QUEST"),"OUT-UAQPre",$N67="QUEST","OUT-UAQ", $N67="Walk in","ColUATele")</f>
        <v>#N/A</v>
      </c>
      <c r="W67" s="24" t="str">
        <f t="shared" si="8"/>
        <v>#N/A</v>
      </c>
      <c r="X67" s="222" t="str">
        <f t="shared" si="9"/>
        <v/>
      </c>
      <c r="Y67" s="222" t="str">
        <f t="shared" si="10"/>
        <v/>
      </c>
      <c r="Z67" s="224" t="str">
        <f t="shared" si="11"/>
        <v> </v>
      </c>
      <c r="AA67" s="244"/>
    </row>
    <row r="68">
      <c r="A68" s="214" t="str">
        <f>IFS($B68=FALSE,"",$B68,VLOOKUP($B68,'PATIENT DATA (072721)'!A:C, 2, 0))</f>
        <v/>
      </c>
      <c r="B68" s="215"/>
      <c r="C68" s="230" t="str">
        <f>IF(COUNTIF('PATIENT DATA (072721)'!A:A, B68)=0, "X","✓")</f>
        <v>X</v>
      </c>
      <c r="D68" s="226" t="str">
        <f>IFS($B68=FALSE,"",$B68,VLOOKUP($B68,'PATIENT DATA (072721)'!A:C, 3, 0))</f>
        <v/>
      </c>
      <c r="E68" s="218">
        <v>44575.0</v>
      </c>
      <c r="F68" s="219" t="str">
        <f>ifs($B68="","",$B68, VLOOKUP($B68&amp;$E68, 'VISIT DATA'!A:O,3,0))</f>
        <v/>
      </c>
      <c r="G68" s="231"/>
      <c r="H68" s="221" t="str">
        <f>ifs($B68="","",$B68, VLOOKUP($B68&amp;$E68, 'VISIT DATA'!$A:$O,13,0))</f>
        <v/>
      </c>
      <c r="I68" s="262" t="str">
        <f>VLOOKUP($B68&amp;$E68,'VISIT DATA'!A:J, 9, FALSE)</f>
        <v>#N/A</v>
      </c>
      <c r="J68" s="223" t="str">
        <f>VLOOKUP(B68&amp;E68,'VISIT DATA'!A:N,10,FALSE)</f>
        <v>#N/A</v>
      </c>
      <c r="K68" s="225"/>
      <c r="L68" s="224"/>
      <c r="M68" s="224"/>
      <c r="N68" s="225"/>
      <c r="O68" s="216" t="str">
        <f t="shared" si="1"/>
        <v>X</v>
      </c>
      <c r="P68" s="226" t="str">
        <f t="shared" si="2"/>
        <v>#N/A</v>
      </c>
      <c r="Q68" s="227" t="str">
        <f t="shared" si="3"/>
        <v>#N/A</v>
      </c>
      <c r="R68" s="228" t="str">
        <f t="shared" si="4"/>
        <v>#N/A</v>
      </c>
      <c r="S68" s="220" t="str">
        <f t="shared" si="5"/>
        <v>#N/A</v>
      </c>
      <c r="T68" s="220" t="str">
        <f t="shared" si="6"/>
        <v>#N/A</v>
      </c>
      <c r="U68" s="221">
        <f t="shared" si="7"/>
        <v>0</v>
      </c>
      <c r="V68" s="229" t="str">
        <f>ifs($N68="",VLOOKUP($B68&amp;$E68,'VISIT DATA'!$A$2:$J100,7,FALSE), $N68="SWAB","OUTSA-RW",$N68="SWQU","OUTSA-SaQu", AND($L68="X",$M68="X",$N68="QUEST"),"OUT-UAQPre",$N68="QUEST","OUT-UAQ", $N68="Walk in","ColUATele")</f>
        <v>#N/A</v>
      </c>
      <c r="W68" s="24" t="str">
        <f t="shared" si="8"/>
        <v>#N/A</v>
      </c>
      <c r="X68" s="222" t="str">
        <f t="shared" si="9"/>
        <v/>
      </c>
      <c r="Y68" s="222" t="str">
        <f t="shared" si="10"/>
        <v/>
      </c>
      <c r="Z68" s="224" t="str">
        <f t="shared" si="11"/>
        <v> </v>
      </c>
      <c r="AA68" s="244"/>
    </row>
    <row r="69">
      <c r="A69" s="214" t="str">
        <f>IFS($B69=FALSE,"",$B69,VLOOKUP($B69,'PATIENT DATA (072721)'!A:C, 2, 0))</f>
        <v/>
      </c>
      <c r="B69" s="215"/>
      <c r="C69" s="230" t="str">
        <f>IF(COUNTIF('PATIENT DATA (072721)'!A:A, B69)=0, "X","✓")</f>
        <v>X</v>
      </c>
      <c r="D69" s="226" t="str">
        <f>IFS($B69=FALSE,"",$B69,VLOOKUP($B69,'PATIENT DATA (072721)'!A:C, 3, 0))</f>
        <v/>
      </c>
      <c r="E69" s="218">
        <v>44575.0</v>
      </c>
      <c r="F69" s="219" t="str">
        <f>ifs($B69="","",$B69, VLOOKUP($B69&amp;$E69, 'VISIT DATA'!A:O,3,0))</f>
        <v/>
      </c>
      <c r="G69" s="231"/>
      <c r="H69" s="221" t="str">
        <f>ifs($B69="","",$B69, VLOOKUP($B69&amp;$E69, 'VISIT DATA'!$A:$O,13,0))</f>
        <v/>
      </c>
      <c r="I69" s="262" t="str">
        <f>VLOOKUP($B69&amp;$E69,'VISIT DATA'!A:J, 9, FALSE)</f>
        <v>#N/A</v>
      </c>
      <c r="J69" s="223" t="str">
        <f>VLOOKUP(B69&amp;E69,'VISIT DATA'!A:N,10,FALSE)</f>
        <v>#N/A</v>
      </c>
      <c r="K69" s="224"/>
      <c r="L69" s="224"/>
      <c r="M69" s="224"/>
      <c r="N69" s="225"/>
      <c r="O69" s="216" t="str">
        <f t="shared" si="1"/>
        <v>X</v>
      </c>
      <c r="P69" s="226" t="str">
        <f t="shared" si="2"/>
        <v>#N/A</v>
      </c>
      <c r="Q69" s="227" t="str">
        <f t="shared" si="3"/>
        <v>#N/A</v>
      </c>
      <c r="R69" s="228" t="str">
        <f t="shared" si="4"/>
        <v>#N/A</v>
      </c>
      <c r="S69" s="220" t="str">
        <f t="shared" si="5"/>
        <v>#N/A</v>
      </c>
      <c r="T69" s="220" t="str">
        <f t="shared" si="6"/>
        <v>#N/A</v>
      </c>
      <c r="U69" s="221">
        <f t="shared" si="7"/>
        <v>0</v>
      </c>
      <c r="V69" s="229" t="str">
        <f>ifs($N69="",VLOOKUP($B69&amp;$E69,'VISIT DATA'!$A$2:$J100,7,FALSE), $N69="SWAB","OUTSA-RW",$N69="SWQU","OUTSA-SaQu", AND($L69="X",$M69="X",$N69="QUEST"),"OUT-UAQPre",$N69="QUEST","OUT-UAQ", $N69="Walk in","ColUATele")</f>
        <v>#N/A</v>
      </c>
      <c r="W69" s="24" t="str">
        <f t="shared" si="8"/>
        <v>#N/A</v>
      </c>
      <c r="X69" s="222" t="str">
        <f t="shared" si="9"/>
        <v/>
      </c>
      <c r="Y69" s="222" t="str">
        <f t="shared" si="10"/>
        <v/>
      </c>
      <c r="Z69" s="224" t="str">
        <f t="shared" si="11"/>
        <v> </v>
      </c>
      <c r="AA69" s="244"/>
    </row>
    <row r="70">
      <c r="A70" s="214" t="str">
        <f>IFS($B70=FALSE,"",$B70,VLOOKUP($B70,'PATIENT DATA (072721)'!A:C, 2, 0))</f>
        <v/>
      </c>
      <c r="B70" s="215"/>
      <c r="C70" s="230" t="str">
        <f>IF(COUNTIF('PATIENT DATA (072721)'!A:A, B70)=0, "X","✓")</f>
        <v>X</v>
      </c>
      <c r="D70" s="226" t="str">
        <f>IFS($B70=FALSE,"",$B70,VLOOKUP($B70,'PATIENT DATA (072721)'!A:C, 3, 0))</f>
        <v/>
      </c>
      <c r="E70" s="218">
        <v>44575.0</v>
      </c>
      <c r="F70" s="219" t="str">
        <f>ifs($B70="","",$B70, VLOOKUP($B70&amp;$E70, 'VISIT DATA'!A:O,3,0))</f>
        <v/>
      </c>
      <c r="G70" s="231"/>
      <c r="H70" s="221" t="str">
        <f>ifs($B70="","",$B70, VLOOKUP($B70&amp;$E70, 'VISIT DATA'!$A:$O,13,0))</f>
        <v/>
      </c>
      <c r="I70" s="262" t="str">
        <f>VLOOKUP($B70&amp;$E70,'VISIT DATA'!A:J, 9, FALSE)</f>
        <v>#N/A</v>
      </c>
      <c r="J70" s="223" t="str">
        <f>VLOOKUP(B70&amp;E70,'VISIT DATA'!A:N,10,FALSE)</f>
        <v>#N/A</v>
      </c>
      <c r="K70" s="224"/>
      <c r="L70" s="224"/>
      <c r="M70" s="224"/>
      <c r="N70" s="225"/>
      <c r="O70" s="216" t="str">
        <f t="shared" si="1"/>
        <v>X</v>
      </c>
      <c r="P70" s="226" t="str">
        <f t="shared" si="2"/>
        <v>#N/A</v>
      </c>
      <c r="Q70" s="227" t="str">
        <f t="shared" si="3"/>
        <v>#N/A</v>
      </c>
      <c r="R70" s="228" t="str">
        <f t="shared" si="4"/>
        <v>#N/A</v>
      </c>
      <c r="S70" s="220" t="str">
        <f t="shared" si="5"/>
        <v>#N/A</v>
      </c>
      <c r="T70" s="220" t="str">
        <f t="shared" si="6"/>
        <v>#N/A</v>
      </c>
      <c r="U70" s="221">
        <f t="shared" si="7"/>
        <v>0</v>
      </c>
      <c r="V70" s="229" t="str">
        <f>ifs($N70="",VLOOKUP($B70&amp;$E70,'VISIT DATA'!$A$2:$J100,7,FALSE), $N70="SWAB","OUTSA-RW",$N70="SWQU","OUTSA-SaQu", AND($L70="X",$M70="X",$N70="QUEST"),"OUT-UAQPre",$N70="QUEST","OUT-UAQ", $N70="Walk in","ColUATele")</f>
        <v>#N/A</v>
      </c>
      <c r="W70" s="24" t="str">
        <f t="shared" si="8"/>
        <v>#N/A</v>
      </c>
      <c r="X70" s="222" t="str">
        <f t="shared" si="9"/>
        <v/>
      </c>
      <c r="Y70" s="222" t="str">
        <f t="shared" si="10"/>
        <v/>
      </c>
      <c r="Z70" s="224" t="str">
        <f t="shared" si="11"/>
        <v> </v>
      </c>
      <c r="AA70" s="244"/>
    </row>
    <row r="71">
      <c r="A71" s="214" t="str">
        <f>IFS($B71=FALSE,"",$B71,VLOOKUP($B71,'PATIENT DATA (072721)'!A:C, 2, 0))</f>
        <v/>
      </c>
      <c r="B71" s="215"/>
      <c r="C71" s="230" t="str">
        <f>IF(COUNTIF('PATIENT DATA (072721)'!A:A, B71)=0, "X","✓")</f>
        <v>X</v>
      </c>
      <c r="D71" s="226" t="str">
        <f>IFS($B71=FALSE,"",$B71,VLOOKUP($B71,'PATIENT DATA (072721)'!A:C, 3, 0))</f>
        <v/>
      </c>
      <c r="E71" s="218">
        <v>44575.0</v>
      </c>
      <c r="F71" s="219" t="str">
        <f>ifs($B71="","",$B71, VLOOKUP($B71&amp;$E71, 'VISIT DATA'!A:O,3,0))</f>
        <v/>
      </c>
      <c r="G71" s="231"/>
      <c r="H71" s="221" t="str">
        <f>ifs($B71="","",$B71, VLOOKUP($B71&amp;$E71, 'VISIT DATA'!$A:$O,13,0))</f>
        <v/>
      </c>
      <c r="I71" s="262" t="str">
        <f>VLOOKUP($B71&amp;$E71,'VISIT DATA'!A:J, 9, FALSE)</f>
        <v>#N/A</v>
      </c>
      <c r="J71" s="223" t="str">
        <f>VLOOKUP(B71&amp;E71,'VISIT DATA'!A:N,10,FALSE)</f>
        <v>#N/A</v>
      </c>
      <c r="K71" s="225"/>
      <c r="L71" s="224"/>
      <c r="M71" s="224"/>
      <c r="N71" s="225"/>
      <c r="O71" s="216" t="str">
        <f t="shared" si="1"/>
        <v>X</v>
      </c>
      <c r="P71" s="226" t="str">
        <f t="shared" si="2"/>
        <v>#N/A</v>
      </c>
      <c r="Q71" s="227" t="str">
        <f t="shared" si="3"/>
        <v>#N/A</v>
      </c>
      <c r="R71" s="228" t="str">
        <f t="shared" si="4"/>
        <v>#N/A</v>
      </c>
      <c r="S71" s="220" t="str">
        <f t="shared" si="5"/>
        <v>#N/A</v>
      </c>
      <c r="T71" s="220" t="str">
        <f t="shared" si="6"/>
        <v>#N/A</v>
      </c>
      <c r="U71" s="221">
        <f t="shared" si="7"/>
        <v>0</v>
      </c>
      <c r="V71" s="229" t="str">
        <f>ifs($N71="",VLOOKUP($B71&amp;$E71,'VISIT DATA'!$A$2:$J100,7,FALSE), $N71="SWAB","OUTSA-RW",$N71="SWQU","OUTSA-SaQu", AND($L71="X",$M71="X",$N71="QUEST"),"OUT-UAQPre",$N71="QUEST","OUT-UAQ", $N71="Walk in","ColUATele")</f>
        <v>#N/A</v>
      </c>
      <c r="W71" s="24" t="str">
        <f t="shared" si="8"/>
        <v>#N/A</v>
      </c>
      <c r="X71" s="222" t="str">
        <f t="shared" si="9"/>
        <v/>
      </c>
      <c r="Y71" s="222" t="str">
        <f t="shared" si="10"/>
        <v/>
      </c>
      <c r="Z71" s="224" t="str">
        <f t="shared" si="11"/>
        <v> </v>
      </c>
      <c r="AA71" s="244"/>
    </row>
    <row r="72">
      <c r="A72" s="214" t="str">
        <f>IFS($B72=FALSE,"",$B72,VLOOKUP($B72,'PATIENT DATA (072721)'!A:C, 2, 0))</f>
        <v/>
      </c>
      <c r="B72" s="215"/>
      <c r="C72" s="230" t="str">
        <f>IF(COUNTIF('PATIENT DATA (072721)'!A:A, B72)=0, "X","✓")</f>
        <v>X</v>
      </c>
      <c r="D72" s="226" t="str">
        <f>IFS($B72=FALSE,"",$B72,VLOOKUP($B72,'PATIENT DATA (072721)'!A:C, 3, 0))</f>
        <v/>
      </c>
      <c r="E72" s="218">
        <v>44575.0</v>
      </c>
      <c r="F72" s="219" t="str">
        <f>ifs($B72="","",$B72, VLOOKUP($B72&amp;$E72, 'VISIT DATA'!A:O,3,0))</f>
        <v/>
      </c>
      <c r="G72" s="231"/>
      <c r="H72" s="221" t="str">
        <f>ifs($B72="","",$B72, VLOOKUP($B72&amp;$E72, 'VISIT DATA'!$A:$O,13,0))</f>
        <v/>
      </c>
      <c r="I72" s="262" t="str">
        <f>VLOOKUP($B72&amp;$E72,'VISIT DATA'!A:J, 9, FALSE)</f>
        <v>#N/A</v>
      </c>
      <c r="J72" s="223" t="str">
        <f>VLOOKUP(B72&amp;E72,'VISIT DATA'!A:N,10,FALSE)</f>
        <v>#N/A</v>
      </c>
      <c r="K72" s="225"/>
      <c r="L72" s="224"/>
      <c r="M72" s="224"/>
      <c r="N72" s="225"/>
      <c r="O72" s="216" t="str">
        <f t="shared" si="1"/>
        <v>X</v>
      </c>
      <c r="P72" s="226" t="str">
        <f t="shared" si="2"/>
        <v>#N/A</v>
      </c>
      <c r="Q72" s="227" t="str">
        <f t="shared" si="3"/>
        <v>#N/A</v>
      </c>
      <c r="R72" s="228" t="str">
        <f t="shared" si="4"/>
        <v>#N/A</v>
      </c>
      <c r="S72" s="220" t="str">
        <f t="shared" si="5"/>
        <v>#N/A</v>
      </c>
      <c r="T72" s="220" t="str">
        <f t="shared" si="6"/>
        <v>#N/A</v>
      </c>
      <c r="U72" s="221">
        <f t="shared" si="7"/>
        <v>0</v>
      </c>
      <c r="V72" s="229" t="str">
        <f>ifs($N72="",VLOOKUP($B72&amp;$E72,'VISIT DATA'!$A$2:$J100,7,FALSE), $N72="SWAB","OUTSA-RW",$N72="SWQU","OUTSA-SaQu", AND($L72="X",$M72="X",$N72="QUEST"),"OUT-UAQPre",$N72="QUEST","OUT-UAQ", $N72="Walk in","ColUATele")</f>
        <v>#N/A</v>
      </c>
      <c r="W72" s="24" t="str">
        <f t="shared" si="8"/>
        <v>#N/A</v>
      </c>
      <c r="X72" s="222" t="str">
        <f t="shared" si="9"/>
        <v/>
      </c>
      <c r="Y72" s="222" t="str">
        <f t="shared" si="10"/>
        <v/>
      </c>
      <c r="Z72" s="224" t="str">
        <f t="shared" si="11"/>
        <v> </v>
      </c>
      <c r="AA72" s="244"/>
    </row>
    <row r="73">
      <c r="A73" s="214" t="str">
        <f>IFS($B73=FALSE,"",$B73,VLOOKUP($B73,'PATIENT DATA (072721)'!A:C, 2, 0))</f>
        <v/>
      </c>
      <c r="B73" s="215"/>
      <c r="C73" s="230" t="str">
        <f>IF(COUNTIF('PATIENT DATA (072721)'!A:A, B73)=0, "X","✓")</f>
        <v>X</v>
      </c>
      <c r="D73" s="226" t="str">
        <f>IFS($B73=FALSE,"",$B73,VLOOKUP($B73,'PATIENT DATA (072721)'!A:C, 3, 0))</f>
        <v/>
      </c>
      <c r="E73" s="218">
        <v>44575.0</v>
      </c>
      <c r="F73" s="219" t="str">
        <f>ifs($B73="","",$B73, VLOOKUP($B73&amp;$E73, 'VISIT DATA'!A:O,3,0))</f>
        <v/>
      </c>
      <c r="G73" s="231"/>
      <c r="H73" s="221" t="str">
        <f>ifs($B73="","",$B73, VLOOKUP($B73&amp;$E73, 'VISIT DATA'!$A:$O,13,0))</f>
        <v/>
      </c>
      <c r="I73" s="262" t="str">
        <f>VLOOKUP($B73&amp;$E73,'VISIT DATA'!A:J, 9, FALSE)</f>
        <v>#N/A</v>
      </c>
      <c r="J73" s="223" t="str">
        <f>VLOOKUP(B73&amp;E73,'VISIT DATA'!A:N,10,FALSE)</f>
        <v>#N/A</v>
      </c>
      <c r="K73" s="225"/>
      <c r="L73" s="224"/>
      <c r="M73" s="224"/>
      <c r="N73" s="225"/>
      <c r="O73" s="216" t="str">
        <f t="shared" si="1"/>
        <v>X</v>
      </c>
      <c r="P73" s="226" t="str">
        <f t="shared" si="2"/>
        <v>#N/A</v>
      </c>
      <c r="Q73" s="227" t="str">
        <f t="shared" si="3"/>
        <v>#N/A</v>
      </c>
      <c r="R73" s="228" t="str">
        <f t="shared" si="4"/>
        <v>#N/A</v>
      </c>
      <c r="S73" s="220" t="str">
        <f t="shared" si="5"/>
        <v>#N/A</v>
      </c>
      <c r="T73" s="220" t="str">
        <f t="shared" si="6"/>
        <v>#N/A</v>
      </c>
      <c r="U73" s="221">
        <f t="shared" si="7"/>
        <v>0</v>
      </c>
      <c r="V73" s="229" t="str">
        <f>ifs($N73="",VLOOKUP($B73&amp;$E73,'VISIT DATA'!$A$2:$J100,7,FALSE), $N73="SWAB","OUTSA-RW",$N73="SWQU","OUTSA-SaQu", AND($L73="X",$M73="X",$N73="QUEST"),"OUT-UAQPre",$N73="QUEST","OUT-UAQ", $N73="Walk in","ColUATele")</f>
        <v>#N/A</v>
      </c>
      <c r="W73" s="24" t="str">
        <f t="shared" si="8"/>
        <v>#N/A</v>
      </c>
      <c r="X73" s="222" t="str">
        <f t="shared" si="9"/>
        <v/>
      </c>
      <c r="Y73" s="222" t="str">
        <f t="shared" si="10"/>
        <v/>
      </c>
      <c r="Z73" s="224" t="str">
        <f t="shared" si="11"/>
        <v> </v>
      </c>
      <c r="AA73" s="244"/>
    </row>
    <row r="74">
      <c r="A74" s="214" t="str">
        <f>IFS($B74=FALSE,"",$B74,VLOOKUP($B74,'PATIENT DATA (072721)'!A:C, 2, 0))</f>
        <v/>
      </c>
      <c r="B74" s="215"/>
      <c r="C74" s="230" t="str">
        <f>IF(COUNTIF('PATIENT DATA (072721)'!A:A, B74)=0, "X","✓")</f>
        <v>X</v>
      </c>
      <c r="D74" s="226" t="str">
        <f>IFS($B74=FALSE,"",$B74,VLOOKUP($B74,'PATIENT DATA (072721)'!A:C, 3, 0))</f>
        <v/>
      </c>
      <c r="E74" s="218">
        <v>44575.0</v>
      </c>
      <c r="F74" s="219" t="str">
        <f>ifs($B74="","",$B74, VLOOKUP($B74&amp;$E74, 'VISIT DATA'!A:O,3,0))</f>
        <v/>
      </c>
      <c r="G74" s="231"/>
      <c r="H74" s="221" t="str">
        <f>ifs($B74="","",$B74, VLOOKUP($B74&amp;$E74, 'VISIT DATA'!$A:$O,13,0))</f>
        <v/>
      </c>
      <c r="I74" s="262" t="str">
        <f>VLOOKUP($B74&amp;$E74,'VISIT DATA'!A:J, 9, FALSE)</f>
        <v>#N/A</v>
      </c>
      <c r="J74" s="223" t="str">
        <f>VLOOKUP(B74&amp;E74,'VISIT DATA'!A:N,10,FALSE)</f>
        <v>#N/A</v>
      </c>
      <c r="K74" s="225"/>
      <c r="L74" s="224"/>
      <c r="M74" s="224"/>
      <c r="N74" s="225"/>
      <c r="O74" s="216" t="str">
        <f t="shared" si="1"/>
        <v>X</v>
      </c>
      <c r="P74" s="226" t="str">
        <f t="shared" si="2"/>
        <v>#N/A</v>
      </c>
      <c r="Q74" s="227" t="str">
        <f t="shared" si="3"/>
        <v>#N/A</v>
      </c>
      <c r="R74" s="228" t="str">
        <f t="shared" si="4"/>
        <v>#N/A</v>
      </c>
      <c r="S74" s="220" t="str">
        <f t="shared" si="5"/>
        <v>#N/A</v>
      </c>
      <c r="T74" s="220" t="str">
        <f t="shared" si="6"/>
        <v>#N/A</v>
      </c>
      <c r="U74" s="221">
        <f t="shared" si="7"/>
        <v>0</v>
      </c>
      <c r="V74" s="229" t="str">
        <f>ifs($N74="",VLOOKUP($B74&amp;$E74,'VISIT DATA'!$A$2:$J100,7,FALSE), $N74="SWAB","OUTSA-RW",$N74="SWQU","OUTSA-SaQu", AND($L74="X",$M74="X",$N74="QUEST"),"OUT-UAQPre",$N74="QUEST","OUT-UAQ", $N74="Walk in","ColUATele")</f>
        <v>#N/A</v>
      </c>
      <c r="W74" s="24" t="str">
        <f t="shared" si="8"/>
        <v>#N/A</v>
      </c>
      <c r="X74" s="222" t="str">
        <f t="shared" si="9"/>
        <v/>
      </c>
      <c r="Y74" s="222" t="str">
        <f t="shared" si="10"/>
        <v/>
      </c>
      <c r="Z74" s="224" t="str">
        <f t="shared" si="11"/>
        <v> </v>
      </c>
      <c r="AA74" s="244"/>
    </row>
    <row r="75">
      <c r="A75" s="214" t="str">
        <f>IFS($B75=FALSE,"",$B75,VLOOKUP($B75,'PATIENT DATA (072721)'!A:C, 2, 0))</f>
        <v/>
      </c>
      <c r="B75" s="215"/>
      <c r="C75" s="230" t="str">
        <f>IF(COUNTIF('PATIENT DATA (072721)'!A:A, B75)=0, "X","✓")</f>
        <v>X</v>
      </c>
      <c r="D75" s="226" t="str">
        <f>IFS($B75=FALSE,"",$B75,VLOOKUP($B75,'PATIENT DATA (072721)'!A:C, 3, 0))</f>
        <v/>
      </c>
      <c r="E75" s="218">
        <v>44575.0</v>
      </c>
      <c r="F75" s="219" t="str">
        <f>ifs($B75="","",$B75, VLOOKUP($B75&amp;$E75, 'VISIT DATA'!A:O,3,0))</f>
        <v/>
      </c>
      <c r="G75" s="231"/>
      <c r="H75" s="221" t="str">
        <f>ifs($B75="","",$B75, VLOOKUP($B75&amp;$E75, 'VISIT DATA'!$A:$O,13,0))</f>
        <v/>
      </c>
      <c r="I75" s="262" t="str">
        <f>VLOOKUP($B75&amp;$E75,'VISIT DATA'!A:J, 9, FALSE)</f>
        <v>#N/A</v>
      </c>
      <c r="J75" s="223" t="str">
        <f>VLOOKUP(B75&amp;E75,'VISIT DATA'!A:N,10,FALSE)</f>
        <v>#N/A</v>
      </c>
      <c r="K75" s="225"/>
      <c r="L75" s="224"/>
      <c r="M75" s="224"/>
      <c r="N75" s="225"/>
      <c r="O75" s="216" t="str">
        <f t="shared" si="1"/>
        <v>X</v>
      </c>
      <c r="P75" s="226" t="str">
        <f t="shared" si="2"/>
        <v>#N/A</v>
      </c>
      <c r="Q75" s="227" t="str">
        <f t="shared" si="3"/>
        <v>#N/A</v>
      </c>
      <c r="R75" s="228" t="str">
        <f t="shared" si="4"/>
        <v>#N/A</v>
      </c>
      <c r="S75" s="220" t="str">
        <f t="shared" si="5"/>
        <v>#N/A</v>
      </c>
      <c r="T75" s="220" t="str">
        <f t="shared" si="6"/>
        <v>#N/A</v>
      </c>
      <c r="U75" s="221">
        <f t="shared" si="7"/>
        <v>0</v>
      </c>
      <c r="V75" s="229" t="str">
        <f>ifs($N75="",VLOOKUP($B75&amp;$E75,'VISIT DATA'!$A$2:$J100,7,FALSE), $N75="SWAB","OUTSA-RW",$N75="SWQU","OUTSA-SaQu", AND($L75="X",$M75="X",$N75="QUEST"),"OUT-UAQPre",$N75="QUEST","OUT-UAQ", $N75="Walk in","ColUATele")</f>
        <v>#N/A</v>
      </c>
      <c r="W75" s="24" t="str">
        <f t="shared" si="8"/>
        <v>#N/A</v>
      </c>
      <c r="X75" s="222" t="str">
        <f t="shared" si="9"/>
        <v/>
      </c>
      <c r="Y75" s="222" t="str">
        <f t="shared" si="10"/>
        <v/>
      </c>
      <c r="Z75" s="224" t="str">
        <f t="shared" si="11"/>
        <v> </v>
      </c>
      <c r="AA75" s="244"/>
    </row>
    <row r="76">
      <c r="A76" s="214" t="str">
        <f>IFS($B76=FALSE,"",$B76,VLOOKUP($B76,'PATIENT DATA (072721)'!A:C, 2, 0))</f>
        <v/>
      </c>
      <c r="B76" s="215"/>
      <c r="C76" s="230" t="str">
        <f>IF(COUNTIF('PATIENT DATA (072721)'!A:A, B76)=0, "X","✓")</f>
        <v>X</v>
      </c>
      <c r="D76" s="226" t="str">
        <f>IFS($B76=FALSE,"",$B76,VLOOKUP($B76,'PATIENT DATA (072721)'!A:C, 3, 0))</f>
        <v/>
      </c>
      <c r="E76" s="218">
        <v>44575.0</v>
      </c>
      <c r="F76" s="219" t="str">
        <f>ifs($B76="","",$B76, VLOOKUP($B76&amp;$E76, 'VISIT DATA'!A:O,3,0))</f>
        <v/>
      </c>
      <c r="G76" s="231"/>
      <c r="H76" s="221" t="str">
        <f>ifs($B76="","",$B76, VLOOKUP($B76&amp;$E76, 'VISIT DATA'!$A:$O,13,0))</f>
        <v/>
      </c>
      <c r="I76" s="262" t="str">
        <f>VLOOKUP($B76&amp;$E76,'VISIT DATA'!A:J, 9, FALSE)</f>
        <v>#N/A</v>
      </c>
      <c r="J76" s="223" t="str">
        <f>VLOOKUP(B76&amp;E76,'VISIT DATA'!A:N,10,FALSE)</f>
        <v>#N/A</v>
      </c>
      <c r="K76" s="225"/>
      <c r="L76" s="224"/>
      <c r="M76" s="224"/>
      <c r="N76" s="225"/>
      <c r="O76" s="216" t="str">
        <f t="shared" si="1"/>
        <v>X</v>
      </c>
      <c r="P76" s="226" t="str">
        <f t="shared" si="2"/>
        <v>#N/A</v>
      </c>
      <c r="Q76" s="227" t="str">
        <f t="shared" si="3"/>
        <v>#N/A</v>
      </c>
      <c r="R76" s="228" t="str">
        <f t="shared" si="4"/>
        <v>#N/A</v>
      </c>
      <c r="S76" s="220" t="str">
        <f t="shared" si="5"/>
        <v>#N/A</v>
      </c>
      <c r="T76" s="220" t="str">
        <f t="shared" si="6"/>
        <v>#N/A</v>
      </c>
      <c r="U76" s="221">
        <f t="shared" si="7"/>
        <v>0</v>
      </c>
      <c r="V76" s="229" t="str">
        <f>ifs($N76="",VLOOKUP($B76&amp;$E76,'VISIT DATA'!$A$2:$J100,7,FALSE), $N76="SWAB","OUTSA-RW",$N76="SWQU","OUTSA-SaQu", AND($L76="X",$M76="X",$N76="QUEST"),"OUT-UAQPre",$N76="QUEST","OUT-UAQ", $N76="Walk in","ColUATele")</f>
        <v>#N/A</v>
      </c>
      <c r="W76" s="24" t="str">
        <f t="shared" si="8"/>
        <v>#N/A</v>
      </c>
      <c r="X76" s="222" t="str">
        <f t="shared" si="9"/>
        <v/>
      </c>
      <c r="Y76" s="222" t="str">
        <f t="shared" si="10"/>
        <v/>
      </c>
      <c r="Z76" s="224" t="str">
        <f t="shared" si="11"/>
        <v> </v>
      </c>
      <c r="AA76" s="244"/>
    </row>
    <row r="77">
      <c r="A77" s="214" t="str">
        <f>IFS($B77=FALSE,"",$B77,VLOOKUP($B77,'PATIENT DATA (072721)'!A:C, 2, 0))</f>
        <v/>
      </c>
      <c r="B77" s="215"/>
      <c r="C77" s="230" t="str">
        <f>IF(COUNTIF('PATIENT DATA (072721)'!A:A, B77)=0, "X","✓")</f>
        <v>X</v>
      </c>
      <c r="D77" s="226" t="str">
        <f>IFS($B77=FALSE,"",$B77,VLOOKUP($B77,'PATIENT DATA (072721)'!A:C, 3, 0))</f>
        <v/>
      </c>
      <c r="E77" s="218">
        <v>44575.0</v>
      </c>
      <c r="F77" s="219" t="str">
        <f>ifs($B77="","",$B77, VLOOKUP($B77&amp;$E77, 'VISIT DATA'!A:O,3,0))</f>
        <v/>
      </c>
      <c r="G77" s="231"/>
      <c r="H77" s="221" t="str">
        <f>ifs($B77="","",$B77, VLOOKUP($B77&amp;$E77, 'VISIT DATA'!$A:$O,13,0))</f>
        <v/>
      </c>
      <c r="I77" s="262" t="str">
        <f>VLOOKUP($B77&amp;$E77,'VISIT DATA'!A:J, 9, FALSE)</f>
        <v>#N/A</v>
      </c>
      <c r="J77" s="223" t="str">
        <f>VLOOKUP(B77&amp;E77,'VISIT DATA'!A:N,10,FALSE)</f>
        <v>#N/A</v>
      </c>
      <c r="K77" s="225"/>
      <c r="L77" s="224"/>
      <c r="M77" s="224"/>
      <c r="N77" s="225"/>
      <c r="O77" s="216" t="str">
        <f t="shared" si="1"/>
        <v>X</v>
      </c>
      <c r="P77" s="226" t="str">
        <f t="shared" si="2"/>
        <v>#N/A</v>
      </c>
      <c r="Q77" s="227" t="str">
        <f t="shared" si="3"/>
        <v>#N/A</v>
      </c>
      <c r="R77" s="228" t="str">
        <f t="shared" si="4"/>
        <v>#N/A</v>
      </c>
      <c r="S77" s="220" t="str">
        <f t="shared" si="5"/>
        <v>#N/A</v>
      </c>
      <c r="T77" s="220" t="str">
        <f t="shared" si="6"/>
        <v>#N/A</v>
      </c>
      <c r="U77" s="221">
        <f t="shared" si="7"/>
        <v>0</v>
      </c>
      <c r="V77" s="229" t="str">
        <f>ifs($N77="",VLOOKUP($B77&amp;$E77,'VISIT DATA'!$A$2:$J100,7,FALSE), $N77="SWAB","OUTSA-RW",$N77="SWQU","OUTSA-SaQu", AND($L77="X",$M77="X",$N77="QUEST"),"OUT-UAQPre",$N77="QUEST","OUT-UAQ", $N77="Walk in","ColUATele")</f>
        <v>#N/A</v>
      </c>
      <c r="W77" s="24" t="str">
        <f t="shared" si="8"/>
        <v>#N/A</v>
      </c>
      <c r="X77" s="222" t="str">
        <f t="shared" si="9"/>
        <v/>
      </c>
      <c r="Y77" s="222" t="str">
        <f t="shared" si="10"/>
        <v/>
      </c>
      <c r="Z77" s="224" t="str">
        <f t="shared" si="11"/>
        <v> </v>
      </c>
      <c r="AA77" s="244"/>
    </row>
    <row r="78">
      <c r="A78" s="214" t="str">
        <f>IFS($B78=FALSE,"",$B78,VLOOKUP($B78,'PATIENT DATA (072721)'!A:C, 2, 0))</f>
        <v/>
      </c>
      <c r="B78" s="215"/>
      <c r="C78" s="230" t="str">
        <f>IF(COUNTIF('PATIENT DATA (072721)'!A:A, B78)=0, "X","✓")</f>
        <v>X</v>
      </c>
      <c r="D78" s="226" t="str">
        <f>IFS($B78=FALSE,"",$B78,VLOOKUP($B78,'PATIENT DATA (072721)'!A:C, 3, 0))</f>
        <v/>
      </c>
      <c r="E78" s="218">
        <v>44575.0</v>
      </c>
      <c r="F78" s="219" t="str">
        <f>ifs($B78="","",$B78, VLOOKUP($B78&amp;$E78, 'VISIT DATA'!A:O,3,0))</f>
        <v/>
      </c>
      <c r="G78" s="231"/>
      <c r="H78" s="221" t="str">
        <f>ifs($B78="","",$B78, VLOOKUP($B78&amp;$E78, 'VISIT DATA'!$A:$O,13,0))</f>
        <v/>
      </c>
      <c r="I78" s="262" t="str">
        <f>VLOOKUP($B78&amp;$E78,'VISIT DATA'!A:J, 9, FALSE)</f>
        <v>#N/A</v>
      </c>
      <c r="J78" s="223" t="str">
        <f>VLOOKUP(B78&amp;E78,'VISIT DATA'!A:N,10,FALSE)</f>
        <v>#N/A</v>
      </c>
      <c r="K78" s="225"/>
      <c r="L78" s="224"/>
      <c r="M78" s="224"/>
      <c r="N78" s="225"/>
      <c r="O78" s="216" t="str">
        <f t="shared" si="1"/>
        <v>X</v>
      </c>
      <c r="P78" s="226" t="str">
        <f t="shared" si="2"/>
        <v>#N/A</v>
      </c>
      <c r="Q78" s="227" t="str">
        <f t="shared" si="3"/>
        <v>#N/A</v>
      </c>
      <c r="R78" s="228" t="str">
        <f t="shared" si="4"/>
        <v>#N/A</v>
      </c>
      <c r="S78" s="220" t="str">
        <f t="shared" si="5"/>
        <v>#N/A</v>
      </c>
      <c r="T78" s="220" t="str">
        <f t="shared" si="6"/>
        <v>#N/A</v>
      </c>
      <c r="U78" s="221">
        <f t="shared" si="7"/>
        <v>0</v>
      </c>
      <c r="V78" s="229" t="str">
        <f>ifs($N78="",VLOOKUP($B78&amp;$E78,'VISIT DATA'!$A$2:$J100,7,FALSE), $N78="SWAB","OUTSA-RW",$N78="SWQU","OUTSA-SaQu", AND($L78="X",$M78="X",$N78="QUEST"),"OUT-UAQPre",$N78="QUEST","OUT-UAQ", $N78="Walk in","ColUATele")</f>
        <v>#N/A</v>
      </c>
      <c r="W78" s="24" t="str">
        <f t="shared" si="8"/>
        <v>#N/A</v>
      </c>
      <c r="X78" s="222" t="str">
        <f t="shared" si="9"/>
        <v/>
      </c>
      <c r="Y78" s="222" t="str">
        <f t="shared" si="10"/>
        <v/>
      </c>
      <c r="Z78" s="224" t="str">
        <f t="shared" si="11"/>
        <v> </v>
      </c>
      <c r="AA78" s="244"/>
    </row>
    <row r="79">
      <c r="A79" s="214" t="str">
        <f>IFS($B79=FALSE,"",$B79,VLOOKUP($B79,'PATIENT DATA (072721)'!A:C, 2, 0))</f>
        <v/>
      </c>
      <c r="B79" s="215"/>
      <c r="C79" s="230" t="str">
        <f>IF(COUNTIF('PATIENT DATA (072721)'!A:A, B79)=0, "X","✓")</f>
        <v>X</v>
      </c>
      <c r="D79" s="226" t="str">
        <f>IFS($B79=FALSE,"",$B79,VLOOKUP($B79,'PATIENT DATA (072721)'!A:C, 3, 0))</f>
        <v/>
      </c>
      <c r="E79" s="218">
        <v>44575.0</v>
      </c>
      <c r="F79" s="219" t="str">
        <f>ifs($B79="","",$B79, VLOOKUP($B79&amp;$E79, 'VISIT DATA'!A:O,3,0))</f>
        <v/>
      </c>
      <c r="G79" s="231"/>
      <c r="H79" s="221" t="str">
        <f>ifs($B79="","",$B79, VLOOKUP($B79&amp;$E79, 'VISIT DATA'!$A:$O,13,0))</f>
        <v/>
      </c>
      <c r="I79" s="262" t="str">
        <f>VLOOKUP($B79&amp;$E79,'VISIT DATA'!A:J, 9, FALSE)</f>
        <v>#N/A</v>
      </c>
      <c r="J79" s="223" t="str">
        <f>VLOOKUP(B79&amp;E79,'VISIT DATA'!A:N,10,FALSE)</f>
        <v>#N/A</v>
      </c>
      <c r="K79" s="225"/>
      <c r="L79" s="224"/>
      <c r="M79" s="224"/>
      <c r="N79" s="225"/>
      <c r="O79" s="216" t="str">
        <f t="shared" si="1"/>
        <v>X</v>
      </c>
      <c r="P79" s="226" t="str">
        <f t="shared" si="2"/>
        <v>#N/A</v>
      </c>
      <c r="Q79" s="227" t="str">
        <f t="shared" si="3"/>
        <v>#N/A</v>
      </c>
      <c r="R79" s="228" t="str">
        <f t="shared" si="4"/>
        <v>#N/A</v>
      </c>
      <c r="S79" s="220" t="str">
        <f t="shared" si="5"/>
        <v>#N/A</v>
      </c>
      <c r="T79" s="220" t="str">
        <f t="shared" si="6"/>
        <v>#N/A</v>
      </c>
      <c r="U79" s="221">
        <f t="shared" si="7"/>
        <v>0</v>
      </c>
      <c r="V79" s="229" t="str">
        <f>ifs($N79="",VLOOKUP($B79&amp;$E79,'VISIT DATA'!$A$2:$J100,7,FALSE), $N79="SWAB","OUTSA-RW",$N79="SWQU","OUTSA-SaQu", AND($L79="X",$M79="X",$N79="QUEST"),"OUT-UAQPre",$N79="QUEST","OUT-UAQ", $N79="Walk in","ColUATele")</f>
        <v>#N/A</v>
      </c>
      <c r="W79" s="24" t="str">
        <f t="shared" si="8"/>
        <v>#N/A</v>
      </c>
      <c r="X79" s="222" t="str">
        <f t="shared" si="9"/>
        <v/>
      </c>
      <c r="Y79" s="222" t="str">
        <f t="shared" si="10"/>
        <v/>
      </c>
      <c r="Z79" s="224" t="str">
        <f t="shared" si="11"/>
        <v> </v>
      </c>
      <c r="AA79" s="244"/>
    </row>
    <row r="80">
      <c r="A80" s="214" t="str">
        <f>IFS($B80=FALSE,"",$B80,VLOOKUP($B80,'PATIENT DATA (072721)'!A:C, 2, 0))</f>
        <v/>
      </c>
      <c r="B80" s="215"/>
      <c r="C80" s="230" t="str">
        <f>IF(COUNTIF('PATIENT DATA (072721)'!A:A, B80)=0, "X","✓")</f>
        <v>X</v>
      </c>
      <c r="D80" s="226" t="str">
        <f>IFS($B80=FALSE,"",$B80,VLOOKUP($B80,'PATIENT DATA (072721)'!A:C, 3, 0))</f>
        <v/>
      </c>
      <c r="E80" s="218">
        <v>44575.0</v>
      </c>
      <c r="F80" s="219" t="str">
        <f>ifs($B80="","",$B80, VLOOKUP($B80&amp;$E80, 'VISIT DATA'!A:O,3,0))</f>
        <v/>
      </c>
      <c r="G80" s="231"/>
      <c r="H80" s="221" t="str">
        <f>ifs($B80="","",$B80, VLOOKUP($B80&amp;$E80, 'VISIT DATA'!$A:$O,13,0))</f>
        <v/>
      </c>
      <c r="I80" s="262" t="str">
        <f>VLOOKUP($B80&amp;$E80,'VISIT DATA'!A:J, 9, FALSE)</f>
        <v>#N/A</v>
      </c>
      <c r="J80" s="223" t="str">
        <f>VLOOKUP(B80&amp;E80,'VISIT DATA'!A:N,10,FALSE)</f>
        <v>#N/A</v>
      </c>
      <c r="K80" s="225"/>
      <c r="L80" s="224"/>
      <c r="M80" s="224"/>
      <c r="N80" s="225"/>
      <c r="O80" s="216" t="str">
        <f t="shared" si="1"/>
        <v>X</v>
      </c>
      <c r="P80" s="226" t="str">
        <f t="shared" si="2"/>
        <v>#N/A</v>
      </c>
      <c r="Q80" s="227" t="str">
        <f t="shared" si="3"/>
        <v>#N/A</v>
      </c>
      <c r="R80" s="228" t="str">
        <f t="shared" si="4"/>
        <v>#N/A</v>
      </c>
      <c r="S80" s="220" t="str">
        <f t="shared" si="5"/>
        <v>#N/A</v>
      </c>
      <c r="T80" s="220" t="str">
        <f t="shared" si="6"/>
        <v>#N/A</v>
      </c>
      <c r="U80" s="221">
        <f t="shared" si="7"/>
        <v>0</v>
      </c>
      <c r="V80" s="229" t="str">
        <f>ifs($N80="",VLOOKUP($B80&amp;$E80,'VISIT DATA'!$A$2:$J100,7,FALSE), $N80="SWAB","OUTSA-RW",$N80="SWQU","OUTSA-SaQu", AND($L80="X",$M80="X",$N80="QUEST"),"OUT-UAQPre",$N80="QUEST","OUT-UAQ", $N80="Walk in","ColUATele")</f>
        <v>#N/A</v>
      </c>
      <c r="W80" s="24" t="str">
        <f t="shared" si="8"/>
        <v>#N/A</v>
      </c>
      <c r="X80" s="222" t="str">
        <f t="shared" si="9"/>
        <v/>
      </c>
      <c r="Y80" s="222" t="str">
        <f t="shared" si="10"/>
        <v/>
      </c>
      <c r="Z80" s="224" t="str">
        <f t="shared" si="11"/>
        <v> </v>
      </c>
      <c r="AA80" s="244"/>
    </row>
    <row r="81">
      <c r="A81" s="214" t="str">
        <f>IFS($B81=FALSE,"",$B81,VLOOKUP($B81,'PATIENT DATA (072721)'!A:C, 2, 0))</f>
        <v/>
      </c>
      <c r="B81" s="215"/>
      <c r="C81" s="230" t="str">
        <f>IF(COUNTIF('PATIENT DATA (072721)'!A:A, B81)=0, "X","✓")</f>
        <v>X</v>
      </c>
      <c r="D81" s="226" t="str">
        <f>IFS($B81=FALSE,"",$B81,VLOOKUP($B81,'PATIENT DATA (072721)'!A:C, 3, 0))</f>
        <v/>
      </c>
      <c r="E81" s="218">
        <v>44575.0</v>
      </c>
      <c r="F81" s="219" t="str">
        <f>ifs($B81="","",$B81, VLOOKUP($B81&amp;$E81, 'VISIT DATA'!A:O,3,0))</f>
        <v/>
      </c>
      <c r="G81" s="231"/>
      <c r="H81" s="221" t="str">
        <f>ifs($B81="","",$B81, VLOOKUP($B81&amp;$E81, 'VISIT DATA'!$A:$O,13,0))</f>
        <v/>
      </c>
      <c r="I81" s="262" t="str">
        <f>VLOOKUP($B81&amp;$E81,'VISIT DATA'!A:J, 9, FALSE)</f>
        <v>#N/A</v>
      </c>
      <c r="J81" s="223" t="str">
        <f>VLOOKUP(B81&amp;E81,'VISIT DATA'!A:N,10,FALSE)</f>
        <v>#N/A</v>
      </c>
      <c r="K81" s="225"/>
      <c r="L81" s="224"/>
      <c r="M81" s="224"/>
      <c r="N81" s="225"/>
      <c r="O81" s="216" t="str">
        <f t="shared" si="1"/>
        <v>X</v>
      </c>
      <c r="P81" s="226" t="str">
        <f t="shared" si="2"/>
        <v>#N/A</v>
      </c>
      <c r="Q81" s="227" t="str">
        <f t="shared" si="3"/>
        <v>#N/A</v>
      </c>
      <c r="R81" s="228" t="str">
        <f t="shared" si="4"/>
        <v>#N/A</v>
      </c>
      <c r="S81" s="220" t="str">
        <f t="shared" si="5"/>
        <v>#N/A</v>
      </c>
      <c r="T81" s="220" t="str">
        <f t="shared" si="6"/>
        <v>#N/A</v>
      </c>
      <c r="U81" s="221">
        <f t="shared" si="7"/>
        <v>0</v>
      </c>
      <c r="V81" s="229" t="str">
        <f>ifs($N81="",VLOOKUP($B81&amp;$E81,'VISIT DATA'!$A$2:$J100,7,FALSE), $N81="SWAB","OUTSA-RW",$N81="SWQU","OUTSA-SaQu", AND($L81="X",$M81="X",$N81="QUEST"),"OUT-UAQPre",$N81="QUEST","OUT-UAQ", $N81="Walk in","ColUATele")</f>
        <v>#N/A</v>
      </c>
      <c r="W81" s="24" t="str">
        <f t="shared" si="8"/>
        <v>#N/A</v>
      </c>
      <c r="X81" s="222" t="str">
        <f t="shared" si="9"/>
        <v/>
      </c>
      <c r="Y81" s="222" t="str">
        <f t="shared" si="10"/>
        <v/>
      </c>
      <c r="Z81" s="224" t="str">
        <f t="shared" si="11"/>
        <v> </v>
      </c>
      <c r="AA81" s="244"/>
    </row>
    <row r="82">
      <c r="A82" s="214" t="str">
        <f>IFS($B82=FALSE,"",$B82,VLOOKUP($B82,'PATIENT DATA (072721)'!A:C, 2, 0))</f>
        <v/>
      </c>
      <c r="B82" s="215"/>
      <c r="C82" s="230" t="str">
        <f>IF(COUNTIF('PATIENT DATA (072721)'!A:A, B82)=0, "X","✓")</f>
        <v>X</v>
      </c>
      <c r="D82" s="226" t="str">
        <f>IFS($B82=FALSE,"",$B82,VLOOKUP($B82,'PATIENT DATA (072721)'!A:C, 3, 0))</f>
        <v/>
      </c>
      <c r="E82" s="218">
        <v>44575.0</v>
      </c>
      <c r="F82" s="219" t="str">
        <f>ifs($B82="","",$B82, VLOOKUP($B82&amp;$E82, 'VISIT DATA'!A:O,3,0))</f>
        <v/>
      </c>
      <c r="G82" s="231"/>
      <c r="H82" s="221" t="str">
        <f>ifs($B82="","",$B82, VLOOKUP($B82&amp;$E82, 'VISIT DATA'!$A:$O,13,0))</f>
        <v/>
      </c>
      <c r="I82" s="262" t="str">
        <f>VLOOKUP($B82&amp;$E82,'VISIT DATA'!A:J, 9, FALSE)</f>
        <v>#N/A</v>
      </c>
      <c r="J82" s="223" t="str">
        <f>VLOOKUP(B82&amp;E82,'VISIT DATA'!A:N,10,FALSE)</f>
        <v>#N/A</v>
      </c>
      <c r="K82" s="225"/>
      <c r="L82" s="224"/>
      <c r="M82" s="224"/>
      <c r="N82" s="225"/>
      <c r="O82" s="216" t="str">
        <f t="shared" si="1"/>
        <v>X</v>
      </c>
      <c r="P82" s="226" t="str">
        <f t="shared" si="2"/>
        <v>#N/A</v>
      </c>
      <c r="Q82" s="227" t="str">
        <f t="shared" si="3"/>
        <v>#N/A</v>
      </c>
      <c r="R82" s="228" t="str">
        <f t="shared" si="4"/>
        <v>#N/A</v>
      </c>
      <c r="S82" s="220" t="str">
        <f t="shared" si="5"/>
        <v>#N/A</v>
      </c>
      <c r="T82" s="220" t="str">
        <f t="shared" si="6"/>
        <v>#N/A</v>
      </c>
      <c r="U82" s="221">
        <f t="shared" si="7"/>
        <v>0</v>
      </c>
      <c r="V82" s="229" t="str">
        <f>ifs($N82="",VLOOKUP($B82&amp;$E82,'VISIT DATA'!$A$2:$J100,7,FALSE), $N82="SWAB","OUTSA-RW",$N82="SWQU","OUTSA-SaQu", AND($L82="X",$M82="X",$N82="QUEST"),"OUT-UAQPre",$N82="QUEST","OUT-UAQ", $N82="Walk in","ColUATele")</f>
        <v>#N/A</v>
      </c>
      <c r="W82" s="24" t="str">
        <f t="shared" si="8"/>
        <v>#N/A</v>
      </c>
      <c r="X82" s="222" t="str">
        <f t="shared" si="9"/>
        <v/>
      </c>
      <c r="Y82" s="222" t="str">
        <f t="shared" si="10"/>
        <v/>
      </c>
      <c r="Z82" s="224" t="str">
        <f t="shared" si="11"/>
        <v> </v>
      </c>
      <c r="AA82" s="244"/>
    </row>
    <row r="83">
      <c r="A83" s="214" t="str">
        <f>IFS($B83=FALSE,"",$B83,VLOOKUP($B83,'PATIENT DATA (072721)'!A:C, 2, 0))</f>
        <v/>
      </c>
      <c r="B83" s="215"/>
      <c r="C83" s="230" t="str">
        <f>IF(COUNTIF('PATIENT DATA (072721)'!A:A, B83)=0, "X","✓")</f>
        <v>X</v>
      </c>
      <c r="D83" s="226" t="str">
        <f>IFS($B83=FALSE,"",$B83,VLOOKUP($B83,'PATIENT DATA (072721)'!A:C, 3, 0))</f>
        <v/>
      </c>
      <c r="E83" s="218">
        <v>44575.0</v>
      </c>
      <c r="F83" s="219" t="str">
        <f>ifs($B83="","",$B83, VLOOKUP($B83&amp;$E83, 'VISIT DATA'!A:O,3,0))</f>
        <v/>
      </c>
      <c r="G83" s="231"/>
      <c r="H83" s="221" t="str">
        <f>ifs($B83="","",$B83, VLOOKUP($B83&amp;$E83, 'VISIT DATA'!$A:$O,13,0))</f>
        <v/>
      </c>
      <c r="I83" s="262" t="str">
        <f>VLOOKUP($B83&amp;$E83,'VISIT DATA'!A:J, 9, FALSE)</f>
        <v>#N/A</v>
      </c>
      <c r="J83" s="223" t="str">
        <f>VLOOKUP(B83&amp;E83,'VISIT DATA'!A:N,10,FALSE)</f>
        <v>#N/A</v>
      </c>
      <c r="K83" s="225"/>
      <c r="L83" s="224"/>
      <c r="M83" s="224"/>
      <c r="N83" s="225"/>
      <c r="O83" s="216" t="str">
        <f t="shared" si="1"/>
        <v>X</v>
      </c>
      <c r="P83" s="226" t="str">
        <f t="shared" si="2"/>
        <v>#N/A</v>
      </c>
      <c r="Q83" s="227" t="str">
        <f t="shared" si="3"/>
        <v>#N/A</v>
      </c>
      <c r="R83" s="228" t="str">
        <f t="shared" si="4"/>
        <v>#N/A</v>
      </c>
      <c r="S83" s="220" t="str">
        <f t="shared" si="5"/>
        <v>#N/A</v>
      </c>
      <c r="T83" s="220" t="str">
        <f t="shared" si="6"/>
        <v>#N/A</v>
      </c>
      <c r="U83" s="221">
        <f t="shared" si="7"/>
        <v>0</v>
      </c>
      <c r="V83" s="229" t="str">
        <f>ifs($N83="",VLOOKUP($B83&amp;$E83,'VISIT DATA'!$A$2:$J100,7,FALSE), $N83="SWAB","OUTSA-RW",$N83="SWQU","OUTSA-SaQu", AND($L83="X",$M83="X",$N83="QUEST"),"OUT-UAQPre",$N83="QUEST","OUT-UAQ", $N83="Walk in","ColUATele")</f>
        <v>#N/A</v>
      </c>
      <c r="W83" s="24" t="str">
        <f t="shared" si="8"/>
        <v>#N/A</v>
      </c>
      <c r="X83" s="222" t="str">
        <f t="shared" si="9"/>
        <v/>
      </c>
      <c r="Y83" s="222" t="str">
        <f t="shared" si="10"/>
        <v/>
      </c>
      <c r="Z83" s="224" t="str">
        <f t="shared" si="11"/>
        <v> </v>
      </c>
      <c r="AA83" s="244"/>
    </row>
    <row r="84">
      <c r="A84" s="214" t="str">
        <f>IFS($B84=FALSE,"",$B84,VLOOKUP($B84,'PATIENT DATA (072721)'!A:C, 2, 0))</f>
        <v/>
      </c>
      <c r="B84" s="215"/>
      <c r="C84" s="230" t="str">
        <f>IF(COUNTIF('PATIENT DATA (072721)'!A:A, B84)=0, "X","✓")</f>
        <v>X</v>
      </c>
      <c r="D84" s="226" t="str">
        <f>IFS($B84=FALSE,"",$B84,VLOOKUP($B84,'PATIENT DATA (072721)'!A:C, 3, 0))</f>
        <v/>
      </c>
      <c r="E84" s="218">
        <v>44575.0</v>
      </c>
      <c r="F84" s="219" t="str">
        <f>ifs($B84="","",$B84, VLOOKUP($B84&amp;$E84, 'VISIT DATA'!A:O,3,0))</f>
        <v/>
      </c>
      <c r="G84" s="231"/>
      <c r="H84" s="221" t="str">
        <f>ifs($B84="","",$B84, VLOOKUP($B84&amp;$E84, 'VISIT DATA'!$A:$O,13,0))</f>
        <v/>
      </c>
      <c r="I84" s="262" t="str">
        <f>VLOOKUP($B84&amp;$E84,'VISIT DATA'!A:J, 9, FALSE)</f>
        <v>#N/A</v>
      </c>
      <c r="J84" s="223" t="str">
        <f>VLOOKUP(B84&amp;E84,'VISIT DATA'!A:N,10,FALSE)</f>
        <v>#N/A</v>
      </c>
      <c r="K84" s="225"/>
      <c r="L84" s="224"/>
      <c r="M84" s="224"/>
      <c r="N84" s="225"/>
      <c r="O84" s="216" t="str">
        <f t="shared" si="1"/>
        <v>X</v>
      </c>
      <c r="P84" s="226" t="str">
        <f t="shared" si="2"/>
        <v>#N/A</v>
      </c>
      <c r="Q84" s="227" t="str">
        <f t="shared" si="3"/>
        <v>#N/A</v>
      </c>
      <c r="R84" s="228" t="str">
        <f t="shared" si="4"/>
        <v>#N/A</v>
      </c>
      <c r="S84" s="220" t="str">
        <f t="shared" si="5"/>
        <v>#N/A</v>
      </c>
      <c r="T84" s="220" t="str">
        <f t="shared" si="6"/>
        <v>#N/A</v>
      </c>
      <c r="U84" s="221">
        <f t="shared" si="7"/>
        <v>0</v>
      </c>
      <c r="V84" s="229" t="str">
        <f>ifs($N84="",VLOOKUP($B84&amp;$E84,'VISIT DATA'!$A$2:$J100,7,FALSE), $N84="SWAB","OUTSA-RW",$N84="SWQU","OUTSA-SaQu", AND($L84="X",$M84="X",$N84="QUEST"),"OUT-UAQPre",$N84="QUEST","OUT-UAQ", $N84="Walk in","ColUATele")</f>
        <v>#N/A</v>
      </c>
      <c r="W84" s="24" t="str">
        <f t="shared" si="8"/>
        <v>#N/A</v>
      </c>
      <c r="X84" s="222" t="str">
        <f t="shared" si="9"/>
        <v/>
      </c>
      <c r="Y84" s="222" t="str">
        <f t="shared" si="10"/>
        <v/>
      </c>
      <c r="Z84" s="224" t="str">
        <f t="shared" si="11"/>
        <v> </v>
      </c>
      <c r="AA84" s="244"/>
    </row>
    <row r="85">
      <c r="A85" s="214" t="str">
        <f>IFS($B85=FALSE,"",$B85,VLOOKUP($B85,'PATIENT DATA (072721)'!A:C, 2, 0))</f>
        <v/>
      </c>
      <c r="B85" s="215"/>
      <c r="C85" s="230" t="str">
        <f>IF(COUNTIF('PATIENT DATA (072721)'!A:A, B85)=0, "X","✓")</f>
        <v>X</v>
      </c>
      <c r="D85" s="226" t="str">
        <f>IFS($B85=FALSE,"",$B85,VLOOKUP($B85,'PATIENT DATA (072721)'!A:C, 3, 0))</f>
        <v/>
      </c>
      <c r="E85" s="218">
        <v>44575.0</v>
      </c>
      <c r="F85" s="219" t="str">
        <f>ifs($B85="","",$B85, VLOOKUP($B85&amp;$E85, 'VISIT DATA'!A:O,3,0))</f>
        <v/>
      </c>
      <c r="G85" s="231"/>
      <c r="H85" s="221" t="str">
        <f>ifs($B85="","",$B85, VLOOKUP($B85&amp;$E85, 'VISIT DATA'!$A:$O,13,0))</f>
        <v/>
      </c>
      <c r="I85" s="262" t="str">
        <f>VLOOKUP($B85&amp;$E85,'VISIT DATA'!A:J, 9, FALSE)</f>
        <v>#N/A</v>
      </c>
      <c r="J85" s="223" t="str">
        <f>VLOOKUP(B85&amp;E85,'VISIT DATA'!A:N,10,FALSE)</f>
        <v>#N/A</v>
      </c>
      <c r="K85" s="225"/>
      <c r="L85" s="224"/>
      <c r="M85" s="224"/>
      <c r="N85" s="225"/>
      <c r="O85" s="216" t="str">
        <f t="shared" si="1"/>
        <v>X</v>
      </c>
      <c r="P85" s="226" t="str">
        <f t="shared" si="2"/>
        <v>#N/A</v>
      </c>
      <c r="Q85" s="227" t="str">
        <f t="shared" si="3"/>
        <v>#N/A</v>
      </c>
      <c r="R85" s="228" t="str">
        <f t="shared" si="4"/>
        <v>#N/A</v>
      </c>
      <c r="S85" s="220" t="str">
        <f t="shared" si="5"/>
        <v>#N/A</v>
      </c>
      <c r="T85" s="220" t="str">
        <f t="shared" si="6"/>
        <v>#N/A</v>
      </c>
      <c r="U85" s="221">
        <f t="shared" si="7"/>
        <v>0</v>
      </c>
      <c r="V85" s="229" t="str">
        <f>ifs($N85="",VLOOKUP($B85&amp;$E85,'VISIT DATA'!$A$2:$J100,7,FALSE), $N85="SWAB","OUTSA-RW",$N85="SWQU","OUTSA-SaQu", AND($L85="X",$M85="X",$N85="QUEST"),"OUT-UAQPre",$N85="QUEST","OUT-UAQ", $N85="Walk in","ColUATele")</f>
        <v>#N/A</v>
      </c>
      <c r="W85" s="24" t="str">
        <f t="shared" si="8"/>
        <v>#N/A</v>
      </c>
      <c r="X85" s="222" t="str">
        <f t="shared" si="9"/>
        <v/>
      </c>
      <c r="Y85" s="222" t="str">
        <f t="shared" si="10"/>
        <v/>
      </c>
      <c r="Z85" s="224" t="str">
        <f t="shared" si="11"/>
        <v> </v>
      </c>
      <c r="AA85" s="244"/>
    </row>
    <row r="86">
      <c r="A86" s="214" t="str">
        <f>IFS($B86=FALSE,"",$B86,VLOOKUP($B86,'PATIENT DATA (072721)'!A:C, 2, 0))</f>
        <v/>
      </c>
      <c r="B86" s="215"/>
      <c r="C86" s="230" t="str">
        <f>IF(COUNTIF('PATIENT DATA (072721)'!A:A, B86)=0, "X","✓")</f>
        <v>X</v>
      </c>
      <c r="D86" s="226" t="str">
        <f>IFS($B86=FALSE,"",$B86,VLOOKUP($B86,'PATIENT DATA (072721)'!A:C, 3, 0))</f>
        <v/>
      </c>
      <c r="E86" s="218">
        <v>44575.0</v>
      </c>
      <c r="F86" s="219" t="str">
        <f>ifs($B86="","",$B86, VLOOKUP($B86&amp;$E86, 'VISIT DATA'!A:O,3,0))</f>
        <v/>
      </c>
      <c r="G86" s="231"/>
      <c r="H86" s="221" t="str">
        <f>ifs($B86="","",$B86, VLOOKUP($B86&amp;$E86, 'VISIT DATA'!$A:$O,13,0))</f>
        <v/>
      </c>
      <c r="I86" s="262" t="str">
        <f>VLOOKUP($B86&amp;$E86,'VISIT DATA'!A:J, 9, FALSE)</f>
        <v>#N/A</v>
      </c>
      <c r="J86" s="223" t="str">
        <f>VLOOKUP(B86&amp;E86,'VISIT DATA'!A:N,10,FALSE)</f>
        <v>#N/A</v>
      </c>
      <c r="K86" s="225"/>
      <c r="L86" s="224"/>
      <c r="M86" s="224"/>
      <c r="N86" s="225"/>
      <c r="O86" s="216" t="str">
        <f t="shared" si="1"/>
        <v>X</v>
      </c>
      <c r="P86" s="226" t="str">
        <f t="shared" si="2"/>
        <v>#N/A</v>
      </c>
      <c r="Q86" s="227" t="str">
        <f t="shared" si="3"/>
        <v>#N/A</v>
      </c>
      <c r="R86" s="228" t="str">
        <f t="shared" si="4"/>
        <v>#N/A</v>
      </c>
      <c r="S86" s="220" t="str">
        <f t="shared" si="5"/>
        <v>#N/A</v>
      </c>
      <c r="T86" s="220" t="str">
        <f t="shared" si="6"/>
        <v>#N/A</v>
      </c>
      <c r="U86" s="221">
        <f t="shared" si="7"/>
        <v>0</v>
      </c>
      <c r="V86" s="229" t="str">
        <f>ifs($N86="",VLOOKUP($B86&amp;$E86,'VISIT DATA'!$A$2:$J100,7,FALSE), $N86="SWAB","OUTSA-RW",$N86="SWQU","OUTSA-SaQu", AND($L86="X",$M86="X",$N86="QUEST"),"OUT-UAQPre",$N86="QUEST","OUT-UAQ", $N86="Walk in","ColUATele")</f>
        <v>#N/A</v>
      </c>
      <c r="W86" s="24" t="str">
        <f t="shared" si="8"/>
        <v>#N/A</v>
      </c>
      <c r="X86" s="222" t="str">
        <f t="shared" si="9"/>
        <v/>
      </c>
      <c r="Y86" s="222" t="str">
        <f t="shared" si="10"/>
        <v/>
      </c>
      <c r="Z86" s="224" t="str">
        <f t="shared" si="11"/>
        <v> </v>
      </c>
      <c r="AA86" s="244"/>
    </row>
    <row r="87">
      <c r="A87" s="214" t="str">
        <f>IFS($B87=FALSE,"",$B87,VLOOKUP($B87,'PATIENT DATA (072721)'!A:C, 2, 0))</f>
        <v/>
      </c>
      <c r="B87" s="215"/>
      <c r="C87" s="230" t="str">
        <f>IF(COUNTIF('PATIENT DATA (072721)'!A:A, B87)=0, "X","✓")</f>
        <v>X</v>
      </c>
      <c r="D87" s="226" t="str">
        <f>IFS($B87=FALSE,"",$B87,VLOOKUP($B87,'PATIENT DATA (072721)'!A:C, 3, 0))</f>
        <v/>
      </c>
      <c r="E87" s="218">
        <v>44575.0</v>
      </c>
      <c r="F87" s="219" t="str">
        <f>ifs($B87="","",$B87, VLOOKUP($B87&amp;$E87, 'VISIT DATA'!A:O,3,0))</f>
        <v/>
      </c>
      <c r="G87" s="231"/>
      <c r="H87" s="221" t="str">
        <f>ifs($B87="","",$B87, VLOOKUP($B87&amp;$E87, 'VISIT DATA'!$A:$O,13,0))</f>
        <v/>
      </c>
      <c r="I87" s="262" t="str">
        <f>VLOOKUP($B87&amp;$E87,'VISIT DATA'!A:J, 9, FALSE)</f>
        <v>#N/A</v>
      </c>
      <c r="J87" s="223" t="str">
        <f>VLOOKUP(B87&amp;E87,'VISIT DATA'!A:N,10,FALSE)</f>
        <v>#N/A</v>
      </c>
      <c r="K87" s="225"/>
      <c r="L87" s="224"/>
      <c r="M87" s="224"/>
      <c r="N87" s="225"/>
      <c r="O87" s="216" t="str">
        <f t="shared" si="1"/>
        <v>X</v>
      </c>
      <c r="P87" s="226" t="str">
        <f t="shared" si="2"/>
        <v>#N/A</v>
      </c>
      <c r="Q87" s="227" t="str">
        <f t="shared" si="3"/>
        <v>#N/A</v>
      </c>
      <c r="R87" s="228" t="str">
        <f t="shared" si="4"/>
        <v>#N/A</v>
      </c>
      <c r="S87" s="220" t="str">
        <f t="shared" si="5"/>
        <v>#N/A</v>
      </c>
      <c r="T87" s="220" t="str">
        <f t="shared" si="6"/>
        <v>#N/A</v>
      </c>
      <c r="U87" s="221">
        <f t="shared" si="7"/>
        <v>0</v>
      </c>
      <c r="V87" s="229" t="str">
        <f>ifs($N87="",VLOOKUP($B87&amp;$E87,'VISIT DATA'!$A$2:$J100,7,FALSE), $N87="SWAB","OUTSA-RW",$N87="SWQU","OUTSA-SaQu", AND($L87="X",$M87="X",$N87="QUEST"),"OUT-UAQPre",$N87="QUEST","OUT-UAQ", $N87="Walk in","ColUATele")</f>
        <v>#N/A</v>
      </c>
      <c r="W87" s="24" t="str">
        <f t="shared" si="8"/>
        <v>#N/A</v>
      </c>
      <c r="X87" s="222" t="str">
        <f t="shared" si="9"/>
        <v/>
      </c>
      <c r="Y87" s="222" t="str">
        <f t="shared" si="10"/>
        <v/>
      </c>
      <c r="Z87" s="224" t="str">
        <f t="shared" si="11"/>
        <v> </v>
      </c>
      <c r="AA87" s="244"/>
    </row>
    <row r="88">
      <c r="A88" s="214" t="str">
        <f>IFS($B88=FALSE,"",$B88,VLOOKUP($B88,'PATIENT DATA (072721)'!A:C, 2, 0))</f>
        <v/>
      </c>
      <c r="B88" s="215"/>
      <c r="C88" s="230" t="str">
        <f>IF(COUNTIF('PATIENT DATA (072721)'!A:A, B88)=0, "X","✓")</f>
        <v>X</v>
      </c>
      <c r="D88" s="226" t="str">
        <f>IFS($B88=FALSE,"",$B88,VLOOKUP($B88,'PATIENT DATA (072721)'!A:C, 3, 0))</f>
        <v/>
      </c>
      <c r="E88" s="218">
        <v>44575.0</v>
      </c>
      <c r="F88" s="219" t="str">
        <f>ifs($B88="","",$B88, VLOOKUP($B88&amp;$E88, 'VISIT DATA'!A:O,3,0))</f>
        <v/>
      </c>
      <c r="G88" s="231"/>
      <c r="H88" s="221" t="str">
        <f>ifs($B88="","",$B88, VLOOKUP($B88&amp;$E88, 'VISIT DATA'!$A:$O,13,0))</f>
        <v/>
      </c>
      <c r="I88" s="262" t="str">
        <f>VLOOKUP($B88&amp;$E88,'VISIT DATA'!A:J, 9, FALSE)</f>
        <v>#N/A</v>
      </c>
      <c r="J88" s="223" t="str">
        <f>VLOOKUP(B88&amp;E88,'VISIT DATA'!A:N,10,FALSE)</f>
        <v>#N/A</v>
      </c>
      <c r="K88" s="225"/>
      <c r="L88" s="224"/>
      <c r="M88" s="224"/>
      <c r="N88" s="225"/>
      <c r="O88" s="216" t="str">
        <f t="shared" si="1"/>
        <v>X</v>
      </c>
      <c r="P88" s="226" t="str">
        <f t="shared" si="2"/>
        <v>#N/A</v>
      </c>
      <c r="Q88" s="227" t="str">
        <f t="shared" si="3"/>
        <v>#N/A</v>
      </c>
      <c r="R88" s="228" t="str">
        <f t="shared" si="4"/>
        <v>#N/A</v>
      </c>
      <c r="S88" s="220" t="str">
        <f t="shared" si="5"/>
        <v>#N/A</v>
      </c>
      <c r="T88" s="220" t="str">
        <f t="shared" si="6"/>
        <v>#N/A</v>
      </c>
      <c r="U88" s="221">
        <f t="shared" si="7"/>
        <v>0</v>
      </c>
      <c r="V88" s="229" t="str">
        <f>ifs($N88="",VLOOKUP($B88&amp;$E88,'VISIT DATA'!$A$2:$J100,7,FALSE), $N88="SWAB","OUTSA-RW",$N88="SWQU","OUTSA-SaQu", AND($L88="X",$M88="X",$N88="QUEST"),"OUT-UAQPre",$N88="QUEST","OUT-UAQ", $N88="Walk in","ColUATele")</f>
        <v>#N/A</v>
      </c>
      <c r="W88" s="24" t="str">
        <f t="shared" si="8"/>
        <v>#N/A</v>
      </c>
      <c r="X88" s="222" t="str">
        <f t="shared" si="9"/>
        <v/>
      </c>
      <c r="Y88" s="222" t="str">
        <f t="shared" si="10"/>
        <v/>
      </c>
      <c r="Z88" s="224" t="str">
        <f t="shared" si="11"/>
        <v> </v>
      </c>
      <c r="AA88" s="244"/>
    </row>
    <row r="89">
      <c r="A89" s="214" t="str">
        <f>IFS($B89=FALSE,"",$B89,VLOOKUP($B89,'PATIENT DATA (072721)'!A:C, 2, 0))</f>
        <v/>
      </c>
      <c r="B89" s="215"/>
      <c r="C89" s="230" t="str">
        <f>IF(COUNTIF('PATIENT DATA (072721)'!A:A, B89)=0, "X","✓")</f>
        <v>X</v>
      </c>
      <c r="D89" s="226" t="str">
        <f>IFS($B89=FALSE,"",$B89,VLOOKUP($B89,'PATIENT DATA (072721)'!A:C, 3, 0))</f>
        <v/>
      </c>
      <c r="E89" s="218">
        <v>44575.0</v>
      </c>
      <c r="F89" s="219" t="str">
        <f>ifs($B89="","",$B89, VLOOKUP($B89&amp;$E89, 'VISIT DATA'!A:O,3,0))</f>
        <v/>
      </c>
      <c r="G89" s="231"/>
      <c r="H89" s="221" t="str">
        <f>ifs($B89="","",$B89, VLOOKUP($B89&amp;$E89, 'VISIT DATA'!$A:$O,13,0))</f>
        <v/>
      </c>
      <c r="I89" s="262" t="str">
        <f>VLOOKUP($B89&amp;$E89,'VISIT DATA'!A:J, 9, FALSE)</f>
        <v>#N/A</v>
      </c>
      <c r="J89" s="223" t="str">
        <f>VLOOKUP(B89&amp;E89,'VISIT DATA'!A:N,10,FALSE)</f>
        <v>#N/A</v>
      </c>
      <c r="K89" s="225"/>
      <c r="L89" s="224"/>
      <c r="M89" s="224"/>
      <c r="N89" s="225"/>
      <c r="O89" s="216" t="str">
        <f t="shared" si="1"/>
        <v>X</v>
      </c>
      <c r="P89" s="226" t="str">
        <f t="shared" si="2"/>
        <v>#N/A</v>
      </c>
      <c r="Q89" s="227" t="str">
        <f t="shared" si="3"/>
        <v>#N/A</v>
      </c>
      <c r="R89" s="228" t="str">
        <f t="shared" si="4"/>
        <v>#N/A</v>
      </c>
      <c r="S89" s="220" t="str">
        <f t="shared" si="5"/>
        <v>#N/A</v>
      </c>
      <c r="T89" s="220" t="str">
        <f t="shared" si="6"/>
        <v>#N/A</v>
      </c>
      <c r="U89" s="221">
        <f t="shared" si="7"/>
        <v>0</v>
      </c>
      <c r="V89" s="229" t="str">
        <f>ifs($N89="",VLOOKUP($B89&amp;$E89,'VISIT DATA'!$A$2:$J100,7,FALSE), $N89="SWAB","OUTSA-RW",$N89="SWQU","OUTSA-SaQu", AND($L89="X",$M89="X",$N89="QUEST"),"OUT-UAQPre",$N89="QUEST","OUT-UAQ", $N89="Walk in","ColUATele")</f>
        <v>#N/A</v>
      </c>
      <c r="W89" s="24" t="str">
        <f t="shared" si="8"/>
        <v>#N/A</v>
      </c>
      <c r="X89" s="222" t="str">
        <f t="shared" si="9"/>
        <v/>
      </c>
      <c r="Y89" s="222" t="str">
        <f t="shared" si="10"/>
        <v/>
      </c>
      <c r="Z89" s="224" t="str">
        <f t="shared" si="11"/>
        <v> </v>
      </c>
      <c r="AA89" s="244"/>
    </row>
    <row r="90">
      <c r="A90" s="214" t="str">
        <f>IFS($B90=FALSE,"",$B90,VLOOKUP($B90,'PATIENT DATA (072721)'!A:C, 2, 0))</f>
        <v/>
      </c>
      <c r="B90" s="215"/>
      <c r="C90" s="230" t="str">
        <f>IF(COUNTIF('PATIENT DATA (072721)'!A:A, B90)=0, "X","✓")</f>
        <v>X</v>
      </c>
      <c r="D90" s="226" t="str">
        <f>IFS($B90=FALSE,"",$B90,VLOOKUP($B90,'PATIENT DATA (072721)'!A:C, 3, 0))</f>
        <v/>
      </c>
      <c r="E90" s="218">
        <v>44575.0</v>
      </c>
      <c r="F90" s="219" t="str">
        <f>ifs($B90="","",$B90, VLOOKUP($B90&amp;$E90, 'VISIT DATA'!A:O,3,0))</f>
        <v/>
      </c>
      <c r="G90" s="231"/>
      <c r="H90" s="221" t="str">
        <f>ifs($B90="","",$B90, VLOOKUP($B90&amp;$E90, 'VISIT DATA'!$A:$O,13,0))</f>
        <v/>
      </c>
      <c r="I90" s="262" t="str">
        <f>VLOOKUP($B90&amp;$E90,'VISIT DATA'!A:J, 9, FALSE)</f>
        <v>#N/A</v>
      </c>
      <c r="J90" s="223" t="str">
        <f>VLOOKUP(B90&amp;E90,'VISIT DATA'!A:N,10,FALSE)</f>
        <v>#N/A</v>
      </c>
      <c r="K90" s="225"/>
      <c r="L90" s="224"/>
      <c r="M90" s="224"/>
      <c r="N90" s="225"/>
      <c r="O90" s="216" t="str">
        <f t="shared" si="1"/>
        <v>X</v>
      </c>
      <c r="P90" s="226" t="str">
        <f t="shared" si="2"/>
        <v>#N/A</v>
      </c>
      <c r="Q90" s="227" t="str">
        <f t="shared" si="3"/>
        <v>#N/A</v>
      </c>
      <c r="R90" s="228" t="str">
        <f t="shared" si="4"/>
        <v>#N/A</v>
      </c>
      <c r="S90" s="220" t="str">
        <f t="shared" si="5"/>
        <v>#N/A</v>
      </c>
      <c r="T90" s="220" t="str">
        <f t="shared" si="6"/>
        <v>#N/A</v>
      </c>
      <c r="U90" s="221">
        <f t="shared" si="7"/>
        <v>0</v>
      </c>
      <c r="V90" s="229" t="str">
        <f>ifs($N90="",VLOOKUP($B90&amp;$E90,'VISIT DATA'!$A$2:$J100,7,FALSE), $N90="SWAB","OUTSA-RW",$N90="SWQU","OUTSA-SaQu", AND($L90="X",$M90="X",$N90="QUEST"),"OUT-UAQPre",$N90="QUEST","OUT-UAQ", $N90="Walk in","ColUATele")</f>
        <v>#N/A</v>
      </c>
      <c r="W90" s="24" t="str">
        <f t="shared" si="8"/>
        <v>#N/A</v>
      </c>
      <c r="X90" s="222" t="str">
        <f t="shared" si="9"/>
        <v/>
      </c>
      <c r="Y90" s="222" t="str">
        <f t="shared" si="10"/>
        <v/>
      </c>
      <c r="Z90" s="224" t="str">
        <f t="shared" si="11"/>
        <v> </v>
      </c>
      <c r="AA90" s="244"/>
    </row>
    <row r="91">
      <c r="A91" s="214" t="str">
        <f>IFS($B91=FALSE,"",$B91,VLOOKUP($B91,'PATIENT DATA (072721)'!A:C, 2, 0))</f>
        <v/>
      </c>
      <c r="B91" s="215"/>
      <c r="C91" s="230" t="str">
        <f>IF(COUNTIF('PATIENT DATA (072721)'!A:A, B91)=0, "X","✓")</f>
        <v>X</v>
      </c>
      <c r="D91" s="226" t="str">
        <f>IFS($B91=FALSE,"",$B91,VLOOKUP($B91,'PATIENT DATA (072721)'!A:C, 3, 0))</f>
        <v/>
      </c>
      <c r="E91" s="218">
        <v>44575.0</v>
      </c>
      <c r="F91" s="219" t="str">
        <f>ifs($B91="","",$B91, VLOOKUP($B91&amp;$E91, 'VISIT DATA'!A:O,3,0))</f>
        <v/>
      </c>
      <c r="G91" s="231"/>
      <c r="H91" s="221" t="str">
        <f>ifs($B91="","",$B91, VLOOKUP($B91&amp;$E91, 'VISIT DATA'!$A:$O,13,0))</f>
        <v/>
      </c>
      <c r="I91" s="262" t="str">
        <f>VLOOKUP($B91&amp;$E91,'VISIT DATA'!A:J, 9, FALSE)</f>
        <v>#N/A</v>
      </c>
      <c r="J91" s="223" t="str">
        <f>VLOOKUP(B91&amp;E91,'VISIT DATA'!A:N,10,FALSE)</f>
        <v>#N/A</v>
      </c>
      <c r="K91" s="225"/>
      <c r="L91" s="224"/>
      <c r="M91" s="224"/>
      <c r="N91" s="225"/>
      <c r="O91" s="216" t="str">
        <f t="shared" si="1"/>
        <v>X</v>
      </c>
      <c r="P91" s="226" t="str">
        <f t="shared" si="2"/>
        <v>#N/A</v>
      </c>
      <c r="Q91" s="227" t="str">
        <f t="shared" si="3"/>
        <v>#N/A</v>
      </c>
      <c r="R91" s="228" t="str">
        <f t="shared" si="4"/>
        <v>#N/A</v>
      </c>
      <c r="S91" s="220" t="str">
        <f t="shared" si="5"/>
        <v>#N/A</v>
      </c>
      <c r="T91" s="220" t="str">
        <f t="shared" si="6"/>
        <v>#N/A</v>
      </c>
      <c r="U91" s="221">
        <f t="shared" si="7"/>
        <v>0</v>
      </c>
      <c r="V91" s="229" t="str">
        <f>ifs($N91="",VLOOKUP($B91&amp;$E91,'VISIT DATA'!$A$2:$J100,7,FALSE), $N91="SWAB","OUTSA-RW",$N91="SWQU","OUTSA-SaQu", AND($L91="X",$M91="X",$N91="QUEST"),"OUT-UAQPre",$N91="QUEST","OUT-UAQ", $N91="Walk in","ColUATele")</f>
        <v>#N/A</v>
      </c>
      <c r="W91" s="24" t="str">
        <f t="shared" si="8"/>
        <v>#N/A</v>
      </c>
      <c r="X91" s="222" t="str">
        <f t="shared" si="9"/>
        <v/>
      </c>
      <c r="Y91" s="222" t="str">
        <f t="shared" si="10"/>
        <v/>
      </c>
      <c r="Z91" s="224" t="str">
        <f t="shared" si="11"/>
        <v> </v>
      </c>
      <c r="AA91" s="244"/>
    </row>
    <row r="92">
      <c r="A92" s="214" t="str">
        <f>IFS($B92=FALSE,"",$B92,VLOOKUP($B92,'PATIENT DATA (072721)'!A:C, 2, 0))</f>
        <v/>
      </c>
      <c r="B92" s="215"/>
      <c r="C92" s="230" t="str">
        <f>IF(COUNTIF('PATIENT DATA (072721)'!A:A, B92)=0, "X","✓")</f>
        <v>X</v>
      </c>
      <c r="D92" s="226" t="str">
        <f>IFS($B92=FALSE,"",$B92,VLOOKUP($B92,'PATIENT DATA (072721)'!A:C, 3, 0))</f>
        <v/>
      </c>
      <c r="E92" s="218">
        <v>44575.0</v>
      </c>
      <c r="F92" s="219" t="str">
        <f>ifs($B92="","",$B92, VLOOKUP($B92&amp;$E92, 'VISIT DATA'!A:O,3,0))</f>
        <v/>
      </c>
      <c r="G92" s="231"/>
      <c r="H92" s="221" t="str">
        <f>ifs($B92="","",$B92, VLOOKUP($B92&amp;$E92, 'VISIT DATA'!$A:$O,13,0))</f>
        <v/>
      </c>
      <c r="I92" s="262" t="str">
        <f>VLOOKUP($B92&amp;$E92,'VISIT DATA'!A:J, 9, FALSE)</f>
        <v>#N/A</v>
      </c>
      <c r="J92" s="223" t="str">
        <f>VLOOKUP(B92&amp;E92,'VISIT DATA'!A:N,10,FALSE)</f>
        <v>#N/A</v>
      </c>
      <c r="K92" s="225"/>
      <c r="L92" s="224"/>
      <c r="M92" s="224"/>
      <c r="N92" s="225"/>
      <c r="O92" s="216" t="str">
        <f t="shared" si="1"/>
        <v>X</v>
      </c>
      <c r="P92" s="226" t="str">
        <f t="shared" si="2"/>
        <v>#N/A</v>
      </c>
      <c r="Q92" s="227" t="str">
        <f t="shared" si="3"/>
        <v>#N/A</v>
      </c>
      <c r="R92" s="228" t="str">
        <f t="shared" si="4"/>
        <v>#N/A</v>
      </c>
      <c r="S92" s="220" t="str">
        <f t="shared" si="5"/>
        <v>#N/A</v>
      </c>
      <c r="T92" s="220" t="str">
        <f t="shared" si="6"/>
        <v>#N/A</v>
      </c>
      <c r="U92" s="221">
        <f t="shared" si="7"/>
        <v>0</v>
      </c>
      <c r="V92" s="229" t="str">
        <f>ifs($N92="",VLOOKUP($B92&amp;$E92,'VISIT DATA'!$A$2:$J100,7,FALSE), $N92="SWAB","OUTSA-RW",$N92="SWQU","OUTSA-SaQu", AND($L92="X",$M92="X",$N92="QUEST"),"OUT-UAQPre",$N92="QUEST","OUT-UAQ", $N92="Walk in","ColUATele")</f>
        <v>#N/A</v>
      </c>
      <c r="W92" s="24" t="str">
        <f t="shared" si="8"/>
        <v>#N/A</v>
      </c>
      <c r="X92" s="222" t="str">
        <f t="shared" si="9"/>
        <v/>
      </c>
      <c r="Y92" s="222" t="str">
        <f t="shared" si="10"/>
        <v/>
      </c>
      <c r="Z92" s="224" t="str">
        <f t="shared" si="11"/>
        <v> </v>
      </c>
      <c r="AA92" s="244"/>
    </row>
    <row r="93">
      <c r="A93" s="214" t="str">
        <f>IFS($B93=FALSE,"",$B93,VLOOKUP($B93,'PATIENT DATA (072721)'!A:C, 2, 0))</f>
        <v/>
      </c>
      <c r="B93" s="215"/>
      <c r="C93" s="230" t="str">
        <f>IF(COUNTIF('PATIENT DATA (072721)'!A:A, B93)=0, "X","✓")</f>
        <v>X</v>
      </c>
      <c r="D93" s="226" t="str">
        <f>IFS($B93=FALSE,"",$B93,VLOOKUP($B93,'PATIENT DATA (072721)'!A:C, 3, 0))</f>
        <v/>
      </c>
      <c r="E93" s="218">
        <v>44575.0</v>
      </c>
      <c r="F93" s="219" t="str">
        <f>ifs($B93="","",$B93, VLOOKUP($B93&amp;$E93, 'VISIT DATA'!A:O,3,0))</f>
        <v/>
      </c>
      <c r="G93" s="231"/>
      <c r="H93" s="221" t="str">
        <f>ifs($B93="","",$B93, VLOOKUP($B93&amp;$E93, 'VISIT DATA'!$A:$O,13,0))</f>
        <v/>
      </c>
      <c r="I93" s="262" t="str">
        <f>VLOOKUP($B93&amp;$E93,'VISIT DATA'!A:J, 9, FALSE)</f>
        <v>#N/A</v>
      </c>
      <c r="J93" s="223" t="str">
        <f>VLOOKUP(B93&amp;E93,'VISIT DATA'!A:N,10,FALSE)</f>
        <v>#N/A</v>
      </c>
      <c r="K93" s="225"/>
      <c r="L93" s="224"/>
      <c r="M93" s="224"/>
      <c r="N93" s="225"/>
      <c r="O93" s="216" t="str">
        <f t="shared" si="1"/>
        <v>X</v>
      </c>
      <c r="P93" s="226" t="str">
        <f t="shared" si="2"/>
        <v>#N/A</v>
      </c>
      <c r="Q93" s="227" t="str">
        <f t="shared" si="3"/>
        <v>#N/A</v>
      </c>
      <c r="R93" s="228" t="str">
        <f t="shared" si="4"/>
        <v>#N/A</v>
      </c>
      <c r="S93" s="220" t="str">
        <f t="shared" si="5"/>
        <v>#N/A</v>
      </c>
      <c r="T93" s="220" t="str">
        <f t="shared" si="6"/>
        <v>#N/A</v>
      </c>
      <c r="U93" s="221">
        <f t="shared" si="7"/>
        <v>0</v>
      </c>
      <c r="V93" s="229" t="str">
        <f>ifs($N93="",VLOOKUP($B93&amp;$E93,'VISIT DATA'!$A$2:$J100,7,FALSE), $N93="SWAB","OUTSA-RW",$N93="SWQU","OUTSA-SaQu", AND($L93="X",$M93="X",$N93="QUEST"),"OUT-UAQPre",$N93="QUEST","OUT-UAQ", $N93="Walk in","ColUATele")</f>
        <v>#N/A</v>
      </c>
      <c r="W93" s="24" t="str">
        <f t="shared" si="8"/>
        <v>#N/A</v>
      </c>
      <c r="X93" s="222" t="str">
        <f t="shared" si="9"/>
        <v/>
      </c>
      <c r="Y93" s="222" t="str">
        <f t="shared" si="10"/>
        <v/>
      </c>
      <c r="Z93" s="224" t="str">
        <f t="shared" si="11"/>
        <v> </v>
      </c>
      <c r="AA93" s="244"/>
    </row>
    <row r="94">
      <c r="A94" s="214" t="str">
        <f>IFS($B94=FALSE,"",$B94,VLOOKUP($B94,'PATIENT DATA (072721)'!A:C, 2, 0))</f>
        <v/>
      </c>
      <c r="B94" s="215"/>
      <c r="C94" s="230" t="str">
        <f>IF(COUNTIF('PATIENT DATA (072721)'!A:A, B94)=0, "X","✓")</f>
        <v>X</v>
      </c>
      <c r="D94" s="226" t="str">
        <f>IFS($B94=FALSE,"",$B94,VLOOKUP($B94,'PATIENT DATA (072721)'!A:C, 3, 0))</f>
        <v/>
      </c>
      <c r="E94" s="218">
        <v>44575.0</v>
      </c>
      <c r="F94" s="219" t="str">
        <f>ifs($B94="","",$B94, VLOOKUP($B94&amp;$E94, 'VISIT DATA'!A:O,3,0))</f>
        <v/>
      </c>
      <c r="G94" s="231"/>
      <c r="H94" s="221" t="str">
        <f>ifs($B94="","",$B94, VLOOKUP($B94&amp;$E94, 'VISIT DATA'!$A:$O,13,0))</f>
        <v/>
      </c>
      <c r="I94" s="262" t="str">
        <f>VLOOKUP($B94&amp;$E94,'VISIT DATA'!A:J, 9, FALSE)</f>
        <v>#N/A</v>
      </c>
      <c r="J94" s="223" t="str">
        <f>VLOOKUP(B94&amp;E94,'VISIT DATA'!A:N,10,FALSE)</f>
        <v>#N/A</v>
      </c>
      <c r="K94" s="225"/>
      <c r="L94" s="224"/>
      <c r="M94" s="224"/>
      <c r="N94" s="225"/>
      <c r="O94" s="216" t="str">
        <f t="shared" si="1"/>
        <v>X</v>
      </c>
      <c r="P94" s="226" t="str">
        <f t="shared" si="2"/>
        <v>#N/A</v>
      </c>
      <c r="Q94" s="227" t="str">
        <f t="shared" si="3"/>
        <v>#N/A</v>
      </c>
      <c r="R94" s="228" t="str">
        <f t="shared" si="4"/>
        <v>#N/A</v>
      </c>
      <c r="S94" s="220" t="str">
        <f t="shared" si="5"/>
        <v>#N/A</v>
      </c>
      <c r="T94" s="220" t="str">
        <f t="shared" si="6"/>
        <v>#N/A</v>
      </c>
      <c r="U94" s="221">
        <f t="shared" si="7"/>
        <v>0</v>
      </c>
      <c r="V94" s="229" t="str">
        <f>ifs($N94="",VLOOKUP($B94&amp;$E94,'VISIT DATA'!$A$2:$J100,7,FALSE), $N94="SWAB","OUTSA-RW",$N94="SWQU","OUTSA-SaQu", AND($L94="X",$M94="X",$N94="QUEST"),"OUT-UAQPre",$N94="QUEST","OUT-UAQ", $N94="Walk in","ColUATele")</f>
        <v>#N/A</v>
      </c>
      <c r="W94" s="24" t="str">
        <f t="shared" si="8"/>
        <v>#N/A</v>
      </c>
      <c r="X94" s="222" t="str">
        <f t="shared" si="9"/>
        <v/>
      </c>
      <c r="Y94" s="222" t="str">
        <f t="shared" si="10"/>
        <v/>
      </c>
      <c r="Z94" s="224" t="str">
        <f t="shared" si="11"/>
        <v> </v>
      </c>
      <c r="AA94" s="244"/>
    </row>
    <row r="95">
      <c r="A95" s="214" t="str">
        <f>IFS($B95=FALSE,"",$B95,VLOOKUP($B95,'PATIENT DATA (072721)'!A:C, 2, 0))</f>
        <v/>
      </c>
      <c r="B95" s="215"/>
      <c r="C95" s="230" t="str">
        <f>IF(COUNTIF('PATIENT DATA (072721)'!A:A, B95)=0, "X","✓")</f>
        <v>X</v>
      </c>
      <c r="D95" s="226" t="str">
        <f>IFS($B95=FALSE,"",$B95,VLOOKUP($B95,'PATIENT DATA (072721)'!A:C, 3, 0))</f>
        <v/>
      </c>
      <c r="E95" s="218">
        <v>44575.0</v>
      </c>
      <c r="F95" s="219" t="str">
        <f>ifs($B95="","",$B95, VLOOKUP($B95&amp;$E95, 'VISIT DATA'!A:O,3,0))</f>
        <v/>
      </c>
      <c r="G95" s="231"/>
      <c r="H95" s="221" t="str">
        <f>ifs($B95="","",$B95, VLOOKUP($B95&amp;$E95, 'VISIT DATA'!$A:$O,13,0))</f>
        <v/>
      </c>
      <c r="I95" s="262" t="str">
        <f>VLOOKUP($B95&amp;$E95,'VISIT DATA'!A:J, 9, FALSE)</f>
        <v>#N/A</v>
      </c>
      <c r="J95" s="223" t="str">
        <f>VLOOKUP(B95&amp;E95,'VISIT DATA'!A:N,10,FALSE)</f>
        <v>#N/A</v>
      </c>
      <c r="K95" s="225"/>
      <c r="L95" s="224"/>
      <c r="M95" s="224"/>
      <c r="N95" s="225"/>
      <c r="O95" s="216" t="str">
        <f t="shared" si="1"/>
        <v>X</v>
      </c>
      <c r="P95" s="226" t="str">
        <f t="shared" si="2"/>
        <v>#N/A</v>
      </c>
      <c r="Q95" s="227" t="str">
        <f t="shared" si="3"/>
        <v>#N/A</v>
      </c>
      <c r="R95" s="228" t="str">
        <f t="shared" si="4"/>
        <v>#N/A</v>
      </c>
      <c r="S95" s="220" t="str">
        <f t="shared" si="5"/>
        <v>#N/A</v>
      </c>
      <c r="T95" s="220" t="str">
        <f t="shared" si="6"/>
        <v>#N/A</v>
      </c>
      <c r="U95" s="221">
        <f t="shared" si="7"/>
        <v>0</v>
      </c>
      <c r="V95" s="229" t="str">
        <f>ifs($N95="",VLOOKUP($B95&amp;$E95,'VISIT DATA'!$A$2:$J100,7,FALSE), $N95="SWAB","OUTSA-RW",$N95="SWQU","OUTSA-SaQu", AND($L95="X",$M95="X",$N95="QUEST"),"OUT-UAQPre",$N95="QUEST","OUT-UAQ", $N95="Walk in","ColUATele")</f>
        <v>#N/A</v>
      </c>
      <c r="W95" s="24" t="str">
        <f t="shared" si="8"/>
        <v>#N/A</v>
      </c>
      <c r="X95" s="222" t="str">
        <f t="shared" si="9"/>
        <v/>
      </c>
      <c r="Y95" s="222" t="str">
        <f t="shared" si="10"/>
        <v/>
      </c>
      <c r="Z95" s="224" t="str">
        <f t="shared" si="11"/>
        <v> </v>
      </c>
      <c r="AA95" s="244"/>
    </row>
    <row r="96">
      <c r="A96" s="214" t="str">
        <f>IFS($B96=FALSE,"",$B96,VLOOKUP($B96,'PATIENT DATA (072721)'!A:C, 2, 0))</f>
        <v/>
      </c>
      <c r="B96" s="215"/>
      <c r="C96" s="230" t="str">
        <f>IF(COUNTIF('PATIENT DATA (072721)'!A:A, B96)=0, "X","✓")</f>
        <v>X</v>
      </c>
      <c r="D96" s="226" t="str">
        <f>IFS($B96=FALSE,"",$B96,VLOOKUP($B96,'PATIENT DATA (072721)'!A:C, 3, 0))</f>
        <v/>
      </c>
      <c r="E96" s="218">
        <v>44575.0</v>
      </c>
      <c r="F96" s="219" t="str">
        <f>ifs($B96="","",$B96, VLOOKUP($B96&amp;$E96, 'VISIT DATA'!A:O,3,0))</f>
        <v/>
      </c>
      <c r="G96" s="231"/>
      <c r="H96" s="221" t="str">
        <f>ifs($B96="","",$B96, VLOOKUP($B96&amp;$E96, 'VISIT DATA'!$A:$O,13,0))</f>
        <v/>
      </c>
      <c r="I96" s="262" t="str">
        <f>VLOOKUP($B96&amp;$E96,'VISIT DATA'!A:J, 9, FALSE)</f>
        <v>#N/A</v>
      </c>
      <c r="J96" s="223" t="str">
        <f>VLOOKUP(B96&amp;E96,'VISIT DATA'!A:N,10,FALSE)</f>
        <v>#N/A</v>
      </c>
      <c r="K96" s="225"/>
      <c r="L96" s="224"/>
      <c r="M96" s="224"/>
      <c r="N96" s="225"/>
      <c r="O96" s="216" t="str">
        <f t="shared" si="1"/>
        <v>X</v>
      </c>
      <c r="P96" s="226" t="str">
        <f t="shared" si="2"/>
        <v>#N/A</v>
      </c>
      <c r="Q96" s="227" t="str">
        <f t="shared" si="3"/>
        <v>#N/A</v>
      </c>
      <c r="R96" s="228" t="str">
        <f t="shared" si="4"/>
        <v>#N/A</v>
      </c>
      <c r="S96" s="220" t="str">
        <f t="shared" si="5"/>
        <v>#N/A</v>
      </c>
      <c r="T96" s="220" t="str">
        <f t="shared" si="6"/>
        <v>#N/A</v>
      </c>
      <c r="U96" s="221">
        <f t="shared" si="7"/>
        <v>0</v>
      </c>
      <c r="V96" s="229" t="str">
        <f>ifs($N96="",VLOOKUP($B96&amp;$E96,'VISIT DATA'!$A$2:$J100,7,FALSE), $N96="SWAB","OUTSA-RW",$N96="SWQU","OUTSA-SaQu", AND($L96="X",$M96="X",$N96="QUEST"),"OUT-UAQPre",$N96="QUEST","OUT-UAQ", $N96="Walk in","ColUATele")</f>
        <v>#N/A</v>
      </c>
      <c r="W96" s="24" t="str">
        <f t="shared" si="8"/>
        <v>#N/A</v>
      </c>
      <c r="X96" s="222" t="str">
        <f t="shared" si="9"/>
        <v/>
      </c>
      <c r="Y96" s="222" t="str">
        <f t="shared" si="10"/>
        <v/>
      </c>
      <c r="Z96" s="224" t="str">
        <f t="shared" si="11"/>
        <v> </v>
      </c>
      <c r="AA96" s="244"/>
    </row>
    <row r="97">
      <c r="A97" s="214" t="str">
        <f>IFS($B97=FALSE,"",$B97,VLOOKUP($B97,'PATIENT DATA (072721)'!A:C, 2, 0))</f>
        <v/>
      </c>
      <c r="B97" s="215"/>
      <c r="C97" s="230" t="str">
        <f>IF(COUNTIF('PATIENT DATA (072721)'!A:A, B97)=0, "X","✓")</f>
        <v>X</v>
      </c>
      <c r="D97" s="226" t="str">
        <f>IFS($B97=FALSE,"",$B97,VLOOKUP($B97,'PATIENT DATA (072721)'!A:C, 3, 0))</f>
        <v/>
      </c>
      <c r="E97" s="218">
        <v>44575.0</v>
      </c>
      <c r="F97" s="219" t="str">
        <f>ifs($B97="","",$B97, VLOOKUP($B97&amp;$E97, 'VISIT DATA'!A:O,3,0))</f>
        <v/>
      </c>
      <c r="G97" s="231"/>
      <c r="H97" s="221" t="str">
        <f>ifs($B97="","",$B97, VLOOKUP($B97&amp;$E97, 'VISIT DATA'!$A:$O,13,0))</f>
        <v/>
      </c>
      <c r="I97" s="262" t="str">
        <f>VLOOKUP($B97&amp;$E97,'VISIT DATA'!A:J, 9, FALSE)</f>
        <v>#N/A</v>
      </c>
      <c r="J97" s="223" t="str">
        <f>VLOOKUP(B97&amp;E97,'VISIT DATA'!A:N,10,FALSE)</f>
        <v>#N/A</v>
      </c>
      <c r="K97" s="225"/>
      <c r="L97" s="224"/>
      <c r="M97" s="224"/>
      <c r="N97" s="225"/>
      <c r="O97" s="216" t="str">
        <f t="shared" si="1"/>
        <v>X</v>
      </c>
      <c r="P97" s="226" t="str">
        <f t="shared" si="2"/>
        <v>#N/A</v>
      </c>
      <c r="Q97" s="227" t="str">
        <f t="shared" si="3"/>
        <v>#N/A</v>
      </c>
      <c r="R97" s="228" t="str">
        <f t="shared" si="4"/>
        <v>#N/A</v>
      </c>
      <c r="S97" s="220" t="str">
        <f t="shared" si="5"/>
        <v>#N/A</v>
      </c>
      <c r="T97" s="220" t="str">
        <f t="shared" si="6"/>
        <v>#N/A</v>
      </c>
      <c r="U97" s="221">
        <f t="shared" si="7"/>
        <v>0</v>
      </c>
      <c r="V97" s="229" t="str">
        <f>ifs($N97="",VLOOKUP($B97&amp;$E97,'VISIT DATA'!$A$2:$J100,7,FALSE), $N97="SWAB","OUTSA-RW",$N97="SWQU","OUTSA-SaQu", AND($L97="X",$M97="X",$N97="QUEST"),"OUT-UAQPre",$N97="QUEST","OUT-UAQ", $N97="Walk in","ColUATele")</f>
        <v>#N/A</v>
      </c>
      <c r="W97" s="24" t="str">
        <f t="shared" si="8"/>
        <v>#N/A</v>
      </c>
      <c r="X97" s="222" t="str">
        <f t="shared" si="9"/>
        <v/>
      </c>
      <c r="Y97" s="222" t="str">
        <f t="shared" si="10"/>
        <v/>
      </c>
      <c r="Z97" s="224" t="str">
        <f t="shared" si="11"/>
        <v> </v>
      </c>
      <c r="AA97" s="244"/>
    </row>
    <row r="98">
      <c r="A98" s="214" t="str">
        <f>IFS($B98=FALSE,"",$B98,VLOOKUP($B98,'PATIENT DATA (072721)'!A:C, 2, 0))</f>
        <v/>
      </c>
      <c r="B98" s="215"/>
      <c r="C98" s="230" t="str">
        <f>IF(COUNTIF('PATIENT DATA (072721)'!A:A, B98)=0, "X","✓")</f>
        <v>X</v>
      </c>
      <c r="D98" s="226" t="str">
        <f>IFS($B98=FALSE,"",$B98,VLOOKUP($B98,'PATIENT DATA (072721)'!A:C, 3, 0))</f>
        <v/>
      </c>
      <c r="E98" s="218">
        <v>44575.0</v>
      </c>
      <c r="F98" s="219" t="str">
        <f>ifs($B98="","",$B98, VLOOKUP($B98&amp;$E98, 'VISIT DATA'!A:O,3,0))</f>
        <v/>
      </c>
      <c r="G98" s="231"/>
      <c r="H98" s="221" t="str">
        <f>ifs($B98="","",$B98, VLOOKUP($B98&amp;$E98, 'VISIT DATA'!$A:$O,13,0))</f>
        <v/>
      </c>
      <c r="I98" s="262" t="str">
        <f>VLOOKUP($B98&amp;$E98,'VISIT DATA'!A:J, 9, FALSE)</f>
        <v>#N/A</v>
      </c>
      <c r="J98" s="223" t="str">
        <f>VLOOKUP(B98&amp;E98,'VISIT DATA'!A:N,10,FALSE)</f>
        <v>#N/A</v>
      </c>
      <c r="K98" s="225"/>
      <c r="L98" s="224"/>
      <c r="M98" s="224"/>
      <c r="N98" s="225"/>
      <c r="O98" s="216" t="str">
        <f t="shared" si="1"/>
        <v>X</v>
      </c>
      <c r="P98" s="226" t="str">
        <f t="shared" si="2"/>
        <v>#N/A</v>
      </c>
      <c r="Q98" s="227" t="str">
        <f t="shared" si="3"/>
        <v>#N/A</v>
      </c>
      <c r="R98" s="228" t="str">
        <f t="shared" si="4"/>
        <v>#N/A</v>
      </c>
      <c r="S98" s="220" t="str">
        <f t="shared" si="5"/>
        <v>#N/A</v>
      </c>
      <c r="T98" s="220" t="str">
        <f t="shared" si="6"/>
        <v>#N/A</v>
      </c>
      <c r="U98" s="221">
        <f t="shared" si="7"/>
        <v>0</v>
      </c>
      <c r="V98" s="229" t="str">
        <f>ifs($N98="",VLOOKUP($B98&amp;$E98,'VISIT DATA'!$A$2:$J100,7,FALSE), $N98="SWAB","OUTSA-RW",$N98="SWQU","OUTSA-SaQu", AND($L98="X",$M98="X",$N98="QUEST"),"OUT-UAQPre",$N98="QUEST","OUT-UAQ", $N98="Walk in","ColUATele")</f>
        <v>#N/A</v>
      </c>
      <c r="W98" s="24" t="str">
        <f t="shared" si="8"/>
        <v>#N/A</v>
      </c>
      <c r="X98" s="222" t="str">
        <f t="shared" si="9"/>
        <v/>
      </c>
      <c r="Y98" s="222" t="str">
        <f t="shared" si="10"/>
        <v/>
      </c>
      <c r="Z98" s="224" t="str">
        <f t="shared" si="11"/>
        <v> </v>
      </c>
      <c r="AA98" s="244"/>
    </row>
    <row r="99">
      <c r="A99" s="214" t="str">
        <f>IFS($B99=FALSE,"",$B99,VLOOKUP($B99,'PATIENT DATA (072721)'!A:C, 2, 0))</f>
        <v/>
      </c>
      <c r="B99" s="215"/>
      <c r="C99" s="230" t="str">
        <f>IF(COUNTIF('PATIENT DATA (072721)'!A:A, B99)=0, "X","✓")</f>
        <v>X</v>
      </c>
      <c r="D99" s="226" t="str">
        <f>IFS($B99=FALSE,"",$B99,VLOOKUP($B99,'PATIENT DATA (072721)'!A:C, 3, 0))</f>
        <v/>
      </c>
      <c r="E99" s="218">
        <v>44575.0</v>
      </c>
      <c r="F99" s="219" t="str">
        <f>ifs($B99="","",$B99, VLOOKUP($B99&amp;$E99, 'VISIT DATA'!A:O,3,0))</f>
        <v/>
      </c>
      <c r="G99" s="231"/>
      <c r="H99" s="221" t="str">
        <f>ifs($B99="","",$B99, VLOOKUP($B99&amp;$E99, 'VISIT DATA'!$A:$O,13,0))</f>
        <v/>
      </c>
      <c r="I99" s="262" t="str">
        <f>VLOOKUP($B99&amp;$E99,'VISIT DATA'!A:J, 9, FALSE)</f>
        <v>#N/A</v>
      </c>
      <c r="J99" s="223" t="str">
        <f>VLOOKUP(B99&amp;E99,'VISIT DATA'!A:N,10,FALSE)</f>
        <v>#N/A</v>
      </c>
      <c r="K99" s="225"/>
      <c r="L99" s="224"/>
      <c r="M99" s="224"/>
      <c r="N99" s="225"/>
      <c r="O99" s="216" t="str">
        <f t="shared" si="1"/>
        <v>X</v>
      </c>
      <c r="P99" s="226" t="str">
        <f t="shared" si="2"/>
        <v>#N/A</v>
      </c>
      <c r="Q99" s="227" t="str">
        <f t="shared" si="3"/>
        <v>#N/A</v>
      </c>
      <c r="R99" s="228" t="str">
        <f t="shared" si="4"/>
        <v>#N/A</v>
      </c>
      <c r="S99" s="220" t="str">
        <f t="shared" si="5"/>
        <v>#N/A</v>
      </c>
      <c r="T99" s="220" t="str">
        <f t="shared" si="6"/>
        <v>#N/A</v>
      </c>
      <c r="U99" s="221">
        <f t="shared" si="7"/>
        <v>0</v>
      </c>
      <c r="V99" s="229" t="str">
        <f>ifs($N99="",VLOOKUP($B99&amp;$E99,'VISIT DATA'!$A$2:$J100,7,FALSE), $N99="SWAB","OUTSA-RW",$N99="SWQU","OUTSA-SaQu", AND($L99="X",$M99="X",$N99="QUEST"),"OUT-UAQPre",$N99="QUEST","OUT-UAQ", $N99="Walk in","ColUATele")</f>
        <v>#N/A</v>
      </c>
      <c r="W99" s="24" t="str">
        <f t="shared" si="8"/>
        <v>#N/A</v>
      </c>
      <c r="X99" s="222" t="str">
        <f t="shared" si="9"/>
        <v/>
      </c>
      <c r="Y99" s="222" t="str">
        <f t="shared" si="10"/>
        <v/>
      </c>
      <c r="Z99" s="224" t="str">
        <f t="shared" si="11"/>
        <v> </v>
      </c>
      <c r="AA99" s="244"/>
    </row>
    <row r="100">
      <c r="A100" s="232"/>
      <c r="B100" s="232"/>
      <c r="C100" s="232"/>
      <c r="D100" s="232"/>
      <c r="E100" s="263"/>
      <c r="F100" s="234"/>
      <c r="G100" s="232"/>
      <c r="H100" s="235"/>
      <c r="I100" s="232"/>
      <c r="J100" s="232"/>
      <c r="K100" s="236" t="s">
        <v>6333</v>
      </c>
      <c r="L100" s="237">
        <f>COUNTIFS(K1:L80, "X")</f>
        <v>30</v>
      </c>
      <c r="M100" s="236" t="s">
        <v>6334</v>
      </c>
      <c r="N100" s="237">
        <f>COUNTIFS(M1:M80, "X")</f>
        <v>13</v>
      </c>
      <c r="O100" s="238"/>
      <c r="P100" s="238"/>
      <c r="Q100" s="238"/>
      <c r="R100" s="238"/>
      <c r="S100" s="238"/>
      <c r="T100" s="238"/>
      <c r="U100" s="238"/>
      <c r="V100" s="239"/>
      <c r="W100" s="238"/>
      <c r="X100" s="238"/>
      <c r="Y100" s="238"/>
      <c r="Z100" s="238"/>
      <c r="AA100" s="238"/>
    </row>
  </sheetData>
  <autoFilter ref="$A$1:$AA$100"/>
  <customSheetViews>
    <customSheetView guid="{20F5F3BA-172D-4727-943D-E296FD1F3EFA}" filter="1" showAutoFilter="1">
      <autoFilter ref="$A$1:$AA$100"/>
    </customSheetView>
  </customSheetViews>
  <conditionalFormatting sqref="A1:X100">
    <cfRule type="expression" dxfId="5" priority="1">
      <formula>$X1="ERROR"</formula>
    </cfRule>
  </conditionalFormatting>
  <conditionalFormatting sqref="A1:Z99">
    <cfRule type="expression" dxfId="5" priority="2">
      <formula>$Y1="NO MATCH"</formula>
    </cfRule>
  </conditionalFormatting>
  <conditionalFormatting sqref="C2:C99 O2:O99">
    <cfRule type="containsText" dxfId="5" priority="3" operator="containsText" text="X">
      <formula>NOT(ISERROR(SEARCH(("X"),(C2))))</formula>
    </cfRule>
  </conditionalFormatting>
  <conditionalFormatting sqref="A1:Z99">
    <cfRule type="expression" dxfId="4" priority="4">
      <formula>$Z1="Repeat"</formula>
    </cfRule>
  </conditionalFormatting>
  <conditionalFormatting sqref="V2:V99">
    <cfRule type="expression" dxfId="10" priority="5">
      <formula>$N2="QUEST"</formula>
    </cfRule>
  </conditionalFormatting>
  <conditionalFormatting sqref="C2:C99 O2:O99">
    <cfRule type="containsText" dxfId="10" priority="6" operator="containsText" text="✓">
      <formula>NOT(ISERROR(SEARCH(("✓"),(C2))))</formula>
    </cfRule>
  </conditionalFormatting>
  <conditionalFormatting sqref="A1:U99">
    <cfRule type="expression" dxfId="20" priority="7">
      <formula>$J1="MOLINA DUAL COMPLETE NEW MEXICO"</formula>
    </cfRule>
  </conditionalFormatting>
  <conditionalFormatting sqref="A1:U99">
    <cfRule type="expression" dxfId="20" priority="8">
      <formula>$J1="MOLINA DUAL COMPLETE TEXAS"</formula>
    </cfRule>
  </conditionalFormatting>
  <conditionalFormatting sqref="A1:U99">
    <cfRule type="expression" dxfId="20" priority="9">
      <formula>$J1="MOLINA MARKETPLACE TEXAS"</formula>
    </cfRule>
  </conditionalFormatting>
  <conditionalFormatting sqref="K1:K99">
    <cfRule type="containsText" dxfId="6" priority="10" operator="containsText" text="x">
      <formula>NOT(ISERROR(SEARCH(("x"),(K1))))</formula>
    </cfRule>
  </conditionalFormatting>
  <conditionalFormatting sqref="M1:M99">
    <cfRule type="containsText" dxfId="21" priority="11" operator="containsText" text="X">
      <formula>NOT(ISERROR(SEARCH(("X"),(M1))))</formula>
    </cfRule>
  </conditionalFormatting>
  <conditionalFormatting sqref="L1:L99">
    <cfRule type="containsText" dxfId="22" priority="12" operator="containsText" text="X">
      <formula>NOT(ISERROR(SEARCH(("X"),(L1))))</formula>
    </cfRule>
  </conditionalFormatting>
  <conditionalFormatting sqref="C1:C99 O1:O99">
    <cfRule type="containsBlanks" dxfId="23" priority="13">
      <formula>LEN(TRIM(C1))=0</formula>
    </cfRule>
  </conditionalFormatting>
  <conditionalFormatting sqref="J1:J99 N1:O1 Z1">
    <cfRule type="containsText" dxfId="24" priority="14" operator="containsText" text="Molina">
      <formula>NOT(ISERROR(SEARCH(("Molina"),(J1))))</formula>
    </cfRule>
  </conditionalFormatting>
  <conditionalFormatting sqref="K1:M99">
    <cfRule type="containsBlanks" dxfId="25" priority="15">
      <formula>LEN(TRIM(K1))=0</formula>
    </cfRule>
  </conditionalFormatting>
  <conditionalFormatting sqref="O1:O99 A2:N99 P2:Z99">
    <cfRule type="expression" dxfId="10" priority="16">
      <formula>$N1="SWAB"</formula>
    </cfRule>
  </conditionalFormatting>
  <conditionalFormatting sqref="J1:J99">
    <cfRule type="containsText" dxfId="5" priority="17" operator="containsText" text="Self Pay">
      <formula>NOT(ISERROR(SEARCH(("Self Pay"),(J1))))</formula>
    </cfRule>
  </conditionalFormatting>
  <conditionalFormatting sqref="J1:J99">
    <cfRule type="containsText" dxfId="5" priority="18" operator="containsText" text="Self-Pay">
      <formula>NOT(ISERROR(SEARCH(("Self-Pay"),(J1))))</formula>
    </cfRule>
  </conditionalFormatting>
  <conditionalFormatting sqref="J1:J99">
    <cfRule type="containsText" dxfId="5" priority="19" operator="containsText" text="Third Party">
      <formula>NOT(ISERROR(SEARCH(("Third Party"),(J1))))</formula>
    </cfRule>
  </conditionalFormatting>
  <conditionalFormatting sqref="A1:U99">
    <cfRule type="expression" dxfId="26" priority="20">
      <formula>$J1="SUPERIOR HEALTH PLAN"</formula>
    </cfRule>
  </conditionalFormatting>
  <conditionalFormatting sqref="A1:U99">
    <cfRule type="expression" dxfId="26" priority="21">
      <formula>$J1="AMBETTER - SUPERIOR"</formula>
    </cfRule>
  </conditionalFormatting>
  <conditionalFormatting sqref="A1:U99">
    <cfRule type="expression" dxfId="19" priority="22">
      <formula>$J1="Wellmed - Humana"</formula>
    </cfRule>
  </conditionalFormatting>
  <conditionalFormatting sqref="A1:U99">
    <cfRule type="expression" dxfId="19" priority="23">
      <formula>$J1="WELLMED - AARP MEDICARE COMPLETE"</formula>
    </cfRule>
  </conditionalFormatting>
  <conditionalFormatting sqref="A1:U99">
    <cfRule type="expression" dxfId="19" priority="24">
      <formula>$J1="WELLMED - AMERIVANTAGE"</formula>
    </cfRule>
  </conditionalFormatting>
  <conditionalFormatting sqref="A1:U99">
    <cfRule type="expression" dxfId="19" priority="25">
      <formula>$J1="WELLMED - CIGNA HEALTHSPRING"</formula>
    </cfRule>
  </conditionalFormatting>
  <conditionalFormatting sqref="A1:U99">
    <cfRule type="expression" dxfId="19" priority="26">
      <formula>$J1="WELLMED - UHC CHRONIC COMPLETE HMO C-SNP"</formula>
    </cfRule>
  </conditionalFormatting>
  <conditionalFormatting sqref="A1:U99">
    <cfRule type="expression" dxfId="19" priority="27">
      <formula>$J1="WELLMED - UHC DUAL COMPLETE HMO SNP"</formula>
    </cfRule>
  </conditionalFormatting>
  <conditionalFormatting sqref="A1:U99">
    <cfRule type="expression" dxfId="19" priority="28">
      <formula>$J1="WELLMED - UHC DUAL COMPLETE SNP"</formula>
    </cfRule>
  </conditionalFormatting>
  <conditionalFormatting sqref="A1:U99">
    <cfRule type="expression" dxfId="20" priority="29">
      <formula>$J1="MOLINA DUAL COMPLETE NEW MEXICO"</formula>
    </cfRule>
  </conditionalFormatting>
  <conditionalFormatting sqref="A1:U99">
    <cfRule type="expression" dxfId="20" priority="30">
      <formula>$J1="MOLINA DUAL COMPLETE TEXAS"</formula>
    </cfRule>
  </conditionalFormatting>
  <conditionalFormatting sqref="A1:U99">
    <cfRule type="expression" dxfId="20" priority="31">
      <formula>$J1="MOLINA MARKETPLACE TEXAS"</formula>
    </cfRule>
  </conditionalFormatting>
  <conditionalFormatting sqref="A1:U99">
    <cfRule type="expression" dxfId="20" priority="32">
      <formula>$J1="MOLINA MEDICAID TEXAS"</formula>
    </cfRule>
  </conditionalFormatting>
  <conditionalFormatting sqref="A1:U99">
    <cfRule type="expression" dxfId="27" priority="33">
      <formula>$J1="HUMANA OPEN ACCESS PLAN"</formula>
    </cfRule>
  </conditionalFormatting>
  <conditionalFormatting sqref="A1:U99">
    <cfRule type="expression" dxfId="28" priority="34">
      <formula>$J1="HUMANA CHOICE CARE"</formula>
    </cfRule>
  </conditionalFormatting>
  <conditionalFormatting sqref="V1:W99">
    <cfRule type="expression" dxfId="11" priority="35">
      <formula>$V1="UA"</formula>
    </cfRule>
  </conditionalFormatting>
  <conditionalFormatting sqref="V1:W99">
    <cfRule type="expression" dxfId="12" priority="36">
      <formula>$V1="OUTUA-PrRW"</formula>
    </cfRule>
  </conditionalFormatting>
  <conditionalFormatting sqref="V1:W99">
    <cfRule type="expression" dxfId="12" priority="37">
      <formula>$V1="OUT-UAQPre"</formula>
    </cfRule>
  </conditionalFormatting>
  <conditionalFormatting sqref="V1:W99">
    <cfRule type="expression" dxfId="13" priority="38">
      <formula>$V1="UA-Prelim"</formula>
    </cfRule>
  </conditionalFormatting>
  <conditionalFormatting sqref="V1:W99">
    <cfRule type="expression" dxfId="6" priority="39">
      <formula>$V1="UA-NWPT"</formula>
    </cfRule>
  </conditionalFormatting>
  <conditionalFormatting sqref="N1:N100 O1:O99">
    <cfRule type="expression" dxfId="5" priority="40">
      <formula>$O1="X"</formula>
    </cfRule>
  </conditionalFormatting>
  <conditionalFormatting sqref="V1:W99">
    <cfRule type="expression" dxfId="10" priority="41">
      <formula>$V1="OUT-UAQ"</formula>
    </cfRule>
  </conditionalFormatting>
  <conditionalFormatting sqref="V1:W99">
    <cfRule type="expression" dxfId="10" priority="42">
      <formula>$V1="OUTUA-FURW"</formula>
    </cfRule>
  </conditionalFormatting>
  <conditionalFormatting sqref="V1:W99">
    <cfRule type="expression" dxfId="14" priority="43">
      <formula>$V1="OUTSA-SaQu"</formula>
    </cfRule>
  </conditionalFormatting>
  <conditionalFormatting sqref="V1:W99">
    <cfRule type="expression" dxfId="14" priority="44">
      <formula>$V1="OUTSA-RW"</formula>
    </cfRule>
  </conditionalFormatting>
  <dataValidations>
    <dataValidation type="list" allowBlank="1" showErrorMessage="1" sqref="H2:H99">
      <formula1>"CH,DA,DC,DM,FA,LM"</formula1>
    </dataValidation>
    <dataValidation type="list" allowBlank="1" showErrorMessage="1" sqref="J2:J99">
      <formula1>Data!$A$2:$A100</formula1>
    </dataValidation>
    <dataValidation type="custom" allowBlank="1" showDropDown="1" showInputMessage="1" showErrorMessage="1" prompt="CAPITALS" sqref="A1:A99">
      <formula1>ISERROR(SEARCH((exact(upper(B:N),B:N)),(A1)))</formula1>
    </dataValidation>
    <dataValidation type="list" allowBlank="1" showErrorMessage="1" sqref="F2:F99">
      <formula1>Data!$B$1:$B$44</formula1>
    </dataValidation>
    <dataValidation type="custom" allowBlank="1" showDropDown="1" showInputMessage="1" showErrorMessage="1" prompt="CAPITALS" sqref="B1:B99">
      <formula1>ISERROR(SEARCH((exact(upper(B:O),B:O)),(B1)))</formula1>
    </dataValidation>
    <dataValidation type="list" allowBlank="1" showErrorMessage="1" sqref="G2:G99">
      <formula1>"F,M"</formula1>
    </dataValidation>
    <dataValidation type="list" allowBlank="1" showErrorMessage="1" sqref="K2:M99">
      <formula1>"X"</formula1>
    </dataValidation>
    <dataValidation type="list" allowBlank="1" showInputMessage="1" showErrorMessage="1" prompt="Click and enter a value from range 'Insurance Data'!C2:C608" sqref="E2:E99">
      <formula1>Data!$C:$C</formula1>
    </dataValidation>
    <dataValidation type="list" allowBlank="1" showErrorMessage="1" sqref="I2:I99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27.29"/>
    <col customWidth="1" min="2" max="2" width="9.29"/>
    <col customWidth="1" min="3" max="3" width="2.14"/>
    <col customWidth="1" min="4" max="4" width="9.71"/>
    <col customWidth="1" min="5" max="5" width="10.71"/>
    <col customWidth="1" min="6" max="6" width="8.14"/>
    <col customWidth="1" min="7" max="7" width="7.43"/>
    <col customWidth="1" min="8" max="8" width="11.14"/>
    <col customWidth="1" min="9" max="9" width="13.0"/>
    <col customWidth="1" min="10" max="10" width="14.14"/>
    <col customWidth="1" min="11" max="11" width="8.0"/>
    <col customWidth="1" min="12" max="12" width="6.71"/>
    <col customWidth="1" min="13" max="13" width="7.57"/>
    <col customWidth="1" min="14" max="14" width="9.86"/>
    <col customWidth="1" min="15" max="15" width="2.14"/>
    <col customWidth="1" hidden="1" min="16" max="20" width="12.57"/>
    <col customWidth="1" hidden="1" min="21" max="21" width="2.14"/>
    <col customWidth="1" min="22" max="22" width="17.71"/>
    <col customWidth="1" hidden="1" min="23" max="24" width="34.57"/>
    <col customWidth="1" hidden="1" min="25" max="25" width="12.14"/>
    <col customWidth="1" hidden="1" min="26" max="26" width="1.57"/>
    <col customWidth="1" min="27" max="27" width="9.57"/>
  </cols>
  <sheetData>
    <row r="1">
      <c r="A1" s="204" t="s">
        <v>24</v>
      </c>
      <c r="B1" s="205" t="s">
        <v>6237</v>
      </c>
      <c r="C1" s="206"/>
      <c r="D1" s="207" t="s">
        <v>25</v>
      </c>
      <c r="E1" s="280" t="s">
        <v>21</v>
      </c>
      <c r="F1" s="208" t="s">
        <v>6077</v>
      </c>
      <c r="G1" s="208" t="s">
        <v>6318</v>
      </c>
      <c r="H1" s="209" t="s">
        <v>2</v>
      </c>
      <c r="I1" s="209" t="s">
        <v>6206</v>
      </c>
      <c r="J1" s="209" t="s">
        <v>6135</v>
      </c>
      <c r="K1" s="208" t="s">
        <v>6353</v>
      </c>
      <c r="L1" s="208" t="s">
        <v>6354</v>
      </c>
      <c r="M1" s="208" t="s">
        <v>6240</v>
      </c>
      <c r="N1" s="210" t="s">
        <v>7</v>
      </c>
      <c r="O1" s="206"/>
      <c r="P1" s="207" t="s">
        <v>6188</v>
      </c>
      <c r="Q1" s="208" t="s">
        <v>6319</v>
      </c>
      <c r="R1" s="208" t="s">
        <v>6132</v>
      </c>
      <c r="S1" s="208" t="s">
        <v>6134</v>
      </c>
      <c r="T1" s="208" t="s">
        <v>6147</v>
      </c>
      <c r="U1" s="211"/>
      <c r="V1" s="212" t="s">
        <v>6320</v>
      </c>
      <c r="W1" s="207"/>
      <c r="X1" s="209"/>
      <c r="Y1" s="208" t="s">
        <v>6321</v>
      </c>
      <c r="Z1" s="213"/>
      <c r="AA1" s="241"/>
    </row>
    <row r="2">
      <c r="A2" s="214" t="str">
        <f>IFS($B2=FALSE,"",$B2,VLOOKUP($B2,'PATIENT DATA (072721)'!A:C, 2, 0))</f>
        <v>MARTINEZ, RUBY S</v>
      </c>
      <c r="B2" s="215">
        <v>15784.0</v>
      </c>
      <c r="C2" s="216" t="str">
        <f>IF(COUNTIF('PATIENT DATA (072721)'!A:A, B2)=0, "X","✓")</f>
        <v>✓</v>
      </c>
      <c r="D2" s="226">
        <f>IFS($B2=FALSE,"",$B2,VLOOKUP($B2,'PATIENT DATA (072721)'!A:C, 3, 0))</f>
        <v>27911</v>
      </c>
      <c r="E2" s="218">
        <v>44576.0</v>
      </c>
      <c r="F2" s="219">
        <f>ifs($B2="","",$B2, VLOOKUP($B2&amp;$E2, 'VISIT DATA'!A:O,3,0))</f>
        <v>0.34375</v>
      </c>
      <c r="G2" s="220" t="s">
        <v>6323</v>
      </c>
      <c r="H2" s="221" t="s">
        <v>15</v>
      </c>
      <c r="I2" s="222" t="str">
        <f>VLOOKUP($B2&amp;$E2,'VISIT DATA'!A:J, 9, FALSE)</f>
        <v>MARTINEZ</v>
      </c>
      <c r="J2" s="223" t="str">
        <f>VLOOKUP(B2&amp;E2,'VISIT DATA'!A:N,10,FALSE)</f>
        <v>WELLMED - UHC DUAL COMPLETE SNP</v>
      </c>
      <c r="K2" s="242"/>
      <c r="L2" s="224" t="s">
        <v>6242</v>
      </c>
      <c r="M2" s="224"/>
      <c r="N2" s="225"/>
      <c r="O2" s="216" t="str">
        <f t="shared" ref="O2:O99" si="1">IF(OR(K2 = "x",L2 = "x",M2 = "x"),"✓", "X")</f>
        <v>✓</v>
      </c>
      <c r="P2" s="226" t="str">
        <f t="shared" ref="P2:P99" si="2">ifs(SEARCH($P$1,$J2)&gt;=1,"X")</f>
        <v>X</v>
      </c>
      <c r="Q2" s="227" t="str">
        <f t="shared" ref="Q2:Q99" si="3">ifs(SEARCH($Q$1,$J2)&gt;=1,"X")</f>
        <v>#VALUE!</v>
      </c>
      <c r="R2" s="228" t="str">
        <f t="shared" ref="R2:R99" si="4">ifs(SEARCH($R$1,$J2)&gt;=1,"X")</f>
        <v>#VALUE!</v>
      </c>
      <c r="S2" s="220" t="str">
        <f t="shared" ref="S2:S99" si="5">ifs(SEARCH($S$1,$J2)&gt;=1,"X")</f>
        <v>#VALUE!</v>
      </c>
      <c r="T2" s="220" t="str">
        <f t="shared" ref="T2:T99" si="6">ifs(SEARCH($T$1,$J2)&gt;=1,"X")</f>
        <v>#VALUE!</v>
      </c>
      <c r="U2" s="221">
        <f t="shared" ref="U2:U99" si="7">countif($P2:$T2,"X")</f>
        <v>1</v>
      </c>
      <c r="V2" s="229" t="str">
        <f>ifs($N2="",VLOOKUP($B2&amp;$E2,'VISIT DATA'!$A$2:$J100,7,FALSE), $N2="SWAB","OUTSA-RW",$N2="SWQU","OUTSA-SaQu", AND($L2="X",$M2="X",$N2="QUEST"),"OUT-UAQPre",$N2="QUEST","OUT-UAQ", $N2="Walk in","ColUATele")</f>
        <v>OUTUA-FURW</v>
      </c>
      <c r="W2" s="24" t="str">
        <f t="shared" ref="W2:W99" si="8">ifs($V2="UA-NWPT","UA-NWPT : UA New Patient",$V2="UA","UA : Urine Analysis In House",$V2="UA-Prelim","UA-Prelim : Preliminary UA Test",$V2="OUT-UAQ","OUT-UAQ : Quest Out UA",$V2="OUT-UAQPre", "OUT-UAQPre : OUT UA Prelim Quest",$V2="OUTSA-SaQu","OUTSA-SaQu : Saliva Out Quest",$V2="ColUATele","Collected Telemed",$V2="OUTUA-PrRW", "OUTUA-PrRW : OUT UA Prelimin Redwood",$V2="OUTUA-FURW", "OUTUA-FURW : OUT UA FU Redwood",$V2="OUTUA-NWRW", "OUTUA-NWRW : OUT UA New Redwood",$V2="OUTSA-RW", "OUTSA-RW : OUT Saliva Redwood")</f>
        <v>OUTUA-FURW : OUT UA FU Redwood</v>
      </c>
      <c r="X2" s="222" t="str">
        <f t="shared" ref="X2:X99" si="9">ifs($B2="","",and($K2="X",$L2="X",$M2="X",$N2="SWAB"), "ERROR",and($K2="X",$L2="X",$N2="SWAB"), "ERROR", and($L2="X",$N2="SWAB"), "OUTSA-RW : OUT Saliva Redwood", and($K2="X",$M2="X", $N2="SWAB"),"ERROR", and($M2="X",$N2="SWAB"), "OUTSA-RW : OUT Saliva Redwood", and($K2="X",$N2="SWAB"),"OUTSA-RW : OUT Saliva Redwood",and($K2="X",$L2="X"),"ERROR", and($K2="X",$M2="X"),"ERROR",and($M2="X",$U2=1), "OUTUA-PrRW : OUT UA Prelimin Redwood", and($K2="X",$U2=1), "OUTUA-NWRW : OUT UA New Redwood", and($L2="X",$U2=1), "OUTUA-FURW : OUT UA FU Redwood", and($L2="X",$M2="X",$U2=1), "OUTUA-PrRW : OUT UA Prelimin Redwood", $K2="X","UA-NWPT : UA New Patient", and($L2="X",$M2="X"),"UA-Prelim : Preliminary UA Test",and($L2="X",$N2="SWAB"),"OUTSA-RW : OUT Saliva Redwood",$L2="X","UA : Urine Analysis In House",$M2="X","UA-Prelim : Preliminary UA Test")</f>
        <v>OUTUA-FURW : OUT UA FU Redwood</v>
      </c>
      <c r="Y2" s="222" t="str">
        <f t="shared" ref="Y2:Y99" si="10">IFS($B2="","",X2=W2,"MATCH",X2&lt;&gt;W2,"NO MATCH")</f>
        <v>MATCH</v>
      </c>
      <c r="Z2" s="224" t="str">
        <f t="shared" ref="Z2:Z99" si="11">IF((countif($B$2:$B100,$B2)&gt;1),"Repeat"," ")</f>
        <v> </v>
      </c>
      <c r="AA2" s="243"/>
    </row>
    <row r="3">
      <c r="A3" s="214" t="str">
        <f>IFS($B3=FALSE,"",$B3,VLOOKUP($B3,'PATIENT DATA (072721)'!A:C, 2, 0))</f>
        <v>GUZMAN, XOCHITL N</v>
      </c>
      <c r="B3" s="215">
        <v>15838.0</v>
      </c>
      <c r="C3" s="216" t="str">
        <f>IF(COUNTIF('PATIENT DATA (072721)'!A:A, B3)=0, "X","✓")</f>
        <v>✓</v>
      </c>
      <c r="D3" s="226">
        <f>IFS($B3=FALSE,"",$B3,VLOOKUP($B3,'PATIENT DATA (072721)'!A:C, 3, 0))</f>
        <v>21409</v>
      </c>
      <c r="E3" s="218">
        <v>44576.0</v>
      </c>
      <c r="F3" s="219">
        <f>ifs($B3="","",$B3, VLOOKUP($B3&amp;$E3, 'VISIT DATA'!A:O,3,0))</f>
        <v>0.375</v>
      </c>
      <c r="G3" s="220" t="s">
        <v>6323</v>
      </c>
      <c r="H3" s="221" t="s">
        <v>15</v>
      </c>
      <c r="I3" s="222" t="str">
        <f>VLOOKUP($B3&amp;$E3,'VISIT DATA'!A:J, 9, FALSE)</f>
        <v>MARTINEZ</v>
      </c>
      <c r="J3" s="223" t="str">
        <f>VLOOKUP(B3&amp;E3,'VISIT DATA'!A:N,10,FALSE)</f>
        <v>WELLMED - CIGNA HEALTHSPRING</v>
      </c>
      <c r="K3" s="224"/>
      <c r="L3" s="224" t="s">
        <v>6242</v>
      </c>
      <c r="M3" s="224"/>
      <c r="N3" s="225"/>
      <c r="O3" s="216" t="str">
        <f t="shared" si="1"/>
        <v>✓</v>
      </c>
      <c r="P3" s="226" t="str">
        <f t="shared" si="2"/>
        <v>X</v>
      </c>
      <c r="Q3" s="227" t="str">
        <f t="shared" si="3"/>
        <v>#VALUE!</v>
      </c>
      <c r="R3" s="228" t="str">
        <f t="shared" si="4"/>
        <v>#VALUE!</v>
      </c>
      <c r="S3" s="220" t="str">
        <f t="shared" si="5"/>
        <v>#VALUE!</v>
      </c>
      <c r="T3" s="220" t="str">
        <f t="shared" si="6"/>
        <v>#VALUE!</v>
      </c>
      <c r="U3" s="221">
        <f t="shared" si="7"/>
        <v>1</v>
      </c>
      <c r="V3" s="229" t="str">
        <f>ifs($N3="",VLOOKUP($B3&amp;$E3,'VISIT DATA'!$A$2:$J100,7,FALSE), $N3="SWAB","OUTSA-RW",$N3="SWQU","OUTSA-SaQu", AND($L3="X",$M3="X",$N3="QUEST"),"OUT-UAQPre",$N3="QUEST","OUT-UAQ", $N3="Walk in","ColUATele")</f>
        <v>OUTUA-FURW</v>
      </c>
      <c r="W3" s="24" t="str">
        <f t="shared" si="8"/>
        <v>OUTUA-FURW : OUT UA FU Redwood</v>
      </c>
      <c r="X3" s="222" t="str">
        <f t="shared" si="9"/>
        <v>OUTUA-FURW : OUT UA FU Redwood</v>
      </c>
      <c r="Y3" s="222" t="str">
        <f t="shared" si="10"/>
        <v>MATCH</v>
      </c>
      <c r="Z3" s="224" t="str">
        <f t="shared" si="11"/>
        <v> </v>
      </c>
      <c r="AA3" s="243"/>
    </row>
    <row r="4">
      <c r="A4" s="214" t="str">
        <f>IFS($B4=FALSE,"",$B4,VLOOKUP($B4,'PATIENT DATA (072721)'!A:C, 2, 0))</f>
        <v>DUARTE SANCHEZ, GLORIA</v>
      </c>
      <c r="B4" s="215">
        <v>15478.0</v>
      </c>
      <c r="C4" s="216" t="str">
        <f>IF(COUNTIF('PATIENT DATA (072721)'!A:A, B4)=0, "X","✓")</f>
        <v>✓</v>
      </c>
      <c r="D4" s="226">
        <f>IFS($B4=FALSE,"",$B4,VLOOKUP($B4,'PATIENT DATA (072721)'!A:C, 3, 0))</f>
        <v>19831</v>
      </c>
      <c r="E4" s="218">
        <v>44576.0</v>
      </c>
      <c r="F4" s="219" t="str">
        <f>ifs($B4="","",$B4, VLOOKUP($B4&amp;$E4, 'VISIT DATA'!A:O,3,0))</f>
        <v>#N/A</v>
      </c>
      <c r="G4" s="220" t="s">
        <v>6323</v>
      </c>
      <c r="H4" s="221" t="s">
        <v>15</v>
      </c>
      <c r="I4" s="222" t="str">
        <f>VLOOKUP($B4&amp;$E4,'VISIT DATA'!A:J, 9, FALSE)</f>
        <v>#N/A</v>
      </c>
      <c r="J4" s="223" t="str">
        <f>VLOOKUP(B4&amp;E4,'VISIT DATA'!A:N,10,FALSE)</f>
        <v>#N/A</v>
      </c>
      <c r="K4" s="242"/>
      <c r="L4" s="224" t="s">
        <v>6242</v>
      </c>
      <c r="M4" s="224"/>
      <c r="N4" s="225"/>
      <c r="O4" s="216" t="str">
        <f t="shared" si="1"/>
        <v>✓</v>
      </c>
      <c r="P4" s="226" t="str">
        <f t="shared" si="2"/>
        <v>#N/A</v>
      </c>
      <c r="Q4" s="227" t="str">
        <f t="shared" si="3"/>
        <v>#N/A</v>
      </c>
      <c r="R4" s="228" t="str">
        <f t="shared" si="4"/>
        <v>#N/A</v>
      </c>
      <c r="S4" s="220" t="str">
        <f t="shared" si="5"/>
        <v>#N/A</v>
      </c>
      <c r="T4" s="220" t="str">
        <f t="shared" si="6"/>
        <v>#N/A</v>
      </c>
      <c r="U4" s="221">
        <f t="shared" si="7"/>
        <v>0</v>
      </c>
      <c r="V4" s="229" t="str">
        <f>ifs($N4="",VLOOKUP($B4&amp;$E4,'VISIT DATA'!$A$2:$J100,7,FALSE), $N4="SWAB","OUTSA-RW",$N4="SWQU","OUTSA-SaQu", AND($L4="X",$M4="X",$N4="QUEST"),"OUT-UAQPre",$N4="QUEST","OUT-UAQ", $N4="Walk in","ColUATele")</f>
        <v>#N/A</v>
      </c>
      <c r="W4" s="24" t="str">
        <f t="shared" si="8"/>
        <v>#N/A</v>
      </c>
      <c r="X4" s="222" t="str">
        <f t="shared" si="9"/>
        <v>UA : Urine Analysis In House</v>
      </c>
      <c r="Y4" s="222" t="str">
        <f t="shared" si="10"/>
        <v>#N/A</v>
      </c>
      <c r="Z4" s="224" t="str">
        <f t="shared" si="11"/>
        <v> </v>
      </c>
      <c r="AA4" s="243"/>
    </row>
    <row r="5">
      <c r="A5" s="214" t="str">
        <f>IFS($B5=FALSE,"",$B5,VLOOKUP($B5,'PATIENT DATA (072721)'!A:C, 2, 0))</f>
        <v>CERVANTES, CIRILOL</v>
      </c>
      <c r="B5" s="215">
        <v>16355.0</v>
      </c>
      <c r="C5" s="216" t="str">
        <f>IF(COUNTIF('PATIENT DATA (072721)'!A:A, B5)=0, "X","✓")</f>
        <v>✓</v>
      </c>
      <c r="D5" s="226">
        <f>IFS($B5=FALSE,"",$B5,VLOOKUP($B5,'PATIENT DATA (072721)'!A:C, 3, 0))</f>
        <v>13948</v>
      </c>
      <c r="E5" s="218">
        <v>44576.0</v>
      </c>
      <c r="F5" s="219">
        <f>ifs($B5="","",$B5, VLOOKUP($B5&amp;$E5, 'VISIT DATA'!A:O,3,0))</f>
        <v>0.46875</v>
      </c>
      <c r="G5" s="220" t="s">
        <v>6328</v>
      </c>
      <c r="H5" s="221" t="s">
        <v>15</v>
      </c>
      <c r="I5" s="222" t="str">
        <f>VLOOKUP($B5&amp;$E5,'VISIT DATA'!A:J, 9, FALSE)</f>
        <v>MARTINEZ</v>
      </c>
      <c r="J5" s="223" t="str">
        <f>VLOOKUP(B5&amp;E5,'VISIT DATA'!A:N,10,FALSE)</f>
        <v>AETNA</v>
      </c>
      <c r="K5" s="224"/>
      <c r="L5" s="224" t="s">
        <v>6242</v>
      </c>
      <c r="M5" s="224" t="s">
        <v>6242</v>
      </c>
      <c r="N5" s="225"/>
      <c r="O5" s="216" t="str">
        <f t="shared" si="1"/>
        <v>✓</v>
      </c>
      <c r="P5" s="226" t="str">
        <f t="shared" si="2"/>
        <v>#VALUE!</v>
      </c>
      <c r="Q5" s="227" t="str">
        <f t="shared" si="3"/>
        <v>#VALUE!</v>
      </c>
      <c r="R5" s="228" t="str">
        <f t="shared" si="4"/>
        <v>#VALUE!</v>
      </c>
      <c r="S5" s="220" t="str">
        <f t="shared" si="5"/>
        <v>#VALUE!</v>
      </c>
      <c r="T5" s="220" t="str">
        <f t="shared" si="6"/>
        <v>#VALUE!</v>
      </c>
      <c r="U5" s="221">
        <f t="shared" si="7"/>
        <v>0</v>
      </c>
      <c r="V5" s="229" t="str">
        <f>ifs($N5="",VLOOKUP($B5&amp;$E5,'VISIT DATA'!$A$2:$J100,7,FALSE), $N5="SWAB","OUTSA-RW",$N5="SWQU","OUTSA-SaQu", AND($L5="X",$M5="X",$N5="QUEST"),"OUT-UAQPre",$N5="QUEST","OUT-UAQ", $N5="Walk in","ColUATele")</f>
        <v>UA-Prelim</v>
      </c>
      <c r="W5" s="24" t="str">
        <f t="shared" si="8"/>
        <v>UA-Prelim : Preliminary UA Test</v>
      </c>
      <c r="X5" s="222" t="str">
        <f t="shared" si="9"/>
        <v>UA-Prelim : Preliminary UA Test</v>
      </c>
      <c r="Y5" s="222" t="str">
        <f t="shared" si="10"/>
        <v>MATCH</v>
      </c>
      <c r="Z5" s="224" t="str">
        <f t="shared" si="11"/>
        <v> </v>
      </c>
      <c r="AA5" s="243"/>
    </row>
    <row r="6">
      <c r="A6" s="214" t="str">
        <f>IFS($B6=FALSE,"",$B6,VLOOKUP($B6,'PATIENT DATA (072721)'!A:C, 2, 0))</f>
        <v>NUNEZ, MARY E</v>
      </c>
      <c r="B6" s="215">
        <v>14083.0</v>
      </c>
      <c r="C6" s="216" t="str">
        <f>IF(COUNTIF('PATIENT DATA (072721)'!A:A, B6)=0, "X","✓")</f>
        <v>✓</v>
      </c>
      <c r="D6" s="226">
        <f>IFS($B6=FALSE,"",$B6,VLOOKUP($B6,'PATIENT DATA (072721)'!A:C, 3, 0))</f>
        <v>22869</v>
      </c>
      <c r="E6" s="218">
        <v>44576.0</v>
      </c>
      <c r="F6" s="219">
        <f>ifs($B6="","",$B6, VLOOKUP($B6&amp;$E6, 'VISIT DATA'!A:O,3,0))</f>
        <v>0.4895833333</v>
      </c>
      <c r="G6" s="220" t="s">
        <v>6323</v>
      </c>
      <c r="H6" s="221" t="s">
        <v>15</v>
      </c>
      <c r="I6" s="222" t="str">
        <f>VLOOKUP($B6&amp;$E6,'VISIT DATA'!A:J, 9, FALSE)</f>
        <v>MARTINEZ</v>
      </c>
      <c r="J6" s="223" t="str">
        <f>VLOOKUP(B6&amp;E6,'VISIT DATA'!A:N,10,FALSE)</f>
        <v>AMERIGROUP</v>
      </c>
      <c r="K6" s="224"/>
      <c r="L6" s="224" t="s">
        <v>6242</v>
      </c>
      <c r="M6" s="224" t="s">
        <v>6242</v>
      </c>
      <c r="N6" s="225"/>
      <c r="O6" s="216" t="str">
        <f t="shared" si="1"/>
        <v>✓</v>
      </c>
      <c r="P6" s="226" t="str">
        <f t="shared" si="2"/>
        <v>#VALUE!</v>
      </c>
      <c r="Q6" s="227" t="str">
        <f t="shared" si="3"/>
        <v>#VALUE!</v>
      </c>
      <c r="R6" s="228" t="str">
        <f t="shared" si="4"/>
        <v>#VALUE!</v>
      </c>
      <c r="S6" s="220" t="str">
        <f t="shared" si="5"/>
        <v>#VALUE!</v>
      </c>
      <c r="T6" s="220" t="str">
        <f t="shared" si="6"/>
        <v>#VALUE!</v>
      </c>
      <c r="U6" s="221">
        <f t="shared" si="7"/>
        <v>0</v>
      </c>
      <c r="V6" s="229" t="str">
        <f>ifs($N6="",VLOOKUP($B6&amp;$E6,'VISIT DATA'!$A$2:$J100,7,FALSE), $N6="SWAB","OUTSA-RW",$N6="SWQU","OUTSA-SaQu", AND($L6="X",$M6="X",$N6="QUEST"),"OUT-UAQPre",$N6="QUEST","OUT-UAQ", $N6="Walk in","ColUATele")</f>
        <v>UA-Prelim</v>
      </c>
      <c r="W6" s="24" t="str">
        <f t="shared" si="8"/>
        <v>UA-Prelim : Preliminary UA Test</v>
      </c>
      <c r="X6" s="222" t="str">
        <f t="shared" si="9"/>
        <v>UA-Prelim : Preliminary UA Test</v>
      </c>
      <c r="Y6" s="222" t="str">
        <f t="shared" si="10"/>
        <v>MATCH</v>
      </c>
      <c r="Z6" s="224" t="str">
        <f t="shared" si="11"/>
        <v> </v>
      </c>
      <c r="AA6" s="243"/>
    </row>
    <row r="7">
      <c r="A7" s="214" t="str">
        <f>IFS($B7=FALSE,"",$B7,VLOOKUP($B7,'PATIENT DATA (072721)'!A:C, 2, 0))</f>
        <v>CASTANEDA, ROBERTO</v>
      </c>
      <c r="B7" s="215">
        <v>17259.0</v>
      </c>
      <c r="C7" s="216" t="str">
        <f>IF(COUNTIF('PATIENT DATA (072721)'!A:A, B7)=0, "X","✓")</f>
        <v>✓</v>
      </c>
      <c r="D7" s="226">
        <f>IFS($B7=FALSE,"",$B7,VLOOKUP($B7,'PATIENT DATA (072721)'!A:C, 3, 0))</f>
        <v>30466</v>
      </c>
      <c r="E7" s="218">
        <v>44576.0</v>
      </c>
      <c r="F7" s="219">
        <f>ifs($B7="","",$B7, VLOOKUP($B7&amp;$E7, 'VISIT DATA'!A:O,3,0))</f>
        <v>0.5</v>
      </c>
      <c r="G7" s="220" t="s">
        <v>6328</v>
      </c>
      <c r="H7" s="221" t="s">
        <v>15</v>
      </c>
      <c r="I7" s="222" t="str">
        <f>VLOOKUP($B7&amp;$E7,'VISIT DATA'!A:J, 9, FALSE)</f>
        <v>MARTINEZ</v>
      </c>
      <c r="J7" s="223" t="str">
        <f>VLOOKUP(B7&amp;E7,'VISIT DATA'!A:N,10,FALSE)</f>
        <v>WPS VA - COMMUNITY CARE</v>
      </c>
      <c r="K7" s="242"/>
      <c r="L7" s="224" t="s">
        <v>6242</v>
      </c>
      <c r="M7" s="224"/>
      <c r="N7" s="225"/>
      <c r="O7" s="216" t="str">
        <f t="shared" si="1"/>
        <v>✓</v>
      </c>
      <c r="P7" s="226" t="str">
        <f t="shared" si="2"/>
        <v>#VALUE!</v>
      </c>
      <c r="Q7" s="227" t="str">
        <f t="shared" si="3"/>
        <v>#VALUE!</v>
      </c>
      <c r="R7" s="228" t="str">
        <f t="shared" si="4"/>
        <v>#VALUE!</v>
      </c>
      <c r="S7" s="220" t="str">
        <f t="shared" si="5"/>
        <v>#VALUE!</v>
      </c>
      <c r="T7" s="220" t="str">
        <f t="shared" si="6"/>
        <v>#VALUE!</v>
      </c>
      <c r="U7" s="221">
        <f t="shared" si="7"/>
        <v>0</v>
      </c>
      <c r="V7" s="229" t="str">
        <f>ifs($N7="",VLOOKUP($B7&amp;$E7,'VISIT DATA'!$A$2:$J100,7,FALSE), $N7="SWAB","OUTSA-RW",$N7="SWQU","OUTSA-SaQu", AND($L7="X",$M7="X",$N7="QUEST"),"OUT-UAQPre",$N7="QUEST","OUT-UAQ", $N7="Walk in","ColUATele")</f>
        <v>UA</v>
      </c>
      <c r="W7" s="24" t="str">
        <f t="shared" si="8"/>
        <v>UA : Urine Analysis In House</v>
      </c>
      <c r="X7" s="222" t="str">
        <f t="shared" si="9"/>
        <v>UA : Urine Analysis In House</v>
      </c>
      <c r="Y7" s="222" t="str">
        <f t="shared" si="10"/>
        <v>MATCH</v>
      </c>
      <c r="Z7" s="224" t="str">
        <f t="shared" si="11"/>
        <v> </v>
      </c>
      <c r="AA7" s="243"/>
    </row>
    <row r="8" hidden="1">
      <c r="A8" s="214" t="str">
        <f>IFS($B8=FALSE,"",$B8,VLOOKUP($B8,'PATIENT DATA (072721)'!A:C, 2, 0))</f>
        <v/>
      </c>
      <c r="B8" s="215"/>
      <c r="C8" s="216" t="str">
        <f>IF(COUNTIF('PATIENT DATA (072721)'!A:A, B8)=0, "X","✓")</f>
        <v>X</v>
      </c>
      <c r="D8" s="226" t="str">
        <f>IFS($B8=FALSE,"",$B8,VLOOKUP($B8,'PATIENT DATA (072721)'!A:C, 3, 0))</f>
        <v/>
      </c>
      <c r="E8" s="218">
        <v>44576.0</v>
      </c>
      <c r="F8" s="219" t="str">
        <f>ifs($B8="","",$B8, VLOOKUP($B8&amp;$E8, 'VISIT DATA'!A:O,3,0))</f>
        <v/>
      </c>
      <c r="G8" s="220"/>
      <c r="H8" s="221"/>
      <c r="I8" s="222" t="str">
        <f>VLOOKUP($B8&amp;$E8,'VISIT DATA'!A:J, 9, FALSE)</f>
        <v>#N/A</v>
      </c>
      <c r="J8" s="223" t="str">
        <f>VLOOKUP(B8&amp;E8,'VISIT DATA'!A:N,10,FALSE)</f>
        <v>#N/A</v>
      </c>
      <c r="K8" s="242"/>
      <c r="L8" s="224"/>
      <c r="M8" s="224"/>
      <c r="N8" s="225"/>
      <c r="O8" s="216" t="str">
        <f t="shared" si="1"/>
        <v>X</v>
      </c>
      <c r="P8" s="226" t="str">
        <f t="shared" si="2"/>
        <v>#N/A</v>
      </c>
      <c r="Q8" s="227" t="str">
        <f t="shared" si="3"/>
        <v>#N/A</v>
      </c>
      <c r="R8" s="228" t="str">
        <f t="shared" si="4"/>
        <v>#N/A</v>
      </c>
      <c r="S8" s="220" t="str">
        <f t="shared" si="5"/>
        <v>#N/A</v>
      </c>
      <c r="T8" s="220" t="str">
        <f t="shared" si="6"/>
        <v>#N/A</v>
      </c>
      <c r="U8" s="221">
        <f t="shared" si="7"/>
        <v>0</v>
      </c>
      <c r="V8" s="229" t="str">
        <f>ifs($N8="",VLOOKUP($B8&amp;$E8,'VISIT DATA'!$A$2:$J100,7,FALSE), $N8="SWAB","OUTSA-RW",$N8="SWQU","OUTSA-SaQu", AND($L8="X",$M8="X",$N8="QUEST"),"OUT-UAQPre",$N8="QUEST","OUT-UAQ", $N8="Walk in","ColUATele")</f>
        <v>#N/A</v>
      </c>
      <c r="W8" s="24" t="str">
        <f t="shared" si="8"/>
        <v>#N/A</v>
      </c>
      <c r="X8" s="222" t="str">
        <f t="shared" si="9"/>
        <v/>
      </c>
      <c r="Y8" s="222" t="str">
        <f t="shared" si="10"/>
        <v/>
      </c>
      <c r="Z8" s="224" t="str">
        <f t="shared" si="11"/>
        <v> </v>
      </c>
      <c r="AA8" s="243"/>
    </row>
    <row r="9" hidden="1">
      <c r="A9" s="214" t="str">
        <f>IFS($B9=FALSE,"",$B9,VLOOKUP($B9,'PATIENT DATA (072721)'!A:C, 2, 0))</f>
        <v/>
      </c>
      <c r="B9" s="215"/>
      <c r="C9" s="216" t="str">
        <f>IF(COUNTIF('PATIENT DATA (072721)'!A:A, B9)=0, "X","✓")</f>
        <v>X</v>
      </c>
      <c r="D9" s="226" t="str">
        <f>IFS($B9=FALSE,"",$B9,VLOOKUP($B9,'PATIENT DATA (072721)'!A:C, 3, 0))</f>
        <v/>
      </c>
      <c r="E9" s="218">
        <v>44576.0</v>
      </c>
      <c r="F9" s="219" t="str">
        <f>ifs($B9="","",$B9, VLOOKUP($B9&amp;$E9, 'VISIT DATA'!A:O,3,0))</f>
        <v/>
      </c>
      <c r="G9" s="220"/>
      <c r="H9" s="221"/>
      <c r="I9" s="222" t="str">
        <f>VLOOKUP($B9&amp;$E9,'VISIT DATA'!A:J, 9, FALSE)</f>
        <v>#N/A</v>
      </c>
      <c r="J9" s="223" t="str">
        <f>VLOOKUP(B9&amp;E9,'VISIT DATA'!A:N,10,FALSE)</f>
        <v>#N/A</v>
      </c>
      <c r="K9" s="224"/>
      <c r="L9" s="224"/>
      <c r="M9" s="224"/>
      <c r="N9" s="225"/>
      <c r="O9" s="216" t="str">
        <f t="shared" si="1"/>
        <v>X</v>
      </c>
      <c r="P9" s="226" t="str">
        <f t="shared" si="2"/>
        <v>#N/A</v>
      </c>
      <c r="Q9" s="227" t="str">
        <f t="shared" si="3"/>
        <v>#N/A</v>
      </c>
      <c r="R9" s="228" t="str">
        <f t="shared" si="4"/>
        <v>#N/A</v>
      </c>
      <c r="S9" s="220" t="str">
        <f t="shared" si="5"/>
        <v>#N/A</v>
      </c>
      <c r="T9" s="220" t="str">
        <f t="shared" si="6"/>
        <v>#N/A</v>
      </c>
      <c r="U9" s="221">
        <f t="shared" si="7"/>
        <v>0</v>
      </c>
      <c r="V9" s="229" t="str">
        <f>ifs($N9="",VLOOKUP($B9&amp;$E9,'VISIT DATA'!$A$2:$J100,7,FALSE), $N9="SWAB","OUTSA-RW",$N9="SWQU","OUTSA-SaQu", AND($L9="X",$M9="X",$N9="QUEST"),"OUT-UAQPre",$N9="QUEST","OUT-UAQ", $N9="Walk in","ColUATele")</f>
        <v>#N/A</v>
      </c>
      <c r="W9" s="24" t="str">
        <f t="shared" si="8"/>
        <v>#N/A</v>
      </c>
      <c r="X9" s="222" t="str">
        <f t="shared" si="9"/>
        <v/>
      </c>
      <c r="Y9" s="222" t="str">
        <f t="shared" si="10"/>
        <v/>
      </c>
      <c r="Z9" s="224" t="str">
        <f t="shared" si="11"/>
        <v> </v>
      </c>
      <c r="AA9" s="243"/>
    </row>
    <row r="10" hidden="1">
      <c r="A10" s="214" t="str">
        <f>IFS($B10=FALSE,"",$B10,VLOOKUP($B10,'PATIENT DATA (072721)'!A:C, 2, 0))</f>
        <v/>
      </c>
      <c r="B10" s="215"/>
      <c r="C10" s="216" t="str">
        <f>IF(COUNTIF('PATIENT DATA (072721)'!A:A, B10)=0, "X","✓")</f>
        <v>X</v>
      </c>
      <c r="D10" s="226" t="str">
        <f>IFS($B10=FALSE,"",$B10,VLOOKUP($B10,'PATIENT DATA (072721)'!A:C, 3, 0))</f>
        <v/>
      </c>
      <c r="E10" s="218">
        <v>44576.0</v>
      </c>
      <c r="F10" s="219" t="str">
        <f>ifs($B10="","",$B10, VLOOKUP($B10&amp;$E10, 'VISIT DATA'!A:O,3,0))</f>
        <v/>
      </c>
      <c r="G10" s="220"/>
      <c r="H10" s="221"/>
      <c r="I10" s="222" t="str">
        <f>VLOOKUP($B10&amp;$E10,'VISIT DATA'!A:J, 9, FALSE)</f>
        <v>#N/A</v>
      </c>
      <c r="J10" s="223" t="str">
        <f>VLOOKUP(B10&amp;E10,'VISIT DATA'!A:N,10,FALSE)</f>
        <v>#N/A</v>
      </c>
      <c r="K10" s="224"/>
      <c r="L10" s="224"/>
      <c r="M10" s="224"/>
      <c r="N10" s="225"/>
      <c r="O10" s="216" t="str">
        <f t="shared" si="1"/>
        <v>X</v>
      </c>
      <c r="P10" s="226" t="str">
        <f t="shared" si="2"/>
        <v>#N/A</v>
      </c>
      <c r="Q10" s="227" t="str">
        <f t="shared" si="3"/>
        <v>#N/A</v>
      </c>
      <c r="R10" s="228" t="str">
        <f t="shared" si="4"/>
        <v>#N/A</v>
      </c>
      <c r="S10" s="220" t="str">
        <f t="shared" si="5"/>
        <v>#N/A</v>
      </c>
      <c r="T10" s="220" t="str">
        <f t="shared" si="6"/>
        <v>#N/A</v>
      </c>
      <c r="U10" s="221">
        <f t="shared" si="7"/>
        <v>0</v>
      </c>
      <c r="V10" s="229" t="str">
        <f>ifs($N10="",VLOOKUP($B10&amp;$E10,'VISIT DATA'!$A$2:$J100,7,FALSE), $N10="SWAB","OUTSA-RW",$N10="SWQU","OUTSA-SaQu", AND($L10="X",$M10="X",$N10="QUEST"),"OUT-UAQPre",$N10="QUEST","OUT-UAQ", $N10="Walk in","ColUATele")</f>
        <v>#N/A</v>
      </c>
      <c r="W10" s="24" t="str">
        <f t="shared" si="8"/>
        <v>#N/A</v>
      </c>
      <c r="X10" s="222" t="str">
        <f t="shared" si="9"/>
        <v/>
      </c>
      <c r="Y10" s="222" t="str">
        <f t="shared" si="10"/>
        <v/>
      </c>
      <c r="Z10" s="224" t="str">
        <f t="shared" si="11"/>
        <v> </v>
      </c>
      <c r="AA10" s="243"/>
    </row>
    <row r="11" hidden="1">
      <c r="A11" s="214" t="str">
        <f>IFS($B11=FALSE,"",$B11,VLOOKUP($B11,'PATIENT DATA (072721)'!A:C, 2, 0))</f>
        <v/>
      </c>
      <c r="B11" s="215"/>
      <c r="C11" s="216" t="str">
        <f>IF(COUNTIF('PATIENT DATA (072721)'!A:A, B11)=0, "X","✓")</f>
        <v>X</v>
      </c>
      <c r="D11" s="226" t="str">
        <f>IFS($B11=FALSE,"",$B11,VLOOKUP($B11,'PATIENT DATA (072721)'!A:C, 3, 0))</f>
        <v/>
      </c>
      <c r="E11" s="218">
        <v>44576.0</v>
      </c>
      <c r="F11" s="219" t="str">
        <f>ifs($B11="","",$B11, VLOOKUP($B11&amp;$E11, 'VISIT DATA'!A:O,3,0))</f>
        <v/>
      </c>
      <c r="G11" s="220"/>
      <c r="H11" s="221"/>
      <c r="I11" s="222" t="str">
        <f>VLOOKUP($B11&amp;$E11,'VISIT DATA'!A:J, 9, FALSE)</f>
        <v>#N/A</v>
      </c>
      <c r="J11" s="223" t="str">
        <f>VLOOKUP(B11&amp;E11,'VISIT DATA'!A:N,10,FALSE)</f>
        <v>#N/A</v>
      </c>
      <c r="K11" s="242"/>
      <c r="L11" s="224"/>
      <c r="M11" s="224"/>
      <c r="N11" s="225"/>
      <c r="O11" s="216" t="str">
        <f t="shared" si="1"/>
        <v>X</v>
      </c>
      <c r="P11" s="226" t="str">
        <f t="shared" si="2"/>
        <v>#N/A</v>
      </c>
      <c r="Q11" s="227" t="str">
        <f t="shared" si="3"/>
        <v>#N/A</v>
      </c>
      <c r="R11" s="228" t="str">
        <f t="shared" si="4"/>
        <v>#N/A</v>
      </c>
      <c r="S11" s="220" t="str">
        <f t="shared" si="5"/>
        <v>#N/A</v>
      </c>
      <c r="T11" s="220" t="str">
        <f t="shared" si="6"/>
        <v>#N/A</v>
      </c>
      <c r="U11" s="221">
        <f t="shared" si="7"/>
        <v>0</v>
      </c>
      <c r="V11" s="229" t="str">
        <f>ifs($N11="",VLOOKUP($B11&amp;$E11,'VISIT DATA'!$A$2:$J100,7,FALSE), $N11="SWAB","OUTSA-RW",$N11="SWQU","OUTSA-SaQu", AND($L11="X",$M11="X",$N11="QUEST"),"OUT-UAQPre",$N11="QUEST","OUT-UAQ", $N11="Walk in","ColUATele")</f>
        <v>#N/A</v>
      </c>
      <c r="W11" s="24" t="str">
        <f t="shared" si="8"/>
        <v>#N/A</v>
      </c>
      <c r="X11" s="222" t="str">
        <f t="shared" si="9"/>
        <v/>
      </c>
      <c r="Y11" s="222" t="str">
        <f t="shared" si="10"/>
        <v/>
      </c>
      <c r="Z11" s="224" t="str">
        <f t="shared" si="11"/>
        <v> </v>
      </c>
      <c r="AA11" s="243"/>
    </row>
    <row r="12" hidden="1">
      <c r="A12" s="214" t="str">
        <f>IFS($B12=FALSE,"",$B12,VLOOKUP($B12,'PATIENT DATA (072721)'!A:C, 2, 0))</f>
        <v/>
      </c>
      <c r="B12" s="215"/>
      <c r="C12" s="216" t="str">
        <f>IF(COUNTIF('PATIENT DATA (072721)'!A:A, B12)=0, "X","✓")</f>
        <v>X</v>
      </c>
      <c r="D12" s="226" t="str">
        <f>IFS($B12=FALSE,"",$B12,VLOOKUP($B12,'PATIENT DATA (072721)'!A:C, 3, 0))</f>
        <v/>
      </c>
      <c r="E12" s="218">
        <v>44576.0</v>
      </c>
      <c r="F12" s="219" t="str">
        <f>ifs($B12="","",$B12, VLOOKUP($B12&amp;$E12, 'VISIT DATA'!A:O,3,0))</f>
        <v/>
      </c>
      <c r="G12" s="220"/>
      <c r="H12" s="221"/>
      <c r="I12" s="222" t="str">
        <f>VLOOKUP($B12&amp;$E12,'VISIT DATA'!A:J, 9, FALSE)</f>
        <v>#N/A</v>
      </c>
      <c r="J12" s="223" t="str">
        <f>VLOOKUP(B12&amp;E12,'VISIT DATA'!A:N,10,FALSE)</f>
        <v>#N/A</v>
      </c>
      <c r="K12" s="224"/>
      <c r="L12" s="224"/>
      <c r="M12" s="224"/>
      <c r="N12" s="225"/>
      <c r="O12" s="216" t="str">
        <f t="shared" si="1"/>
        <v>X</v>
      </c>
      <c r="P12" s="226" t="str">
        <f t="shared" si="2"/>
        <v>#N/A</v>
      </c>
      <c r="Q12" s="227" t="str">
        <f t="shared" si="3"/>
        <v>#N/A</v>
      </c>
      <c r="R12" s="228" t="str">
        <f t="shared" si="4"/>
        <v>#N/A</v>
      </c>
      <c r="S12" s="220" t="str">
        <f t="shared" si="5"/>
        <v>#N/A</v>
      </c>
      <c r="T12" s="220" t="str">
        <f t="shared" si="6"/>
        <v>#N/A</v>
      </c>
      <c r="U12" s="221">
        <f t="shared" si="7"/>
        <v>0</v>
      </c>
      <c r="V12" s="229" t="str">
        <f>ifs($N12="",VLOOKUP($B12&amp;$E12,'VISIT DATA'!$A$2:$J100,7,FALSE), $N12="SWAB","OUTSA-RW",$N12="SWQU","OUTSA-SaQu", AND($L12="X",$M12="X",$N12="QUEST"),"OUT-UAQPre",$N12="QUEST","OUT-UAQ", $N12="Walk in","ColUATele")</f>
        <v>#N/A</v>
      </c>
      <c r="W12" s="24" t="str">
        <f t="shared" si="8"/>
        <v>#N/A</v>
      </c>
      <c r="X12" s="222" t="str">
        <f t="shared" si="9"/>
        <v/>
      </c>
      <c r="Y12" s="222" t="str">
        <f t="shared" si="10"/>
        <v/>
      </c>
      <c r="Z12" s="224" t="str">
        <f t="shared" si="11"/>
        <v> </v>
      </c>
      <c r="AA12" s="243"/>
    </row>
    <row r="13" hidden="1">
      <c r="A13" s="214" t="str">
        <f>IFS($B13=FALSE,"",$B13,VLOOKUP($B13,'PATIENT DATA (072721)'!A:C, 2, 0))</f>
        <v/>
      </c>
      <c r="B13" s="215"/>
      <c r="C13" s="216" t="str">
        <f>IF(COUNTIF('PATIENT DATA (072721)'!A:A, B13)=0, "X","✓")</f>
        <v>X</v>
      </c>
      <c r="D13" s="226" t="str">
        <f>IFS($B13=FALSE,"",$B13,VLOOKUP($B13,'PATIENT DATA (072721)'!A:C, 3, 0))</f>
        <v/>
      </c>
      <c r="E13" s="218">
        <v>44576.0</v>
      </c>
      <c r="F13" s="219" t="str">
        <f>ifs($B13="","",$B13, VLOOKUP($B13&amp;$E13, 'VISIT DATA'!A:O,3,0))</f>
        <v/>
      </c>
      <c r="G13" s="220"/>
      <c r="H13" s="221"/>
      <c r="I13" s="222" t="str">
        <f>VLOOKUP($B13&amp;$E13,'VISIT DATA'!A:J, 9, FALSE)</f>
        <v>#N/A</v>
      </c>
      <c r="J13" s="223" t="str">
        <f>VLOOKUP(B13&amp;E13,'VISIT DATA'!A:N,10,FALSE)</f>
        <v>#N/A</v>
      </c>
      <c r="K13" s="242"/>
      <c r="L13" s="224"/>
      <c r="M13" s="224"/>
      <c r="N13" s="225"/>
      <c r="O13" s="216" t="str">
        <f t="shared" si="1"/>
        <v>X</v>
      </c>
      <c r="P13" s="226" t="str">
        <f t="shared" si="2"/>
        <v>#N/A</v>
      </c>
      <c r="Q13" s="227" t="str">
        <f t="shared" si="3"/>
        <v>#N/A</v>
      </c>
      <c r="R13" s="228" t="str">
        <f t="shared" si="4"/>
        <v>#N/A</v>
      </c>
      <c r="S13" s="220" t="str">
        <f t="shared" si="5"/>
        <v>#N/A</v>
      </c>
      <c r="T13" s="220" t="str">
        <f t="shared" si="6"/>
        <v>#N/A</v>
      </c>
      <c r="U13" s="221">
        <f t="shared" si="7"/>
        <v>0</v>
      </c>
      <c r="V13" s="229" t="str">
        <f>ifs($N13="",VLOOKUP($B13&amp;$E13,'VISIT DATA'!$A$2:$J100,7,FALSE), $N13="SWAB","OUTSA-RW",$N13="SWQU","OUTSA-SaQu", AND($L13="X",$M13="X",$N13="QUEST"),"OUT-UAQPre",$N13="QUEST","OUT-UAQ", $N13="Walk in","ColUATele")</f>
        <v>#N/A</v>
      </c>
      <c r="W13" s="24" t="str">
        <f t="shared" si="8"/>
        <v>#N/A</v>
      </c>
      <c r="X13" s="222" t="str">
        <f t="shared" si="9"/>
        <v/>
      </c>
      <c r="Y13" s="222" t="str">
        <f t="shared" si="10"/>
        <v/>
      </c>
      <c r="Z13" s="224" t="str">
        <f t="shared" si="11"/>
        <v> </v>
      </c>
      <c r="AA13" s="243"/>
    </row>
    <row r="14" hidden="1">
      <c r="A14" s="214" t="str">
        <f>IFS($B14=FALSE,"",$B14,VLOOKUP($B14,'PATIENT DATA (072721)'!A:C, 2, 0))</f>
        <v/>
      </c>
      <c r="B14" s="215"/>
      <c r="C14" s="216" t="str">
        <f>IF(COUNTIF('PATIENT DATA (072721)'!A:A, B14)=0, "X","✓")</f>
        <v>X</v>
      </c>
      <c r="D14" s="226" t="str">
        <f>IFS($B14=FALSE,"",$B14,VLOOKUP($B14,'PATIENT DATA (072721)'!A:C, 3, 0))</f>
        <v/>
      </c>
      <c r="E14" s="218">
        <v>44576.0</v>
      </c>
      <c r="F14" s="219" t="str">
        <f>ifs($B14="","",$B14, VLOOKUP($B14&amp;$E14, 'VISIT DATA'!A:O,3,0))</f>
        <v/>
      </c>
      <c r="G14" s="220"/>
      <c r="H14" s="221"/>
      <c r="I14" s="222" t="str">
        <f>VLOOKUP($B14&amp;$E14,'VISIT DATA'!A:J, 9, FALSE)</f>
        <v>#N/A</v>
      </c>
      <c r="J14" s="223" t="str">
        <f>VLOOKUP(B14&amp;E14,'VISIT DATA'!A:N,10,FALSE)</f>
        <v>#N/A</v>
      </c>
      <c r="K14" s="225"/>
      <c r="L14" s="224"/>
      <c r="M14" s="224"/>
      <c r="N14" s="225"/>
      <c r="O14" s="216" t="str">
        <f t="shared" si="1"/>
        <v>X</v>
      </c>
      <c r="P14" s="226" t="str">
        <f t="shared" si="2"/>
        <v>#N/A</v>
      </c>
      <c r="Q14" s="227" t="str">
        <f t="shared" si="3"/>
        <v>#N/A</v>
      </c>
      <c r="R14" s="228" t="str">
        <f t="shared" si="4"/>
        <v>#N/A</v>
      </c>
      <c r="S14" s="220" t="str">
        <f t="shared" si="5"/>
        <v>#N/A</v>
      </c>
      <c r="T14" s="220" t="str">
        <f t="shared" si="6"/>
        <v>#N/A</v>
      </c>
      <c r="U14" s="221">
        <f t="shared" si="7"/>
        <v>0</v>
      </c>
      <c r="V14" s="229" t="str">
        <f>ifs($N14="",VLOOKUP($B14&amp;$E14,'VISIT DATA'!$A$2:$J100,7,FALSE), $N14="SWAB","OUTSA-RW",$N14="SWQU","OUTSA-SaQu", AND($L14="X",$M14="X",$N14="QUEST"),"OUT-UAQPre",$N14="QUEST","OUT-UAQ", $N14="Walk in","ColUATele")</f>
        <v>#N/A</v>
      </c>
      <c r="W14" s="24" t="str">
        <f t="shared" si="8"/>
        <v>#N/A</v>
      </c>
      <c r="X14" s="222" t="str">
        <f t="shared" si="9"/>
        <v/>
      </c>
      <c r="Y14" s="222" t="str">
        <f t="shared" si="10"/>
        <v/>
      </c>
      <c r="Z14" s="224" t="str">
        <f t="shared" si="11"/>
        <v> </v>
      </c>
      <c r="AA14" s="244"/>
    </row>
    <row r="15" hidden="1">
      <c r="A15" s="214" t="str">
        <f>IFS($B15=FALSE,"",$B15,VLOOKUP($B15,'PATIENT DATA (072721)'!A:C, 2, 0))</f>
        <v/>
      </c>
      <c r="B15" s="215"/>
      <c r="C15" s="216" t="str">
        <f>IF(COUNTIF('PATIENT DATA (072721)'!A:A, B15)=0, "X","✓")</f>
        <v>X</v>
      </c>
      <c r="D15" s="226" t="str">
        <f>IFS($B15=FALSE,"",$B15,VLOOKUP($B15,'PATIENT DATA (072721)'!A:C, 3, 0))</f>
        <v/>
      </c>
      <c r="E15" s="218">
        <v>44576.0</v>
      </c>
      <c r="F15" s="219" t="str">
        <f>ifs($B15="","",$B15, VLOOKUP($B15&amp;$E15, 'VISIT DATA'!A:O,3,0))</f>
        <v/>
      </c>
      <c r="G15" s="220"/>
      <c r="H15" s="221"/>
      <c r="I15" s="222" t="str">
        <f>VLOOKUP($B15&amp;$E15,'VISIT DATA'!A:J, 9, FALSE)</f>
        <v>#N/A</v>
      </c>
      <c r="J15" s="223" t="str">
        <f>VLOOKUP(B15&amp;E15,'VISIT DATA'!A:N,10,FALSE)</f>
        <v>#N/A</v>
      </c>
      <c r="K15" s="225"/>
      <c r="L15" s="224"/>
      <c r="M15" s="224"/>
      <c r="N15" s="225"/>
      <c r="O15" s="216" t="str">
        <f t="shared" si="1"/>
        <v>X</v>
      </c>
      <c r="P15" s="226" t="str">
        <f t="shared" si="2"/>
        <v>#N/A</v>
      </c>
      <c r="Q15" s="227" t="str">
        <f t="shared" si="3"/>
        <v>#N/A</v>
      </c>
      <c r="R15" s="228" t="str">
        <f t="shared" si="4"/>
        <v>#N/A</v>
      </c>
      <c r="S15" s="220" t="str">
        <f t="shared" si="5"/>
        <v>#N/A</v>
      </c>
      <c r="T15" s="220" t="str">
        <f t="shared" si="6"/>
        <v>#N/A</v>
      </c>
      <c r="U15" s="221">
        <f t="shared" si="7"/>
        <v>0</v>
      </c>
      <c r="V15" s="229" t="str">
        <f>ifs($N15="",VLOOKUP($B15&amp;$E15,'VISIT DATA'!$A$2:$J100,7,FALSE), $N15="SWAB","OUTSA-RW",$N15="SWQU","OUTSA-SaQu", AND($L15="X",$M15="X",$N15="QUEST"),"OUT-UAQPre",$N15="QUEST","OUT-UAQ", $N15="Walk in","ColUATele")</f>
        <v>#N/A</v>
      </c>
      <c r="W15" s="24" t="str">
        <f t="shared" si="8"/>
        <v>#N/A</v>
      </c>
      <c r="X15" s="222" t="str">
        <f t="shared" si="9"/>
        <v/>
      </c>
      <c r="Y15" s="222" t="str">
        <f t="shared" si="10"/>
        <v/>
      </c>
      <c r="Z15" s="224" t="str">
        <f t="shared" si="11"/>
        <v> </v>
      </c>
      <c r="AA15" s="244"/>
    </row>
    <row r="16" hidden="1">
      <c r="A16" s="214" t="str">
        <f>IFS($B16=FALSE,"",$B16,VLOOKUP($B16,'PATIENT DATA (072721)'!A:C, 2, 0))</f>
        <v/>
      </c>
      <c r="B16" s="215"/>
      <c r="C16" s="216" t="str">
        <f>IF(COUNTIF('PATIENT DATA (072721)'!A:A, B16)=0, "X","✓")</f>
        <v>X</v>
      </c>
      <c r="D16" s="226" t="str">
        <f>IFS($B16=FALSE,"",$B16,VLOOKUP($B16,'PATIENT DATA (072721)'!A:C, 3, 0))</f>
        <v/>
      </c>
      <c r="E16" s="218">
        <v>44576.0</v>
      </c>
      <c r="F16" s="219" t="str">
        <f>ifs($B16="","",$B16, VLOOKUP($B16&amp;$E16, 'VISIT DATA'!A:O,3,0))</f>
        <v/>
      </c>
      <c r="G16" s="220"/>
      <c r="H16" s="221"/>
      <c r="I16" s="222" t="str">
        <f>VLOOKUP($B16&amp;$E16,'VISIT DATA'!A:J, 9, FALSE)</f>
        <v>#N/A</v>
      </c>
      <c r="J16" s="223" t="str">
        <f>VLOOKUP(B16&amp;E16,'VISIT DATA'!A:N,10,FALSE)</f>
        <v>#N/A</v>
      </c>
      <c r="K16" s="224"/>
      <c r="L16" s="224"/>
      <c r="M16" s="224"/>
      <c r="N16" s="225"/>
      <c r="O16" s="216" t="str">
        <f t="shared" si="1"/>
        <v>X</v>
      </c>
      <c r="P16" s="226" t="str">
        <f t="shared" si="2"/>
        <v>#N/A</v>
      </c>
      <c r="Q16" s="227" t="str">
        <f t="shared" si="3"/>
        <v>#N/A</v>
      </c>
      <c r="R16" s="228" t="str">
        <f t="shared" si="4"/>
        <v>#N/A</v>
      </c>
      <c r="S16" s="220" t="str">
        <f t="shared" si="5"/>
        <v>#N/A</v>
      </c>
      <c r="T16" s="220" t="str">
        <f t="shared" si="6"/>
        <v>#N/A</v>
      </c>
      <c r="U16" s="221">
        <f t="shared" si="7"/>
        <v>0</v>
      </c>
      <c r="V16" s="229" t="str">
        <f>ifs($N16="",VLOOKUP($B16&amp;$E16,'VISIT DATA'!$A$2:$J100,7,FALSE), $N16="SWAB","OUTSA-RW",$N16="SWQU","OUTSA-SaQu", AND($L16="X",$M16="X",$N16="QUEST"),"OUT-UAQPre",$N16="QUEST","OUT-UAQ", $N16="Walk in","ColUATele")</f>
        <v>#N/A</v>
      </c>
      <c r="W16" s="24" t="str">
        <f t="shared" si="8"/>
        <v>#N/A</v>
      </c>
      <c r="X16" s="222" t="str">
        <f t="shared" si="9"/>
        <v/>
      </c>
      <c r="Y16" s="222" t="str">
        <f t="shared" si="10"/>
        <v/>
      </c>
      <c r="Z16" s="224" t="str">
        <f t="shared" si="11"/>
        <v> </v>
      </c>
      <c r="AA16" s="244"/>
    </row>
    <row r="17" hidden="1">
      <c r="A17" s="214" t="str">
        <f>IFS($B17=FALSE,"",$B17,VLOOKUP($B17,'PATIENT DATA (072721)'!A:C, 2, 0))</f>
        <v/>
      </c>
      <c r="B17" s="215"/>
      <c r="C17" s="216" t="str">
        <f>IF(COUNTIF('PATIENT DATA (072721)'!A:A, B17)=0, "X","✓")</f>
        <v>X</v>
      </c>
      <c r="D17" s="226" t="str">
        <f>IFS($B17=FALSE,"",$B17,VLOOKUP($B17,'PATIENT DATA (072721)'!A:C, 3, 0))</f>
        <v/>
      </c>
      <c r="E17" s="218">
        <v>44576.0</v>
      </c>
      <c r="F17" s="219" t="str">
        <f>ifs($B17="","",$B17, VLOOKUP($B17&amp;$E17, 'VISIT DATA'!A:O,3,0))</f>
        <v/>
      </c>
      <c r="G17" s="220"/>
      <c r="H17" s="221"/>
      <c r="I17" s="222" t="str">
        <f>VLOOKUP($B17&amp;$E17,'VISIT DATA'!A:J, 9, FALSE)</f>
        <v>#N/A</v>
      </c>
      <c r="J17" s="223" t="str">
        <f>VLOOKUP(B17&amp;E17,'VISIT DATA'!A:N,10,FALSE)</f>
        <v>#N/A</v>
      </c>
      <c r="K17" s="225"/>
      <c r="L17" s="224"/>
      <c r="M17" s="224"/>
      <c r="N17" s="224"/>
      <c r="O17" s="216" t="str">
        <f t="shared" si="1"/>
        <v>X</v>
      </c>
      <c r="P17" s="226" t="str">
        <f t="shared" si="2"/>
        <v>#N/A</v>
      </c>
      <c r="Q17" s="227" t="str">
        <f t="shared" si="3"/>
        <v>#N/A</v>
      </c>
      <c r="R17" s="228" t="str">
        <f t="shared" si="4"/>
        <v>#N/A</v>
      </c>
      <c r="S17" s="220" t="str">
        <f t="shared" si="5"/>
        <v>#N/A</v>
      </c>
      <c r="T17" s="220" t="str">
        <f t="shared" si="6"/>
        <v>#N/A</v>
      </c>
      <c r="U17" s="221">
        <f t="shared" si="7"/>
        <v>0</v>
      </c>
      <c r="V17" s="229" t="str">
        <f>ifs($N17="",VLOOKUP($B17&amp;$E17,'VISIT DATA'!$A$2:$J100,7,FALSE), $N17="SWAB","OUTSA-RW",$N17="SWQU","OUTSA-SaQu", AND($L17="X",$M17="X",$N17="QUEST"),"OUT-UAQPre",$N17="QUEST","OUT-UAQ", $N17="Walk in","ColUATele")</f>
        <v>#N/A</v>
      </c>
      <c r="W17" s="24" t="str">
        <f t="shared" si="8"/>
        <v>#N/A</v>
      </c>
      <c r="X17" s="222" t="str">
        <f t="shared" si="9"/>
        <v/>
      </c>
      <c r="Y17" s="222" t="str">
        <f t="shared" si="10"/>
        <v/>
      </c>
      <c r="Z17" s="224" t="str">
        <f t="shared" si="11"/>
        <v> </v>
      </c>
      <c r="AA17" s="245"/>
    </row>
    <row r="18" hidden="1">
      <c r="A18" s="214" t="str">
        <f>IFS($B18=FALSE,"",$B18,VLOOKUP($B18,'PATIENT DATA (072721)'!A:C, 2, 0))</f>
        <v/>
      </c>
      <c r="B18" s="215"/>
      <c r="C18" s="216" t="str">
        <f>IF(COUNTIF('PATIENT DATA (072721)'!A:A, B18)=0, "X","✓")</f>
        <v>X</v>
      </c>
      <c r="D18" s="226" t="str">
        <f>IFS($B18=FALSE,"",$B18,VLOOKUP($B18,'PATIENT DATA (072721)'!A:C, 3, 0))</f>
        <v/>
      </c>
      <c r="E18" s="218">
        <v>44576.0</v>
      </c>
      <c r="F18" s="219" t="str">
        <f>ifs($B18="","",$B18, VLOOKUP($B18&amp;$E18, 'VISIT DATA'!A:O,3,0))</f>
        <v/>
      </c>
      <c r="G18" s="220"/>
      <c r="H18" s="221"/>
      <c r="I18" s="222" t="str">
        <f>VLOOKUP($B18&amp;$E18,'VISIT DATA'!A:J, 9, FALSE)</f>
        <v>#N/A</v>
      </c>
      <c r="J18" s="223" t="str">
        <f>VLOOKUP(B18&amp;E18,'VISIT DATA'!A:N,10,FALSE)</f>
        <v>#N/A</v>
      </c>
      <c r="K18" s="224"/>
      <c r="L18" s="224"/>
      <c r="M18" s="224"/>
      <c r="N18" s="224"/>
      <c r="O18" s="216" t="str">
        <f t="shared" si="1"/>
        <v>X</v>
      </c>
      <c r="P18" s="226" t="str">
        <f t="shared" si="2"/>
        <v>#N/A</v>
      </c>
      <c r="Q18" s="227" t="str">
        <f t="shared" si="3"/>
        <v>#N/A</v>
      </c>
      <c r="R18" s="228" t="str">
        <f t="shared" si="4"/>
        <v>#N/A</v>
      </c>
      <c r="S18" s="220" t="str">
        <f t="shared" si="5"/>
        <v>#N/A</v>
      </c>
      <c r="T18" s="220" t="str">
        <f t="shared" si="6"/>
        <v>#N/A</v>
      </c>
      <c r="U18" s="221">
        <f t="shared" si="7"/>
        <v>0</v>
      </c>
      <c r="V18" s="229" t="str">
        <f>ifs($N18="",VLOOKUP($B18&amp;$E18,'VISIT DATA'!$A$2:$J100,7,FALSE), $N18="SWAB","OUTSA-RW",$N18="SWQU","OUTSA-SaQu", AND($L18="X",$M18="X",$N18="QUEST"),"OUT-UAQPre",$N18="QUEST","OUT-UAQ", $N18="Walk in","ColUATele")</f>
        <v>#N/A</v>
      </c>
      <c r="W18" s="24" t="str">
        <f t="shared" si="8"/>
        <v>#N/A</v>
      </c>
      <c r="X18" s="222" t="str">
        <f t="shared" si="9"/>
        <v/>
      </c>
      <c r="Y18" s="222" t="str">
        <f t="shared" si="10"/>
        <v/>
      </c>
      <c r="Z18" s="224" t="str">
        <f t="shared" si="11"/>
        <v> </v>
      </c>
      <c r="AA18" s="244"/>
    </row>
    <row r="19" hidden="1">
      <c r="A19" s="214" t="str">
        <f>IFS($B19=FALSE,"",$B19,VLOOKUP($B19,'PATIENT DATA (072721)'!A:C, 2, 0))</f>
        <v/>
      </c>
      <c r="B19" s="215"/>
      <c r="C19" s="216" t="str">
        <f>IF(COUNTIF('PATIENT DATA (072721)'!A:A, B19)=0, "X","✓")</f>
        <v>X</v>
      </c>
      <c r="D19" s="226" t="str">
        <f>IFS($B19=FALSE,"",$B19,VLOOKUP($B19,'PATIENT DATA (072721)'!A:C, 3, 0))</f>
        <v/>
      </c>
      <c r="E19" s="218">
        <v>44576.0</v>
      </c>
      <c r="F19" s="219" t="str">
        <f>ifs($B19="","",$B19, VLOOKUP($B19&amp;$E19, 'VISIT DATA'!A:O,3,0))</f>
        <v/>
      </c>
      <c r="G19" s="220"/>
      <c r="H19" s="221"/>
      <c r="I19" s="222" t="str">
        <f>VLOOKUP($B19&amp;$E19,'VISIT DATA'!A:J, 9, FALSE)</f>
        <v>#N/A</v>
      </c>
      <c r="J19" s="223" t="str">
        <f>VLOOKUP(B19&amp;E19,'VISIT DATA'!A:N,10,FALSE)</f>
        <v>#N/A</v>
      </c>
      <c r="K19" s="225"/>
      <c r="L19" s="224"/>
      <c r="M19" s="224"/>
      <c r="N19" s="225"/>
      <c r="O19" s="216" t="str">
        <f t="shared" si="1"/>
        <v>X</v>
      </c>
      <c r="P19" s="226" t="str">
        <f t="shared" si="2"/>
        <v>#N/A</v>
      </c>
      <c r="Q19" s="227" t="str">
        <f t="shared" si="3"/>
        <v>#N/A</v>
      </c>
      <c r="R19" s="228" t="str">
        <f t="shared" si="4"/>
        <v>#N/A</v>
      </c>
      <c r="S19" s="220" t="str">
        <f t="shared" si="5"/>
        <v>#N/A</v>
      </c>
      <c r="T19" s="220" t="str">
        <f t="shared" si="6"/>
        <v>#N/A</v>
      </c>
      <c r="U19" s="221">
        <f t="shared" si="7"/>
        <v>0</v>
      </c>
      <c r="V19" s="229" t="str">
        <f>ifs($N19="",VLOOKUP($B19&amp;$E19,'VISIT DATA'!$A$2:$J100,7,FALSE), $N19="SWAB","OUTSA-RW",$N19="SWQU","OUTSA-SaQu", AND($L19="X",$M19="X",$N19="QUEST"),"OUT-UAQPre",$N19="QUEST","OUT-UAQ", $N19="Walk in","ColUATele")</f>
        <v>#N/A</v>
      </c>
      <c r="W19" s="24" t="str">
        <f t="shared" si="8"/>
        <v>#N/A</v>
      </c>
      <c r="X19" s="222" t="str">
        <f t="shared" si="9"/>
        <v/>
      </c>
      <c r="Y19" s="222" t="str">
        <f t="shared" si="10"/>
        <v/>
      </c>
      <c r="Z19" s="224" t="str">
        <f t="shared" si="11"/>
        <v> </v>
      </c>
      <c r="AA19" s="244"/>
    </row>
    <row r="20" hidden="1">
      <c r="A20" s="214" t="str">
        <f>IFS($B20=FALSE,"",$B20,VLOOKUP($B20,'PATIENT DATA (072721)'!A:C, 2, 0))</f>
        <v/>
      </c>
      <c r="B20" s="215"/>
      <c r="C20" s="216" t="str">
        <f>IF(COUNTIF('PATIENT DATA (072721)'!A:A, B20)=0, "X","✓")</f>
        <v>X</v>
      </c>
      <c r="D20" s="226" t="str">
        <f>IFS($B20=FALSE,"",$B20,VLOOKUP($B20,'PATIENT DATA (072721)'!A:C, 3, 0))</f>
        <v/>
      </c>
      <c r="E20" s="218">
        <v>44576.0</v>
      </c>
      <c r="F20" s="219" t="str">
        <f>ifs($B20="","",$B20, VLOOKUP($B20&amp;$E20, 'VISIT DATA'!A:O,3,0))</f>
        <v/>
      </c>
      <c r="G20" s="220"/>
      <c r="H20" s="221"/>
      <c r="I20" s="222" t="str">
        <f>VLOOKUP($B20&amp;$E20,'VISIT DATA'!A:J, 9, FALSE)</f>
        <v>#N/A</v>
      </c>
      <c r="J20" s="223" t="str">
        <f>VLOOKUP(B20&amp;E20,'VISIT DATA'!A:N,10,FALSE)</f>
        <v>#N/A</v>
      </c>
      <c r="K20" s="225"/>
      <c r="L20" s="224"/>
      <c r="M20" s="224"/>
      <c r="N20" s="224"/>
      <c r="O20" s="216" t="str">
        <f t="shared" si="1"/>
        <v>X</v>
      </c>
      <c r="P20" s="226" t="str">
        <f t="shared" si="2"/>
        <v>#N/A</v>
      </c>
      <c r="Q20" s="227" t="str">
        <f t="shared" si="3"/>
        <v>#N/A</v>
      </c>
      <c r="R20" s="228" t="str">
        <f t="shared" si="4"/>
        <v>#N/A</v>
      </c>
      <c r="S20" s="220" t="str">
        <f t="shared" si="5"/>
        <v>#N/A</v>
      </c>
      <c r="T20" s="220" t="str">
        <f t="shared" si="6"/>
        <v>#N/A</v>
      </c>
      <c r="U20" s="221">
        <f t="shared" si="7"/>
        <v>0</v>
      </c>
      <c r="V20" s="229" t="str">
        <f>ifs($N20="",VLOOKUP($B20&amp;$E20,'VISIT DATA'!$A$2:$J100,7,FALSE), $N20="SWAB","OUTSA-RW",$N20="SWQU","OUTSA-SaQu", AND($L20="X",$M20="X",$N20="QUEST"),"OUT-UAQPre",$N20="QUEST","OUT-UAQ", $N20="Walk in","ColUATele")</f>
        <v>#N/A</v>
      </c>
      <c r="W20" s="24" t="str">
        <f t="shared" si="8"/>
        <v>#N/A</v>
      </c>
      <c r="X20" s="222" t="str">
        <f t="shared" si="9"/>
        <v/>
      </c>
      <c r="Y20" s="222" t="str">
        <f t="shared" si="10"/>
        <v/>
      </c>
      <c r="Z20" s="224" t="str">
        <f t="shared" si="11"/>
        <v> </v>
      </c>
      <c r="AA20" s="244"/>
    </row>
    <row r="21" hidden="1">
      <c r="A21" s="214" t="str">
        <f>IFS($B21=FALSE,"",$B21,VLOOKUP($B21,'PATIENT DATA (072721)'!A:C, 2, 0))</f>
        <v/>
      </c>
      <c r="B21" s="215"/>
      <c r="C21" s="216" t="str">
        <f>IF(COUNTIF('PATIENT DATA (072721)'!A:A, B21)=0, "X","✓")</f>
        <v>X</v>
      </c>
      <c r="D21" s="226" t="str">
        <f>IFS($B21=FALSE,"",$B21,VLOOKUP($B21,'PATIENT DATA (072721)'!A:C, 3, 0))</f>
        <v/>
      </c>
      <c r="E21" s="218">
        <v>44576.0</v>
      </c>
      <c r="F21" s="219" t="str">
        <f>ifs($B21="","",$B21, VLOOKUP($B21&amp;$E21, 'VISIT DATA'!A:O,3,0))</f>
        <v/>
      </c>
      <c r="G21" s="220"/>
      <c r="H21" s="221"/>
      <c r="I21" s="222" t="str">
        <f>VLOOKUP($B21&amp;$E21,'VISIT DATA'!A:J, 9, FALSE)</f>
        <v>#N/A</v>
      </c>
      <c r="J21" s="223" t="str">
        <f>VLOOKUP(B21&amp;E21,'VISIT DATA'!A:N,10,FALSE)</f>
        <v>#N/A</v>
      </c>
      <c r="K21" s="225"/>
      <c r="L21" s="224"/>
      <c r="M21" s="224"/>
      <c r="N21" s="225"/>
      <c r="O21" s="216" t="str">
        <f t="shared" si="1"/>
        <v>X</v>
      </c>
      <c r="P21" s="226" t="str">
        <f t="shared" si="2"/>
        <v>#N/A</v>
      </c>
      <c r="Q21" s="227" t="str">
        <f t="shared" si="3"/>
        <v>#N/A</v>
      </c>
      <c r="R21" s="228" t="str">
        <f t="shared" si="4"/>
        <v>#N/A</v>
      </c>
      <c r="S21" s="220" t="str">
        <f t="shared" si="5"/>
        <v>#N/A</v>
      </c>
      <c r="T21" s="220" t="str">
        <f t="shared" si="6"/>
        <v>#N/A</v>
      </c>
      <c r="U21" s="221">
        <f t="shared" si="7"/>
        <v>0</v>
      </c>
      <c r="V21" s="229" t="str">
        <f>ifs($N21="",VLOOKUP($B21&amp;$E21,'VISIT DATA'!$A$2:$J100,7,FALSE), $N21="SWAB","OUTSA-RW",$N21="SWQU","OUTSA-SaQu", AND($L21="X",$M21="X",$N21="QUEST"),"OUT-UAQPre",$N21="QUEST","OUT-UAQ", $N21="Walk in","ColUATele")</f>
        <v>#N/A</v>
      </c>
      <c r="W21" s="24" t="str">
        <f t="shared" si="8"/>
        <v>#N/A</v>
      </c>
      <c r="X21" s="222" t="str">
        <f t="shared" si="9"/>
        <v/>
      </c>
      <c r="Y21" s="222" t="str">
        <f t="shared" si="10"/>
        <v/>
      </c>
      <c r="Z21" s="224" t="str">
        <f t="shared" si="11"/>
        <v> </v>
      </c>
      <c r="AA21" s="244"/>
    </row>
    <row r="22" hidden="1">
      <c r="A22" s="214" t="str">
        <f>IFS($B22=FALSE,"",$B22,VLOOKUP($B22,'PATIENT DATA (072721)'!A:C, 2, 0))</f>
        <v/>
      </c>
      <c r="B22" s="215"/>
      <c r="C22" s="216" t="str">
        <f>IF(COUNTIF('PATIENT DATA (072721)'!A:A, B22)=0, "X","✓")</f>
        <v>X</v>
      </c>
      <c r="D22" s="226" t="str">
        <f>IFS($B22=FALSE,"",$B22,VLOOKUP($B22,'PATIENT DATA (072721)'!A:C, 3, 0))</f>
        <v/>
      </c>
      <c r="E22" s="218">
        <v>44576.0</v>
      </c>
      <c r="F22" s="219" t="str">
        <f>ifs($B22="","",$B22, VLOOKUP($B22&amp;$E22, 'VISIT DATA'!A:O,3,0))</f>
        <v/>
      </c>
      <c r="G22" s="220"/>
      <c r="H22" s="221"/>
      <c r="I22" s="222" t="str">
        <f>VLOOKUP($B22&amp;$E22,'VISIT DATA'!A:J, 9, FALSE)</f>
        <v>#N/A</v>
      </c>
      <c r="J22" s="223" t="str">
        <f>VLOOKUP(B22&amp;E22,'VISIT DATA'!A:N,10,FALSE)</f>
        <v>#N/A</v>
      </c>
      <c r="K22" s="225"/>
      <c r="L22" s="224"/>
      <c r="M22" s="224"/>
      <c r="N22" s="225"/>
      <c r="O22" s="216" t="str">
        <f t="shared" si="1"/>
        <v>X</v>
      </c>
      <c r="P22" s="226" t="str">
        <f t="shared" si="2"/>
        <v>#N/A</v>
      </c>
      <c r="Q22" s="227" t="str">
        <f t="shared" si="3"/>
        <v>#N/A</v>
      </c>
      <c r="R22" s="228" t="str">
        <f t="shared" si="4"/>
        <v>#N/A</v>
      </c>
      <c r="S22" s="220" t="str">
        <f t="shared" si="5"/>
        <v>#N/A</v>
      </c>
      <c r="T22" s="220" t="str">
        <f t="shared" si="6"/>
        <v>#N/A</v>
      </c>
      <c r="U22" s="221">
        <f t="shared" si="7"/>
        <v>0</v>
      </c>
      <c r="V22" s="229" t="str">
        <f>ifs($N22="",VLOOKUP($B22&amp;$E22,'VISIT DATA'!$A$2:$J100,7,FALSE), $N22="SWAB","OUTSA-RW",$N22="SWQU","OUTSA-SaQu", AND($L22="X",$M22="X",$N22="QUEST"),"OUT-UAQPre",$N22="QUEST","OUT-UAQ", $N22="Walk in","ColUATele")</f>
        <v>#N/A</v>
      </c>
      <c r="W22" s="24" t="str">
        <f t="shared" si="8"/>
        <v>#N/A</v>
      </c>
      <c r="X22" s="222" t="str">
        <f t="shared" si="9"/>
        <v/>
      </c>
      <c r="Y22" s="222" t="str">
        <f t="shared" si="10"/>
        <v/>
      </c>
      <c r="Z22" s="224" t="str">
        <f t="shared" si="11"/>
        <v> </v>
      </c>
      <c r="AA22" s="244"/>
    </row>
    <row r="23" hidden="1">
      <c r="A23" s="214" t="str">
        <f>IFS($B23=FALSE,"",$B23,VLOOKUP($B23,'PATIENT DATA (072721)'!A:C, 2, 0))</f>
        <v/>
      </c>
      <c r="B23" s="215"/>
      <c r="C23" s="216" t="str">
        <f>IF(COUNTIF('PATIENT DATA (072721)'!A:A, B23)=0, "X","✓")</f>
        <v>X</v>
      </c>
      <c r="D23" s="226" t="str">
        <f>IFS($B23=FALSE,"",$B23,VLOOKUP($B23,'PATIENT DATA (072721)'!A:C, 3, 0))</f>
        <v/>
      </c>
      <c r="E23" s="218">
        <v>44576.0</v>
      </c>
      <c r="F23" s="219" t="str">
        <f>ifs($B23="","",$B23, VLOOKUP($B23&amp;$E23, 'VISIT DATA'!A:O,3,0))</f>
        <v/>
      </c>
      <c r="G23" s="220"/>
      <c r="H23" s="221"/>
      <c r="I23" s="222" t="str">
        <f>VLOOKUP($B23&amp;$E23,'VISIT DATA'!A:J, 9, FALSE)</f>
        <v>#N/A</v>
      </c>
      <c r="J23" s="223" t="str">
        <f>VLOOKUP(B23&amp;E23,'VISIT DATA'!A:N,10,FALSE)</f>
        <v>#N/A</v>
      </c>
      <c r="K23" s="225"/>
      <c r="L23" s="224"/>
      <c r="M23" s="224"/>
      <c r="N23" s="224"/>
      <c r="O23" s="216" t="str">
        <f t="shared" si="1"/>
        <v>X</v>
      </c>
      <c r="P23" s="226" t="str">
        <f t="shared" si="2"/>
        <v>#N/A</v>
      </c>
      <c r="Q23" s="227" t="str">
        <f t="shared" si="3"/>
        <v>#N/A</v>
      </c>
      <c r="R23" s="228" t="str">
        <f t="shared" si="4"/>
        <v>#N/A</v>
      </c>
      <c r="S23" s="220" t="str">
        <f t="shared" si="5"/>
        <v>#N/A</v>
      </c>
      <c r="T23" s="220" t="str">
        <f t="shared" si="6"/>
        <v>#N/A</v>
      </c>
      <c r="U23" s="221">
        <f t="shared" si="7"/>
        <v>0</v>
      </c>
      <c r="V23" s="229" t="str">
        <f>ifs($N23="",VLOOKUP($B23&amp;$E23,'VISIT DATA'!$A$2:$J100,7,FALSE), $N23="SWAB","OUTSA-RW",$N23="SWQU","OUTSA-SaQu", AND($L23="X",$M23="X",$N23="QUEST"),"OUT-UAQPre",$N23="QUEST","OUT-UAQ", $N23="Walk in","ColUATele")</f>
        <v>#N/A</v>
      </c>
      <c r="W23" s="24" t="str">
        <f t="shared" si="8"/>
        <v>#N/A</v>
      </c>
      <c r="X23" s="222" t="str">
        <f t="shared" si="9"/>
        <v/>
      </c>
      <c r="Y23" s="222" t="str">
        <f t="shared" si="10"/>
        <v/>
      </c>
      <c r="Z23" s="224" t="str">
        <f t="shared" si="11"/>
        <v> </v>
      </c>
      <c r="AA23" s="245"/>
    </row>
    <row r="24" hidden="1">
      <c r="A24" s="214" t="str">
        <f>IFS($B24=FALSE,"",$B24,VLOOKUP($B24,'PATIENT DATA (072721)'!A:C, 2, 0))</f>
        <v/>
      </c>
      <c r="B24" s="215"/>
      <c r="C24" s="216" t="str">
        <f>IF(COUNTIF('PATIENT DATA (072721)'!A:A, B24)=0, "X","✓")</f>
        <v>X</v>
      </c>
      <c r="D24" s="226" t="str">
        <f>IFS($B24=FALSE,"",$B24,VLOOKUP($B24,'PATIENT DATA (072721)'!A:C, 3, 0))</f>
        <v/>
      </c>
      <c r="E24" s="218">
        <v>44576.0</v>
      </c>
      <c r="F24" s="219" t="str">
        <f>ifs($B24="","",$B24, VLOOKUP($B24&amp;$E24, 'VISIT DATA'!A:O,3,0))</f>
        <v/>
      </c>
      <c r="G24" s="220"/>
      <c r="H24" s="221"/>
      <c r="I24" s="222" t="str">
        <f>VLOOKUP($B24&amp;$E24,'VISIT DATA'!A:J, 9, FALSE)</f>
        <v>#N/A</v>
      </c>
      <c r="J24" s="223" t="str">
        <f>VLOOKUP(B24&amp;E24,'VISIT DATA'!A:N,10,FALSE)</f>
        <v>#N/A</v>
      </c>
      <c r="K24" s="225"/>
      <c r="L24" s="224"/>
      <c r="M24" s="224"/>
      <c r="N24" s="224"/>
      <c r="O24" s="216" t="str">
        <f t="shared" si="1"/>
        <v>X</v>
      </c>
      <c r="P24" s="226" t="str">
        <f t="shared" si="2"/>
        <v>#N/A</v>
      </c>
      <c r="Q24" s="227" t="str">
        <f t="shared" si="3"/>
        <v>#N/A</v>
      </c>
      <c r="R24" s="228" t="str">
        <f t="shared" si="4"/>
        <v>#N/A</v>
      </c>
      <c r="S24" s="220" t="str">
        <f t="shared" si="5"/>
        <v>#N/A</v>
      </c>
      <c r="T24" s="220" t="str">
        <f t="shared" si="6"/>
        <v>#N/A</v>
      </c>
      <c r="U24" s="221">
        <f t="shared" si="7"/>
        <v>0</v>
      </c>
      <c r="V24" s="229" t="str">
        <f>ifs($N24="",VLOOKUP($B24&amp;$E24,'VISIT DATA'!$A$2:$J100,7,FALSE), $N24="SWAB","OUTSA-RW",$N24="SWQU","OUTSA-SaQu", AND($L24="X",$M24="X",$N24="QUEST"),"OUT-UAQPre",$N24="QUEST","OUT-UAQ", $N24="Walk in","ColUATele")</f>
        <v>#N/A</v>
      </c>
      <c r="W24" s="24" t="str">
        <f t="shared" si="8"/>
        <v>#N/A</v>
      </c>
      <c r="X24" s="222" t="str">
        <f t="shared" si="9"/>
        <v/>
      </c>
      <c r="Y24" s="222" t="str">
        <f t="shared" si="10"/>
        <v/>
      </c>
      <c r="Z24" s="224" t="str">
        <f t="shared" si="11"/>
        <v> </v>
      </c>
      <c r="AA24" s="244"/>
    </row>
    <row r="25" hidden="1">
      <c r="A25" s="214" t="str">
        <f>IFS($B25=FALSE,"",$B25,VLOOKUP($B25,'PATIENT DATA (072721)'!A:C, 2, 0))</f>
        <v/>
      </c>
      <c r="B25" s="215"/>
      <c r="C25" s="216" t="str">
        <f>IF(COUNTIF('PATIENT DATA (072721)'!A:A, B25)=0, "X","✓")</f>
        <v>X</v>
      </c>
      <c r="D25" s="226" t="str">
        <f>IFS($B25=FALSE,"",$B25,VLOOKUP($B25,'PATIENT DATA (072721)'!A:C, 3, 0))</f>
        <v/>
      </c>
      <c r="E25" s="218">
        <v>44576.0</v>
      </c>
      <c r="F25" s="219" t="str">
        <f>ifs($B25="","",$B25, VLOOKUP($B25&amp;$E25, 'VISIT DATA'!A:O,3,0))</f>
        <v/>
      </c>
      <c r="G25" s="220"/>
      <c r="H25" s="221"/>
      <c r="I25" s="222" t="str">
        <f>VLOOKUP($B25&amp;$E25,'VISIT DATA'!A:J, 9, FALSE)</f>
        <v>#N/A</v>
      </c>
      <c r="J25" s="223" t="str">
        <f>VLOOKUP(B25&amp;E25,'VISIT DATA'!A:N,10,FALSE)</f>
        <v>#N/A</v>
      </c>
      <c r="K25" s="224"/>
      <c r="L25" s="224"/>
      <c r="M25" s="224"/>
      <c r="N25" s="225"/>
      <c r="O25" s="216" t="str">
        <f t="shared" si="1"/>
        <v>X</v>
      </c>
      <c r="P25" s="226" t="str">
        <f t="shared" si="2"/>
        <v>#N/A</v>
      </c>
      <c r="Q25" s="227" t="str">
        <f t="shared" si="3"/>
        <v>#N/A</v>
      </c>
      <c r="R25" s="228" t="str">
        <f t="shared" si="4"/>
        <v>#N/A</v>
      </c>
      <c r="S25" s="220" t="str">
        <f t="shared" si="5"/>
        <v>#N/A</v>
      </c>
      <c r="T25" s="220" t="str">
        <f t="shared" si="6"/>
        <v>#N/A</v>
      </c>
      <c r="U25" s="221">
        <f t="shared" si="7"/>
        <v>0</v>
      </c>
      <c r="V25" s="229" t="str">
        <f>ifs($N25="",VLOOKUP($B25&amp;$E25,'VISIT DATA'!$A$2:$J100,7,FALSE), $N25="SWAB","OUTSA-RW",$N25="SWQU","OUTSA-SaQu", AND($L25="X",$M25="X",$N25="QUEST"),"OUT-UAQPre",$N25="QUEST","OUT-UAQ", $N25="Walk in","ColUATele")</f>
        <v>#N/A</v>
      </c>
      <c r="W25" s="24" t="str">
        <f t="shared" si="8"/>
        <v>#N/A</v>
      </c>
      <c r="X25" s="222" t="str">
        <f t="shared" si="9"/>
        <v/>
      </c>
      <c r="Y25" s="222" t="str">
        <f t="shared" si="10"/>
        <v/>
      </c>
      <c r="Z25" s="224" t="str">
        <f t="shared" si="11"/>
        <v> </v>
      </c>
      <c r="AA25" s="244"/>
    </row>
    <row r="26" hidden="1">
      <c r="A26" s="214" t="str">
        <f>IFS($B26=FALSE,"",$B26,VLOOKUP($B26,'PATIENT DATA (072721)'!A:C, 2, 0))</f>
        <v/>
      </c>
      <c r="B26" s="215"/>
      <c r="C26" s="216" t="str">
        <f>IF(COUNTIF('PATIENT DATA (072721)'!A:A, B26)=0, "X","✓")</f>
        <v>X</v>
      </c>
      <c r="D26" s="226" t="str">
        <f>IFS($B26=FALSE,"",$B26,VLOOKUP($B26,'PATIENT DATA (072721)'!A:C, 3, 0))</f>
        <v/>
      </c>
      <c r="E26" s="218">
        <v>44576.0</v>
      </c>
      <c r="F26" s="219" t="str">
        <f>ifs($B26="","",$B26, VLOOKUP($B26&amp;$E26, 'VISIT DATA'!A:O,3,0))</f>
        <v/>
      </c>
      <c r="G26" s="220"/>
      <c r="H26" s="221"/>
      <c r="I26" s="222" t="str">
        <f>VLOOKUP($B26&amp;$E26,'VISIT DATA'!A:J, 9, FALSE)</f>
        <v>#N/A</v>
      </c>
      <c r="J26" s="223" t="str">
        <f>VLOOKUP(B26&amp;E26,'VISIT DATA'!A:N,10,FALSE)</f>
        <v>#N/A</v>
      </c>
      <c r="K26" s="224"/>
      <c r="L26" s="224"/>
      <c r="M26" s="224"/>
      <c r="N26" s="224"/>
      <c r="O26" s="216" t="str">
        <f t="shared" si="1"/>
        <v>X</v>
      </c>
      <c r="P26" s="226" t="str">
        <f t="shared" si="2"/>
        <v>#N/A</v>
      </c>
      <c r="Q26" s="227" t="str">
        <f t="shared" si="3"/>
        <v>#N/A</v>
      </c>
      <c r="R26" s="228" t="str">
        <f t="shared" si="4"/>
        <v>#N/A</v>
      </c>
      <c r="S26" s="220" t="str">
        <f t="shared" si="5"/>
        <v>#N/A</v>
      </c>
      <c r="T26" s="220" t="str">
        <f t="shared" si="6"/>
        <v>#N/A</v>
      </c>
      <c r="U26" s="221">
        <f t="shared" si="7"/>
        <v>0</v>
      </c>
      <c r="V26" s="229" t="str">
        <f>ifs($N26="",VLOOKUP($B26&amp;$E26,'VISIT DATA'!$A$2:$J100,7,FALSE), $N26="SWAB","OUTSA-RW",$N26="SWQU","OUTSA-SaQu", AND($L26="X",$M26="X",$N26="QUEST"),"OUT-UAQPre",$N26="QUEST","OUT-UAQ", $N26="Walk in","ColUATele")</f>
        <v>#N/A</v>
      </c>
      <c r="W26" s="24" t="str">
        <f t="shared" si="8"/>
        <v>#N/A</v>
      </c>
      <c r="X26" s="222" t="str">
        <f t="shared" si="9"/>
        <v/>
      </c>
      <c r="Y26" s="222" t="str">
        <f t="shared" si="10"/>
        <v/>
      </c>
      <c r="Z26" s="224" t="str">
        <f t="shared" si="11"/>
        <v> </v>
      </c>
      <c r="AA26" s="245"/>
    </row>
    <row r="27" hidden="1">
      <c r="A27" s="214" t="str">
        <f>IFS($B27=FALSE,"",$B27,VLOOKUP($B27,'PATIENT DATA (072721)'!A:C, 2, 0))</f>
        <v/>
      </c>
      <c r="B27" s="215"/>
      <c r="C27" s="216" t="str">
        <f>IF(COUNTIF('PATIENT DATA (072721)'!A:A, B27)=0, "X","✓")</f>
        <v>X</v>
      </c>
      <c r="D27" s="226" t="str">
        <f>IFS($B27=FALSE,"",$B27,VLOOKUP($B27,'PATIENT DATA (072721)'!A:C, 3, 0))</f>
        <v/>
      </c>
      <c r="E27" s="218">
        <v>44576.0</v>
      </c>
      <c r="F27" s="219" t="str">
        <f>ifs($B27="","",$B27, VLOOKUP($B27&amp;$E27, 'VISIT DATA'!A:O,3,0))</f>
        <v/>
      </c>
      <c r="G27" s="220"/>
      <c r="H27" s="221"/>
      <c r="I27" s="222" t="str">
        <f>VLOOKUP($B27&amp;$E27,'VISIT DATA'!A:J, 9, FALSE)</f>
        <v>#N/A</v>
      </c>
      <c r="J27" s="223" t="str">
        <f>VLOOKUP(B27&amp;E27,'VISIT DATA'!A:N,10,FALSE)</f>
        <v>#N/A</v>
      </c>
      <c r="K27" s="224"/>
      <c r="L27" s="224"/>
      <c r="M27" s="224"/>
      <c r="N27" s="225"/>
      <c r="O27" s="216" t="str">
        <f t="shared" si="1"/>
        <v>X</v>
      </c>
      <c r="P27" s="226" t="str">
        <f t="shared" si="2"/>
        <v>#N/A</v>
      </c>
      <c r="Q27" s="227" t="str">
        <f t="shared" si="3"/>
        <v>#N/A</v>
      </c>
      <c r="R27" s="228" t="str">
        <f t="shared" si="4"/>
        <v>#N/A</v>
      </c>
      <c r="S27" s="220" t="str">
        <f t="shared" si="5"/>
        <v>#N/A</v>
      </c>
      <c r="T27" s="220" t="str">
        <f t="shared" si="6"/>
        <v>#N/A</v>
      </c>
      <c r="U27" s="221">
        <f t="shared" si="7"/>
        <v>0</v>
      </c>
      <c r="V27" s="229" t="str">
        <f>ifs($N27="",VLOOKUP($B27&amp;$E27,'VISIT DATA'!$A$2:$J100,7,FALSE), $N27="SWAB","OUTSA-RW",$N27="SWQU","OUTSA-SaQu", AND($L27="X",$M27="X",$N27="QUEST"),"OUT-UAQPre",$N27="QUEST","OUT-UAQ", $N27="Walk in","ColUATele")</f>
        <v>#N/A</v>
      </c>
      <c r="W27" s="24" t="str">
        <f t="shared" si="8"/>
        <v>#N/A</v>
      </c>
      <c r="X27" s="222" t="str">
        <f t="shared" si="9"/>
        <v/>
      </c>
      <c r="Y27" s="222" t="str">
        <f t="shared" si="10"/>
        <v/>
      </c>
      <c r="Z27" s="224" t="str">
        <f t="shared" si="11"/>
        <v> </v>
      </c>
      <c r="AA27" s="244"/>
    </row>
    <row r="28" hidden="1">
      <c r="A28" s="214" t="str">
        <f>IFS($B28=FALSE,"",$B28,VLOOKUP($B28,'PATIENT DATA (072721)'!A:C, 2, 0))</f>
        <v/>
      </c>
      <c r="B28" s="215"/>
      <c r="C28" s="216" t="str">
        <f>IF(COUNTIF('PATIENT DATA (072721)'!A:A, B28)=0, "X","✓")</f>
        <v>X</v>
      </c>
      <c r="D28" s="226" t="str">
        <f>IFS($B28=FALSE,"",$B28,VLOOKUP($B28,'PATIENT DATA (072721)'!A:C, 3, 0))</f>
        <v/>
      </c>
      <c r="E28" s="218">
        <v>44576.0</v>
      </c>
      <c r="F28" s="219" t="str">
        <f>ifs($B28="","",$B28, VLOOKUP($B28&amp;$E28, 'VISIT DATA'!A:O,3,0))</f>
        <v/>
      </c>
      <c r="G28" s="220"/>
      <c r="H28" s="221"/>
      <c r="I28" s="222" t="str">
        <f>VLOOKUP($B28&amp;$E28,'VISIT DATA'!A:J, 9, FALSE)</f>
        <v>#N/A</v>
      </c>
      <c r="J28" s="223" t="str">
        <f>VLOOKUP(B28&amp;E28,'VISIT DATA'!A:N,10,FALSE)</f>
        <v>#N/A</v>
      </c>
      <c r="K28" s="224"/>
      <c r="L28" s="224"/>
      <c r="M28" s="224"/>
      <c r="N28" s="225"/>
      <c r="O28" s="216" t="str">
        <f t="shared" si="1"/>
        <v>X</v>
      </c>
      <c r="P28" s="226" t="str">
        <f t="shared" si="2"/>
        <v>#N/A</v>
      </c>
      <c r="Q28" s="227" t="str">
        <f t="shared" si="3"/>
        <v>#N/A</v>
      </c>
      <c r="R28" s="228" t="str">
        <f t="shared" si="4"/>
        <v>#N/A</v>
      </c>
      <c r="S28" s="220" t="str">
        <f t="shared" si="5"/>
        <v>#N/A</v>
      </c>
      <c r="T28" s="220" t="str">
        <f t="shared" si="6"/>
        <v>#N/A</v>
      </c>
      <c r="U28" s="221">
        <f t="shared" si="7"/>
        <v>0</v>
      </c>
      <c r="V28" s="229" t="str">
        <f>ifs($N28="",VLOOKUP($B28&amp;$E28,'VISIT DATA'!$A$2:$J100,7,FALSE), $N28="SWAB","OUTSA-RW",$N28="SWQU","OUTSA-SaQu", AND($L28="X",$M28="X",$N28="QUEST"),"OUT-UAQPre",$N28="QUEST","OUT-UAQ", $N28="Walk in","ColUATele")</f>
        <v>#N/A</v>
      </c>
      <c r="W28" s="24" t="str">
        <f t="shared" si="8"/>
        <v>#N/A</v>
      </c>
      <c r="X28" s="222" t="str">
        <f t="shared" si="9"/>
        <v/>
      </c>
      <c r="Y28" s="222" t="str">
        <f t="shared" si="10"/>
        <v/>
      </c>
      <c r="Z28" s="224" t="str">
        <f t="shared" si="11"/>
        <v> </v>
      </c>
      <c r="AA28" s="244"/>
    </row>
    <row r="29" hidden="1">
      <c r="A29" s="214" t="str">
        <f>IFS($B29=FALSE,"",$B29,VLOOKUP($B29,'PATIENT DATA (072721)'!A:C, 2, 0))</f>
        <v/>
      </c>
      <c r="B29" s="215"/>
      <c r="C29" s="216" t="str">
        <f>IF(COUNTIF('PATIENT DATA (072721)'!A:A, B29)=0, "X","✓")</f>
        <v>X</v>
      </c>
      <c r="D29" s="226" t="str">
        <f>IFS($B29=FALSE,"",$B29,VLOOKUP($B29,'PATIENT DATA (072721)'!A:C, 3, 0))</f>
        <v/>
      </c>
      <c r="E29" s="218">
        <v>44576.0</v>
      </c>
      <c r="F29" s="219" t="str">
        <f>ifs($B29="","",$B29, VLOOKUP($B29&amp;$E29, 'VISIT DATA'!A:O,3,0))</f>
        <v/>
      </c>
      <c r="G29" s="220"/>
      <c r="H29" s="221"/>
      <c r="I29" s="222" t="str">
        <f>VLOOKUP($B29&amp;$E29,'VISIT DATA'!A:J, 9, FALSE)</f>
        <v>#N/A</v>
      </c>
      <c r="J29" s="223" t="str">
        <f>VLOOKUP(B29&amp;E29,'VISIT DATA'!A:N,10,FALSE)</f>
        <v>#N/A</v>
      </c>
      <c r="K29" s="224"/>
      <c r="L29" s="224"/>
      <c r="M29" s="224"/>
      <c r="N29" s="224"/>
      <c r="O29" s="216" t="str">
        <f t="shared" si="1"/>
        <v>X</v>
      </c>
      <c r="P29" s="226" t="str">
        <f t="shared" si="2"/>
        <v>#N/A</v>
      </c>
      <c r="Q29" s="227" t="str">
        <f t="shared" si="3"/>
        <v>#N/A</v>
      </c>
      <c r="R29" s="228" t="str">
        <f t="shared" si="4"/>
        <v>#N/A</v>
      </c>
      <c r="S29" s="220" t="str">
        <f t="shared" si="5"/>
        <v>#N/A</v>
      </c>
      <c r="T29" s="220" t="str">
        <f t="shared" si="6"/>
        <v>#N/A</v>
      </c>
      <c r="U29" s="221">
        <f t="shared" si="7"/>
        <v>0</v>
      </c>
      <c r="V29" s="229" t="str">
        <f>ifs($N29="",VLOOKUP($B29&amp;$E29,'VISIT DATA'!$A$2:$J100,7,FALSE), $N29="SWAB","OUTSA-RW",$N29="SWQU","OUTSA-SaQu", AND($L29="X",$M29="X",$N29="QUEST"),"OUT-UAQPre",$N29="QUEST","OUT-UAQ", $N29="Walk in","ColUATele")</f>
        <v>#N/A</v>
      </c>
      <c r="W29" s="24" t="str">
        <f t="shared" si="8"/>
        <v>#N/A</v>
      </c>
      <c r="X29" s="222" t="str">
        <f t="shared" si="9"/>
        <v/>
      </c>
      <c r="Y29" s="222" t="str">
        <f t="shared" si="10"/>
        <v/>
      </c>
      <c r="Z29" s="224" t="str">
        <f t="shared" si="11"/>
        <v> </v>
      </c>
      <c r="AA29" s="245"/>
    </row>
    <row r="30" hidden="1">
      <c r="A30" s="214" t="str">
        <f>IFS($B30=FALSE,"",$B30,VLOOKUP($B30,'PATIENT DATA (072721)'!A:C, 2, 0))</f>
        <v/>
      </c>
      <c r="B30" s="215"/>
      <c r="C30" s="230" t="str">
        <f>IF(COUNTIF('PATIENT DATA (072721)'!A:A, B30)=0, "X","✓")</f>
        <v>X</v>
      </c>
      <c r="D30" s="226" t="str">
        <f>IFS($B30=FALSE,"",$B30,VLOOKUP($B30,'PATIENT DATA (072721)'!A:C, 3, 0))</f>
        <v/>
      </c>
      <c r="E30" s="218">
        <v>44576.0</v>
      </c>
      <c r="F30" s="219" t="str">
        <f>ifs($B30="","",$B30, VLOOKUP($B30&amp;$E30, 'VISIT DATA'!A:O,3,0))</f>
        <v/>
      </c>
      <c r="G30" s="231"/>
      <c r="H30" s="221"/>
      <c r="I30" s="222" t="str">
        <f>VLOOKUP($B30&amp;$E30,'VISIT DATA'!A:J, 9, FALSE)</f>
        <v>#N/A</v>
      </c>
      <c r="J30" s="223" t="str">
        <f>VLOOKUP(B30&amp;E30,'VISIT DATA'!A:N,10,FALSE)</f>
        <v>#N/A</v>
      </c>
      <c r="K30" s="224"/>
      <c r="L30" s="224"/>
      <c r="M30" s="224"/>
      <c r="N30" s="225"/>
      <c r="O30" s="216" t="str">
        <f t="shared" si="1"/>
        <v>X</v>
      </c>
      <c r="P30" s="226" t="str">
        <f t="shared" si="2"/>
        <v>#N/A</v>
      </c>
      <c r="Q30" s="227" t="str">
        <f t="shared" si="3"/>
        <v>#N/A</v>
      </c>
      <c r="R30" s="228" t="str">
        <f t="shared" si="4"/>
        <v>#N/A</v>
      </c>
      <c r="S30" s="220" t="str">
        <f t="shared" si="5"/>
        <v>#N/A</v>
      </c>
      <c r="T30" s="220" t="str">
        <f t="shared" si="6"/>
        <v>#N/A</v>
      </c>
      <c r="U30" s="221">
        <f t="shared" si="7"/>
        <v>0</v>
      </c>
      <c r="V30" s="229" t="str">
        <f>ifs($N30="",VLOOKUP($B30&amp;$E30,'VISIT DATA'!$A$2:$J100,7,FALSE), $N30="SWAB","OUTSA-RW",$N30="SWQU","OUTSA-SaQu", AND($L30="X",$M30="X",$N30="QUEST"),"OUT-UAQPre",$N30="QUEST","OUT-UAQ", $N30="Walk in","ColUATele")</f>
        <v>#N/A</v>
      </c>
      <c r="W30" s="24" t="str">
        <f t="shared" si="8"/>
        <v>#N/A</v>
      </c>
      <c r="X30" s="222" t="str">
        <f t="shared" si="9"/>
        <v/>
      </c>
      <c r="Y30" s="222" t="str">
        <f t="shared" si="10"/>
        <v/>
      </c>
      <c r="Z30" s="224" t="str">
        <f t="shared" si="11"/>
        <v> </v>
      </c>
      <c r="AA30" s="244"/>
    </row>
    <row r="31" hidden="1">
      <c r="A31" s="214" t="str">
        <f>IFS($B31=FALSE,"",$B31,VLOOKUP($B31,'PATIENT DATA (072721)'!A:C, 2, 0))</f>
        <v/>
      </c>
      <c r="B31" s="215"/>
      <c r="C31" s="230" t="str">
        <f>IF(COUNTIF('PATIENT DATA (072721)'!A:A, B31)=0, "X","✓")</f>
        <v>X</v>
      </c>
      <c r="D31" s="226" t="str">
        <f>IFS($B31=FALSE,"",$B31,VLOOKUP($B31,'PATIENT DATA (072721)'!A:C, 3, 0))</f>
        <v/>
      </c>
      <c r="E31" s="218">
        <v>44576.0</v>
      </c>
      <c r="F31" s="219" t="str">
        <f>ifs($B31="","",$B31, VLOOKUP($B31&amp;$E31, 'VISIT DATA'!A:O,3,0))</f>
        <v/>
      </c>
      <c r="G31" s="231"/>
      <c r="H31" s="221"/>
      <c r="I31" s="222" t="str">
        <f>VLOOKUP($B31&amp;$E31,'VISIT DATA'!A:J, 9, FALSE)</f>
        <v>#N/A</v>
      </c>
      <c r="J31" s="223" t="str">
        <f>VLOOKUP(B31&amp;E31,'VISIT DATA'!A:N,10,FALSE)</f>
        <v>#N/A</v>
      </c>
      <c r="K31" s="225"/>
      <c r="L31" s="224"/>
      <c r="M31" s="224"/>
      <c r="N31" s="225"/>
      <c r="O31" s="216" t="str">
        <f t="shared" si="1"/>
        <v>X</v>
      </c>
      <c r="P31" s="226" t="str">
        <f t="shared" si="2"/>
        <v>#N/A</v>
      </c>
      <c r="Q31" s="227" t="str">
        <f t="shared" si="3"/>
        <v>#N/A</v>
      </c>
      <c r="R31" s="228" t="str">
        <f t="shared" si="4"/>
        <v>#N/A</v>
      </c>
      <c r="S31" s="220" t="str">
        <f t="shared" si="5"/>
        <v>#N/A</v>
      </c>
      <c r="T31" s="220" t="str">
        <f t="shared" si="6"/>
        <v>#N/A</v>
      </c>
      <c r="U31" s="221">
        <f t="shared" si="7"/>
        <v>0</v>
      </c>
      <c r="V31" s="229" t="str">
        <f>ifs($N31="",VLOOKUP($B31&amp;$E31,'VISIT DATA'!$A$2:$J100,7,FALSE), $N31="SWAB","OUTSA-RW",$N31="SWQU","OUTSA-SaQu", AND($L31="X",$M31="X",$N31="QUEST"),"OUT-UAQPre",$N31="QUEST","OUT-UAQ", $N31="Walk in","ColUATele")</f>
        <v>#N/A</v>
      </c>
      <c r="W31" s="24" t="str">
        <f t="shared" si="8"/>
        <v>#N/A</v>
      </c>
      <c r="X31" s="222" t="str">
        <f t="shared" si="9"/>
        <v/>
      </c>
      <c r="Y31" s="222" t="str">
        <f t="shared" si="10"/>
        <v/>
      </c>
      <c r="Z31" s="224" t="str">
        <f t="shared" si="11"/>
        <v> </v>
      </c>
      <c r="AA31" s="244"/>
    </row>
    <row r="32" hidden="1">
      <c r="A32" s="214" t="str">
        <f>IFS($B32=FALSE,"",$B32,VLOOKUP($B32,'PATIENT DATA (072721)'!A:C, 2, 0))</f>
        <v/>
      </c>
      <c r="B32" s="215"/>
      <c r="C32" s="230" t="str">
        <f>IF(COUNTIF('PATIENT DATA (072721)'!A:A, B32)=0, "X","✓")</f>
        <v>X</v>
      </c>
      <c r="D32" s="226" t="str">
        <f>IFS($B32=FALSE,"",$B32,VLOOKUP($B32,'PATIENT DATA (072721)'!A:C, 3, 0))</f>
        <v/>
      </c>
      <c r="E32" s="218">
        <v>44576.0</v>
      </c>
      <c r="F32" s="219" t="str">
        <f>ifs($B32="","",$B32, VLOOKUP($B32&amp;$E32, 'VISIT DATA'!A:O,3,0))</f>
        <v/>
      </c>
      <c r="G32" s="231"/>
      <c r="H32" s="221"/>
      <c r="I32" s="222" t="str">
        <f>VLOOKUP($B32&amp;$E32,'VISIT DATA'!A:J, 9, FALSE)</f>
        <v>#N/A</v>
      </c>
      <c r="J32" s="223" t="str">
        <f>VLOOKUP(B32&amp;E32,'VISIT DATA'!A:N,10,FALSE)</f>
        <v>#N/A</v>
      </c>
      <c r="K32" s="224"/>
      <c r="L32" s="224"/>
      <c r="M32" s="224"/>
      <c r="N32" s="225"/>
      <c r="O32" s="216" t="str">
        <f t="shared" si="1"/>
        <v>X</v>
      </c>
      <c r="P32" s="226" t="str">
        <f t="shared" si="2"/>
        <v>#N/A</v>
      </c>
      <c r="Q32" s="227" t="str">
        <f t="shared" si="3"/>
        <v>#N/A</v>
      </c>
      <c r="R32" s="228" t="str">
        <f t="shared" si="4"/>
        <v>#N/A</v>
      </c>
      <c r="S32" s="220" t="str">
        <f t="shared" si="5"/>
        <v>#N/A</v>
      </c>
      <c r="T32" s="220" t="str">
        <f t="shared" si="6"/>
        <v>#N/A</v>
      </c>
      <c r="U32" s="221">
        <f t="shared" si="7"/>
        <v>0</v>
      </c>
      <c r="V32" s="229" t="str">
        <f>ifs($N32="",VLOOKUP($B32&amp;$E32,'VISIT DATA'!$A$2:$J100,7,FALSE), $N32="SWAB","OUTSA-RW",$N32="SWQU","OUTSA-SaQu", AND($L32="X",$M32="X",$N32="QUEST"),"OUT-UAQPre",$N32="QUEST","OUT-UAQ", $N32="Walk in","ColUATele")</f>
        <v>#N/A</v>
      </c>
      <c r="W32" s="24" t="str">
        <f t="shared" si="8"/>
        <v>#N/A</v>
      </c>
      <c r="X32" s="222" t="str">
        <f t="shared" si="9"/>
        <v/>
      </c>
      <c r="Y32" s="222" t="str">
        <f t="shared" si="10"/>
        <v/>
      </c>
      <c r="Z32" s="224" t="str">
        <f t="shared" si="11"/>
        <v> </v>
      </c>
      <c r="AA32" s="244"/>
    </row>
    <row r="33" hidden="1">
      <c r="A33" s="214" t="str">
        <f>IFS($B33=FALSE,"",$B33,VLOOKUP($B33,'PATIENT DATA (072721)'!A:C, 2, 0))</f>
        <v/>
      </c>
      <c r="B33" s="215"/>
      <c r="C33" s="230" t="str">
        <f>IF(COUNTIF('PATIENT DATA (072721)'!A:A, B33)=0, "X","✓")</f>
        <v>X</v>
      </c>
      <c r="D33" s="226" t="str">
        <f>IFS($B33=FALSE,"",$B33,VLOOKUP($B33,'PATIENT DATA (072721)'!A:C, 3, 0))</f>
        <v/>
      </c>
      <c r="E33" s="218">
        <v>44576.0</v>
      </c>
      <c r="F33" s="219" t="str">
        <f>ifs($B33="","",$B33, VLOOKUP($B33&amp;$E33, 'VISIT DATA'!A:O,3,0))</f>
        <v/>
      </c>
      <c r="G33" s="231"/>
      <c r="H33" s="221"/>
      <c r="I33" s="222" t="str">
        <f>VLOOKUP($B33&amp;$E33,'VISIT DATA'!A:J, 9, FALSE)</f>
        <v>#N/A</v>
      </c>
      <c r="J33" s="223" t="str">
        <f>VLOOKUP(B33&amp;E33,'VISIT DATA'!A:N,10,FALSE)</f>
        <v>#N/A</v>
      </c>
      <c r="K33" s="225"/>
      <c r="L33" s="224"/>
      <c r="M33" s="224"/>
      <c r="N33" s="225"/>
      <c r="O33" s="216" t="str">
        <f t="shared" si="1"/>
        <v>X</v>
      </c>
      <c r="P33" s="226" t="str">
        <f t="shared" si="2"/>
        <v>#N/A</v>
      </c>
      <c r="Q33" s="227" t="str">
        <f t="shared" si="3"/>
        <v>#N/A</v>
      </c>
      <c r="R33" s="228" t="str">
        <f t="shared" si="4"/>
        <v>#N/A</v>
      </c>
      <c r="S33" s="220" t="str">
        <f t="shared" si="5"/>
        <v>#N/A</v>
      </c>
      <c r="T33" s="220" t="str">
        <f t="shared" si="6"/>
        <v>#N/A</v>
      </c>
      <c r="U33" s="221">
        <f t="shared" si="7"/>
        <v>0</v>
      </c>
      <c r="V33" s="229" t="str">
        <f>ifs($N33="",VLOOKUP($B33&amp;$E33,'VISIT DATA'!$A$2:$J100,7,FALSE), $N33="SWAB","OUTSA-RW",$N33="SWQU","OUTSA-SaQu", AND($L33="X",$M33="X",$N33="QUEST"),"OUT-UAQPre",$N33="QUEST","OUT-UAQ", $N33="Walk in","ColUATele")</f>
        <v>#N/A</v>
      </c>
      <c r="W33" s="24" t="str">
        <f t="shared" si="8"/>
        <v>#N/A</v>
      </c>
      <c r="X33" s="222" t="str">
        <f t="shared" si="9"/>
        <v/>
      </c>
      <c r="Y33" s="222" t="str">
        <f t="shared" si="10"/>
        <v/>
      </c>
      <c r="Z33" s="224" t="str">
        <f t="shared" si="11"/>
        <v> </v>
      </c>
      <c r="AA33" s="244"/>
    </row>
    <row r="34" hidden="1">
      <c r="A34" s="214" t="str">
        <f>IFS($B34=FALSE,"",$B34,VLOOKUP($B34,'PATIENT DATA (072721)'!A:C, 2, 0))</f>
        <v/>
      </c>
      <c r="B34" s="215"/>
      <c r="C34" s="230" t="str">
        <f>IF(COUNTIF('PATIENT DATA (072721)'!A:A, B34)=0, "X","✓")</f>
        <v>X</v>
      </c>
      <c r="D34" s="226" t="str">
        <f>IFS($B34=FALSE,"",$B34,VLOOKUP($B34,'PATIENT DATA (072721)'!A:C, 3, 0))</f>
        <v/>
      </c>
      <c r="E34" s="218">
        <v>44576.0</v>
      </c>
      <c r="F34" s="219" t="str">
        <f>ifs($B34="","",$B34, VLOOKUP($B34&amp;$E34, 'VISIT DATA'!A:O,3,0))</f>
        <v/>
      </c>
      <c r="G34" s="231"/>
      <c r="H34" s="221"/>
      <c r="I34" s="222" t="str">
        <f>VLOOKUP($B34&amp;$E34,'VISIT DATA'!A:J, 9, FALSE)</f>
        <v>#N/A</v>
      </c>
      <c r="J34" s="223" t="str">
        <f>VLOOKUP(B34&amp;E34,'VISIT DATA'!A:N,10,FALSE)</f>
        <v>#N/A</v>
      </c>
      <c r="K34" s="225"/>
      <c r="L34" s="224"/>
      <c r="M34" s="224"/>
      <c r="N34" s="225"/>
      <c r="O34" s="216" t="str">
        <f t="shared" si="1"/>
        <v>X</v>
      </c>
      <c r="P34" s="226" t="str">
        <f t="shared" si="2"/>
        <v>#N/A</v>
      </c>
      <c r="Q34" s="227" t="str">
        <f t="shared" si="3"/>
        <v>#N/A</v>
      </c>
      <c r="R34" s="228" t="str">
        <f t="shared" si="4"/>
        <v>#N/A</v>
      </c>
      <c r="S34" s="220" t="str">
        <f t="shared" si="5"/>
        <v>#N/A</v>
      </c>
      <c r="T34" s="220" t="str">
        <f t="shared" si="6"/>
        <v>#N/A</v>
      </c>
      <c r="U34" s="221">
        <f t="shared" si="7"/>
        <v>0</v>
      </c>
      <c r="V34" s="229" t="str">
        <f>ifs($N34="",VLOOKUP($B34&amp;$E34,'VISIT DATA'!$A$2:$J100,7,FALSE), $N34="SWAB","OUTSA-RW",$N34="SWQU","OUTSA-SaQu", AND($L34="X",$M34="X",$N34="QUEST"),"OUT-UAQPre",$N34="QUEST","OUT-UAQ", $N34="Walk in","ColUATele")</f>
        <v>#N/A</v>
      </c>
      <c r="W34" s="24" t="str">
        <f t="shared" si="8"/>
        <v>#N/A</v>
      </c>
      <c r="X34" s="222" t="str">
        <f t="shared" si="9"/>
        <v/>
      </c>
      <c r="Y34" s="222" t="str">
        <f t="shared" si="10"/>
        <v/>
      </c>
      <c r="Z34" s="224" t="str">
        <f t="shared" si="11"/>
        <v> </v>
      </c>
      <c r="AA34" s="244"/>
    </row>
    <row r="35" hidden="1">
      <c r="A35" s="214" t="str">
        <f>IFS($B35=FALSE,"",$B35,VLOOKUP($B35,'PATIENT DATA (072721)'!A:C, 2, 0))</f>
        <v/>
      </c>
      <c r="B35" s="215"/>
      <c r="C35" s="230" t="str">
        <f>IF(COUNTIF('PATIENT DATA (072721)'!A:A, B35)=0, "X","✓")</f>
        <v>X</v>
      </c>
      <c r="D35" s="226" t="str">
        <f>IFS($B35=FALSE,"",$B35,VLOOKUP($B35,'PATIENT DATA (072721)'!A:C, 3, 0))</f>
        <v/>
      </c>
      <c r="E35" s="218">
        <v>44576.0</v>
      </c>
      <c r="F35" s="219" t="str">
        <f>ifs($B35="","",$B35, VLOOKUP($B35&amp;$E35, 'VISIT DATA'!A:O,3,0))</f>
        <v/>
      </c>
      <c r="G35" s="231"/>
      <c r="H35" s="221"/>
      <c r="I35" s="222" t="str">
        <f>VLOOKUP($B35&amp;$E35,'VISIT DATA'!A:J, 9, FALSE)</f>
        <v>#N/A</v>
      </c>
      <c r="J35" s="223" t="str">
        <f>VLOOKUP(B35&amp;E35,'VISIT DATA'!A:N,10,FALSE)</f>
        <v>#N/A</v>
      </c>
      <c r="K35" s="224"/>
      <c r="L35" s="224"/>
      <c r="M35" s="224"/>
      <c r="N35" s="224"/>
      <c r="O35" s="216" t="str">
        <f t="shared" si="1"/>
        <v>X</v>
      </c>
      <c r="P35" s="226" t="str">
        <f t="shared" si="2"/>
        <v>#N/A</v>
      </c>
      <c r="Q35" s="227" t="str">
        <f t="shared" si="3"/>
        <v>#N/A</v>
      </c>
      <c r="R35" s="228" t="str">
        <f t="shared" si="4"/>
        <v>#N/A</v>
      </c>
      <c r="S35" s="220" t="str">
        <f t="shared" si="5"/>
        <v>#N/A</v>
      </c>
      <c r="T35" s="220" t="str">
        <f t="shared" si="6"/>
        <v>#N/A</v>
      </c>
      <c r="U35" s="221">
        <f t="shared" si="7"/>
        <v>0</v>
      </c>
      <c r="V35" s="229" t="str">
        <f>ifs($N35="",VLOOKUP($B35&amp;$E35,'VISIT DATA'!$A$2:$J100,7,FALSE), $N35="SWAB","OUTSA-RW",$N35="SWQU","OUTSA-SaQu", AND($L35="X",$M35="X",$N35="QUEST"),"OUT-UAQPre",$N35="QUEST","OUT-UAQ", $N35="Walk in","ColUATele")</f>
        <v>#N/A</v>
      </c>
      <c r="W35" s="24" t="str">
        <f t="shared" si="8"/>
        <v>#N/A</v>
      </c>
      <c r="X35" s="222" t="str">
        <f t="shared" si="9"/>
        <v/>
      </c>
      <c r="Y35" s="222" t="str">
        <f t="shared" si="10"/>
        <v/>
      </c>
      <c r="Z35" s="224" t="str">
        <f t="shared" si="11"/>
        <v> </v>
      </c>
      <c r="AA35" s="244"/>
    </row>
    <row r="36" hidden="1">
      <c r="A36" s="214" t="str">
        <f>IFS($B36=FALSE,"",$B36,VLOOKUP($B36,'PATIENT DATA (072721)'!A:C, 2, 0))</f>
        <v/>
      </c>
      <c r="B36" s="215"/>
      <c r="C36" s="230" t="str">
        <f>IF(COUNTIF('PATIENT DATA (072721)'!A:A, B36)=0, "X","✓")</f>
        <v>X</v>
      </c>
      <c r="D36" s="226" t="str">
        <f>IFS($B36=FALSE,"",$B36,VLOOKUP($B36,'PATIENT DATA (072721)'!A:C, 3, 0))</f>
        <v/>
      </c>
      <c r="E36" s="218">
        <v>44576.0</v>
      </c>
      <c r="F36" s="219" t="str">
        <f>ifs($B36="","",$B36, VLOOKUP($B36&amp;$E36, 'VISIT DATA'!A:O,3,0))</f>
        <v/>
      </c>
      <c r="G36" s="231"/>
      <c r="H36" s="221"/>
      <c r="I36" s="222" t="str">
        <f>VLOOKUP($B36&amp;$E36,'VISIT DATA'!A:J, 9, FALSE)</f>
        <v>#N/A</v>
      </c>
      <c r="J36" s="223" t="str">
        <f>VLOOKUP(B36&amp;E36,'VISIT DATA'!A:N,10,FALSE)</f>
        <v>#N/A</v>
      </c>
      <c r="K36" s="225"/>
      <c r="L36" s="224"/>
      <c r="M36" s="224"/>
      <c r="N36" s="225"/>
      <c r="O36" s="216" t="str">
        <f t="shared" si="1"/>
        <v>X</v>
      </c>
      <c r="P36" s="226" t="str">
        <f t="shared" si="2"/>
        <v>#N/A</v>
      </c>
      <c r="Q36" s="227" t="str">
        <f t="shared" si="3"/>
        <v>#N/A</v>
      </c>
      <c r="R36" s="228" t="str">
        <f t="shared" si="4"/>
        <v>#N/A</v>
      </c>
      <c r="S36" s="220" t="str">
        <f t="shared" si="5"/>
        <v>#N/A</v>
      </c>
      <c r="T36" s="220" t="str">
        <f t="shared" si="6"/>
        <v>#N/A</v>
      </c>
      <c r="U36" s="221">
        <f t="shared" si="7"/>
        <v>0</v>
      </c>
      <c r="V36" s="229" t="str">
        <f>ifs($N36="",VLOOKUP($B36&amp;$E36,'VISIT DATA'!$A$2:$J100,7,FALSE), $N36="SWAB","OUTSA-RW",$N36="SWQU","OUTSA-SaQu", AND($L36="X",$M36="X",$N36="QUEST"),"OUT-UAQPre",$N36="QUEST","OUT-UAQ", $N36="Walk in","ColUATele")</f>
        <v>#N/A</v>
      </c>
      <c r="W36" s="24" t="str">
        <f t="shared" si="8"/>
        <v>#N/A</v>
      </c>
      <c r="X36" s="222" t="str">
        <f t="shared" si="9"/>
        <v/>
      </c>
      <c r="Y36" s="222" t="str">
        <f t="shared" si="10"/>
        <v/>
      </c>
      <c r="Z36" s="224" t="str">
        <f t="shared" si="11"/>
        <v> </v>
      </c>
      <c r="AA36" s="244"/>
    </row>
    <row r="37" hidden="1">
      <c r="A37" s="214" t="str">
        <f>IFS($B37=FALSE,"",$B37,VLOOKUP($B37,'PATIENT DATA (072721)'!A:C, 2, 0))</f>
        <v/>
      </c>
      <c r="B37" s="215"/>
      <c r="C37" s="230" t="str">
        <f>IF(COUNTIF('PATIENT DATA (072721)'!A:A, B37)=0, "X","✓")</f>
        <v>X</v>
      </c>
      <c r="D37" s="226" t="str">
        <f>IFS($B37=FALSE,"",$B37,VLOOKUP($B37,'PATIENT DATA (072721)'!A:C, 3, 0))</f>
        <v/>
      </c>
      <c r="E37" s="218">
        <v>44576.0</v>
      </c>
      <c r="F37" s="219" t="str">
        <f>ifs($B37="","",$B37, VLOOKUP($B37&amp;$E37, 'VISIT DATA'!A:O,3,0))</f>
        <v/>
      </c>
      <c r="G37" s="231"/>
      <c r="H37" s="221"/>
      <c r="I37" s="222" t="str">
        <f>VLOOKUP($B37&amp;$E37,'VISIT DATA'!A:J, 9, FALSE)</f>
        <v>#N/A</v>
      </c>
      <c r="J37" s="223" t="str">
        <f>VLOOKUP(B37&amp;E37,'VISIT DATA'!A:N,10,FALSE)</f>
        <v>#N/A</v>
      </c>
      <c r="K37" s="225"/>
      <c r="L37" s="224"/>
      <c r="M37" s="224"/>
      <c r="N37" s="225"/>
      <c r="O37" s="216" t="str">
        <f t="shared" si="1"/>
        <v>X</v>
      </c>
      <c r="P37" s="226" t="str">
        <f t="shared" si="2"/>
        <v>#N/A</v>
      </c>
      <c r="Q37" s="227" t="str">
        <f t="shared" si="3"/>
        <v>#N/A</v>
      </c>
      <c r="R37" s="228" t="str">
        <f t="shared" si="4"/>
        <v>#N/A</v>
      </c>
      <c r="S37" s="220" t="str">
        <f t="shared" si="5"/>
        <v>#N/A</v>
      </c>
      <c r="T37" s="220" t="str">
        <f t="shared" si="6"/>
        <v>#N/A</v>
      </c>
      <c r="U37" s="221">
        <f t="shared" si="7"/>
        <v>0</v>
      </c>
      <c r="V37" s="229" t="str">
        <f>ifs($N37="",VLOOKUP($B37&amp;$E37,'VISIT DATA'!$A$2:$J100,7,FALSE), $N37="SWAB","OUTSA-RW",$N37="SWQU","OUTSA-SaQu", AND($L37="X",$M37="X",$N37="QUEST"),"OUT-UAQPre",$N37="QUEST","OUT-UAQ", $N37="Walk in","ColUATele")</f>
        <v>#N/A</v>
      </c>
      <c r="W37" s="24" t="str">
        <f t="shared" si="8"/>
        <v>#N/A</v>
      </c>
      <c r="X37" s="222" t="str">
        <f t="shared" si="9"/>
        <v/>
      </c>
      <c r="Y37" s="222" t="str">
        <f t="shared" si="10"/>
        <v/>
      </c>
      <c r="Z37" s="224" t="str">
        <f t="shared" si="11"/>
        <v> </v>
      </c>
      <c r="AA37" s="244"/>
    </row>
    <row r="38" hidden="1">
      <c r="A38" s="214" t="str">
        <f>IFS($B38=FALSE,"",$B38,VLOOKUP($B38,'PATIENT DATA (072721)'!A:C, 2, 0))</f>
        <v/>
      </c>
      <c r="B38" s="215"/>
      <c r="C38" s="230" t="str">
        <f>IF(COUNTIF('PATIENT DATA (072721)'!A:A, B38)=0, "X","✓")</f>
        <v>X</v>
      </c>
      <c r="D38" s="226" t="str">
        <f>IFS($B38=FALSE,"",$B38,VLOOKUP($B38,'PATIENT DATA (072721)'!A:C, 3, 0))</f>
        <v/>
      </c>
      <c r="E38" s="218">
        <v>44576.0</v>
      </c>
      <c r="F38" s="219" t="str">
        <f>ifs($B38="","",$B38, VLOOKUP($B38&amp;$E38, 'VISIT DATA'!A:O,3,0))</f>
        <v/>
      </c>
      <c r="G38" s="231"/>
      <c r="H38" s="221"/>
      <c r="I38" s="222" t="str">
        <f>VLOOKUP($B38&amp;$E38,'VISIT DATA'!A:J, 9, FALSE)</f>
        <v>#N/A</v>
      </c>
      <c r="J38" s="223" t="str">
        <f>VLOOKUP(B38&amp;E38,'VISIT DATA'!A:N,10,FALSE)</f>
        <v>#N/A</v>
      </c>
      <c r="K38" s="225"/>
      <c r="L38" s="224"/>
      <c r="M38" s="224"/>
      <c r="N38" s="225"/>
      <c r="O38" s="216" t="str">
        <f t="shared" si="1"/>
        <v>X</v>
      </c>
      <c r="P38" s="226" t="str">
        <f t="shared" si="2"/>
        <v>#N/A</v>
      </c>
      <c r="Q38" s="227" t="str">
        <f t="shared" si="3"/>
        <v>#N/A</v>
      </c>
      <c r="R38" s="228" t="str">
        <f t="shared" si="4"/>
        <v>#N/A</v>
      </c>
      <c r="S38" s="220" t="str">
        <f t="shared" si="5"/>
        <v>#N/A</v>
      </c>
      <c r="T38" s="220" t="str">
        <f t="shared" si="6"/>
        <v>#N/A</v>
      </c>
      <c r="U38" s="221">
        <f t="shared" si="7"/>
        <v>0</v>
      </c>
      <c r="V38" s="229" t="str">
        <f>ifs($N38="",VLOOKUP($B38&amp;$E38,'VISIT DATA'!$A$2:$J100,7,FALSE), $N38="SWAB","OUTSA-RW",$N38="SWQU","OUTSA-SaQu", AND($L38="X",$M38="X",$N38="QUEST"),"OUT-UAQPre",$N38="QUEST","OUT-UAQ", $N38="Walk in","ColUATele")</f>
        <v>#N/A</v>
      </c>
      <c r="W38" s="24" t="str">
        <f t="shared" si="8"/>
        <v>#N/A</v>
      </c>
      <c r="X38" s="222" t="str">
        <f t="shared" si="9"/>
        <v/>
      </c>
      <c r="Y38" s="222" t="str">
        <f t="shared" si="10"/>
        <v/>
      </c>
      <c r="Z38" s="224" t="str">
        <f t="shared" si="11"/>
        <v> </v>
      </c>
      <c r="AA38" s="244"/>
    </row>
    <row r="39" hidden="1">
      <c r="A39" s="214" t="str">
        <f>IFS($B39=FALSE,"",$B39,VLOOKUP($B39,'PATIENT DATA (072721)'!A:C, 2, 0))</f>
        <v/>
      </c>
      <c r="B39" s="215"/>
      <c r="C39" s="230" t="str">
        <f>IF(COUNTIF('PATIENT DATA (072721)'!A:A, B39)=0, "X","✓")</f>
        <v>X</v>
      </c>
      <c r="D39" s="226" t="str">
        <f>IFS($B39=FALSE,"",$B39,VLOOKUP($B39,'PATIENT DATA (072721)'!A:C, 3, 0))</f>
        <v/>
      </c>
      <c r="E39" s="218">
        <v>44576.0</v>
      </c>
      <c r="F39" s="219" t="str">
        <f>ifs($B39="","",$B39, VLOOKUP($B39&amp;$E39, 'VISIT DATA'!A:O,3,0))</f>
        <v/>
      </c>
      <c r="G39" s="231"/>
      <c r="H39" s="221"/>
      <c r="I39" s="222" t="str">
        <f>VLOOKUP($B39&amp;$E39,'VISIT DATA'!A:J, 9, FALSE)</f>
        <v>#N/A</v>
      </c>
      <c r="J39" s="223" t="str">
        <f>VLOOKUP(B39&amp;E39,'VISIT DATA'!A:N,10,FALSE)</f>
        <v>#N/A</v>
      </c>
      <c r="K39" s="225"/>
      <c r="L39" s="224"/>
      <c r="M39" s="224"/>
      <c r="N39" s="225"/>
      <c r="O39" s="216" t="str">
        <f t="shared" si="1"/>
        <v>X</v>
      </c>
      <c r="P39" s="226" t="str">
        <f t="shared" si="2"/>
        <v>#N/A</v>
      </c>
      <c r="Q39" s="227" t="str">
        <f t="shared" si="3"/>
        <v>#N/A</v>
      </c>
      <c r="R39" s="228" t="str">
        <f t="shared" si="4"/>
        <v>#N/A</v>
      </c>
      <c r="S39" s="220" t="str">
        <f t="shared" si="5"/>
        <v>#N/A</v>
      </c>
      <c r="T39" s="220" t="str">
        <f t="shared" si="6"/>
        <v>#N/A</v>
      </c>
      <c r="U39" s="221">
        <f t="shared" si="7"/>
        <v>0</v>
      </c>
      <c r="V39" s="229" t="str">
        <f>ifs($N39="",VLOOKUP($B39&amp;$E39,'VISIT DATA'!$A$2:$J100,7,FALSE), $N39="SWAB","OUTSA-RW",$N39="SWQU","OUTSA-SaQu", AND($L39="X",$M39="X",$N39="QUEST"),"OUT-UAQPre",$N39="QUEST","OUT-UAQ", $N39="Walk in","ColUATele")</f>
        <v>#N/A</v>
      </c>
      <c r="W39" s="24" t="str">
        <f t="shared" si="8"/>
        <v>#N/A</v>
      </c>
      <c r="X39" s="222" t="str">
        <f t="shared" si="9"/>
        <v/>
      </c>
      <c r="Y39" s="222" t="str">
        <f t="shared" si="10"/>
        <v/>
      </c>
      <c r="Z39" s="224" t="str">
        <f t="shared" si="11"/>
        <v> </v>
      </c>
      <c r="AA39" s="244"/>
    </row>
    <row r="40" hidden="1">
      <c r="A40" s="214" t="str">
        <f>IFS($B40=FALSE,"",$B40,VLOOKUP($B40,'PATIENT DATA (072721)'!A:C, 2, 0))</f>
        <v/>
      </c>
      <c r="B40" s="215"/>
      <c r="C40" s="230" t="str">
        <f>IF(COUNTIF('PATIENT DATA (072721)'!A:A, B40)=0, "X","✓")</f>
        <v>X</v>
      </c>
      <c r="D40" s="226" t="str">
        <f>IFS($B40=FALSE,"",$B40,VLOOKUP($B40,'PATIENT DATA (072721)'!A:C, 3, 0))</f>
        <v/>
      </c>
      <c r="E40" s="218">
        <v>44576.0</v>
      </c>
      <c r="F40" s="219" t="str">
        <f>ifs($B40="","",$B40, VLOOKUP($B40&amp;$E40, 'VISIT DATA'!A:O,3,0))</f>
        <v/>
      </c>
      <c r="G40" s="231"/>
      <c r="H40" s="221"/>
      <c r="I40" s="222" t="str">
        <f>VLOOKUP($B40&amp;$E40,'VISIT DATA'!A:J, 9, FALSE)</f>
        <v>#N/A</v>
      </c>
      <c r="J40" s="223" t="str">
        <f>VLOOKUP(B40&amp;E40,'VISIT DATA'!A:N,10,FALSE)</f>
        <v>#N/A</v>
      </c>
      <c r="K40" s="224"/>
      <c r="L40" s="224"/>
      <c r="M40" s="224"/>
      <c r="N40" s="225"/>
      <c r="O40" s="216" t="str">
        <f t="shared" si="1"/>
        <v>X</v>
      </c>
      <c r="P40" s="226" t="str">
        <f t="shared" si="2"/>
        <v>#N/A</v>
      </c>
      <c r="Q40" s="227" t="str">
        <f t="shared" si="3"/>
        <v>#N/A</v>
      </c>
      <c r="R40" s="228" t="str">
        <f t="shared" si="4"/>
        <v>#N/A</v>
      </c>
      <c r="S40" s="220" t="str">
        <f t="shared" si="5"/>
        <v>#N/A</v>
      </c>
      <c r="T40" s="220" t="str">
        <f t="shared" si="6"/>
        <v>#N/A</v>
      </c>
      <c r="U40" s="221">
        <f t="shared" si="7"/>
        <v>0</v>
      </c>
      <c r="V40" s="229" t="str">
        <f>ifs($N40="",VLOOKUP($B40&amp;$E40,'VISIT DATA'!$A$2:$J100,7,FALSE), $N40="SWAB","OUTSA-RW",$N40="SWQU","OUTSA-SaQu", AND($L40="X",$M40="X",$N40="QUEST"),"OUT-UAQPre",$N40="QUEST","OUT-UAQ", $N40="Walk in","ColUATele")</f>
        <v>#N/A</v>
      </c>
      <c r="W40" s="24" t="str">
        <f t="shared" si="8"/>
        <v>#N/A</v>
      </c>
      <c r="X40" s="222" t="str">
        <f t="shared" si="9"/>
        <v/>
      </c>
      <c r="Y40" s="222" t="str">
        <f t="shared" si="10"/>
        <v/>
      </c>
      <c r="Z40" s="224" t="str">
        <f t="shared" si="11"/>
        <v> </v>
      </c>
      <c r="AA40" s="244"/>
    </row>
    <row r="41" hidden="1">
      <c r="A41" s="214" t="str">
        <f>IFS($B41=FALSE,"",$B41,VLOOKUP($B41,'PATIENT DATA (072721)'!A:C, 2, 0))</f>
        <v/>
      </c>
      <c r="B41" s="215"/>
      <c r="C41" s="216" t="str">
        <f>IF(COUNTIF('PATIENT DATA (072721)'!A:A, B41)=0, "X","✓")</f>
        <v>X</v>
      </c>
      <c r="D41" s="226" t="str">
        <f>IFS($B41=FALSE,"",$B41,VLOOKUP($B41,'PATIENT DATA (072721)'!A:C, 3, 0))</f>
        <v/>
      </c>
      <c r="E41" s="218">
        <v>44576.0</v>
      </c>
      <c r="F41" s="219" t="str">
        <f>ifs($B41="","",$B41, VLOOKUP($B41&amp;$E41, 'VISIT DATA'!A:O,3,0))</f>
        <v/>
      </c>
      <c r="G41" s="220"/>
      <c r="H41" s="221"/>
      <c r="I41" s="222" t="str">
        <f>VLOOKUP($B41&amp;$E41,'VISIT DATA'!A:J, 9, FALSE)</f>
        <v>#N/A</v>
      </c>
      <c r="J41" s="223" t="str">
        <f>VLOOKUP(B41&amp;E41,'VISIT DATA'!A:N,10,FALSE)</f>
        <v>#N/A</v>
      </c>
      <c r="K41" s="225"/>
      <c r="L41" s="224"/>
      <c r="M41" s="224"/>
      <c r="N41" s="225"/>
      <c r="O41" s="216" t="str">
        <f t="shared" si="1"/>
        <v>X</v>
      </c>
      <c r="P41" s="226" t="str">
        <f t="shared" si="2"/>
        <v>#N/A</v>
      </c>
      <c r="Q41" s="227" t="str">
        <f t="shared" si="3"/>
        <v>#N/A</v>
      </c>
      <c r="R41" s="228" t="str">
        <f t="shared" si="4"/>
        <v>#N/A</v>
      </c>
      <c r="S41" s="220" t="str">
        <f t="shared" si="5"/>
        <v>#N/A</v>
      </c>
      <c r="T41" s="220" t="str">
        <f t="shared" si="6"/>
        <v>#N/A</v>
      </c>
      <c r="U41" s="221">
        <f t="shared" si="7"/>
        <v>0</v>
      </c>
      <c r="V41" s="229" t="str">
        <f>ifs($N41="",VLOOKUP($B41&amp;$E41,'VISIT DATA'!$A$2:$J100,7,FALSE), $N41="SWAB","OUTSA-RW",$N41="SWQU","OUTSA-SaQu", AND($L41="X",$M41="X",$N41="QUEST"),"OUT-UAQPre",$N41="QUEST","OUT-UAQ", $N41="Walk in","ColUATele")</f>
        <v>#N/A</v>
      </c>
      <c r="W41" s="24" t="str">
        <f t="shared" si="8"/>
        <v>#N/A</v>
      </c>
      <c r="X41" s="222" t="str">
        <f t="shared" si="9"/>
        <v/>
      </c>
      <c r="Y41" s="222" t="str">
        <f t="shared" si="10"/>
        <v/>
      </c>
      <c r="Z41" s="224" t="str">
        <f t="shared" si="11"/>
        <v> </v>
      </c>
      <c r="AA41" s="244"/>
    </row>
    <row r="42" hidden="1">
      <c r="A42" s="214" t="str">
        <f>IFS($B42=FALSE,"",$B42,VLOOKUP($B42,'PATIENT DATA (072721)'!A:C, 2, 0))</f>
        <v/>
      </c>
      <c r="B42" s="215"/>
      <c r="C42" s="216" t="str">
        <f>IF(COUNTIF('PATIENT DATA (072721)'!A:A, B42)=0, "X","✓")</f>
        <v>X</v>
      </c>
      <c r="D42" s="226" t="str">
        <f>IFS($B42=FALSE,"",$B42,VLOOKUP($B42,'PATIENT DATA (072721)'!A:C, 3, 0))</f>
        <v/>
      </c>
      <c r="E42" s="218">
        <v>44576.0</v>
      </c>
      <c r="F42" s="219" t="str">
        <f>ifs($B42="","",$B42, VLOOKUP($B42&amp;$E42, 'VISIT DATA'!A:O,3,0))</f>
        <v/>
      </c>
      <c r="G42" s="220"/>
      <c r="H42" s="221"/>
      <c r="I42" s="222" t="str">
        <f>VLOOKUP($B42&amp;$E42,'VISIT DATA'!A:J, 9, FALSE)</f>
        <v>#N/A</v>
      </c>
      <c r="J42" s="223" t="str">
        <f>VLOOKUP(B42&amp;E42,'VISIT DATA'!A:N,10,FALSE)</f>
        <v>#N/A</v>
      </c>
      <c r="K42" s="225"/>
      <c r="L42" s="224"/>
      <c r="M42" s="224"/>
      <c r="N42" s="225"/>
      <c r="O42" s="216" t="str">
        <f t="shared" si="1"/>
        <v>X</v>
      </c>
      <c r="P42" s="226" t="str">
        <f t="shared" si="2"/>
        <v>#N/A</v>
      </c>
      <c r="Q42" s="227" t="str">
        <f t="shared" si="3"/>
        <v>#N/A</v>
      </c>
      <c r="R42" s="228" t="str">
        <f t="shared" si="4"/>
        <v>#N/A</v>
      </c>
      <c r="S42" s="220" t="str">
        <f t="shared" si="5"/>
        <v>#N/A</v>
      </c>
      <c r="T42" s="220" t="str">
        <f t="shared" si="6"/>
        <v>#N/A</v>
      </c>
      <c r="U42" s="221">
        <f t="shared" si="7"/>
        <v>0</v>
      </c>
      <c r="V42" s="229" t="str">
        <f>ifs($N42="",VLOOKUP($B42&amp;$E42,'VISIT DATA'!$A$2:$J100,7,FALSE), $N42="SWAB","OUTSA-RW",$N42="SWQU","OUTSA-SaQu", AND($L42="X",$M42="X",$N42="QUEST"),"OUT-UAQPre",$N42="QUEST","OUT-UAQ", $N42="Walk in","ColUATele")</f>
        <v>#N/A</v>
      </c>
      <c r="W42" s="24" t="str">
        <f t="shared" si="8"/>
        <v>#N/A</v>
      </c>
      <c r="X42" s="222" t="str">
        <f t="shared" si="9"/>
        <v/>
      </c>
      <c r="Y42" s="222" t="str">
        <f t="shared" si="10"/>
        <v/>
      </c>
      <c r="Z42" s="224" t="str">
        <f t="shared" si="11"/>
        <v> </v>
      </c>
      <c r="AA42" s="244"/>
    </row>
    <row r="43" hidden="1">
      <c r="A43" s="214" t="str">
        <f>IFS($B43=FALSE,"",$B43,VLOOKUP($B43,'PATIENT DATA (072721)'!A:C, 2, 0))</f>
        <v/>
      </c>
      <c r="B43" s="215"/>
      <c r="C43" s="216" t="str">
        <f>IF(COUNTIF('PATIENT DATA (072721)'!A:A, B43)=0, "X","✓")</f>
        <v>X</v>
      </c>
      <c r="D43" s="226" t="str">
        <f>IFS($B43=FALSE,"",$B43,VLOOKUP($B43,'PATIENT DATA (072721)'!A:C, 3, 0))</f>
        <v/>
      </c>
      <c r="E43" s="218">
        <v>44576.0</v>
      </c>
      <c r="F43" s="219" t="str">
        <f>ifs($B43="","",$B43, VLOOKUP($B43&amp;$E43, 'VISIT DATA'!A:O,3,0))</f>
        <v/>
      </c>
      <c r="G43" s="220"/>
      <c r="H43" s="221"/>
      <c r="I43" s="222" t="str">
        <f>VLOOKUP($B43&amp;$E43,'VISIT DATA'!A:J, 9, FALSE)</f>
        <v>#N/A</v>
      </c>
      <c r="J43" s="223" t="str">
        <f>VLOOKUP(B43&amp;E43,'VISIT DATA'!A:N,10,FALSE)</f>
        <v>#N/A</v>
      </c>
      <c r="K43" s="225"/>
      <c r="L43" s="224"/>
      <c r="M43" s="224"/>
      <c r="N43" s="225"/>
      <c r="O43" s="216" t="str">
        <f t="shared" si="1"/>
        <v>X</v>
      </c>
      <c r="P43" s="226" t="str">
        <f t="shared" si="2"/>
        <v>#N/A</v>
      </c>
      <c r="Q43" s="227" t="str">
        <f t="shared" si="3"/>
        <v>#N/A</v>
      </c>
      <c r="R43" s="228" t="str">
        <f t="shared" si="4"/>
        <v>#N/A</v>
      </c>
      <c r="S43" s="220" t="str">
        <f t="shared" si="5"/>
        <v>#N/A</v>
      </c>
      <c r="T43" s="220" t="str">
        <f t="shared" si="6"/>
        <v>#N/A</v>
      </c>
      <c r="U43" s="221">
        <f t="shared" si="7"/>
        <v>0</v>
      </c>
      <c r="V43" s="229" t="str">
        <f>ifs($N43="",VLOOKUP($B43&amp;$E43,'VISIT DATA'!$A$2:$J100,7,FALSE), $N43="SWAB","OUTSA-RW",$N43="SWQU","OUTSA-SaQu", AND($L43="X",$M43="X",$N43="QUEST"),"OUT-UAQPre",$N43="QUEST","OUT-UAQ", $N43="Walk in","ColUATele")</f>
        <v>#N/A</v>
      </c>
      <c r="W43" s="24" t="str">
        <f t="shared" si="8"/>
        <v>#N/A</v>
      </c>
      <c r="X43" s="222" t="str">
        <f t="shared" si="9"/>
        <v/>
      </c>
      <c r="Y43" s="222" t="str">
        <f t="shared" si="10"/>
        <v/>
      </c>
      <c r="Z43" s="224" t="str">
        <f t="shared" si="11"/>
        <v> </v>
      </c>
      <c r="AA43" s="244"/>
    </row>
    <row r="44" hidden="1">
      <c r="A44" s="214" t="str">
        <f>IFS($B44=FALSE,"",$B44,VLOOKUP($B44,'PATIENT DATA (072721)'!A:C, 2, 0))</f>
        <v/>
      </c>
      <c r="B44" s="215"/>
      <c r="C44" s="216" t="str">
        <f>IF(COUNTIF('PATIENT DATA (072721)'!A:A, B44)=0, "X","✓")</f>
        <v>X</v>
      </c>
      <c r="D44" s="226" t="str">
        <f>IFS($B44=FALSE,"",$B44,VLOOKUP($B44,'PATIENT DATA (072721)'!A:C, 3, 0))</f>
        <v/>
      </c>
      <c r="E44" s="218">
        <v>44576.0</v>
      </c>
      <c r="F44" s="219" t="str">
        <f>ifs($B44="","",$B44, VLOOKUP($B44&amp;$E44, 'VISIT DATA'!A:O,3,0))</f>
        <v/>
      </c>
      <c r="G44" s="220"/>
      <c r="H44" s="221"/>
      <c r="I44" s="222" t="str">
        <f>VLOOKUP($B44&amp;$E44,'VISIT DATA'!A:J, 9, FALSE)</f>
        <v>#N/A</v>
      </c>
      <c r="J44" s="223" t="str">
        <f>VLOOKUP(B44&amp;E44,'VISIT DATA'!A:N,10,FALSE)</f>
        <v>#N/A</v>
      </c>
      <c r="K44" s="224"/>
      <c r="L44" s="224"/>
      <c r="M44" s="224"/>
      <c r="N44" s="225"/>
      <c r="O44" s="216" t="str">
        <f t="shared" si="1"/>
        <v>X</v>
      </c>
      <c r="P44" s="226" t="str">
        <f t="shared" si="2"/>
        <v>#N/A</v>
      </c>
      <c r="Q44" s="227" t="str">
        <f t="shared" si="3"/>
        <v>#N/A</v>
      </c>
      <c r="R44" s="228" t="str">
        <f t="shared" si="4"/>
        <v>#N/A</v>
      </c>
      <c r="S44" s="220" t="str">
        <f t="shared" si="5"/>
        <v>#N/A</v>
      </c>
      <c r="T44" s="220" t="str">
        <f t="shared" si="6"/>
        <v>#N/A</v>
      </c>
      <c r="U44" s="221">
        <f t="shared" si="7"/>
        <v>0</v>
      </c>
      <c r="V44" s="229" t="str">
        <f>ifs($N44="",VLOOKUP($B44&amp;$E44,'VISIT DATA'!$A$2:$J100,7,FALSE), $N44="SWAB","OUTSA-RW",$N44="SWQU","OUTSA-SaQu", AND($L44="X",$M44="X",$N44="QUEST"),"OUT-UAQPre",$N44="QUEST","OUT-UAQ", $N44="Walk in","ColUATele")</f>
        <v>#N/A</v>
      </c>
      <c r="W44" s="24" t="str">
        <f t="shared" si="8"/>
        <v>#N/A</v>
      </c>
      <c r="X44" s="222" t="str">
        <f t="shared" si="9"/>
        <v/>
      </c>
      <c r="Y44" s="222" t="str">
        <f t="shared" si="10"/>
        <v/>
      </c>
      <c r="Z44" s="224" t="str">
        <f t="shared" si="11"/>
        <v> </v>
      </c>
      <c r="AA44" s="244"/>
    </row>
    <row r="45" hidden="1">
      <c r="A45" s="214" t="str">
        <f>IFS($B45=FALSE,"",$B45,VLOOKUP($B45,'PATIENT DATA (072721)'!A:C, 2, 0))</f>
        <v/>
      </c>
      <c r="B45" s="215"/>
      <c r="C45" s="216" t="str">
        <f>IF(COUNTIF('PATIENT DATA (072721)'!A:A, B45)=0, "X","✓")</f>
        <v>X</v>
      </c>
      <c r="D45" s="226" t="str">
        <f>IFS($B45=FALSE,"",$B45,VLOOKUP($B45,'PATIENT DATA (072721)'!A:C, 3, 0))</f>
        <v/>
      </c>
      <c r="E45" s="218">
        <v>44576.0</v>
      </c>
      <c r="F45" s="219" t="str">
        <f>ifs($B45="","",$B45, VLOOKUP($B45&amp;$E45, 'VISIT DATA'!A:O,3,0))</f>
        <v/>
      </c>
      <c r="G45" s="220"/>
      <c r="H45" s="221"/>
      <c r="I45" s="222" t="str">
        <f>VLOOKUP($B45&amp;$E45,'VISIT DATA'!A:J, 9, FALSE)</f>
        <v>#N/A</v>
      </c>
      <c r="J45" s="223" t="str">
        <f>VLOOKUP(B45&amp;E45,'VISIT DATA'!A:N,10,FALSE)</f>
        <v>#N/A</v>
      </c>
      <c r="K45" s="225"/>
      <c r="L45" s="224"/>
      <c r="M45" s="224"/>
      <c r="N45" s="225"/>
      <c r="O45" s="216" t="str">
        <f t="shared" si="1"/>
        <v>X</v>
      </c>
      <c r="P45" s="226" t="str">
        <f t="shared" si="2"/>
        <v>#N/A</v>
      </c>
      <c r="Q45" s="227" t="str">
        <f t="shared" si="3"/>
        <v>#N/A</v>
      </c>
      <c r="R45" s="228" t="str">
        <f t="shared" si="4"/>
        <v>#N/A</v>
      </c>
      <c r="S45" s="220" t="str">
        <f t="shared" si="5"/>
        <v>#N/A</v>
      </c>
      <c r="T45" s="220" t="str">
        <f t="shared" si="6"/>
        <v>#N/A</v>
      </c>
      <c r="U45" s="221">
        <f t="shared" si="7"/>
        <v>0</v>
      </c>
      <c r="V45" s="229" t="str">
        <f>ifs($N45="",VLOOKUP($B45&amp;$E45,'VISIT DATA'!$A$2:$J100,7,FALSE), $N45="SWAB","OUTSA-RW",$N45="SWQU","OUTSA-SaQu", AND($L45="X",$M45="X",$N45="QUEST"),"OUT-UAQPre",$N45="QUEST","OUT-UAQ", $N45="Walk in","ColUATele")</f>
        <v>#N/A</v>
      </c>
      <c r="W45" s="24" t="str">
        <f t="shared" si="8"/>
        <v>#N/A</v>
      </c>
      <c r="X45" s="222" t="str">
        <f t="shared" si="9"/>
        <v/>
      </c>
      <c r="Y45" s="222" t="str">
        <f t="shared" si="10"/>
        <v/>
      </c>
      <c r="Z45" s="224" t="str">
        <f t="shared" si="11"/>
        <v> </v>
      </c>
      <c r="AA45" s="244"/>
    </row>
    <row r="46" hidden="1">
      <c r="A46" s="214" t="str">
        <f>IFS($B46=FALSE,"",$B46,VLOOKUP($B46,'PATIENT DATA (072721)'!A:C, 2, 0))</f>
        <v/>
      </c>
      <c r="B46" s="215"/>
      <c r="C46" s="216" t="str">
        <f>IF(COUNTIF('PATIENT DATA (072721)'!A:A, B46)=0, "X","✓")</f>
        <v>X</v>
      </c>
      <c r="D46" s="226" t="str">
        <f>IFS($B46=FALSE,"",$B46,VLOOKUP($B46,'PATIENT DATA (072721)'!A:C, 3, 0))</f>
        <v/>
      </c>
      <c r="E46" s="218">
        <v>44576.0</v>
      </c>
      <c r="F46" s="219" t="str">
        <f>ifs($B46="","",$B46, VLOOKUP($B46&amp;$E46, 'VISIT DATA'!A:O,3,0))</f>
        <v/>
      </c>
      <c r="G46" s="220"/>
      <c r="H46" s="221"/>
      <c r="I46" s="222" t="str">
        <f>VLOOKUP($B46&amp;$E46,'VISIT DATA'!A:J, 9, FALSE)</f>
        <v>#N/A</v>
      </c>
      <c r="J46" s="223" t="str">
        <f>VLOOKUP(B46&amp;E46,'VISIT DATA'!A:N,10,FALSE)</f>
        <v>#N/A</v>
      </c>
      <c r="K46" s="224"/>
      <c r="L46" s="224"/>
      <c r="M46" s="224"/>
      <c r="N46" s="225"/>
      <c r="O46" s="216" t="str">
        <f t="shared" si="1"/>
        <v>X</v>
      </c>
      <c r="P46" s="226" t="str">
        <f t="shared" si="2"/>
        <v>#N/A</v>
      </c>
      <c r="Q46" s="227" t="str">
        <f t="shared" si="3"/>
        <v>#N/A</v>
      </c>
      <c r="R46" s="228" t="str">
        <f t="shared" si="4"/>
        <v>#N/A</v>
      </c>
      <c r="S46" s="220" t="str">
        <f t="shared" si="5"/>
        <v>#N/A</v>
      </c>
      <c r="T46" s="220" t="str">
        <f t="shared" si="6"/>
        <v>#N/A</v>
      </c>
      <c r="U46" s="221">
        <f t="shared" si="7"/>
        <v>0</v>
      </c>
      <c r="V46" s="229" t="str">
        <f>ifs($N46="",VLOOKUP($B46&amp;$E46,'VISIT DATA'!$A$2:$J100,7,FALSE), $N46="SWAB","OUTSA-RW",$N46="SWQU","OUTSA-SaQu", AND($L46="X",$M46="X",$N46="QUEST"),"OUT-UAQPre",$N46="QUEST","OUT-UAQ", $N46="Walk in","ColUATele")</f>
        <v>#N/A</v>
      </c>
      <c r="W46" s="24" t="str">
        <f t="shared" si="8"/>
        <v>#N/A</v>
      </c>
      <c r="X46" s="222" t="str">
        <f t="shared" si="9"/>
        <v/>
      </c>
      <c r="Y46" s="222" t="str">
        <f t="shared" si="10"/>
        <v/>
      </c>
      <c r="Z46" s="224" t="str">
        <f t="shared" si="11"/>
        <v> </v>
      </c>
      <c r="AA46" s="244"/>
    </row>
    <row r="47" hidden="1">
      <c r="A47" s="214" t="str">
        <f>IFS($B47=FALSE,"",$B47,VLOOKUP($B47,'PATIENT DATA (072721)'!A:C, 2, 0))</f>
        <v/>
      </c>
      <c r="B47" s="215"/>
      <c r="C47" s="230" t="str">
        <f>IF(COUNTIF('PATIENT DATA (072721)'!A:A, B47)=0, "X","✓")</f>
        <v>X</v>
      </c>
      <c r="D47" s="226" t="str">
        <f>IFS($B47=FALSE,"",$B47,VLOOKUP($B47,'PATIENT DATA (072721)'!A:C, 3, 0))</f>
        <v/>
      </c>
      <c r="E47" s="218">
        <v>44576.0</v>
      </c>
      <c r="F47" s="219" t="str">
        <f>ifs($B47="","",$B47, VLOOKUP($B47&amp;$E47, 'VISIT DATA'!A:O,3,0))</f>
        <v/>
      </c>
      <c r="G47" s="220"/>
      <c r="H47" s="221"/>
      <c r="I47" s="222" t="str">
        <f>VLOOKUP($B47&amp;$E47,'VISIT DATA'!A:J, 9, FALSE)</f>
        <v>#N/A</v>
      </c>
      <c r="J47" s="223" t="str">
        <f>VLOOKUP(B47&amp;E47,'VISIT DATA'!A:N,10,FALSE)</f>
        <v>#N/A</v>
      </c>
      <c r="K47" s="225"/>
      <c r="L47" s="224"/>
      <c r="M47" s="224"/>
      <c r="N47" s="225"/>
      <c r="O47" s="216" t="str">
        <f t="shared" si="1"/>
        <v>X</v>
      </c>
      <c r="P47" s="226" t="str">
        <f t="shared" si="2"/>
        <v>#N/A</v>
      </c>
      <c r="Q47" s="227" t="str">
        <f t="shared" si="3"/>
        <v>#N/A</v>
      </c>
      <c r="R47" s="228" t="str">
        <f t="shared" si="4"/>
        <v>#N/A</v>
      </c>
      <c r="S47" s="220" t="str">
        <f t="shared" si="5"/>
        <v>#N/A</v>
      </c>
      <c r="T47" s="220" t="str">
        <f t="shared" si="6"/>
        <v>#N/A</v>
      </c>
      <c r="U47" s="221">
        <f t="shared" si="7"/>
        <v>0</v>
      </c>
      <c r="V47" s="229" t="str">
        <f>ifs($N47="",VLOOKUP($B47&amp;$E47,'VISIT DATA'!$A$2:$J100,7,FALSE), $N47="SWAB","OUTSA-RW",$N47="SWQU","OUTSA-SaQu", AND($L47="X",$M47="X",$N47="QUEST"),"OUT-UAQPre",$N47="QUEST","OUT-UAQ", $N47="Walk in","ColUATele")</f>
        <v>#N/A</v>
      </c>
      <c r="W47" s="24" t="str">
        <f t="shared" si="8"/>
        <v>#N/A</v>
      </c>
      <c r="X47" s="222" t="str">
        <f t="shared" si="9"/>
        <v/>
      </c>
      <c r="Y47" s="222" t="str">
        <f t="shared" si="10"/>
        <v/>
      </c>
      <c r="Z47" s="224" t="str">
        <f t="shared" si="11"/>
        <v> </v>
      </c>
      <c r="AA47" s="244"/>
    </row>
    <row r="48" hidden="1">
      <c r="A48" s="214" t="str">
        <f>IFS($B48=FALSE,"",$B48,VLOOKUP($B48,'PATIENT DATA (072721)'!A:C, 2, 0))</f>
        <v/>
      </c>
      <c r="B48" s="215"/>
      <c r="C48" s="230" t="str">
        <f>IF(COUNTIF('PATIENT DATA (072721)'!A:A, B48)=0, "X","✓")</f>
        <v>X</v>
      </c>
      <c r="D48" s="226" t="str">
        <f>IFS($B48=FALSE,"",$B48,VLOOKUP($B48,'PATIENT DATA (072721)'!A:C, 3, 0))</f>
        <v/>
      </c>
      <c r="E48" s="218">
        <v>44576.0</v>
      </c>
      <c r="F48" s="219" t="str">
        <f>ifs($B48="","",$B48, VLOOKUP($B48&amp;$E48, 'VISIT DATA'!A:O,3,0))</f>
        <v/>
      </c>
      <c r="G48" s="220"/>
      <c r="H48" s="221"/>
      <c r="I48" s="222" t="str">
        <f>VLOOKUP($B48&amp;$E48,'VISIT DATA'!A:J, 9, FALSE)</f>
        <v>#N/A</v>
      </c>
      <c r="J48" s="223" t="str">
        <f>VLOOKUP(B48&amp;E48,'VISIT DATA'!A:N,10,FALSE)</f>
        <v>#N/A</v>
      </c>
      <c r="K48" s="225"/>
      <c r="L48" s="224"/>
      <c r="M48" s="224"/>
      <c r="N48" s="224"/>
      <c r="O48" s="216" t="str">
        <f t="shared" si="1"/>
        <v>X</v>
      </c>
      <c r="P48" s="226" t="str">
        <f t="shared" si="2"/>
        <v>#N/A</v>
      </c>
      <c r="Q48" s="227" t="str">
        <f t="shared" si="3"/>
        <v>#N/A</v>
      </c>
      <c r="R48" s="228" t="str">
        <f t="shared" si="4"/>
        <v>#N/A</v>
      </c>
      <c r="S48" s="220" t="str">
        <f t="shared" si="5"/>
        <v>#N/A</v>
      </c>
      <c r="T48" s="220" t="str">
        <f t="shared" si="6"/>
        <v>#N/A</v>
      </c>
      <c r="U48" s="221">
        <f t="shared" si="7"/>
        <v>0</v>
      </c>
      <c r="V48" s="229" t="str">
        <f>ifs($N48="",VLOOKUP($B48&amp;$E48,'VISIT DATA'!$A$2:$J100,7,FALSE), $N48="SWAB","OUTSA-RW",$N48="SWQU","OUTSA-SaQu", AND($L48="X",$M48="X",$N48="QUEST"),"OUT-UAQPre",$N48="QUEST","OUT-UAQ", $N48="Walk in","ColUATele")</f>
        <v>#N/A</v>
      </c>
      <c r="W48" s="24" t="str">
        <f t="shared" si="8"/>
        <v>#N/A</v>
      </c>
      <c r="X48" s="222" t="str">
        <f t="shared" si="9"/>
        <v/>
      </c>
      <c r="Y48" s="222" t="str">
        <f t="shared" si="10"/>
        <v/>
      </c>
      <c r="Z48" s="224" t="str">
        <f t="shared" si="11"/>
        <v> </v>
      </c>
      <c r="AA48" s="244"/>
    </row>
    <row r="49" hidden="1">
      <c r="A49" s="214" t="str">
        <f>IFS($B49=FALSE,"",$B49,VLOOKUP($B49,'PATIENT DATA (072721)'!A:C, 2, 0))</f>
        <v/>
      </c>
      <c r="B49" s="215"/>
      <c r="C49" s="247" t="str">
        <f>IF(COUNTIF('PATIENT DATA (072721)'!A:A, B49)=0, "X","✓")</f>
        <v>X</v>
      </c>
      <c r="D49" s="226" t="str">
        <f>IFS($B49=FALSE,"",$B49,VLOOKUP($B49,'PATIENT DATA (072721)'!A:C, 3, 0))</f>
        <v/>
      </c>
      <c r="E49" s="218">
        <v>44576.0</v>
      </c>
      <c r="F49" s="219"/>
      <c r="G49" s="220"/>
      <c r="H49" s="221"/>
      <c r="I49" s="222" t="str">
        <f>VLOOKUP($B49&amp;$E49,'VISIT DATA'!A:J, 9, FALSE)</f>
        <v>#N/A</v>
      </c>
      <c r="J49" s="223" t="str">
        <f>VLOOKUP(B49&amp;E49,'VISIT DATA'!A:N,10,FALSE)</f>
        <v>#N/A</v>
      </c>
      <c r="K49" s="225"/>
      <c r="L49" s="224"/>
      <c r="M49" s="224"/>
      <c r="N49" s="225"/>
      <c r="O49" s="247" t="str">
        <f t="shared" si="1"/>
        <v>X</v>
      </c>
      <c r="P49" s="226" t="str">
        <f t="shared" si="2"/>
        <v>#N/A</v>
      </c>
      <c r="Q49" s="227" t="str">
        <f t="shared" si="3"/>
        <v>#N/A</v>
      </c>
      <c r="R49" s="228" t="str">
        <f t="shared" si="4"/>
        <v>#N/A</v>
      </c>
      <c r="S49" s="220" t="str">
        <f t="shared" si="5"/>
        <v>#N/A</v>
      </c>
      <c r="T49" s="220" t="str">
        <f t="shared" si="6"/>
        <v>#N/A</v>
      </c>
      <c r="U49" s="221">
        <f t="shared" si="7"/>
        <v>0</v>
      </c>
      <c r="V49" s="229" t="str">
        <f>ifs($N49="",VLOOKUP($B49&amp;$E49,'VISIT DATA'!$A$2:$J100,7,FALSE), $N49="SWAB","OUTSA-RW",$N49="SWQU","OUTSA-SaQu", AND($L49="X",$M49="X",$N49="QUEST"),"OUT-UAQPre",$N49="QUEST","OUT-UAQ", $N49="Walk in","ColUATele")</f>
        <v>#N/A</v>
      </c>
      <c r="W49" s="24" t="str">
        <f t="shared" si="8"/>
        <v>#N/A</v>
      </c>
      <c r="X49" s="222" t="str">
        <f t="shared" si="9"/>
        <v/>
      </c>
      <c r="Y49" s="222" t="str">
        <f t="shared" si="10"/>
        <v/>
      </c>
      <c r="Z49" s="224" t="str">
        <f t="shared" si="11"/>
        <v> </v>
      </c>
      <c r="AA49" s="244"/>
    </row>
    <row r="50" hidden="1">
      <c r="A50" s="248" t="str">
        <f>IFS($B50=FALSE,"",$B50,VLOOKUP($B50,'PATIENT DATA (072721)'!A:C, 2, 0))</f>
        <v/>
      </c>
      <c r="B50" s="249"/>
      <c r="C50" s="250" t="str">
        <f>IF(COUNTIF('PATIENT DATA (072721)'!A:A, B50)=0, "X","✓")</f>
        <v>X</v>
      </c>
      <c r="D50" s="251" t="str">
        <f>IFS($B50=FALSE,"",$B50,VLOOKUP($B50,'PATIENT DATA (072721)'!A:C, 3, 0))</f>
        <v/>
      </c>
      <c r="E50" s="252">
        <v>44576.0</v>
      </c>
      <c r="F50" s="253" t="str">
        <f>ifs($B50="","",$B50, VLOOKUP($B50&amp;$E50, 'VISIT DATA'!A:O,3,0))</f>
        <v/>
      </c>
      <c r="G50" s="254"/>
      <c r="H50" s="255"/>
      <c r="I50" s="256" t="str">
        <f>VLOOKUP($B50&amp;$E50,'VISIT DATA'!A:J, 9, FALSE)</f>
        <v>#N/A</v>
      </c>
      <c r="J50" s="257" t="str">
        <f>VLOOKUP(B50&amp;E50,'VISIT DATA'!A:N,10,FALSE)</f>
        <v>#N/A</v>
      </c>
      <c r="K50" s="258"/>
      <c r="L50" s="259"/>
      <c r="M50" s="259"/>
      <c r="N50" s="258"/>
      <c r="O50" s="260" t="str">
        <f t="shared" si="1"/>
        <v>X</v>
      </c>
      <c r="P50" s="226" t="str">
        <f t="shared" si="2"/>
        <v>#N/A</v>
      </c>
      <c r="Q50" s="227" t="str">
        <f t="shared" si="3"/>
        <v>#N/A</v>
      </c>
      <c r="R50" s="228" t="str">
        <f t="shared" si="4"/>
        <v>#N/A</v>
      </c>
      <c r="S50" s="220" t="str">
        <f t="shared" si="5"/>
        <v>#N/A</v>
      </c>
      <c r="T50" s="220" t="str">
        <f t="shared" si="6"/>
        <v>#N/A</v>
      </c>
      <c r="U50" s="221">
        <f t="shared" si="7"/>
        <v>0</v>
      </c>
      <c r="V50" s="261" t="str">
        <f>ifs($N50="",VLOOKUP($B50&amp;$E50,'VISIT DATA'!$A$2:$J100,7,FALSE), $N50="SWAB","OUTSA-RW",$N50="SWQU","OUTSA-SaQu", AND($L50="X",$M50="X",$N50="QUEST"),"OUT-UAQPre",$N50="QUEST","OUT-UAQ", $N50="Walk in","ColUATele")</f>
        <v>#N/A</v>
      </c>
      <c r="W50" s="24" t="str">
        <f t="shared" si="8"/>
        <v>#N/A</v>
      </c>
      <c r="X50" s="222" t="str">
        <f t="shared" si="9"/>
        <v/>
      </c>
      <c r="Y50" s="222" t="str">
        <f t="shared" si="10"/>
        <v/>
      </c>
      <c r="Z50" s="224" t="str">
        <f t="shared" si="11"/>
        <v> </v>
      </c>
      <c r="AA50" s="244"/>
    </row>
    <row r="51" hidden="1">
      <c r="A51" s="214" t="str">
        <f>IFS($B51=FALSE,"",$B51,VLOOKUP($B51,'PATIENT DATA (072721)'!A:C, 2, 0))</f>
        <v/>
      </c>
      <c r="B51" s="215"/>
      <c r="C51" s="230" t="str">
        <f>IF(COUNTIF('PATIENT DATA (072721)'!A:A, B51)=0, "X","✓")</f>
        <v>X</v>
      </c>
      <c r="D51" s="226" t="str">
        <f>IFS($B51=FALSE,"",$B51,VLOOKUP($B51,'PATIENT DATA (072721)'!A:C, 3, 0))</f>
        <v/>
      </c>
      <c r="E51" s="218">
        <v>44576.0</v>
      </c>
      <c r="F51" s="219" t="str">
        <f>ifs($B51="","",$B51, VLOOKUP($B51&amp;$E51, 'VISIT DATA'!A:O,3,0))</f>
        <v/>
      </c>
      <c r="G51" s="231"/>
      <c r="H51" s="221"/>
      <c r="I51" s="262" t="str">
        <f>VLOOKUP($B51&amp;$E51,'VISIT DATA'!A:J, 9, FALSE)</f>
        <v>#N/A</v>
      </c>
      <c r="J51" s="223" t="str">
        <f>VLOOKUP(B51&amp;E51,'VISIT DATA'!A:N,10,FALSE)</f>
        <v>#N/A</v>
      </c>
      <c r="K51" s="225"/>
      <c r="L51" s="224"/>
      <c r="M51" s="224"/>
      <c r="N51" s="225"/>
      <c r="O51" s="216" t="str">
        <f t="shared" si="1"/>
        <v>X</v>
      </c>
      <c r="P51" s="226" t="str">
        <f t="shared" si="2"/>
        <v>#N/A</v>
      </c>
      <c r="Q51" s="227" t="str">
        <f t="shared" si="3"/>
        <v>#N/A</v>
      </c>
      <c r="R51" s="228" t="str">
        <f t="shared" si="4"/>
        <v>#N/A</v>
      </c>
      <c r="S51" s="220" t="str">
        <f t="shared" si="5"/>
        <v>#N/A</v>
      </c>
      <c r="T51" s="220" t="str">
        <f t="shared" si="6"/>
        <v>#N/A</v>
      </c>
      <c r="U51" s="221">
        <f t="shared" si="7"/>
        <v>0</v>
      </c>
      <c r="V51" s="229" t="str">
        <f>ifs($N51="",VLOOKUP($B51&amp;$E51,'VISIT DATA'!$A$2:$J100,7,FALSE), $N51="SWAB","OUTSA-RW",$N51="SWQU","OUTSA-SaQu", AND($L51="X",$M51="X",$N51="QUEST"),"OUT-UAQPre",$N51="QUEST","OUT-UAQ", $N51="Walk in","ColUATele")</f>
        <v>#N/A</v>
      </c>
      <c r="W51" s="24" t="str">
        <f t="shared" si="8"/>
        <v>#N/A</v>
      </c>
      <c r="X51" s="222" t="str">
        <f t="shared" si="9"/>
        <v/>
      </c>
      <c r="Y51" s="222" t="str">
        <f t="shared" si="10"/>
        <v/>
      </c>
      <c r="Z51" s="224" t="str">
        <f t="shared" si="11"/>
        <v> </v>
      </c>
      <c r="AA51" s="244"/>
    </row>
    <row r="52" hidden="1">
      <c r="A52" s="214" t="str">
        <f>IFS($B52=FALSE,"",$B52,VLOOKUP($B52,'PATIENT DATA (072721)'!A:C, 2, 0))</f>
        <v/>
      </c>
      <c r="B52" s="215"/>
      <c r="C52" s="230" t="str">
        <f>IF(COUNTIF('PATIENT DATA (072721)'!A:A, B52)=0, "X","✓")</f>
        <v>X</v>
      </c>
      <c r="D52" s="226" t="str">
        <f>IFS($B52=FALSE,"",$B52,VLOOKUP($B52,'PATIENT DATA (072721)'!A:C, 3, 0))</f>
        <v/>
      </c>
      <c r="E52" s="218">
        <v>44576.0</v>
      </c>
      <c r="F52" s="219" t="str">
        <f>ifs($B52="","",$B52, VLOOKUP($B52&amp;$E52, 'VISIT DATA'!A:O,3,0))</f>
        <v/>
      </c>
      <c r="G52" s="231"/>
      <c r="H52" s="221"/>
      <c r="I52" s="262" t="str">
        <f>VLOOKUP($B52&amp;$E52,'VISIT DATA'!A:J, 9, FALSE)</f>
        <v>#N/A</v>
      </c>
      <c r="J52" s="223" t="str">
        <f>VLOOKUP(B52&amp;E52,'VISIT DATA'!A:N,10,FALSE)</f>
        <v>#N/A</v>
      </c>
      <c r="K52" s="225"/>
      <c r="L52" s="224"/>
      <c r="M52" s="224"/>
      <c r="N52" s="225"/>
      <c r="O52" s="216" t="str">
        <f t="shared" si="1"/>
        <v>X</v>
      </c>
      <c r="P52" s="226" t="str">
        <f t="shared" si="2"/>
        <v>#N/A</v>
      </c>
      <c r="Q52" s="227" t="str">
        <f t="shared" si="3"/>
        <v>#N/A</v>
      </c>
      <c r="R52" s="228" t="str">
        <f t="shared" si="4"/>
        <v>#N/A</v>
      </c>
      <c r="S52" s="220" t="str">
        <f t="shared" si="5"/>
        <v>#N/A</v>
      </c>
      <c r="T52" s="220" t="str">
        <f t="shared" si="6"/>
        <v>#N/A</v>
      </c>
      <c r="U52" s="221">
        <f t="shared" si="7"/>
        <v>0</v>
      </c>
      <c r="V52" s="229" t="str">
        <f>ifs($N52="",VLOOKUP($B52&amp;$E52,'VISIT DATA'!$A$2:$J100,7,FALSE), $N52="SWAB","OUTSA-RW",$N52="SWQU","OUTSA-SaQu", AND($L52="X",$M52="X",$N52="QUEST"),"OUT-UAQPre",$N52="QUEST","OUT-UAQ", $N52="Walk in","ColUATele")</f>
        <v>#N/A</v>
      </c>
      <c r="W52" s="24" t="str">
        <f t="shared" si="8"/>
        <v>#N/A</v>
      </c>
      <c r="X52" s="222" t="str">
        <f t="shared" si="9"/>
        <v/>
      </c>
      <c r="Y52" s="222" t="str">
        <f t="shared" si="10"/>
        <v/>
      </c>
      <c r="Z52" s="224" t="str">
        <f t="shared" si="11"/>
        <v> </v>
      </c>
      <c r="AA52" s="244"/>
    </row>
    <row r="53" hidden="1">
      <c r="A53" s="214" t="str">
        <f>IFS($B53=FALSE,"",$B53,VLOOKUP($B53,'PATIENT DATA (072721)'!A:C, 2, 0))</f>
        <v/>
      </c>
      <c r="B53" s="215"/>
      <c r="C53" s="230" t="str">
        <f>IF(COUNTIF('PATIENT DATA (072721)'!A:A, B53)=0, "X","✓")</f>
        <v>X</v>
      </c>
      <c r="D53" s="226" t="str">
        <f>IFS($B53=FALSE,"",$B53,VLOOKUP($B53,'PATIENT DATA (072721)'!A:C, 3, 0))</f>
        <v/>
      </c>
      <c r="E53" s="218">
        <v>44576.0</v>
      </c>
      <c r="F53" s="219" t="str">
        <f>ifs($B53="","",$B53, VLOOKUP($B53&amp;$E53, 'VISIT DATA'!A:O,3,0))</f>
        <v/>
      </c>
      <c r="G53" s="231"/>
      <c r="H53" s="221"/>
      <c r="I53" s="262" t="str">
        <f>VLOOKUP($B53&amp;$E53,'VISIT DATA'!A:J, 9, FALSE)</f>
        <v>#N/A</v>
      </c>
      <c r="J53" s="223" t="str">
        <f>VLOOKUP(B53&amp;E53,'VISIT DATA'!A:N,10,FALSE)</f>
        <v>#N/A</v>
      </c>
      <c r="K53" s="224"/>
      <c r="L53" s="224"/>
      <c r="M53" s="224"/>
      <c r="N53" s="225"/>
      <c r="O53" s="216" t="str">
        <f t="shared" si="1"/>
        <v>X</v>
      </c>
      <c r="P53" s="226" t="str">
        <f t="shared" si="2"/>
        <v>#N/A</v>
      </c>
      <c r="Q53" s="227" t="str">
        <f t="shared" si="3"/>
        <v>#N/A</v>
      </c>
      <c r="R53" s="228" t="str">
        <f t="shared" si="4"/>
        <v>#N/A</v>
      </c>
      <c r="S53" s="220" t="str">
        <f t="shared" si="5"/>
        <v>#N/A</v>
      </c>
      <c r="T53" s="220" t="str">
        <f t="shared" si="6"/>
        <v>#N/A</v>
      </c>
      <c r="U53" s="221">
        <f t="shared" si="7"/>
        <v>0</v>
      </c>
      <c r="V53" s="229" t="str">
        <f>ifs($N53="",VLOOKUP($B53&amp;$E53,'VISIT DATA'!$A$2:$J100,7,FALSE), $N53="SWAB","OUTSA-RW",$N53="SWQU","OUTSA-SaQu", AND($L53="X",$M53="X",$N53="QUEST"),"OUT-UAQPre",$N53="QUEST","OUT-UAQ", $N53="Walk in","ColUATele")</f>
        <v>#N/A</v>
      </c>
      <c r="W53" s="24" t="str">
        <f t="shared" si="8"/>
        <v>#N/A</v>
      </c>
      <c r="X53" s="222" t="str">
        <f t="shared" si="9"/>
        <v/>
      </c>
      <c r="Y53" s="222" t="str">
        <f t="shared" si="10"/>
        <v/>
      </c>
      <c r="Z53" s="224" t="str">
        <f t="shared" si="11"/>
        <v> </v>
      </c>
      <c r="AA53" s="244"/>
    </row>
    <row r="54" hidden="1">
      <c r="A54" s="214" t="str">
        <f>IFS($B54=FALSE,"",$B54,VLOOKUP($B54,'PATIENT DATA (072721)'!A:C, 2, 0))</f>
        <v/>
      </c>
      <c r="B54" s="215"/>
      <c r="C54" s="230" t="str">
        <f>IF(COUNTIF('PATIENT DATA (072721)'!A:A, B54)=0, "X","✓")</f>
        <v>X</v>
      </c>
      <c r="D54" s="226" t="str">
        <f>IFS($B54=FALSE,"",$B54,VLOOKUP($B54,'PATIENT DATA (072721)'!A:C, 3, 0))</f>
        <v/>
      </c>
      <c r="E54" s="218">
        <v>44576.0</v>
      </c>
      <c r="F54" s="219" t="str">
        <f>ifs($B54="","",$B54, VLOOKUP($B54&amp;$E54, 'VISIT DATA'!A:O,3,0))</f>
        <v/>
      </c>
      <c r="G54" s="231"/>
      <c r="H54" s="221"/>
      <c r="I54" s="262" t="str">
        <f>VLOOKUP($B54&amp;$E54,'VISIT DATA'!A:J, 9, FALSE)</f>
        <v>#N/A</v>
      </c>
      <c r="J54" s="223" t="str">
        <f>VLOOKUP(B54&amp;E54,'VISIT DATA'!A:N,10,FALSE)</f>
        <v>#N/A</v>
      </c>
      <c r="K54" s="225"/>
      <c r="L54" s="224"/>
      <c r="M54" s="224"/>
      <c r="N54" s="225"/>
      <c r="O54" s="216" t="str">
        <f t="shared" si="1"/>
        <v>X</v>
      </c>
      <c r="P54" s="226" t="str">
        <f t="shared" si="2"/>
        <v>#N/A</v>
      </c>
      <c r="Q54" s="227" t="str">
        <f t="shared" si="3"/>
        <v>#N/A</v>
      </c>
      <c r="R54" s="228" t="str">
        <f t="shared" si="4"/>
        <v>#N/A</v>
      </c>
      <c r="S54" s="220" t="str">
        <f t="shared" si="5"/>
        <v>#N/A</v>
      </c>
      <c r="T54" s="220" t="str">
        <f t="shared" si="6"/>
        <v>#N/A</v>
      </c>
      <c r="U54" s="221">
        <f t="shared" si="7"/>
        <v>0</v>
      </c>
      <c r="V54" s="229" t="str">
        <f>ifs($N54="",VLOOKUP($B54&amp;$E54,'VISIT DATA'!$A$2:$J100,7,FALSE), $N54="SWAB","OUTSA-RW",$N54="SWQU","OUTSA-SaQu", AND($L54="X",$M54="X",$N54="QUEST"),"OUT-UAQPre",$N54="QUEST","OUT-UAQ", $N54="Walk in","ColUATele")</f>
        <v>#N/A</v>
      </c>
      <c r="W54" s="24" t="str">
        <f t="shared" si="8"/>
        <v>#N/A</v>
      </c>
      <c r="X54" s="222" t="str">
        <f t="shared" si="9"/>
        <v/>
      </c>
      <c r="Y54" s="222" t="str">
        <f t="shared" si="10"/>
        <v/>
      </c>
      <c r="Z54" s="224" t="str">
        <f t="shared" si="11"/>
        <v> </v>
      </c>
      <c r="AA54" s="244"/>
    </row>
    <row r="55" hidden="1">
      <c r="A55" s="214" t="str">
        <f>IFS($B55=FALSE,"",$B55,VLOOKUP($B55,'PATIENT DATA (072721)'!A:C, 2, 0))</f>
        <v/>
      </c>
      <c r="B55" s="215"/>
      <c r="C55" s="230" t="str">
        <f>IF(COUNTIF('PATIENT DATA (072721)'!A:A, B55)=0, "X","✓")</f>
        <v>X</v>
      </c>
      <c r="D55" s="226" t="str">
        <f>IFS($B55=FALSE,"",$B55,VLOOKUP($B55,'PATIENT DATA (072721)'!A:C, 3, 0))</f>
        <v/>
      </c>
      <c r="E55" s="218">
        <v>44576.0</v>
      </c>
      <c r="F55" s="219" t="str">
        <f>ifs($B55="","",$B55, VLOOKUP($B55&amp;$E55, 'VISIT DATA'!A:O,3,0))</f>
        <v/>
      </c>
      <c r="G55" s="231"/>
      <c r="H55" s="221"/>
      <c r="I55" s="262" t="str">
        <f>VLOOKUP($B55&amp;$E55,'VISIT DATA'!A:J, 9, FALSE)</f>
        <v>#N/A</v>
      </c>
      <c r="J55" s="223" t="str">
        <f>VLOOKUP(B55&amp;E55,'VISIT DATA'!A:N,10,FALSE)</f>
        <v>#N/A</v>
      </c>
      <c r="K55" s="225"/>
      <c r="L55" s="224"/>
      <c r="M55" s="224"/>
      <c r="N55" s="225"/>
      <c r="O55" s="216" t="str">
        <f t="shared" si="1"/>
        <v>X</v>
      </c>
      <c r="P55" s="226" t="str">
        <f t="shared" si="2"/>
        <v>#N/A</v>
      </c>
      <c r="Q55" s="227" t="str">
        <f t="shared" si="3"/>
        <v>#N/A</v>
      </c>
      <c r="R55" s="228" t="str">
        <f t="shared" si="4"/>
        <v>#N/A</v>
      </c>
      <c r="S55" s="220" t="str">
        <f t="shared" si="5"/>
        <v>#N/A</v>
      </c>
      <c r="T55" s="220" t="str">
        <f t="shared" si="6"/>
        <v>#N/A</v>
      </c>
      <c r="U55" s="221">
        <f t="shared" si="7"/>
        <v>0</v>
      </c>
      <c r="V55" s="229" t="str">
        <f>ifs($N55="",VLOOKUP($B55&amp;$E55,'VISIT DATA'!$A$2:$J100,7,FALSE), $N55="SWAB","OUTSA-RW",$N55="SWQU","OUTSA-SaQu", AND($L55="X",$M55="X",$N55="QUEST"),"OUT-UAQPre",$N55="QUEST","OUT-UAQ", $N55="Walk in","ColUATele")</f>
        <v>#N/A</v>
      </c>
      <c r="W55" s="24" t="str">
        <f t="shared" si="8"/>
        <v>#N/A</v>
      </c>
      <c r="X55" s="222" t="str">
        <f t="shared" si="9"/>
        <v/>
      </c>
      <c r="Y55" s="222" t="str">
        <f t="shared" si="10"/>
        <v/>
      </c>
      <c r="Z55" s="224" t="str">
        <f t="shared" si="11"/>
        <v> </v>
      </c>
      <c r="AA55" s="244"/>
    </row>
    <row r="56" hidden="1">
      <c r="A56" s="214" t="str">
        <f>IFS($B56=FALSE,"",$B56,VLOOKUP($B56,'PATIENT DATA (072721)'!A:C, 2, 0))</f>
        <v/>
      </c>
      <c r="B56" s="215"/>
      <c r="C56" s="230" t="str">
        <f>IF(COUNTIF('PATIENT DATA (072721)'!A:A, B56)=0, "X","✓")</f>
        <v>X</v>
      </c>
      <c r="D56" s="226" t="str">
        <f>IFS($B56=FALSE,"",$B56,VLOOKUP($B56,'PATIENT DATA (072721)'!A:C, 3, 0))</f>
        <v/>
      </c>
      <c r="E56" s="218">
        <v>44576.0</v>
      </c>
      <c r="F56" s="219" t="str">
        <f>ifs($B56="","",$B56, VLOOKUP($B56&amp;$E56, 'VISIT DATA'!A:O,3,0))</f>
        <v/>
      </c>
      <c r="G56" s="231"/>
      <c r="H56" s="221"/>
      <c r="I56" s="262" t="str">
        <f>VLOOKUP($B56&amp;$E56,'VISIT DATA'!A:J, 9, FALSE)</f>
        <v>#N/A</v>
      </c>
      <c r="J56" s="223" t="str">
        <f>VLOOKUP(B56&amp;E56,'VISIT DATA'!A:N,10,FALSE)</f>
        <v>#N/A</v>
      </c>
      <c r="K56" s="225"/>
      <c r="L56" s="224"/>
      <c r="M56" s="224"/>
      <c r="N56" s="225"/>
      <c r="O56" s="216" t="str">
        <f t="shared" si="1"/>
        <v>X</v>
      </c>
      <c r="P56" s="226" t="str">
        <f t="shared" si="2"/>
        <v>#N/A</v>
      </c>
      <c r="Q56" s="227" t="str">
        <f t="shared" si="3"/>
        <v>#N/A</v>
      </c>
      <c r="R56" s="228" t="str">
        <f t="shared" si="4"/>
        <v>#N/A</v>
      </c>
      <c r="S56" s="220" t="str">
        <f t="shared" si="5"/>
        <v>#N/A</v>
      </c>
      <c r="T56" s="220" t="str">
        <f t="shared" si="6"/>
        <v>#N/A</v>
      </c>
      <c r="U56" s="221">
        <f t="shared" si="7"/>
        <v>0</v>
      </c>
      <c r="V56" s="229" t="str">
        <f>ifs($N56="",VLOOKUP($B56&amp;$E56,'VISIT DATA'!$A$2:$J100,7,FALSE), $N56="SWAB","OUTSA-RW",$N56="SWQU","OUTSA-SaQu", AND($L56="X",$M56="X",$N56="QUEST"),"OUT-UAQPre",$N56="QUEST","OUT-UAQ", $N56="Walk in","ColUATele")</f>
        <v>#N/A</v>
      </c>
      <c r="W56" s="24" t="str">
        <f t="shared" si="8"/>
        <v>#N/A</v>
      </c>
      <c r="X56" s="222" t="str">
        <f t="shared" si="9"/>
        <v/>
      </c>
      <c r="Y56" s="222" t="str">
        <f t="shared" si="10"/>
        <v/>
      </c>
      <c r="Z56" s="224" t="str">
        <f t="shared" si="11"/>
        <v> </v>
      </c>
      <c r="AA56" s="244"/>
    </row>
    <row r="57" hidden="1">
      <c r="A57" s="214" t="str">
        <f>IFS($B57=FALSE,"",$B57,VLOOKUP($B57,'PATIENT DATA (072721)'!A:C, 2, 0))</f>
        <v/>
      </c>
      <c r="B57" s="215"/>
      <c r="C57" s="230" t="str">
        <f>IF(COUNTIF('PATIENT DATA (072721)'!A:A, B57)=0, "X","✓")</f>
        <v>X</v>
      </c>
      <c r="D57" s="226" t="str">
        <f>IFS($B57=FALSE,"",$B57,VLOOKUP($B57,'PATIENT DATA (072721)'!A:C, 3, 0))</f>
        <v/>
      </c>
      <c r="E57" s="218">
        <v>44576.0</v>
      </c>
      <c r="F57" s="219" t="str">
        <f>ifs($B57="","",$B57, VLOOKUP($B57&amp;$E57, 'VISIT DATA'!A:O,3,0))</f>
        <v/>
      </c>
      <c r="G57" s="231"/>
      <c r="H57" s="221"/>
      <c r="I57" s="262" t="str">
        <f>VLOOKUP($B57&amp;$E57,'VISIT DATA'!A:J, 9, FALSE)</f>
        <v>#N/A</v>
      </c>
      <c r="J57" s="223" t="str">
        <f>VLOOKUP(B57&amp;E57,'VISIT DATA'!A:N,10,FALSE)</f>
        <v>#N/A</v>
      </c>
      <c r="K57" s="225"/>
      <c r="L57" s="224"/>
      <c r="M57" s="224"/>
      <c r="N57" s="225"/>
      <c r="O57" s="216" t="str">
        <f t="shared" si="1"/>
        <v>X</v>
      </c>
      <c r="P57" s="226" t="str">
        <f t="shared" si="2"/>
        <v>#N/A</v>
      </c>
      <c r="Q57" s="227" t="str">
        <f t="shared" si="3"/>
        <v>#N/A</v>
      </c>
      <c r="R57" s="228" t="str">
        <f t="shared" si="4"/>
        <v>#N/A</v>
      </c>
      <c r="S57" s="220" t="str">
        <f t="shared" si="5"/>
        <v>#N/A</v>
      </c>
      <c r="T57" s="220" t="str">
        <f t="shared" si="6"/>
        <v>#N/A</v>
      </c>
      <c r="U57" s="221">
        <f t="shared" si="7"/>
        <v>0</v>
      </c>
      <c r="V57" s="229" t="str">
        <f>ifs($N57="",VLOOKUP($B57&amp;$E57,'VISIT DATA'!$A$2:$J100,7,FALSE), $N57="SWAB","OUTSA-RW",$N57="SWQU","OUTSA-SaQu", AND($L57="X",$M57="X",$N57="QUEST"),"OUT-UAQPre",$N57="QUEST","OUT-UAQ", $N57="Walk in","ColUATele")</f>
        <v>#N/A</v>
      </c>
      <c r="W57" s="24" t="str">
        <f t="shared" si="8"/>
        <v>#N/A</v>
      </c>
      <c r="X57" s="222" t="str">
        <f t="shared" si="9"/>
        <v/>
      </c>
      <c r="Y57" s="222" t="str">
        <f t="shared" si="10"/>
        <v/>
      </c>
      <c r="Z57" s="224" t="str">
        <f t="shared" si="11"/>
        <v> </v>
      </c>
      <c r="AA57" s="244"/>
    </row>
    <row r="58" hidden="1">
      <c r="A58" s="214" t="str">
        <f>IFS($B58=FALSE,"",$B58,VLOOKUP($B58,'PATIENT DATA (072721)'!A:C, 2, 0))</f>
        <v/>
      </c>
      <c r="B58" s="215"/>
      <c r="C58" s="230" t="str">
        <f>IF(COUNTIF('PATIENT DATA (072721)'!A:A, B58)=0, "X","✓")</f>
        <v>X</v>
      </c>
      <c r="D58" s="226" t="str">
        <f>IFS($B58=FALSE,"",$B58,VLOOKUP($B58,'PATIENT DATA (072721)'!A:C, 3, 0))</f>
        <v/>
      </c>
      <c r="E58" s="218">
        <v>44576.0</v>
      </c>
      <c r="F58" s="219" t="str">
        <f>ifs($B58="","",$B58, VLOOKUP($B58&amp;$E58, 'VISIT DATA'!A:O,3,0))</f>
        <v/>
      </c>
      <c r="G58" s="231"/>
      <c r="H58" s="221"/>
      <c r="I58" s="262" t="str">
        <f>VLOOKUP($B58&amp;$E58,'VISIT DATA'!A:J, 9, FALSE)</f>
        <v>#N/A</v>
      </c>
      <c r="J58" s="223" t="str">
        <f>VLOOKUP(B58&amp;E58,'VISIT DATA'!A:N,10,FALSE)</f>
        <v>#N/A</v>
      </c>
      <c r="K58" s="224"/>
      <c r="L58" s="224"/>
      <c r="M58" s="224"/>
      <c r="N58" s="225"/>
      <c r="O58" s="216" t="str">
        <f t="shared" si="1"/>
        <v>X</v>
      </c>
      <c r="P58" s="226" t="str">
        <f t="shared" si="2"/>
        <v>#N/A</v>
      </c>
      <c r="Q58" s="227" t="str">
        <f t="shared" si="3"/>
        <v>#N/A</v>
      </c>
      <c r="R58" s="228" t="str">
        <f t="shared" si="4"/>
        <v>#N/A</v>
      </c>
      <c r="S58" s="220" t="str">
        <f t="shared" si="5"/>
        <v>#N/A</v>
      </c>
      <c r="T58" s="220" t="str">
        <f t="shared" si="6"/>
        <v>#N/A</v>
      </c>
      <c r="U58" s="221">
        <f t="shared" si="7"/>
        <v>0</v>
      </c>
      <c r="V58" s="229" t="str">
        <f>ifs($N58="",VLOOKUP($B58&amp;$E58,'VISIT DATA'!$A$2:$J100,7,FALSE), $N58="SWAB","OUTSA-RW",$N58="SWQU","OUTSA-SaQu", AND($L58="X",$M58="X",$N58="QUEST"),"OUT-UAQPre",$N58="QUEST","OUT-UAQ", $N58="Walk in","ColUATele")</f>
        <v>#N/A</v>
      </c>
      <c r="W58" s="24" t="str">
        <f t="shared" si="8"/>
        <v>#N/A</v>
      </c>
      <c r="X58" s="222" t="str">
        <f t="shared" si="9"/>
        <v/>
      </c>
      <c r="Y58" s="222" t="str">
        <f t="shared" si="10"/>
        <v/>
      </c>
      <c r="Z58" s="224" t="str">
        <f t="shared" si="11"/>
        <v> </v>
      </c>
      <c r="AA58" s="244"/>
    </row>
    <row r="59" hidden="1">
      <c r="A59" s="214" t="str">
        <f>IFS($B59=FALSE,"",$B59,VLOOKUP($B59,'PATIENT DATA (072721)'!A:C, 2, 0))</f>
        <v/>
      </c>
      <c r="B59" s="215"/>
      <c r="C59" s="230" t="str">
        <f>IF(COUNTIF('PATIENT DATA (072721)'!A:A, B59)=0, "X","✓")</f>
        <v>X</v>
      </c>
      <c r="D59" s="226" t="str">
        <f>IFS($B59=FALSE,"",$B59,VLOOKUP($B59,'PATIENT DATA (072721)'!A:C, 3, 0))</f>
        <v/>
      </c>
      <c r="E59" s="218">
        <v>44576.0</v>
      </c>
      <c r="F59" s="219" t="str">
        <f>ifs($B59="","",$B59, VLOOKUP($B59&amp;$E59, 'VISIT DATA'!A:O,3,0))</f>
        <v/>
      </c>
      <c r="G59" s="231"/>
      <c r="H59" s="221"/>
      <c r="I59" s="262" t="str">
        <f>VLOOKUP($B59&amp;$E59,'VISIT DATA'!A:J, 9, FALSE)</f>
        <v>#N/A</v>
      </c>
      <c r="J59" s="223" t="str">
        <f>VLOOKUP(B59&amp;E59,'VISIT DATA'!A:N,10,FALSE)</f>
        <v>#N/A</v>
      </c>
      <c r="K59" s="224"/>
      <c r="L59" s="224"/>
      <c r="M59" s="224"/>
      <c r="N59" s="225"/>
      <c r="O59" s="216" t="str">
        <f t="shared" si="1"/>
        <v>X</v>
      </c>
      <c r="P59" s="226" t="str">
        <f t="shared" si="2"/>
        <v>#N/A</v>
      </c>
      <c r="Q59" s="227" t="str">
        <f t="shared" si="3"/>
        <v>#N/A</v>
      </c>
      <c r="R59" s="228" t="str">
        <f t="shared" si="4"/>
        <v>#N/A</v>
      </c>
      <c r="S59" s="220" t="str">
        <f t="shared" si="5"/>
        <v>#N/A</v>
      </c>
      <c r="T59" s="220" t="str">
        <f t="shared" si="6"/>
        <v>#N/A</v>
      </c>
      <c r="U59" s="221">
        <f t="shared" si="7"/>
        <v>0</v>
      </c>
      <c r="V59" s="229" t="str">
        <f>ifs($N59="",VLOOKUP($B59&amp;$E59,'VISIT DATA'!$A$2:$J100,7,FALSE), $N59="SWAB","OUTSA-RW",$N59="SWQU","OUTSA-SaQu", AND($L59="X",$M59="X",$N59="QUEST"),"OUT-UAQPre",$N59="QUEST","OUT-UAQ", $N59="Walk in","ColUATele")</f>
        <v>#N/A</v>
      </c>
      <c r="W59" s="24" t="str">
        <f t="shared" si="8"/>
        <v>#N/A</v>
      </c>
      <c r="X59" s="222" t="str">
        <f t="shared" si="9"/>
        <v/>
      </c>
      <c r="Y59" s="222" t="str">
        <f t="shared" si="10"/>
        <v/>
      </c>
      <c r="Z59" s="224" t="str">
        <f t="shared" si="11"/>
        <v> </v>
      </c>
      <c r="AA59" s="244"/>
    </row>
    <row r="60" hidden="1">
      <c r="A60" s="214" t="str">
        <f>IFS($B60=FALSE,"",$B60,VLOOKUP($B60,'PATIENT DATA (072721)'!A:C, 2, 0))</f>
        <v/>
      </c>
      <c r="B60" s="215"/>
      <c r="C60" s="230" t="str">
        <f>IF(COUNTIF('PATIENT DATA (072721)'!A:A, B60)=0, "X","✓")</f>
        <v>X</v>
      </c>
      <c r="D60" s="226" t="str">
        <f>IFS($B60=FALSE,"",$B60,VLOOKUP($B60,'PATIENT DATA (072721)'!A:C, 3, 0))</f>
        <v/>
      </c>
      <c r="E60" s="218">
        <v>44576.0</v>
      </c>
      <c r="F60" s="219" t="str">
        <f>ifs($B60="","",$B60, VLOOKUP($B60&amp;$E60, 'VISIT DATA'!A:O,3,0))</f>
        <v/>
      </c>
      <c r="G60" s="231"/>
      <c r="H60" s="221"/>
      <c r="I60" s="262" t="str">
        <f>VLOOKUP($B60&amp;$E60,'VISIT DATA'!A:J, 9, FALSE)</f>
        <v>#N/A</v>
      </c>
      <c r="J60" s="223" t="str">
        <f>VLOOKUP(B60&amp;E60,'VISIT DATA'!A:N,10,FALSE)</f>
        <v>#N/A</v>
      </c>
      <c r="K60" s="225"/>
      <c r="L60" s="224"/>
      <c r="M60" s="224"/>
      <c r="N60" s="225"/>
      <c r="O60" s="216" t="str">
        <f t="shared" si="1"/>
        <v>X</v>
      </c>
      <c r="P60" s="226" t="str">
        <f t="shared" si="2"/>
        <v>#N/A</v>
      </c>
      <c r="Q60" s="227" t="str">
        <f t="shared" si="3"/>
        <v>#N/A</v>
      </c>
      <c r="R60" s="228" t="str">
        <f t="shared" si="4"/>
        <v>#N/A</v>
      </c>
      <c r="S60" s="220" t="str">
        <f t="shared" si="5"/>
        <v>#N/A</v>
      </c>
      <c r="T60" s="220" t="str">
        <f t="shared" si="6"/>
        <v>#N/A</v>
      </c>
      <c r="U60" s="221">
        <f t="shared" si="7"/>
        <v>0</v>
      </c>
      <c r="V60" s="229" t="str">
        <f>ifs($N60="",VLOOKUP($B60&amp;$E60,'VISIT DATA'!$A$2:$J100,7,FALSE), $N60="SWAB","OUTSA-RW",$N60="SWQU","OUTSA-SaQu", AND($L60="X",$M60="X",$N60="QUEST"),"OUT-UAQPre",$N60="QUEST","OUT-UAQ", $N60="Walk in","ColUATele")</f>
        <v>#N/A</v>
      </c>
      <c r="W60" s="24" t="str">
        <f t="shared" si="8"/>
        <v>#N/A</v>
      </c>
      <c r="X60" s="222" t="str">
        <f t="shared" si="9"/>
        <v/>
      </c>
      <c r="Y60" s="222" t="str">
        <f t="shared" si="10"/>
        <v/>
      </c>
      <c r="Z60" s="224" t="str">
        <f t="shared" si="11"/>
        <v> </v>
      </c>
      <c r="AA60" s="244"/>
    </row>
    <row r="61" hidden="1">
      <c r="A61" s="214" t="str">
        <f>IFS($B61=FALSE,"",$B61,VLOOKUP($B61,'PATIENT DATA (072721)'!A:C, 2, 0))</f>
        <v/>
      </c>
      <c r="B61" s="215"/>
      <c r="C61" s="230" t="str">
        <f>IF(COUNTIF('PATIENT DATA (072721)'!A:A, B61)=0, "X","✓")</f>
        <v>X</v>
      </c>
      <c r="D61" s="226" t="str">
        <f>IFS($B61=FALSE,"",$B61,VLOOKUP($B61,'PATIENT DATA (072721)'!A:C, 3, 0))</f>
        <v/>
      </c>
      <c r="E61" s="218">
        <v>44576.0</v>
      </c>
      <c r="F61" s="219" t="str">
        <f>ifs($B61="","",$B61, VLOOKUP($B61&amp;$E61, 'VISIT DATA'!A:O,3,0))</f>
        <v/>
      </c>
      <c r="G61" s="231"/>
      <c r="H61" s="221"/>
      <c r="I61" s="262" t="str">
        <f>VLOOKUP($B61&amp;$E61,'VISIT DATA'!A:J, 9, FALSE)</f>
        <v>#N/A</v>
      </c>
      <c r="J61" s="223" t="str">
        <f>VLOOKUP(B61&amp;E61,'VISIT DATA'!A:N,10,FALSE)</f>
        <v>#N/A</v>
      </c>
      <c r="K61" s="225"/>
      <c r="L61" s="224"/>
      <c r="M61" s="224"/>
      <c r="N61" s="225"/>
      <c r="O61" s="216" t="str">
        <f t="shared" si="1"/>
        <v>X</v>
      </c>
      <c r="P61" s="226" t="str">
        <f t="shared" si="2"/>
        <v>#N/A</v>
      </c>
      <c r="Q61" s="227" t="str">
        <f t="shared" si="3"/>
        <v>#N/A</v>
      </c>
      <c r="R61" s="228" t="str">
        <f t="shared" si="4"/>
        <v>#N/A</v>
      </c>
      <c r="S61" s="220" t="str">
        <f t="shared" si="5"/>
        <v>#N/A</v>
      </c>
      <c r="T61" s="220" t="str">
        <f t="shared" si="6"/>
        <v>#N/A</v>
      </c>
      <c r="U61" s="221">
        <f t="shared" si="7"/>
        <v>0</v>
      </c>
      <c r="V61" s="229" t="str">
        <f>ifs($N61="",VLOOKUP($B61&amp;$E61,'VISIT DATA'!$A$2:$J100,7,FALSE), $N61="SWAB","OUTSA-RW",$N61="SWQU","OUTSA-SaQu", AND($L61="X",$M61="X",$N61="QUEST"),"OUT-UAQPre",$N61="QUEST","OUT-UAQ", $N61="Walk in","ColUATele")</f>
        <v>#N/A</v>
      </c>
      <c r="W61" s="24" t="str">
        <f t="shared" si="8"/>
        <v>#N/A</v>
      </c>
      <c r="X61" s="222" t="str">
        <f t="shared" si="9"/>
        <v/>
      </c>
      <c r="Y61" s="222" t="str">
        <f t="shared" si="10"/>
        <v/>
      </c>
      <c r="Z61" s="224" t="str">
        <f t="shared" si="11"/>
        <v> </v>
      </c>
      <c r="AA61" s="244"/>
    </row>
    <row r="62" hidden="1">
      <c r="A62" s="214" t="str">
        <f>IFS($B62=FALSE,"",$B62,VLOOKUP($B62,'PATIENT DATA (072721)'!A:C, 2, 0))</f>
        <v/>
      </c>
      <c r="B62" s="215"/>
      <c r="C62" s="230" t="str">
        <f>IF(COUNTIF('PATIENT DATA (072721)'!A:A, B62)=0, "X","✓")</f>
        <v>X</v>
      </c>
      <c r="D62" s="226" t="str">
        <f>IFS($B62=FALSE,"",$B62,VLOOKUP($B62,'PATIENT DATA (072721)'!A:C, 3, 0))</f>
        <v/>
      </c>
      <c r="E62" s="218">
        <v>44576.0</v>
      </c>
      <c r="F62" s="219" t="str">
        <f>ifs($B62="","",$B62, VLOOKUP($B62&amp;$E62, 'VISIT DATA'!A:O,3,0))</f>
        <v/>
      </c>
      <c r="G62" s="231"/>
      <c r="H62" s="221" t="str">
        <f>ifs($B62="","",$B62, VLOOKUP($B62&amp;$E62, 'VISIT DATA'!$A:$O,13,0))</f>
        <v/>
      </c>
      <c r="I62" s="262" t="str">
        <f>VLOOKUP($B62&amp;$E62,'VISIT DATA'!A:J, 9, FALSE)</f>
        <v>#N/A</v>
      </c>
      <c r="J62" s="223" t="str">
        <f>VLOOKUP(B62&amp;E62,'VISIT DATA'!A:N,10,FALSE)</f>
        <v>#N/A</v>
      </c>
      <c r="K62" s="225"/>
      <c r="L62" s="224"/>
      <c r="M62" s="224"/>
      <c r="N62" s="225"/>
      <c r="O62" s="216" t="str">
        <f t="shared" si="1"/>
        <v>X</v>
      </c>
      <c r="P62" s="226" t="str">
        <f t="shared" si="2"/>
        <v>#N/A</v>
      </c>
      <c r="Q62" s="227" t="str">
        <f t="shared" si="3"/>
        <v>#N/A</v>
      </c>
      <c r="R62" s="228" t="str">
        <f t="shared" si="4"/>
        <v>#N/A</v>
      </c>
      <c r="S62" s="220" t="str">
        <f t="shared" si="5"/>
        <v>#N/A</v>
      </c>
      <c r="T62" s="220" t="str">
        <f t="shared" si="6"/>
        <v>#N/A</v>
      </c>
      <c r="U62" s="221">
        <f t="shared" si="7"/>
        <v>0</v>
      </c>
      <c r="V62" s="229" t="str">
        <f>ifs($N62="",VLOOKUP($B62&amp;$E62,'VISIT DATA'!$A$2:$J100,7,FALSE), $N62="SWAB","OUTSA-RW",$N62="SWQU","OUTSA-SaQu", AND($L62="X",$M62="X",$N62="QUEST"),"OUT-UAQPre",$N62="QUEST","OUT-UAQ", $N62="Walk in","ColUATele")</f>
        <v>#N/A</v>
      </c>
      <c r="W62" s="24" t="str">
        <f t="shared" si="8"/>
        <v>#N/A</v>
      </c>
      <c r="X62" s="222" t="str">
        <f t="shared" si="9"/>
        <v/>
      </c>
      <c r="Y62" s="222" t="str">
        <f t="shared" si="10"/>
        <v/>
      </c>
      <c r="Z62" s="224" t="str">
        <f t="shared" si="11"/>
        <v> </v>
      </c>
      <c r="AA62" s="244"/>
    </row>
    <row r="63" hidden="1">
      <c r="A63" s="214" t="str">
        <f>IFS($B63=FALSE,"",$B63,VLOOKUP($B63,'PATIENT DATA (072721)'!A:C, 2, 0))</f>
        <v/>
      </c>
      <c r="B63" s="215"/>
      <c r="C63" s="230" t="str">
        <f>IF(COUNTIF('PATIENT DATA (072721)'!A:A, B63)=0, "X","✓")</f>
        <v>X</v>
      </c>
      <c r="D63" s="226" t="str">
        <f>IFS($B63=FALSE,"",$B63,VLOOKUP($B63,'PATIENT DATA (072721)'!A:C, 3, 0))</f>
        <v/>
      </c>
      <c r="E63" s="218">
        <v>44576.0</v>
      </c>
      <c r="F63" s="219" t="str">
        <f>ifs($B63="","",$B63, VLOOKUP($B63&amp;$E63, 'VISIT DATA'!A:O,3,0))</f>
        <v/>
      </c>
      <c r="G63" s="231"/>
      <c r="H63" s="221" t="str">
        <f>ifs($B63="","",$B63, VLOOKUP($B63&amp;$E63, 'VISIT DATA'!$A:$O,13,0))</f>
        <v/>
      </c>
      <c r="I63" s="262" t="str">
        <f>VLOOKUP($B63&amp;$E63,'VISIT DATA'!A:J, 9, FALSE)</f>
        <v>#N/A</v>
      </c>
      <c r="J63" s="223" t="str">
        <f>VLOOKUP(B63&amp;E63,'VISIT DATA'!A:N,10,FALSE)</f>
        <v>#N/A</v>
      </c>
      <c r="K63" s="225"/>
      <c r="L63" s="224"/>
      <c r="M63" s="224"/>
      <c r="N63" s="225"/>
      <c r="O63" s="216" t="str">
        <f t="shared" si="1"/>
        <v>X</v>
      </c>
      <c r="P63" s="226" t="str">
        <f t="shared" si="2"/>
        <v>#N/A</v>
      </c>
      <c r="Q63" s="227" t="str">
        <f t="shared" si="3"/>
        <v>#N/A</v>
      </c>
      <c r="R63" s="228" t="str">
        <f t="shared" si="4"/>
        <v>#N/A</v>
      </c>
      <c r="S63" s="220" t="str">
        <f t="shared" si="5"/>
        <v>#N/A</v>
      </c>
      <c r="T63" s="220" t="str">
        <f t="shared" si="6"/>
        <v>#N/A</v>
      </c>
      <c r="U63" s="221">
        <f t="shared" si="7"/>
        <v>0</v>
      </c>
      <c r="V63" s="229" t="str">
        <f>ifs($N63="",VLOOKUP($B63&amp;$E63,'VISIT DATA'!$A$2:$J100,7,FALSE), $N63="SWAB","OUTSA-RW",$N63="SWQU","OUTSA-SaQu", AND($L63="X",$M63="X",$N63="QUEST"),"OUT-UAQPre",$N63="QUEST","OUT-UAQ", $N63="Walk in","ColUATele")</f>
        <v>#N/A</v>
      </c>
      <c r="W63" s="24" t="str">
        <f t="shared" si="8"/>
        <v>#N/A</v>
      </c>
      <c r="X63" s="222" t="str">
        <f t="shared" si="9"/>
        <v/>
      </c>
      <c r="Y63" s="222" t="str">
        <f t="shared" si="10"/>
        <v/>
      </c>
      <c r="Z63" s="224" t="str">
        <f t="shared" si="11"/>
        <v> </v>
      </c>
      <c r="AA63" s="244"/>
    </row>
    <row r="64" hidden="1">
      <c r="A64" s="214" t="str">
        <f>IFS($B64=FALSE,"",$B64,VLOOKUP($B64,'PATIENT DATA (072721)'!A:C, 2, 0))</f>
        <v/>
      </c>
      <c r="B64" s="215"/>
      <c r="C64" s="230" t="str">
        <f>IF(COUNTIF('PATIENT DATA (072721)'!A:A, B64)=0, "X","✓")</f>
        <v>X</v>
      </c>
      <c r="D64" s="226" t="str">
        <f>IFS($B64=FALSE,"",$B64,VLOOKUP($B64,'PATIENT DATA (072721)'!A:C, 3, 0))</f>
        <v/>
      </c>
      <c r="E64" s="218">
        <v>44576.0</v>
      </c>
      <c r="F64" s="219" t="str">
        <f>ifs($B64="","",$B64, VLOOKUP($B64&amp;$E64, 'VISIT DATA'!A:O,3,0))</f>
        <v/>
      </c>
      <c r="G64" s="231"/>
      <c r="H64" s="221" t="str">
        <f>ifs($B64="","",$B64, VLOOKUP($B64&amp;$E64, 'VISIT DATA'!$A:$O,13,0))</f>
        <v/>
      </c>
      <c r="I64" s="262" t="str">
        <f>VLOOKUP($B64&amp;$E64,'VISIT DATA'!A:J, 9, FALSE)</f>
        <v>#N/A</v>
      </c>
      <c r="J64" s="223" t="str">
        <f>VLOOKUP(B64&amp;E64,'VISIT DATA'!A:N,10,FALSE)</f>
        <v>#N/A</v>
      </c>
      <c r="K64" s="225"/>
      <c r="L64" s="224"/>
      <c r="M64" s="224"/>
      <c r="N64" s="225"/>
      <c r="O64" s="216" t="str">
        <f t="shared" si="1"/>
        <v>X</v>
      </c>
      <c r="P64" s="226" t="str">
        <f t="shared" si="2"/>
        <v>#N/A</v>
      </c>
      <c r="Q64" s="227" t="str">
        <f t="shared" si="3"/>
        <v>#N/A</v>
      </c>
      <c r="R64" s="228" t="str">
        <f t="shared" si="4"/>
        <v>#N/A</v>
      </c>
      <c r="S64" s="220" t="str">
        <f t="shared" si="5"/>
        <v>#N/A</v>
      </c>
      <c r="T64" s="220" t="str">
        <f t="shared" si="6"/>
        <v>#N/A</v>
      </c>
      <c r="U64" s="221">
        <f t="shared" si="7"/>
        <v>0</v>
      </c>
      <c r="V64" s="229" t="str">
        <f>ifs($N64="",VLOOKUP($B64&amp;$E64,'VISIT DATA'!$A$2:$J100,7,FALSE), $N64="SWAB","OUTSA-RW",$N64="SWQU","OUTSA-SaQu", AND($L64="X",$M64="X",$N64="QUEST"),"OUT-UAQPre",$N64="QUEST","OUT-UAQ", $N64="Walk in","ColUATele")</f>
        <v>#N/A</v>
      </c>
      <c r="W64" s="24" t="str">
        <f t="shared" si="8"/>
        <v>#N/A</v>
      </c>
      <c r="X64" s="222" t="str">
        <f t="shared" si="9"/>
        <v/>
      </c>
      <c r="Y64" s="222" t="str">
        <f t="shared" si="10"/>
        <v/>
      </c>
      <c r="Z64" s="224" t="str">
        <f t="shared" si="11"/>
        <v> </v>
      </c>
      <c r="AA64" s="244"/>
    </row>
    <row r="65" hidden="1">
      <c r="A65" s="214" t="str">
        <f>IFS($B65=FALSE,"",$B65,VLOOKUP($B65,'PATIENT DATA (072721)'!A:C, 2, 0))</f>
        <v/>
      </c>
      <c r="B65" s="215"/>
      <c r="C65" s="230" t="str">
        <f>IF(COUNTIF('PATIENT DATA (072721)'!A:A, B65)=0, "X","✓")</f>
        <v>X</v>
      </c>
      <c r="D65" s="226" t="str">
        <f>IFS($B65=FALSE,"",$B65,VLOOKUP($B65,'PATIENT DATA (072721)'!A:C, 3, 0))</f>
        <v/>
      </c>
      <c r="E65" s="218">
        <v>44576.0</v>
      </c>
      <c r="F65" s="219" t="str">
        <f>ifs($B65="","",$B65, VLOOKUP($B65&amp;$E65, 'VISIT DATA'!A:O,3,0))</f>
        <v/>
      </c>
      <c r="G65" s="231"/>
      <c r="H65" s="221" t="str">
        <f>ifs($B65="","",$B65, VLOOKUP($B65&amp;$E65, 'VISIT DATA'!$A:$O,13,0))</f>
        <v/>
      </c>
      <c r="I65" s="262" t="str">
        <f>VLOOKUP($B65&amp;$E65,'VISIT DATA'!A:J, 9, FALSE)</f>
        <v>#N/A</v>
      </c>
      <c r="J65" s="223" t="str">
        <f>VLOOKUP(B65&amp;E65,'VISIT DATA'!A:N,10,FALSE)</f>
        <v>#N/A</v>
      </c>
      <c r="K65" s="225"/>
      <c r="L65" s="224"/>
      <c r="M65" s="224"/>
      <c r="N65" s="225"/>
      <c r="O65" s="216" t="str">
        <f t="shared" si="1"/>
        <v>X</v>
      </c>
      <c r="P65" s="226" t="str">
        <f t="shared" si="2"/>
        <v>#N/A</v>
      </c>
      <c r="Q65" s="227" t="str">
        <f t="shared" si="3"/>
        <v>#N/A</v>
      </c>
      <c r="R65" s="228" t="str">
        <f t="shared" si="4"/>
        <v>#N/A</v>
      </c>
      <c r="S65" s="220" t="str">
        <f t="shared" si="5"/>
        <v>#N/A</v>
      </c>
      <c r="T65" s="220" t="str">
        <f t="shared" si="6"/>
        <v>#N/A</v>
      </c>
      <c r="U65" s="221">
        <f t="shared" si="7"/>
        <v>0</v>
      </c>
      <c r="V65" s="229" t="str">
        <f>ifs($N65="",VLOOKUP($B65&amp;$E65,'VISIT DATA'!$A$2:$J100,7,FALSE), $N65="SWAB","OUTSA-RW",$N65="SWQU","OUTSA-SaQu", AND($L65="X",$M65="X",$N65="QUEST"),"OUT-UAQPre",$N65="QUEST","OUT-UAQ", $N65="Walk in","ColUATele")</f>
        <v>#N/A</v>
      </c>
      <c r="W65" s="24" t="str">
        <f t="shared" si="8"/>
        <v>#N/A</v>
      </c>
      <c r="X65" s="222" t="str">
        <f t="shared" si="9"/>
        <v/>
      </c>
      <c r="Y65" s="222" t="str">
        <f t="shared" si="10"/>
        <v/>
      </c>
      <c r="Z65" s="224" t="str">
        <f t="shared" si="11"/>
        <v> </v>
      </c>
      <c r="AA65" s="244"/>
    </row>
    <row r="66" hidden="1">
      <c r="A66" s="214" t="str">
        <f>IFS($B66=FALSE,"",$B66,VLOOKUP($B66,'PATIENT DATA (072721)'!A:C, 2, 0))</f>
        <v/>
      </c>
      <c r="B66" s="215"/>
      <c r="C66" s="230" t="str">
        <f>IF(COUNTIF('PATIENT DATA (072721)'!A:A, B66)=0, "X","✓")</f>
        <v>X</v>
      </c>
      <c r="D66" s="226" t="str">
        <f>IFS($B66=FALSE,"",$B66,VLOOKUP($B66,'PATIENT DATA (072721)'!A:C, 3, 0))</f>
        <v/>
      </c>
      <c r="E66" s="218">
        <v>44576.0</v>
      </c>
      <c r="F66" s="219" t="str">
        <f>ifs($B66="","",$B66, VLOOKUP($B66&amp;$E66, 'VISIT DATA'!A:O,3,0))</f>
        <v/>
      </c>
      <c r="G66" s="231"/>
      <c r="H66" s="221" t="str">
        <f>ifs($B66="","",$B66, VLOOKUP($B66&amp;$E66, 'VISIT DATA'!$A:$O,13,0))</f>
        <v/>
      </c>
      <c r="I66" s="262" t="str">
        <f>VLOOKUP($B66&amp;$E66,'VISIT DATA'!A:J, 9, FALSE)</f>
        <v>#N/A</v>
      </c>
      <c r="J66" s="223" t="str">
        <f>VLOOKUP(B66&amp;E66,'VISIT DATA'!A:N,10,FALSE)</f>
        <v>#N/A</v>
      </c>
      <c r="K66" s="225"/>
      <c r="L66" s="224"/>
      <c r="M66" s="224"/>
      <c r="N66" s="225"/>
      <c r="O66" s="216" t="str">
        <f t="shared" si="1"/>
        <v>X</v>
      </c>
      <c r="P66" s="226" t="str">
        <f t="shared" si="2"/>
        <v>#N/A</v>
      </c>
      <c r="Q66" s="227" t="str">
        <f t="shared" si="3"/>
        <v>#N/A</v>
      </c>
      <c r="R66" s="228" t="str">
        <f t="shared" si="4"/>
        <v>#N/A</v>
      </c>
      <c r="S66" s="220" t="str">
        <f t="shared" si="5"/>
        <v>#N/A</v>
      </c>
      <c r="T66" s="220" t="str">
        <f t="shared" si="6"/>
        <v>#N/A</v>
      </c>
      <c r="U66" s="221">
        <f t="shared" si="7"/>
        <v>0</v>
      </c>
      <c r="V66" s="229" t="str">
        <f>ifs($N66="",VLOOKUP($B66&amp;$E66,'VISIT DATA'!$A$2:$J100,7,FALSE), $N66="SWAB","OUTSA-RW",$N66="SWQU","OUTSA-SaQu", AND($L66="X",$M66="X",$N66="QUEST"),"OUT-UAQPre",$N66="QUEST","OUT-UAQ", $N66="Walk in","ColUATele")</f>
        <v>#N/A</v>
      </c>
      <c r="W66" s="24" t="str">
        <f t="shared" si="8"/>
        <v>#N/A</v>
      </c>
      <c r="X66" s="222" t="str">
        <f t="shared" si="9"/>
        <v/>
      </c>
      <c r="Y66" s="222" t="str">
        <f t="shared" si="10"/>
        <v/>
      </c>
      <c r="Z66" s="224" t="str">
        <f t="shared" si="11"/>
        <v> </v>
      </c>
      <c r="AA66" s="244"/>
    </row>
    <row r="67" hidden="1">
      <c r="A67" s="214" t="str">
        <f>IFS($B67=FALSE,"",$B67,VLOOKUP($B67,'PATIENT DATA (072721)'!A:C, 2, 0))</f>
        <v/>
      </c>
      <c r="B67" s="215"/>
      <c r="C67" s="230" t="str">
        <f>IF(COUNTIF('PATIENT DATA (072721)'!A:A, B67)=0, "X","✓")</f>
        <v>X</v>
      </c>
      <c r="D67" s="226" t="str">
        <f>IFS($B67=FALSE,"",$B67,VLOOKUP($B67,'PATIENT DATA (072721)'!A:C, 3, 0))</f>
        <v/>
      </c>
      <c r="E67" s="218">
        <v>44576.0</v>
      </c>
      <c r="F67" s="219" t="str">
        <f>ifs($B67="","",$B67, VLOOKUP($B67&amp;$E67, 'VISIT DATA'!A:O,3,0))</f>
        <v/>
      </c>
      <c r="G67" s="231"/>
      <c r="H67" s="221" t="str">
        <f>ifs($B67="","",$B67, VLOOKUP($B67&amp;$E67, 'VISIT DATA'!$A:$O,13,0))</f>
        <v/>
      </c>
      <c r="I67" s="262" t="str">
        <f>VLOOKUP($B67&amp;$E67,'VISIT DATA'!A:J, 9, FALSE)</f>
        <v>#N/A</v>
      </c>
      <c r="J67" s="223" t="str">
        <f>VLOOKUP(B67&amp;E67,'VISIT DATA'!A:N,10,FALSE)</f>
        <v>#N/A</v>
      </c>
      <c r="K67" s="225"/>
      <c r="L67" s="224"/>
      <c r="M67" s="224"/>
      <c r="N67" s="225"/>
      <c r="O67" s="216" t="str">
        <f t="shared" si="1"/>
        <v>X</v>
      </c>
      <c r="P67" s="226" t="str">
        <f t="shared" si="2"/>
        <v>#N/A</v>
      </c>
      <c r="Q67" s="227" t="str">
        <f t="shared" si="3"/>
        <v>#N/A</v>
      </c>
      <c r="R67" s="228" t="str">
        <f t="shared" si="4"/>
        <v>#N/A</v>
      </c>
      <c r="S67" s="220" t="str">
        <f t="shared" si="5"/>
        <v>#N/A</v>
      </c>
      <c r="T67" s="220" t="str">
        <f t="shared" si="6"/>
        <v>#N/A</v>
      </c>
      <c r="U67" s="221">
        <f t="shared" si="7"/>
        <v>0</v>
      </c>
      <c r="V67" s="229" t="str">
        <f>ifs($N67="",VLOOKUP($B67&amp;$E67,'VISIT DATA'!$A$2:$J100,7,FALSE), $N67="SWAB","OUTSA-RW",$N67="SWQU","OUTSA-SaQu", AND($L67="X",$M67="X",$N67="QUEST"),"OUT-UAQPre",$N67="QUEST","OUT-UAQ", $N67="Walk in","ColUATele")</f>
        <v>#N/A</v>
      </c>
      <c r="W67" s="24" t="str">
        <f t="shared" si="8"/>
        <v>#N/A</v>
      </c>
      <c r="X67" s="222" t="str">
        <f t="shared" si="9"/>
        <v/>
      </c>
      <c r="Y67" s="222" t="str">
        <f t="shared" si="10"/>
        <v/>
      </c>
      <c r="Z67" s="224" t="str">
        <f t="shared" si="11"/>
        <v> </v>
      </c>
      <c r="AA67" s="244"/>
    </row>
    <row r="68" hidden="1">
      <c r="A68" s="214" t="str">
        <f>IFS($B68=FALSE,"",$B68,VLOOKUP($B68,'PATIENT DATA (072721)'!A:C, 2, 0))</f>
        <v/>
      </c>
      <c r="B68" s="215"/>
      <c r="C68" s="230" t="str">
        <f>IF(COUNTIF('PATIENT DATA (072721)'!A:A, B68)=0, "X","✓")</f>
        <v>X</v>
      </c>
      <c r="D68" s="226" t="str">
        <f>IFS($B68=FALSE,"",$B68,VLOOKUP($B68,'PATIENT DATA (072721)'!A:C, 3, 0))</f>
        <v/>
      </c>
      <c r="E68" s="218">
        <v>44576.0</v>
      </c>
      <c r="F68" s="219" t="str">
        <f>ifs($B68="","",$B68, VLOOKUP($B68&amp;$E68, 'VISIT DATA'!A:O,3,0))</f>
        <v/>
      </c>
      <c r="G68" s="231"/>
      <c r="H68" s="221" t="str">
        <f>ifs($B68="","",$B68, VLOOKUP($B68&amp;$E68, 'VISIT DATA'!$A:$O,13,0))</f>
        <v/>
      </c>
      <c r="I68" s="262" t="str">
        <f>VLOOKUP($B68&amp;$E68,'VISIT DATA'!A:J, 9, FALSE)</f>
        <v>#N/A</v>
      </c>
      <c r="J68" s="223" t="str">
        <f>VLOOKUP(B68&amp;E68,'VISIT DATA'!A:N,10,FALSE)</f>
        <v>#N/A</v>
      </c>
      <c r="K68" s="225"/>
      <c r="L68" s="224"/>
      <c r="M68" s="224"/>
      <c r="N68" s="225"/>
      <c r="O68" s="216" t="str">
        <f t="shared" si="1"/>
        <v>X</v>
      </c>
      <c r="P68" s="226" t="str">
        <f t="shared" si="2"/>
        <v>#N/A</v>
      </c>
      <c r="Q68" s="227" t="str">
        <f t="shared" si="3"/>
        <v>#N/A</v>
      </c>
      <c r="R68" s="228" t="str">
        <f t="shared" si="4"/>
        <v>#N/A</v>
      </c>
      <c r="S68" s="220" t="str">
        <f t="shared" si="5"/>
        <v>#N/A</v>
      </c>
      <c r="T68" s="220" t="str">
        <f t="shared" si="6"/>
        <v>#N/A</v>
      </c>
      <c r="U68" s="221">
        <f t="shared" si="7"/>
        <v>0</v>
      </c>
      <c r="V68" s="229" t="str">
        <f>ifs($N68="",VLOOKUP($B68&amp;$E68,'VISIT DATA'!$A$2:$J100,7,FALSE), $N68="SWAB","OUTSA-RW",$N68="SWQU","OUTSA-SaQu", AND($L68="X",$M68="X",$N68="QUEST"),"OUT-UAQPre",$N68="QUEST","OUT-UAQ", $N68="Walk in","ColUATele")</f>
        <v>#N/A</v>
      </c>
      <c r="W68" s="24" t="str">
        <f t="shared" si="8"/>
        <v>#N/A</v>
      </c>
      <c r="X68" s="222" t="str">
        <f t="shared" si="9"/>
        <v/>
      </c>
      <c r="Y68" s="222" t="str">
        <f t="shared" si="10"/>
        <v/>
      </c>
      <c r="Z68" s="224" t="str">
        <f t="shared" si="11"/>
        <v> </v>
      </c>
      <c r="AA68" s="244"/>
    </row>
    <row r="69" hidden="1">
      <c r="A69" s="214" t="str">
        <f>IFS($B69=FALSE,"",$B69,VLOOKUP($B69,'PATIENT DATA (072721)'!A:C, 2, 0))</f>
        <v/>
      </c>
      <c r="B69" s="215"/>
      <c r="C69" s="230" t="str">
        <f>IF(COUNTIF('PATIENT DATA (072721)'!A:A, B69)=0, "X","✓")</f>
        <v>X</v>
      </c>
      <c r="D69" s="226" t="str">
        <f>IFS($B69=FALSE,"",$B69,VLOOKUP($B69,'PATIENT DATA (072721)'!A:C, 3, 0))</f>
        <v/>
      </c>
      <c r="E69" s="218">
        <v>44576.0</v>
      </c>
      <c r="F69" s="219" t="str">
        <f>ifs($B69="","",$B69, VLOOKUP($B69&amp;$E69, 'VISIT DATA'!A:O,3,0))</f>
        <v/>
      </c>
      <c r="G69" s="231"/>
      <c r="H69" s="221" t="str">
        <f>ifs($B69="","",$B69, VLOOKUP($B69&amp;$E69, 'VISIT DATA'!$A:$O,13,0))</f>
        <v/>
      </c>
      <c r="I69" s="262" t="str">
        <f>VLOOKUP($B69&amp;$E69,'VISIT DATA'!A:J, 9, FALSE)</f>
        <v>#N/A</v>
      </c>
      <c r="J69" s="223" t="str">
        <f>VLOOKUP(B69&amp;E69,'VISIT DATA'!A:N,10,FALSE)</f>
        <v>#N/A</v>
      </c>
      <c r="K69" s="224"/>
      <c r="L69" s="224"/>
      <c r="M69" s="224"/>
      <c r="N69" s="225"/>
      <c r="O69" s="216" t="str">
        <f t="shared" si="1"/>
        <v>X</v>
      </c>
      <c r="P69" s="226" t="str">
        <f t="shared" si="2"/>
        <v>#N/A</v>
      </c>
      <c r="Q69" s="227" t="str">
        <f t="shared" si="3"/>
        <v>#N/A</v>
      </c>
      <c r="R69" s="228" t="str">
        <f t="shared" si="4"/>
        <v>#N/A</v>
      </c>
      <c r="S69" s="220" t="str">
        <f t="shared" si="5"/>
        <v>#N/A</v>
      </c>
      <c r="T69" s="220" t="str">
        <f t="shared" si="6"/>
        <v>#N/A</v>
      </c>
      <c r="U69" s="221">
        <f t="shared" si="7"/>
        <v>0</v>
      </c>
      <c r="V69" s="229" t="str">
        <f>ifs($N69="",VLOOKUP($B69&amp;$E69,'VISIT DATA'!$A$2:$J100,7,FALSE), $N69="SWAB","OUTSA-RW",$N69="SWQU","OUTSA-SaQu", AND($L69="X",$M69="X",$N69="QUEST"),"OUT-UAQPre",$N69="QUEST","OUT-UAQ", $N69="Walk in","ColUATele")</f>
        <v>#N/A</v>
      </c>
      <c r="W69" s="24" t="str">
        <f t="shared" si="8"/>
        <v>#N/A</v>
      </c>
      <c r="X69" s="222" t="str">
        <f t="shared" si="9"/>
        <v/>
      </c>
      <c r="Y69" s="222" t="str">
        <f t="shared" si="10"/>
        <v/>
      </c>
      <c r="Z69" s="224" t="str">
        <f t="shared" si="11"/>
        <v> </v>
      </c>
      <c r="AA69" s="244"/>
    </row>
    <row r="70" hidden="1">
      <c r="A70" s="214" t="str">
        <f>IFS($B70=FALSE,"",$B70,VLOOKUP($B70,'PATIENT DATA (072721)'!A:C, 2, 0))</f>
        <v/>
      </c>
      <c r="B70" s="215"/>
      <c r="C70" s="230" t="str">
        <f>IF(COUNTIF('PATIENT DATA (072721)'!A:A, B70)=0, "X","✓")</f>
        <v>X</v>
      </c>
      <c r="D70" s="226" t="str">
        <f>IFS($B70=FALSE,"",$B70,VLOOKUP($B70,'PATIENT DATA (072721)'!A:C, 3, 0))</f>
        <v/>
      </c>
      <c r="E70" s="218">
        <v>44576.0</v>
      </c>
      <c r="F70" s="219" t="str">
        <f>ifs($B70="","",$B70, VLOOKUP($B70&amp;$E70, 'VISIT DATA'!A:O,3,0))</f>
        <v/>
      </c>
      <c r="G70" s="231"/>
      <c r="H70" s="221" t="str">
        <f>ifs($B70="","",$B70, VLOOKUP($B70&amp;$E70, 'VISIT DATA'!$A:$O,13,0))</f>
        <v/>
      </c>
      <c r="I70" s="262" t="str">
        <f>VLOOKUP($B70&amp;$E70,'VISIT DATA'!A:J, 9, FALSE)</f>
        <v>#N/A</v>
      </c>
      <c r="J70" s="223" t="str">
        <f>VLOOKUP(B70&amp;E70,'VISIT DATA'!A:N,10,FALSE)</f>
        <v>#N/A</v>
      </c>
      <c r="K70" s="224"/>
      <c r="L70" s="224"/>
      <c r="M70" s="224"/>
      <c r="N70" s="225"/>
      <c r="O70" s="216" t="str">
        <f t="shared" si="1"/>
        <v>X</v>
      </c>
      <c r="P70" s="226" t="str">
        <f t="shared" si="2"/>
        <v>#N/A</v>
      </c>
      <c r="Q70" s="227" t="str">
        <f t="shared" si="3"/>
        <v>#N/A</v>
      </c>
      <c r="R70" s="228" t="str">
        <f t="shared" si="4"/>
        <v>#N/A</v>
      </c>
      <c r="S70" s="220" t="str">
        <f t="shared" si="5"/>
        <v>#N/A</v>
      </c>
      <c r="T70" s="220" t="str">
        <f t="shared" si="6"/>
        <v>#N/A</v>
      </c>
      <c r="U70" s="221">
        <f t="shared" si="7"/>
        <v>0</v>
      </c>
      <c r="V70" s="229" t="str">
        <f>ifs($N70="",VLOOKUP($B70&amp;$E70,'VISIT DATA'!$A$2:$J100,7,FALSE), $N70="SWAB","OUTSA-RW",$N70="SWQU","OUTSA-SaQu", AND($L70="X",$M70="X",$N70="QUEST"),"OUT-UAQPre",$N70="QUEST","OUT-UAQ", $N70="Walk in","ColUATele")</f>
        <v>#N/A</v>
      </c>
      <c r="W70" s="24" t="str">
        <f t="shared" si="8"/>
        <v>#N/A</v>
      </c>
      <c r="X70" s="222" t="str">
        <f t="shared" si="9"/>
        <v/>
      </c>
      <c r="Y70" s="222" t="str">
        <f t="shared" si="10"/>
        <v/>
      </c>
      <c r="Z70" s="224" t="str">
        <f t="shared" si="11"/>
        <v> </v>
      </c>
      <c r="AA70" s="244"/>
    </row>
    <row r="71" hidden="1">
      <c r="A71" s="214" t="str">
        <f>IFS($B71=FALSE,"",$B71,VLOOKUP($B71,'PATIENT DATA (072721)'!A:C, 2, 0))</f>
        <v/>
      </c>
      <c r="B71" s="215"/>
      <c r="C71" s="230" t="str">
        <f>IF(COUNTIF('PATIENT DATA (072721)'!A:A, B71)=0, "X","✓")</f>
        <v>X</v>
      </c>
      <c r="D71" s="226" t="str">
        <f>IFS($B71=FALSE,"",$B71,VLOOKUP($B71,'PATIENT DATA (072721)'!A:C, 3, 0))</f>
        <v/>
      </c>
      <c r="E71" s="218">
        <v>44576.0</v>
      </c>
      <c r="F71" s="219" t="str">
        <f>ifs($B71="","",$B71, VLOOKUP($B71&amp;$E71, 'VISIT DATA'!A:O,3,0))</f>
        <v/>
      </c>
      <c r="G71" s="231"/>
      <c r="H71" s="221" t="str">
        <f>ifs($B71="","",$B71, VLOOKUP($B71&amp;$E71, 'VISIT DATA'!$A:$O,13,0))</f>
        <v/>
      </c>
      <c r="I71" s="262" t="str">
        <f>VLOOKUP($B71&amp;$E71,'VISIT DATA'!A:J, 9, FALSE)</f>
        <v>#N/A</v>
      </c>
      <c r="J71" s="223" t="str">
        <f>VLOOKUP(B71&amp;E71,'VISIT DATA'!A:N,10,FALSE)</f>
        <v>#N/A</v>
      </c>
      <c r="K71" s="225"/>
      <c r="L71" s="224"/>
      <c r="M71" s="224"/>
      <c r="N71" s="225"/>
      <c r="O71" s="216" t="str">
        <f t="shared" si="1"/>
        <v>X</v>
      </c>
      <c r="P71" s="226" t="str">
        <f t="shared" si="2"/>
        <v>#N/A</v>
      </c>
      <c r="Q71" s="227" t="str">
        <f t="shared" si="3"/>
        <v>#N/A</v>
      </c>
      <c r="R71" s="228" t="str">
        <f t="shared" si="4"/>
        <v>#N/A</v>
      </c>
      <c r="S71" s="220" t="str">
        <f t="shared" si="5"/>
        <v>#N/A</v>
      </c>
      <c r="T71" s="220" t="str">
        <f t="shared" si="6"/>
        <v>#N/A</v>
      </c>
      <c r="U71" s="221">
        <f t="shared" si="7"/>
        <v>0</v>
      </c>
      <c r="V71" s="229" t="str">
        <f>ifs($N71="",VLOOKUP($B71&amp;$E71,'VISIT DATA'!$A$2:$J100,7,FALSE), $N71="SWAB","OUTSA-RW",$N71="SWQU","OUTSA-SaQu", AND($L71="X",$M71="X",$N71="QUEST"),"OUT-UAQPre",$N71="QUEST","OUT-UAQ", $N71="Walk in","ColUATele")</f>
        <v>#N/A</v>
      </c>
      <c r="W71" s="24" t="str">
        <f t="shared" si="8"/>
        <v>#N/A</v>
      </c>
      <c r="X71" s="222" t="str">
        <f t="shared" si="9"/>
        <v/>
      </c>
      <c r="Y71" s="222" t="str">
        <f t="shared" si="10"/>
        <v/>
      </c>
      <c r="Z71" s="224" t="str">
        <f t="shared" si="11"/>
        <v> </v>
      </c>
      <c r="AA71" s="244"/>
    </row>
    <row r="72" hidden="1">
      <c r="A72" s="214" t="str">
        <f>IFS($B72=FALSE,"",$B72,VLOOKUP($B72,'PATIENT DATA (072721)'!A:C, 2, 0))</f>
        <v/>
      </c>
      <c r="B72" s="215"/>
      <c r="C72" s="230" t="str">
        <f>IF(COUNTIF('PATIENT DATA (072721)'!A:A, B72)=0, "X","✓")</f>
        <v>X</v>
      </c>
      <c r="D72" s="226" t="str">
        <f>IFS($B72=FALSE,"",$B72,VLOOKUP($B72,'PATIENT DATA (072721)'!A:C, 3, 0))</f>
        <v/>
      </c>
      <c r="E72" s="218">
        <v>44576.0</v>
      </c>
      <c r="F72" s="219" t="str">
        <f>ifs($B72="","",$B72, VLOOKUP($B72&amp;$E72, 'VISIT DATA'!A:O,3,0))</f>
        <v/>
      </c>
      <c r="G72" s="231"/>
      <c r="H72" s="221" t="str">
        <f>ifs($B72="","",$B72, VLOOKUP($B72&amp;$E72, 'VISIT DATA'!$A:$O,13,0))</f>
        <v/>
      </c>
      <c r="I72" s="262" t="str">
        <f>VLOOKUP($B72&amp;$E72,'VISIT DATA'!A:J, 9, FALSE)</f>
        <v>#N/A</v>
      </c>
      <c r="J72" s="223" t="str">
        <f>VLOOKUP(B72&amp;E72,'VISIT DATA'!A:N,10,FALSE)</f>
        <v>#N/A</v>
      </c>
      <c r="K72" s="225"/>
      <c r="L72" s="224"/>
      <c r="M72" s="224"/>
      <c r="N72" s="225"/>
      <c r="O72" s="216" t="str">
        <f t="shared" si="1"/>
        <v>X</v>
      </c>
      <c r="P72" s="226" t="str">
        <f t="shared" si="2"/>
        <v>#N/A</v>
      </c>
      <c r="Q72" s="227" t="str">
        <f t="shared" si="3"/>
        <v>#N/A</v>
      </c>
      <c r="R72" s="228" t="str">
        <f t="shared" si="4"/>
        <v>#N/A</v>
      </c>
      <c r="S72" s="220" t="str">
        <f t="shared" si="5"/>
        <v>#N/A</v>
      </c>
      <c r="T72" s="220" t="str">
        <f t="shared" si="6"/>
        <v>#N/A</v>
      </c>
      <c r="U72" s="221">
        <f t="shared" si="7"/>
        <v>0</v>
      </c>
      <c r="V72" s="229" t="str">
        <f>ifs($N72="",VLOOKUP($B72&amp;$E72,'VISIT DATA'!$A$2:$J100,7,FALSE), $N72="SWAB","OUTSA-RW",$N72="SWQU","OUTSA-SaQu", AND($L72="X",$M72="X",$N72="QUEST"),"OUT-UAQPre",$N72="QUEST","OUT-UAQ", $N72="Walk in","ColUATele")</f>
        <v>#N/A</v>
      </c>
      <c r="W72" s="24" t="str">
        <f t="shared" si="8"/>
        <v>#N/A</v>
      </c>
      <c r="X72" s="222" t="str">
        <f t="shared" si="9"/>
        <v/>
      </c>
      <c r="Y72" s="222" t="str">
        <f t="shared" si="10"/>
        <v/>
      </c>
      <c r="Z72" s="224" t="str">
        <f t="shared" si="11"/>
        <v> </v>
      </c>
      <c r="AA72" s="244"/>
    </row>
    <row r="73" hidden="1">
      <c r="A73" s="214" t="str">
        <f>IFS($B73=FALSE,"",$B73,VLOOKUP($B73,'PATIENT DATA (072721)'!A:C, 2, 0))</f>
        <v/>
      </c>
      <c r="B73" s="215"/>
      <c r="C73" s="230" t="str">
        <f>IF(COUNTIF('PATIENT DATA (072721)'!A:A, B73)=0, "X","✓")</f>
        <v>X</v>
      </c>
      <c r="D73" s="226" t="str">
        <f>IFS($B73=FALSE,"",$B73,VLOOKUP($B73,'PATIENT DATA (072721)'!A:C, 3, 0))</f>
        <v/>
      </c>
      <c r="E73" s="218">
        <v>44576.0</v>
      </c>
      <c r="F73" s="219" t="str">
        <f>ifs($B73="","",$B73, VLOOKUP($B73&amp;$E73, 'VISIT DATA'!A:O,3,0))</f>
        <v/>
      </c>
      <c r="G73" s="231"/>
      <c r="H73" s="221" t="str">
        <f>ifs($B73="","",$B73, VLOOKUP($B73&amp;$E73, 'VISIT DATA'!$A:$O,13,0))</f>
        <v/>
      </c>
      <c r="I73" s="262" t="str">
        <f>VLOOKUP($B73&amp;$E73,'VISIT DATA'!A:J, 9, FALSE)</f>
        <v>#N/A</v>
      </c>
      <c r="J73" s="223" t="str">
        <f>VLOOKUP(B73&amp;E73,'VISIT DATA'!A:N,10,FALSE)</f>
        <v>#N/A</v>
      </c>
      <c r="K73" s="225"/>
      <c r="L73" s="224"/>
      <c r="M73" s="224"/>
      <c r="N73" s="225"/>
      <c r="O73" s="216" t="str">
        <f t="shared" si="1"/>
        <v>X</v>
      </c>
      <c r="P73" s="226" t="str">
        <f t="shared" si="2"/>
        <v>#N/A</v>
      </c>
      <c r="Q73" s="227" t="str">
        <f t="shared" si="3"/>
        <v>#N/A</v>
      </c>
      <c r="R73" s="228" t="str">
        <f t="shared" si="4"/>
        <v>#N/A</v>
      </c>
      <c r="S73" s="220" t="str">
        <f t="shared" si="5"/>
        <v>#N/A</v>
      </c>
      <c r="T73" s="220" t="str">
        <f t="shared" si="6"/>
        <v>#N/A</v>
      </c>
      <c r="U73" s="221">
        <f t="shared" si="7"/>
        <v>0</v>
      </c>
      <c r="V73" s="229" t="str">
        <f>ifs($N73="",VLOOKUP($B73&amp;$E73,'VISIT DATA'!$A$2:$J100,7,FALSE), $N73="SWAB","OUTSA-RW",$N73="SWQU","OUTSA-SaQu", AND($L73="X",$M73="X",$N73="QUEST"),"OUT-UAQPre",$N73="QUEST","OUT-UAQ", $N73="Walk in","ColUATele")</f>
        <v>#N/A</v>
      </c>
      <c r="W73" s="24" t="str">
        <f t="shared" si="8"/>
        <v>#N/A</v>
      </c>
      <c r="X73" s="222" t="str">
        <f t="shared" si="9"/>
        <v/>
      </c>
      <c r="Y73" s="222" t="str">
        <f t="shared" si="10"/>
        <v/>
      </c>
      <c r="Z73" s="224" t="str">
        <f t="shared" si="11"/>
        <v> </v>
      </c>
      <c r="AA73" s="244"/>
    </row>
    <row r="74" hidden="1">
      <c r="A74" s="214" t="str">
        <f>IFS($B74=FALSE,"",$B74,VLOOKUP($B74,'PATIENT DATA (072721)'!A:C, 2, 0))</f>
        <v/>
      </c>
      <c r="B74" s="215"/>
      <c r="C74" s="230" t="str">
        <f>IF(COUNTIF('PATIENT DATA (072721)'!A:A, B74)=0, "X","✓")</f>
        <v>X</v>
      </c>
      <c r="D74" s="226" t="str">
        <f>IFS($B74=FALSE,"",$B74,VLOOKUP($B74,'PATIENT DATA (072721)'!A:C, 3, 0))</f>
        <v/>
      </c>
      <c r="E74" s="218">
        <v>44576.0</v>
      </c>
      <c r="F74" s="219" t="str">
        <f>ifs($B74="","",$B74, VLOOKUP($B74&amp;$E74, 'VISIT DATA'!A:O,3,0))</f>
        <v/>
      </c>
      <c r="G74" s="231"/>
      <c r="H74" s="221" t="str">
        <f>ifs($B74="","",$B74, VLOOKUP($B74&amp;$E74, 'VISIT DATA'!$A:$O,13,0))</f>
        <v/>
      </c>
      <c r="I74" s="262" t="str">
        <f>VLOOKUP($B74&amp;$E74,'VISIT DATA'!A:J, 9, FALSE)</f>
        <v>#N/A</v>
      </c>
      <c r="J74" s="223" t="str">
        <f>VLOOKUP(B74&amp;E74,'VISIT DATA'!A:N,10,FALSE)</f>
        <v>#N/A</v>
      </c>
      <c r="K74" s="225"/>
      <c r="L74" s="224"/>
      <c r="M74" s="224"/>
      <c r="N74" s="225"/>
      <c r="O74" s="216" t="str">
        <f t="shared" si="1"/>
        <v>X</v>
      </c>
      <c r="P74" s="226" t="str">
        <f t="shared" si="2"/>
        <v>#N/A</v>
      </c>
      <c r="Q74" s="227" t="str">
        <f t="shared" si="3"/>
        <v>#N/A</v>
      </c>
      <c r="R74" s="228" t="str">
        <f t="shared" si="4"/>
        <v>#N/A</v>
      </c>
      <c r="S74" s="220" t="str">
        <f t="shared" si="5"/>
        <v>#N/A</v>
      </c>
      <c r="T74" s="220" t="str">
        <f t="shared" si="6"/>
        <v>#N/A</v>
      </c>
      <c r="U74" s="221">
        <f t="shared" si="7"/>
        <v>0</v>
      </c>
      <c r="V74" s="229" t="str">
        <f>ifs($N74="",VLOOKUP($B74&amp;$E74,'VISIT DATA'!$A$2:$J100,7,FALSE), $N74="SWAB","OUTSA-RW",$N74="SWQU","OUTSA-SaQu", AND($L74="X",$M74="X",$N74="QUEST"),"OUT-UAQPre",$N74="QUEST","OUT-UAQ", $N74="Walk in","ColUATele")</f>
        <v>#N/A</v>
      </c>
      <c r="W74" s="24" t="str">
        <f t="shared" si="8"/>
        <v>#N/A</v>
      </c>
      <c r="X74" s="222" t="str">
        <f t="shared" si="9"/>
        <v/>
      </c>
      <c r="Y74" s="222" t="str">
        <f t="shared" si="10"/>
        <v/>
      </c>
      <c r="Z74" s="224" t="str">
        <f t="shared" si="11"/>
        <v> </v>
      </c>
      <c r="AA74" s="244"/>
    </row>
    <row r="75" hidden="1">
      <c r="A75" s="214" t="str">
        <f>IFS($B75=FALSE,"",$B75,VLOOKUP($B75,'PATIENT DATA (072721)'!A:C, 2, 0))</f>
        <v/>
      </c>
      <c r="B75" s="215"/>
      <c r="C75" s="230" t="str">
        <f>IF(COUNTIF('PATIENT DATA (072721)'!A:A, B75)=0, "X","✓")</f>
        <v>X</v>
      </c>
      <c r="D75" s="226" t="str">
        <f>IFS($B75=FALSE,"",$B75,VLOOKUP($B75,'PATIENT DATA (072721)'!A:C, 3, 0))</f>
        <v/>
      </c>
      <c r="E75" s="218">
        <v>44576.0</v>
      </c>
      <c r="F75" s="219" t="str">
        <f>ifs($B75="","",$B75, VLOOKUP($B75&amp;$E75, 'VISIT DATA'!A:O,3,0))</f>
        <v/>
      </c>
      <c r="G75" s="231"/>
      <c r="H75" s="221" t="str">
        <f>ifs($B75="","",$B75, VLOOKUP($B75&amp;$E75, 'VISIT DATA'!$A:$O,13,0))</f>
        <v/>
      </c>
      <c r="I75" s="262" t="str">
        <f>VLOOKUP($B75&amp;$E75,'VISIT DATA'!A:J, 9, FALSE)</f>
        <v>#N/A</v>
      </c>
      <c r="J75" s="223" t="str">
        <f>VLOOKUP(B75&amp;E75,'VISIT DATA'!A:N,10,FALSE)</f>
        <v>#N/A</v>
      </c>
      <c r="K75" s="225"/>
      <c r="L75" s="224"/>
      <c r="M75" s="224"/>
      <c r="N75" s="225"/>
      <c r="O75" s="216" t="str">
        <f t="shared" si="1"/>
        <v>X</v>
      </c>
      <c r="P75" s="226" t="str">
        <f t="shared" si="2"/>
        <v>#N/A</v>
      </c>
      <c r="Q75" s="227" t="str">
        <f t="shared" si="3"/>
        <v>#N/A</v>
      </c>
      <c r="R75" s="228" t="str">
        <f t="shared" si="4"/>
        <v>#N/A</v>
      </c>
      <c r="S75" s="220" t="str">
        <f t="shared" si="5"/>
        <v>#N/A</v>
      </c>
      <c r="T75" s="220" t="str">
        <f t="shared" si="6"/>
        <v>#N/A</v>
      </c>
      <c r="U75" s="221">
        <f t="shared" si="7"/>
        <v>0</v>
      </c>
      <c r="V75" s="229" t="str">
        <f>ifs($N75="",VLOOKUP($B75&amp;$E75,'VISIT DATA'!$A$2:$J100,7,FALSE), $N75="SWAB","OUTSA-RW",$N75="SWQU","OUTSA-SaQu", AND($L75="X",$M75="X",$N75="QUEST"),"OUT-UAQPre",$N75="QUEST","OUT-UAQ", $N75="Walk in","ColUATele")</f>
        <v>#N/A</v>
      </c>
      <c r="W75" s="24" t="str">
        <f t="shared" si="8"/>
        <v>#N/A</v>
      </c>
      <c r="X75" s="222" t="str">
        <f t="shared" si="9"/>
        <v/>
      </c>
      <c r="Y75" s="222" t="str">
        <f t="shared" si="10"/>
        <v/>
      </c>
      <c r="Z75" s="224" t="str">
        <f t="shared" si="11"/>
        <v> </v>
      </c>
      <c r="AA75" s="244"/>
    </row>
    <row r="76" hidden="1">
      <c r="A76" s="214" t="str">
        <f>IFS($B76=FALSE,"",$B76,VLOOKUP($B76,'PATIENT DATA (072721)'!A:C, 2, 0))</f>
        <v/>
      </c>
      <c r="B76" s="215"/>
      <c r="C76" s="230" t="str">
        <f>IF(COUNTIF('PATIENT DATA (072721)'!A:A, B76)=0, "X","✓")</f>
        <v>X</v>
      </c>
      <c r="D76" s="226" t="str">
        <f>IFS($B76=FALSE,"",$B76,VLOOKUP($B76,'PATIENT DATA (072721)'!A:C, 3, 0))</f>
        <v/>
      </c>
      <c r="E76" s="218">
        <v>44576.0</v>
      </c>
      <c r="F76" s="219" t="str">
        <f>ifs($B76="","",$B76, VLOOKUP($B76&amp;$E76, 'VISIT DATA'!A:O,3,0))</f>
        <v/>
      </c>
      <c r="G76" s="231"/>
      <c r="H76" s="221" t="str">
        <f>ifs($B76="","",$B76, VLOOKUP($B76&amp;$E76, 'VISIT DATA'!$A:$O,13,0))</f>
        <v/>
      </c>
      <c r="I76" s="262" t="str">
        <f>VLOOKUP($B76&amp;$E76,'VISIT DATA'!A:J, 9, FALSE)</f>
        <v>#N/A</v>
      </c>
      <c r="J76" s="223" t="str">
        <f>VLOOKUP(B76&amp;E76,'VISIT DATA'!A:N,10,FALSE)</f>
        <v>#N/A</v>
      </c>
      <c r="K76" s="225"/>
      <c r="L76" s="224"/>
      <c r="M76" s="224"/>
      <c r="N76" s="225"/>
      <c r="O76" s="216" t="str">
        <f t="shared" si="1"/>
        <v>X</v>
      </c>
      <c r="P76" s="226" t="str">
        <f t="shared" si="2"/>
        <v>#N/A</v>
      </c>
      <c r="Q76" s="227" t="str">
        <f t="shared" si="3"/>
        <v>#N/A</v>
      </c>
      <c r="R76" s="228" t="str">
        <f t="shared" si="4"/>
        <v>#N/A</v>
      </c>
      <c r="S76" s="220" t="str">
        <f t="shared" si="5"/>
        <v>#N/A</v>
      </c>
      <c r="T76" s="220" t="str">
        <f t="shared" si="6"/>
        <v>#N/A</v>
      </c>
      <c r="U76" s="221">
        <f t="shared" si="7"/>
        <v>0</v>
      </c>
      <c r="V76" s="229" t="str">
        <f>ifs($N76="",VLOOKUP($B76&amp;$E76,'VISIT DATA'!$A$2:$J100,7,FALSE), $N76="SWAB","OUTSA-RW",$N76="SWQU","OUTSA-SaQu", AND($L76="X",$M76="X",$N76="QUEST"),"OUT-UAQPre",$N76="QUEST","OUT-UAQ", $N76="Walk in","ColUATele")</f>
        <v>#N/A</v>
      </c>
      <c r="W76" s="24" t="str">
        <f t="shared" si="8"/>
        <v>#N/A</v>
      </c>
      <c r="X76" s="222" t="str">
        <f t="shared" si="9"/>
        <v/>
      </c>
      <c r="Y76" s="222" t="str">
        <f t="shared" si="10"/>
        <v/>
      </c>
      <c r="Z76" s="224" t="str">
        <f t="shared" si="11"/>
        <v> </v>
      </c>
      <c r="AA76" s="244"/>
    </row>
    <row r="77" hidden="1">
      <c r="A77" s="214" t="str">
        <f>IFS($B77=FALSE,"",$B77,VLOOKUP($B77,'PATIENT DATA (072721)'!A:C, 2, 0))</f>
        <v/>
      </c>
      <c r="B77" s="215"/>
      <c r="C77" s="230" t="str">
        <f>IF(COUNTIF('PATIENT DATA (072721)'!A:A, B77)=0, "X","✓")</f>
        <v>X</v>
      </c>
      <c r="D77" s="226" t="str">
        <f>IFS($B77=FALSE,"",$B77,VLOOKUP($B77,'PATIENT DATA (072721)'!A:C, 3, 0))</f>
        <v/>
      </c>
      <c r="E77" s="218">
        <v>44576.0</v>
      </c>
      <c r="F77" s="219" t="str">
        <f>ifs($B77="","",$B77, VLOOKUP($B77&amp;$E77, 'VISIT DATA'!A:O,3,0))</f>
        <v/>
      </c>
      <c r="G77" s="231"/>
      <c r="H77" s="221" t="str">
        <f>ifs($B77="","",$B77, VLOOKUP($B77&amp;$E77, 'VISIT DATA'!$A:$O,13,0))</f>
        <v/>
      </c>
      <c r="I77" s="262" t="str">
        <f>VLOOKUP($B77&amp;$E77,'VISIT DATA'!A:J, 9, FALSE)</f>
        <v>#N/A</v>
      </c>
      <c r="J77" s="223" t="str">
        <f>VLOOKUP(B77&amp;E77,'VISIT DATA'!A:N,10,FALSE)</f>
        <v>#N/A</v>
      </c>
      <c r="K77" s="225"/>
      <c r="L77" s="224"/>
      <c r="M77" s="224"/>
      <c r="N77" s="225"/>
      <c r="O77" s="216" t="str">
        <f t="shared" si="1"/>
        <v>X</v>
      </c>
      <c r="P77" s="226" t="str">
        <f t="shared" si="2"/>
        <v>#N/A</v>
      </c>
      <c r="Q77" s="227" t="str">
        <f t="shared" si="3"/>
        <v>#N/A</v>
      </c>
      <c r="R77" s="228" t="str">
        <f t="shared" si="4"/>
        <v>#N/A</v>
      </c>
      <c r="S77" s="220" t="str">
        <f t="shared" si="5"/>
        <v>#N/A</v>
      </c>
      <c r="T77" s="220" t="str">
        <f t="shared" si="6"/>
        <v>#N/A</v>
      </c>
      <c r="U77" s="221">
        <f t="shared" si="7"/>
        <v>0</v>
      </c>
      <c r="V77" s="229" t="str">
        <f>ifs($N77="",VLOOKUP($B77&amp;$E77,'VISIT DATA'!$A$2:$J100,7,FALSE), $N77="SWAB","OUTSA-RW",$N77="SWQU","OUTSA-SaQu", AND($L77="X",$M77="X",$N77="QUEST"),"OUT-UAQPre",$N77="QUEST","OUT-UAQ", $N77="Walk in","ColUATele")</f>
        <v>#N/A</v>
      </c>
      <c r="W77" s="24" t="str">
        <f t="shared" si="8"/>
        <v>#N/A</v>
      </c>
      <c r="X77" s="222" t="str">
        <f t="shared" si="9"/>
        <v/>
      </c>
      <c r="Y77" s="222" t="str">
        <f t="shared" si="10"/>
        <v/>
      </c>
      <c r="Z77" s="224" t="str">
        <f t="shared" si="11"/>
        <v> </v>
      </c>
      <c r="AA77" s="244"/>
    </row>
    <row r="78" hidden="1">
      <c r="A78" s="214" t="str">
        <f>IFS($B78=FALSE,"",$B78,VLOOKUP($B78,'PATIENT DATA (072721)'!A:C, 2, 0))</f>
        <v/>
      </c>
      <c r="B78" s="215"/>
      <c r="C78" s="230" t="str">
        <f>IF(COUNTIF('PATIENT DATA (072721)'!A:A, B78)=0, "X","✓")</f>
        <v>X</v>
      </c>
      <c r="D78" s="226" t="str">
        <f>IFS($B78=FALSE,"",$B78,VLOOKUP($B78,'PATIENT DATA (072721)'!A:C, 3, 0))</f>
        <v/>
      </c>
      <c r="E78" s="218">
        <v>44576.0</v>
      </c>
      <c r="F78" s="219" t="str">
        <f>ifs($B78="","",$B78, VLOOKUP($B78&amp;$E78, 'VISIT DATA'!A:O,3,0))</f>
        <v/>
      </c>
      <c r="G78" s="231"/>
      <c r="H78" s="221" t="str">
        <f>ifs($B78="","",$B78, VLOOKUP($B78&amp;$E78, 'VISIT DATA'!$A:$O,13,0))</f>
        <v/>
      </c>
      <c r="I78" s="262" t="str">
        <f>VLOOKUP($B78&amp;$E78,'VISIT DATA'!A:J, 9, FALSE)</f>
        <v>#N/A</v>
      </c>
      <c r="J78" s="223" t="str">
        <f>VLOOKUP(B78&amp;E78,'VISIT DATA'!A:N,10,FALSE)</f>
        <v>#N/A</v>
      </c>
      <c r="K78" s="225"/>
      <c r="L78" s="224"/>
      <c r="M78" s="224"/>
      <c r="N78" s="225"/>
      <c r="O78" s="216" t="str">
        <f t="shared" si="1"/>
        <v>X</v>
      </c>
      <c r="P78" s="226" t="str">
        <f t="shared" si="2"/>
        <v>#N/A</v>
      </c>
      <c r="Q78" s="227" t="str">
        <f t="shared" si="3"/>
        <v>#N/A</v>
      </c>
      <c r="R78" s="228" t="str">
        <f t="shared" si="4"/>
        <v>#N/A</v>
      </c>
      <c r="S78" s="220" t="str">
        <f t="shared" si="5"/>
        <v>#N/A</v>
      </c>
      <c r="T78" s="220" t="str">
        <f t="shared" si="6"/>
        <v>#N/A</v>
      </c>
      <c r="U78" s="221">
        <f t="shared" si="7"/>
        <v>0</v>
      </c>
      <c r="V78" s="229" t="str">
        <f>ifs($N78="",VLOOKUP($B78&amp;$E78,'VISIT DATA'!$A$2:$J100,7,FALSE), $N78="SWAB","OUTSA-RW",$N78="SWQU","OUTSA-SaQu", AND($L78="X",$M78="X",$N78="QUEST"),"OUT-UAQPre",$N78="QUEST","OUT-UAQ", $N78="Walk in","ColUATele")</f>
        <v>#N/A</v>
      </c>
      <c r="W78" s="24" t="str">
        <f t="shared" si="8"/>
        <v>#N/A</v>
      </c>
      <c r="X78" s="222" t="str">
        <f t="shared" si="9"/>
        <v/>
      </c>
      <c r="Y78" s="222" t="str">
        <f t="shared" si="10"/>
        <v/>
      </c>
      <c r="Z78" s="224" t="str">
        <f t="shared" si="11"/>
        <v> </v>
      </c>
      <c r="AA78" s="244"/>
    </row>
    <row r="79" hidden="1">
      <c r="A79" s="214" t="str">
        <f>IFS($B79=FALSE,"",$B79,VLOOKUP($B79,'PATIENT DATA (072721)'!A:C, 2, 0))</f>
        <v/>
      </c>
      <c r="B79" s="215"/>
      <c r="C79" s="230" t="str">
        <f>IF(COUNTIF('PATIENT DATA (072721)'!A:A, B79)=0, "X","✓")</f>
        <v>X</v>
      </c>
      <c r="D79" s="226" t="str">
        <f>IFS($B79=FALSE,"",$B79,VLOOKUP($B79,'PATIENT DATA (072721)'!A:C, 3, 0))</f>
        <v/>
      </c>
      <c r="E79" s="218">
        <v>44576.0</v>
      </c>
      <c r="F79" s="219" t="str">
        <f>ifs($B79="","",$B79, VLOOKUP($B79&amp;$E79, 'VISIT DATA'!A:O,3,0))</f>
        <v/>
      </c>
      <c r="G79" s="231"/>
      <c r="H79" s="221" t="str">
        <f>ifs($B79="","",$B79, VLOOKUP($B79&amp;$E79, 'VISIT DATA'!$A:$O,13,0))</f>
        <v/>
      </c>
      <c r="I79" s="262" t="str">
        <f>VLOOKUP($B79&amp;$E79,'VISIT DATA'!A:J, 9, FALSE)</f>
        <v>#N/A</v>
      </c>
      <c r="J79" s="223" t="str">
        <f>VLOOKUP(B79&amp;E79,'VISIT DATA'!A:N,10,FALSE)</f>
        <v>#N/A</v>
      </c>
      <c r="K79" s="225"/>
      <c r="L79" s="224"/>
      <c r="M79" s="224"/>
      <c r="N79" s="225"/>
      <c r="O79" s="216" t="str">
        <f t="shared" si="1"/>
        <v>X</v>
      </c>
      <c r="P79" s="226" t="str">
        <f t="shared" si="2"/>
        <v>#N/A</v>
      </c>
      <c r="Q79" s="227" t="str">
        <f t="shared" si="3"/>
        <v>#N/A</v>
      </c>
      <c r="R79" s="228" t="str">
        <f t="shared" si="4"/>
        <v>#N/A</v>
      </c>
      <c r="S79" s="220" t="str">
        <f t="shared" si="5"/>
        <v>#N/A</v>
      </c>
      <c r="T79" s="220" t="str">
        <f t="shared" si="6"/>
        <v>#N/A</v>
      </c>
      <c r="U79" s="221">
        <f t="shared" si="7"/>
        <v>0</v>
      </c>
      <c r="V79" s="229" t="str">
        <f>ifs($N79="",VLOOKUP($B79&amp;$E79,'VISIT DATA'!$A$2:$J100,7,FALSE), $N79="SWAB","OUTSA-RW",$N79="SWQU","OUTSA-SaQu", AND($L79="X",$M79="X",$N79="QUEST"),"OUT-UAQPre",$N79="QUEST","OUT-UAQ", $N79="Walk in","ColUATele")</f>
        <v>#N/A</v>
      </c>
      <c r="W79" s="24" t="str">
        <f t="shared" si="8"/>
        <v>#N/A</v>
      </c>
      <c r="X79" s="222" t="str">
        <f t="shared" si="9"/>
        <v/>
      </c>
      <c r="Y79" s="222" t="str">
        <f t="shared" si="10"/>
        <v/>
      </c>
      <c r="Z79" s="224" t="str">
        <f t="shared" si="11"/>
        <v> </v>
      </c>
      <c r="AA79" s="244"/>
    </row>
    <row r="80" hidden="1">
      <c r="A80" s="214" t="str">
        <f>IFS($B80=FALSE,"",$B80,VLOOKUP($B80,'PATIENT DATA (072721)'!A:C, 2, 0))</f>
        <v/>
      </c>
      <c r="B80" s="215"/>
      <c r="C80" s="230" t="str">
        <f>IF(COUNTIF('PATIENT DATA (072721)'!A:A, B80)=0, "X","✓")</f>
        <v>X</v>
      </c>
      <c r="D80" s="226" t="str">
        <f>IFS($B80=FALSE,"",$B80,VLOOKUP($B80,'PATIENT DATA (072721)'!A:C, 3, 0))</f>
        <v/>
      </c>
      <c r="E80" s="218">
        <v>44576.0</v>
      </c>
      <c r="F80" s="219" t="str">
        <f>ifs($B80="","",$B80, VLOOKUP($B80&amp;$E80, 'VISIT DATA'!A:O,3,0))</f>
        <v/>
      </c>
      <c r="G80" s="231"/>
      <c r="H80" s="221" t="str">
        <f>ifs($B80="","",$B80, VLOOKUP($B80&amp;$E80, 'VISIT DATA'!$A:$O,13,0))</f>
        <v/>
      </c>
      <c r="I80" s="262" t="str">
        <f>VLOOKUP($B80&amp;$E80,'VISIT DATA'!A:J, 9, FALSE)</f>
        <v>#N/A</v>
      </c>
      <c r="J80" s="223" t="str">
        <f>VLOOKUP(B80&amp;E80,'VISIT DATA'!A:N,10,FALSE)</f>
        <v>#N/A</v>
      </c>
      <c r="K80" s="225"/>
      <c r="L80" s="224"/>
      <c r="M80" s="224"/>
      <c r="N80" s="225"/>
      <c r="O80" s="216" t="str">
        <f t="shared" si="1"/>
        <v>X</v>
      </c>
      <c r="P80" s="226" t="str">
        <f t="shared" si="2"/>
        <v>#N/A</v>
      </c>
      <c r="Q80" s="227" t="str">
        <f t="shared" si="3"/>
        <v>#N/A</v>
      </c>
      <c r="R80" s="228" t="str">
        <f t="shared" si="4"/>
        <v>#N/A</v>
      </c>
      <c r="S80" s="220" t="str">
        <f t="shared" si="5"/>
        <v>#N/A</v>
      </c>
      <c r="T80" s="220" t="str">
        <f t="shared" si="6"/>
        <v>#N/A</v>
      </c>
      <c r="U80" s="221">
        <f t="shared" si="7"/>
        <v>0</v>
      </c>
      <c r="V80" s="229" t="str">
        <f>ifs($N80="",VLOOKUP($B80&amp;$E80,'VISIT DATA'!$A$2:$J100,7,FALSE), $N80="SWAB","OUTSA-RW",$N80="SWQU","OUTSA-SaQu", AND($L80="X",$M80="X",$N80="QUEST"),"OUT-UAQPre",$N80="QUEST","OUT-UAQ", $N80="Walk in","ColUATele")</f>
        <v>#N/A</v>
      </c>
      <c r="W80" s="24" t="str">
        <f t="shared" si="8"/>
        <v>#N/A</v>
      </c>
      <c r="X80" s="222" t="str">
        <f t="shared" si="9"/>
        <v/>
      </c>
      <c r="Y80" s="222" t="str">
        <f t="shared" si="10"/>
        <v/>
      </c>
      <c r="Z80" s="224" t="str">
        <f t="shared" si="11"/>
        <v> </v>
      </c>
      <c r="AA80" s="244"/>
    </row>
    <row r="81" hidden="1">
      <c r="A81" s="214" t="str">
        <f>IFS($B81=FALSE,"",$B81,VLOOKUP($B81,'PATIENT DATA (072721)'!A:C, 2, 0))</f>
        <v/>
      </c>
      <c r="B81" s="215"/>
      <c r="C81" s="230" t="str">
        <f>IF(COUNTIF('PATIENT DATA (072721)'!A:A, B81)=0, "X","✓")</f>
        <v>X</v>
      </c>
      <c r="D81" s="226" t="str">
        <f>IFS($B81=FALSE,"",$B81,VLOOKUP($B81,'PATIENT DATA (072721)'!A:C, 3, 0))</f>
        <v/>
      </c>
      <c r="E81" s="218">
        <v>44576.0</v>
      </c>
      <c r="F81" s="219" t="str">
        <f>ifs($B81="","",$B81, VLOOKUP($B81&amp;$E81, 'VISIT DATA'!A:O,3,0))</f>
        <v/>
      </c>
      <c r="G81" s="231"/>
      <c r="H81" s="221" t="str">
        <f>ifs($B81="","",$B81, VLOOKUP($B81&amp;$E81, 'VISIT DATA'!$A:$O,13,0))</f>
        <v/>
      </c>
      <c r="I81" s="262" t="str">
        <f>VLOOKUP($B81&amp;$E81,'VISIT DATA'!A:J, 9, FALSE)</f>
        <v>#N/A</v>
      </c>
      <c r="J81" s="223" t="str">
        <f>VLOOKUP(B81&amp;E81,'VISIT DATA'!A:N,10,FALSE)</f>
        <v>#N/A</v>
      </c>
      <c r="K81" s="225"/>
      <c r="L81" s="224"/>
      <c r="M81" s="224"/>
      <c r="N81" s="225"/>
      <c r="O81" s="216" t="str">
        <f t="shared" si="1"/>
        <v>X</v>
      </c>
      <c r="P81" s="226" t="str">
        <f t="shared" si="2"/>
        <v>#N/A</v>
      </c>
      <c r="Q81" s="227" t="str">
        <f t="shared" si="3"/>
        <v>#N/A</v>
      </c>
      <c r="R81" s="228" t="str">
        <f t="shared" si="4"/>
        <v>#N/A</v>
      </c>
      <c r="S81" s="220" t="str">
        <f t="shared" si="5"/>
        <v>#N/A</v>
      </c>
      <c r="T81" s="220" t="str">
        <f t="shared" si="6"/>
        <v>#N/A</v>
      </c>
      <c r="U81" s="221">
        <f t="shared" si="7"/>
        <v>0</v>
      </c>
      <c r="V81" s="229" t="str">
        <f>ifs($N81="",VLOOKUP($B81&amp;$E81,'VISIT DATA'!$A$2:$J100,7,FALSE), $N81="SWAB","OUTSA-RW",$N81="SWQU","OUTSA-SaQu", AND($L81="X",$M81="X",$N81="QUEST"),"OUT-UAQPre",$N81="QUEST","OUT-UAQ", $N81="Walk in","ColUATele")</f>
        <v>#N/A</v>
      </c>
      <c r="W81" s="24" t="str">
        <f t="shared" si="8"/>
        <v>#N/A</v>
      </c>
      <c r="X81" s="222" t="str">
        <f t="shared" si="9"/>
        <v/>
      </c>
      <c r="Y81" s="222" t="str">
        <f t="shared" si="10"/>
        <v/>
      </c>
      <c r="Z81" s="224" t="str">
        <f t="shared" si="11"/>
        <v> </v>
      </c>
      <c r="AA81" s="244"/>
    </row>
    <row r="82" hidden="1">
      <c r="A82" s="214" t="str">
        <f>IFS($B82=FALSE,"",$B82,VLOOKUP($B82,'PATIENT DATA (072721)'!A:C, 2, 0))</f>
        <v/>
      </c>
      <c r="B82" s="215"/>
      <c r="C82" s="230" t="str">
        <f>IF(COUNTIF('PATIENT DATA (072721)'!A:A, B82)=0, "X","✓")</f>
        <v>X</v>
      </c>
      <c r="D82" s="226" t="str">
        <f>IFS($B82=FALSE,"",$B82,VLOOKUP($B82,'PATIENT DATA (072721)'!A:C, 3, 0))</f>
        <v/>
      </c>
      <c r="E82" s="218">
        <v>44576.0</v>
      </c>
      <c r="F82" s="219" t="str">
        <f>ifs($B82="","",$B82, VLOOKUP($B82&amp;$E82, 'VISIT DATA'!A:O,3,0))</f>
        <v/>
      </c>
      <c r="G82" s="231"/>
      <c r="H82" s="221" t="str">
        <f>ifs($B82="","",$B82, VLOOKUP($B82&amp;$E82, 'VISIT DATA'!$A:$O,13,0))</f>
        <v/>
      </c>
      <c r="I82" s="262" t="str">
        <f>VLOOKUP($B82&amp;$E82,'VISIT DATA'!A:J, 9, FALSE)</f>
        <v>#N/A</v>
      </c>
      <c r="J82" s="223" t="str">
        <f>VLOOKUP(B82&amp;E82,'VISIT DATA'!A:N,10,FALSE)</f>
        <v>#N/A</v>
      </c>
      <c r="K82" s="225"/>
      <c r="L82" s="224"/>
      <c r="M82" s="224"/>
      <c r="N82" s="225"/>
      <c r="O82" s="216" t="str">
        <f t="shared" si="1"/>
        <v>X</v>
      </c>
      <c r="P82" s="226" t="str">
        <f t="shared" si="2"/>
        <v>#N/A</v>
      </c>
      <c r="Q82" s="227" t="str">
        <f t="shared" si="3"/>
        <v>#N/A</v>
      </c>
      <c r="R82" s="228" t="str">
        <f t="shared" si="4"/>
        <v>#N/A</v>
      </c>
      <c r="S82" s="220" t="str">
        <f t="shared" si="5"/>
        <v>#N/A</v>
      </c>
      <c r="T82" s="220" t="str">
        <f t="shared" si="6"/>
        <v>#N/A</v>
      </c>
      <c r="U82" s="221">
        <f t="shared" si="7"/>
        <v>0</v>
      </c>
      <c r="V82" s="229" t="str">
        <f>ifs($N82="",VLOOKUP($B82&amp;$E82,'VISIT DATA'!$A$2:$J100,7,FALSE), $N82="SWAB","OUTSA-RW",$N82="SWQU","OUTSA-SaQu", AND($L82="X",$M82="X",$N82="QUEST"),"OUT-UAQPre",$N82="QUEST","OUT-UAQ", $N82="Walk in","ColUATele")</f>
        <v>#N/A</v>
      </c>
      <c r="W82" s="24" t="str">
        <f t="shared" si="8"/>
        <v>#N/A</v>
      </c>
      <c r="X82" s="222" t="str">
        <f t="shared" si="9"/>
        <v/>
      </c>
      <c r="Y82" s="222" t="str">
        <f t="shared" si="10"/>
        <v/>
      </c>
      <c r="Z82" s="224" t="str">
        <f t="shared" si="11"/>
        <v> </v>
      </c>
      <c r="AA82" s="244"/>
    </row>
    <row r="83" hidden="1">
      <c r="A83" s="214" t="str">
        <f>IFS($B83=FALSE,"",$B83,VLOOKUP($B83,'PATIENT DATA (072721)'!A:C, 2, 0))</f>
        <v/>
      </c>
      <c r="B83" s="215"/>
      <c r="C83" s="230" t="str">
        <f>IF(COUNTIF('PATIENT DATA (072721)'!A:A, B83)=0, "X","✓")</f>
        <v>X</v>
      </c>
      <c r="D83" s="226" t="str">
        <f>IFS($B83=FALSE,"",$B83,VLOOKUP($B83,'PATIENT DATA (072721)'!A:C, 3, 0))</f>
        <v/>
      </c>
      <c r="E83" s="218">
        <v>44576.0</v>
      </c>
      <c r="F83" s="219" t="str">
        <f>ifs($B83="","",$B83, VLOOKUP($B83&amp;$E83, 'VISIT DATA'!A:O,3,0))</f>
        <v/>
      </c>
      <c r="G83" s="231"/>
      <c r="H83" s="221" t="str">
        <f>ifs($B83="","",$B83, VLOOKUP($B83&amp;$E83, 'VISIT DATA'!$A:$O,13,0))</f>
        <v/>
      </c>
      <c r="I83" s="262" t="str">
        <f>VLOOKUP($B83&amp;$E83,'VISIT DATA'!A:J, 9, FALSE)</f>
        <v>#N/A</v>
      </c>
      <c r="J83" s="223" t="str">
        <f>VLOOKUP(B83&amp;E83,'VISIT DATA'!A:N,10,FALSE)</f>
        <v>#N/A</v>
      </c>
      <c r="K83" s="225"/>
      <c r="L83" s="224"/>
      <c r="M83" s="224"/>
      <c r="N83" s="225"/>
      <c r="O83" s="216" t="str">
        <f t="shared" si="1"/>
        <v>X</v>
      </c>
      <c r="P83" s="226" t="str">
        <f t="shared" si="2"/>
        <v>#N/A</v>
      </c>
      <c r="Q83" s="227" t="str">
        <f t="shared" si="3"/>
        <v>#N/A</v>
      </c>
      <c r="R83" s="228" t="str">
        <f t="shared" si="4"/>
        <v>#N/A</v>
      </c>
      <c r="S83" s="220" t="str">
        <f t="shared" si="5"/>
        <v>#N/A</v>
      </c>
      <c r="T83" s="220" t="str">
        <f t="shared" si="6"/>
        <v>#N/A</v>
      </c>
      <c r="U83" s="221">
        <f t="shared" si="7"/>
        <v>0</v>
      </c>
      <c r="V83" s="229" t="str">
        <f>ifs($N83="",VLOOKUP($B83&amp;$E83,'VISIT DATA'!$A$2:$J100,7,FALSE), $N83="SWAB","OUTSA-RW",$N83="SWQU","OUTSA-SaQu", AND($L83="X",$M83="X",$N83="QUEST"),"OUT-UAQPre",$N83="QUEST","OUT-UAQ", $N83="Walk in","ColUATele")</f>
        <v>#N/A</v>
      </c>
      <c r="W83" s="24" t="str">
        <f t="shared" si="8"/>
        <v>#N/A</v>
      </c>
      <c r="X83" s="222" t="str">
        <f t="shared" si="9"/>
        <v/>
      </c>
      <c r="Y83" s="222" t="str">
        <f t="shared" si="10"/>
        <v/>
      </c>
      <c r="Z83" s="224" t="str">
        <f t="shared" si="11"/>
        <v> </v>
      </c>
      <c r="AA83" s="244"/>
    </row>
    <row r="84" hidden="1">
      <c r="A84" s="214" t="str">
        <f>IFS($B84=FALSE,"",$B84,VLOOKUP($B84,'PATIENT DATA (072721)'!A:C, 2, 0))</f>
        <v/>
      </c>
      <c r="B84" s="215"/>
      <c r="C84" s="230" t="str">
        <f>IF(COUNTIF('PATIENT DATA (072721)'!A:A, B84)=0, "X","✓")</f>
        <v>X</v>
      </c>
      <c r="D84" s="226" t="str">
        <f>IFS($B84=FALSE,"",$B84,VLOOKUP($B84,'PATIENT DATA (072721)'!A:C, 3, 0))</f>
        <v/>
      </c>
      <c r="E84" s="218">
        <v>44576.0</v>
      </c>
      <c r="F84" s="219" t="str">
        <f>ifs($B84="","",$B84, VLOOKUP($B84&amp;$E84, 'VISIT DATA'!A:O,3,0))</f>
        <v/>
      </c>
      <c r="G84" s="231"/>
      <c r="H84" s="221" t="str">
        <f>ifs($B84="","",$B84, VLOOKUP($B84&amp;$E84, 'VISIT DATA'!$A:$O,13,0))</f>
        <v/>
      </c>
      <c r="I84" s="262" t="str">
        <f>VLOOKUP($B84&amp;$E84,'VISIT DATA'!A:J, 9, FALSE)</f>
        <v>#N/A</v>
      </c>
      <c r="J84" s="223" t="str">
        <f>VLOOKUP(B84&amp;E84,'VISIT DATA'!A:N,10,FALSE)</f>
        <v>#N/A</v>
      </c>
      <c r="K84" s="225"/>
      <c r="L84" s="224"/>
      <c r="M84" s="224"/>
      <c r="N84" s="225"/>
      <c r="O84" s="216" t="str">
        <f t="shared" si="1"/>
        <v>X</v>
      </c>
      <c r="P84" s="226" t="str">
        <f t="shared" si="2"/>
        <v>#N/A</v>
      </c>
      <c r="Q84" s="227" t="str">
        <f t="shared" si="3"/>
        <v>#N/A</v>
      </c>
      <c r="R84" s="228" t="str">
        <f t="shared" si="4"/>
        <v>#N/A</v>
      </c>
      <c r="S84" s="220" t="str">
        <f t="shared" si="5"/>
        <v>#N/A</v>
      </c>
      <c r="T84" s="220" t="str">
        <f t="shared" si="6"/>
        <v>#N/A</v>
      </c>
      <c r="U84" s="221">
        <f t="shared" si="7"/>
        <v>0</v>
      </c>
      <c r="V84" s="229" t="str">
        <f>ifs($N84="",VLOOKUP($B84&amp;$E84,'VISIT DATA'!$A$2:$J100,7,FALSE), $N84="SWAB","OUTSA-RW",$N84="SWQU","OUTSA-SaQu", AND($L84="X",$M84="X",$N84="QUEST"),"OUT-UAQPre",$N84="QUEST","OUT-UAQ", $N84="Walk in","ColUATele")</f>
        <v>#N/A</v>
      </c>
      <c r="W84" s="24" t="str">
        <f t="shared" si="8"/>
        <v>#N/A</v>
      </c>
      <c r="X84" s="222" t="str">
        <f t="shared" si="9"/>
        <v/>
      </c>
      <c r="Y84" s="222" t="str">
        <f t="shared" si="10"/>
        <v/>
      </c>
      <c r="Z84" s="224" t="str">
        <f t="shared" si="11"/>
        <v> </v>
      </c>
      <c r="AA84" s="244"/>
    </row>
    <row r="85" hidden="1">
      <c r="A85" s="214" t="str">
        <f>IFS($B85=FALSE,"",$B85,VLOOKUP($B85,'PATIENT DATA (072721)'!A:C, 2, 0))</f>
        <v/>
      </c>
      <c r="B85" s="215"/>
      <c r="C85" s="230" t="str">
        <f>IF(COUNTIF('PATIENT DATA (072721)'!A:A, B85)=0, "X","✓")</f>
        <v>X</v>
      </c>
      <c r="D85" s="226" t="str">
        <f>IFS($B85=FALSE,"",$B85,VLOOKUP($B85,'PATIENT DATA (072721)'!A:C, 3, 0))</f>
        <v/>
      </c>
      <c r="E85" s="218">
        <v>44576.0</v>
      </c>
      <c r="F85" s="219" t="str">
        <f>ifs($B85="","",$B85, VLOOKUP($B85&amp;$E85, 'VISIT DATA'!A:O,3,0))</f>
        <v/>
      </c>
      <c r="G85" s="231"/>
      <c r="H85" s="221" t="str">
        <f>ifs($B85="","",$B85, VLOOKUP($B85&amp;$E85, 'VISIT DATA'!$A:$O,13,0))</f>
        <v/>
      </c>
      <c r="I85" s="262" t="str">
        <f>VLOOKUP($B85&amp;$E85,'VISIT DATA'!A:J, 9, FALSE)</f>
        <v>#N/A</v>
      </c>
      <c r="J85" s="223" t="str">
        <f>VLOOKUP(B85&amp;E85,'VISIT DATA'!A:N,10,FALSE)</f>
        <v>#N/A</v>
      </c>
      <c r="K85" s="225"/>
      <c r="L85" s="224"/>
      <c r="M85" s="224"/>
      <c r="N85" s="225"/>
      <c r="O85" s="216" t="str">
        <f t="shared" si="1"/>
        <v>X</v>
      </c>
      <c r="P85" s="226" t="str">
        <f t="shared" si="2"/>
        <v>#N/A</v>
      </c>
      <c r="Q85" s="227" t="str">
        <f t="shared" si="3"/>
        <v>#N/A</v>
      </c>
      <c r="R85" s="228" t="str">
        <f t="shared" si="4"/>
        <v>#N/A</v>
      </c>
      <c r="S85" s="220" t="str">
        <f t="shared" si="5"/>
        <v>#N/A</v>
      </c>
      <c r="T85" s="220" t="str">
        <f t="shared" si="6"/>
        <v>#N/A</v>
      </c>
      <c r="U85" s="221">
        <f t="shared" si="7"/>
        <v>0</v>
      </c>
      <c r="V85" s="229" t="str">
        <f>ifs($N85="",VLOOKUP($B85&amp;$E85,'VISIT DATA'!$A$2:$J100,7,FALSE), $N85="SWAB","OUTSA-RW",$N85="SWQU","OUTSA-SaQu", AND($L85="X",$M85="X",$N85="QUEST"),"OUT-UAQPre",$N85="QUEST","OUT-UAQ", $N85="Walk in","ColUATele")</f>
        <v>#N/A</v>
      </c>
      <c r="W85" s="24" t="str">
        <f t="shared" si="8"/>
        <v>#N/A</v>
      </c>
      <c r="X85" s="222" t="str">
        <f t="shared" si="9"/>
        <v/>
      </c>
      <c r="Y85" s="222" t="str">
        <f t="shared" si="10"/>
        <v/>
      </c>
      <c r="Z85" s="224" t="str">
        <f t="shared" si="11"/>
        <v> </v>
      </c>
      <c r="AA85" s="244"/>
    </row>
    <row r="86" hidden="1">
      <c r="A86" s="214" t="str">
        <f>IFS($B86=FALSE,"",$B86,VLOOKUP($B86,'PATIENT DATA (072721)'!A:C, 2, 0))</f>
        <v/>
      </c>
      <c r="B86" s="215"/>
      <c r="C86" s="230" t="str">
        <f>IF(COUNTIF('PATIENT DATA (072721)'!A:A, B86)=0, "X","✓")</f>
        <v>X</v>
      </c>
      <c r="D86" s="226" t="str">
        <f>IFS($B86=FALSE,"",$B86,VLOOKUP($B86,'PATIENT DATA (072721)'!A:C, 3, 0))</f>
        <v/>
      </c>
      <c r="E86" s="218">
        <v>44576.0</v>
      </c>
      <c r="F86" s="219" t="str">
        <f>ifs($B86="","",$B86, VLOOKUP($B86&amp;$E86, 'VISIT DATA'!A:O,3,0))</f>
        <v/>
      </c>
      <c r="G86" s="231"/>
      <c r="H86" s="221" t="str">
        <f>ifs($B86="","",$B86, VLOOKUP($B86&amp;$E86, 'VISIT DATA'!$A:$O,13,0))</f>
        <v/>
      </c>
      <c r="I86" s="262" t="str">
        <f>VLOOKUP($B86&amp;$E86,'VISIT DATA'!A:J, 9, FALSE)</f>
        <v>#N/A</v>
      </c>
      <c r="J86" s="223" t="str">
        <f>VLOOKUP(B86&amp;E86,'VISIT DATA'!A:N,10,FALSE)</f>
        <v>#N/A</v>
      </c>
      <c r="K86" s="225"/>
      <c r="L86" s="224"/>
      <c r="M86" s="224"/>
      <c r="N86" s="225"/>
      <c r="O86" s="216" t="str">
        <f t="shared" si="1"/>
        <v>X</v>
      </c>
      <c r="P86" s="226" t="str">
        <f t="shared" si="2"/>
        <v>#N/A</v>
      </c>
      <c r="Q86" s="227" t="str">
        <f t="shared" si="3"/>
        <v>#N/A</v>
      </c>
      <c r="R86" s="228" t="str">
        <f t="shared" si="4"/>
        <v>#N/A</v>
      </c>
      <c r="S86" s="220" t="str">
        <f t="shared" si="5"/>
        <v>#N/A</v>
      </c>
      <c r="T86" s="220" t="str">
        <f t="shared" si="6"/>
        <v>#N/A</v>
      </c>
      <c r="U86" s="221">
        <f t="shared" si="7"/>
        <v>0</v>
      </c>
      <c r="V86" s="229" t="str">
        <f>ifs($N86="",VLOOKUP($B86&amp;$E86,'VISIT DATA'!$A$2:$J100,7,FALSE), $N86="SWAB","OUTSA-RW",$N86="SWQU","OUTSA-SaQu", AND($L86="X",$M86="X",$N86="QUEST"),"OUT-UAQPre",$N86="QUEST","OUT-UAQ", $N86="Walk in","ColUATele")</f>
        <v>#N/A</v>
      </c>
      <c r="W86" s="24" t="str">
        <f t="shared" si="8"/>
        <v>#N/A</v>
      </c>
      <c r="X86" s="222" t="str">
        <f t="shared" si="9"/>
        <v/>
      </c>
      <c r="Y86" s="222" t="str">
        <f t="shared" si="10"/>
        <v/>
      </c>
      <c r="Z86" s="224" t="str">
        <f t="shared" si="11"/>
        <v> </v>
      </c>
      <c r="AA86" s="244"/>
    </row>
    <row r="87" hidden="1">
      <c r="A87" s="214" t="str">
        <f>IFS($B87=FALSE,"",$B87,VLOOKUP($B87,'PATIENT DATA (072721)'!A:C, 2, 0))</f>
        <v/>
      </c>
      <c r="B87" s="215"/>
      <c r="C87" s="230" t="str">
        <f>IF(COUNTIF('PATIENT DATA (072721)'!A:A, B87)=0, "X","✓")</f>
        <v>X</v>
      </c>
      <c r="D87" s="226" t="str">
        <f>IFS($B87=FALSE,"",$B87,VLOOKUP($B87,'PATIENT DATA (072721)'!A:C, 3, 0))</f>
        <v/>
      </c>
      <c r="E87" s="218">
        <v>44576.0</v>
      </c>
      <c r="F87" s="219" t="str">
        <f>ifs($B87="","",$B87, VLOOKUP($B87&amp;$E87, 'VISIT DATA'!A:O,3,0))</f>
        <v/>
      </c>
      <c r="G87" s="231"/>
      <c r="H87" s="221" t="str">
        <f>ifs($B87="","",$B87, VLOOKUP($B87&amp;$E87, 'VISIT DATA'!$A:$O,13,0))</f>
        <v/>
      </c>
      <c r="I87" s="262" t="str">
        <f>VLOOKUP($B87&amp;$E87,'VISIT DATA'!A:J, 9, FALSE)</f>
        <v>#N/A</v>
      </c>
      <c r="J87" s="223" t="str">
        <f>VLOOKUP(B87&amp;E87,'VISIT DATA'!A:N,10,FALSE)</f>
        <v>#N/A</v>
      </c>
      <c r="K87" s="225"/>
      <c r="L87" s="224"/>
      <c r="M87" s="224"/>
      <c r="N87" s="225"/>
      <c r="O87" s="216" t="str">
        <f t="shared" si="1"/>
        <v>X</v>
      </c>
      <c r="P87" s="226" t="str">
        <f t="shared" si="2"/>
        <v>#N/A</v>
      </c>
      <c r="Q87" s="227" t="str">
        <f t="shared" si="3"/>
        <v>#N/A</v>
      </c>
      <c r="R87" s="228" t="str">
        <f t="shared" si="4"/>
        <v>#N/A</v>
      </c>
      <c r="S87" s="220" t="str">
        <f t="shared" si="5"/>
        <v>#N/A</v>
      </c>
      <c r="T87" s="220" t="str">
        <f t="shared" si="6"/>
        <v>#N/A</v>
      </c>
      <c r="U87" s="221">
        <f t="shared" si="7"/>
        <v>0</v>
      </c>
      <c r="V87" s="229" t="str">
        <f>ifs($N87="",VLOOKUP($B87&amp;$E87,'VISIT DATA'!$A$2:$J100,7,FALSE), $N87="SWAB","OUTSA-RW",$N87="SWQU","OUTSA-SaQu", AND($L87="X",$M87="X",$N87="QUEST"),"OUT-UAQPre",$N87="QUEST","OUT-UAQ", $N87="Walk in","ColUATele")</f>
        <v>#N/A</v>
      </c>
      <c r="W87" s="24" t="str">
        <f t="shared" si="8"/>
        <v>#N/A</v>
      </c>
      <c r="X87" s="222" t="str">
        <f t="shared" si="9"/>
        <v/>
      </c>
      <c r="Y87" s="222" t="str">
        <f t="shared" si="10"/>
        <v/>
      </c>
      <c r="Z87" s="224" t="str">
        <f t="shared" si="11"/>
        <v> </v>
      </c>
      <c r="AA87" s="244"/>
    </row>
    <row r="88" hidden="1">
      <c r="A88" s="214" t="str">
        <f>IFS($B88=FALSE,"",$B88,VLOOKUP($B88,'PATIENT DATA (072721)'!A:C, 2, 0))</f>
        <v/>
      </c>
      <c r="B88" s="215"/>
      <c r="C88" s="230" t="str">
        <f>IF(COUNTIF('PATIENT DATA (072721)'!A:A, B88)=0, "X","✓")</f>
        <v>X</v>
      </c>
      <c r="D88" s="226" t="str">
        <f>IFS($B88=FALSE,"",$B88,VLOOKUP($B88,'PATIENT DATA (072721)'!A:C, 3, 0))</f>
        <v/>
      </c>
      <c r="E88" s="218">
        <v>44576.0</v>
      </c>
      <c r="F88" s="219" t="str">
        <f>ifs($B88="","",$B88, VLOOKUP($B88&amp;$E88, 'VISIT DATA'!A:O,3,0))</f>
        <v/>
      </c>
      <c r="G88" s="231"/>
      <c r="H88" s="221" t="str">
        <f>ifs($B88="","",$B88, VLOOKUP($B88&amp;$E88, 'VISIT DATA'!$A:$O,13,0))</f>
        <v/>
      </c>
      <c r="I88" s="262" t="str">
        <f>VLOOKUP($B88&amp;$E88,'VISIT DATA'!A:J, 9, FALSE)</f>
        <v>#N/A</v>
      </c>
      <c r="J88" s="223" t="str">
        <f>VLOOKUP(B88&amp;E88,'VISIT DATA'!A:N,10,FALSE)</f>
        <v>#N/A</v>
      </c>
      <c r="K88" s="225"/>
      <c r="L88" s="224"/>
      <c r="M88" s="224"/>
      <c r="N88" s="225"/>
      <c r="O88" s="216" t="str">
        <f t="shared" si="1"/>
        <v>X</v>
      </c>
      <c r="P88" s="226" t="str">
        <f t="shared" si="2"/>
        <v>#N/A</v>
      </c>
      <c r="Q88" s="227" t="str">
        <f t="shared" si="3"/>
        <v>#N/A</v>
      </c>
      <c r="R88" s="228" t="str">
        <f t="shared" si="4"/>
        <v>#N/A</v>
      </c>
      <c r="S88" s="220" t="str">
        <f t="shared" si="5"/>
        <v>#N/A</v>
      </c>
      <c r="T88" s="220" t="str">
        <f t="shared" si="6"/>
        <v>#N/A</v>
      </c>
      <c r="U88" s="221">
        <f t="shared" si="7"/>
        <v>0</v>
      </c>
      <c r="V88" s="229" t="str">
        <f>ifs($N88="",VLOOKUP($B88&amp;$E88,'VISIT DATA'!$A$2:$J100,7,FALSE), $N88="SWAB","OUTSA-RW",$N88="SWQU","OUTSA-SaQu", AND($L88="X",$M88="X",$N88="QUEST"),"OUT-UAQPre",$N88="QUEST","OUT-UAQ", $N88="Walk in","ColUATele")</f>
        <v>#N/A</v>
      </c>
      <c r="W88" s="24" t="str">
        <f t="shared" si="8"/>
        <v>#N/A</v>
      </c>
      <c r="X88" s="222" t="str">
        <f t="shared" si="9"/>
        <v/>
      </c>
      <c r="Y88" s="222" t="str">
        <f t="shared" si="10"/>
        <v/>
      </c>
      <c r="Z88" s="224" t="str">
        <f t="shared" si="11"/>
        <v> </v>
      </c>
      <c r="AA88" s="244"/>
    </row>
    <row r="89" hidden="1">
      <c r="A89" s="214" t="str">
        <f>IFS($B89=FALSE,"",$B89,VLOOKUP($B89,'PATIENT DATA (072721)'!A:C, 2, 0))</f>
        <v/>
      </c>
      <c r="B89" s="215"/>
      <c r="C89" s="230" t="str">
        <f>IF(COUNTIF('PATIENT DATA (072721)'!A:A, B89)=0, "X","✓")</f>
        <v>X</v>
      </c>
      <c r="D89" s="226" t="str">
        <f>IFS($B89=FALSE,"",$B89,VLOOKUP($B89,'PATIENT DATA (072721)'!A:C, 3, 0))</f>
        <v/>
      </c>
      <c r="E89" s="218">
        <v>44576.0</v>
      </c>
      <c r="F89" s="219" t="str">
        <f>ifs($B89="","",$B89, VLOOKUP($B89&amp;$E89, 'VISIT DATA'!A:O,3,0))</f>
        <v/>
      </c>
      <c r="G89" s="231"/>
      <c r="H89" s="221" t="str">
        <f>ifs($B89="","",$B89, VLOOKUP($B89&amp;$E89, 'VISIT DATA'!$A:$O,13,0))</f>
        <v/>
      </c>
      <c r="I89" s="262" t="str">
        <f>VLOOKUP($B89&amp;$E89,'VISIT DATA'!A:J, 9, FALSE)</f>
        <v>#N/A</v>
      </c>
      <c r="J89" s="223" t="str">
        <f>VLOOKUP(B89&amp;E89,'VISIT DATA'!A:N,10,FALSE)</f>
        <v>#N/A</v>
      </c>
      <c r="K89" s="225"/>
      <c r="L89" s="224"/>
      <c r="M89" s="224"/>
      <c r="N89" s="225"/>
      <c r="O89" s="216" t="str">
        <f t="shared" si="1"/>
        <v>X</v>
      </c>
      <c r="P89" s="226" t="str">
        <f t="shared" si="2"/>
        <v>#N/A</v>
      </c>
      <c r="Q89" s="227" t="str">
        <f t="shared" si="3"/>
        <v>#N/A</v>
      </c>
      <c r="R89" s="228" t="str">
        <f t="shared" si="4"/>
        <v>#N/A</v>
      </c>
      <c r="S89" s="220" t="str">
        <f t="shared" si="5"/>
        <v>#N/A</v>
      </c>
      <c r="T89" s="220" t="str">
        <f t="shared" si="6"/>
        <v>#N/A</v>
      </c>
      <c r="U89" s="221">
        <f t="shared" si="7"/>
        <v>0</v>
      </c>
      <c r="V89" s="229" t="str">
        <f>ifs($N89="",VLOOKUP($B89&amp;$E89,'VISIT DATA'!$A$2:$J100,7,FALSE), $N89="SWAB","OUTSA-RW",$N89="SWQU","OUTSA-SaQu", AND($L89="X",$M89="X",$N89="QUEST"),"OUT-UAQPre",$N89="QUEST","OUT-UAQ", $N89="Walk in","ColUATele")</f>
        <v>#N/A</v>
      </c>
      <c r="W89" s="24" t="str">
        <f t="shared" si="8"/>
        <v>#N/A</v>
      </c>
      <c r="X89" s="222" t="str">
        <f t="shared" si="9"/>
        <v/>
      </c>
      <c r="Y89" s="222" t="str">
        <f t="shared" si="10"/>
        <v/>
      </c>
      <c r="Z89" s="224" t="str">
        <f t="shared" si="11"/>
        <v> </v>
      </c>
      <c r="AA89" s="244"/>
    </row>
    <row r="90" hidden="1">
      <c r="A90" s="214" t="str">
        <f>IFS($B90=FALSE,"",$B90,VLOOKUP($B90,'PATIENT DATA (072721)'!A:C, 2, 0))</f>
        <v/>
      </c>
      <c r="B90" s="215"/>
      <c r="C90" s="230" t="str">
        <f>IF(COUNTIF('PATIENT DATA (072721)'!A:A, B90)=0, "X","✓")</f>
        <v>X</v>
      </c>
      <c r="D90" s="226" t="str">
        <f>IFS($B90=FALSE,"",$B90,VLOOKUP($B90,'PATIENT DATA (072721)'!A:C, 3, 0))</f>
        <v/>
      </c>
      <c r="E90" s="218">
        <v>44576.0</v>
      </c>
      <c r="F90" s="219" t="str">
        <f>ifs($B90="","",$B90, VLOOKUP($B90&amp;$E90, 'VISIT DATA'!A:O,3,0))</f>
        <v/>
      </c>
      <c r="G90" s="231"/>
      <c r="H90" s="221" t="str">
        <f>ifs($B90="","",$B90, VLOOKUP($B90&amp;$E90, 'VISIT DATA'!$A:$O,13,0))</f>
        <v/>
      </c>
      <c r="I90" s="262" t="str">
        <f>VLOOKUP($B90&amp;$E90,'VISIT DATA'!A:J, 9, FALSE)</f>
        <v>#N/A</v>
      </c>
      <c r="J90" s="223" t="str">
        <f>VLOOKUP(B90&amp;E90,'VISIT DATA'!A:N,10,FALSE)</f>
        <v>#N/A</v>
      </c>
      <c r="K90" s="225"/>
      <c r="L90" s="224"/>
      <c r="M90" s="224"/>
      <c r="N90" s="225"/>
      <c r="O90" s="216" t="str">
        <f t="shared" si="1"/>
        <v>X</v>
      </c>
      <c r="P90" s="226" t="str">
        <f t="shared" si="2"/>
        <v>#N/A</v>
      </c>
      <c r="Q90" s="227" t="str">
        <f t="shared" si="3"/>
        <v>#N/A</v>
      </c>
      <c r="R90" s="228" t="str">
        <f t="shared" si="4"/>
        <v>#N/A</v>
      </c>
      <c r="S90" s="220" t="str">
        <f t="shared" si="5"/>
        <v>#N/A</v>
      </c>
      <c r="T90" s="220" t="str">
        <f t="shared" si="6"/>
        <v>#N/A</v>
      </c>
      <c r="U90" s="221">
        <f t="shared" si="7"/>
        <v>0</v>
      </c>
      <c r="V90" s="229" t="str">
        <f>ifs($N90="",VLOOKUP($B90&amp;$E90,'VISIT DATA'!$A$2:$J100,7,FALSE), $N90="SWAB","OUTSA-RW",$N90="SWQU","OUTSA-SaQu", AND($L90="X",$M90="X",$N90="QUEST"),"OUT-UAQPre",$N90="QUEST","OUT-UAQ", $N90="Walk in","ColUATele")</f>
        <v>#N/A</v>
      </c>
      <c r="W90" s="24" t="str">
        <f t="shared" si="8"/>
        <v>#N/A</v>
      </c>
      <c r="X90" s="222" t="str">
        <f t="shared" si="9"/>
        <v/>
      </c>
      <c r="Y90" s="222" t="str">
        <f t="shared" si="10"/>
        <v/>
      </c>
      <c r="Z90" s="224" t="str">
        <f t="shared" si="11"/>
        <v> </v>
      </c>
      <c r="AA90" s="244"/>
    </row>
    <row r="91" hidden="1">
      <c r="A91" s="214" t="str">
        <f>IFS($B91=FALSE,"",$B91,VLOOKUP($B91,'PATIENT DATA (072721)'!A:C, 2, 0))</f>
        <v/>
      </c>
      <c r="B91" s="215"/>
      <c r="C91" s="230" t="str">
        <f>IF(COUNTIF('PATIENT DATA (072721)'!A:A, B91)=0, "X","✓")</f>
        <v>X</v>
      </c>
      <c r="D91" s="226" t="str">
        <f>IFS($B91=FALSE,"",$B91,VLOOKUP($B91,'PATIENT DATA (072721)'!A:C, 3, 0))</f>
        <v/>
      </c>
      <c r="E91" s="218">
        <v>44576.0</v>
      </c>
      <c r="F91" s="219" t="str">
        <f>ifs($B91="","",$B91, VLOOKUP($B91&amp;$E91, 'VISIT DATA'!A:O,3,0))</f>
        <v/>
      </c>
      <c r="G91" s="231"/>
      <c r="H91" s="221" t="str">
        <f>ifs($B91="","",$B91, VLOOKUP($B91&amp;$E91, 'VISIT DATA'!$A:$O,13,0))</f>
        <v/>
      </c>
      <c r="I91" s="262" t="str">
        <f>VLOOKUP($B91&amp;$E91,'VISIT DATA'!A:J, 9, FALSE)</f>
        <v>#N/A</v>
      </c>
      <c r="J91" s="223" t="str">
        <f>VLOOKUP(B91&amp;E91,'VISIT DATA'!A:N,10,FALSE)</f>
        <v>#N/A</v>
      </c>
      <c r="K91" s="225"/>
      <c r="L91" s="224"/>
      <c r="M91" s="224"/>
      <c r="N91" s="225"/>
      <c r="O91" s="216" t="str">
        <f t="shared" si="1"/>
        <v>X</v>
      </c>
      <c r="P91" s="226" t="str">
        <f t="shared" si="2"/>
        <v>#N/A</v>
      </c>
      <c r="Q91" s="227" t="str">
        <f t="shared" si="3"/>
        <v>#N/A</v>
      </c>
      <c r="R91" s="228" t="str">
        <f t="shared" si="4"/>
        <v>#N/A</v>
      </c>
      <c r="S91" s="220" t="str">
        <f t="shared" si="5"/>
        <v>#N/A</v>
      </c>
      <c r="T91" s="220" t="str">
        <f t="shared" si="6"/>
        <v>#N/A</v>
      </c>
      <c r="U91" s="221">
        <f t="shared" si="7"/>
        <v>0</v>
      </c>
      <c r="V91" s="229" t="str">
        <f>ifs($N91="",VLOOKUP($B91&amp;$E91,'VISIT DATA'!$A$2:$J100,7,FALSE), $N91="SWAB","OUTSA-RW",$N91="SWQU","OUTSA-SaQu", AND($L91="X",$M91="X",$N91="QUEST"),"OUT-UAQPre",$N91="QUEST","OUT-UAQ", $N91="Walk in","ColUATele")</f>
        <v>#N/A</v>
      </c>
      <c r="W91" s="24" t="str">
        <f t="shared" si="8"/>
        <v>#N/A</v>
      </c>
      <c r="X91" s="222" t="str">
        <f t="shared" si="9"/>
        <v/>
      </c>
      <c r="Y91" s="222" t="str">
        <f t="shared" si="10"/>
        <v/>
      </c>
      <c r="Z91" s="224" t="str">
        <f t="shared" si="11"/>
        <v> </v>
      </c>
      <c r="AA91" s="244"/>
    </row>
    <row r="92" hidden="1">
      <c r="A92" s="214" t="str">
        <f>IFS($B92=FALSE,"",$B92,VLOOKUP($B92,'PATIENT DATA (072721)'!A:C, 2, 0))</f>
        <v/>
      </c>
      <c r="B92" s="215"/>
      <c r="C92" s="230" t="str">
        <f>IF(COUNTIF('PATIENT DATA (072721)'!A:A, B92)=0, "X","✓")</f>
        <v>X</v>
      </c>
      <c r="D92" s="226" t="str">
        <f>IFS($B92=FALSE,"",$B92,VLOOKUP($B92,'PATIENT DATA (072721)'!A:C, 3, 0))</f>
        <v/>
      </c>
      <c r="E92" s="218">
        <v>44576.0</v>
      </c>
      <c r="F92" s="219" t="str">
        <f>ifs($B92="","",$B92, VLOOKUP($B92&amp;$E92, 'VISIT DATA'!A:O,3,0))</f>
        <v/>
      </c>
      <c r="G92" s="231"/>
      <c r="H92" s="221" t="str">
        <f>ifs($B92="","",$B92, VLOOKUP($B92&amp;$E92, 'VISIT DATA'!$A:$O,13,0))</f>
        <v/>
      </c>
      <c r="I92" s="262" t="str">
        <f>VLOOKUP($B92&amp;$E92,'VISIT DATA'!A:J, 9, FALSE)</f>
        <v>#N/A</v>
      </c>
      <c r="J92" s="223" t="str">
        <f>VLOOKUP(B92&amp;E92,'VISIT DATA'!A:N,10,FALSE)</f>
        <v>#N/A</v>
      </c>
      <c r="K92" s="225"/>
      <c r="L92" s="224"/>
      <c r="M92" s="224"/>
      <c r="N92" s="225"/>
      <c r="O92" s="216" t="str">
        <f t="shared" si="1"/>
        <v>X</v>
      </c>
      <c r="P92" s="226" t="str">
        <f t="shared" si="2"/>
        <v>#N/A</v>
      </c>
      <c r="Q92" s="227" t="str">
        <f t="shared" si="3"/>
        <v>#N/A</v>
      </c>
      <c r="R92" s="228" t="str">
        <f t="shared" si="4"/>
        <v>#N/A</v>
      </c>
      <c r="S92" s="220" t="str">
        <f t="shared" si="5"/>
        <v>#N/A</v>
      </c>
      <c r="T92" s="220" t="str">
        <f t="shared" si="6"/>
        <v>#N/A</v>
      </c>
      <c r="U92" s="221">
        <f t="shared" si="7"/>
        <v>0</v>
      </c>
      <c r="V92" s="229" t="str">
        <f>ifs($N92="",VLOOKUP($B92&amp;$E92,'VISIT DATA'!$A$2:$J100,7,FALSE), $N92="SWAB","OUTSA-RW",$N92="SWQU","OUTSA-SaQu", AND($L92="X",$M92="X",$N92="QUEST"),"OUT-UAQPre",$N92="QUEST","OUT-UAQ", $N92="Walk in","ColUATele")</f>
        <v>#N/A</v>
      </c>
      <c r="W92" s="24" t="str">
        <f t="shared" si="8"/>
        <v>#N/A</v>
      </c>
      <c r="X92" s="222" t="str">
        <f t="shared" si="9"/>
        <v/>
      </c>
      <c r="Y92" s="222" t="str">
        <f t="shared" si="10"/>
        <v/>
      </c>
      <c r="Z92" s="224" t="str">
        <f t="shared" si="11"/>
        <v> </v>
      </c>
      <c r="AA92" s="244"/>
    </row>
    <row r="93" hidden="1">
      <c r="A93" s="214" t="str">
        <f>IFS($B93=FALSE,"",$B93,VLOOKUP($B93,'PATIENT DATA (072721)'!A:C, 2, 0))</f>
        <v/>
      </c>
      <c r="B93" s="215"/>
      <c r="C93" s="230" t="str">
        <f>IF(COUNTIF('PATIENT DATA (072721)'!A:A, B93)=0, "X","✓")</f>
        <v>X</v>
      </c>
      <c r="D93" s="226" t="str">
        <f>IFS($B93=FALSE,"",$B93,VLOOKUP($B93,'PATIENT DATA (072721)'!A:C, 3, 0))</f>
        <v/>
      </c>
      <c r="E93" s="218">
        <v>44576.0</v>
      </c>
      <c r="F93" s="219" t="str">
        <f>ifs($B93="","",$B93, VLOOKUP($B93&amp;$E93, 'VISIT DATA'!A:O,3,0))</f>
        <v/>
      </c>
      <c r="G93" s="231"/>
      <c r="H93" s="221" t="str">
        <f>ifs($B93="","",$B93, VLOOKUP($B93&amp;$E93, 'VISIT DATA'!$A:$O,13,0))</f>
        <v/>
      </c>
      <c r="I93" s="262" t="str">
        <f>VLOOKUP($B93&amp;$E93,'VISIT DATA'!A:J, 9, FALSE)</f>
        <v>#N/A</v>
      </c>
      <c r="J93" s="223" t="str">
        <f>VLOOKUP(B93&amp;E93,'VISIT DATA'!A:N,10,FALSE)</f>
        <v>#N/A</v>
      </c>
      <c r="K93" s="225"/>
      <c r="L93" s="224"/>
      <c r="M93" s="224"/>
      <c r="N93" s="225"/>
      <c r="O93" s="216" t="str">
        <f t="shared" si="1"/>
        <v>X</v>
      </c>
      <c r="P93" s="226" t="str">
        <f t="shared" si="2"/>
        <v>#N/A</v>
      </c>
      <c r="Q93" s="227" t="str">
        <f t="shared" si="3"/>
        <v>#N/A</v>
      </c>
      <c r="R93" s="228" t="str">
        <f t="shared" si="4"/>
        <v>#N/A</v>
      </c>
      <c r="S93" s="220" t="str">
        <f t="shared" si="5"/>
        <v>#N/A</v>
      </c>
      <c r="T93" s="220" t="str">
        <f t="shared" si="6"/>
        <v>#N/A</v>
      </c>
      <c r="U93" s="221">
        <f t="shared" si="7"/>
        <v>0</v>
      </c>
      <c r="V93" s="229" t="str">
        <f>ifs($N93="",VLOOKUP($B93&amp;$E93,'VISIT DATA'!$A$2:$J100,7,FALSE), $N93="SWAB","OUTSA-RW",$N93="SWQU","OUTSA-SaQu", AND($L93="X",$M93="X",$N93="QUEST"),"OUT-UAQPre",$N93="QUEST","OUT-UAQ", $N93="Walk in","ColUATele")</f>
        <v>#N/A</v>
      </c>
      <c r="W93" s="24" t="str">
        <f t="shared" si="8"/>
        <v>#N/A</v>
      </c>
      <c r="X93" s="222" t="str">
        <f t="shared" si="9"/>
        <v/>
      </c>
      <c r="Y93" s="222" t="str">
        <f t="shared" si="10"/>
        <v/>
      </c>
      <c r="Z93" s="224" t="str">
        <f t="shared" si="11"/>
        <v> </v>
      </c>
      <c r="AA93" s="244"/>
    </row>
    <row r="94" hidden="1">
      <c r="A94" s="214" t="str">
        <f>IFS($B94=FALSE,"",$B94,VLOOKUP($B94,'PATIENT DATA (072721)'!A:C, 2, 0))</f>
        <v/>
      </c>
      <c r="B94" s="215"/>
      <c r="C94" s="230" t="str">
        <f>IF(COUNTIF('PATIENT DATA (072721)'!A:A, B94)=0, "X","✓")</f>
        <v>X</v>
      </c>
      <c r="D94" s="226" t="str">
        <f>IFS($B94=FALSE,"",$B94,VLOOKUP($B94,'PATIENT DATA (072721)'!A:C, 3, 0))</f>
        <v/>
      </c>
      <c r="E94" s="218">
        <v>44576.0</v>
      </c>
      <c r="F94" s="219" t="str">
        <f>ifs($B94="","",$B94, VLOOKUP($B94&amp;$E94, 'VISIT DATA'!A:O,3,0))</f>
        <v/>
      </c>
      <c r="G94" s="231"/>
      <c r="H94" s="221" t="str">
        <f>ifs($B94="","",$B94, VLOOKUP($B94&amp;$E94, 'VISIT DATA'!$A:$O,13,0))</f>
        <v/>
      </c>
      <c r="I94" s="262" t="str">
        <f>VLOOKUP($B94&amp;$E94,'VISIT DATA'!A:J, 9, FALSE)</f>
        <v>#N/A</v>
      </c>
      <c r="J94" s="223" t="str">
        <f>VLOOKUP(B94&amp;E94,'VISIT DATA'!A:N,10,FALSE)</f>
        <v>#N/A</v>
      </c>
      <c r="K94" s="225"/>
      <c r="L94" s="224"/>
      <c r="M94" s="224"/>
      <c r="N94" s="225"/>
      <c r="O94" s="216" t="str">
        <f t="shared" si="1"/>
        <v>X</v>
      </c>
      <c r="P94" s="226" t="str">
        <f t="shared" si="2"/>
        <v>#N/A</v>
      </c>
      <c r="Q94" s="227" t="str">
        <f t="shared" si="3"/>
        <v>#N/A</v>
      </c>
      <c r="R94" s="228" t="str">
        <f t="shared" si="4"/>
        <v>#N/A</v>
      </c>
      <c r="S94" s="220" t="str">
        <f t="shared" si="5"/>
        <v>#N/A</v>
      </c>
      <c r="T94" s="220" t="str">
        <f t="shared" si="6"/>
        <v>#N/A</v>
      </c>
      <c r="U94" s="221">
        <f t="shared" si="7"/>
        <v>0</v>
      </c>
      <c r="V94" s="229" t="str">
        <f>ifs($N94="",VLOOKUP($B94&amp;$E94,'VISIT DATA'!$A$2:$J100,7,FALSE), $N94="SWAB","OUTSA-RW",$N94="SWQU","OUTSA-SaQu", AND($L94="X",$M94="X",$N94="QUEST"),"OUT-UAQPre",$N94="QUEST","OUT-UAQ", $N94="Walk in","ColUATele")</f>
        <v>#N/A</v>
      </c>
      <c r="W94" s="24" t="str">
        <f t="shared" si="8"/>
        <v>#N/A</v>
      </c>
      <c r="X94" s="222" t="str">
        <f t="shared" si="9"/>
        <v/>
      </c>
      <c r="Y94" s="222" t="str">
        <f t="shared" si="10"/>
        <v/>
      </c>
      <c r="Z94" s="224" t="str">
        <f t="shared" si="11"/>
        <v> </v>
      </c>
      <c r="AA94" s="244"/>
    </row>
    <row r="95" hidden="1">
      <c r="A95" s="214" t="str">
        <f>IFS($B95=FALSE,"",$B95,VLOOKUP($B95,'PATIENT DATA (072721)'!A:C, 2, 0))</f>
        <v/>
      </c>
      <c r="B95" s="215"/>
      <c r="C95" s="230" t="str">
        <f>IF(COUNTIF('PATIENT DATA (072721)'!A:A, B95)=0, "X","✓")</f>
        <v>X</v>
      </c>
      <c r="D95" s="226" t="str">
        <f>IFS($B95=FALSE,"",$B95,VLOOKUP($B95,'PATIENT DATA (072721)'!A:C, 3, 0))</f>
        <v/>
      </c>
      <c r="E95" s="218">
        <v>44576.0</v>
      </c>
      <c r="F95" s="219" t="str">
        <f>ifs($B95="","",$B95, VLOOKUP($B95&amp;$E95, 'VISIT DATA'!A:O,3,0))</f>
        <v/>
      </c>
      <c r="G95" s="231"/>
      <c r="H95" s="221" t="str">
        <f>ifs($B95="","",$B95, VLOOKUP($B95&amp;$E95, 'VISIT DATA'!$A:$O,13,0))</f>
        <v/>
      </c>
      <c r="I95" s="262" t="str">
        <f>VLOOKUP($B95&amp;$E95,'VISIT DATA'!A:J, 9, FALSE)</f>
        <v>#N/A</v>
      </c>
      <c r="J95" s="223" t="str">
        <f>VLOOKUP(B95&amp;E95,'VISIT DATA'!A:N,10,FALSE)</f>
        <v>#N/A</v>
      </c>
      <c r="K95" s="225"/>
      <c r="L95" s="224"/>
      <c r="M95" s="224"/>
      <c r="N95" s="225"/>
      <c r="O95" s="216" t="str">
        <f t="shared" si="1"/>
        <v>X</v>
      </c>
      <c r="P95" s="226" t="str">
        <f t="shared" si="2"/>
        <v>#N/A</v>
      </c>
      <c r="Q95" s="227" t="str">
        <f t="shared" si="3"/>
        <v>#N/A</v>
      </c>
      <c r="R95" s="228" t="str">
        <f t="shared" si="4"/>
        <v>#N/A</v>
      </c>
      <c r="S95" s="220" t="str">
        <f t="shared" si="5"/>
        <v>#N/A</v>
      </c>
      <c r="T95" s="220" t="str">
        <f t="shared" si="6"/>
        <v>#N/A</v>
      </c>
      <c r="U95" s="221">
        <f t="shared" si="7"/>
        <v>0</v>
      </c>
      <c r="V95" s="229" t="str">
        <f>ifs($N95="",VLOOKUP($B95&amp;$E95,'VISIT DATA'!$A$2:$J100,7,FALSE), $N95="SWAB","OUTSA-RW",$N95="SWQU","OUTSA-SaQu", AND($L95="X",$M95="X",$N95="QUEST"),"OUT-UAQPre",$N95="QUEST","OUT-UAQ", $N95="Walk in","ColUATele")</f>
        <v>#N/A</v>
      </c>
      <c r="W95" s="24" t="str">
        <f t="shared" si="8"/>
        <v>#N/A</v>
      </c>
      <c r="X95" s="222" t="str">
        <f t="shared" si="9"/>
        <v/>
      </c>
      <c r="Y95" s="222" t="str">
        <f t="shared" si="10"/>
        <v/>
      </c>
      <c r="Z95" s="224" t="str">
        <f t="shared" si="11"/>
        <v> </v>
      </c>
      <c r="AA95" s="244"/>
    </row>
    <row r="96" hidden="1">
      <c r="A96" s="214" t="str">
        <f>IFS($B96=FALSE,"",$B96,VLOOKUP($B96,'PATIENT DATA (072721)'!A:C, 2, 0))</f>
        <v/>
      </c>
      <c r="B96" s="215"/>
      <c r="C96" s="230" t="str">
        <f>IF(COUNTIF('PATIENT DATA (072721)'!A:A, B96)=0, "X","✓")</f>
        <v>X</v>
      </c>
      <c r="D96" s="226" t="str">
        <f>IFS($B96=FALSE,"",$B96,VLOOKUP($B96,'PATIENT DATA (072721)'!A:C, 3, 0))</f>
        <v/>
      </c>
      <c r="E96" s="218">
        <v>44576.0</v>
      </c>
      <c r="F96" s="219" t="str">
        <f>ifs($B96="","",$B96, VLOOKUP($B96&amp;$E96, 'VISIT DATA'!A:O,3,0))</f>
        <v/>
      </c>
      <c r="G96" s="231"/>
      <c r="H96" s="221" t="str">
        <f>ifs($B96="","",$B96, VLOOKUP($B96&amp;$E96, 'VISIT DATA'!$A:$O,13,0))</f>
        <v/>
      </c>
      <c r="I96" s="262" t="str">
        <f>VLOOKUP($B96&amp;$E96,'VISIT DATA'!A:J, 9, FALSE)</f>
        <v>#N/A</v>
      </c>
      <c r="J96" s="223" t="str">
        <f>VLOOKUP(B96&amp;E96,'VISIT DATA'!A:N,10,FALSE)</f>
        <v>#N/A</v>
      </c>
      <c r="K96" s="225"/>
      <c r="L96" s="224"/>
      <c r="M96" s="224"/>
      <c r="N96" s="225"/>
      <c r="O96" s="216" t="str">
        <f t="shared" si="1"/>
        <v>X</v>
      </c>
      <c r="P96" s="226" t="str">
        <f t="shared" si="2"/>
        <v>#N/A</v>
      </c>
      <c r="Q96" s="227" t="str">
        <f t="shared" si="3"/>
        <v>#N/A</v>
      </c>
      <c r="R96" s="228" t="str">
        <f t="shared" si="4"/>
        <v>#N/A</v>
      </c>
      <c r="S96" s="220" t="str">
        <f t="shared" si="5"/>
        <v>#N/A</v>
      </c>
      <c r="T96" s="220" t="str">
        <f t="shared" si="6"/>
        <v>#N/A</v>
      </c>
      <c r="U96" s="221">
        <f t="shared" si="7"/>
        <v>0</v>
      </c>
      <c r="V96" s="229" t="str">
        <f>ifs($N96="",VLOOKUP($B96&amp;$E96,'VISIT DATA'!$A$2:$J100,7,FALSE), $N96="SWAB","OUTSA-RW",$N96="SWQU","OUTSA-SaQu", AND($L96="X",$M96="X",$N96="QUEST"),"OUT-UAQPre",$N96="QUEST","OUT-UAQ", $N96="Walk in","ColUATele")</f>
        <v>#N/A</v>
      </c>
      <c r="W96" s="24" t="str">
        <f t="shared" si="8"/>
        <v>#N/A</v>
      </c>
      <c r="X96" s="222" t="str">
        <f t="shared" si="9"/>
        <v/>
      </c>
      <c r="Y96" s="222" t="str">
        <f t="shared" si="10"/>
        <v/>
      </c>
      <c r="Z96" s="224" t="str">
        <f t="shared" si="11"/>
        <v> </v>
      </c>
      <c r="AA96" s="244"/>
    </row>
    <row r="97" hidden="1">
      <c r="A97" s="214" t="str">
        <f>IFS($B97=FALSE,"",$B97,VLOOKUP($B97,'PATIENT DATA (072721)'!A:C, 2, 0))</f>
        <v/>
      </c>
      <c r="B97" s="215"/>
      <c r="C97" s="230" t="str">
        <f>IF(COUNTIF('PATIENT DATA (072721)'!A:A, B97)=0, "X","✓")</f>
        <v>X</v>
      </c>
      <c r="D97" s="226" t="str">
        <f>IFS($B97=FALSE,"",$B97,VLOOKUP($B97,'PATIENT DATA (072721)'!A:C, 3, 0))</f>
        <v/>
      </c>
      <c r="E97" s="218">
        <v>44576.0</v>
      </c>
      <c r="F97" s="219" t="str">
        <f>ifs($B97="","",$B97, VLOOKUP($B97&amp;$E97, 'VISIT DATA'!A:O,3,0))</f>
        <v/>
      </c>
      <c r="G97" s="231"/>
      <c r="H97" s="221" t="str">
        <f>ifs($B97="","",$B97, VLOOKUP($B97&amp;$E97, 'VISIT DATA'!$A:$O,13,0))</f>
        <v/>
      </c>
      <c r="I97" s="262" t="str">
        <f>VLOOKUP($B97&amp;$E97,'VISIT DATA'!A:J, 9, FALSE)</f>
        <v>#N/A</v>
      </c>
      <c r="J97" s="223" t="str">
        <f>VLOOKUP(B97&amp;E97,'VISIT DATA'!A:N,10,FALSE)</f>
        <v>#N/A</v>
      </c>
      <c r="K97" s="225"/>
      <c r="L97" s="224"/>
      <c r="M97" s="224"/>
      <c r="N97" s="225"/>
      <c r="O97" s="216" t="str">
        <f t="shared" si="1"/>
        <v>X</v>
      </c>
      <c r="P97" s="226" t="str">
        <f t="shared" si="2"/>
        <v>#N/A</v>
      </c>
      <c r="Q97" s="227" t="str">
        <f t="shared" si="3"/>
        <v>#N/A</v>
      </c>
      <c r="R97" s="228" t="str">
        <f t="shared" si="4"/>
        <v>#N/A</v>
      </c>
      <c r="S97" s="220" t="str">
        <f t="shared" si="5"/>
        <v>#N/A</v>
      </c>
      <c r="T97" s="220" t="str">
        <f t="shared" si="6"/>
        <v>#N/A</v>
      </c>
      <c r="U97" s="221">
        <f t="shared" si="7"/>
        <v>0</v>
      </c>
      <c r="V97" s="229" t="str">
        <f>ifs($N97="",VLOOKUP($B97&amp;$E97,'VISIT DATA'!$A$2:$J100,7,FALSE), $N97="SWAB","OUTSA-RW",$N97="SWQU","OUTSA-SaQu", AND($L97="X",$M97="X",$N97="QUEST"),"OUT-UAQPre",$N97="QUEST","OUT-UAQ", $N97="Walk in","ColUATele")</f>
        <v>#N/A</v>
      </c>
      <c r="W97" s="24" t="str">
        <f t="shared" si="8"/>
        <v>#N/A</v>
      </c>
      <c r="X97" s="222" t="str">
        <f t="shared" si="9"/>
        <v/>
      </c>
      <c r="Y97" s="222" t="str">
        <f t="shared" si="10"/>
        <v/>
      </c>
      <c r="Z97" s="224" t="str">
        <f t="shared" si="11"/>
        <v> </v>
      </c>
      <c r="AA97" s="244"/>
    </row>
    <row r="98" hidden="1">
      <c r="A98" s="214" t="str">
        <f>IFS($B98=FALSE,"",$B98,VLOOKUP($B98,'PATIENT DATA (072721)'!A:C, 2, 0))</f>
        <v/>
      </c>
      <c r="B98" s="215"/>
      <c r="C98" s="230" t="str">
        <f>IF(COUNTIF('PATIENT DATA (072721)'!A:A, B98)=0, "X","✓")</f>
        <v>X</v>
      </c>
      <c r="D98" s="226" t="str">
        <f>IFS($B98=FALSE,"",$B98,VLOOKUP($B98,'PATIENT DATA (072721)'!A:C, 3, 0))</f>
        <v/>
      </c>
      <c r="E98" s="218">
        <v>44576.0</v>
      </c>
      <c r="F98" s="219" t="str">
        <f>ifs($B98="","",$B98, VLOOKUP($B98&amp;$E98, 'VISIT DATA'!A:O,3,0))</f>
        <v/>
      </c>
      <c r="G98" s="231"/>
      <c r="H98" s="221" t="str">
        <f>ifs($B98="","",$B98, VLOOKUP($B98&amp;$E98, 'VISIT DATA'!$A:$O,13,0))</f>
        <v/>
      </c>
      <c r="I98" s="262" t="str">
        <f>VLOOKUP($B98&amp;$E98,'VISIT DATA'!A:J, 9, FALSE)</f>
        <v>#N/A</v>
      </c>
      <c r="J98" s="223" t="str">
        <f>VLOOKUP(B98&amp;E98,'VISIT DATA'!A:N,10,FALSE)</f>
        <v>#N/A</v>
      </c>
      <c r="K98" s="225"/>
      <c r="L98" s="224"/>
      <c r="M98" s="224"/>
      <c r="N98" s="225"/>
      <c r="O98" s="216" t="str">
        <f t="shared" si="1"/>
        <v>X</v>
      </c>
      <c r="P98" s="226" t="str">
        <f t="shared" si="2"/>
        <v>#N/A</v>
      </c>
      <c r="Q98" s="227" t="str">
        <f t="shared" si="3"/>
        <v>#N/A</v>
      </c>
      <c r="R98" s="228" t="str">
        <f t="shared" si="4"/>
        <v>#N/A</v>
      </c>
      <c r="S98" s="220" t="str">
        <f t="shared" si="5"/>
        <v>#N/A</v>
      </c>
      <c r="T98" s="220" t="str">
        <f t="shared" si="6"/>
        <v>#N/A</v>
      </c>
      <c r="U98" s="221">
        <f t="shared" si="7"/>
        <v>0</v>
      </c>
      <c r="V98" s="229" t="str">
        <f>ifs($N98="",VLOOKUP($B98&amp;$E98,'VISIT DATA'!$A$2:$J100,7,FALSE), $N98="SWAB","OUTSA-RW",$N98="SWQU","OUTSA-SaQu", AND($L98="X",$M98="X",$N98="QUEST"),"OUT-UAQPre",$N98="QUEST","OUT-UAQ", $N98="Walk in","ColUATele")</f>
        <v>#N/A</v>
      </c>
      <c r="W98" s="24" t="str">
        <f t="shared" si="8"/>
        <v>#N/A</v>
      </c>
      <c r="X98" s="222" t="str">
        <f t="shared" si="9"/>
        <v/>
      </c>
      <c r="Y98" s="222" t="str">
        <f t="shared" si="10"/>
        <v/>
      </c>
      <c r="Z98" s="224" t="str">
        <f t="shared" si="11"/>
        <v> </v>
      </c>
      <c r="AA98" s="244"/>
    </row>
    <row r="99" hidden="1">
      <c r="A99" s="214" t="str">
        <f>IFS($B99=FALSE,"",$B99,VLOOKUP($B99,'PATIENT DATA (072721)'!A:C, 2, 0))</f>
        <v/>
      </c>
      <c r="B99" s="215"/>
      <c r="C99" s="230" t="str">
        <f>IF(COUNTIF('PATIENT DATA (072721)'!A:A, B99)=0, "X","✓")</f>
        <v>X</v>
      </c>
      <c r="D99" s="226" t="str">
        <f>IFS($B99=FALSE,"",$B99,VLOOKUP($B99,'PATIENT DATA (072721)'!A:C, 3, 0))</f>
        <v/>
      </c>
      <c r="E99" s="218">
        <v>44576.0</v>
      </c>
      <c r="F99" s="219" t="str">
        <f>ifs($B99="","",$B99, VLOOKUP($B99&amp;$E99, 'VISIT DATA'!A:O,3,0))</f>
        <v/>
      </c>
      <c r="G99" s="231"/>
      <c r="H99" s="221" t="str">
        <f>ifs($B99="","",$B99, VLOOKUP($B99&amp;$E99, 'VISIT DATA'!$A:$O,13,0))</f>
        <v/>
      </c>
      <c r="I99" s="262" t="str">
        <f>VLOOKUP($B99&amp;$E99,'VISIT DATA'!A:J, 9, FALSE)</f>
        <v>#N/A</v>
      </c>
      <c r="J99" s="223" t="str">
        <f>VLOOKUP(B99&amp;E99,'VISIT DATA'!A:N,10,FALSE)</f>
        <v>#N/A</v>
      </c>
      <c r="K99" s="225"/>
      <c r="L99" s="224"/>
      <c r="M99" s="224"/>
      <c r="N99" s="225"/>
      <c r="O99" s="216" t="str">
        <f t="shared" si="1"/>
        <v>X</v>
      </c>
      <c r="P99" s="226" t="str">
        <f t="shared" si="2"/>
        <v>#N/A</v>
      </c>
      <c r="Q99" s="227" t="str">
        <f t="shared" si="3"/>
        <v>#N/A</v>
      </c>
      <c r="R99" s="228" t="str">
        <f t="shared" si="4"/>
        <v>#N/A</v>
      </c>
      <c r="S99" s="220" t="str">
        <f t="shared" si="5"/>
        <v>#N/A</v>
      </c>
      <c r="T99" s="220" t="str">
        <f t="shared" si="6"/>
        <v>#N/A</v>
      </c>
      <c r="U99" s="221">
        <f t="shared" si="7"/>
        <v>0</v>
      </c>
      <c r="V99" s="229" t="str">
        <f>ifs($N99="",VLOOKUP($B99&amp;$E99,'VISIT DATA'!$A$2:$J100,7,FALSE), $N99="SWAB","OUTSA-RW",$N99="SWQU","OUTSA-SaQu", AND($L99="X",$M99="X",$N99="QUEST"),"OUT-UAQPre",$N99="QUEST","OUT-UAQ", $N99="Walk in","ColUATele")</f>
        <v>#N/A</v>
      </c>
      <c r="W99" s="24" t="str">
        <f t="shared" si="8"/>
        <v>#N/A</v>
      </c>
      <c r="X99" s="222" t="str">
        <f t="shared" si="9"/>
        <v/>
      </c>
      <c r="Y99" s="222" t="str">
        <f t="shared" si="10"/>
        <v/>
      </c>
      <c r="Z99" s="224" t="str">
        <f t="shared" si="11"/>
        <v> </v>
      </c>
      <c r="AA99" s="244"/>
    </row>
    <row r="100">
      <c r="A100" s="232"/>
      <c r="B100" s="232"/>
      <c r="C100" s="232"/>
      <c r="D100" s="232"/>
      <c r="E100" s="263"/>
      <c r="F100" s="234"/>
      <c r="G100" s="232"/>
      <c r="H100" s="235"/>
      <c r="I100" s="232"/>
      <c r="J100" s="232"/>
      <c r="K100" s="236" t="s">
        <v>6333</v>
      </c>
      <c r="L100" s="237">
        <f>COUNTIFS(K1:L80, "X")</f>
        <v>6</v>
      </c>
      <c r="M100" s="236" t="s">
        <v>6334</v>
      </c>
      <c r="N100" s="237">
        <f>COUNTIFS(M1:M80, "X")</f>
        <v>2</v>
      </c>
      <c r="O100" s="238"/>
      <c r="P100" s="238"/>
      <c r="Q100" s="238"/>
      <c r="R100" s="238"/>
      <c r="S100" s="238"/>
      <c r="T100" s="238"/>
      <c r="U100" s="238"/>
      <c r="V100" s="239"/>
      <c r="W100" s="238"/>
      <c r="X100" s="238"/>
      <c r="Y100" s="238"/>
      <c r="Z100" s="238"/>
      <c r="AA100" s="238"/>
    </row>
  </sheetData>
  <autoFilter ref="$A$1:$AA$100">
    <filterColumn colId="14">
      <filters blank="1">
        <filter val="✓"/>
      </filters>
    </filterColumn>
  </autoFilter>
  <customSheetViews>
    <customSheetView guid="{20F5F3BA-172D-4727-943D-E296FD1F3EFA}" filter="1" showAutoFilter="1">
      <autoFilter ref="$A$1:$AA$100"/>
    </customSheetView>
  </customSheetViews>
  <conditionalFormatting sqref="A1:X100">
    <cfRule type="expression" dxfId="5" priority="1">
      <formula>$X1="ERROR"</formula>
    </cfRule>
  </conditionalFormatting>
  <conditionalFormatting sqref="A1:Z99">
    <cfRule type="expression" dxfId="5" priority="2">
      <formula>$Y1="NO MATCH"</formula>
    </cfRule>
  </conditionalFormatting>
  <conditionalFormatting sqref="C2:C99 O2:O99">
    <cfRule type="containsText" dxfId="5" priority="3" operator="containsText" text="X">
      <formula>NOT(ISERROR(SEARCH(("X"),(C2))))</formula>
    </cfRule>
  </conditionalFormatting>
  <conditionalFormatting sqref="A1:Z99">
    <cfRule type="expression" dxfId="4" priority="4">
      <formula>$Z1="Repeat"</formula>
    </cfRule>
  </conditionalFormatting>
  <conditionalFormatting sqref="V2:V99">
    <cfRule type="expression" dxfId="10" priority="5">
      <formula>$N2="QUEST"</formula>
    </cfRule>
  </conditionalFormatting>
  <conditionalFormatting sqref="C2:C99 O2:O99">
    <cfRule type="containsText" dxfId="10" priority="6" operator="containsText" text="✓">
      <formula>NOT(ISERROR(SEARCH(("✓"),(C2))))</formula>
    </cfRule>
  </conditionalFormatting>
  <conditionalFormatting sqref="A1:U99">
    <cfRule type="expression" dxfId="20" priority="7">
      <formula>$J1="MOLINA DUAL COMPLETE NEW MEXICO"</formula>
    </cfRule>
  </conditionalFormatting>
  <conditionalFormatting sqref="A1:U99">
    <cfRule type="expression" dxfId="20" priority="8">
      <formula>$J1="MOLINA DUAL COMPLETE TEXAS"</formula>
    </cfRule>
  </conditionalFormatting>
  <conditionalFormatting sqref="A1:U99">
    <cfRule type="expression" dxfId="20" priority="9">
      <formula>$J1="MOLINA MARKETPLACE TEXAS"</formula>
    </cfRule>
  </conditionalFormatting>
  <conditionalFormatting sqref="K1:K99">
    <cfRule type="containsText" dxfId="6" priority="10" operator="containsText" text="x">
      <formula>NOT(ISERROR(SEARCH(("x"),(K1))))</formula>
    </cfRule>
  </conditionalFormatting>
  <conditionalFormatting sqref="M1:M99">
    <cfRule type="containsText" dxfId="21" priority="11" operator="containsText" text="X">
      <formula>NOT(ISERROR(SEARCH(("X"),(M1))))</formula>
    </cfRule>
  </conditionalFormatting>
  <conditionalFormatting sqref="L1:L99">
    <cfRule type="containsText" dxfId="22" priority="12" operator="containsText" text="X">
      <formula>NOT(ISERROR(SEARCH(("X"),(L1))))</formula>
    </cfRule>
  </conditionalFormatting>
  <conditionalFormatting sqref="C1:C99 O1:O99">
    <cfRule type="containsBlanks" dxfId="23" priority="13">
      <formula>LEN(TRIM(C1))=0</formula>
    </cfRule>
  </conditionalFormatting>
  <conditionalFormatting sqref="J1:J99 N1:O1 Z1">
    <cfRule type="containsText" dxfId="24" priority="14" operator="containsText" text="Molina">
      <formula>NOT(ISERROR(SEARCH(("Molina"),(J1))))</formula>
    </cfRule>
  </conditionalFormatting>
  <conditionalFormatting sqref="K1:M99">
    <cfRule type="containsBlanks" dxfId="25" priority="15">
      <formula>LEN(TRIM(K1))=0</formula>
    </cfRule>
  </conditionalFormatting>
  <conditionalFormatting sqref="O1:O99 A2:N99 P2:Z99">
    <cfRule type="expression" dxfId="10" priority="16">
      <formula>$N1="SWAB"</formula>
    </cfRule>
  </conditionalFormatting>
  <conditionalFormatting sqref="J1:J99">
    <cfRule type="containsText" dxfId="5" priority="17" operator="containsText" text="Self Pay">
      <formula>NOT(ISERROR(SEARCH(("Self Pay"),(J1))))</formula>
    </cfRule>
  </conditionalFormatting>
  <conditionalFormatting sqref="J1:J99">
    <cfRule type="containsText" dxfId="5" priority="18" operator="containsText" text="Self-Pay">
      <formula>NOT(ISERROR(SEARCH(("Self-Pay"),(J1))))</formula>
    </cfRule>
  </conditionalFormatting>
  <conditionalFormatting sqref="J1:J99">
    <cfRule type="containsText" dxfId="5" priority="19" operator="containsText" text="Third Party">
      <formula>NOT(ISERROR(SEARCH(("Third Party"),(J1))))</formula>
    </cfRule>
  </conditionalFormatting>
  <conditionalFormatting sqref="A1:U99">
    <cfRule type="expression" dxfId="26" priority="20">
      <formula>$J1="SUPERIOR HEALTH PLAN"</formula>
    </cfRule>
  </conditionalFormatting>
  <conditionalFormatting sqref="A1:U99">
    <cfRule type="expression" dxfId="26" priority="21">
      <formula>$J1="AMBETTER - SUPERIOR"</formula>
    </cfRule>
  </conditionalFormatting>
  <conditionalFormatting sqref="A1:U99">
    <cfRule type="expression" dxfId="19" priority="22">
      <formula>$J1="Wellmed - Humana"</formula>
    </cfRule>
  </conditionalFormatting>
  <conditionalFormatting sqref="A1:U99">
    <cfRule type="expression" dxfId="19" priority="23">
      <formula>$J1="WELLMED - AARP MEDICARE COMPLETE"</formula>
    </cfRule>
  </conditionalFormatting>
  <conditionalFormatting sqref="A1:U99">
    <cfRule type="expression" dxfId="19" priority="24">
      <formula>$J1="WELLMED - AMERIVANTAGE"</formula>
    </cfRule>
  </conditionalFormatting>
  <conditionalFormatting sqref="A1:U99">
    <cfRule type="expression" dxfId="19" priority="25">
      <formula>$J1="WELLMED - CIGNA HEALTHSPRING"</formula>
    </cfRule>
  </conditionalFormatting>
  <conditionalFormatting sqref="A1:U99">
    <cfRule type="expression" dxfId="19" priority="26">
      <formula>$J1="WELLMED - UHC CHRONIC COMPLETE HMO C-SNP"</formula>
    </cfRule>
  </conditionalFormatting>
  <conditionalFormatting sqref="A1:U99">
    <cfRule type="expression" dxfId="19" priority="27">
      <formula>$J1="WELLMED - UHC DUAL COMPLETE HMO SNP"</formula>
    </cfRule>
  </conditionalFormatting>
  <conditionalFormatting sqref="A1:U99">
    <cfRule type="expression" dxfId="19" priority="28">
      <formula>$J1="WELLMED - UHC DUAL COMPLETE SNP"</formula>
    </cfRule>
  </conditionalFormatting>
  <conditionalFormatting sqref="A1:U99">
    <cfRule type="expression" dxfId="20" priority="29">
      <formula>$J1="MOLINA DUAL COMPLETE NEW MEXICO"</formula>
    </cfRule>
  </conditionalFormatting>
  <conditionalFormatting sqref="A1:U99">
    <cfRule type="expression" dxfId="20" priority="30">
      <formula>$J1="MOLINA DUAL COMPLETE TEXAS"</formula>
    </cfRule>
  </conditionalFormatting>
  <conditionalFormatting sqref="A1:U99">
    <cfRule type="expression" dxfId="20" priority="31">
      <formula>$J1="MOLINA MARKETPLACE TEXAS"</formula>
    </cfRule>
  </conditionalFormatting>
  <conditionalFormatting sqref="A1:U99">
    <cfRule type="expression" dxfId="20" priority="32">
      <formula>$J1="MOLINA MEDICAID TEXAS"</formula>
    </cfRule>
  </conditionalFormatting>
  <conditionalFormatting sqref="A1:U99">
    <cfRule type="expression" dxfId="27" priority="33">
      <formula>$J1="HUMANA OPEN ACCESS PLAN"</formula>
    </cfRule>
  </conditionalFormatting>
  <conditionalFormatting sqref="A1:U99">
    <cfRule type="expression" dxfId="28" priority="34">
      <formula>$J1="HUMANA CHOICE CARE"</formula>
    </cfRule>
  </conditionalFormatting>
  <conditionalFormatting sqref="V1:W99">
    <cfRule type="expression" dxfId="11" priority="35">
      <formula>$V1="UA"</formula>
    </cfRule>
  </conditionalFormatting>
  <conditionalFormatting sqref="V1:W99">
    <cfRule type="expression" dxfId="12" priority="36">
      <formula>$V1="OUTUA-PrRW"</formula>
    </cfRule>
  </conditionalFormatting>
  <conditionalFormatting sqref="V1:W99">
    <cfRule type="expression" dxfId="12" priority="37">
      <formula>$V1="OUT-UAQPre"</formula>
    </cfRule>
  </conditionalFormatting>
  <conditionalFormatting sqref="V1:W99">
    <cfRule type="expression" dxfId="13" priority="38">
      <formula>$V1="UA-Prelim"</formula>
    </cfRule>
  </conditionalFormatting>
  <conditionalFormatting sqref="V1:W99">
    <cfRule type="expression" dxfId="6" priority="39">
      <formula>$V1="UA-NWPT"</formula>
    </cfRule>
  </conditionalFormatting>
  <conditionalFormatting sqref="N1:N100 O1:O99">
    <cfRule type="expression" dxfId="5" priority="40">
      <formula>$O1="X"</formula>
    </cfRule>
  </conditionalFormatting>
  <conditionalFormatting sqref="V1:W99">
    <cfRule type="expression" dxfId="10" priority="41">
      <formula>$V1="OUT-UAQ"</formula>
    </cfRule>
  </conditionalFormatting>
  <conditionalFormatting sqref="V1:W99">
    <cfRule type="expression" dxfId="10" priority="42">
      <formula>$V1="OUTUA-FURW"</formula>
    </cfRule>
  </conditionalFormatting>
  <conditionalFormatting sqref="V1:W99">
    <cfRule type="expression" dxfId="14" priority="43">
      <formula>$V1="OUTSA-SaQu"</formula>
    </cfRule>
  </conditionalFormatting>
  <conditionalFormatting sqref="V1:W99">
    <cfRule type="expression" dxfId="14" priority="44">
      <formula>$V1="OUTSA-RW"</formula>
    </cfRule>
  </conditionalFormatting>
  <dataValidations>
    <dataValidation type="list" allowBlank="1" showErrorMessage="1" sqref="H2:H99">
      <formula1>"CH,DA,DC,DM,FA,LM"</formula1>
    </dataValidation>
    <dataValidation type="list" allowBlank="1" showErrorMessage="1" sqref="J2:J99">
      <formula1>Data!$A$2:$A100</formula1>
    </dataValidation>
    <dataValidation type="custom" allowBlank="1" showDropDown="1" showInputMessage="1" showErrorMessage="1" prompt="CAPITALS" sqref="A1:A99">
      <formula1>ISERROR(SEARCH((exact(upper(B:N),B:N)),(A1)))</formula1>
    </dataValidation>
    <dataValidation type="list" allowBlank="1" showErrorMessage="1" sqref="F2:F99">
      <formula1>Data!$B$1:$B$44</formula1>
    </dataValidation>
    <dataValidation type="custom" allowBlank="1" showDropDown="1" showInputMessage="1" showErrorMessage="1" prompt="CAPITALS" sqref="B1:B99">
      <formula1>ISERROR(SEARCH((exact(upper(B:O),B:O)),(B1)))</formula1>
    </dataValidation>
    <dataValidation type="list" allowBlank="1" showErrorMessage="1" sqref="G2:G99">
      <formula1>"F,M"</formula1>
    </dataValidation>
    <dataValidation type="list" allowBlank="1" showErrorMessage="1" sqref="K2:M99">
      <formula1>"X"</formula1>
    </dataValidation>
    <dataValidation type="list" allowBlank="1" showInputMessage="1" showErrorMessage="1" prompt="Click and enter a value from range 'Insurance Data'!C2:C608" sqref="E2:E99">
      <formula1>Data!$C:$C</formula1>
    </dataValidation>
    <dataValidation type="list" allowBlank="1" showErrorMessage="1" sqref="I2:I99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27.29"/>
    <col customWidth="1" min="2" max="2" width="9.29"/>
    <col customWidth="1" min="3" max="3" width="2.14"/>
    <col customWidth="1" min="4" max="4" width="9.71"/>
    <col customWidth="1" min="5" max="5" width="10.71"/>
    <col customWidth="1" min="6" max="6" width="8.14"/>
    <col customWidth="1" min="7" max="7" width="7.43"/>
    <col customWidth="1" min="8" max="8" width="11.14"/>
    <col customWidth="1" min="9" max="9" width="13.0"/>
    <col customWidth="1" min="10" max="10" width="46.43"/>
    <col customWidth="1" min="11" max="11" width="8.0"/>
    <col customWidth="1" min="12" max="12" width="6.71"/>
    <col customWidth="1" min="13" max="13" width="7.57"/>
    <col customWidth="1" min="14" max="14" width="9.86"/>
    <col customWidth="1" min="15" max="15" width="2.14"/>
    <col customWidth="1" hidden="1" min="16" max="20" width="12.57"/>
    <col customWidth="1" hidden="1" min="21" max="21" width="2.14"/>
    <col customWidth="1" min="22" max="22" width="17.71"/>
    <col customWidth="1" hidden="1" min="23" max="24" width="34.57"/>
    <col customWidth="1" hidden="1" min="25" max="25" width="12.14"/>
    <col customWidth="1" hidden="1" min="26" max="26" width="1.57"/>
    <col customWidth="1" min="27" max="27" width="9.57"/>
  </cols>
  <sheetData>
    <row r="1">
      <c r="A1" s="204" t="s">
        <v>24</v>
      </c>
      <c r="B1" s="205" t="s">
        <v>6237</v>
      </c>
      <c r="C1" s="206"/>
      <c r="D1" s="207" t="s">
        <v>25</v>
      </c>
      <c r="E1" s="280" t="s">
        <v>21</v>
      </c>
      <c r="F1" s="208" t="s">
        <v>6077</v>
      </c>
      <c r="G1" s="208" t="s">
        <v>6318</v>
      </c>
      <c r="H1" s="209" t="s">
        <v>2</v>
      </c>
      <c r="I1" s="209" t="s">
        <v>6206</v>
      </c>
      <c r="J1" s="209" t="s">
        <v>6135</v>
      </c>
      <c r="K1" s="208" t="s">
        <v>6353</v>
      </c>
      <c r="L1" s="208" t="s">
        <v>6354</v>
      </c>
      <c r="M1" s="208" t="s">
        <v>6240</v>
      </c>
      <c r="N1" s="210" t="s">
        <v>7</v>
      </c>
      <c r="O1" s="206"/>
      <c r="P1" s="207" t="s">
        <v>6188</v>
      </c>
      <c r="Q1" s="208" t="s">
        <v>6319</v>
      </c>
      <c r="R1" s="208" t="s">
        <v>6132</v>
      </c>
      <c r="S1" s="208" t="s">
        <v>6134</v>
      </c>
      <c r="T1" s="208" t="s">
        <v>6147</v>
      </c>
      <c r="U1" s="211"/>
      <c r="V1" s="212" t="s">
        <v>6320</v>
      </c>
      <c r="W1" s="207"/>
      <c r="X1" s="209"/>
      <c r="Y1" s="208" t="s">
        <v>6321</v>
      </c>
      <c r="Z1" s="213"/>
      <c r="AA1" s="241"/>
    </row>
    <row r="2">
      <c r="A2" s="214" t="str">
        <f>IFS($B2=FALSE,"",$B2,VLOOKUP($B2,'PATIENT DATA (072721)'!A:C, 2, 0))</f>
        <v>BROWN, FRANCOISE</v>
      </c>
      <c r="B2" s="215">
        <v>12854.0</v>
      </c>
      <c r="C2" s="216" t="str">
        <f>IF(COUNTIF('PATIENT DATA (072721)'!A:A, B2)=0, "X","✓")</f>
        <v>✓</v>
      </c>
      <c r="D2" s="226">
        <f>IFS($B2=FALSE,"",$B2,VLOOKUP($B2,'PATIENT DATA (072721)'!A:C, 3, 0))</f>
        <v>15390</v>
      </c>
      <c r="E2" s="218">
        <v>44578.0</v>
      </c>
      <c r="F2" s="219">
        <f>ifs($B2="","",$B2, VLOOKUP($B2&amp;$E2, 'VISIT DATA'!A:O,3,0))</f>
        <v>0.3125</v>
      </c>
      <c r="G2" s="220" t="s">
        <v>6344</v>
      </c>
      <c r="H2" s="221" t="s">
        <v>6361</v>
      </c>
      <c r="I2" s="222" t="str">
        <f>VLOOKUP($B2&amp;$E2,'VISIT DATA'!A:J, 9, FALSE)</f>
        <v>LOPEZ</v>
      </c>
      <c r="J2" s="223" t="str">
        <f>VLOOKUP(B2&amp;E2,'VISIT DATA'!A:N,10,FALSE)</f>
        <v>WELLMED - AARP MEDICARE COMPLETE</v>
      </c>
      <c r="K2" s="242"/>
      <c r="L2" s="224" t="s">
        <v>6242</v>
      </c>
      <c r="M2" s="224"/>
      <c r="N2" s="225"/>
      <c r="O2" s="216" t="str">
        <f t="shared" ref="O2:O99" si="1">IF(OR(K2 = "x",L2 = "x",M2 = "x"),"✓", "X")</f>
        <v>✓</v>
      </c>
      <c r="P2" s="226" t="str">
        <f t="shared" ref="P2:P99" si="2">ifs(SEARCH($P$1,$J2)&gt;=1,"X")</f>
        <v>X</v>
      </c>
      <c r="Q2" s="227" t="str">
        <f t="shared" ref="Q2:Q99" si="3">ifs(SEARCH($Q$1,$J2)&gt;=1,"X")</f>
        <v>#VALUE!</v>
      </c>
      <c r="R2" s="228" t="str">
        <f t="shared" ref="R2:R99" si="4">ifs(SEARCH($R$1,$J2)&gt;=1,"X")</f>
        <v>#VALUE!</v>
      </c>
      <c r="S2" s="220" t="str">
        <f t="shared" ref="S2:S99" si="5">ifs(SEARCH($S$1,$J2)&gt;=1,"X")</f>
        <v>#VALUE!</v>
      </c>
      <c r="T2" s="220" t="str">
        <f t="shared" ref="T2:T99" si="6">ifs(SEARCH($T$1,$J2)&gt;=1,"X")</f>
        <v>#VALUE!</v>
      </c>
      <c r="U2" s="221">
        <f t="shared" ref="U2:U99" si="7">countif($P2:$T2,"X")</f>
        <v>1</v>
      </c>
      <c r="V2" s="229" t="str">
        <f>ifs($N2="",VLOOKUP($B2&amp;$E2,'VISIT DATA'!$A$2:$J100,7,FALSE), $N2="SWAB","OUTSA-RW",$N2="SWQU","OUTSA-SaQu", AND($L2="X",$M2="X",$N2="QUEST"),"OUT-UAQPre",$N2="QUEST","OUT-UAQ", $N2="Walk in","ColUATele")</f>
        <v>OUTUA-FURW</v>
      </c>
      <c r="W2" s="24" t="str">
        <f t="shared" ref="W2:W99" si="8">ifs($V2="UA-NWPT","UA-NWPT : UA New Patient",$V2="UA","UA : Urine Analysis In House",$V2="UA-Prelim","UA-Prelim : Preliminary UA Test",$V2="OUT-UAQ","OUT-UAQ : Quest Out UA",$V2="OUT-UAQPre", "OUT-UAQPre : OUT UA Prelim Quest",$V2="OUTSA-SaQu","OUTSA-SaQu : Saliva Out Quest",$V2="ColUATele","Collected Telemed",$V2="OUTUA-PrRW", "OUTUA-PrRW : OUT UA Prelimin Redwood",$V2="OUTUA-FURW", "OUTUA-FURW : OUT UA FU Redwood",$V2="OUTUA-NWRW", "OUTUA-NWRW : OUT UA New Redwood",$V2="OUTSA-RW", "OUTSA-RW : OUT Saliva Redwood")</f>
        <v>OUTUA-FURW : OUT UA FU Redwood</v>
      </c>
      <c r="X2" s="222" t="str">
        <f t="shared" ref="X2:X99" si="9">ifs($B2="","",and($K2="X",$L2="X",$M2="X",$N2="SWAB"), "ERROR",and($K2="X",$L2="X",$N2="SWAB"), "ERROR", and($L2="X",$N2="SWAB"), "OUTSA-RW : OUT Saliva Redwood", and($K2="X",$M2="X", $N2="SWAB"),"ERROR", and($M2="X",$N2="SWAB"), "OUTSA-RW : OUT Saliva Redwood", and($K2="X",$N2="SWAB"),"OUTSA-RW : OUT Saliva Redwood",and($K2="X",$L2="X"),"ERROR", and($K2="X",$M2="X"),"ERROR",and($M2="X",$U2=1), "OUTUA-PrRW : OUT UA Prelimin Redwood", and($K2="X",$U2=1), "OUTUA-NWRW : OUT UA New Redwood", and($L2="X",$U2=1), "OUTUA-FURW : OUT UA FU Redwood", and($L2="X",$M2="X",$U2=1), "OUTUA-PrRW : OUT UA Prelimin Redwood", $K2="X","UA-NWPT : UA New Patient", and($L2="X",$M2="X"),"UA-Prelim : Preliminary UA Test",and($L2="X",$N2="SWAB"),"OUTSA-RW : OUT Saliva Redwood",$L2="X","UA : Urine Analysis In House",$M2="X","UA-Prelim : Preliminary UA Test")</f>
        <v>OUTUA-FURW : OUT UA FU Redwood</v>
      </c>
      <c r="Y2" s="222" t="str">
        <f t="shared" ref="Y2:Y99" si="10">IFS($B2="","",X2=W2,"MATCH",X2&lt;&gt;W2,"NO MATCH")</f>
        <v>MATCH</v>
      </c>
      <c r="Z2" s="224" t="str">
        <f t="shared" ref="Z2:Z99" si="11">IF((countif($B$2:$B100,$B2)&gt;1),"Repeat"," ")</f>
        <v> </v>
      </c>
      <c r="AA2" s="243"/>
    </row>
    <row r="3">
      <c r="A3" s="214" t="str">
        <f>IFS($B3=FALSE,"",$B3,VLOOKUP($B3,'PATIENT DATA (072721)'!A:C, 2, 0))</f>
        <v>MEINECKE, GAYLE</v>
      </c>
      <c r="B3" s="215">
        <v>11489.0</v>
      </c>
      <c r="C3" s="216" t="str">
        <f>IF(COUNTIF('PATIENT DATA (072721)'!A:A, B3)=0, "X","✓")</f>
        <v>✓</v>
      </c>
      <c r="D3" s="226">
        <f>IFS($B3=FALSE,"",$B3,VLOOKUP($B3,'PATIENT DATA (072721)'!A:C, 3, 0))</f>
        <v>17103</v>
      </c>
      <c r="E3" s="218">
        <v>44578.0</v>
      </c>
      <c r="F3" s="219">
        <f>ifs($B3="","",$B3, VLOOKUP($B3&amp;$E3, 'VISIT DATA'!A:O,3,0))</f>
        <v>0.3333333333</v>
      </c>
      <c r="G3" s="220" t="s">
        <v>6323</v>
      </c>
      <c r="H3" s="221" t="s">
        <v>14</v>
      </c>
      <c r="I3" s="222" t="str">
        <f>VLOOKUP($B3&amp;$E3,'VISIT DATA'!A:J, 9, FALSE)</f>
        <v>TORRES</v>
      </c>
      <c r="J3" s="223" t="str">
        <f>VLOOKUP(B3&amp;E3,'VISIT DATA'!A:N,10,FALSE)</f>
        <v>AETNA MEDICARE ADVANTAGE</v>
      </c>
      <c r="K3" s="224"/>
      <c r="L3" s="224" t="s">
        <v>6242</v>
      </c>
      <c r="M3" s="224"/>
      <c r="N3" s="225"/>
      <c r="O3" s="216" t="str">
        <f t="shared" si="1"/>
        <v>✓</v>
      </c>
      <c r="P3" s="226" t="str">
        <f t="shared" si="2"/>
        <v>#VALUE!</v>
      </c>
      <c r="Q3" s="227" t="str">
        <f t="shared" si="3"/>
        <v>#VALUE!</v>
      </c>
      <c r="R3" s="228" t="str">
        <f t="shared" si="4"/>
        <v>#VALUE!</v>
      </c>
      <c r="S3" s="220" t="str">
        <f t="shared" si="5"/>
        <v>#VALUE!</v>
      </c>
      <c r="T3" s="220" t="str">
        <f t="shared" si="6"/>
        <v>#VALUE!</v>
      </c>
      <c r="U3" s="221">
        <f t="shared" si="7"/>
        <v>0</v>
      </c>
      <c r="V3" s="229" t="str">
        <f>ifs($N3="",VLOOKUP($B3&amp;$E3,'VISIT DATA'!$A$2:$J100,7,FALSE), $N3="SWAB","OUTSA-RW",$N3="SWQU","OUTSA-SaQu", AND($L3="X",$M3="X",$N3="QUEST"),"OUT-UAQPre",$N3="QUEST","OUT-UAQ", $N3="Walk in","ColUATele")</f>
        <v>UA</v>
      </c>
      <c r="W3" s="24" t="str">
        <f t="shared" si="8"/>
        <v>UA : Urine Analysis In House</v>
      </c>
      <c r="X3" s="222" t="str">
        <f t="shared" si="9"/>
        <v>UA : Urine Analysis In House</v>
      </c>
      <c r="Y3" s="222" t="str">
        <f t="shared" si="10"/>
        <v>MATCH</v>
      </c>
      <c r="Z3" s="224" t="str">
        <f t="shared" si="11"/>
        <v> </v>
      </c>
      <c r="AA3" s="243"/>
    </row>
    <row r="4">
      <c r="A4" s="214" t="str">
        <f>IFS($B4=FALSE,"",$B4,VLOOKUP($B4,'PATIENT DATA (072721)'!A:C, 2, 0))</f>
        <v>ORTEGA, JOSE</v>
      </c>
      <c r="B4" s="215">
        <v>15755.0</v>
      </c>
      <c r="C4" s="216" t="str">
        <f>IF(COUNTIF('PATIENT DATA (072721)'!A:A, B4)=0, "X","✓")</f>
        <v>✓</v>
      </c>
      <c r="D4" s="226">
        <f>IFS($B4=FALSE,"",$B4,VLOOKUP($B4,'PATIENT DATA (072721)'!A:C, 3, 0))</f>
        <v>18681</v>
      </c>
      <c r="E4" s="218">
        <v>44578.0</v>
      </c>
      <c r="F4" s="219">
        <f>ifs($B4="","",$B4, VLOOKUP($B4&amp;$E4, 'VISIT DATA'!A:O,3,0))</f>
        <v>0.3125</v>
      </c>
      <c r="G4" s="220" t="s">
        <v>6328</v>
      </c>
      <c r="H4" s="221" t="s">
        <v>12</v>
      </c>
      <c r="I4" s="222" t="str">
        <f>VLOOKUP($B4&amp;$E4,'VISIT DATA'!A:J, 9, FALSE)</f>
        <v>LOPEZ</v>
      </c>
      <c r="J4" s="223" t="str">
        <f>VLOOKUP(B4&amp;E4,'VISIT DATA'!A:N,10,FALSE)</f>
        <v>AMBETTER - SUPERIOR</v>
      </c>
      <c r="K4" s="242"/>
      <c r="L4" s="224" t="s">
        <v>6242</v>
      </c>
      <c r="M4" s="224"/>
      <c r="N4" s="225"/>
      <c r="O4" s="216" t="str">
        <f t="shared" si="1"/>
        <v>✓</v>
      </c>
      <c r="P4" s="226" t="str">
        <f t="shared" si="2"/>
        <v>#VALUE!</v>
      </c>
      <c r="Q4" s="227" t="str">
        <f t="shared" si="3"/>
        <v>#VALUE!</v>
      </c>
      <c r="R4" s="228" t="str">
        <f t="shared" si="4"/>
        <v>#VALUE!</v>
      </c>
      <c r="S4" s="220" t="str">
        <f t="shared" si="5"/>
        <v>#VALUE!</v>
      </c>
      <c r="T4" s="220" t="str">
        <f t="shared" si="6"/>
        <v>#VALUE!</v>
      </c>
      <c r="U4" s="221">
        <f t="shared" si="7"/>
        <v>0</v>
      </c>
      <c r="V4" s="229" t="str">
        <f>ifs($N4="",VLOOKUP($B4&amp;$E4,'VISIT DATA'!$A$2:$J100,7,FALSE), $N4="SWAB","OUTSA-RW",$N4="SWQU","OUTSA-SaQu", AND($L4="X",$M4="X",$N4="QUEST"),"OUT-UAQPre",$N4="QUEST","OUT-UAQ", $N4="Walk in","ColUATele")</f>
        <v>UA</v>
      </c>
      <c r="W4" s="24" t="str">
        <f t="shared" si="8"/>
        <v>UA : Urine Analysis In House</v>
      </c>
      <c r="X4" s="222" t="str">
        <f t="shared" si="9"/>
        <v>UA : Urine Analysis In House</v>
      </c>
      <c r="Y4" s="222" t="str">
        <f t="shared" si="10"/>
        <v>MATCH</v>
      </c>
      <c r="Z4" s="224" t="str">
        <f t="shared" si="11"/>
        <v> </v>
      </c>
      <c r="AA4" s="243"/>
    </row>
    <row r="5">
      <c r="A5" s="214" t="str">
        <f>IFS($B5=FALSE,"",$B5,VLOOKUP($B5,'PATIENT DATA (072721)'!A:C, 2, 0))</f>
        <v>MARTINEZ, CARMELO</v>
      </c>
      <c r="B5" s="215">
        <v>12243.0</v>
      </c>
      <c r="C5" s="216" t="str">
        <f>IF(COUNTIF('PATIENT DATA (072721)'!A:A, B5)=0, "X","✓")</f>
        <v>✓</v>
      </c>
      <c r="D5" s="226">
        <f>IFS($B5=FALSE,"",$B5,VLOOKUP($B5,'PATIENT DATA (072721)'!A:C, 3, 0))</f>
        <v>19139</v>
      </c>
      <c r="E5" s="218">
        <v>44578.0</v>
      </c>
      <c r="F5" s="219">
        <f>ifs($B5="","",$B5, VLOOKUP($B5&amp;$E5, 'VISIT DATA'!A:O,3,0))</f>
        <v>0.3229166667</v>
      </c>
      <c r="G5" s="220" t="s">
        <v>6328</v>
      </c>
      <c r="H5" s="221" t="s">
        <v>12</v>
      </c>
      <c r="I5" s="222" t="str">
        <f>VLOOKUP($B5&amp;$E5,'VISIT DATA'!A:J, 9, FALSE)</f>
        <v>LOPEZ</v>
      </c>
      <c r="J5" s="223" t="str">
        <f>VLOOKUP(B5&amp;E5,'VISIT DATA'!A:N,10,FALSE)</f>
        <v>WELLMED - UHC DUAL COMPLETE SNP</v>
      </c>
      <c r="K5" s="224"/>
      <c r="L5" s="224" t="s">
        <v>6242</v>
      </c>
      <c r="M5" s="224"/>
      <c r="N5" s="225"/>
      <c r="O5" s="216" t="str">
        <f t="shared" si="1"/>
        <v>✓</v>
      </c>
      <c r="P5" s="226" t="str">
        <f t="shared" si="2"/>
        <v>X</v>
      </c>
      <c r="Q5" s="227" t="str">
        <f t="shared" si="3"/>
        <v>#VALUE!</v>
      </c>
      <c r="R5" s="228" t="str">
        <f t="shared" si="4"/>
        <v>#VALUE!</v>
      </c>
      <c r="S5" s="220" t="str">
        <f t="shared" si="5"/>
        <v>#VALUE!</v>
      </c>
      <c r="T5" s="220" t="str">
        <f t="shared" si="6"/>
        <v>#VALUE!</v>
      </c>
      <c r="U5" s="221">
        <f t="shared" si="7"/>
        <v>1</v>
      </c>
      <c r="V5" s="229" t="str">
        <f>ifs($N5="",VLOOKUP($B5&amp;$E5,'VISIT DATA'!$A$2:$J100,7,FALSE), $N5="SWAB","OUTSA-RW",$N5="SWQU","OUTSA-SaQu", AND($L5="X",$M5="X",$N5="QUEST"),"OUT-UAQPre",$N5="QUEST","OUT-UAQ", $N5="Walk in","ColUATele")</f>
        <v>OUTUA-FURW</v>
      </c>
      <c r="W5" s="24" t="str">
        <f t="shared" si="8"/>
        <v>OUTUA-FURW : OUT UA FU Redwood</v>
      </c>
      <c r="X5" s="222" t="str">
        <f t="shared" si="9"/>
        <v>OUTUA-FURW : OUT UA FU Redwood</v>
      </c>
      <c r="Y5" s="222" t="str">
        <f t="shared" si="10"/>
        <v>MATCH</v>
      </c>
      <c r="Z5" s="224" t="str">
        <f t="shared" si="11"/>
        <v> </v>
      </c>
      <c r="AA5" s="243"/>
    </row>
    <row r="6">
      <c r="A6" s="214" t="str">
        <f>IFS($B6=FALSE,"",$B6,VLOOKUP($B6,'PATIENT DATA (072721)'!A:C, 2, 0))</f>
        <v>ACEVEDO, CARLOS M</v>
      </c>
      <c r="B6" s="215">
        <v>15738.0</v>
      </c>
      <c r="C6" s="216" t="str">
        <f>IF(COUNTIF('PATIENT DATA (072721)'!A:A, B6)=0, "X","✓")</f>
        <v>✓</v>
      </c>
      <c r="D6" s="226">
        <f>IFS($B6=FALSE,"",$B6,VLOOKUP($B6,'PATIENT DATA (072721)'!A:C, 3, 0))</f>
        <v>23184</v>
      </c>
      <c r="E6" s="218">
        <v>44578.0</v>
      </c>
      <c r="F6" s="219">
        <f>ifs($B6="","",$B6, VLOOKUP($B6&amp;$E6, 'VISIT DATA'!A:O,3,0))</f>
        <v>0.3541666667</v>
      </c>
      <c r="G6" s="220" t="s">
        <v>6328</v>
      </c>
      <c r="H6" s="221" t="s">
        <v>14</v>
      </c>
      <c r="I6" s="222" t="str">
        <f>VLOOKUP($B6&amp;$E6,'VISIT DATA'!A:J, 9, FALSE)</f>
        <v>TORRES</v>
      </c>
      <c r="J6" s="223" t="str">
        <f>VLOOKUP(B6&amp;E6,'VISIT DATA'!A:N,10,FALSE)</f>
        <v>WELLMED - HUMANA</v>
      </c>
      <c r="K6" s="224"/>
      <c r="L6" s="224" t="s">
        <v>6242</v>
      </c>
      <c r="M6" s="224" t="s">
        <v>6242</v>
      </c>
      <c r="N6" s="225"/>
      <c r="O6" s="216" t="str">
        <f t="shared" si="1"/>
        <v>✓</v>
      </c>
      <c r="P6" s="226" t="str">
        <f t="shared" si="2"/>
        <v>X</v>
      </c>
      <c r="Q6" s="227" t="str">
        <f t="shared" si="3"/>
        <v>#VALUE!</v>
      </c>
      <c r="R6" s="228" t="str">
        <f t="shared" si="4"/>
        <v>#VALUE!</v>
      </c>
      <c r="S6" s="220" t="str">
        <f t="shared" si="5"/>
        <v>#VALUE!</v>
      </c>
      <c r="T6" s="220" t="str">
        <f t="shared" si="6"/>
        <v>#VALUE!</v>
      </c>
      <c r="U6" s="221">
        <f t="shared" si="7"/>
        <v>1</v>
      </c>
      <c r="V6" s="229" t="str">
        <f>ifs($N6="",VLOOKUP($B6&amp;$E6,'VISIT DATA'!$A$2:$J100,7,FALSE), $N6="SWAB","OUTSA-RW",$N6="SWQU","OUTSA-SaQu", AND($L6="X",$M6="X",$N6="QUEST"),"OUT-UAQPre",$N6="QUEST","OUT-UAQ", $N6="Walk in","ColUATele")</f>
        <v>OUTUA-PrRW</v>
      </c>
      <c r="W6" s="24" t="str">
        <f t="shared" si="8"/>
        <v>OUTUA-PrRW : OUT UA Prelimin Redwood</v>
      </c>
      <c r="X6" s="222" t="str">
        <f t="shared" si="9"/>
        <v>OUTUA-PrRW : OUT UA Prelimin Redwood</v>
      </c>
      <c r="Y6" s="222" t="str">
        <f t="shared" si="10"/>
        <v>MATCH</v>
      </c>
      <c r="Z6" s="224" t="str">
        <f t="shared" si="11"/>
        <v> </v>
      </c>
      <c r="AA6" s="243"/>
    </row>
    <row r="7">
      <c r="A7" s="214" t="str">
        <f>IFS($B7=FALSE,"",$B7,VLOOKUP($B7,'PATIENT DATA (072721)'!A:C, 2, 0))</f>
        <v>ROBBINS, BOBBY G</v>
      </c>
      <c r="B7" s="215">
        <v>9198.0</v>
      </c>
      <c r="C7" s="216" t="str">
        <f>IF(COUNTIF('PATIENT DATA (072721)'!A:A, B7)=0, "X","✓")</f>
        <v>✓</v>
      </c>
      <c r="D7" s="226">
        <f>IFS($B7=FALSE,"",$B7,VLOOKUP($B7,'PATIENT DATA (072721)'!A:C, 3, 0))</f>
        <v>19646</v>
      </c>
      <c r="E7" s="218">
        <v>44578.0</v>
      </c>
      <c r="F7" s="219">
        <f>ifs($B7="","",$B7, VLOOKUP($B7&amp;$E7, 'VISIT DATA'!A:O,3,0))</f>
        <v>0.3541666667</v>
      </c>
      <c r="G7" s="220" t="s">
        <v>6328</v>
      </c>
      <c r="H7" s="221" t="s">
        <v>14</v>
      </c>
      <c r="I7" s="222" t="str">
        <f>VLOOKUP($B7&amp;$E7,'VISIT DATA'!A:J, 9, FALSE)</f>
        <v>TORRES</v>
      </c>
      <c r="J7" s="223" t="str">
        <f>VLOOKUP(B7&amp;E7,'VISIT DATA'!A:N,10,FALSE)</f>
        <v>WELLMED - UHC DUAL COMPLETE SNP</v>
      </c>
      <c r="K7" s="242"/>
      <c r="L7" s="224" t="s">
        <v>6242</v>
      </c>
      <c r="M7" s="224"/>
      <c r="N7" s="225"/>
      <c r="O7" s="216" t="str">
        <f t="shared" si="1"/>
        <v>✓</v>
      </c>
      <c r="P7" s="226" t="str">
        <f t="shared" si="2"/>
        <v>X</v>
      </c>
      <c r="Q7" s="227" t="str">
        <f t="shared" si="3"/>
        <v>#VALUE!</v>
      </c>
      <c r="R7" s="228" t="str">
        <f t="shared" si="4"/>
        <v>#VALUE!</v>
      </c>
      <c r="S7" s="220" t="str">
        <f t="shared" si="5"/>
        <v>#VALUE!</v>
      </c>
      <c r="T7" s="220" t="str">
        <f t="shared" si="6"/>
        <v>#VALUE!</v>
      </c>
      <c r="U7" s="221">
        <f t="shared" si="7"/>
        <v>1</v>
      </c>
      <c r="V7" s="229" t="str">
        <f>ifs($N7="",VLOOKUP($B7&amp;$E7,'VISIT DATA'!$A$2:$J100,7,FALSE), $N7="SWAB","OUTSA-RW",$N7="SWQU","OUTSA-SaQu", AND($L7="X",$M7="X",$N7="QUEST"),"OUT-UAQPre",$N7="QUEST","OUT-UAQ", $N7="Walk in","ColUATele")</f>
        <v>OUTUA-FURW</v>
      </c>
      <c r="W7" s="24" t="str">
        <f t="shared" si="8"/>
        <v>OUTUA-FURW : OUT UA FU Redwood</v>
      </c>
      <c r="X7" s="222" t="str">
        <f t="shared" si="9"/>
        <v>OUTUA-FURW : OUT UA FU Redwood</v>
      </c>
      <c r="Y7" s="222" t="str">
        <f t="shared" si="10"/>
        <v>MATCH</v>
      </c>
      <c r="Z7" s="224" t="str">
        <f t="shared" si="11"/>
        <v> </v>
      </c>
      <c r="AA7" s="243"/>
    </row>
    <row r="8">
      <c r="A8" s="214" t="str">
        <f>IFS($B8=FALSE,"",$B8,VLOOKUP($B8,'PATIENT DATA (072721)'!A:C, 2, 0))</f>
        <v>HENDERSON, RICKY</v>
      </c>
      <c r="B8" s="215">
        <v>10357.0</v>
      </c>
      <c r="C8" s="216" t="str">
        <f>IF(COUNTIF('PATIENT DATA (072721)'!A:A, B8)=0, "X","✓")</f>
        <v>✓</v>
      </c>
      <c r="D8" s="226">
        <f>IFS($B8=FALSE,"",$B8,VLOOKUP($B8,'PATIENT DATA (072721)'!A:C, 3, 0))</f>
        <v>27914</v>
      </c>
      <c r="E8" s="218">
        <v>44578.0</v>
      </c>
      <c r="F8" s="219">
        <f>ifs($B8="","",$B8, VLOOKUP($B8&amp;$E8, 'VISIT DATA'!A:O,3,0))</f>
        <v>0.3541666667</v>
      </c>
      <c r="G8" s="220" t="s">
        <v>6328</v>
      </c>
      <c r="H8" s="221" t="s">
        <v>15</v>
      </c>
      <c r="I8" s="222" t="str">
        <f>VLOOKUP($B8&amp;$E8,'VISIT DATA'!A:J, 9, FALSE)</f>
        <v>MARTINEZ</v>
      </c>
      <c r="J8" s="223" t="str">
        <f>VLOOKUP(B8&amp;E8,'VISIT DATA'!A:N,10,FALSE)</f>
        <v>WPS VA - COMMUNITY CARE</v>
      </c>
      <c r="K8" s="242"/>
      <c r="L8" s="224" t="s">
        <v>6242</v>
      </c>
      <c r="M8" s="224"/>
      <c r="N8" s="225"/>
      <c r="O8" s="216" t="str">
        <f t="shared" si="1"/>
        <v>✓</v>
      </c>
      <c r="P8" s="226" t="str">
        <f t="shared" si="2"/>
        <v>#VALUE!</v>
      </c>
      <c r="Q8" s="227" t="str">
        <f t="shared" si="3"/>
        <v>#VALUE!</v>
      </c>
      <c r="R8" s="228" t="str">
        <f t="shared" si="4"/>
        <v>#VALUE!</v>
      </c>
      <c r="S8" s="220" t="str">
        <f t="shared" si="5"/>
        <v>#VALUE!</v>
      </c>
      <c r="T8" s="220" t="str">
        <f t="shared" si="6"/>
        <v>#VALUE!</v>
      </c>
      <c r="U8" s="221">
        <f t="shared" si="7"/>
        <v>0</v>
      </c>
      <c r="V8" s="229" t="str">
        <f>ifs($N8="",VLOOKUP($B8&amp;$E8,'VISIT DATA'!$A$2:$J100,7,FALSE), $N8="SWAB","OUTSA-RW",$N8="SWQU","OUTSA-SaQu", AND($L8="X",$M8="X",$N8="QUEST"),"OUT-UAQPre",$N8="QUEST","OUT-UAQ", $N8="Walk in","ColUATele")</f>
        <v>UA</v>
      </c>
      <c r="W8" s="24" t="str">
        <f t="shared" si="8"/>
        <v>UA : Urine Analysis In House</v>
      </c>
      <c r="X8" s="222" t="str">
        <f t="shared" si="9"/>
        <v>UA : Urine Analysis In House</v>
      </c>
      <c r="Y8" s="222" t="str">
        <f t="shared" si="10"/>
        <v>MATCH</v>
      </c>
      <c r="Z8" s="224" t="str">
        <f t="shared" si="11"/>
        <v> </v>
      </c>
      <c r="AA8" s="243"/>
    </row>
    <row r="9">
      <c r="A9" s="214" t="str">
        <f>IFS($B9=FALSE,"",$B9,VLOOKUP($B9,'PATIENT DATA (072721)'!A:C, 2, 0))</f>
        <v>AGUIRRE, MARIA</v>
      </c>
      <c r="B9" s="215">
        <v>11623.0</v>
      </c>
      <c r="C9" s="216" t="str">
        <f>IF(COUNTIF('PATIENT DATA (072721)'!A:A, B9)=0, "X","✓")</f>
        <v>✓</v>
      </c>
      <c r="D9" s="226">
        <f>IFS($B9=FALSE,"",$B9,VLOOKUP($B9,'PATIENT DATA (072721)'!A:C, 3, 0))</f>
        <v>20033</v>
      </c>
      <c r="E9" s="218">
        <v>44578.0</v>
      </c>
      <c r="F9" s="219">
        <f>ifs($B9="","",$B9, VLOOKUP($B9&amp;$E9, 'VISIT DATA'!A:O,3,0))</f>
        <v>0.3645833333</v>
      </c>
      <c r="G9" s="220" t="s">
        <v>6323</v>
      </c>
      <c r="H9" s="221" t="s">
        <v>15</v>
      </c>
      <c r="I9" s="222" t="str">
        <f>VLOOKUP($B9&amp;$E9,'VISIT DATA'!A:J, 9, FALSE)</f>
        <v>MARTINEZ</v>
      </c>
      <c r="J9" s="223" t="str">
        <f>VLOOKUP(B9&amp;E9,'VISIT DATA'!A:N,10,FALSE)</f>
        <v>WELLMED - UHC DUAL COMPLETE SNP</v>
      </c>
      <c r="K9" s="224"/>
      <c r="L9" s="224" t="s">
        <v>6242</v>
      </c>
      <c r="M9" s="224"/>
      <c r="N9" s="225"/>
      <c r="O9" s="216" t="str">
        <f t="shared" si="1"/>
        <v>✓</v>
      </c>
      <c r="P9" s="226" t="str">
        <f t="shared" si="2"/>
        <v>X</v>
      </c>
      <c r="Q9" s="227" t="str">
        <f t="shared" si="3"/>
        <v>#VALUE!</v>
      </c>
      <c r="R9" s="228" t="str">
        <f t="shared" si="4"/>
        <v>#VALUE!</v>
      </c>
      <c r="S9" s="220" t="str">
        <f t="shared" si="5"/>
        <v>#VALUE!</v>
      </c>
      <c r="T9" s="220" t="str">
        <f t="shared" si="6"/>
        <v>#VALUE!</v>
      </c>
      <c r="U9" s="221">
        <f t="shared" si="7"/>
        <v>1</v>
      </c>
      <c r="V9" s="229" t="str">
        <f>ifs($N9="",VLOOKUP($B9&amp;$E9,'VISIT DATA'!$A$2:$J100,7,FALSE), $N9="SWAB","OUTSA-RW",$N9="SWQU","OUTSA-SaQu", AND($L9="X",$M9="X",$N9="QUEST"),"OUT-UAQPre",$N9="QUEST","OUT-UAQ", $N9="Walk in","ColUATele")</f>
        <v>OUTUA-FURW</v>
      </c>
      <c r="W9" s="24" t="str">
        <f t="shared" si="8"/>
        <v>OUTUA-FURW : OUT UA FU Redwood</v>
      </c>
      <c r="X9" s="222" t="str">
        <f t="shared" si="9"/>
        <v>OUTUA-FURW : OUT UA FU Redwood</v>
      </c>
      <c r="Y9" s="222" t="str">
        <f t="shared" si="10"/>
        <v>MATCH</v>
      </c>
      <c r="Z9" s="224" t="str">
        <f t="shared" si="11"/>
        <v> </v>
      </c>
      <c r="AA9" s="243"/>
    </row>
    <row r="10">
      <c r="A10" s="214" t="str">
        <f>IFS($B10=FALSE,"",$B10,VLOOKUP($B10,'PATIENT DATA (072721)'!A:C, 2, 0))</f>
        <v>MEFFORD, ROBERT M</v>
      </c>
      <c r="B10" s="215">
        <v>14140.0</v>
      </c>
      <c r="C10" s="216" t="str">
        <f>IF(COUNTIF('PATIENT DATA (072721)'!A:A, B10)=0, "X","✓")</f>
        <v>✓</v>
      </c>
      <c r="D10" s="226">
        <f>IFS($B10=FALSE,"",$B10,VLOOKUP($B10,'PATIENT DATA (072721)'!A:C, 3, 0))</f>
        <v>19016</v>
      </c>
      <c r="E10" s="218">
        <v>44578.0</v>
      </c>
      <c r="F10" s="219">
        <f>ifs($B10="","",$B10, VLOOKUP($B10&amp;$E10, 'VISIT DATA'!A:O,3,0))</f>
        <v>0.3541666667</v>
      </c>
      <c r="G10" s="220" t="s">
        <v>6328</v>
      </c>
      <c r="H10" s="221" t="s">
        <v>15</v>
      </c>
      <c r="I10" s="222" t="str">
        <f>VLOOKUP($B10&amp;$E10,'VISIT DATA'!A:J, 9, FALSE)</f>
        <v>MARTINEZ</v>
      </c>
      <c r="J10" s="223" t="str">
        <f>VLOOKUP(B10&amp;E10,'VISIT DATA'!A:N,10,FALSE)</f>
        <v>WPS VA - COMMUNITY CARE</v>
      </c>
      <c r="K10" s="224"/>
      <c r="L10" s="224" t="s">
        <v>6242</v>
      </c>
      <c r="M10" s="224"/>
      <c r="N10" s="225"/>
      <c r="O10" s="216" t="str">
        <f t="shared" si="1"/>
        <v>✓</v>
      </c>
      <c r="P10" s="226" t="str">
        <f t="shared" si="2"/>
        <v>#VALUE!</v>
      </c>
      <c r="Q10" s="227" t="str">
        <f t="shared" si="3"/>
        <v>#VALUE!</v>
      </c>
      <c r="R10" s="228" t="str">
        <f t="shared" si="4"/>
        <v>#VALUE!</v>
      </c>
      <c r="S10" s="220" t="str">
        <f t="shared" si="5"/>
        <v>#VALUE!</v>
      </c>
      <c r="T10" s="220" t="str">
        <f t="shared" si="6"/>
        <v>#VALUE!</v>
      </c>
      <c r="U10" s="221">
        <f t="shared" si="7"/>
        <v>0</v>
      </c>
      <c r="V10" s="229" t="str">
        <f>ifs($N10="",VLOOKUP($B10&amp;$E10,'VISIT DATA'!$A$2:$J100,7,FALSE), $N10="SWAB","OUTSA-RW",$N10="SWQU","OUTSA-SaQu", AND($L10="X",$M10="X",$N10="QUEST"),"OUT-UAQPre",$N10="QUEST","OUT-UAQ", $N10="Walk in","ColUATele")</f>
        <v>UA</v>
      </c>
      <c r="W10" s="24" t="str">
        <f t="shared" si="8"/>
        <v>UA : Urine Analysis In House</v>
      </c>
      <c r="X10" s="222" t="str">
        <f t="shared" si="9"/>
        <v>UA : Urine Analysis In House</v>
      </c>
      <c r="Y10" s="222" t="str">
        <f t="shared" si="10"/>
        <v>MATCH</v>
      </c>
      <c r="Z10" s="224" t="str">
        <f t="shared" si="11"/>
        <v> </v>
      </c>
      <c r="AA10" s="243"/>
    </row>
    <row r="11">
      <c r="A11" s="214" t="str">
        <f>IFS($B11=FALSE,"",$B11,VLOOKUP($B11,'PATIENT DATA (072721)'!A:C, 2, 0))</f>
        <v>CASTANEDA VILLEGAS, OSCAR</v>
      </c>
      <c r="B11" s="215">
        <v>17431.0</v>
      </c>
      <c r="C11" s="216" t="str">
        <f>IF(COUNTIF('PATIENT DATA (072721)'!A:A, B11)=0, "X","✓")</f>
        <v>✓</v>
      </c>
      <c r="D11" s="226">
        <f>IFS($B11=FALSE,"",$B11,VLOOKUP($B11,'PATIENT DATA (072721)'!A:C, 3, 0))</f>
        <v>30474</v>
      </c>
      <c r="E11" s="218">
        <v>44578.0</v>
      </c>
      <c r="F11" s="219">
        <f>ifs($B11="","",$B11, VLOOKUP($B11&amp;$E11, 'VISIT DATA'!A:O,3,0))</f>
        <v>0.34375</v>
      </c>
      <c r="G11" s="220" t="s">
        <v>6328</v>
      </c>
      <c r="H11" s="221" t="s">
        <v>13</v>
      </c>
      <c r="I11" s="222" t="str">
        <f>VLOOKUP($B11&amp;$E11,'VISIT DATA'!A:J, 9, FALSE)</f>
        <v>LOPEZ</v>
      </c>
      <c r="J11" s="223" t="str">
        <f>VLOOKUP(B11&amp;E11,'VISIT DATA'!A:N,10,FALSE)</f>
        <v>MOLINA MARKETPLACE TEXAS</v>
      </c>
      <c r="K11" s="224" t="s">
        <v>6242</v>
      </c>
      <c r="L11" s="224"/>
      <c r="M11" s="224"/>
      <c r="N11" s="225"/>
      <c r="O11" s="216" t="str">
        <f t="shared" si="1"/>
        <v>✓</v>
      </c>
      <c r="P11" s="226" t="str">
        <f t="shared" si="2"/>
        <v>#VALUE!</v>
      </c>
      <c r="Q11" s="227" t="str">
        <f t="shared" si="3"/>
        <v>X</v>
      </c>
      <c r="R11" s="228" t="str">
        <f t="shared" si="4"/>
        <v>#VALUE!</v>
      </c>
      <c r="S11" s="220" t="str">
        <f t="shared" si="5"/>
        <v>#VALUE!</v>
      </c>
      <c r="T11" s="220" t="str">
        <f t="shared" si="6"/>
        <v>#VALUE!</v>
      </c>
      <c r="U11" s="221">
        <f t="shared" si="7"/>
        <v>1</v>
      </c>
      <c r="V11" s="229" t="str">
        <f>ifs($N11="",VLOOKUP($B11&amp;$E11,'VISIT DATA'!$A$2:$J100,7,FALSE), $N11="SWAB","OUTSA-RW",$N11="SWQU","OUTSA-SaQu", AND($L11="X",$M11="X",$N11="QUEST"),"OUT-UAQPre",$N11="QUEST","OUT-UAQ", $N11="Walk in","ColUATele")</f>
        <v>OUTUA-NWRW</v>
      </c>
      <c r="W11" s="24" t="str">
        <f t="shared" si="8"/>
        <v>OUTUA-NWRW : OUT UA New Redwood</v>
      </c>
      <c r="X11" s="222" t="str">
        <f t="shared" si="9"/>
        <v>OUTUA-NWRW : OUT UA New Redwood</v>
      </c>
      <c r="Y11" s="222" t="str">
        <f t="shared" si="10"/>
        <v>MATCH</v>
      </c>
      <c r="Z11" s="224" t="str">
        <f t="shared" si="11"/>
        <v> </v>
      </c>
      <c r="AA11" s="243"/>
    </row>
    <row r="12">
      <c r="A12" s="214" t="str">
        <f>IFS($B12=FALSE,"",$B12,VLOOKUP($B12,'PATIENT DATA (072721)'!A:C, 2, 0))</f>
        <v>ESTRADA, MARCO A</v>
      </c>
      <c r="B12" s="215">
        <v>17830.0</v>
      </c>
      <c r="C12" s="216" t="str">
        <f>IF(COUNTIF('PATIENT DATA (072721)'!A:A, B12)=0, "X","✓")</f>
        <v>✓</v>
      </c>
      <c r="D12" s="226">
        <f>IFS($B12=FALSE,"",$B12,VLOOKUP($B12,'PATIENT DATA (072721)'!A:C, 3, 0))</f>
        <v>25200</v>
      </c>
      <c r="E12" s="218">
        <v>44578.0</v>
      </c>
      <c r="F12" s="219">
        <f>ifs($B12="","",$B12, VLOOKUP($B12&amp;$E12, 'VISIT DATA'!A:O,3,0))</f>
        <v>0.34375</v>
      </c>
      <c r="G12" s="220" t="s">
        <v>6328</v>
      </c>
      <c r="H12" s="221" t="s">
        <v>13</v>
      </c>
      <c r="I12" s="222" t="str">
        <f>VLOOKUP($B12&amp;$E12,'VISIT DATA'!A:J, 9, FALSE)</f>
        <v>LOPEZ</v>
      </c>
      <c r="J12" s="223" t="str">
        <f>VLOOKUP(B12&amp;E12,'VISIT DATA'!A:N,10,FALSE)</f>
        <v>MOLINA MARKETPLACE TEXAS</v>
      </c>
      <c r="K12" s="224" t="s">
        <v>6242</v>
      </c>
      <c r="L12" s="224"/>
      <c r="M12" s="224"/>
      <c r="N12" s="225"/>
      <c r="O12" s="216" t="str">
        <f t="shared" si="1"/>
        <v>✓</v>
      </c>
      <c r="P12" s="226" t="str">
        <f t="shared" si="2"/>
        <v>#VALUE!</v>
      </c>
      <c r="Q12" s="227" t="str">
        <f t="shared" si="3"/>
        <v>X</v>
      </c>
      <c r="R12" s="228" t="str">
        <f t="shared" si="4"/>
        <v>#VALUE!</v>
      </c>
      <c r="S12" s="220" t="str">
        <f t="shared" si="5"/>
        <v>#VALUE!</v>
      </c>
      <c r="T12" s="220" t="str">
        <f t="shared" si="6"/>
        <v>#VALUE!</v>
      </c>
      <c r="U12" s="221">
        <f t="shared" si="7"/>
        <v>1</v>
      </c>
      <c r="V12" s="229" t="str">
        <f>ifs($N12="",VLOOKUP($B12&amp;$E12,'VISIT DATA'!$A$2:$J100,7,FALSE), $N12="SWAB","OUTSA-RW",$N12="SWQU","OUTSA-SaQu", AND($L12="X",$M12="X",$N12="QUEST"),"OUT-UAQPre",$N12="QUEST","OUT-UAQ", $N12="Walk in","ColUATele")</f>
        <v>OUTUA-NWRW</v>
      </c>
      <c r="W12" s="24" t="str">
        <f t="shared" si="8"/>
        <v>OUTUA-NWRW : OUT UA New Redwood</v>
      </c>
      <c r="X12" s="222" t="str">
        <f t="shared" si="9"/>
        <v>OUTUA-NWRW : OUT UA New Redwood</v>
      </c>
      <c r="Y12" s="222" t="str">
        <f t="shared" si="10"/>
        <v>MATCH</v>
      </c>
      <c r="Z12" s="224" t="str">
        <f t="shared" si="11"/>
        <v> </v>
      </c>
      <c r="AA12" s="243"/>
    </row>
    <row r="13">
      <c r="A13" s="214" t="str">
        <f>IFS($B13=FALSE,"",$B13,VLOOKUP($B13,'PATIENT DATA (072721)'!A:C, 2, 0))</f>
        <v>RIOS, ESPERANZA</v>
      </c>
      <c r="B13" s="215">
        <v>17840.0</v>
      </c>
      <c r="C13" s="216" t="str">
        <f>IF(COUNTIF('PATIENT DATA (072721)'!A:A, B13)=0, "X","✓")</f>
        <v>✓</v>
      </c>
      <c r="D13" s="226">
        <f>IFS($B13=FALSE,"",$B13,VLOOKUP($B13,'PATIENT DATA (072721)'!A:C, 3, 0))</f>
        <v>10590</v>
      </c>
      <c r="E13" s="218">
        <v>44578.0</v>
      </c>
      <c r="F13" s="219">
        <f>ifs($B13="","",$B13, VLOOKUP($B13&amp;$E13, 'VISIT DATA'!A:O,3,0))</f>
        <v>0.34375</v>
      </c>
      <c r="G13" s="220" t="s">
        <v>6323</v>
      </c>
      <c r="H13" s="221" t="s">
        <v>13</v>
      </c>
      <c r="I13" s="222" t="str">
        <f>VLOOKUP($B13&amp;$E13,'VISIT DATA'!A:J, 9, FALSE)</f>
        <v>LOPEZ</v>
      </c>
      <c r="J13" s="223" t="str">
        <f>VLOOKUP(B13&amp;E13,'VISIT DATA'!A:N,10,FALSE)</f>
        <v>MOLINA MEDICARE TEXAS</v>
      </c>
      <c r="K13" s="224" t="s">
        <v>6242</v>
      </c>
      <c r="L13" s="224"/>
      <c r="M13" s="224"/>
      <c r="N13" s="225"/>
      <c r="O13" s="216" t="str">
        <f t="shared" si="1"/>
        <v>✓</v>
      </c>
      <c r="P13" s="226" t="str">
        <f t="shared" si="2"/>
        <v>#VALUE!</v>
      </c>
      <c r="Q13" s="227" t="str">
        <f t="shared" si="3"/>
        <v>X</v>
      </c>
      <c r="R13" s="228" t="str">
        <f t="shared" si="4"/>
        <v>#VALUE!</v>
      </c>
      <c r="S13" s="220" t="str">
        <f t="shared" si="5"/>
        <v>#VALUE!</v>
      </c>
      <c r="T13" s="220" t="str">
        <f t="shared" si="6"/>
        <v>#VALUE!</v>
      </c>
      <c r="U13" s="221">
        <f t="shared" si="7"/>
        <v>1</v>
      </c>
      <c r="V13" s="229" t="str">
        <f>ifs($N13="",VLOOKUP($B13&amp;$E13,'VISIT DATA'!$A$2:$J100,7,FALSE), $N13="SWAB","OUTSA-RW",$N13="SWQU","OUTSA-SaQu", AND($L13="X",$M13="X",$N13="QUEST"),"OUT-UAQPre",$N13="QUEST","OUT-UAQ", $N13="Walk in","ColUATele")</f>
        <v>OUTUA-NWRW</v>
      </c>
      <c r="W13" s="24" t="str">
        <f t="shared" si="8"/>
        <v>OUTUA-NWRW : OUT UA New Redwood</v>
      </c>
      <c r="X13" s="222" t="str">
        <f t="shared" si="9"/>
        <v>OUTUA-NWRW : OUT UA New Redwood</v>
      </c>
      <c r="Y13" s="222" t="str">
        <f t="shared" si="10"/>
        <v>MATCH</v>
      </c>
      <c r="Z13" s="224" t="str">
        <f t="shared" si="11"/>
        <v> </v>
      </c>
      <c r="AA13" s="243"/>
    </row>
    <row r="14">
      <c r="A14" s="214" t="str">
        <f>IFS($B14=FALSE,"",$B14,VLOOKUP($B14,'PATIENT DATA (072721)'!A:C, 2, 0))</f>
        <v>LOPEZ, RICARDO D</v>
      </c>
      <c r="B14" s="215">
        <v>9569.0</v>
      </c>
      <c r="C14" s="216" t="str">
        <f>IF(COUNTIF('PATIENT DATA (072721)'!A:A, B14)=0, "X","✓")</f>
        <v>✓</v>
      </c>
      <c r="D14" s="226">
        <f>IFS($B14=FALSE,"",$B14,VLOOKUP($B14,'PATIENT DATA (072721)'!A:C, 3, 0))</f>
        <v>16181</v>
      </c>
      <c r="E14" s="218">
        <v>44578.0</v>
      </c>
      <c r="F14" s="219">
        <f>ifs($B14="","",$B14, VLOOKUP($B14&amp;$E14, 'VISIT DATA'!A:O,3,0))</f>
        <v>0.3645833333</v>
      </c>
      <c r="G14" s="220" t="s">
        <v>6328</v>
      </c>
      <c r="H14" s="221" t="s">
        <v>13</v>
      </c>
      <c r="I14" s="222" t="str">
        <f>VLOOKUP($B14&amp;$E14,'VISIT DATA'!A:J, 9, FALSE)</f>
        <v>LOPEZ</v>
      </c>
      <c r="J14" s="223" t="str">
        <f>VLOOKUP(B14&amp;E14,'VISIT DATA'!A:N,10,FALSE)</f>
        <v>WELLMED - UHC DUAL COMPLETE SNP</v>
      </c>
      <c r="K14" s="225"/>
      <c r="L14" s="224" t="s">
        <v>6242</v>
      </c>
      <c r="M14" s="224"/>
      <c r="N14" s="225"/>
      <c r="O14" s="216" t="str">
        <f t="shared" si="1"/>
        <v>✓</v>
      </c>
      <c r="P14" s="226" t="str">
        <f t="shared" si="2"/>
        <v>X</v>
      </c>
      <c r="Q14" s="227" t="str">
        <f t="shared" si="3"/>
        <v>#VALUE!</v>
      </c>
      <c r="R14" s="228" t="str">
        <f t="shared" si="4"/>
        <v>#VALUE!</v>
      </c>
      <c r="S14" s="220" t="str">
        <f t="shared" si="5"/>
        <v>#VALUE!</v>
      </c>
      <c r="T14" s="220" t="str">
        <f t="shared" si="6"/>
        <v>#VALUE!</v>
      </c>
      <c r="U14" s="221">
        <f t="shared" si="7"/>
        <v>1</v>
      </c>
      <c r="V14" s="229" t="str">
        <f>ifs($N14="",VLOOKUP($B14&amp;$E14,'VISIT DATA'!$A$2:$J100,7,FALSE), $N14="SWAB","OUTSA-RW",$N14="SWQU","OUTSA-SaQu", AND($L14="X",$M14="X",$N14="QUEST"),"OUT-UAQPre",$N14="QUEST","OUT-UAQ", $N14="Walk in","ColUATele")</f>
        <v>OUTUA-FURW</v>
      </c>
      <c r="W14" s="24" t="str">
        <f t="shared" si="8"/>
        <v>OUTUA-FURW : OUT UA FU Redwood</v>
      </c>
      <c r="X14" s="222" t="str">
        <f t="shared" si="9"/>
        <v>OUTUA-FURW : OUT UA FU Redwood</v>
      </c>
      <c r="Y14" s="222" t="str">
        <f t="shared" si="10"/>
        <v>MATCH</v>
      </c>
      <c r="Z14" s="224" t="str">
        <f t="shared" si="11"/>
        <v> </v>
      </c>
      <c r="AA14" s="244"/>
    </row>
    <row r="15">
      <c r="A15" s="214" t="str">
        <f>IFS($B15=FALSE,"",$B15,VLOOKUP($B15,'PATIENT DATA (072721)'!A:C, 2, 0))</f>
        <v>MULHOLLAND, DEBORAH S</v>
      </c>
      <c r="B15" s="215">
        <v>17844.0</v>
      </c>
      <c r="C15" s="216" t="str">
        <f>IF(COUNTIF('PATIENT DATA (072721)'!A:A, B15)=0, "X","✓")</f>
        <v>✓</v>
      </c>
      <c r="D15" s="226">
        <f>IFS($B15=FALSE,"",$B15,VLOOKUP($B15,'PATIENT DATA (072721)'!A:C, 3, 0))</f>
        <v>30422</v>
      </c>
      <c r="E15" s="218">
        <v>44578.0</v>
      </c>
      <c r="F15" s="219">
        <f>ifs($B15="","",$B15, VLOOKUP($B15&amp;$E15, 'VISIT DATA'!A:O,3,0))</f>
        <v>0.3645833333</v>
      </c>
      <c r="G15" s="220" t="s">
        <v>6323</v>
      </c>
      <c r="H15" s="221" t="s">
        <v>13</v>
      </c>
      <c r="I15" s="222" t="str">
        <f>VLOOKUP($B15&amp;$E15,'VISIT DATA'!A:J, 9, FALSE)</f>
        <v>LOPEZ</v>
      </c>
      <c r="J15" s="223" t="str">
        <f>VLOOKUP(B15&amp;E15,'VISIT DATA'!A:N,10,FALSE)</f>
        <v>AMERIGROUP</v>
      </c>
      <c r="K15" s="224" t="s">
        <v>6242</v>
      </c>
      <c r="L15" s="224"/>
      <c r="M15" s="224"/>
      <c r="N15" s="225"/>
      <c r="O15" s="216" t="str">
        <f t="shared" si="1"/>
        <v>✓</v>
      </c>
      <c r="P15" s="226" t="str">
        <f t="shared" si="2"/>
        <v>#VALUE!</v>
      </c>
      <c r="Q15" s="227" t="str">
        <f t="shared" si="3"/>
        <v>#VALUE!</v>
      </c>
      <c r="R15" s="228" t="str">
        <f t="shared" si="4"/>
        <v>#VALUE!</v>
      </c>
      <c r="S15" s="220" t="str">
        <f t="shared" si="5"/>
        <v>#VALUE!</v>
      </c>
      <c r="T15" s="220" t="str">
        <f t="shared" si="6"/>
        <v>#VALUE!</v>
      </c>
      <c r="U15" s="221">
        <f t="shared" si="7"/>
        <v>0</v>
      </c>
      <c r="V15" s="229" t="str">
        <f>ifs($N15="",VLOOKUP($B15&amp;$E15,'VISIT DATA'!$A$2:$J100,7,FALSE), $N15="SWAB","OUTSA-RW",$N15="SWQU","OUTSA-SaQu", AND($L15="X",$M15="X",$N15="QUEST"),"OUT-UAQPre",$N15="QUEST","OUT-UAQ", $N15="Walk in","ColUATele")</f>
        <v>UA-NWPT</v>
      </c>
      <c r="W15" s="24" t="str">
        <f t="shared" si="8"/>
        <v>UA-NWPT : UA New Patient</v>
      </c>
      <c r="X15" s="222" t="str">
        <f t="shared" si="9"/>
        <v>UA-NWPT : UA New Patient</v>
      </c>
      <c r="Y15" s="222" t="str">
        <f t="shared" si="10"/>
        <v>MATCH</v>
      </c>
      <c r="Z15" s="224" t="str">
        <f t="shared" si="11"/>
        <v> </v>
      </c>
      <c r="AA15" s="244"/>
    </row>
    <row r="16">
      <c r="A16" s="214" t="str">
        <f>IFS($B16=FALSE,"",$B16,VLOOKUP($B16,'PATIENT DATA (072721)'!A:C, 2, 0))</f>
        <v>MANZANO, JAVIER</v>
      </c>
      <c r="B16" s="215">
        <v>14019.0</v>
      </c>
      <c r="C16" s="216" t="str">
        <f>IF(COUNTIF('PATIENT DATA (072721)'!A:A, B16)=0, "X","✓")</f>
        <v>✓</v>
      </c>
      <c r="D16" s="226">
        <f>IFS($B16=FALSE,"",$B16,VLOOKUP($B16,'PATIENT DATA (072721)'!A:C, 3, 0))</f>
        <v>23292</v>
      </c>
      <c r="E16" s="218">
        <v>44578.0</v>
      </c>
      <c r="F16" s="219">
        <f>ifs($B16="","",$B16, VLOOKUP($B16&amp;$E16, 'VISIT DATA'!A:O,3,0))</f>
        <v>0.375</v>
      </c>
      <c r="G16" s="220" t="s">
        <v>6328</v>
      </c>
      <c r="H16" s="221" t="s">
        <v>15</v>
      </c>
      <c r="I16" s="222" t="str">
        <f>VLOOKUP($B16&amp;$E16,'VISIT DATA'!A:J, 9, FALSE)</f>
        <v>MARTINEZ</v>
      </c>
      <c r="J16" s="223" t="str">
        <f>VLOOKUP(B16&amp;E16,'VISIT DATA'!A:N,10,FALSE)</f>
        <v>WPS VA - COMMUNITY CARE</v>
      </c>
      <c r="K16" s="224"/>
      <c r="L16" s="224" t="s">
        <v>6242</v>
      </c>
      <c r="M16" s="224"/>
      <c r="N16" s="225"/>
      <c r="O16" s="216" t="str">
        <f t="shared" si="1"/>
        <v>✓</v>
      </c>
      <c r="P16" s="226" t="str">
        <f t="shared" si="2"/>
        <v>#VALUE!</v>
      </c>
      <c r="Q16" s="227" t="str">
        <f t="shared" si="3"/>
        <v>#VALUE!</v>
      </c>
      <c r="R16" s="228" t="str">
        <f t="shared" si="4"/>
        <v>#VALUE!</v>
      </c>
      <c r="S16" s="220" t="str">
        <f t="shared" si="5"/>
        <v>#VALUE!</v>
      </c>
      <c r="T16" s="220" t="str">
        <f t="shared" si="6"/>
        <v>#VALUE!</v>
      </c>
      <c r="U16" s="221">
        <f t="shared" si="7"/>
        <v>0</v>
      </c>
      <c r="V16" s="229" t="str">
        <f>ifs($N16="",VLOOKUP($B16&amp;$E16,'VISIT DATA'!$A$2:$J100,7,FALSE), $N16="SWAB","OUTSA-RW",$N16="SWQU","OUTSA-SaQu", AND($L16="X",$M16="X",$N16="QUEST"),"OUT-UAQPre",$N16="QUEST","OUT-UAQ", $N16="Walk in","ColUATele")</f>
        <v>UA</v>
      </c>
      <c r="W16" s="24" t="str">
        <f t="shared" si="8"/>
        <v>UA : Urine Analysis In House</v>
      </c>
      <c r="X16" s="222" t="str">
        <f t="shared" si="9"/>
        <v>UA : Urine Analysis In House</v>
      </c>
      <c r="Y16" s="222" t="str">
        <f t="shared" si="10"/>
        <v>MATCH</v>
      </c>
      <c r="Z16" s="224" t="str">
        <f t="shared" si="11"/>
        <v> </v>
      </c>
      <c r="AA16" s="244"/>
    </row>
    <row r="17">
      <c r="A17" s="214" t="str">
        <f>IFS($B17=FALSE,"",$B17,VLOOKUP($B17,'PATIENT DATA (072721)'!A:C, 2, 0))</f>
        <v>PALACIOS, ROMAN</v>
      </c>
      <c r="B17" s="215">
        <v>9249.0</v>
      </c>
      <c r="C17" s="216" t="str">
        <f>IF(COUNTIF('PATIENT DATA (072721)'!A:A, B17)=0, "X","✓")</f>
        <v>✓</v>
      </c>
      <c r="D17" s="226">
        <f>IFS($B17=FALSE,"",$B17,VLOOKUP($B17,'PATIENT DATA (072721)'!A:C, 3, 0))</f>
        <v>17102</v>
      </c>
      <c r="E17" s="218">
        <v>44578.0</v>
      </c>
      <c r="F17" s="219">
        <f>ifs($B17="","",$B17, VLOOKUP($B17&amp;$E17, 'VISIT DATA'!A:O,3,0))</f>
        <v>0.375</v>
      </c>
      <c r="G17" s="220" t="s">
        <v>6328</v>
      </c>
      <c r="H17" s="221" t="s">
        <v>15</v>
      </c>
      <c r="I17" s="222" t="str">
        <f>VLOOKUP($B17&amp;$E17,'VISIT DATA'!A:J, 9, FALSE)</f>
        <v>MARTINEZ</v>
      </c>
      <c r="J17" s="223" t="str">
        <f>VLOOKUP(B17&amp;E17,'VISIT DATA'!A:N,10,FALSE)</f>
        <v>WELLMED - UHC DUAL COMPLETE SNP</v>
      </c>
      <c r="K17" s="225"/>
      <c r="L17" s="224" t="s">
        <v>6242</v>
      </c>
      <c r="M17" s="224" t="s">
        <v>6242</v>
      </c>
      <c r="N17" s="224"/>
      <c r="O17" s="216" t="str">
        <f t="shared" si="1"/>
        <v>✓</v>
      </c>
      <c r="P17" s="226" t="str">
        <f t="shared" si="2"/>
        <v>X</v>
      </c>
      <c r="Q17" s="227" t="str">
        <f t="shared" si="3"/>
        <v>#VALUE!</v>
      </c>
      <c r="R17" s="228" t="str">
        <f t="shared" si="4"/>
        <v>#VALUE!</v>
      </c>
      <c r="S17" s="220" t="str">
        <f t="shared" si="5"/>
        <v>#VALUE!</v>
      </c>
      <c r="T17" s="220" t="str">
        <f t="shared" si="6"/>
        <v>#VALUE!</v>
      </c>
      <c r="U17" s="221">
        <f t="shared" si="7"/>
        <v>1</v>
      </c>
      <c r="V17" s="229" t="str">
        <f>ifs($N17="",VLOOKUP($B17&amp;$E17,'VISIT DATA'!$A$2:$J100,7,FALSE), $N17="SWAB","OUTSA-RW",$N17="SWQU","OUTSA-SaQu", AND($L17="X",$M17="X",$N17="QUEST"),"OUT-UAQPre",$N17="QUEST","OUT-UAQ", $N17="Walk in","ColUATele")</f>
        <v>OUTUA-PrRW</v>
      </c>
      <c r="W17" s="24" t="str">
        <f t="shared" si="8"/>
        <v>OUTUA-PrRW : OUT UA Prelimin Redwood</v>
      </c>
      <c r="X17" s="222" t="str">
        <f t="shared" si="9"/>
        <v>OUTUA-PrRW : OUT UA Prelimin Redwood</v>
      </c>
      <c r="Y17" s="222" t="str">
        <f t="shared" si="10"/>
        <v>MATCH</v>
      </c>
      <c r="Z17" s="224" t="str">
        <f t="shared" si="11"/>
        <v> </v>
      </c>
      <c r="AA17" s="245"/>
    </row>
    <row r="18">
      <c r="A18" s="214" t="str">
        <f>IFS($B18=FALSE,"",$B18,VLOOKUP($B18,'PATIENT DATA (072721)'!A:C, 2, 0))</f>
        <v>TENORIO, GUSTAVO</v>
      </c>
      <c r="B18" s="215">
        <v>10604.0</v>
      </c>
      <c r="C18" s="216" t="str">
        <f>IF(COUNTIF('PATIENT DATA (072721)'!A:A, B18)=0, "X","✓")</f>
        <v>✓</v>
      </c>
      <c r="D18" s="226">
        <f>IFS($B18=FALSE,"",$B18,VLOOKUP($B18,'PATIENT DATA (072721)'!A:C, 3, 0))</f>
        <v>30878</v>
      </c>
      <c r="E18" s="218">
        <v>44578.0</v>
      </c>
      <c r="F18" s="219">
        <f>ifs($B18="","",$B18, VLOOKUP($B18&amp;$E18, 'VISIT DATA'!A:O,3,0))</f>
        <v>0.40625</v>
      </c>
      <c r="G18" s="220" t="s">
        <v>6328</v>
      </c>
      <c r="H18" s="221" t="s">
        <v>15</v>
      </c>
      <c r="I18" s="222" t="str">
        <f>VLOOKUP($B18&amp;$E18,'VISIT DATA'!A:J, 9, FALSE)</f>
        <v>MARTINEZ</v>
      </c>
      <c r="J18" s="223" t="str">
        <f>VLOOKUP(B18&amp;E18,'VISIT DATA'!A:N,10,FALSE)</f>
        <v>WPS VA - COMMUNITY CARE</v>
      </c>
      <c r="K18" s="224"/>
      <c r="L18" s="224" t="s">
        <v>6242</v>
      </c>
      <c r="M18" s="224" t="s">
        <v>6242</v>
      </c>
      <c r="N18" s="224"/>
      <c r="O18" s="216" t="str">
        <f t="shared" si="1"/>
        <v>✓</v>
      </c>
      <c r="P18" s="226" t="str">
        <f t="shared" si="2"/>
        <v>#VALUE!</v>
      </c>
      <c r="Q18" s="227" t="str">
        <f t="shared" si="3"/>
        <v>#VALUE!</v>
      </c>
      <c r="R18" s="228" t="str">
        <f t="shared" si="4"/>
        <v>#VALUE!</v>
      </c>
      <c r="S18" s="220" t="str">
        <f t="shared" si="5"/>
        <v>#VALUE!</v>
      </c>
      <c r="T18" s="220" t="str">
        <f t="shared" si="6"/>
        <v>#VALUE!</v>
      </c>
      <c r="U18" s="221">
        <f t="shared" si="7"/>
        <v>0</v>
      </c>
      <c r="V18" s="229" t="str">
        <f>ifs($N18="",VLOOKUP($B18&amp;$E18,'VISIT DATA'!$A$2:$J100,7,FALSE), $N18="SWAB","OUTSA-RW",$N18="SWQU","OUTSA-SaQu", AND($L18="X",$M18="X",$N18="QUEST"),"OUT-UAQPre",$N18="QUEST","OUT-UAQ", $N18="Walk in","ColUATele")</f>
        <v>UA-Prelim</v>
      </c>
      <c r="W18" s="24" t="str">
        <f t="shared" si="8"/>
        <v>UA-Prelim : Preliminary UA Test</v>
      </c>
      <c r="X18" s="222" t="str">
        <f t="shared" si="9"/>
        <v>UA-Prelim : Preliminary UA Test</v>
      </c>
      <c r="Y18" s="222" t="str">
        <f t="shared" si="10"/>
        <v>MATCH</v>
      </c>
      <c r="Z18" s="224" t="str">
        <f t="shared" si="11"/>
        <v> </v>
      </c>
      <c r="AA18" s="244"/>
    </row>
    <row r="19">
      <c r="A19" s="214" t="str">
        <f>IFS($B19=FALSE,"",$B19,VLOOKUP($B19,'PATIENT DATA (072721)'!A:C, 2, 0))</f>
        <v>RAMOS, SILVIA M</v>
      </c>
      <c r="B19" s="215">
        <v>14021.0</v>
      </c>
      <c r="C19" s="216" t="str">
        <f>IF(COUNTIF('PATIENT DATA (072721)'!A:A, B19)=0, "X","✓")</f>
        <v>✓</v>
      </c>
      <c r="D19" s="226">
        <f>IFS($B19=FALSE,"",$B19,VLOOKUP($B19,'PATIENT DATA (072721)'!A:C, 3, 0))</f>
        <v>21451</v>
      </c>
      <c r="E19" s="218">
        <v>44578.0</v>
      </c>
      <c r="F19" s="219">
        <f>ifs($B19="","",$B19, VLOOKUP($B19&amp;$E19, 'VISIT DATA'!A:O,3,0))</f>
        <v>0.375</v>
      </c>
      <c r="G19" s="220" t="s">
        <v>6323</v>
      </c>
      <c r="H19" s="221" t="s">
        <v>14</v>
      </c>
      <c r="I19" s="222" t="str">
        <f>VLOOKUP($B19&amp;$E19,'VISIT DATA'!A:J, 9, FALSE)</f>
        <v>TORRES</v>
      </c>
      <c r="J19" s="223" t="str">
        <f>VLOOKUP(B19&amp;E19,'VISIT DATA'!A:N,10,FALSE)</f>
        <v>BCBS PPO NEW MEXICO</v>
      </c>
      <c r="K19" s="225"/>
      <c r="L19" s="224" t="s">
        <v>6242</v>
      </c>
      <c r="M19" s="224"/>
      <c r="N19" s="225"/>
      <c r="O19" s="216" t="str">
        <f t="shared" si="1"/>
        <v>✓</v>
      </c>
      <c r="P19" s="226" t="str">
        <f t="shared" si="2"/>
        <v>#VALUE!</v>
      </c>
      <c r="Q19" s="227" t="str">
        <f t="shared" si="3"/>
        <v>#VALUE!</v>
      </c>
      <c r="R19" s="228" t="str">
        <f t="shared" si="4"/>
        <v>#VALUE!</v>
      </c>
      <c r="S19" s="220" t="str">
        <f t="shared" si="5"/>
        <v>#VALUE!</v>
      </c>
      <c r="T19" s="220" t="str">
        <f t="shared" si="6"/>
        <v>#VALUE!</v>
      </c>
      <c r="U19" s="221">
        <f t="shared" si="7"/>
        <v>0</v>
      </c>
      <c r="V19" s="229" t="str">
        <f>ifs($N19="",VLOOKUP($B19&amp;$E19,'VISIT DATA'!$A$2:$J100,7,FALSE), $N19="SWAB","OUTSA-RW",$N19="SWQU","OUTSA-SaQu", AND($L19="X",$M19="X",$N19="QUEST"),"OUT-UAQPre",$N19="QUEST","OUT-UAQ", $N19="Walk in","ColUATele")</f>
        <v>UA</v>
      </c>
      <c r="W19" s="24" t="str">
        <f t="shared" si="8"/>
        <v>UA : Urine Analysis In House</v>
      </c>
      <c r="X19" s="222" t="str">
        <f t="shared" si="9"/>
        <v>UA : Urine Analysis In House</v>
      </c>
      <c r="Y19" s="222" t="str">
        <f t="shared" si="10"/>
        <v>MATCH</v>
      </c>
      <c r="Z19" s="224" t="str">
        <f t="shared" si="11"/>
        <v> </v>
      </c>
      <c r="AA19" s="244"/>
    </row>
    <row r="20">
      <c r="A20" s="214" t="str">
        <f>IFS($B20=FALSE,"",$B20,VLOOKUP($B20,'PATIENT DATA (072721)'!A:C, 2, 0))</f>
        <v>SERNA, ROBERTO</v>
      </c>
      <c r="B20" s="215">
        <v>10626.0</v>
      </c>
      <c r="C20" s="216" t="str">
        <f>IF(COUNTIF('PATIENT DATA (072721)'!A:A, B20)=0, "X","✓")</f>
        <v>✓</v>
      </c>
      <c r="D20" s="226">
        <f>IFS($B20=FALSE,"",$B20,VLOOKUP($B20,'PATIENT DATA (072721)'!A:C, 3, 0))</f>
        <v>18426</v>
      </c>
      <c r="E20" s="218">
        <v>44578.0</v>
      </c>
      <c r="F20" s="219">
        <f>ifs($B20="","",$B20, VLOOKUP($B20&amp;$E20, 'VISIT DATA'!A:O,3,0))</f>
        <v>0.375</v>
      </c>
      <c r="G20" s="220" t="s">
        <v>6328</v>
      </c>
      <c r="H20" s="221" t="s">
        <v>14</v>
      </c>
      <c r="I20" s="222" t="str">
        <f>VLOOKUP($B20&amp;$E20,'VISIT DATA'!A:J, 9, FALSE)</f>
        <v>TORRES</v>
      </c>
      <c r="J20" s="223" t="str">
        <f>VLOOKUP(B20&amp;E20,'VISIT DATA'!A:N,10,FALSE)</f>
        <v>WPS VA - COMMUNITY CARE</v>
      </c>
      <c r="K20" s="225"/>
      <c r="L20" s="224" t="s">
        <v>6242</v>
      </c>
      <c r="M20" s="224" t="s">
        <v>6242</v>
      </c>
      <c r="N20" s="224"/>
      <c r="O20" s="216" t="str">
        <f t="shared" si="1"/>
        <v>✓</v>
      </c>
      <c r="P20" s="226" t="str">
        <f t="shared" si="2"/>
        <v>#VALUE!</v>
      </c>
      <c r="Q20" s="227" t="str">
        <f t="shared" si="3"/>
        <v>#VALUE!</v>
      </c>
      <c r="R20" s="228" t="str">
        <f t="shared" si="4"/>
        <v>#VALUE!</v>
      </c>
      <c r="S20" s="220" t="str">
        <f t="shared" si="5"/>
        <v>#VALUE!</v>
      </c>
      <c r="T20" s="220" t="str">
        <f t="shared" si="6"/>
        <v>#VALUE!</v>
      </c>
      <c r="U20" s="221">
        <f t="shared" si="7"/>
        <v>0</v>
      </c>
      <c r="V20" s="229" t="str">
        <f>ifs($N20="",VLOOKUP($B20&amp;$E20,'VISIT DATA'!$A$2:$J100,7,FALSE), $N20="SWAB","OUTSA-RW",$N20="SWQU","OUTSA-SaQu", AND($L20="X",$M20="X",$N20="QUEST"),"OUT-UAQPre",$N20="QUEST","OUT-UAQ", $N20="Walk in","ColUATele")</f>
        <v>UA-Prelim</v>
      </c>
      <c r="W20" s="24" t="str">
        <f t="shared" si="8"/>
        <v>UA-Prelim : Preliminary UA Test</v>
      </c>
      <c r="X20" s="222" t="str">
        <f t="shared" si="9"/>
        <v>UA-Prelim : Preliminary UA Test</v>
      </c>
      <c r="Y20" s="222" t="str">
        <f t="shared" si="10"/>
        <v>MATCH</v>
      </c>
      <c r="Z20" s="224" t="str">
        <f t="shared" si="11"/>
        <v> </v>
      </c>
      <c r="AA20" s="244"/>
    </row>
    <row r="21">
      <c r="A21" s="214" t="str">
        <f>IFS($B21=FALSE,"",$B21,VLOOKUP($B21,'PATIENT DATA (072721)'!A:C, 2, 0))</f>
        <v>CASTRO, DANIEL</v>
      </c>
      <c r="B21" s="215">
        <v>17867.0</v>
      </c>
      <c r="C21" s="216" t="str">
        <f>IF(COUNTIF('PATIENT DATA (072721)'!A:A, B21)=0, "X","✓")</f>
        <v>✓</v>
      </c>
      <c r="D21" s="226">
        <f>IFS($B21=FALSE,"",$B21,VLOOKUP($B21,'PATIENT DATA (072721)'!A:C, 3, 0))</f>
        <v>20298</v>
      </c>
      <c r="E21" s="218">
        <v>44578.0</v>
      </c>
      <c r="F21" s="219">
        <f>ifs($B21="","",$B21, VLOOKUP($B21&amp;$E21, 'VISIT DATA'!A:O,3,0))</f>
        <v>0.3958333333</v>
      </c>
      <c r="G21" s="220" t="s">
        <v>6328</v>
      </c>
      <c r="H21" s="221" t="s">
        <v>13</v>
      </c>
      <c r="I21" s="222" t="str">
        <f>VLOOKUP($B21&amp;$E21,'VISIT DATA'!A:J, 9, FALSE)</f>
        <v>LOPEZ</v>
      </c>
      <c r="J21" s="223" t="str">
        <f>VLOOKUP(B21&amp;E21,'VISIT DATA'!A:N,10,FALSE)</f>
        <v>BCBS FEDERAL</v>
      </c>
      <c r="K21" s="224" t="s">
        <v>6242</v>
      </c>
      <c r="L21" s="224"/>
      <c r="M21" s="224"/>
      <c r="N21" s="225"/>
      <c r="O21" s="216" t="str">
        <f t="shared" si="1"/>
        <v>✓</v>
      </c>
      <c r="P21" s="226" t="str">
        <f t="shared" si="2"/>
        <v>#VALUE!</v>
      </c>
      <c r="Q21" s="227" t="str">
        <f t="shared" si="3"/>
        <v>#VALUE!</v>
      </c>
      <c r="R21" s="228" t="str">
        <f t="shared" si="4"/>
        <v>#VALUE!</v>
      </c>
      <c r="S21" s="220" t="str">
        <f t="shared" si="5"/>
        <v>#VALUE!</v>
      </c>
      <c r="T21" s="220" t="str">
        <f t="shared" si="6"/>
        <v>#VALUE!</v>
      </c>
      <c r="U21" s="221">
        <f t="shared" si="7"/>
        <v>0</v>
      </c>
      <c r="V21" s="229" t="str">
        <f>ifs($N21="",VLOOKUP($B21&amp;$E21,'VISIT DATA'!$A$2:$J100,7,FALSE), $N21="SWAB","OUTSA-RW",$N21="SWQU","OUTSA-SaQu", AND($L21="X",$M21="X",$N21="QUEST"),"OUT-UAQPre",$N21="QUEST","OUT-UAQ", $N21="Walk in","ColUATele")</f>
        <v>UA-NWPT</v>
      </c>
      <c r="W21" s="24" t="str">
        <f t="shared" si="8"/>
        <v>UA-NWPT : UA New Patient</v>
      </c>
      <c r="X21" s="222" t="str">
        <f t="shared" si="9"/>
        <v>UA-NWPT : UA New Patient</v>
      </c>
      <c r="Y21" s="222" t="str">
        <f t="shared" si="10"/>
        <v>MATCH</v>
      </c>
      <c r="Z21" s="224" t="str">
        <f t="shared" si="11"/>
        <v> </v>
      </c>
      <c r="AA21" s="244"/>
    </row>
    <row r="22">
      <c r="A22" s="214" t="str">
        <f>IFS($B22=FALSE,"",$B22,VLOOKUP($B22,'PATIENT DATA (072721)'!A:C, 2, 0))</f>
        <v>PACHECO, JOSE A</v>
      </c>
      <c r="B22" s="215">
        <v>17415.0</v>
      </c>
      <c r="C22" s="216" t="str">
        <f>IF(COUNTIF('PATIENT DATA (072721)'!A:A, B22)=0, "X","✓")</f>
        <v>✓</v>
      </c>
      <c r="D22" s="226">
        <f>IFS($B22=FALSE,"",$B22,VLOOKUP($B22,'PATIENT DATA (072721)'!A:C, 3, 0))</f>
        <v>27400</v>
      </c>
      <c r="E22" s="218">
        <v>44578.0</v>
      </c>
      <c r="F22" s="219">
        <f>ifs($B22="","",$B22, VLOOKUP($B22&amp;$E22, 'VISIT DATA'!A:O,3,0))</f>
        <v>0.4166666667</v>
      </c>
      <c r="G22" s="220" t="s">
        <v>6328</v>
      </c>
      <c r="H22" s="221" t="s">
        <v>13</v>
      </c>
      <c r="I22" s="222" t="str">
        <f>VLOOKUP($B22&amp;$E22,'VISIT DATA'!A:J, 9, FALSE)</f>
        <v>LOPEZ</v>
      </c>
      <c r="J22" s="223" t="str">
        <f>VLOOKUP(B22&amp;E22,'VISIT DATA'!A:N,10,FALSE)</f>
        <v>WPS VA - COMMUNITY CARE</v>
      </c>
      <c r="K22" s="224" t="s">
        <v>6242</v>
      </c>
      <c r="L22" s="224"/>
      <c r="M22" s="224"/>
      <c r="N22" s="225"/>
      <c r="O22" s="216" t="str">
        <f t="shared" si="1"/>
        <v>✓</v>
      </c>
      <c r="P22" s="226" t="str">
        <f t="shared" si="2"/>
        <v>#VALUE!</v>
      </c>
      <c r="Q22" s="227" t="str">
        <f t="shared" si="3"/>
        <v>#VALUE!</v>
      </c>
      <c r="R22" s="228" t="str">
        <f t="shared" si="4"/>
        <v>#VALUE!</v>
      </c>
      <c r="S22" s="220" t="str">
        <f t="shared" si="5"/>
        <v>#VALUE!</v>
      </c>
      <c r="T22" s="220" t="str">
        <f t="shared" si="6"/>
        <v>#VALUE!</v>
      </c>
      <c r="U22" s="221">
        <f t="shared" si="7"/>
        <v>0</v>
      </c>
      <c r="V22" s="229" t="str">
        <f>ifs($N22="",VLOOKUP($B22&amp;$E22,'VISIT DATA'!$A$2:$J100,7,FALSE), $N22="SWAB","OUTSA-RW",$N22="SWQU","OUTSA-SaQu", AND($L22="X",$M22="X",$N22="QUEST"),"OUT-UAQPre",$N22="QUEST","OUT-UAQ", $N22="Walk in","ColUATele")</f>
        <v>UA-NWPT</v>
      </c>
      <c r="W22" s="24" t="str">
        <f t="shared" si="8"/>
        <v>UA-NWPT : UA New Patient</v>
      </c>
      <c r="X22" s="222" t="str">
        <f t="shared" si="9"/>
        <v>UA-NWPT : UA New Patient</v>
      </c>
      <c r="Y22" s="222" t="str">
        <f t="shared" si="10"/>
        <v>MATCH</v>
      </c>
      <c r="Z22" s="224" t="str">
        <f t="shared" si="11"/>
        <v> </v>
      </c>
      <c r="AA22" s="244"/>
    </row>
    <row r="23">
      <c r="A23" s="214" t="str">
        <f>IFS($B23=FALSE,"",$B23,VLOOKUP($B23,'PATIENT DATA (072721)'!A:C, 2, 0))</f>
        <v>RAMIREZ, CECILIA</v>
      </c>
      <c r="B23" s="215">
        <v>16893.0</v>
      </c>
      <c r="C23" s="216" t="str">
        <f>IF(COUNTIF('PATIENT DATA (072721)'!A:A, B23)=0, "X","✓")</f>
        <v>✓</v>
      </c>
      <c r="D23" s="226">
        <f>IFS($B23=FALSE,"",$B23,VLOOKUP($B23,'PATIENT DATA (072721)'!A:C, 3, 0))</f>
        <v>21530</v>
      </c>
      <c r="E23" s="218">
        <v>44578.0</v>
      </c>
      <c r="F23" s="219">
        <f>ifs($B23="","",$B23, VLOOKUP($B23&amp;$E23, 'VISIT DATA'!A:O,3,0))</f>
        <v>0.4166666667</v>
      </c>
      <c r="G23" s="220" t="s">
        <v>6323</v>
      </c>
      <c r="H23" s="221" t="s">
        <v>12</v>
      </c>
      <c r="I23" s="222" t="str">
        <f>VLOOKUP($B23&amp;$E23,'VISIT DATA'!A:J, 9, FALSE)</f>
        <v>THOMAS</v>
      </c>
      <c r="J23" s="223" t="str">
        <f>VLOOKUP(B23&amp;E23,'VISIT DATA'!A:N,10,FALSE)</f>
        <v>WELLMED - UHC DUAL COMPLETE SNP</v>
      </c>
      <c r="K23" s="225"/>
      <c r="L23" s="224" t="s">
        <v>6242</v>
      </c>
      <c r="M23" s="224"/>
      <c r="N23" s="224"/>
      <c r="O23" s="216" t="str">
        <f t="shared" si="1"/>
        <v>✓</v>
      </c>
      <c r="P23" s="226" t="str">
        <f t="shared" si="2"/>
        <v>X</v>
      </c>
      <c r="Q23" s="227" t="str">
        <f t="shared" si="3"/>
        <v>#VALUE!</v>
      </c>
      <c r="R23" s="228" t="str">
        <f t="shared" si="4"/>
        <v>#VALUE!</v>
      </c>
      <c r="S23" s="220" t="str">
        <f t="shared" si="5"/>
        <v>#VALUE!</v>
      </c>
      <c r="T23" s="220" t="str">
        <f t="shared" si="6"/>
        <v>#VALUE!</v>
      </c>
      <c r="U23" s="221">
        <f t="shared" si="7"/>
        <v>1</v>
      </c>
      <c r="V23" s="229" t="str">
        <f>ifs($N23="",VLOOKUP($B23&amp;$E23,'VISIT DATA'!$A$2:$J100,7,FALSE), $N23="SWAB","OUTSA-RW",$N23="SWQU","OUTSA-SaQu", AND($L23="X",$M23="X",$N23="QUEST"),"OUT-UAQPre",$N23="QUEST","OUT-UAQ", $N23="Walk in","ColUATele")</f>
        <v>OUTUA-FURW</v>
      </c>
      <c r="W23" s="24" t="str">
        <f t="shared" si="8"/>
        <v>OUTUA-FURW : OUT UA FU Redwood</v>
      </c>
      <c r="X23" s="222" t="str">
        <f t="shared" si="9"/>
        <v>OUTUA-FURW : OUT UA FU Redwood</v>
      </c>
      <c r="Y23" s="222" t="str">
        <f t="shared" si="10"/>
        <v>MATCH</v>
      </c>
      <c r="Z23" s="224" t="str">
        <f t="shared" si="11"/>
        <v> </v>
      </c>
      <c r="AA23" s="245"/>
    </row>
    <row r="24">
      <c r="A24" s="214" t="str">
        <f>IFS($B24=FALSE,"",$B24,VLOOKUP($B24,'PATIENT DATA (072721)'!A:C, 2, 0))</f>
        <v>ORTIZ, CASSIE</v>
      </c>
      <c r="B24" s="215">
        <v>17647.0</v>
      </c>
      <c r="C24" s="216" t="str">
        <f>IF(COUNTIF('PATIENT DATA (072721)'!A:A, B24)=0, "X","✓")</f>
        <v>✓</v>
      </c>
      <c r="D24" s="226">
        <f>IFS($B24=FALSE,"",$B24,VLOOKUP($B24,'PATIENT DATA (072721)'!A:C, 3, 0))</f>
        <v>27610</v>
      </c>
      <c r="E24" s="218">
        <v>44578.0</v>
      </c>
      <c r="F24" s="219">
        <f>ifs($B24="","",$B24, VLOOKUP($B24&amp;$E24, 'VISIT DATA'!A:O,3,0))</f>
        <v>0.4375</v>
      </c>
      <c r="G24" s="220" t="s">
        <v>6323</v>
      </c>
      <c r="H24" s="221" t="s">
        <v>12</v>
      </c>
      <c r="I24" s="222" t="str">
        <f>VLOOKUP($B24&amp;$E24,'VISIT DATA'!A:J, 9, FALSE)</f>
        <v>THOMAS</v>
      </c>
      <c r="J24" s="223" t="str">
        <f>VLOOKUP(B24&amp;E24,'VISIT DATA'!A:N,10,FALSE)</f>
        <v>WELLMED - HUMANA</v>
      </c>
      <c r="K24" s="225"/>
      <c r="L24" s="224" t="s">
        <v>6242</v>
      </c>
      <c r="M24" s="224" t="s">
        <v>6242</v>
      </c>
      <c r="N24" s="224"/>
      <c r="O24" s="216" t="str">
        <f t="shared" si="1"/>
        <v>✓</v>
      </c>
      <c r="P24" s="226" t="str">
        <f t="shared" si="2"/>
        <v>X</v>
      </c>
      <c r="Q24" s="227" t="str">
        <f t="shared" si="3"/>
        <v>#VALUE!</v>
      </c>
      <c r="R24" s="228" t="str">
        <f t="shared" si="4"/>
        <v>#VALUE!</v>
      </c>
      <c r="S24" s="220" t="str">
        <f t="shared" si="5"/>
        <v>#VALUE!</v>
      </c>
      <c r="T24" s="220" t="str">
        <f t="shared" si="6"/>
        <v>#VALUE!</v>
      </c>
      <c r="U24" s="221">
        <f t="shared" si="7"/>
        <v>1</v>
      </c>
      <c r="V24" s="229" t="str">
        <f>ifs($N24="",VLOOKUP($B24&amp;$E24,'VISIT DATA'!$A$2:$J100,7,FALSE), $N24="SWAB","OUTSA-RW",$N24="SWQU","OUTSA-SaQu", AND($L24="X",$M24="X",$N24="QUEST"),"OUT-UAQPre",$N24="QUEST","OUT-UAQ", $N24="Walk in","ColUATele")</f>
        <v>OUTUA-PrRW</v>
      </c>
      <c r="W24" s="24" t="str">
        <f t="shared" si="8"/>
        <v>OUTUA-PrRW : OUT UA Prelimin Redwood</v>
      </c>
      <c r="X24" s="222" t="str">
        <f t="shared" si="9"/>
        <v>OUTUA-PrRW : OUT UA Prelimin Redwood</v>
      </c>
      <c r="Y24" s="222" t="str">
        <f t="shared" si="10"/>
        <v>MATCH</v>
      </c>
      <c r="Z24" s="224" t="str">
        <f t="shared" si="11"/>
        <v> </v>
      </c>
      <c r="AA24" s="244"/>
    </row>
    <row r="25">
      <c r="A25" s="214" t="str">
        <f>IFS($B25=FALSE,"",$B25,VLOOKUP($B25,'PATIENT DATA (072721)'!A:C, 2, 0))</f>
        <v>FULTON, DARLENE</v>
      </c>
      <c r="B25" s="215">
        <v>14216.0</v>
      </c>
      <c r="C25" s="216" t="str">
        <f>IF(COUNTIF('PATIENT DATA (072721)'!A:A, B25)=0, "X","✓")</f>
        <v>✓</v>
      </c>
      <c r="D25" s="226">
        <f>IFS($B25=FALSE,"",$B25,VLOOKUP($B25,'PATIENT DATA (072721)'!A:C, 3, 0))</f>
        <v>22769</v>
      </c>
      <c r="E25" s="218">
        <v>44578.0</v>
      </c>
      <c r="F25" s="219">
        <f>ifs($B25="","",$B25, VLOOKUP($B25&amp;$E25, 'VISIT DATA'!A:O,3,0))</f>
        <v>0.4479166667</v>
      </c>
      <c r="G25" s="220" t="s">
        <v>6323</v>
      </c>
      <c r="H25" s="221" t="s">
        <v>12</v>
      </c>
      <c r="I25" s="222" t="str">
        <f>VLOOKUP($B25&amp;$E25,'VISIT DATA'!A:J, 9, FALSE)</f>
        <v>THOMAS</v>
      </c>
      <c r="J25" s="223" t="str">
        <f>VLOOKUP(B25&amp;E25,'VISIT DATA'!A:N,10,FALSE)</f>
        <v>WELLMED - UHC DUAL COMPLETE SNP</v>
      </c>
      <c r="K25" s="224"/>
      <c r="L25" s="224" t="s">
        <v>6242</v>
      </c>
      <c r="M25" s="224" t="s">
        <v>6242</v>
      </c>
      <c r="N25" s="225"/>
      <c r="O25" s="216" t="str">
        <f t="shared" si="1"/>
        <v>✓</v>
      </c>
      <c r="P25" s="226" t="str">
        <f t="shared" si="2"/>
        <v>X</v>
      </c>
      <c r="Q25" s="227" t="str">
        <f t="shared" si="3"/>
        <v>#VALUE!</v>
      </c>
      <c r="R25" s="228" t="str">
        <f t="shared" si="4"/>
        <v>#VALUE!</v>
      </c>
      <c r="S25" s="220" t="str">
        <f t="shared" si="5"/>
        <v>#VALUE!</v>
      </c>
      <c r="T25" s="220" t="str">
        <f t="shared" si="6"/>
        <v>#VALUE!</v>
      </c>
      <c r="U25" s="221">
        <f t="shared" si="7"/>
        <v>1</v>
      </c>
      <c r="V25" s="229" t="str">
        <f>ifs($N25="",VLOOKUP($B25&amp;$E25,'VISIT DATA'!$A$2:$J100,7,FALSE), $N25="SWAB","OUTSA-RW",$N25="SWQU","OUTSA-SaQu", AND($L25="X",$M25="X",$N25="QUEST"),"OUT-UAQPre",$N25="QUEST","OUT-UAQ", $N25="Walk in","ColUATele")</f>
        <v>OUTUA-PrRW</v>
      </c>
      <c r="W25" s="24" t="str">
        <f t="shared" si="8"/>
        <v>OUTUA-PrRW : OUT UA Prelimin Redwood</v>
      </c>
      <c r="X25" s="222" t="str">
        <f t="shared" si="9"/>
        <v>OUTUA-PrRW : OUT UA Prelimin Redwood</v>
      </c>
      <c r="Y25" s="222" t="str">
        <f t="shared" si="10"/>
        <v>MATCH</v>
      </c>
      <c r="Z25" s="224" t="str">
        <f t="shared" si="11"/>
        <v> </v>
      </c>
      <c r="AA25" s="244"/>
    </row>
    <row r="26">
      <c r="A26" s="214" t="str">
        <f>IFS($B26=FALSE,"",$B26,VLOOKUP($B26,'PATIENT DATA (072721)'!A:C, 2, 0))</f>
        <v>AMAYA, OPHELIA</v>
      </c>
      <c r="B26" s="215">
        <v>15301.0</v>
      </c>
      <c r="C26" s="216" t="str">
        <f>IF(COUNTIF('PATIENT DATA (072721)'!A:A, B26)=0, "X","✓")</f>
        <v>✓</v>
      </c>
      <c r="D26" s="226">
        <f>IFS($B26=FALSE,"",$B26,VLOOKUP($B26,'PATIENT DATA (072721)'!A:C, 3, 0))</f>
        <v>10044</v>
      </c>
      <c r="E26" s="218">
        <v>44578.0</v>
      </c>
      <c r="F26" s="219">
        <f>ifs($B26="","",$B26, VLOOKUP($B26&amp;$E26, 'VISIT DATA'!A:O,3,0))</f>
        <v>0.4166666667</v>
      </c>
      <c r="G26" s="220" t="s">
        <v>6323</v>
      </c>
      <c r="H26" s="221" t="s">
        <v>15</v>
      </c>
      <c r="I26" s="222" t="str">
        <f>VLOOKUP($B26&amp;$E26,'VISIT DATA'!A:J, 9, FALSE)</f>
        <v>MARTINEZ</v>
      </c>
      <c r="J26" s="223" t="str">
        <f>VLOOKUP(B26&amp;E26,'VISIT DATA'!A:N,10,FALSE)</f>
        <v>WELLMED - UHC DUAL COMPLETE SNP</v>
      </c>
      <c r="K26" s="224"/>
      <c r="L26" s="224" t="s">
        <v>6242</v>
      </c>
      <c r="M26" s="224"/>
      <c r="N26" s="224"/>
      <c r="O26" s="216" t="str">
        <f t="shared" si="1"/>
        <v>✓</v>
      </c>
      <c r="P26" s="226" t="str">
        <f t="shared" si="2"/>
        <v>X</v>
      </c>
      <c r="Q26" s="227" t="str">
        <f t="shared" si="3"/>
        <v>#VALUE!</v>
      </c>
      <c r="R26" s="228" t="str">
        <f t="shared" si="4"/>
        <v>#VALUE!</v>
      </c>
      <c r="S26" s="220" t="str">
        <f t="shared" si="5"/>
        <v>#VALUE!</v>
      </c>
      <c r="T26" s="220" t="str">
        <f t="shared" si="6"/>
        <v>#VALUE!</v>
      </c>
      <c r="U26" s="221">
        <f t="shared" si="7"/>
        <v>1</v>
      </c>
      <c r="V26" s="229" t="str">
        <f>ifs($N26="",VLOOKUP($B26&amp;$E26,'VISIT DATA'!$A$2:$J100,7,FALSE), $N26="SWAB","OUTSA-RW",$N26="SWQU","OUTSA-SaQu", AND($L26="X",$M26="X",$N26="QUEST"),"OUT-UAQPre",$N26="QUEST","OUT-UAQ", $N26="Walk in","ColUATele")</f>
        <v>OUTUA-FURW</v>
      </c>
      <c r="W26" s="24" t="str">
        <f t="shared" si="8"/>
        <v>OUTUA-FURW : OUT UA FU Redwood</v>
      </c>
      <c r="X26" s="222" t="str">
        <f t="shared" si="9"/>
        <v>OUTUA-FURW : OUT UA FU Redwood</v>
      </c>
      <c r="Y26" s="222" t="str">
        <f t="shared" si="10"/>
        <v>MATCH</v>
      </c>
      <c r="Z26" s="224" t="str">
        <f t="shared" si="11"/>
        <v> </v>
      </c>
      <c r="AA26" s="245"/>
    </row>
    <row r="27">
      <c r="A27" s="214" t="str">
        <f>IFS($B27=FALSE,"",$B27,VLOOKUP($B27,'PATIENT DATA (072721)'!A:C, 2, 0))</f>
        <v>MARTINEZ, ALEJANDRO</v>
      </c>
      <c r="B27" s="215">
        <v>11209.0</v>
      </c>
      <c r="C27" s="216" t="str">
        <f>IF(COUNTIF('PATIENT DATA (072721)'!A:A, B27)=0, "X","✓")</f>
        <v>✓</v>
      </c>
      <c r="D27" s="226">
        <f>IFS($B27=FALSE,"",$B27,VLOOKUP($B27,'PATIENT DATA (072721)'!A:C, 3, 0))</f>
        <v>27406</v>
      </c>
      <c r="E27" s="218">
        <v>44578.0</v>
      </c>
      <c r="F27" s="219">
        <f>ifs($B27="","",$B27, VLOOKUP($B27&amp;$E27, 'VISIT DATA'!A:O,3,0))</f>
        <v>0.4479166667</v>
      </c>
      <c r="G27" s="220" t="s">
        <v>6328</v>
      </c>
      <c r="H27" s="221" t="s">
        <v>15</v>
      </c>
      <c r="I27" s="222" t="str">
        <f>VLOOKUP($B27&amp;$E27,'VISIT DATA'!A:J, 9, FALSE)</f>
        <v>MARTINEZ</v>
      </c>
      <c r="J27" s="223" t="str">
        <f>VLOOKUP(B27&amp;E27,'VISIT DATA'!A:N,10,FALSE)</f>
        <v>TRICARE SELECT</v>
      </c>
      <c r="K27" s="224"/>
      <c r="L27" s="224" t="s">
        <v>6242</v>
      </c>
      <c r="M27" s="224" t="s">
        <v>6242</v>
      </c>
      <c r="N27" s="225"/>
      <c r="O27" s="216" t="str">
        <f t="shared" si="1"/>
        <v>✓</v>
      </c>
      <c r="P27" s="226" t="str">
        <f t="shared" si="2"/>
        <v>#VALUE!</v>
      </c>
      <c r="Q27" s="227" t="str">
        <f t="shared" si="3"/>
        <v>#VALUE!</v>
      </c>
      <c r="R27" s="228" t="str">
        <f t="shared" si="4"/>
        <v>#VALUE!</v>
      </c>
      <c r="S27" s="220" t="str">
        <f t="shared" si="5"/>
        <v>#VALUE!</v>
      </c>
      <c r="T27" s="220" t="str">
        <f t="shared" si="6"/>
        <v>#VALUE!</v>
      </c>
      <c r="U27" s="221">
        <f t="shared" si="7"/>
        <v>0</v>
      </c>
      <c r="V27" s="229" t="str">
        <f>ifs($N27="",VLOOKUP($B27&amp;$E27,'VISIT DATA'!$A$2:$J100,7,FALSE), $N27="SWAB","OUTSA-RW",$N27="SWQU","OUTSA-SaQu", AND($L27="X",$M27="X",$N27="QUEST"),"OUT-UAQPre",$N27="QUEST","OUT-UAQ", $N27="Walk in","ColUATele")</f>
        <v>UA-Prelim</v>
      </c>
      <c r="W27" s="24" t="str">
        <f t="shared" si="8"/>
        <v>UA-Prelim : Preliminary UA Test</v>
      </c>
      <c r="X27" s="222" t="str">
        <f t="shared" si="9"/>
        <v>UA-Prelim : Preliminary UA Test</v>
      </c>
      <c r="Y27" s="222" t="str">
        <f t="shared" si="10"/>
        <v>MATCH</v>
      </c>
      <c r="Z27" s="224" t="str">
        <f t="shared" si="11"/>
        <v> </v>
      </c>
      <c r="AA27" s="244"/>
    </row>
    <row r="28">
      <c r="A28" s="214" t="str">
        <f>IFS($B28=FALSE,"",$B28,VLOOKUP($B28,'PATIENT DATA (072721)'!A:C, 2, 0))</f>
        <v>BOGIEL, SHERI</v>
      </c>
      <c r="B28" s="215">
        <v>10061.0</v>
      </c>
      <c r="C28" s="216" t="str">
        <f>IF(COUNTIF('PATIENT DATA (072721)'!A:A, B28)=0, "X","✓")</f>
        <v>✓</v>
      </c>
      <c r="D28" s="226">
        <f>IFS($B28=FALSE,"",$B28,VLOOKUP($B28,'PATIENT DATA (072721)'!A:C, 3, 0))</f>
        <v>21559</v>
      </c>
      <c r="E28" s="218">
        <v>44578.0</v>
      </c>
      <c r="F28" s="219">
        <f>ifs($B28="","",$B28, VLOOKUP($B28&amp;$E28, 'VISIT DATA'!A:O,3,0))</f>
        <v>0.4270833333</v>
      </c>
      <c r="G28" s="220" t="s">
        <v>6323</v>
      </c>
      <c r="H28" s="221" t="s">
        <v>15</v>
      </c>
      <c r="I28" s="222" t="str">
        <f>VLOOKUP($B28&amp;$E28,'VISIT DATA'!A:J, 9, FALSE)</f>
        <v>MARTINEZ</v>
      </c>
      <c r="J28" s="223" t="str">
        <f>VLOOKUP(B28&amp;E28,'VISIT DATA'!A:N,10,FALSE)</f>
        <v>AMERIGROUP</v>
      </c>
      <c r="K28" s="224"/>
      <c r="L28" s="224" t="s">
        <v>6242</v>
      </c>
      <c r="M28" s="224"/>
      <c r="N28" s="225"/>
      <c r="O28" s="216" t="str">
        <f t="shared" si="1"/>
        <v>✓</v>
      </c>
      <c r="P28" s="226" t="str">
        <f t="shared" si="2"/>
        <v>#VALUE!</v>
      </c>
      <c r="Q28" s="227" t="str">
        <f t="shared" si="3"/>
        <v>#VALUE!</v>
      </c>
      <c r="R28" s="228" t="str">
        <f t="shared" si="4"/>
        <v>#VALUE!</v>
      </c>
      <c r="S28" s="220" t="str">
        <f t="shared" si="5"/>
        <v>#VALUE!</v>
      </c>
      <c r="T28" s="220" t="str">
        <f t="shared" si="6"/>
        <v>#VALUE!</v>
      </c>
      <c r="U28" s="221">
        <f t="shared" si="7"/>
        <v>0</v>
      </c>
      <c r="V28" s="229" t="str">
        <f>ifs($N28="",VLOOKUP($B28&amp;$E28,'VISIT DATA'!$A$2:$J100,7,FALSE), $N28="SWAB","OUTSA-RW",$N28="SWQU","OUTSA-SaQu", AND($L28="X",$M28="X",$N28="QUEST"),"OUT-UAQPre",$N28="QUEST","OUT-UAQ", $N28="Walk in","ColUATele")</f>
        <v>UA</v>
      </c>
      <c r="W28" s="24" t="str">
        <f t="shared" si="8"/>
        <v>UA : Urine Analysis In House</v>
      </c>
      <c r="X28" s="222" t="str">
        <f t="shared" si="9"/>
        <v>UA : Urine Analysis In House</v>
      </c>
      <c r="Y28" s="222" t="str">
        <f t="shared" si="10"/>
        <v>MATCH</v>
      </c>
      <c r="Z28" s="224" t="str">
        <f t="shared" si="11"/>
        <v> </v>
      </c>
      <c r="AA28" s="244"/>
    </row>
    <row r="29">
      <c r="A29" s="214" t="str">
        <f>IFS($B29=FALSE,"",$B29,VLOOKUP($B29,'PATIENT DATA (072721)'!A:C, 2, 0))</f>
        <v>CAMP, DAWN E</v>
      </c>
      <c r="B29" s="215">
        <v>16165.0</v>
      </c>
      <c r="C29" s="216" t="str">
        <f>IF(COUNTIF('PATIENT DATA (072721)'!A:A, B29)=0, "X","✓")</f>
        <v>✓</v>
      </c>
      <c r="D29" s="226">
        <f>IFS($B29=FALSE,"",$B29,VLOOKUP($B29,'PATIENT DATA (072721)'!A:C, 3, 0))</f>
        <v>20739</v>
      </c>
      <c r="E29" s="218">
        <v>44578.0</v>
      </c>
      <c r="F29" s="219">
        <f>ifs($B29="","",$B29, VLOOKUP($B29&amp;$E29, 'VISIT DATA'!A:O,3,0))</f>
        <v>0.4583333333</v>
      </c>
      <c r="G29" s="220" t="s">
        <v>6323</v>
      </c>
      <c r="H29" s="221" t="s">
        <v>13</v>
      </c>
      <c r="I29" s="222" t="str">
        <f>VLOOKUP($B29&amp;$E29,'VISIT DATA'!A:J, 9, FALSE)</f>
        <v>THOMAS</v>
      </c>
      <c r="J29" s="223" t="str">
        <f>VLOOKUP(B29&amp;E29,'VISIT DATA'!A:N,10,FALSE)</f>
        <v>HUMANA CHOICE CARE</v>
      </c>
      <c r="K29" s="224"/>
      <c r="L29" s="224" t="s">
        <v>6242</v>
      </c>
      <c r="M29" s="224"/>
      <c r="N29" s="224"/>
      <c r="O29" s="216" t="str">
        <f t="shared" si="1"/>
        <v>✓</v>
      </c>
      <c r="P29" s="226" t="str">
        <f t="shared" si="2"/>
        <v>#VALUE!</v>
      </c>
      <c r="Q29" s="227" t="str">
        <f t="shared" si="3"/>
        <v>#VALUE!</v>
      </c>
      <c r="R29" s="228" t="str">
        <f t="shared" si="4"/>
        <v>X</v>
      </c>
      <c r="S29" s="220" t="str">
        <f t="shared" si="5"/>
        <v>#VALUE!</v>
      </c>
      <c r="T29" s="220" t="str">
        <f t="shared" si="6"/>
        <v>#VALUE!</v>
      </c>
      <c r="U29" s="221">
        <f t="shared" si="7"/>
        <v>1</v>
      </c>
      <c r="V29" s="229" t="str">
        <f>ifs($N29="",VLOOKUP($B29&amp;$E29,'VISIT DATA'!$A$2:$J100,7,FALSE), $N29="SWAB","OUTSA-RW",$N29="SWQU","OUTSA-SaQu", AND($L29="X",$M29="X",$N29="QUEST"),"OUT-UAQPre",$N29="QUEST","OUT-UAQ", $N29="Walk in","ColUATele")</f>
        <v>UA</v>
      </c>
      <c r="W29" s="24" t="str">
        <f t="shared" si="8"/>
        <v>UA : Urine Analysis In House</v>
      </c>
      <c r="X29" s="222" t="str">
        <f t="shared" si="9"/>
        <v>OUTUA-FURW : OUT UA FU Redwood</v>
      </c>
      <c r="Y29" s="222" t="str">
        <f t="shared" si="10"/>
        <v>NO MATCH</v>
      </c>
      <c r="Z29" s="224" t="str">
        <f t="shared" si="11"/>
        <v> </v>
      </c>
      <c r="AA29" s="245"/>
    </row>
    <row r="30">
      <c r="A30" s="214" t="str">
        <f>IFS($B30=FALSE,"",$B30,VLOOKUP($B30,'PATIENT DATA (072721)'!A:C, 2, 0))</f>
        <v>SALCIDO, ROBERT</v>
      </c>
      <c r="B30" s="215">
        <v>17893.0</v>
      </c>
      <c r="C30" s="230" t="str">
        <f>IF(COUNTIF('PATIENT DATA (072721)'!A:A, B30)=0, "X","✓")</f>
        <v>✓</v>
      </c>
      <c r="D30" s="226">
        <f>IFS($B30=FALSE,"",$B30,VLOOKUP($B30,'PATIENT DATA (072721)'!A:C, 3, 0))</f>
        <v>17174</v>
      </c>
      <c r="E30" s="218">
        <v>44578.0</v>
      </c>
      <c r="F30" s="219">
        <f>ifs($B30="","",$B30, VLOOKUP($B30&amp;$E30, 'VISIT DATA'!A:O,3,0))</f>
        <v>0.4479166667</v>
      </c>
      <c r="G30" s="231" t="s">
        <v>6328</v>
      </c>
      <c r="H30" s="221" t="s">
        <v>12</v>
      </c>
      <c r="I30" s="222" t="str">
        <f>VLOOKUP($B30&amp;$E30,'VISIT DATA'!A:J, 9, FALSE)</f>
        <v>LOPEZ</v>
      </c>
      <c r="J30" s="223" t="str">
        <f>VLOOKUP(B30&amp;E30,'VISIT DATA'!A:N,10,FALSE)</f>
        <v>EL PASO VA</v>
      </c>
      <c r="K30" s="224" t="s">
        <v>6242</v>
      </c>
      <c r="L30" s="224"/>
      <c r="M30" s="224"/>
      <c r="N30" s="225"/>
      <c r="O30" s="216" t="str">
        <f t="shared" si="1"/>
        <v>✓</v>
      </c>
      <c r="P30" s="226" t="str">
        <f t="shared" si="2"/>
        <v>#VALUE!</v>
      </c>
      <c r="Q30" s="227" t="str">
        <f t="shared" si="3"/>
        <v>#VALUE!</v>
      </c>
      <c r="R30" s="228" t="str">
        <f t="shared" si="4"/>
        <v>#VALUE!</v>
      </c>
      <c r="S30" s="220" t="str">
        <f t="shared" si="5"/>
        <v>#VALUE!</v>
      </c>
      <c r="T30" s="220" t="str">
        <f t="shared" si="6"/>
        <v>#VALUE!</v>
      </c>
      <c r="U30" s="221">
        <f t="shared" si="7"/>
        <v>0</v>
      </c>
      <c r="V30" s="229" t="str">
        <f>ifs($N30="",VLOOKUP($B30&amp;$E30,'VISIT DATA'!$A$2:$J100,7,FALSE), $N30="SWAB","OUTSA-RW",$N30="SWQU","OUTSA-SaQu", AND($L30="X",$M30="X",$N30="QUEST"),"OUT-UAQPre",$N30="QUEST","OUT-UAQ", $N30="Walk in","ColUATele")</f>
        <v>UA-NWPT</v>
      </c>
      <c r="W30" s="24" t="str">
        <f t="shared" si="8"/>
        <v>UA-NWPT : UA New Patient</v>
      </c>
      <c r="X30" s="222" t="str">
        <f t="shared" si="9"/>
        <v>UA-NWPT : UA New Patient</v>
      </c>
      <c r="Y30" s="222" t="str">
        <f t="shared" si="10"/>
        <v>MATCH</v>
      </c>
      <c r="Z30" s="224" t="str">
        <f t="shared" si="11"/>
        <v> </v>
      </c>
      <c r="AA30" s="244"/>
    </row>
    <row r="31">
      <c r="A31" s="214" t="str">
        <f>IFS($B31=FALSE,"",$B31,VLOOKUP($B31,'PATIENT DATA (072721)'!A:C, 2, 0))</f>
        <v>ACUNA, YEZIKA M</v>
      </c>
      <c r="B31" s="215">
        <v>17836.0</v>
      </c>
      <c r="C31" s="230" t="str">
        <f>IF(COUNTIF('PATIENT DATA (072721)'!A:A, B31)=0, "X","✓")</f>
        <v>✓</v>
      </c>
      <c r="D31" s="226">
        <f>IFS($B31=FALSE,"",$B31,VLOOKUP($B31,'PATIENT DATA (072721)'!A:C, 3, 0))</f>
        <v>36797</v>
      </c>
      <c r="E31" s="218">
        <v>44578.0</v>
      </c>
      <c r="F31" s="219">
        <f>ifs($B31="","",$B31, VLOOKUP($B31&amp;$E31, 'VISIT DATA'!A:O,3,0))</f>
        <v>0.3958333333</v>
      </c>
      <c r="G31" s="231" t="s">
        <v>6323</v>
      </c>
      <c r="H31" s="221" t="s">
        <v>12</v>
      </c>
      <c r="I31" s="222" t="str">
        <f>VLOOKUP($B31&amp;$E31,'VISIT DATA'!A:J, 9, FALSE)</f>
        <v>LOPEZ</v>
      </c>
      <c r="J31" s="223" t="str">
        <f>VLOOKUP(B31&amp;E31,'VISIT DATA'!A:N,10,FALSE)</f>
        <v>AETNA</v>
      </c>
      <c r="K31" s="224" t="s">
        <v>6242</v>
      </c>
      <c r="L31" s="224"/>
      <c r="M31" s="224"/>
      <c r="N31" s="225"/>
      <c r="O31" s="216" t="str">
        <f t="shared" si="1"/>
        <v>✓</v>
      </c>
      <c r="P31" s="226" t="str">
        <f t="shared" si="2"/>
        <v>#VALUE!</v>
      </c>
      <c r="Q31" s="227" t="str">
        <f t="shared" si="3"/>
        <v>#VALUE!</v>
      </c>
      <c r="R31" s="228" t="str">
        <f t="shared" si="4"/>
        <v>#VALUE!</v>
      </c>
      <c r="S31" s="220" t="str">
        <f t="shared" si="5"/>
        <v>#VALUE!</v>
      </c>
      <c r="T31" s="220" t="str">
        <f t="shared" si="6"/>
        <v>#VALUE!</v>
      </c>
      <c r="U31" s="221">
        <f t="shared" si="7"/>
        <v>0</v>
      </c>
      <c r="V31" s="229" t="str">
        <f>ifs($N31="",VLOOKUP($B31&amp;$E31,'VISIT DATA'!$A$2:$J100,7,FALSE), $N31="SWAB","OUTSA-RW",$N31="SWQU","OUTSA-SaQu", AND($L31="X",$M31="X",$N31="QUEST"),"OUT-UAQPre",$N31="QUEST","OUT-UAQ", $N31="Walk in","ColUATele")</f>
        <v>UA-NWPT</v>
      </c>
      <c r="W31" s="24" t="str">
        <f t="shared" si="8"/>
        <v>UA-NWPT : UA New Patient</v>
      </c>
      <c r="X31" s="222" t="str">
        <f t="shared" si="9"/>
        <v>UA-NWPT : UA New Patient</v>
      </c>
      <c r="Y31" s="222" t="str">
        <f t="shared" si="10"/>
        <v>MATCH</v>
      </c>
      <c r="Z31" s="224" t="str">
        <f t="shared" si="11"/>
        <v> </v>
      </c>
      <c r="AA31" s="244"/>
    </row>
    <row r="32">
      <c r="A32" s="214" t="str">
        <f>IFS($B32=FALSE,"",$B32,VLOOKUP($B32,'PATIENT DATA (072721)'!A:C, 2, 0))</f>
        <v>LEOS, GLORIA</v>
      </c>
      <c r="B32" s="215">
        <v>17854.0</v>
      </c>
      <c r="C32" s="230" t="str">
        <f>IF(COUNTIF('PATIENT DATA (072721)'!A:A, B32)=0, "X","✓")</f>
        <v>✓</v>
      </c>
      <c r="D32" s="226">
        <f>IFS($B32=FALSE,"",$B32,VLOOKUP($B32,'PATIENT DATA (072721)'!A:C, 3, 0))</f>
        <v>22029</v>
      </c>
      <c r="E32" s="218">
        <v>44578.0</v>
      </c>
      <c r="F32" s="219">
        <f>ifs($B32="","",$B32, VLOOKUP($B32&amp;$E32, 'VISIT DATA'!A:O,3,0))</f>
        <v>0.4479166667</v>
      </c>
      <c r="G32" s="231" t="s">
        <v>6323</v>
      </c>
      <c r="H32" s="221" t="s">
        <v>12</v>
      </c>
      <c r="I32" s="222" t="str">
        <f>VLOOKUP($B32&amp;$E32,'VISIT DATA'!A:J, 9, FALSE)</f>
        <v>LOPEZ</v>
      </c>
      <c r="J32" s="223" t="str">
        <f>VLOOKUP(B32&amp;E32,'VISIT DATA'!A:N,10,FALSE)</f>
        <v>AMERIGROUP</v>
      </c>
      <c r="K32" s="224" t="s">
        <v>6242</v>
      </c>
      <c r="L32" s="224"/>
      <c r="M32" s="224"/>
      <c r="N32" s="225"/>
      <c r="O32" s="216" t="str">
        <f t="shared" si="1"/>
        <v>✓</v>
      </c>
      <c r="P32" s="226" t="str">
        <f t="shared" si="2"/>
        <v>#VALUE!</v>
      </c>
      <c r="Q32" s="227" t="str">
        <f t="shared" si="3"/>
        <v>#VALUE!</v>
      </c>
      <c r="R32" s="228" t="str">
        <f t="shared" si="4"/>
        <v>#VALUE!</v>
      </c>
      <c r="S32" s="220" t="str">
        <f t="shared" si="5"/>
        <v>#VALUE!</v>
      </c>
      <c r="T32" s="220" t="str">
        <f t="shared" si="6"/>
        <v>#VALUE!</v>
      </c>
      <c r="U32" s="221">
        <f t="shared" si="7"/>
        <v>0</v>
      </c>
      <c r="V32" s="229" t="str">
        <f>ifs($N32="",VLOOKUP($B32&amp;$E32,'VISIT DATA'!$A$2:$J100,7,FALSE), $N32="SWAB","OUTSA-RW",$N32="SWQU","OUTSA-SaQu", AND($L32="X",$M32="X",$N32="QUEST"),"OUT-UAQPre",$N32="QUEST","OUT-UAQ", $N32="Walk in","ColUATele")</f>
        <v>UA-NWPT</v>
      </c>
      <c r="W32" s="24" t="str">
        <f t="shared" si="8"/>
        <v>UA-NWPT : UA New Patient</v>
      </c>
      <c r="X32" s="222" t="str">
        <f t="shared" si="9"/>
        <v>UA-NWPT : UA New Patient</v>
      </c>
      <c r="Y32" s="222" t="str">
        <f t="shared" si="10"/>
        <v>MATCH</v>
      </c>
      <c r="Z32" s="224" t="str">
        <f t="shared" si="11"/>
        <v> </v>
      </c>
      <c r="AA32" s="244"/>
    </row>
    <row r="33">
      <c r="A33" s="214" t="str">
        <f>IFS($B33=FALSE,"",$B33,VLOOKUP($B33,'PATIENT DATA (072721)'!A:C, 2, 0))</f>
        <v>RAMIREZ, ROSA E</v>
      </c>
      <c r="B33" s="215">
        <v>9232.0</v>
      </c>
      <c r="C33" s="230" t="str">
        <f>IF(COUNTIF('PATIENT DATA (072721)'!A:A, B33)=0, "X","✓")</f>
        <v>✓</v>
      </c>
      <c r="D33" s="226">
        <f>IFS($B33=FALSE,"",$B33,VLOOKUP($B33,'PATIENT DATA (072721)'!A:C, 3, 0))</f>
        <v>25104</v>
      </c>
      <c r="E33" s="218">
        <v>44578.0</v>
      </c>
      <c r="F33" s="219">
        <f>ifs($B33="","",$B33, VLOOKUP($B33&amp;$E33, 'VISIT DATA'!A:O,3,0))</f>
        <v>0.4791666667</v>
      </c>
      <c r="G33" s="231" t="s">
        <v>6323</v>
      </c>
      <c r="H33" s="221" t="s">
        <v>12</v>
      </c>
      <c r="I33" s="222" t="str">
        <f>VLOOKUP($B33&amp;$E33,'VISIT DATA'!A:J, 9, FALSE)</f>
        <v>LOPEZ</v>
      </c>
      <c r="J33" s="223" t="str">
        <f>VLOOKUP(B33&amp;E33,'VISIT DATA'!A:N,10,FALSE)</f>
        <v>AMERIGROUP</v>
      </c>
      <c r="K33" s="225"/>
      <c r="L33" s="224" t="s">
        <v>6242</v>
      </c>
      <c r="M33" s="224"/>
      <c r="N33" s="225"/>
      <c r="O33" s="216" t="str">
        <f t="shared" si="1"/>
        <v>✓</v>
      </c>
      <c r="P33" s="226" t="str">
        <f t="shared" si="2"/>
        <v>#VALUE!</v>
      </c>
      <c r="Q33" s="227" t="str">
        <f t="shared" si="3"/>
        <v>#VALUE!</v>
      </c>
      <c r="R33" s="228" t="str">
        <f t="shared" si="4"/>
        <v>#VALUE!</v>
      </c>
      <c r="S33" s="220" t="str">
        <f t="shared" si="5"/>
        <v>#VALUE!</v>
      </c>
      <c r="T33" s="220" t="str">
        <f t="shared" si="6"/>
        <v>#VALUE!</v>
      </c>
      <c r="U33" s="221">
        <f t="shared" si="7"/>
        <v>0</v>
      </c>
      <c r="V33" s="229" t="str">
        <f>ifs($N33="",VLOOKUP($B33&amp;$E33,'VISIT DATA'!$A$2:$J100,7,FALSE), $N33="SWAB","OUTSA-RW",$N33="SWQU","OUTSA-SaQu", AND($L33="X",$M33="X",$N33="QUEST"),"OUT-UAQPre",$N33="QUEST","OUT-UAQ", $N33="Walk in","ColUATele")</f>
        <v>UA</v>
      </c>
      <c r="W33" s="24" t="str">
        <f t="shared" si="8"/>
        <v>UA : Urine Analysis In House</v>
      </c>
      <c r="X33" s="222" t="str">
        <f t="shared" si="9"/>
        <v>UA : Urine Analysis In House</v>
      </c>
      <c r="Y33" s="222" t="str">
        <f t="shared" si="10"/>
        <v>MATCH</v>
      </c>
      <c r="Z33" s="224" t="str">
        <f t="shared" si="11"/>
        <v> </v>
      </c>
      <c r="AA33" s="244"/>
    </row>
    <row r="34">
      <c r="A34" s="214" t="str">
        <f>IFS($B34=FALSE,"",$B34,VLOOKUP($B34,'PATIENT DATA (072721)'!A:C, 2, 0))</f>
        <v>SOTO, BLANCA</v>
      </c>
      <c r="B34" s="215">
        <v>11319.0</v>
      </c>
      <c r="C34" s="230" t="str">
        <f>IF(COUNTIF('PATIENT DATA (072721)'!A:A, B34)=0, "X","✓")</f>
        <v>✓</v>
      </c>
      <c r="D34" s="226">
        <f>IFS($B34=FALSE,"",$B34,VLOOKUP($B34,'PATIENT DATA (072721)'!A:C, 3, 0))</f>
        <v>22198</v>
      </c>
      <c r="E34" s="218">
        <v>44578.0</v>
      </c>
      <c r="F34" s="219">
        <f>ifs($B34="","",$B34, VLOOKUP($B34&amp;$E34, 'VISIT DATA'!A:O,3,0))</f>
        <v>0.46875</v>
      </c>
      <c r="G34" s="231" t="s">
        <v>6323</v>
      </c>
      <c r="H34" s="221" t="s">
        <v>14</v>
      </c>
      <c r="I34" s="222" t="str">
        <f>VLOOKUP($B34&amp;$E34,'VISIT DATA'!A:J, 9, FALSE)</f>
        <v>TORRES</v>
      </c>
      <c r="J34" s="223" t="str">
        <f>VLOOKUP(B34&amp;E34,'VISIT DATA'!A:N,10,FALSE)</f>
        <v>WELLMED - UHC DUAL COMPLETE SNP</v>
      </c>
      <c r="K34" s="225"/>
      <c r="L34" s="224" t="s">
        <v>6242</v>
      </c>
      <c r="M34" s="224" t="s">
        <v>6242</v>
      </c>
      <c r="N34" s="225"/>
      <c r="O34" s="216" t="str">
        <f t="shared" si="1"/>
        <v>✓</v>
      </c>
      <c r="P34" s="226" t="str">
        <f t="shared" si="2"/>
        <v>X</v>
      </c>
      <c r="Q34" s="227" t="str">
        <f t="shared" si="3"/>
        <v>#VALUE!</v>
      </c>
      <c r="R34" s="228" t="str">
        <f t="shared" si="4"/>
        <v>#VALUE!</v>
      </c>
      <c r="S34" s="220" t="str">
        <f t="shared" si="5"/>
        <v>#VALUE!</v>
      </c>
      <c r="T34" s="220" t="str">
        <f t="shared" si="6"/>
        <v>#VALUE!</v>
      </c>
      <c r="U34" s="221">
        <f t="shared" si="7"/>
        <v>1</v>
      </c>
      <c r="V34" s="229" t="str">
        <f>ifs($N34="",VLOOKUP($B34&amp;$E34,'VISIT DATA'!$A$2:$J100,7,FALSE), $N34="SWAB","OUTSA-RW",$N34="SWQU","OUTSA-SaQu", AND($L34="X",$M34="X",$N34="QUEST"),"OUT-UAQPre",$N34="QUEST","OUT-UAQ", $N34="Walk in","ColUATele")</f>
        <v>OUTUA-PrRW</v>
      </c>
      <c r="W34" s="24" t="str">
        <f t="shared" si="8"/>
        <v>OUTUA-PrRW : OUT UA Prelimin Redwood</v>
      </c>
      <c r="X34" s="222" t="str">
        <f t="shared" si="9"/>
        <v>OUTUA-PrRW : OUT UA Prelimin Redwood</v>
      </c>
      <c r="Y34" s="222" t="str">
        <f t="shared" si="10"/>
        <v>MATCH</v>
      </c>
      <c r="Z34" s="224" t="str">
        <f t="shared" si="11"/>
        <v> </v>
      </c>
      <c r="AA34" s="244"/>
    </row>
    <row r="35">
      <c r="A35" s="214" t="str">
        <f>IFS($B35=FALSE,"",$B35,VLOOKUP($B35,'PATIENT DATA (072721)'!A:C, 2, 0))</f>
        <v>URIAS, REGINO N</v>
      </c>
      <c r="B35" s="215">
        <v>9209.0</v>
      </c>
      <c r="C35" s="230" t="str">
        <f>IF(COUNTIF('PATIENT DATA (072721)'!A:A, B35)=0, "X","✓")</f>
        <v>✓</v>
      </c>
      <c r="D35" s="226">
        <f>IFS($B35=FALSE,"",$B35,VLOOKUP($B35,'PATIENT DATA (072721)'!A:C, 3, 0))</f>
        <v>20421</v>
      </c>
      <c r="E35" s="218">
        <v>44578.0</v>
      </c>
      <c r="F35" s="219">
        <f>ifs($B35="","",$B35, VLOOKUP($B35&amp;$E35, 'VISIT DATA'!A:O,3,0))</f>
        <v>0.4375</v>
      </c>
      <c r="G35" s="231" t="s">
        <v>6328</v>
      </c>
      <c r="H35" s="221" t="s">
        <v>15</v>
      </c>
      <c r="I35" s="222" t="str">
        <f>VLOOKUP($B35&amp;$E35,'VISIT DATA'!A:J, 9, FALSE)</f>
        <v>MARTINEZ</v>
      </c>
      <c r="J35" s="223" t="str">
        <f>VLOOKUP(B35&amp;E35,'VISIT DATA'!A:N,10,FALSE)</f>
        <v>WELLMED - UHC DUAL COMPLETE SNP</v>
      </c>
      <c r="K35" s="224"/>
      <c r="L35" s="224" t="s">
        <v>6242</v>
      </c>
      <c r="M35" s="224"/>
      <c r="N35" s="224"/>
      <c r="O35" s="216" t="str">
        <f t="shared" si="1"/>
        <v>✓</v>
      </c>
      <c r="P35" s="226" t="str">
        <f t="shared" si="2"/>
        <v>X</v>
      </c>
      <c r="Q35" s="227" t="str">
        <f t="shared" si="3"/>
        <v>#VALUE!</v>
      </c>
      <c r="R35" s="228" t="str">
        <f t="shared" si="4"/>
        <v>#VALUE!</v>
      </c>
      <c r="S35" s="220" t="str">
        <f t="shared" si="5"/>
        <v>#VALUE!</v>
      </c>
      <c r="T35" s="220" t="str">
        <f t="shared" si="6"/>
        <v>#VALUE!</v>
      </c>
      <c r="U35" s="221">
        <f t="shared" si="7"/>
        <v>1</v>
      </c>
      <c r="V35" s="229" t="str">
        <f>ifs($N35="",VLOOKUP($B35&amp;$E35,'VISIT DATA'!$A$2:$J100,7,FALSE), $N35="SWAB","OUTSA-RW",$N35="SWQU","OUTSA-SaQu", AND($L35="X",$M35="X",$N35="QUEST"),"OUT-UAQPre",$N35="QUEST","OUT-UAQ", $N35="Walk in","ColUATele")</f>
        <v>OUTUA-FURW</v>
      </c>
      <c r="W35" s="24" t="str">
        <f t="shared" si="8"/>
        <v>OUTUA-FURW : OUT UA FU Redwood</v>
      </c>
      <c r="X35" s="222" t="str">
        <f t="shared" si="9"/>
        <v>OUTUA-FURW : OUT UA FU Redwood</v>
      </c>
      <c r="Y35" s="222" t="str">
        <f t="shared" si="10"/>
        <v>MATCH</v>
      </c>
      <c r="Z35" s="224" t="str">
        <f t="shared" si="11"/>
        <v> </v>
      </c>
      <c r="AA35" s="244"/>
    </row>
    <row r="36">
      <c r="A36" s="214" t="str">
        <f>IFS($B36=FALSE,"",$B36,VLOOKUP($B36,'PATIENT DATA (072721)'!A:C, 2, 0))</f>
        <v>ESPARZA, LISA M</v>
      </c>
      <c r="B36" s="215">
        <v>14229.0</v>
      </c>
      <c r="C36" s="230" t="str">
        <f>IF(COUNTIF('PATIENT DATA (072721)'!A:A, B36)=0, "X","✓")</f>
        <v>✓</v>
      </c>
      <c r="D36" s="226">
        <f>IFS($B36=FALSE,"",$B36,VLOOKUP($B36,'PATIENT DATA (072721)'!A:C, 3, 0))</f>
        <v>24199</v>
      </c>
      <c r="E36" s="218">
        <v>44578.0</v>
      </c>
      <c r="F36" s="219">
        <f>ifs($B36="","",$B36, VLOOKUP($B36&amp;$E36, 'VISIT DATA'!A:O,3,0))</f>
        <v>0.5416666667</v>
      </c>
      <c r="G36" s="231" t="s">
        <v>6323</v>
      </c>
      <c r="H36" s="221" t="s">
        <v>12</v>
      </c>
      <c r="I36" s="222" t="str">
        <f>VLOOKUP($B36&amp;$E36,'VISIT DATA'!A:J, 9, FALSE)</f>
        <v>LOPEZ</v>
      </c>
      <c r="J36" s="223" t="str">
        <f>VLOOKUP(B36&amp;E36,'VISIT DATA'!A:N,10,FALSE)</f>
        <v>BCBSTX PPO</v>
      </c>
      <c r="K36" s="225"/>
      <c r="L36" s="224" t="s">
        <v>6242</v>
      </c>
      <c r="M36" s="224"/>
      <c r="N36" s="225"/>
      <c r="O36" s="216" t="str">
        <f t="shared" si="1"/>
        <v>✓</v>
      </c>
      <c r="P36" s="226" t="str">
        <f t="shared" si="2"/>
        <v>#VALUE!</v>
      </c>
      <c r="Q36" s="227" t="str">
        <f t="shared" si="3"/>
        <v>#VALUE!</v>
      </c>
      <c r="R36" s="228" t="str">
        <f t="shared" si="4"/>
        <v>#VALUE!</v>
      </c>
      <c r="S36" s="220" t="str">
        <f t="shared" si="5"/>
        <v>#VALUE!</v>
      </c>
      <c r="T36" s="220" t="str">
        <f t="shared" si="6"/>
        <v>#VALUE!</v>
      </c>
      <c r="U36" s="221">
        <f t="shared" si="7"/>
        <v>0</v>
      </c>
      <c r="V36" s="229" t="str">
        <f>ifs($N36="",VLOOKUP($B36&amp;$E36,'VISIT DATA'!$A$2:$J100,7,FALSE), $N36="SWAB","OUTSA-RW",$N36="SWQU","OUTSA-SaQu", AND($L36="X",$M36="X",$N36="QUEST"),"OUT-UAQPre",$N36="QUEST","OUT-UAQ", $N36="Walk in","ColUATele")</f>
        <v>UA</v>
      </c>
      <c r="W36" s="24" t="str">
        <f t="shared" si="8"/>
        <v>UA : Urine Analysis In House</v>
      </c>
      <c r="X36" s="222" t="str">
        <f t="shared" si="9"/>
        <v>UA : Urine Analysis In House</v>
      </c>
      <c r="Y36" s="222" t="str">
        <f t="shared" si="10"/>
        <v>MATCH</v>
      </c>
      <c r="Z36" s="224" t="str">
        <f t="shared" si="11"/>
        <v> </v>
      </c>
      <c r="AA36" s="244"/>
    </row>
    <row r="37">
      <c r="A37" s="214" t="str">
        <f>IFS($B37=FALSE,"",$B37,VLOOKUP($B37,'PATIENT DATA (072721)'!A:C, 2, 0))</f>
        <v>MARIN, CARLOS E</v>
      </c>
      <c r="B37" s="215">
        <v>16607.0</v>
      </c>
      <c r="C37" s="230" t="str">
        <f>IF(COUNTIF('PATIENT DATA (072721)'!A:A, B37)=0, "X","✓")</f>
        <v>✓</v>
      </c>
      <c r="D37" s="226">
        <f>IFS($B37=FALSE,"",$B37,VLOOKUP($B37,'PATIENT DATA (072721)'!A:C, 3, 0))</f>
        <v>29673</v>
      </c>
      <c r="E37" s="218">
        <v>44578.0</v>
      </c>
      <c r="F37" s="219">
        <f>ifs($B37="","",$B37, VLOOKUP($B37&amp;$E37, 'VISIT DATA'!A:O,3,0))</f>
        <v>0.5520833333</v>
      </c>
      <c r="G37" s="231" t="s">
        <v>6328</v>
      </c>
      <c r="H37" s="221" t="s">
        <v>14</v>
      </c>
      <c r="I37" s="222" t="str">
        <f>VLOOKUP($B37&amp;$E37,'VISIT DATA'!A:J, 9, FALSE)</f>
        <v>TORRES</v>
      </c>
      <c r="J37" s="223" t="str">
        <f>VLOOKUP(B37&amp;E37,'VISIT DATA'!A:N,10,FALSE)</f>
        <v>MOLINA MEDICAID TEXAS</v>
      </c>
      <c r="K37" s="225"/>
      <c r="L37" s="224" t="s">
        <v>6242</v>
      </c>
      <c r="M37" s="224"/>
      <c r="N37" s="225"/>
      <c r="O37" s="216" t="str">
        <f t="shared" si="1"/>
        <v>✓</v>
      </c>
      <c r="P37" s="226" t="str">
        <f t="shared" si="2"/>
        <v>#VALUE!</v>
      </c>
      <c r="Q37" s="227" t="str">
        <f t="shared" si="3"/>
        <v>X</v>
      </c>
      <c r="R37" s="228" t="str">
        <f t="shared" si="4"/>
        <v>#VALUE!</v>
      </c>
      <c r="S37" s="220" t="str">
        <f t="shared" si="5"/>
        <v>#VALUE!</v>
      </c>
      <c r="T37" s="220" t="str">
        <f t="shared" si="6"/>
        <v>#VALUE!</v>
      </c>
      <c r="U37" s="221">
        <f t="shared" si="7"/>
        <v>1</v>
      </c>
      <c r="V37" s="229" t="str">
        <f>ifs($N37="",VLOOKUP($B37&amp;$E37,'VISIT DATA'!$A$2:$J100,7,FALSE), $N37="SWAB","OUTSA-RW",$N37="SWQU","OUTSA-SaQu", AND($L37="X",$M37="X",$N37="QUEST"),"OUT-UAQPre",$N37="QUEST","OUT-UAQ", $N37="Walk in","ColUATele")</f>
        <v>OUTUA-FURW</v>
      </c>
      <c r="W37" s="24" t="str">
        <f t="shared" si="8"/>
        <v>OUTUA-FURW : OUT UA FU Redwood</v>
      </c>
      <c r="X37" s="222" t="str">
        <f t="shared" si="9"/>
        <v>OUTUA-FURW : OUT UA FU Redwood</v>
      </c>
      <c r="Y37" s="222" t="str">
        <f t="shared" si="10"/>
        <v>MATCH</v>
      </c>
      <c r="Z37" s="224" t="str">
        <f t="shared" si="11"/>
        <v> </v>
      </c>
      <c r="AA37" s="244"/>
    </row>
    <row r="38">
      <c r="A38" s="214" t="str">
        <f>IFS($B38=FALSE,"",$B38,VLOOKUP($B38,'PATIENT DATA (072721)'!A:C, 2, 0))</f>
        <v>ACENCIO, DENISE M</v>
      </c>
      <c r="B38" s="215">
        <v>17849.0</v>
      </c>
      <c r="C38" s="230" t="str">
        <f>IF(COUNTIF('PATIENT DATA (072721)'!A:A, B38)=0, "X","✓")</f>
        <v>✓</v>
      </c>
      <c r="D38" s="226">
        <f>IFS($B38=FALSE,"",$B38,VLOOKUP($B38,'PATIENT DATA (072721)'!A:C, 3, 0))</f>
        <v>26237</v>
      </c>
      <c r="E38" s="218">
        <v>44578.0</v>
      </c>
      <c r="F38" s="219">
        <f>ifs($B38="","",$B38, VLOOKUP($B38&amp;$E38, 'VISIT DATA'!A:O,3,0))</f>
        <v>0.5416666667</v>
      </c>
      <c r="G38" s="231" t="s">
        <v>6323</v>
      </c>
      <c r="H38" s="221" t="s">
        <v>12</v>
      </c>
      <c r="I38" s="222" t="str">
        <f>VLOOKUP($B38&amp;$E38,'VISIT DATA'!A:J, 9, FALSE)</f>
        <v>LOPEZ</v>
      </c>
      <c r="J38" s="223" t="str">
        <f>VLOOKUP(B38&amp;E38,'VISIT DATA'!A:N,10,FALSE)</f>
        <v>BCBSTX HMO</v>
      </c>
      <c r="K38" s="224" t="s">
        <v>6242</v>
      </c>
      <c r="L38" s="224"/>
      <c r="M38" s="224"/>
      <c r="N38" s="225"/>
      <c r="O38" s="216" t="str">
        <f t="shared" si="1"/>
        <v>✓</v>
      </c>
      <c r="P38" s="226" t="str">
        <f t="shared" si="2"/>
        <v>#VALUE!</v>
      </c>
      <c r="Q38" s="227" t="str">
        <f t="shared" si="3"/>
        <v>#VALUE!</v>
      </c>
      <c r="R38" s="228" t="str">
        <f t="shared" si="4"/>
        <v>#VALUE!</v>
      </c>
      <c r="S38" s="220" t="str">
        <f t="shared" si="5"/>
        <v>#VALUE!</v>
      </c>
      <c r="T38" s="220" t="str">
        <f t="shared" si="6"/>
        <v>#VALUE!</v>
      </c>
      <c r="U38" s="221">
        <f t="shared" si="7"/>
        <v>0</v>
      </c>
      <c r="V38" s="229" t="str">
        <f>ifs($N38="",VLOOKUP($B38&amp;$E38,'VISIT DATA'!$A$2:$J100,7,FALSE), $N38="SWAB","OUTSA-RW",$N38="SWQU","OUTSA-SaQu", AND($L38="X",$M38="X",$N38="QUEST"),"OUT-UAQPre",$N38="QUEST","OUT-UAQ", $N38="Walk in","ColUATele")</f>
        <v>UA-NWPT</v>
      </c>
      <c r="W38" s="24" t="str">
        <f t="shared" si="8"/>
        <v>UA-NWPT : UA New Patient</v>
      </c>
      <c r="X38" s="222" t="str">
        <f t="shared" si="9"/>
        <v>UA-NWPT : UA New Patient</v>
      </c>
      <c r="Y38" s="222" t="str">
        <f t="shared" si="10"/>
        <v>MATCH</v>
      </c>
      <c r="Z38" s="224" t="str">
        <f t="shared" si="11"/>
        <v> </v>
      </c>
      <c r="AA38" s="244"/>
    </row>
    <row r="39">
      <c r="A39" s="214" t="str">
        <f>IFS($B39=FALSE,"",$B39,VLOOKUP($B39,'PATIENT DATA (072721)'!A:C, 2, 0))</f>
        <v>CEJA, SALVADOR</v>
      </c>
      <c r="B39" s="215">
        <v>17760.0</v>
      </c>
      <c r="C39" s="230" t="str">
        <f>IF(COUNTIF('PATIENT DATA (072721)'!A:A, B39)=0, "X","✓")</f>
        <v>✓</v>
      </c>
      <c r="D39" s="226">
        <f>IFS($B39=FALSE,"",$B39,VLOOKUP($B39,'PATIENT DATA (072721)'!A:C, 3, 0))</f>
        <v>23841</v>
      </c>
      <c r="E39" s="218">
        <v>44578.0</v>
      </c>
      <c r="F39" s="219">
        <f>ifs($B39="","",$B39, VLOOKUP($B39&amp;$E39, 'VISIT DATA'!A:O,3,0))</f>
        <v>0.5625</v>
      </c>
      <c r="G39" s="231" t="s">
        <v>6328</v>
      </c>
      <c r="H39" s="221" t="s">
        <v>12</v>
      </c>
      <c r="I39" s="222" t="str">
        <f>VLOOKUP($B39&amp;$E39,'VISIT DATA'!A:J, 9, FALSE)</f>
        <v>LOPEZ</v>
      </c>
      <c r="J39" s="223" t="str">
        <f>VLOOKUP(B39&amp;E39,'VISIT DATA'!A:N,10,FALSE)</f>
        <v>BCBSTX PPO</v>
      </c>
      <c r="K39" s="224" t="s">
        <v>6242</v>
      </c>
      <c r="L39" s="224"/>
      <c r="M39" s="224"/>
      <c r="N39" s="225"/>
      <c r="O39" s="216" t="str">
        <f t="shared" si="1"/>
        <v>✓</v>
      </c>
      <c r="P39" s="226" t="str">
        <f t="shared" si="2"/>
        <v>#VALUE!</v>
      </c>
      <c r="Q39" s="227" t="str">
        <f t="shared" si="3"/>
        <v>#VALUE!</v>
      </c>
      <c r="R39" s="228" t="str">
        <f t="shared" si="4"/>
        <v>#VALUE!</v>
      </c>
      <c r="S39" s="220" t="str">
        <f t="shared" si="5"/>
        <v>#VALUE!</v>
      </c>
      <c r="T39" s="220" t="str">
        <f t="shared" si="6"/>
        <v>#VALUE!</v>
      </c>
      <c r="U39" s="221">
        <f t="shared" si="7"/>
        <v>0</v>
      </c>
      <c r="V39" s="229" t="str">
        <f>ifs($N39="",VLOOKUP($B39&amp;$E39,'VISIT DATA'!$A$2:$J100,7,FALSE), $N39="SWAB","OUTSA-RW",$N39="SWQU","OUTSA-SaQu", AND($L39="X",$M39="X",$N39="QUEST"),"OUT-UAQPre",$N39="QUEST","OUT-UAQ", $N39="Walk in","ColUATele")</f>
        <v>UA-NWPT</v>
      </c>
      <c r="W39" s="24" t="str">
        <f t="shared" si="8"/>
        <v>UA-NWPT : UA New Patient</v>
      </c>
      <c r="X39" s="222" t="str">
        <f t="shared" si="9"/>
        <v>UA-NWPT : UA New Patient</v>
      </c>
      <c r="Y39" s="222" t="str">
        <f t="shared" si="10"/>
        <v>MATCH</v>
      </c>
      <c r="Z39" s="224" t="str">
        <f t="shared" si="11"/>
        <v> </v>
      </c>
      <c r="AA39" s="244"/>
    </row>
    <row r="40">
      <c r="A40" s="214" t="str">
        <f>IFS($B40=FALSE,"",$B40,VLOOKUP($B40,'PATIENT DATA (072721)'!A:C, 2, 0))</f>
        <v>TURNER, ROGER</v>
      </c>
      <c r="B40" s="215">
        <v>12907.0</v>
      </c>
      <c r="C40" s="230" t="str">
        <f>IF(COUNTIF('PATIENT DATA (072721)'!A:A, B40)=0, "X","✓")</f>
        <v>✓</v>
      </c>
      <c r="D40" s="226">
        <f>IFS($B40=FALSE,"",$B40,VLOOKUP($B40,'PATIENT DATA (072721)'!A:C, 3, 0))</f>
        <v>26943</v>
      </c>
      <c r="E40" s="218">
        <v>44578.0</v>
      </c>
      <c r="F40" s="219">
        <f>ifs($B40="","",$B40, VLOOKUP($B40&amp;$E40, 'VISIT DATA'!A:O,3,0))</f>
        <v>0.5520833333</v>
      </c>
      <c r="G40" s="231" t="s">
        <v>6328</v>
      </c>
      <c r="H40" s="221" t="s">
        <v>13</v>
      </c>
      <c r="I40" s="222" t="str">
        <f>VLOOKUP($B40&amp;$E40,'VISIT DATA'!A:J, 9, FALSE)</f>
        <v>LOPEZ</v>
      </c>
      <c r="J40" s="223" t="str">
        <f>VLOOKUP(B40&amp;E40,'VISIT DATA'!A:N,10,FALSE)</f>
        <v>AETNA</v>
      </c>
      <c r="K40" s="224"/>
      <c r="L40" s="224" t="s">
        <v>6242</v>
      </c>
      <c r="M40" s="224"/>
      <c r="N40" s="225"/>
      <c r="O40" s="216" t="str">
        <f t="shared" si="1"/>
        <v>✓</v>
      </c>
      <c r="P40" s="226" t="str">
        <f t="shared" si="2"/>
        <v>#VALUE!</v>
      </c>
      <c r="Q40" s="227" t="str">
        <f t="shared" si="3"/>
        <v>#VALUE!</v>
      </c>
      <c r="R40" s="228" t="str">
        <f t="shared" si="4"/>
        <v>#VALUE!</v>
      </c>
      <c r="S40" s="220" t="str">
        <f t="shared" si="5"/>
        <v>#VALUE!</v>
      </c>
      <c r="T40" s="220" t="str">
        <f t="shared" si="6"/>
        <v>#VALUE!</v>
      </c>
      <c r="U40" s="221">
        <f t="shared" si="7"/>
        <v>0</v>
      </c>
      <c r="V40" s="229" t="str">
        <f>ifs($N40="",VLOOKUP($B40&amp;$E40,'VISIT DATA'!$A$2:$J100,7,FALSE), $N40="SWAB","OUTSA-RW",$N40="SWQU","OUTSA-SaQu", AND($L40="X",$M40="X",$N40="QUEST"),"OUT-UAQPre",$N40="QUEST","OUT-UAQ", $N40="Walk in","ColUATele")</f>
        <v>UA</v>
      </c>
      <c r="W40" s="24" t="str">
        <f t="shared" si="8"/>
        <v>UA : Urine Analysis In House</v>
      </c>
      <c r="X40" s="222" t="str">
        <f t="shared" si="9"/>
        <v>UA : Urine Analysis In House</v>
      </c>
      <c r="Y40" s="222" t="str">
        <f t="shared" si="10"/>
        <v>MATCH</v>
      </c>
      <c r="Z40" s="224" t="str">
        <f t="shared" si="11"/>
        <v> </v>
      </c>
      <c r="AA40" s="244"/>
    </row>
    <row r="41">
      <c r="A41" s="214" t="str">
        <f>IFS($B41=FALSE,"",$B41,VLOOKUP($B41,'PATIENT DATA (072721)'!A:C, 2, 0))</f>
        <v>RIVAS, MARK</v>
      </c>
      <c r="B41" s="215">
        <v>12179.0</v>
      </c>
      <c r="C41" s="216" t="str">
        <f>IF(COUNTIF('PATIENT DATA (072721)'!A:A, B41)=0, "X","✓")</f>
        <v>✓</v>
      </c>
      <c r="D41" s="226">
        <f>IFS($B41=FALSE,"",$B41,VLOOKUP($B41,'PATIENT DATA (072721)'!A:C, 3, 0))</f>
        <v>22392</v>
      </c>
      <c r="E41" s="218">
        <v>44578.0</v>
      </c>
      <c r="F41" s="219">
        <f>ifs($B41="","",$B41, VLOOKUP($B41&amp;$E41, 'VISIT DATA'!A:O,3,0))</f>
        <v>0.5625</v>
      </c>
      <c r="G41" s="220" t="s">
        <v>6328</v>
      </c>
      <c r="H41" s="221" t="s">
        <v>14</v>
      </c>
      <c r="I41" s="222" t="str">
        <f>VLOOKUP($B41&amp;$E41,'VISIT DATA'!A:J, 9, FALSE)</f>
        <v>TORRES</v>
      </c>
      <c r="J41" s="223" t="str">
        <f>VLOOKUP(B41&amp;E41,'VISIT DATA'!A:N,10,FALSE)</f>
        <v>AMERIGROUP</v>
      </c>
      <c r="K41" s="225"/>
      <c r="L41" s="224" t="s">
        <v>6242</v>
      </c>
      <c r="M41" s="224"/>
      <c r="N41" s="225"/>
      <c r="O41" s="216" t="str">
        <f t="shared" si="1"/>
        <v>✓</v>
      </c>
      <c r="P41" s="226" t="str">
        <f t="shared" si="2"/>
        <v>#VALUE!</v>
      </c>
      <c r="Q41" s="227" t="str">
        <f t="shared" si="3"/>
        <v>#VALUE!</v>
      </c>
      <c r="R41" s="228" t="str">
        <f t="shared" si="4"/>
        <v>#VALUE!</v>
      </c>
      <c r="S41" s="220" t="str">
        <f t="shared" si="5"/>
        <v>#VALUE!</v>
      </c>
      <c r="T41" s="220" t="str">
        <f t="shared" si="6"/>
        <v>#VALUE!</v>
      </c>
      <c r="U41" s="221">
        <f t="shared" si="7"/>
        <v>0</v>
      </c>
      <c r="V41" s="229" t="str">
        <f>ifs($N41="",VLOOKUP($B41&amp;$E41,'VISIT DATA'!$A$2:$J100,7,FALSE), $N41="SWAB","OUTSA-RW",$N41="SWQU","OUTSA-SaQu", AND($L41="X",$M41="X",$N41="QUEST"),"OUT-UAQPre",$N41="QUEST","OUT-UAQ", $N41="Walk in","ColUATele")</f>
        <v>UA</v>
      </c>
      <c r="W41" s="24" t="str">
        <f t="shared" si="8"/>
        <v>UA : Urine Analysis In House</v>
      </c>
      <c r="X41" s="222" t="str">
        <f t="shared" si="9"/>
        <v>UA : Urine Analysis In House</v>
      </c>
      <c r="Y41" s="222" t="str">
        <f t="shared" si="10"/>
        <v>MATCH</v>
      </c>
      <c r="Z41" s="224" t="str">
        <f t="shared" si="11"/>
        <v> </v>
      </c>
      <c r="AA41" s="244"/>
    </row>
    <row r="42">
      <c r="A42" s="214" t="str">
        <f>IFS($B42=FALSE,"",$B42,VLOOKUP($B42,'PATIENT DATA (072721)'!A:C, 2, 0))</f>
        <v>ROBINSON, MARK</v>
      </c>
      <c r="B42" s="215">
        <v>12682.0</v>
      </c>
      <c r="C42" s="216" t="str">
        <f>IF(COUNTIF('PATIENT DATA (072721)'!A:A, B42)=0, "X","✓")</f>
        <v>✓</v>
      </c>
      <c r="D42" s="226">
        <f>IFS($B42=FALSE,"",$B42,VLOOKUP($B42,'PATIENT DATA (072721)'!A:C, 3, 0))</f>
        <v>17351</v>
      </c>
      <c r="E42" s="218">
        <v>44578.0</v>
      </c>
      <c r="F42" s="219">
        <f>ifs($B42="","",$B42, VLOOKUP($B42&amp;$E42, 'VISIT DATA'!A:O,3,0))</f>
        <v>0.5625</v>
      </c>
      <c r="G42" s="220" t="s">
        <v>6328</v>
      </c>
      <c r="H42" s="221" t="s">
        <v>14</v>
      </c>
      <c r="I42" s="222" t="str">
        <f>VLOOKUP($B42&amp;$E42,'VISIT DATA'!A:J, 9, FALSE)</f>
        <v>TORRES</v>
      </c>
      <c r="J42" s="223" t="str">
        <f>VLOOKUP(B42&amp;E42,'VISIT DATA'!A:N,10,FALSE)</f>
        <v>WPS VA - COMMUNITY CARE</v>
      </c>
      <c r="K42" s="225"/>
      <c r="L42" s="224" t="s">
        <v>6242</v>
      </c>
      <c r="M42" s="224"/>
      <c r="N42" s="225"/>
      <c r="O42" s="216" t="str">
        <f t="shared" si="1"/>
        <v>✓</v>
      </c>
      <c r="P42" s="226" t="str">
        <f t="shared" si="2"/>
        <v>#VALUE!</v>
      </c>
      <c r="Q42" s="227" t="str">
        <f t="shared" si="3"/>
        <v>#VALUE!</v>
      </c>
      <c r="R42" s="228" t="str">
        <f t="shared" si="4"/>
        <v>#VALUE!</v>
      </c>
      <c r="S42" s="220" t="str">
        <f t="shared" si="5"/>
        <v>#VALUE!</v>
      </c>
      <c r="T42" s="220" t="str">
        <f t="shared" si="6"/>
        <v>#VALUE!</v>
      </c>
      <c r="U42" s="221">
        <f t="shared" si="7"/>
        <v>0</v>
      </c>
      <c r="V42" s="229" t="str">
        <f>ifs($N42="",VLOOKUP($B42&amp;$E42,'VISIT DATA'!$A$2:$J100,7,FALSE), $N42="SWAB","OUTSA-RW",$N42="SWQU","OUTSA-SaQu", AND($L42="X",$M42="X",$N42="QUEST"),"OUT-UAQPre",$N42="QUEST","OUT-UAQ", $N42="Walk in","ColUATele")</f>
        <v>UA</v>
      </c>
      <c r="W42" s="24" t="str">
        <f t="shared" si="8"/>
        <v>UA : Urine Analysis In House</v>
      </c>
      <c r="X42" s="222" t="str">
        <f t="shared" si="9"/>
        <v>UA : Urine Analysis In House</v>
      </c>
      <c r="Y42" s="222" t="str">
        <f t="shared" si="10"/>
        <v>MATCH</v>
      </c>
      <c r="Z42" s="224" t="str">
        <f t="shared" si="11"/>
        <v> </v>
      </c>
      <c r="AA42" s="244"/>
    </row>
    <row r="43">
      <c r="A43" s="214" t="str">
        <f>IFS($B43=FALSE,"",$B43,VLOOKUP($B43,'PATIENT DATA (072721)'!A:C, 2, 0))</f>
        <v>RIVERA-FEBRES, LUIS</v>
      </c>
      <c r="B43" s="215">
        <v>12283.0</v>
      </c>
      <c r="C43" s="216" t="str">
        <f>IF(COUNTIF('PATIENT DATA (072721)'!A:A, B43)=0, "X","✓")</f>
        <v>✓</v>
      </c>
      <c r="D43" s="226">
        <f>IFS($B43=FALSE,"",$B43,VLOOKUP($B43,'PATIENT DATA (072721)'!A:C, 3, 0))</f>
        <v>29642</v>
      </c>
      <c r="E43" s="218">
        <v>44578.0</v>
      </c>
      <c r="F43" s="219">
        <f>ifs($B43="","",$B43, VLOOKUP($B43&amp;$E43, 'VISIT DATA'!A:O,3,0))</f>
        <v>0.59375</v>
      </c>
      <c r="G43" s="220" t="s">
        <v>6328</v>
      </c>
      <c r="H43" s="221" t="s">
        <v>12</v>
      </c>
      <c r="I43" s="222" t="str">
        <f>VLOOKUP($B43&amp;$E43,'VISIT DATA'!A:J, 9, FALSE)</f>
        <v>LOPEZ</v>
      </c>
      <c r="J43" s="223" t="str">
        <f>VLOOKUP(B43&amp;E43,'VISIT DATA'!A:N,10,FALSE)</f>
        <v>WC - DEPARTMENT OF LABOR</v>
      </c>
      <c r="K43" s="225"/>
      <c r="L43" s="224" t="s">
        <v>6242</v>
      </c>
      <c r="M43" s="224"/>
      <c r="N43" s="225"/>
      <c r="O43" s="216" t="str">
        <f t="shared" si="1"/>
        <v>✓</v>
      </c>
      <c r="P43" s="226" t="str">
        <f t="shared" si="2"/>
        <v>#VALUE!</v>
      </c>
      <c r="Q43" s="227" t="str">
        <f t="shared" si="3"/>
        <v>#VALUE!</v>
      </c>
      <c r="R43" s="228" t="str">
        <f t="shared" si="4"/>
        <v>#VALUE!</v>
      </c>
      <c r="S43" s="220" t="str">
        <f t="shared" si="5"/>
        <v>#VALUE!</v>
      </c>
      <c r="T43" s="220" t="str">
        <f t="shared" si="6"/>
        <v>#VALUE!</v>
      </c>
      <c r="U43" s="221">
        <f t="shared" si="7"/>
        <v>0</v>
      </c>
      <c r="V43" s="229" t="str">
        <f>ifs($N43="",VLOOKUP($B43&amp;$E43,'VISIT DATA'!$A$2:$J100,7,FALSE), $N43="SWAB","OUTSA-RW",$N43="SWQU","OUTSA-SaQu", AND($L43="X",$M43="X",$N43="QUEST"),"OUT-UAQPre",$N43="QUEST","OUT-UAQ", $N43="Walk in","ColUATele")</f>
        <v>UA</v>
      </c>
      <c r="W43" s="24" t="str">
        <f t="shared" si="8"/>
        <v>UA : Urine Analysis In House</v>
      </c>
      <c r="X43" s="222" t="str">
        <f t="shared" si="9"/>
        <v>UA : Urine Analysis In House</v>
      </c>
      <c r="Y43" s="222" t="str">
        <f t="shared" si="10"/>
        <v>MATCH</v>
      </c>
      <c r="Z43" s="224" t="str">
        <f t="shared" si="11"/>
        <v> </v>
      </c>
      <c r="AA43" s="244"/>
    </row>
    <row r="44">
      <c r="A44" s="214" t="str">
        <f>IFS($B44=FALSE,"",$B44,VLOOKUP($B44,'PATIENT DATA (072721)'!A:C, 2, 0))</f>
        <v>MAYNES, JESUS M</v>
      </c>
      <c r="B44" s="215">
        <v>15747.0</v>
      </c>
      <c r="C44" s="216" t="str">
        <f>IF(COUNTIF('PATIENT DATA (072721)'!A:A, B44)=0, "X","✓")</f>
        <v>✓</v>
      </c>
      <c r="D44" s="226">
        <f>IFS($B44=FALSE,"",$B44,VLOOKUP($B44,'PATIENT DATA (072721)'!A:C, 3, 0))</f>
        <v>20053</v>
      </c>
      <c r="E44" s="218">
        <v>44578.0</v>
      </c>
      <c r="F44" s="219">
        <f>ifs($B44="","",$B44, VLOOKUP($B44&amp;$E44, 'VISIT DATA'!A:O,3,0))</f>
        <v>0.5625</v>
      </c>
      <c r="G44" s="220" t="s">
        <v>6328</v>
      </c>
      <c r="H44" s="221" t="s">
        <v>12</v>
      </c>
      <c r="I44" s="222" t="str">
        <f>VLOOKUP($B44&amp;$E44,'VISIT DATA'!A:J, 9, FALSE)</f>
        <v>THOMAS</v>
      </c>
      <c r="J44" s="223" t="str">
        <f>VLOOKUP(B44&amp;E44,'VISIT DATA'!A:N,10,FALSE)</f>
        <v>WELLMED - HUMANA</v>
      </c>
      <c r="K44" s="224"/>
      <c r="L44" s="224" t="s">
        <v>6242</v>
      </c>
      <c r="M44" s="224"/>
      <c r="N44" s="225"/>
      <c r="O44" s="216" t="str">
        <f t="shared" si="1"/>
        <v>✓</v>
      </c>
      <c r="P44" s="226" t="str">
        <f t="shared" si="2"/>
        <v>X</v>
      </c>
      <c r="Q44" s="227" t="str">
        <f t="shared" si="3"/>
        <v>#VALUE!</v>
      </c>
      <c r="R44" s="228" t="str">
        <f t="shared" si="4"/>
        <v>#VALUE!</v>
      </c>
      <c r="S44" s="220" t="str">
        <f t="shared" si="5"/>
        <v>#VALUE!</v>
      </c>
      <c r="T44" s="220" t="str">
        <f t="shared" si="6"/>
        <v>#VALUE!</v>
      </c>
      <c r="U44" s="221">
        <f t="shared" si="7"/>
        <v>1</v>
      </c>
      <c r="V44" s="229" t="str">
        <f>ifs($N44="",VLOOKUP($B44&amp;$E44,'VISIT DATA'!$A$2:$J100,7,FALSE), $N44="SWAB","OUTSA-RW",$N44="SWQU","OUTSA-SaQu", AND($L44="X",$M44="X",$N44="QUEST"),"OUT-UAQPre",$N44="QUEST","OUT-UAQ", $N44="Walk in","ColUATele")</f>
        <v>OUTUA-FURW</v>
      </c>
      <c r="W44" s="24" t="str">
        <f t="shared" si="8"/>
        <v>OUTUA-FURW : OUT UA FU Redwood</v>
      </c>
      <c r="X44" s="222" t="str">
        <f t="shared" si="9"/>
        <v>OUTUA-FURW : OUT UA FU Redwood</v>
      </c>
      <c r="Y44" s="222" t="str">
        <f t="shared" si="10"/>
        <v>MATCH</v>
      </c>
      <c r="Z44" s="224" t="str">
        <f t="shared" si="11"/>
        <v> </v>
      </c>
      <c r="AA44" s="244"/>
    </row>
    <row r="45">
      <c r="A45" s="214" t="str">
        <f>IFS($B45=FALSE,"",$B45,VLOOKUP($B45,'PATIENT DATA (072721)'!A:C, 2, 0))</f>
        <v>LOPEZ, IRMA</v>
      </c>
      <c r="B45" s="215">
        <v>10589.0</v>
      </c>
      <c r="C45" s="216" t="str">
        <f>IF(COUNTIF('PATIENT DATA (072721)'!A:A, B45)=0, "X","✓")</f>
        <v>✓</v>
      </c>
      <c r="D45" s="226">
        <f>IFS($B45=FALSE,"",$B45,VLOOKUP($B45,'PATIENT DATA (072721)'!A:C, 3, 0))</f>
        <v>16098</v>
      </c>
      <c r="E45" s="218">
        <v>44578.0</v>
      </c>
      <c r="F45" s="219">
        <f>ifs($B45="","",$B45, VLOOKUP($B45&amp;$E45, 'VISIT DATA'!A:O,3,0))</f>
        <v>0.59375</v>
      </c>
      <c r="G45" s="220" t="s">
        <v>6323</v>
      </c>
      <c r="H45" s="221" t="s">
        <v>14</v>
      </c>
      <c r="I45" s="222" t="str">
        <f>VLOOKUP($B45&amp;$E45,'VISIT DATA'!A:J, 9, FALSE)</f>
        <v>TORRES</v>
      </c>
      <c r="J45" s="223" t="str">
        <f>VLOOKUP(B45&amp;E45,'VISIT DATA'!A:N,10,FALSE)</f>
        <v>WELLMED - UHC CHRONIC COMPLETE HMO C-SNP</v>
      </c>
      <c r="K45" s="225"/>
      <c r="L45" s="224" t="s">
        <v>6242</v>
      </c>
      <c r="M45" s="224" t="s">
        <v>6242</v>
      </c>
      <c r="N45" s="225"/>
      <c r="O45" s="216" t="str">
        <f t="shared" si="1"/>
        <v>✓</v>
      </c>
      <c r="P45" s="226" t="str">
        <f t="shared" si="2"/>
        <v>X</v>
      </c>
      <c r="Q45" s="227" t="str">
        <f t="shared" si="3"/>
        <v>#VALUE!</v>
      </c>
      <c r="R45" s="228" t="str">
        <f t="shared" si="4"/>
        <v>#VALUE!</v>
      </c>
      <c r="S45" s="220" t="str">
        <f t="shared" si="5"/>
        <v>#VALUE!</v>
      </c>
      <c r="T45" s="220" t="str">
        <f t="shared" si="6"/>
        <v>#VALUE!</v>
      </c>
      <c r="U45" s="221">
        <f t="shared" si="7"/>
        <v>1</v>
      </c>
      <c r="V45" s="229" t="str">
        <f>ifs($N45="",VLOOKUP($B45&amp;$E45,'VISIT DATA'!$A$2:$J100,7,FALSE), $N45="SWAB","OUTSA-RW",$N45="SWQU","OUTSA-SaQu", AND($L45="X",$M45="X",$N45="QUEST"),"OUT-UAQPre",$N45="QUEST","OUT-UAQ", $N45="Walk in","ColUATele")</f>
        <v>OUTUA-PrRW</v>
      </c>
      <c r="W45" s="24" t="str">
        <f t="shared" si="8"/>
        <v>OUTUA-PrRW : OUT UA Prelimin Redwood</v>
      </c>
      <c r="X45" s="222" t="str">
        <f t="shared" si="9"/>
        <v>OUTUA-PrRW : OUT UA Prelimin Redwood</v>
      </c>
      <c r="Y45" s="222" t="str">
        <f t="shared" si="10"/>
        <v>MATCH</v>
      </c>
      <c r="Z45" s="224" t="str">
        <f t="shared" si="11"/>
        <v> </v>
      </c>
      <c r="AA45" s="244"/>
    </row>
    <row r="46">
      <c r="A46" s="214" t="str">
        <f>IFS($B46=FALSE,"",$B46,VLOOKUP($B46,'PATIENT DATA (072721)'!A:C, 2, 0))</f>
        <v>CANO, SOCORRO R</v>
      </c>
      <c r="B46" s="215">
        <v>15108.0</v>
      </c>
      <c r="C46" s="216" t="str">
        <f>IF(COUNTIF('PATIENT DATA (072721)'!A:A, B46)=0, "X","✓")</f>
        <v>✓</v>
      </c>
      <c r="D46" s="226">
        <f>IFS($B46=FALSE,"",$B46,VLOOKUP($B46,'PATIENT DATA (072721)'!A:C, 3, 0))</f>
        <v>18112</v>
      </c>
      <c r="E46" s="218">
        <v>44578.0</v>
      </c>
      <c r="F46" s="219">
        <f>ifs($B46="","",$B46, VLOOKUP($B46&amp;$E46, 'VISIT DATA'!A:O,3,0))</f>
        <v>0.5833333333</v>
      </c>
      <c r="G46" s="220" t="s">
        <v>6323</v>
      </c>
      <c r="H46" s="221" t="s">
        <v>14</v>
      </c>
      <c r="I46" s="222" t="str">
        <f>VLOOKUP($B46&amp;$E46,'VISIT DATA'!A:J, 9, FALSE)</f>
        <v>TORRES</v>
      </c>
      <c r="J46" s="223" t="str">
        <f>VLOOKUP(B46&amp;E46,'VISIT DATA'!A:N,10,FALSE)</f>
        <v>WELLMED - AARP MEDICARE COMPLETE</v>
      </c>
      <c r="K46" s="224"/>
      <c r="L46" s="224" t="s">
        <v>6242</v>
      </c>
      <c r="M46" s="224"/>
      <c r="N46" s="225"/>
      <c r="O46" s="216" t="str">
        <f t="shared" si="1"/>
        <v>✓</v>
      </c>
      <c r="P46" s="226" t="str">
        <f t="shared" si="2"/>
        <v>X</v>
      </c>
      <c r="Q46" s="227" t="str">
        <f t="shared" si="3"/>
        <v>#VALUE!</v>
      </c>
      <c r="R46" s="228" t="str">
        <f t="shared" si="4"/>
        <v>#VALUE!</v>
      </c>
      <c r="S46" s="220" t="str">
        <f t="shared" si="5"/>
        <v>#VALUE!</v>
      </c>
      <c r="T46" s="220" t="str">
        <f t="shared" si="6"/>
        <v>#VALUE!</v>
      </c>
      <c r="U46" s="221">
        <f t="shared" si="7"/>
        <v>1</v>
      </c>
      <c r="V46" s="229" t="str">
        <f>ifs($N46="",VLOOKUP($B46&amp;$E46,'VISIT DATA'!$A$2:$J100,7,FALSE), $N46="SWAB","OUTSA-RW",$N46="SWQU","OUTSA-SaQu", AND($L46="X",$M46="X",$N46="QUEST"),"OUT-UAQPre",$N46="QUEST","OUT-UAQ", $N46="Walk in","ColUATele")</f>
        <v>OUTUA-FURW</v>
      </c>
      <c r="W46" s="24" t="str">
        <f t="shared" si="8"/>
        <v>OUTUA-FURW : OUT UA FU Redwood</v>
      </c>
      <c r="X46" s="222" t="str">
        <f t="shared" si="9"/>
        <v>OUTUA-FURW : OUT UA FU Redwood</v>
      </c>
      <c r="Y46" s="222" t="str">
        <f t="shared" si="10"/>
        <v>MATCH</v>
      </c>
      <c r="Z46" s="224" t="str">
        <f t="shared" si="11"/>
        <v> </v>
      </c>
      <c r="AA46" s="244"/>
    </row>
    <row r="47" hidden="1">
      <c r="A47" s="214" t="str">
        <f>IFS($B47=FALSE,"",$B47,VLOOKUP($B47,'PATIENT DATA (072721)'!A:C, 2, 0))</f>
        <v>FERNANDEZ, SOCORRO</v>
      </c>
      <c r="B47" s="215">
        <v>10911.0</v>
      </c>
      <c r="C47" s="230" t="str">
        <f>IF(COUNTIF('PATIENT DATA (072721)'!A:A, B47)=0, "X","✓")</f>
        <v>✓</v>
      </c>
      <c r="D47" s="226">
        <f>IFS($B47=FALSE,"",$B47,VLOOKUP($B47,'PATIENT DATA (072721)'!A:C, 3, 0))</f>
        <v>12187</v>
      </c>
      <c r="E47" s="218">
        <v>44578.0</v>
      </c>
      <c r="F47" s="219">
        <f>ifs($B47="","",$B47, VLOOKUP($B47&amp;$E47, 'VISIT DATA'!A:O,3,0))</f>
        <v>0.5833333333</v>
      </c>
      <c r="G47" s="220" t="s">
        <v>6323</v>
      </c>
      <c r="H47" s="221" t="s">
        <v>14</v>
      </c>
      <c r="I47" s="222" t="str">
        <f>VLOOKUP($B47&amp;$E47,'VISIT DATA'!A:J, 9, FALSE)</f>
        <v>TORRES</v>
      </c>
      <c r="J47" s="223" t="str">
        <f>VLOOKUP(B47&amp;E47,'VISIT DATA'!A:N,10,FALSE)</f>
        <v>WELLMED - AARP MEDICARE COMPLETE</v>
      </c>
      <c r="K47" s="225"/>
      <c r="L47" s="224"/>
      <c r="M47" s="224"/>
      <c r="N47" s="225"/>
      <c r="O47" s="216" t="str">
        <f t="shared" si="1"/>
        <v>X</v>
      </c>
      <c r="P47" s="226" t="str">
        <f t="shared" si="2"/>
        <v>X</v>
      </c>
      <c r="Q47" s="227" t="str">
        <f t="shared" si="3"/>
        <v>#VALUE!</v>
      </c>
      <c r="R47" s="228" t="str">
        <f t="shared" si="4"/>
        <v>#VALUE!</v>
      </c>
      <c r="S47" s="220" t="str">
        <f t="shared" si="5"/>
        <v>#VALUE!</v>
      </c>
      <c r="T47" s="220" t="str">
        <f t="shared" si="6"/>
        <v>#VALUE!</v>
      </c>
      <c r="U47" s="221">
        <f t="shared" si="7"/>
        <v>1</v>
      </c>
      <c r="V47" s="229" t="str">
        <f>ifs($N47="",VLOOKUP($B47&amp;$E47,'VISIT DATA'!$A$2:$J100,7,FALSE), $N47="SWAB","OUTSA-RW",$N47="SWQU","OUTSA-SaQu", AND($L47="X",$M47="X",$N47="QUEST"),"OUT-UAQPre",$N47="QUEST","OUT-UAQ", $N47="Walk in","ColUATele")</f>
        <v>OUTUA-FURW</v>
      </c>
      <c r="W47" s="24" t="str">
        <f t="shared" si="8"/>
        <v>OUTUA-FURW : OUT UA FU Redwood</v>
      </c>
      <c r="X47" s="222" t="str">
        <f t="shared" si="9"/>
        <v>#N/A</v>
      </c>
      <c r="Y47" s="222" t="str">
        <f t="shared" si="10"/>
        <v>#N/A</v>
      </c>
      <c r="Z47" s="224" t="str">
        <f t="shared" si="11"/>
        <v> </v>
      </c>
      <c r="AA47" s="244"/>
    </row>
    <row r="48">
      <c r="A48" s="214" t="str">
        <f>IFS($B48=FALSE,"",$B48,VLOOKUP($B48,'PATIENT DATA (072721)'!A:C, 2, 0))</f>
        <v>LEGARRETA, CECILIA</v>
      </c>
      <c r="B48" s="215">
        <v>17566.0</v>
      </c>
      <c r="C48" s="230" t="str">
        <f>IF(COUNTIF('PATIENT DATA (072721)'!A:A, B48)=0, "X","✓")</f>
        <v>✓</v>
      </c>
      <c r="D48" s="226">
        <f>IFS($B48=FALSE,"",$B48,VLOOKUP($B48,'PATIENT DATA (072721)'!A:C, 3, 0))</f>
        <v>22520</v>
      </c>
      <c r="E48" s="218">
        <v>44578.0</v>
      </c>
      <c r="F48" s="219">
        <f>ifs($B48="","",$B48, VLOOKUP($B48&amp;$E48, 'VISIT DATA'!A:O,3,0))</f>
        <v>0.59375</v>
      </c>
      <c r="G48" s="220" t="s">
        <v>6323</v>
      </c>
      <c r="H48" s="221" t="s">
        <v>12</v>
      </c>
      <c r="I48" s="222" t="str">
        <f>VLOOKUP($B48&amp;$E48,'VISIT DATA'!A:J, 9, FALSE)</f>
        <v>LOPEZ</v>
      </c>
      <c r="J48" s="223" t="str">
        <f>VLOOKUP(B48&amp;E48,'VISIT DATA'!A:N,10,FALSE)</f>
        <v>MOLINA MARKETPLACE TEXAS</v>
      </c>
      <c r="K48" s="224" t="s">
        <v>6242</v>
      </c>
      <c r="L48" s="224"/>
      <c r="M48" s="224"/>
      <c r="N48" s="224"/>
      <c r="O48" s="216" t="str">
        <f t="shared" si="1"/>
        <v>✓</v>
      </c>
      <c r="P48" s="226" t="str">
        <f t="shared" si="2"/>
        <v>#VALUE!</v>
      </c>
      <c r="Q48" s="227" t="str">
        <f t="shared" si="3"/>
        <v>X</v>
      </c>
      <c r="R48" s="228" t="str">
        <f t="shared" si="4"/>
        <v>#VALUE!</v>
      </c>
      <c r="S48" s="220" t="str">
        <f t="shared" si="5"/>
        <v>#VALUE!</v>
      </c>
      <c r="T48" s="220" t="str">
        <f t="shared" si="6"/>
        <v>#VALUE!</v>
      </c>
      <c r="U48" s="221">
        <f t="shared" si="7"/>
        <v>1</v>
      </c>
      <c r="V48" s="229" t="str">
        <f>ifs($N48="",VLOOKUP($B48&amp;$E48,'VISIT DATA'!$A$2:$J100,7,FALSE), $N48="SWAB","OUTSA-RW",$N48="SWQU","OUTSA-SaQu", AND($L48="X",$M48="X",$N48="QUEST"),"OUT-UAQPre",$N48="QUEST","OUT-UAQ", $N48="Walk in","ColUATele")</f>
        <v>OUTUA-NWRW</v>
      </c>
      <c r="W48" s="24" t="str">
        <f t="shared" si="8"/>
        <v>OUTUA-NWRW : OUT UA New Redwood</v>
      </c>
      <c r="X48" s="222" t="str">
        <f t="shared" si="9"/>
        <v>OUTUA-NWRW : OUT UA New Redwood</v>
      </c>
      <c r="Y48" s="222" t="str">
        <f t="shared" si="10"/>
        <v>MATCH</v>
      </c>
      <c r="Z48" s="224" t="str">
        <f t="shared" si="11"/>
        <v> </v>
      </c>
      <c r="AA48" s="244"/>
    </row>
    <row r="49">
      <c r="A49" s="214" t="str">
        <f>IFS($B49=FALSE,"",$B49,VLOOKUP($B49,'PATIENT DATA (072721)'!A:C, 2, 0))</f>
        <v>BELTRAN, ALICIA</v>
      </c>
      <c r="B49" s="215">
        <v>11183.0</v>
      </c>
      <c r="C49" s="247" t="str">
        <f>IF(COUNTIF('PATIENT DATA (072721)'!A:A, B49)=0, "X","✓")</f>
        <v>✓</v>
      </c>
      <c r="D49" s="226">
        <f>IFS($B49=FALSE,"",$B49,VLOOKUP($B49,'PATIENT DATA (072721)'!A:C, 3, 0))</f>
        <v>19173</v>
      </c>
      <c r="E49" s="218">
        <v>44578.0</v>
      </c>
      <c r="F49" s="219">
        <f>ifs($B49="","",$B49, VLOOKUP($B49&amp;$E49, 'VISIT DATA'!A:O,3,0))</f>
        <v>0.6145833333</v>
      </c>
      <c r="G49" s="220" t="s">
        <v>6323</v>
      </c>
      <c r="H49" s="221" t="s">
        <v>12</v>
      </c>
      <c r="I49" s="222" t="str">
        <f>VLOOKUP($B49&amp;$E49,'VISIT DATA'!A:J, 9, FALSE)</f>
        <v>THOMAS</v>
      </c>
      <c r="J49" s="223" t="str">
        <f>VLOOKUP(B49&amp;E49,'VISIT DATA'!A:N,10,FALSE)</f>
        <v>WELLMED - AARP MEDICARE COMPLETE</v>
      </c>
      <c r="K49" s="225"/>
      <c r="L49" s="224" t="s">
        <v>6242</v>
      </c>
      <c r="M49" s="224"/>
      <c r="N49" s="225"/>
      <c r="O49" s="247" t="str">
        <f t="shared" si="1"/>
        <v>✓</v>
      </c>
      <c r="P49" s="226" t="str">
        <f t="shared" si="2"/>
        <v>X</v>
      </c>
      <c r="Q49" s="227" t="str">
        <f t="shared" si="3"/>
        <v>#VALUE!</v>
      </c>
      <c r="R49" s="228" t="str">
        <f t="shared" si="4"/>
        <v>#VALUE!</v>
      </c>
      <c r="S49" s="220" t="str">
        <f t="shared" si="5"/>
        <v>#VALUE!</v>
      </c>
      <c r="T49" s="220" t="str">
        <f t="shared" si="6"/>
        <v>#VALUE!</v>
      </c>
      <c r="U49" s="221">
        <f t="shared" si="7"/>
        <v>1</v>
      </c>
      <c r="V49" s="229" t="str">
        <f>ifs($N49="",VLOOKUP($B49&amp;$E49,'VISIT DATA'!$A$2:$J100,7,FALSE), $N49="SWAB","OUTSA-RW",$N49="SWQU","OUTSA-SaQu", AND($L49="X",$M49="X",$N49="QUEST"),"OUT-UAQPre",$N49="QUEST","OUT-UAQ", $N49="Walk in","ColUATele")</f>
        <v>OUTUA-FURW</v>
      </c>
      <c r="W49" s="24" t="str">
        <f t="shared" si="8"/>
        <v>OUTUA-FURW : OUT UA FU Redwood</v>
      </c>
      <c r="X49" s="222" t="str">
        <f t="shared" si="9"/>
        <v>OUTUA-FURW : OUT UA FU Redwood</v>
      </c>
      <c r="Y49" s="222" t="str">
        <f t="shared" si="10"/>
        <v>MATCH</v>
      </c>
      <c r="Z49" s="224" t="str">
        <f t="shared" si="11"/>
        <v> </v>
      </c>
      <c r="AA49" s="244"/>
    </row>
    <row r="50">
      <c r="A50" s="248" t="str">
        <f>IFS($B50=FALSE,"",$B50,VLOOKUP($B50,'PATIENT DATA (072721)'!A:C, 2, 0))</f>
        <v>REYES, EMMA O</v>
      </c>
      <c r="B50" s="249">
        <v>10327.0</v>
      </c>
      <c r="C50" s="250" t="str">
        <f>IF(COUNTIF('PATIENT DATA (072721)'!A:A, B50)=0, "X","✓")</f>
        <v>✓</v>
      </c>
      <c r="D50" s="251">
        <f>IFS($B50=FALSE,"",$B50,VLOOKUP($B50,'PATIENT DATA (072721)'!A:C, 3, 0))</f>
        <v>18737</v>
      </c>
      <c r="E50" s="252">
        <v>44578.0</v>
      </c>
      <c r="F50" s="253">
        <f>ifs($B50="","",$B50, VLOOKUP($B50&amp;$E50, 'VISIT DATA'!A:O,3,0))</f>
        <v>0.6458333333</v>
      </c>
      <c r="G50" s="254" t="s">
        <v>6323</v>
      </c>
      <c r="H50" s="255" t="s">
        <v>12</v>
      </c>
      <c r="I50" s="256" t="str">
        <f>VLOOKUP($B50&amp;$E50,'VISIT DATA'!A:J, 9, FALSE)</f>
        <v>THOMAS</v>
      </c>
      <c r="J50" s="257" t="str">
        <f>VLOOKUP(B50&amp;E50,'VISIT DATA'!A:N,10,FALSE)</f>
        <v>WELLMED - AARP MEDICARE COMPLETE</v>
      </c>
      <c r="K50" s="258"/>
      <c r="L50" s="259" t="s">
        <v>6242</v>
      </c>
      <c r="M50" s="259"/>
      <c r="N50" s="258"/>
      <c r="O50" s="260" t="str">
        <f t="shared" si="1"/>
        <v>✓</v>
      </c>
      <c r="P50" s="226" t="str">
        <f t="shared" si="2"/>
        <v>X</v>
      </c>
      <c r="Q50" s="227" t="str">
        <f t="shared" si="3"/>
        <v>#VALUE!</v>
      </c>
      <c r="R50" s="228" t="str">
        <f t="shared" si="4"/>
        <v>#VALUE!</v>
      </c>
      <c r="S50" s="220" t="str">
        <f t="shared" si="5"/>
        <v>#VALUE!</v>
      </c>
      <c r="T50" s="220" t="str">
        <f t="shared" si="6"/>
        <v>#VALUE!</v>
      </c>
      <c r="U50" s="221">
        <f t="shared" si="7"/>
        <v>1</v>
      </c>
      <c r="V50" s="261" t="str">
        <f>ifs($N50="",VLOOKUP($B50&amp;$E50,'VISIT DATA'!$A$2:$J100,7,FALSE), $N50="SWAB","OUTSA-RW",$N50="SWQU","OUTSA-SaQu", AND($L50="X",$M50="X",$N50="QUEST"),"OUT-UAQPre",$N50="QUEST","OUT-UAQ", $N50="Walk in","ColUATele")</f>
        <v>OUTUA-FURW</v>
      </c>
      <c r="W50" s="24" t="str">
        <f t="shared" si="8"/>
        <v>OUTUA-FURW : OUT UA FU Redwood</v>
      </c>
      <c r="X50" s="222" t="str">
        <f t="shared" si="9"/>
        <v>OUTUA-FURW : OUT UA FU Redwood</v>
      </c>
      <c r="Y50" s="222" t="str">
        <f t="shared" si="10"/>
        <v>MATCH</v>
      </c>
      <c r="Z50" s="224" t="str">
        <f t="shared" si="11"/>
        <v> </v>
      </c>
      <c r="AA50" s="244"/>
    </row>
    <row r="51">
      <c r="A51" s="214" t="str">
        <f>IFS($B51=FALSE,"",$B51,VLOOKUP($B51,'PATIENT DATA (072721)'!A:C, 2, 0))</f>
        <v>SARRATORI, GWENDOLINE M</v>
      </c>
      <c r="B51" s="215">
        <v>16983.0</v>
      </c>
      <c r="C51" s="230" t="str">
        <f>IF(COUNTIF('PATIENT DATA (072721)'!A:A, B51)=0, "X","✓")</f>
        <v>✓</v>
      </c>
      <c r="D51" s="226">
        <f>IFS($B51=FALSE,"",$B51,VLOOKUP($B51,'PATIENT DATA (072721)'!A:C, 3, 0))</f>
        <v>33550</v>
      </c>
      <c r="E51" s="218">
        <v>44578.0</v>
      </c>
      <c r="F51" s="219">
        <f>ifs($B51="","",$B51, VLOOKUP($B51&amp;$E51, 'VISIT DATA'!A:O,3,0))</f>
        <v>0.6458333333</v>
      </c>
      <c r="G51" s="231" t="s">
        <v>6323</v>
      </c>
      <c r="H51" s="221" t="s">
        <v>12</v>
      </c>
      <c r="I51" s="262" t="str">
        <f>VLOOKUP($B51&amp;$E51,'VISIT DATA'!A:J, 9, FALSE)</f>
        <v>LOPEZ</v>
      </c>
      <c r="J51" s="223" t="str">
        <f>VLOOKUP(B51&amp;E51,'VISIT DATA'!A:N,10,FALSE)</f>
        <v>TRICARE PRIME</v>
      </c>
      <c r="K51" s="225"/>
      <c r="L51" s="224" t="s">
        <v>6242</v>
      </c>
      <c r="M51" s="224"/>
      <c r="N51" s="225"/>
      <c r="O51" s="216" t="str">
        <f t="shared" si="1"/>
        <v>✓</v>
      </c>
      <c r="P51" s="226" t="str">
        <f t="shared" si="2"/>
        <v>#VALUE!</v>
      </c>
      <c r="Q51" s="227" t="str">
        <f t="shared" si="3"/>
        <v>#VALUE!</v>
      </c>
      <c r="R51" s="228" t="str">
        <f t="shared" si="4"/>
        <v>#VALUE!</v>
      </c>
      <c r="S51" s="220" t="str">
        <f t="shared" si="5"/>
        <v>#VALUE!</v>
      </c>
      <c r="T51" s="220" t="str">
        <f t="shared" si="6"/>
        <v>#VALUE!</v>
      </c>
      <c r="U51" s="221">
        <f t="shared" si="7"/>
        <v>0</v>
      </c>
      <c r="V51" s="229" t="str">
        <f>ifs($N51="",VLOOKUP($B51&amp;$E51,'VISIT DATA'!$A$2:$J100,7,FALSE), $N51="SWAB","OUTSA-RW",$N51="SWQU","OUTSA-SaQu", AND($L51="X",$M51="X",$N51="QUEST"),"OUT-UAQPre",$N51="QUEST","OUT-UAQ", $N51="Walk in","ColUATele")</f>
        <v>UA</v>
      </c>
      <c r="W51" s="24" t="str">
        <f t="shared" si="8"/>
        <v>UA : Urine Analysis In House</v>
      </c>
      <c r="X51" s="222" t="str">
        <f t="shared" si="9"/>
        <v>UA : Urine Analysis In House</v>
      </c>
      <c r="Y51" s="222" t="str">
        <f t="shared" si="10"/>
        <v>MATCH</v>
      </c>
      <c r="Z51" s="224" t="str">
        <f t="shared" si="11"/>
        <v> </v>
      </c>
      <c r="AA51" s="244"/>
    </row>
    <row r="52">
      <c r="A52" s="214" t="str">
        <f>IFS($B52=FALSE,"",$B52,VLOOKUP($B52,'PATIENT DATA (072721)'!A:C, 2, 0))</f>
        <v>HEDRICK, DARIN B</v>
      </c>
      <c r="B52" s="215">
        <v>12512.0</v>
      </c>
      <c r="C52" s="230" t="str">
        <f>IF(COUNTIF('PATIENT DATA (072721)'!A:A, B52)=0, "X","✓")</f>
        <v>✓</v>
      </c>
      <c r="D52" s="226">
        <f>IFS($B52=FALSE,"",$B52,VLOOKUP($B52,'PATIENT DATA (072721)'!A:C, 3, 0))</f>
        <v>28787</v>
      </c>
      <c r="E52" s="218">
        <v>44578.0</v>
      </c>
      <c r="F52" s="219">
        <f>ifs($B52="","",$B52, VLOOKUP($B52&amp;$E52, 'VISIT DATA'!A:O,3,0))</f>
        <v>0.625</v>
      </c>
      <c r="G52" s="231" t="s">
        <v>6328</v>
      </c>
      <c r="H52" s="221" t="s">
        <v>14</v>
      </c>
      <c r="I52" s="262" t="str">
        <f>VLOOKUP($B52&amp;$E52,'VISIT DATA'!A:J, 9, FALSE)</f>
        <v>TORRES</v>
      </c>
      <c r="J52" s="223" t="str">
        <f>VLOOKUP(B52&amp;E52,'VISIT DATA'!A:N,10,FALSE)</f>
        <v>AMERIGROUP</v>
      </c>
      <c r="K52" s="225"/>
      <c r="L52" s="224" t="s">
        <v>6242</v>
      </c>
      <c r="M52" s="224" t="s">
        <v>6242</v>
      </c>
      <c r="N52" s="225"/>
      <c r="O52" s="216" t="str">
        <f t="shared" si="1"/>
        <v>✓</v>
      </c>
      <c r="P52" s="226" t="str">
        <f t="shared" si="2"/>
        <v>#VALUE!</v>
      </c>
      <c r="Q52" s="227" t="str">
        <f t="shared" si="3"/>
        <v>#VALUE!</v>
      </c>
      <c r="R52" s="228" t="str">
        <f t="shared" si="4"/>
        <v>#VALUE!</v>
      </c>
      <c r="S52" s="220" t="str">
        <f t="shared" si="5"/>
        <v>#VALUE!</v>
      </c>
      <c r="T52" s="220" t="str">
        <f t="shared" si="6"/>
        <v>#VALUE!</v>
      </c>
      <c r="U52" s="221">
        <f t="shared" si="7"/>
        <v>0</v>
      </c>
      <c r="V52" s="229" t="str">
        <f>ifs($N52="",VLOOKUP($B52&amp;$E52,'VISIT DATA'!$A$2:$J100,7,FALSE), $N52="SWAB","OUTSA-RW",$N52="SWQU","OUTSA-SaQu", AND($L52="X",$M52="X",$N52="QUEST"),"OUT-UAQPre",$N52="QUEST","OUT-UAQ", $N52="Walk in","ColUATele")</f>
        <v>UA-Prelim</v>
      </c>
      <c r="W52" s="24" t="str">
        <f t="shared" si="8"/>
        <v>UA-Prelim : Preliminary UA Test</v>
      </c>
      <c r="X52" s="222" t="str">
        <f t="shared" si="9"/>
        <v>UA-Prelim : Preliminary UA Test</v>
      </c>
      <c r="Y52" s="222" t="str">
        <f t="shared" si="10"/>
        <v>MATCH</v>
      </c>
      <c r="Z52" s="224" t="str">
        <f t="shared" si="11"/>
        <v> </v>
      </c>
      <c r="AA52" s="244"/>
    </row>
    <row r="53">
      <c r="A53" s="214" t="str">
        <f>IFS($B53=FALSE,"",$B53,VLOOKUP($B53,'PATIENT DATA (072721)'!A:C, 2, 0))</f>
        <v>DUGAS, AMANDA</v>
      </c>
      <c r="B53" s="215">
        <v>11476.0</v>
      </c>
      <c r="C53" s="230" t="str">
        <f>IF(COUNTIF('PATIENT DATA (072721)'!A:A, B53)=0, "X","✓")</f>
        <v>✓</v>
      </c>
      <c r="D53" s="226">
        <f>IFS($B53=FALSE,"",$B53,VLOOKUP($B53,'PATIENT DATA (072721)'!A:C, 3, 0))</f>
        <v>29766</v>
      </c>
      <c r="E53" s="218">
        <v>44578.0</v>
      </c>
      <c r="F53" s="219">
        <f>ifs($B53="","",$B53, VLOOKUP($B53&amp;$E53, 'VISIT DATA'!A:O,3,0))</f>
        <v>0.6354166667</v>
      </c>
      <c r="G53" s="231" t="s">
        <v>6323</v>
      </c>
      <c r="H53" s="221" t="s">
        <v>14</v>
      </c>
      <c r="I53" s="262" t="str">
        <f>VLOOKUP($B53&amp;$E53,'VISIT DATA'!A:J, 9, FALSE)</f>
        <v>TORRES</v>
      </c>
      <c r="J53" s="223" t="str">
        <f>VLOOKUP(B53&amp;E53,'VISIT DATA'!A:N,10,FALSE)</f>
        <v>PRESBYTERIAN HEALTH PLAN</v>
      </c>
      <c r="K53" s="224"/>
      <c r="L53" s="224" t="s">
        <v>6242</v>
      </c>
      <c r="M53" s="224"/>
      <c r="N53" s="225"/>
      <c r="O53" s="216" t="str">
        <f t="shared" si="1"/>
        <v>✓</v>
      </c>
      <c r="P53" s="226" t="str">
        <f t="shared" si="2"/>
        <v>#VALUE!</v>
      </c>
      <c r="Q53" s="227" t="str">
        <f t="shared" si="3"/>
        <v>#VALUE!</v>
      </c>
      <c r="R53" s="228" t="str">
        <f t="shared" si="4"/>
        <v>#VALUE!</v>
      </c>
      <c r="S53" s="220" t="str">
        <f t="shared" si="5"/>
        <v>#VALUE!</v>
      </c>
      <c r="T53" s="220" t="str">
        <f t="shared" si="6"/>
        <v>#VALUE!</v>
      </c>
      <c r="U53" s="221">
        <f t="shared" si="7"/>
        <v>0</v>
      </c>
      <c r="V53" s="229" t="str">
        <f>ifs($N53="",VLOOKUP($B53&amp;$E53,'VISIT DATA'!$A$2:$J100,7,FALSE), $N53="SWAB","OUTSA-RW",$N53="SWQU","OUTSA-SaQu", AND($L53="X",$M53="X",$N53="QUEST"),"OUT-UAQPre",$N53="QUEST","OUT-UAQ", $N53="Walk in","ColUATele")</f>
        <v>UA</v>
      </c>
      <c r="W53" s="24" t="str">
        <f t="shared" si="8"/>
        <v>UA : Urine Analysis In House</v>
      </c>
      <c r="X53" s="222" t="str">
        <f t="shared" si="9"/>
        <v>UA : Urine Analysis In House</v>
      </c>
      <c r="Y53" s="222" t="str">
        <f t="shared" si="10"/>
        <v>MATCH</v>
      </c>
      <c r="Z53" s="224" t="str">
        <f t="shared" si="11"/>
        <v> </v>
      </c>
      <c r="AA53" s="244"/>
    </row>
    <row r="54">
      <c r="A54" s="214" t="str">
        <f>IFS($B54=FALSE,"",$B54,VLOOKUP($B54,'PATIENT DATA (072721)'!A:C, 2, 0))</f>
        <v>REVELES, MARY H</v>
      </c>
      <c r="B54" s="215">
        <v>15914.0</v>
      </c>
      <c r="C54" s="230" t="str">
        <f>IF(COUNTIF('PATIENT DATA (072721)'!A:A, B54)=0, "X","✓")</f>
        <v>✓</v>
      </c>
      <c r="D54" s="226">
        <f>IFS($B54=FALSE,"",$B54,VLOOKUP($B54,'PATIENT DATA (072721)'!A:C, 3, 0))</f>
        <v>21149</v>
      </c>
      <c r="E54" s="218">
        <v>44578.0</v>
      </c>
      <c r="F54" s="219">
        <f>ifs($B54="","",$B54, VLOOKUP($B54&amp;$E54, 'VISIT DATA'!A:O,3,0))</f>
        <v>0.6458333333</v>
      </c>
      <c r="G54" s="231" t="s">
        <v>6323</v>
      </c>
      <c r="H54" s="221" t="s">
        <v>14</v>
      </c>
      <c r="I54" s="262" t="str">
        <f>VLOOKUP($B54&amp;$E54,'VISIT DATA'!A:J, 9, FALSE)</f>
        <v>TORRES</v>
      </c>
      <c r="J54" s="223" t="str">
        <f>VLOOKUP(B54&amp;E54,'VISIT DATA'!A:N,10,FALSE)</f>
        <v>AMERIGROUP</v>
      </c>
      <c r="K54" s="225"/>
      <c r="L54" s="224" t="s">
        <v>6242</v>
      </c>
      <c r="M54" s="224"/>
      <c r="N54" s="225"/>
      <c r="O54" s="216" t="str">
        <f t="shared" si="1"/>
        <v>✓</v>
      </c>
      <c r="P54" s="226" t="str">
        <f t="shared" si="2"/>
        <v>#VALUE!</v>
      </c>
      <c r="Q54" s="227" t="str">
        <f t="shared" si="3"/>
        <v>#VALUE!</v>
      </c>
      <c r="R54" s="228" t="str">
        <f t="shared" si="4"/>
        <v>#VALUE!</v>
      </c>
      <c r="S54" s="220" t="str">
        <f t="shared" si="5"/>
        <v>#VALUE!</v>
      </c>
      <c r="T54" s="220" t="str">
        <f t="shared" si="6"/>
        <v>#VALUE!</v>
      </c>
      <c r="U54" s="221">
        <f t="shared" si="7"/>
        <v>0</v>
      </c>
      <c r="V54" s="229" t="str">
        <f>ifs($N54="",VLOOKUP($B54&amp;$E54,'VISIT DATA'!$A$2:$J100,7,FALSE), $N54="SWAB","OUTSA-RW",$N54="SWQU","OUTSA-SaQu", AND($L54="X",$M54="X",$N54="QUEST"),"OUT-UAQPre",$N54="QUEST","OUT-UAQ", $N54="Walk in","ColUATele")</f>
        <v>UA</v>
      </c>
      <c r="W54" s="24" t="str">
        <f t="shared" si="8"/>
        <v>UA : Urine Analysis In House</v>
      </c>
      <c r="X54" s="222" t="str">
        <f t="shared" si="9"/>
        <v>UA : Urine Analysis In House</v>
      </c>
      <c r="Y54" s="222" t="str">
        <f t="shared" si="10"/>
        <v>MATCH</v>
      </c>
      <c r="Z54" s="224" t="str">
        <f t="shared" si="11"/>
        <v> </v>
      </c>
      <c r="AA54" s="244"/>
    </row>
    <row r="55">
      <c r="A55" s="214" t="str">
        <f>IFS($B55=FALSE,"",$B55,VLOOKUP($B55,'PATIENT DATA (072721)'!A:C, 2, 0))</f>
        <v>RODRIGUEZ, FELICIDAD</v>
      </c>
      <c r="B55" s="215">
        <v>12946.0</v>
      </c>
      <c r="C55" s="230" t="str">
        <f>IF(COUNTIF('PATIENT DATA (072721)'!A:A, B55)=0, "X","✓")</f>
        <v>✓</v>
      </c>
      <c r="D55" s="226">
        <f>IFS($B55=FALSE,"",$B55,VLOOKUP($B55,'PATIENT DATA (072721)'!A:C, 3, 0))</f>
        <v>22894</v>
      </c>
      <c r="E55" s="218">
        <v>44578.0</v>
      </c>
      <c r="F55" s="219">
        <f>ifs($B55="","",$B55, VLOOKUP($B55&amp;$E55, 'VISIT DATA'!A:O,3,0))</f>
        <v>0.40625</v>
      </c>
      <c r="G55" s="231" t="s">
        <v>6323</v>
      </c>
      <c r="H55" s="221" t="s">
        <v>15</v>
      </c>
      <c r="I55" s="262" t="str">
        <f>VLOOKUP($B55&amp;$E55,'VISIT DATA'!A:J, 9, FALSE)</f>
        <v>MARTINEZ</v>
      </c>
      <c r="J55" s="223" t="str">
        <f>VLOOKUP(B55&amp;E55,'VISIT DATA'!A:N,10,FALSE)</f>
        <v>MOLINA MEDICAID TEXAS</v>
      </c>
      <c r="K55" s="225"/>
      <c r="L55" s="224" t="s">
        <v>6242</v>
      </c>
      <c r="M55" s="224"/>
      <c r="N55" s="225"/>
      <c r="O55" s="216" t="str">
        <f t="shared" si="1"/>
        <v>✓</v>
      </c>
      <c r="P55" s="226" t="str">
        <f t="shared" si="2"/>
        <v>#VALUE!</v>
      </c>
      <c r="Q55" s="227" t="str">
        <f t="shared" si="3"/>
        <v>X</v>
      </c>
      <c r="R55" s="228" t="str">
        <f t="shared" si="4"/>
        <v>#VALUE!</v>
      </c>
      <c r="S55" s="220" t="str">
        <f t="shared" si="5"/>
        <v>#VALUE!</v>
      </c>
      <c r="T55" s="220" t="str">
        <f t="shared" si="6"/>
        <v>#VALUE!</v>
      </c>
      <c r="U55" s="221">
        <f t="shared" si="7"/>
        <v>1</v>
      </c>
      <c r="V55" s="229" t="str">
        <f>ifs($N55="",VLOOKUP($B55&amp;$E55,'VISIT DATA'!$A$2:$J100,7,FALSE), $N55="SWAB","OUTSA-RW",$N55="SWQU","OUTSA-SaQu", AND($L55="X",$M55="X",$N55="QUEST"),"OUT-UAQPre",$N55="QUEST","OUT-UAQ", $N55="Walk in","ColUATele")</f>
        <v>OUTUA-FURW</v>
      </c>
      <c r="W55" s="24" t="str">
        <f t="shared" si="8"/>
        <v>OUTUA-FURW : OUT UA FU Redwood</v>
      </c>
      <c r="X55" s="222" t="str">
        <f t="shared" si="9"/>
        <v>OUTUA-FURW : OUT UA FU Redwood</v>
      </c>
      <c r="Y55" s="222" t="str">
        <f t="shared" si="10"/>
        <v>MATCH</v>
      </c>
      <c r="Z55" s="224" t="str">
        <f t="shared" si="11"/>
        <v> </v>
      </c>
      <c r="AA55" s="244"/>
    </row>
    <row r="56" hidden="1">
      <c r="A56" s="214" t="str">
        <f>IFS($B56=FALSE,"",$B56,VLOOKUP($B56,'PATIENT DATA (072721)'!A:C, 2, 0))</f>
        <v/>
      </c>
      <c r="B56" s="215"/>
      <c r="C56" s="230" t="str">
        <f>IF(COUNTIF('PATIENT DATA (072721)'!A:A, B56)=0, "X","✓")</f>
        <v>X</v>
      </c>
      <c r="D56" s="226" t="str">
        <f>IFS($B56=FALSE,"",$B56,VLOOKUP($B56,'PATIENT DATA (072721)'!A:C, 3, 0))</f>
        <v/>
      </c>
      <c r="E56" s="218">
        <v>44578.0</v>
      </c>
      <c r="F56" s="219" t="str">
        <f>ifs($B56="","",$B56, VLOOKUP($B56&amp;$E56, 'VISIT DATA'!A:O,3,0))</f>
        <v/>
      </c>
      <c r="G56" s="231"/>
      <c r="H56" s="221"/>
      <c r="I56" s="262" t="str">
        <f>VLOOKUP($B56&amp;$E56,'VISIT DATA'!A:J, 9, FALSE)</f>
        <v>#N/A</v>
      </c>
      <c r="J56" s="223" t="str">
        <f>VLOOKUP(B56&amp;E56,'VISIT DATA'!A:N,10,FALSE)</f>
        <v>#N/A</v>
      </c>
      <c r="K56" s="225"/>
      <c r="L56" s="224"/>
      <c r="M56" s="224"/>
      <c r="N56" s="225"/>
      <c r="O56" s="216" t="str">
        <f t="shared" si="1"/>
        <v>X</v>
      </c>
      <c r="P56" s="226" t="str">
        <f t="shared" si="2"/>
        <v>#N/A</v>
      </c>
      <c r="Q56" s="227" t="str">
        <f t="shared" si="3"/>
        <v>#N/A</v>
      </c>
      <c r="R56" s="228" t="str">
        <f t="shared" si="4"/>
        <v>#N/A</v>
      </c>
      <c r="S56" s="220" t="str">
        <f t="shared" si="5"/>
        <v>#N/A</v>
      </c>
      <c r="T56" s="220" t="str">
        <f t="shared" si="6"/>
        <v>#N/A</v>
      </c>
      <c r="U56" s="221">
        <f t="shared" si="7"/>
        <v>0</v>
      </c>
      <c r="V56" s="229" t="str">
        <f>ifs($N56="",VLOOKUP($B56&amp;$E56,'VISIT DATA'!$A$2:$J100,7,FALSE), $N56="SWAB","OUTSA-RW",$N56="SWQU","OUTSA-SaQu", AND($L56="X",$M56="X",$N56="QUEST"),"OUT-UAQPre",$N56="QUEST","OUT-UAQ", $N56="Walk in","ColUATele")</f>
        <v>#N/A</v>
      </c>
      <c r="W56" s="24" t="str">
        <f t="shared" si="8"/>
        <v>#N/A</v>
      </c>
      <c r="X56" s="222" t="str">
        <f t="shared" si="9"/>
        <v/>
      </c>
      <c r="Y56" s="222" t="str">
        <f t="shared" si="10"/>
        <v/>
      </c>
      <c r="Z56" s="224" t="str">
        <f t="shared" si="11"/>
        <v> </v>
      </c>
      <c r="AA56" s="244"/>
    </row>
    <row r="57" hidden="1">
      <c r="A57" s="214" t="str">
        <f>IFS($B57=FALSE,"",$B57,VLOOKUP($B57,'PATIENT DATA (072721)'!A:C, 2, 0))</f>
        <v/>
      </c>
      <c r="B57" s="215"/>
      <c r="C57" s="230" t="str">
        <f>IF(COUNTIF('PATIENT DATA (072721)'!A:A, B57)=0, "X","✓")</f>
        <v>X</v>
      </c>
      <c r="D57" s="226" t="str">
        <f>IFS($B57=FALSE,"",$B57,VLOOKUP($B57,'PATIENT DATA (072721)'!A:C, 3, 0))</f>
        <v/>
      </c>
      <c r="E57" s="218">
        <v>44578.0</v>
      </c>
      <c r="F57" s="219" t="str">
        <f>ifs($B57="","",$B57, VLOOKUP($B57&amp;$E57, 'VISIT DATA'!A:O,3,0))</f>
        <v/>
      </c>
      <c r="G57" s="231"/>
      <c r="H57" s="221"/>
      <c r="I57" s="262" t="str">
        <f>VLOOKUP($B57&amp;$E57,'VISIT DATA'!A:J, 9, FALSE)</f>
        <v>#N/A</v>
      </c>
      <c r="J57" s="223" t="str">
        <f>VLOOKUP(B57&amp;E57,'VISIT DATA'!A:N,10,FALSE)</f>
        <v>#N/A</v>
      </c>
      <c r="K57" s="225"/>
      <c r="L57" s="224"/>
      <c r="M57" s="224"/>
      <c r="N57" s="225"/>
      <c r="O57" s="216" t="str">
        <f t="shared" si="1"/>
        <v>X</v>
      </c>
      <c r="P57" s="226" t="str">
        <f t="shared" si="2"/>
        <v>#N/A</v>
      </c>
      <c r="Q57" s="227" t="str">
        <f t="shared" si="3"/>
        <v>#N/A</v>
      </c>
      <c r="R57" s="228" t="str">
        <f t="shared" si="4"/>
        <v>#N/A</v>
      </c>
      <c r="S57" s="220" t="str">
        <f t="shared" si="5"/>
        <v>#N/A</v>
      </c>
      <c r="T57" s="220" t="str">
        <f t="shared" si="6"/>
        <v>#N/A</v>
      </c>
      <c r="U57" s="221">
        <f t="shared" si="7"/>
        <v>0</v>
      </c>
      <c r="V57" s="229" t="str">
        <f>ifs($N57="",VLOOKUP($B57&amp;$E57,'VISIT DATA'!$A$2:$J100,7,FALSE), $N57="SWAB","OUTSA-RW",$N57="SWQU","OUTSA-SaQu", AND($L57="X",$M57="X",$N57="QUEST"),"OUT-UAQPre",$N57="QUEST","OUT-UAQ", $N57="Walk in","ColUATele")</f>
        <v>#N/A</v>
      </c>
      <c r="W57" s="24" t="str">
        <f t="shared" si="8"/>
        <v>#N/A</v>
      </c>
      <c r="X57" s="222" t="str">
        <f t="shared" si="9"/>
        <v/>
      </c>
      <c r="Y57" s="222" t="str">
        <f t="shared" si="10"/>
        <v/>
      </c>
      <c r="Z57" s="224" t="str">
        <f t="shared" si="11"/>
        <v> </v>
      </c>
      <c r="AA57" s="244"/>
    </row>
    <row r="58" hidden="1">
      <c r="A58" s="214" t="str">
        <f>IFS($B58=FALSE,"",$B58,VLOOKUP($B58,'PATIENT DATA (072721)'!A:C, 2, 0))</f>
        <v/>
      </c>
      <c r="B58" s="215"/>
      <c r="C58" s="230" t="str">
        <f>IF(COUNTIF('PATIENT DATA (072721)'!A:A, B58)=0, "X","✓")</f>
        <v>X</v>
      </c>
      <c r="D58" s="226" t="str">
        <f>IFS($B58=FALSE,"",$B58,VLOOKUP($B58,'PATIENT DATA (072721)'!A:C, 3, 0))</f>
        <v/>
      </c>
      <c r="E58" s="218">
        <v>44578.0</v>
      </c>
      <c r="F58" s="219" t="str">
        <f>ifs($B58="","",$B58, VLOOKUP($B58&amp;$E58, 'VISIT DATA'!A:O,3,0))</f>
        <v/>
      </c>
      <c r="G58" s="231"/>
      <c r="H58" s="221"/>
      <c r="I58" s="262" t="str">
        <f>VLOOKUP($B58&amp;$E58,'VISIT DATA'!A:J, 9, FALSE)</f>
        <v>#N/A</v>
      </c>
      <c r="J58" s="223" t="str">
        <f>VLOOKUP(B58&amp;E58,'VISIT DATA'!A:N,10,FALSE)</f>
        <v>#N/A</v>
      </c>
      <c r="K58" s="224"/>
      <c r="L58" s="224"/>
      <c r="M58" s="224"/>
      <c r="N58" s="225"/>
      <c r="O58" s="216" t="str">
        <f t="shared" si="1"/>
        <v>X</v>
      </c>
      <c r="P58" s="226" t="str">
        <f t="shared" si="2"/>
        <v>#N/A</v>
      </c>
      <c r="Q58" s="227" t="str">
        <f t="shared" si="3"/>
        <v>#N/A</v>
      </c>
      <c r="R58" s="228" t="str">
        <f t="shared" si="4"/>
        <v>#N/A</v>
      </c>
      <c r="S58" s="220" t="str">
        <f t="shared" si="5"/>
        <v>#N/A</v>
      </c>
      <c r="T58" s="220" t="str">
        <f t="shared" si="6"/>
        <v>#N/A</v>
      </c>
      <c r="U58" s="221">
        <f t="shared" si="7"/>
        <v>0</v>
      </c>
      <c r="V58" s="229" t="str">
        <f>ifs($N58="",VLOOKUP($B58&amp;$E58,'VISIT DATA'!$A$2:$J100,7,FALSE), $N58="SWAB","OUTSA-RW",$N58="SWQU","OUTSA-SaQu", AND($L58="X",$M58="X",$N58="QUEST"),"OUT-UAQPre",$N58="QUEST","OUT-UAQ", $N58="Walk in","ColUATele")</f>
        <v>#N/A</v>
      </c>
      <c r="W58" s="24" t="str">
        <f t="shared" si="8"/>
        <v>#N/A</v>
      </c>
      <c r="X58" s="222" t="str">
        <f t="shared" si="9"/>
        <v/>
      </c>
      <c r="Y58" s="222" t="str">
        <f t="shared" si="10"/>
        <v/>
      </c>
      <c r="Z58" s="224" t="str">
        <f t="shared" si="11"/>
        <v> </v>
      </c>
      <c r="AA58" s="244"/>
    </row>
    <row r="59" hidden="1">
      <c r="A59" s="214" t="str">
        <f>IFS($B59=FALSE,"",$B59,VLOOKUP($B59,'PATIENT DATA (072721)'!A:C, 2, 0))</f>
        <v/>
      </c>
      <c r="B59" s="215"/>
      <c r="C59" s="230" t="str">
        <f>IF(COUNTIF('PATIENT DATA (072721)'!A:A, B59)=0, "X","✓")</f>
        <v>X</v>
      </c>
      <c r="D59" s="226" t="str">
        <f>IFS($B59=FALSE,"",$B59,VLOOKUP($B59,'PATIENT DATA (072721)'!A:C, 3, 0))</f>
        <v/>
      </c>
      <c r="E59" s="218">
        <v>44578.0</v>
      </c>
      <c r="F59" s="219" t="str">
        <f>ifs($B59="","",$B59, VLOOKUP($B59&amp;$E59, 'VISIT DATA'!A:O,3,0))</f>
        <v/>
      </c>
      <c r="G59" s="231"/>
      <c r="H59" s="221"/>
      <c r="I59" s="262" t="str">
        <f>VLOOKUP($B59&amp;$E59,'VISIT DATA'!A:J, 9, FALSE)</f>
        <v>#N/A</v>
      </c>
      <c r="J59" s="223" t="str">
        <f>VLOOKUP(B59&amp;E59,'VISIT DATA'!A:N,10,FALSE)</f>
        <v>#N/A</v>
      </c>
      <c r="K59" s="224"/>
      <c r="L59" s="224"/>
      <c r="M59" s="224"/>
      <c r="N59" s="225"/>
      <c r="O59" s="216" t="str">
        <f t="shared" si="1"/>
        <v>X</v>
      </c>
      <c r="P59" s="226" t="str">
        <f t="shared" si="2"/>
        <v>#N/A</v>
      </c>
      <c r="Q59" s="227" t="str">
        <f t="shared" si="3"/>
        <v>#N/A</v>
      </c>
      <c r="R59" s="228" t="str">
        <f t="shared" si="4"/>
        <v>#N/A</v>
      </c>
      <c r="S59" s="220" t="str">
        <f t="shared" si="5"/>
        <v>#N/A</v>
      </c>
      <c r="T59" s="220" t="str">
        <f t="shared" si="6"/>
        <v>#N/A</v>
      </c>
      <c r="U59" s="221">
        <f t="shared" si="7"/>
        <v>0</v>
      </c>
      <c r="V59" s="229" t="str">
        <f>ifs($N59="",VLOOKUP($B59&amp;$E59,'VISIT DATA'!$A$2:$J100,7,FALSE), $N59="SWAB","OUTSA-RW",$N59="SWQU","OUTSA-SaQu", AND($L59="X",$M59="X",$N59="QUEST"),"OUT-UAQPre",$N59="QUEST","OUT-UAQ", $N59="Walk in","ColUATele")</f>
        <v>#N/A</v>
      </c>
      <c r="W59" s="24" t="str">
        <f t="shared" si="8"/>
        <v>#N/A</v>
      </c>
      <c r="X59" s="222" t="str">
        <f t="shared" si="9"/>
        <v/>
      </c>
      <c r="Y59" s="222" t="str">
        <f t="shared" si="10"/>
        <v/>
      </c>
      <c r="Z59" s="224" t="str">
        <f t="shared" si="11"/>
        <v> </v>
      </c>
      <c r="AA59" s="244"/>
    </row>
    <row r="60" hidden="1">
      <c r="A60" s="214" t="str">
        <f>IFS($B60=FALSE,"",$B60,VLOOKUP($B60,'PATIENT DATA (072721)'!A:C, 2, 0))</f>
        <v/>
      </c>
      <c r="B60" s="215"/>
      <c r="C60" s="230" t="str">
        <f>IF(COUNTIF('PATIENT DATA (072721)'!A:A, B60)=0, "X","✓")</f>
        <v>X</v>
      </c>
      <c r="D60" s="226" t="str">
        <f>IFS($B60=FALSE,"",$B60,VLOOKUP($B60,'PATIENT DATA (072721)'!A:C, 3, 0))</f>
        <v/>
      </c>
      <c r="E60" s="218">
        <v>44578.0</v>
      </c>
      <c r="F60" s="219" t="str">
        <f>ifs($B60="","",$B60, VLOOKUP($B60&amp;$E60, 'VISIT DATA'!A:O,3,0))</f>
        <v/>
      </c>
      <c r="G60" s="231"/>
      <c r="H60" s="221"/>
      <c r="I60" s="262" t="str">
        <f>VLOOKUP($B60&amp;$E60,'VISIT DATA'!A:J, 9, FALSE)</f>
        <v>#N/A</v>
      </c>
      <c r="J60" s="223" t="str">
        <f>VLOOKUP(B60&amp;E60,'VISIT DATA'!A:N,10,FALSE)</f>
        <v>#N/A</v>
      </c>
      <c r="K60" s="225"/>
      <c r="L60" s="224"/>
      <c r="M60" s="224"/>
      <c r="N60" s="225"/>
      <c r="O60" s="216" t="str">
        <f t="shared" si="1"/>
        <v>X</v>
      </c>
      <c r="P60" s="226" t="str">
        <f t="shared" si="2"/>
        <v>#N/A</v>
      </c>
      <c r="Q60" s="227" t="str">
        <f t="shared" si="3"/>
        <v>#N/A</v>
      </c>
      <c r="R60" s="228" t="str">
        <f t="shared" si="4"/>
        <v>#N/A</v>
      </c>
      <c r="S60" s="220" t="str">
        <f t="shared" si="5"/>
        <v>#N/A</v>
      </c>
      <c r="T60" s="220" t="str">
        <f t="shared" si="6"/>
        <v>#N/A</v>
      </c>
      <c r="U60" s="221">
        <f t="shared" si="7"/>
        <v>0</v>
      </c>
      <c r="V60" s="229" t="str">
        <f>ifs($N60="",VLOOKUP($B60&amp;$E60,'VISIT DATA'!$A$2:$J100,7,FALSE), $N60="SWAB","OUTSA-RW",$N60="SWQU","OUTSA-SaQu", AND($L60="X",$M60="X",$N60="QUEST"),"OUT-UAQPre",$N60="QUEST","OUT-UAQ", $N60="Walk in","ColUATele")</f>
        <v>#N/A</v>
      </c>
      <c r="W60" s="24" t="str">
        <f t="shared" si="8"/>
        <v>#N/A</v>
      </c>
      <c r="X60" s="222" t="str">
        <f t="shared" si="9"/>
        <v/>
      </c>
      <c r="Y60" s="222" t="str">
        <f t="shared" si="10"/>
        <v/>
      </c>
      <c r="Z60" s="224" t="str">
        <f t="shared" si="11"/>
        <v> </v>
      </c>
      <c r="AA60" s="244"/>
    </row>
    <row r="61" hidden="1">
      <c r="A61" s="214" t="str">
        <f>IFS($B61=FALSE,"",$B61,VLOOKUP($B61,'PATIENT DATA (072721)'!A:C, 2, 0))</f>
        <v/>
      </c>
      <c r="B61" s="215"/>
      <c r="C61" s="230" t="str">
        <f>IF(COUNTIF('PATIENT DATA (072721)'!A:A, B61)=0, "X","✓")</f>
        <v>X</v>
      </c>
      <c r="D61" s="226" t="str">
        <f>IFS($B61=FALSE,"",$B61,VLOOKUP($B61,'PATIENT DATA (072721)'!A:C, 3, 0))</f>
        <v/>
      </c>
      <c r="E61" s="218">
        <v>44578.0</v>
      </c>
      <c r="F61" s="219" t="str">
        <f>ifs($B61="","",$B61, VLOOKUP($B61&amp;$E61, 'VISIT DATA'!A:O,3,0))</f>
        <v/>
      </c>
      <c r="G61" s="231"/>
      <c r="H61" s="221"/>
      <c r="I61" s="262" t="str">
        <f>VLOOKUP($B61&amp;$E61,'VISIT DATA'!A:J, 9, FALSE)</f>
        <v>#N/A</v>
      </c>
      <c r="J61" s="223" t="str">
        <f>VLOOKUP(B61&amp;E61,'VISIT DATA'!A:N,10,FALSE)</f>
        <v>#N/A</v>
      </c>
      <c r="K61" s="225"/>
      <c r="L61" s="224"/>
      <c r="M61" s="224"/>
      <c r="N61" s="225"/>
      <c r="O61" s="216" t="str">
        <f t="shared" si="1"/>
        <v>X</v>
      </c>
      <c r="P61" s="226" t="str">
        <f t="shared" si="2"/>
        <v>#N/A</v>
      </c>
      <c r="Q61" s="227" t="str">
        <f t="shared" si="3"/>
        <v>#N/A</v>
      </c>
      <c r="R61" s="228" t="str">
        <f t="shared" si="4"/>
        <v>#N/A</v>
      </c>
      <c r="S61" s="220" t="str">
        <f t="shared" si="5"/>
        <v>#N/A</v>
      </c>
      <c r="T61" s="220" t="str">
        <f t="shared" si="6"/>
        <v>#N/A</v>
      </c>
      <c r="U61" s="221">
        <f t="shared" si="7"/>
        <v>0</v>
      </c>
      <c r="V61" s="229" t="str">
        <f>ifs($N61="",VLOOKUP($B61&amp;$E61,'VISIT DATA'!$A$2:$J100,7,FALSE), $N61="SWAB","OUTSA-RW",$N61="SWQU","OUTSA-SaQu", AND($L61="X",$M61="X",$N61="QUEST"),"OUT-UAQPre",$N61="QUEST","OUT-UAQ", $N61="Walk in","ColUATele")</f>
        <v>#N/A</v>
      </c>
      <c r="W61" s="24" t="str">
        <f t="shared" si="8"/>
        <v>#N/A</v>
      </c>
      <c r="X61" s="222" t="str">
        <f t="shared" si="9"/>
        <v/>
      </c>
      <c r="Y61" s="222" t="str">
        <f t="shared" si="10"/>
        <v/>
      </c>
      <c r="Z61" s="224" t="str">
        <f t="shared" si="11"/>
        <v> </v>
      </c>
      <c r="AA61" s="244"/>
    </row>
    <row r="62" hidden="1">
      <c r="A62" s="214" t="str">
        <f>IFS($B62=FALSE,"",$B62,VLOOKUP($B62,'PATIENT DATA (072721)'!A:C, 2, 0))</f>
        <v/>
      </c>
      <c r="B62" s="215"/>
      <c r="C62" s="230" t="str">
        <f>IF(COUNTIF('PATIENT DATA (072721)'!A:A, B62)=0, "X","✓")</f>
        <v>X</v>
      </c>
      <c r="D62" s="226" t="str">
        <f>IFS($B62=FALSE,"",$B62,VLOOKUP($B62,'PATIENT DATA (072721)'!A:C, 3, 0))</f>
        <v/>
      </c>
      <c r="E62" s="218">
        <v>44578.0</v>
      </c>
      <c r="F62" s="219" t="str">
        <f>ifs($B62="","",$B62, VLOOKUP($B62&amp;$E62, 'VISIT DATA'!A:O,3,0))</f>
        <v/>
      </c>
      <c r="G62" s="231"/>
      <c r="H62" s="221" t="str">
        <f>ifs($B62="","",$B62, VLOOKUP($B62&amp;$E62, 'VISIT DATA'!$A:$O,13,0))</f>
        <v/>
      </c>
      <c r="I62" s="262" t="str">
        <f>VLOOKUP($B62&amp;$E62,'VISIT DATA'!A:J, 9, FALSE)</f>
        <v>#N/A</v>
      </c>
      <c r="J62" s="223" t="str">
        <f>VLOOKUP(B62&amp;E62,'VISIT DATA'!A:N,10,FALSE)</f>
        <v>#N/A</v>
      </c>
      <c r="K62" s="225"/>
      <c r="L62" s="224"/>
      <c r="M62" s="224"/>
      <c r="N62" s="225"/>
      <c r="O62" s="216" t="str">
        <f t="shared" si="1"/>
        <v>X</v>
      </c>
      <c r="P62" s="226" t="str">
        <f t="shared" si="2"/>
        <v>#N/A</v>
      </c>
      <c r="Q62" s="227" t="str">
        <f t="shared" si="3"/>
        <v>#N/A</v>
      </c>
      <c r="R62" s="228" t="str">
        <f t="shared" si="4"/>
        <v>#N/A</v>
      </c>
      <c r="S62" s="220" t="str">
        <f t="shared" si="5"/>
        <v>#N/A</v>
      </c>
      <c r="T62" s="220" t="str">
        <f t="shared" si="6"/>
        <v>#N/A</v>
      </c>
      <c r="U62" s="221">
        <f t="shared" si="7"/>
        <v>0</v>
      </c>
      <c r="V62" s="229" t="str">
        <f>ifs($N62="",VLOOKUP($B62&amp;$E62,'VISIT DATA'!$A$2:$J100,7,FALSE), $N62="SWAB","OUTSA-RW",$N62="SWQU","OUTSA-SaQu", AND($L62="X",$M62="X",$N62="QUEST"),"OUT-UAQPre",$N62="QUEST","OUT-UAQ", $N62="Walk in","ColUATele")</f>
        <v>#N/A</v>
      </c>
      <c r="W62" s="24" t="str">
        <f t="shared" si="8"/>
        <v>#N/A</v>
      </c>
      <c r="X62" s="222" t="str">
        <f t="shared" si="9"/>
        <v/>
      </c>
      <c r="Y62" s="222" t="str">
        <f t="shared" si="10"/>
        <v/>
      </c>
      <c r="Z62" s="224" t="str">
        <f t="shared" si="11"/>
        <v> </v>
      </c>
      <c r="AA62" s="244"/>
    </row>
    <row r="63" hidden="1">
      <c r="A63" s="214" t="str">
        <f>IFS($B63=FALSE,"",$B63,VLOOKUP($B63,'PATIENT DATA (072721)'!A:C, 2, 0))</f>
        <v/>
      </c>
      <c r="B63" s="215"/>
      <c r="C63" s="230" t="str">
        <f>IF(COUNTIF('PATIENT DATA (072721)'!A:A, B63)=0, "X","✓")</f>
        <v>X</v>
      </c>
      <c r="D63" s="226" t="str">
        <f>IFS($B63=FALSE,"",$B63,VLOOKUP($B63,'PATIENT DATA (072721)'!A:C, 3, 0))</f>
        <v/>
      </c>
      <c r="E63" s="218">
        <v>44578.0</v>
      </c>
      <c r="F63" s="219" t="str">
        <f>ifs($B63="","",$B63, VLOOKUP($B63&amp;$E63, 'VISIT DATA'!A:O,3,0))</f>
        <v/>
      </c>
      <c r="G63" s="231"/>
      <c r="H63" s="221" t="str">
        <f>ifs($B63="","",$B63, VLOOKUP($B63&amp;$E63, 'VISIT DATA'!$A:$O,13,0))</f>
        <v/>
      </c>
      <c r="I63" s="262" t="str">
        <f>VLOOKUP($B63&amp;$E63,'VISIT DATA'!A:J, 9, FALSE)</f>
        <v>#N/A</v>
      </c>
      <c r="J63" s="223" t="str">
        <f>VLOOKUP(B63&amp;E63,'VISIT DATA'!A:N,10,FALSE)</f>
        <v>#N/A</v>
      </c>
      <c r="K63" s="225"/>
      <c r="L63" s="224"/>
      <c r="M63" s="224"/>
      <c r="N63" s="225"/>
      <c r="O63" s="216" t="str">
        <f t="shared" si="1"/>
        <v>X</v>
      </c>
      <c r="P63" s="226" t="str">
        <f t="shared" si="2"/>
        <v>#N/A</v>
      </c>
      <c r="Q63" s="227" t="str">
        <f t="shared" si="3"/>
        <v>#N/A</v>
      </c>
      <c r="R63" s="228" t="str">
        <f t="shared" si="4"/>
        <v>#N/A</v>
      </c>
      <c r="S63" s="220" t="str">
        <f t="shared" si="5"/>
        <v>#N/A</v>
      </c>
      <c r="T63" s="220" t="str">
        <f t="shared" si="6"/>
        <v>#N/A</v>
      </c>
      <c r="U63" s="221">
        <f t="shared" si="7"/>
        <v>0</v>
      </c>
      <c r="V63" s="229" t="str">
        <f>ifs($N63="",VLOOKUP($B63&amp;$E63,'VISIT DATA'!$A$2:$J100,7,FALSE), $N63="SWAB","OUTSA-RW",$N63="SWQU","OUTSA-SaQu", AND($L63="X",$M63="X",$N63="QUEST"),"OUT-UAQPre",$N63="QUEST","OUT-UAQ", $N63="Walk in","ColUATele")</f>
        <v>#N/A</v>
      </c>
      <c r="W63" s="24" t="str">
        <f t="shared" si="8"/>
        <v>#N/A</v>
      </c>
      <c r="X63" s="222" t="str">
        <f t="shared" si="9"/>
        <v/>
      </c>
      <c r="Y63" s="222" t="str">
        <f t="shared" si="10"/>
        <v/>
      </c>
      <c r="Z63" s="224" t="str">
        <f t="shared" si="11"/>
        <v> </v>
      </c>
      <c r="AA63" s="244"/>
    </row>
    <row r="64" hidden="1">
      <c r="A64" s="214" t="str">
        <f>IFS($B64=FALSE,"",$B64,VLOOKUP($B64,'PATIENT DATA (072721)'!A:C, 2, 0))</f>
        <v/>
      </c>
      <c r="B64" s="215"/>
      <c r="C64" s="230" t="str">
        <f>IF(COUNTIF('PATIENT DATA (072721)'!A:A, B64)=0, "X","✓")</f>
        <v>X</v>
      </c>
      <c r="D64" s="226" t="str">
        <f>IFS($B64=FALSE,"",$B64,VLOOKUP($B64,'PATIENT DATA (072721)'!A:C, 3, 0))</f>
        <v/>
      </c>
      <c r="E64" s="218">
        <v>44578.0</v>
      </c>
      <c r="F64" s="219" t="str">
        <f>ifs($B64="","",$B64, VLOOKUP($B64&amp;$E64, 'VISIT DATA'!A:O,3,0))</f>
        <v/>
      </c>
      <c r="G64" s="231"/>
      <c r="H64" s="221" t="str">
        <f>ifs($B64="","",$B64, VLOOKUP($B64&amp;$E64, 'VISIT DATA'!$A:$O,13,0))</f>
        <v/>
      </c>
      <c r="I64" s="262" t="str">
        <f>VLOOKUP($B64&amp;$E64,'VISIT DATA'!A:J, 9, FALSE)</f>
        <v>#N/A</v>
      </c>
      <c r="J64" s="223" t="str">
        <f>VLOOKUP(B64&amp;E64,'VISIT DATA'!A:N,10,FALSE)</f>
        <v>#N/A</v>
      </c>
      <c r="K64" s="225"/>
      <c r="L64" s="224"/>
      <c r="M64" s="224"/>
      <c r="N64" s="225"/>
      <c r="O64" s="216" t="str">
        <f t="shared" si="1"/>
        <v>X</v>
      </c>
      <c r="P64" s="226" t="str">
        <f t="shared" si="2"/>
        <v>#N/A</v>
      </c>
      <c r="Q64" s="227" t="str">
        <f t="shared" si="3"/>
        <v>#N/A</v>
      </c>
      <c r="R64" s="228" t="str">
        <f t="shared" si="4"/>
        <v>#N/A</v>
      </c>
      <c r="S64" s="220" t="str">
        <f t="shared" si="5"/>
        <v>#N/A</v>
      </c>
      <c r="T64" s="220" t="str">
        <f t="shared" si="6"/>
        <v>#N/A</v>
      </c>
      <c r="U64" s="221">
        <f t="shared" si="7"/>
        <v>0</v>
      </c>
      <c r="V64" s="229" t="str">
        <f>ifs($N64="",VLOOKUP($B64&amp;$E64,'VISIT DATA'!$A$2:$J100,7,FALSE), $N64="SWAB","OUTSA-RW",$N64="SWQU","OUTSA-SaQu", AND($L64="X",$M64="X",$N64="QUEST"),"OUT-UAQPre",$N64="QUEST","OUT-UAQ", $N64="Walk in","ColUATele")</f>
        <v>#N/A</v>
      </c>
      <c r="W64" s="24" t="str">
        <f t="shared" si="8"/>
        <v>#N/A</v>
      </c>
      <c r="X64" s="222" t="str">
        <f t="shared" si="9"/>
        <v/>
      </c>
      <c r="Y64" s="222" t="str">
        <f t="shared" si="10"/>
        <v/>
      </c>
      <c r="Z64" s="224" t="str">
        <f t="shared" si="11"/>
        <v> </v>
      </c>
      <c r="AA64" s="244"/>
    </row>
    <row r="65" hidden="1">
      <c r="A65" s="214" t="str">
        <f>IFS($B65=FALSE,"",$B65,VLOOKUP($B65,'PATIENT DATA (072721)'!A:C, 2, 0))</f>
        <v/>
      </c>
      <c r="B65" s="215"/>
      <c r="C65" s="230" t="str">
        <f>IF(COUNTIF('PATIENT DATA (072721)'!A:A, B65)=0, "X","✓")</f>
        <v>X</v>
      </c>
      <c r="D65" s="226" t="str">
        <f>IFS($B65=FALSE,"",$B65,VLOOKUP($B65,'PATIENT DATA (072721)'!A:C, 3, 0))</f>
        <v/>
      </c>
      <c r="E65" s="218">
        <v>44578.0</v>
      </c>
      <c r="F65" s="219" t="str">
        <f>ifs($B65="","",$B65, VLOOKUP($B65&amp;$E65, 'VISIT DATA'!A:O,3,0))</f>
        <v/>
      </c>
      <c r="G65" s="231"/>
      <c r="H65" s="221" t="str">
        <f>ifs($B65="","",$B65, VLOOKUP($B65&amp;$E65, 'VISIT DATA'!$A:$O,13,0))</f>
        <v/>
      </c>
      <c r="I65" s="262" t="str">
        <f>VLOOKUP($B65&amp;$E65,'VISIT DATA'!A:J, 9, FALSE)</f>
        <v>#N/A</v>
      </c>
      <c r="J65" s="223" t="str">
        <f>VLOOKUP(B65&amp;E65,'VISIT DATA'!A:N,10,FALSE)</f>
        <v>#N/A</v>
      </c>
      <c r="K65" s="225"/>
      <c r="L65" s="224"/>
      <c r="M65" s="224"/>
      <c r="N65" s="225"/>
      <c r="O65" s="216" t="str">
        <f t="shared" si="1"/>
        <v>X</v>
      </c>
      <c r="P65" s="226" t="str">
        <f t="shared" si="2"/>
        <v>#N/A</v>
      </c>
      <c r="Q65" s="227" t="str">
        <f t="shared" si="3"/>
        <v>#N/A</v>
      </c>
      <c r="R65" s="228" t="str">
        <f t="shared" si="4"/>
        <v>#N/A</v>
      </c>
      <c r="S65" s="220" t="str">
        <f t="shared" si="5"/>
        <v>#N/A</v>
      </c>
      <c r="T65" s="220" t="str">
        <f t="shared" si="6"/>
        <v>#N/A</v>
      </c>
      <c r="U65" s="221">
        <f t="shared" si="7"/>
        <v>0</v>
      </c>
      <c r="V65" s="229" t="str">
        <f>ifs($N65="",VLOOKUP($B65&amp;$E65,'VISIT DATA'!$A$2:$J100,7,FALSE), $N65="SWAB","OUTSA-RW",$N65="SWQU","OUTSA-SaQu", AND($L65="X",$M65="X",$N65="QUEST"),"OUT-UAQPre",$N65="QUEST","OUT-UAQ", $N65="Walk in","ColUATele")</f>
        <v>#N/A</v>
      </c>
      <c r="W65" s="24" t="str">
        <f t="shared" si="8"/>
        <v>#N/A</v>
      </c>
      <c r="X65" s="222" t="str">
        <f t="shared" si="9"/>
        <v/>
      </c>
      <c r="Y65" s="222" t="str">
        <f t="shared" si="10"/>
        <v/>
      </c>
      <c r="Z65" s="224" t="str">
        <f t="shared" si="11"/>
        <v> </v>
      </c>
      <c r="AA65" s="244"/>
    </row>
    <row r="66" hidden="1">
      <c r="A66" s="214" t="str">
        <f>IFS($B66=FALSE,"",$B66,VLOOKUP($B66,'PATIENT DATA (072721)'!A:C, 2, 0))</f>
        <v/>
      </c>
      <c r="B66" s="215"/>
      <c r="C66" s="230" t="str">
        <f>IF(COUNTIF('PATIENT DATA (072721)'!A:A, B66)=0, "X","✓")</f>
        <v>X</v>
      </c>
      <c r="D66" s="226" t="str">
        <f>IFS($B66=FALSE,"",$B66,VLOOKUP($B66,'PATIENT DATA (072721)'!A:C, 3, 0))</f>
        <v/>
      </c>
      <c r="E66" s="218">
        <v>44578.0</v>
      </c>
      <c r="F66" s="219" t="str">
        <f>ifs($B66="","",$B66, VLOOKUP($B66&amp;$E66, 'VISIT DATA'!A:O,3,0))</f>
        <v/>
      </c>
      <c r="G66" s="231"/>
      <c r="H66" s="221" t="str">
        <f>ifs($B66="","",$B66, VLOOKUP($B66&amp;$E66, 'VISIT DATA'!$A:$O,13,0))</f>
        <v/>
      </c>
      <c r="I66" s="262" t="str">
        <f>VLOOKUP($B66&amp;$E66,'VISIT DATA'!A:J, 9, FALSE)</f>
        <v>#N/A</v>
      </c>
      <c r="J66" s="223" t="str">
        <f>VLOOKUP(B66&amp;E66,'VISIT DATA'!A:N,10,FALSE)</f>
        <v>#N/A</v>
      </c>
      <c r="K66" s="225"/>
      <c r="L66" s="224"/>
      <c r="M66" s="224"/>
      <c r="N66" s="225"/>
      <c r="O66" s="216" t="str">
        <f t="shared" si="1"/>
        <v>X</v>
      </c>
      <c r="P66" s="226" t="str">
        <f t="shared" si="2"/>
        <v>#N/A</v>
      </c>
      <c r="Q66" s="227" t="str">
        <f t="shared" si="3"/>
        <v>#N/A</v>
      </c>
      <c r="R66" s="228" t="str">
        <f t="shared" si="4"/>
        <v>#N/A</v>
      </c>
      <c r="S66" s="220" t="str">
        <f t="shared" si="5"/>
        <v>#N/A</v>
      </c>
      <c r="T66" s="220" t="str">
        <f t="shared" si="6"/>
        <v>#N/A</v>
      </c>
      <c r="U66" s="221">
        <f t="shared" si="7"/>
        <v>0</v>
      </c>
      <c r="V66" s="229" t="str">
        <f>ifs($N66="",VLOOKUP($B66&amp;$E66,'VISIT DATA'!$A$2:$J100,7,FALSE), $N66="SWAB","OUTSA-RW",$N66="SWQU","OUTSA-SaQu", AND($L66="X",$M66="X",$N66="QUEST"),"OUT-UAQPre",$N66="QUEST","OUT-UAQ", $N66="Walk in","ColUATele")</f>
        <v>#N/A</v>
      </c>
      <c r="W66" s="24" t="str">
        <f t="shared" si="8"/>
        <v>#N/A</v>
      </c>
      <c r="X66" s="222" t="str">
        <f t="shared" si="9"/>
        <v/>
      </c>
      <c r="Y66" s="222" t="str">
        <f t="shared" si="10"/>
        <v/>
      </c>
      <c r="Z66" s="224" t="str">
        <f t="shared" si="11"/>
        <v> </v>
      </c>
      <c r="AA66" s="244"/>
    </row>
    <row r="67" hidden="1">
      <c r="A67" s="214" t="str">
        <f>IFS($B67=FALSE,"",$B67,VLOOKUP($B67,'PATIENT DATA (072721)'!A:C, 2, 0))</f>
        <v/>
      </c>
      <c r="B67" s="215"/>
      <c r="C67" s="230" t="str">
        <f>IF(COUNTIF('PATIENT DATA (072721)'!A:A, B67)=0, "X","✓")</f>
        <v>X</v>
      </c>
      <c r="D67" s="226" t="str">
        <f>IFS($B67=FALSE,"",$B67,VLOOKUP($B67,'PATIENT DATA (072721)'!A:C, 3, 0))</f>
        <v/>
      </c>
      <c r="E67" s="218">
        <v>44578.0</v>
      </c>
      <c r="F67" s="219" t="str">
        <f>ifs($B67="","",$B67, VLOOKUP($B67&amp;$E67, 'VISIT DATA'!A:O,3,0))</f>
        <v/>
      </c>
      <c r="G67" s="231"/>
      <c r="H67" s="221" t="str">
        <f>ifs($B67="","",$B67, VLOOKUP($B67&amp;$E67, 'VISIT DATA'!$A:$O,13,0))</f>
        <v/>
      </c>
      <c r="I67" s="262" t="str">
        <f>VLOOKUP($B67&amp;$E67,'VISIT DATA'!A:J, 9, FALSE)</f>
        <v>#N/A</v>
      </c>
      <c r="J67" s="223" t="str">
        <f>VLOOKUP(B67&amp;E67,'VISIT DATA'!A:N,10,FALSE)</f>
        <v>#N/A</v>
      </c>
      <c r="K67" s="225"/>
      <c r="L67" s="224"/>
      <c r="M67" s="224"/>
      <c r="N67" s="225"/>
      <c r="O67" s="216" t="str">
        <f t="shared" si="1"/>
        <v>X</v>
      </c>
      <c r="P67" s="226" t="str">
        <f t="shared" si="2"/>
        <v>#N/A</v>
      </c>
      <c r="Q67" s="227" t="str">
        <f t="shared" si="3"/>
        <v>#N/A</v>
      </c>
      <c r="R67" s="228" t="str">
        <f t="shared" si="4"/>
        <v>#N/A</v>
      </c>
      <c r="S67" s="220" t="str">
        <f t="shared" si="5"/>
        <v>#N/A</v>
      </c>
      <c r="T67" s="220" t="str">
        <f t="shared" si="6"/>
        <v>#N/A</v>
      </c>
      <c r="U67" s="221">
        <f t="shared" si="7"/>
        <v>0</v>
      </c>
      <c r="V67" s="229" t="str">
        <f>ifs($N67="",VLOOKUP($B67&amp;$E67,'VISIT DATA'!$A$2:$J100,7,FALSE), $N67="SWAB","OUTSA-RW",$N67="SWQU","OUTSA-SaQu", AND($L67="X",$M67="X",$N67="QUEST"),"OUT-UAQPre",$N67="QUEST","OUT-UAQ", $N67="Walk in","ColUATele")</f>
        <v>#N/A</v>
      </c>
      <c r="W67" s="24" t="str">
        <f t="shared" si="8"/>
        <v>#N/A</v>
      </c>
      <c r="X67" s="222" t="str">
        <f t="shared" si="9"/>
        <v/>
      </c>
      <c r="Y67" s="222" t="str">
        <f t="shared" si="10"/>
        <v/>
      </c>
      <c r="Z67" s="224" t="str">
        <f t="shared" si="11"/>
        <v> </v>
      </c>
      <c r="AA67" s="244"/>
    </row>
    <row r="68" hidden="1">
      <c r="A68" s="214" t="str">
        <f>IFS($B68=FALSE,"",$B68,VLOOKUP($B68,'PATIENT DATA (072721)'!A:C, 2, 0))</f>
        <v/>
      </c>
      <c r="B68" s="215"/>
      <c r="C68" s="230" t="str">
        <f>IF(COUNTIF('PATIENT DATA (072721)'!A:A, B68)=0, "X","✓")</f>
        <v>X</v>
      </c>
      <c r="D68" s="226" t="str">
        <f>IFS($B68=FALSE,"",$B68,VLOOKUP($B68,'PATIENT DATA (072721)'!A:C, 3, 0))</f>
        <v/>
      </c>
      <c r="E68" s="218">
        <v>44578.0</v>
      </c>
      <c r="F68" s="219" t="str">
        <f>ifs($B68="","",$B68, VLOOKUP($B68&amp;$E68, 'VISIT DATA'!A:O,3,0))</f>
        <v/>
      </c>
      <c r="G68" s="231"/>
      <c r="H68" s="221" t="str">
        <f>ifs($B68="","",$B68, VLOOKUP($B68&amp;$E68, 'VISIT DATA'!$A:$O,13,0))</f>
        <v/>
      </c>
      <c r="I68" s="262" t="str">
        <f>VLOOKUP($B68&amp;$E68,'VISIT DATA'!A:J, 9, FALSE)</f>
        <v>#N/A</v>
      </c>
      <c r="J68" s="223" t="str">
        <f>VLOOKUP(B68&amp;E68,'VISIT DATA'!A:N,10,FALSE)</f>
        <v>#N/A</v>
      </c>
      <c r="K68" s="225"/>
      <c r="L68" s="224"/>
      <c r="M68" s="224"/>
      <c r="N68" s="225"/>
      <c r="O68" s="216" t="str">
        <f t="shared" si="1"/>
        <v>X</v>
      </c>
      <c r="P68" s="226" t="str">
        <f t="shared" si="2"/>
        <v>#N/A</v>
      </c>
      <c r="Q68" s="227" t="str">
        <f t="shared" si="3"/>
        <v>#N/A</v>
      </c>
      <c r="R68" s="228" t="str">
        <f t="shared" si="4"/>
        <v>#N/A</v>
      </c>
      <c r="S68" s="220" t="str">
        <f t="shared" si="5"/>
        <v>#N/A</v>
      </c>
      <c r="T68" s="220" t="str">
        <f t="shared" si="6"/>
        <v>#N/A</v>
      </c>
      <c r="U68" s="221">
        <f t="shared" si="7"/>
        <v>0</v>
      </c>
      <c r="V68" s="229" t="str">
        <f>ifs($N68="",VLOOKUP($B68&amp;$E68,'VISIT DATA'!$A$2:$J100,7,FALSE), $N68="SWAB","OUTSA-RW",$N68="SWQU","OUTSA-SaQu", AND($L68="X",$M68="X",$N68="QUEST"),"OUT-UAQPre",$N68="QUEST","OUT-UAQ", $N68="Walk in","ColUATele")</f>
        <v>#N/A</v>
      </c>
      <c r="W68" s="24" t="str">
        <f t="shared" si="8"/>
        <v>#N/A</v>
      </c>
      <c r="X68" s="222" t="str">
        <f t="shared" si="9"/>
        <v/>
      </c>
      <c r="Y68" s="222" t="str">
        <f t="shared" si="10"/>
        <v/>
      </c>
      <c r="Z68" s="224" t="str">
        <f t="shared" si="11"/>
        <v> </v>
      </c>
      <c r="AA68" s="244"/>
    </row>
    <row r="69" hidden="1">
      <c r="A69" s="214" t="str">
        <f>IFS($B69=FALSE,"",$B69,VLOOKUP($B69,'PATIENT DATA (072721)'!A:C, 2, 0))</f>
        <v/>
      </c>
      <c r="B69" s="215"/>
      <c r="C69" s="230" t="str">
        <f>IF(COUNTIF('PATIENT DATA (072721)'!A:A, B69)=0, "X","✓")</f>
        <v>X</v>
      </c>
      <c r="D69" s="226" t="str">
        <f>IFS($B69=FALSE,"",$B69,VLOOKUP($B69,'PATIENT DATA (072721)'!A:C, 3, 0))</f>
        <v/>
      </c>
      <c r="E69" s="218">
        <v>44578.0</v>
      </c>
      <c r="F69" s="219" t="str">
        <f>ifs($B69="","",$B69, VLOOKUP($B69&amp;$E69, 'VISIT DATA'!A:O,3,0))</f>
        <v/>
      </c>
      <c r="G69" s="231"/>
      <c r="H69" s="221" t="str">
        <f>ifs($B69="","",$B69, VLOOKUP($B69&amp;$E69, 'VISIT DATA'!$A:$O,13,0))</f>
        <v/>
      </c>
      <c r="I69" s="262" t="str">
        <f>VLOOKUP($B69&amp;$E69,'VISIT DATA'!A:J, 9, FALSE)</f>
        <v>#N/A</v>
      </c>
      <c r="J69" s="223" t="str">
        <f>VLOOKUP(B69&amp;E69,'VISIT DATA'!A:N,10,FALSE)</f>
        <v>#N/A</v>
      </c>
      <c r="K69" s="224"/>
      <c r="L69" s="224"/>
      <c r="M69" s="224"/>
      <c r="N69" s="225"/>
      <c r="O69" s="216" t="str">
        <f t="shared" si="1"/>
        <v>X</v>
      </c>
      <c r="P69" s="226" t="str">
        <f t="shared" si="2"/>
        <v>#N/A</v>
      </c>
      <c r="Q69" s="227" t="str">
        <f t="shared" si="3"/>
        <v>#N/A</v>
      </c>
      <c r="R69" s="228" t="str">
        <f t="shared" si="4"/>
        <v>#N/A</v>
      </c>
      <c r="S69" s="220" t="str">
        <f t="shared" si="5"/>
        <v>#N/A</v>
      </c>
      <c r="T69" s="220" t="str">
        <f t="shared" si="6"/>
        <v>#N/A</v>
      </c>
      <c r="U69" s="221">
        <f t="shared" si="7"/>
        <v>0</v>
      </c>
      <c r="V69" s="229" t="str">
        <f>ifs($N69="",VLOOKUP($B69&amp;$E69,'VISIT DATA'!$A$2:$J100,7,FALSE), $N69="SWAB","OUTSA-RW",$N69="SWQU","OUTSA-SaQu", AND($L69="X",$M69="X",$N69="QUEST"),"OUT-UAQPre",$N69="QUEST","OUT-UAQ", $N69="Walk in","ColUATele")</f>
        <v>#N/A</v>
      </c>
      <c r="W69" s="24" t="str">
        <f t="shared" si="8"/>
        <v>#N/A</v>
      </c>
      <c r="X69" s="222" t="str">
        <f t="shared" si="9"/>
        <v/>
      </c>
      <c r="Y69" s="222" t="str">
        <f t="shared" si="10"/>
        <v/>
      </c>
      <c r="Z69" s="224" t="str">
        <f t="shared" si="11"/>
        <v> </v>
      </c>
      <c r="AA69" s="244"/>
    </row>
    <row r="70" hidden="1">
      <c r="A70" s="214" t="str">
        <f>IFS($B70=FALSE,"",$B70,VLOOKUP($B70,'PATIENT DATA (072721)'!A:C, 2, 0))</f>
        <v/>
      </c>
      <c r="B70" s="215"/>
      <c r="C70" s="230" t="str">
        <f>IF(COUNTIF('PATIENT DATA (072721)'!A:A, B70)=0, "X","✓")</f>
        <v>X</v>
      </c>
      <c r="D70" s="226" t="str">
        <f>IFS($B70=FALSE,"",$B70,VLOOKUP($B70,'PATIENT DATA (072721)'!A:C, 3, 0))</f>
        <v/>
      </c>
      <c r="E70" s="218">
        <v>44578.0</v>
      </c>
      <c r="F70" s="219" t="str">
        <f>ifs($B70="","",$B70, VLOOKUP($B70&amp;$E70, 'VISIT DATA'!A:O,3,0))</f>
        <v/>
      </c>
      <c r="G70" s="231"/>
      <c r="H70" s="221" t="str">
        <f>ifs($B70="","",$B70, VLOOKUP($B70&amp;$E70, 'VISIT DATA'!$A:$O,13,0))</f>
        <v/>
      </c>
      <c r="I70" s="262" t="str">
        <f>VLOOKUP($B70&amp;$E70,'VISIT DATA'!A:J, 9, FALSE)</f>
        <v>#N/A</v>
      </c>
      <c r="J70" s="223" t="str">
        <f>VLOOKUP(B70&amp;E70,'VISIT DATA'!A:N,10,FALSE)</f>
        <v>#N/A</v>
      </c>
      <c r="K70" s="224"/>
      <c r="L70" s="224"/>
      <c r="M70" s="224"/>
      <c r="N70" s="225"/>
      <c r="O70" s="216" t="str">
        <f t="shared" si="1"/>
        <v>X</v>
      </c>
      <c r="P70" s="226" t="str">
        <f t="shared" si="2"/>
        <v>#N/A</v>
      </c>
      <c r="Q70" s="227" t="str">
        <f t="shared" si="3"/>
        <v>#N/A</v>
      </c>
      <c r="R70" s="228" t="str">
        <f t="shared" si="4"/>
        <v>#N/A</v>
      </c>
      <c r="S70" s="220" t="str">
        <f t="shared" si="5"/>
        <v>#N/A</v>
      </c>
      <c r="T70" s="220" t="str">
        <f t="shared" si="6"/>
        <v>#N/A</v>
      </c>
      <c r="U70" s="221">
        <f t="shared" si="7"/>
        <v>0</v>
      </c>
      <c r="V70" s="229" t="str">
        <f>ifs($N70="",VLOOKUP($B70&amp;$E70,'VISIT DATA'!$A$2:$J100,7,FALSE), $N70="SWAB","OUTSA-RW",$N70="SWQU","OUTSA-SaQu", AND($L70="X",$M70="X",$N70="QUEST"),"OUT-UAQPre",$N70="QUEST","OUT-UAQ", $N70="Walk in","ColUATele")</f>
        <v>#N/A</v>
      </c>
      <c r="W70" s="24" t="str">
        <f t="shared" si="8"/>
        <v>#N/A</v>
      </c>
      <c r="X70" s="222" t="str">
        <f t="shared" si="9"/>
        <v/>
      </c>
      <c r="Y70" s="222" t="str">
        <f t="shared" si="10"/>
        <v/>
      </c>
      <c r="Z70" s="224" t="str">
        <f t="shared" si="11"/>
        <v> </v>
      </c>
      <c r="AA70" s="244"/>
    </row>
    <row r="71" hidden="1">
      <c r="A71" s="214" t="str">
        <f>IFS($B71=FALSE,"",$B71,VLOOKUP($B71,'PATIENT DATA (072721)'!A:C, 2, 0))</f>
        <v/>
      </c>
      <c r="B71" s="215"/>
      <c r="C71" s="230" t="str">
        <f>IF(COUNTIF('PATIENT DATA (072721)'!A:A, B71)=0, "X","✓")</f>
        <v>X</v>
      </c>
      <c r="D71" s="226" t="str">
        <f>IFS($B71=FALSE,"",$B71,VLOOKUP($B71,'PATIENT DATA (072721)'!A:C, 3, 0))</f>
        <v/>
      </c>
      <c r="E71" s="218">
        <v>44578.0</v>
      </c>
      <c r="F71" s="219" t="str">
        <f>ifs($B71="","",$B71, VLOOKUP($B71&amp;$E71, 'VISIT DATA'!A:O,3,0))</f>
        <v/>
      </c>
      <c r="G71" s="231"/>
      <c r="H71" s="221" t="str">
        <f>ifs($B71="","",$B71, VLOOKUP($B71&amp;$E71, 'VISIT DATA'!$A:$O,13,0))</f>
        <v/>
      </c>
      <c r="I71" s="262" t="str">
        <f>VLOOKUP($B71&amp;$E71,'VISIT DATA'!A:J, 9, FALSE)</f>
        <v>#N/A</v>
      </c>
      <c r="J71" s="223" t="str">
        <f>VLOOKUP(B71&amp;E71,'VISIT DATA'!A:N,10,FALSE)</f>
        <v>#N/A</v>
      </c>
      <c r="K71" s="225"/>
      <c r="L71" s="224"/>
      <c r="M71" s="224"/>
      <c r="N71" s="225"/>
      <c r="O71" s="216" t="str">
        <f t="shared" si="1"/>
        <v>X</v>
      </c>
      <c r="P71" s="226" t="str">
        <f t="shared" si="2"/>
        <v>#N/A</v>
      </c>
      <c r="Q71" s="227" t="str">
        <f t="shared" si="3"/>
        <v>#N/A</v>
      </c>
      <c r="R71" s="228" t="str">
        <f t="shared" si="4"/>
        <v>#N/A</v>
      </c>
      <c r="S71" s="220" t="str">
        <f t="shared" si="5"/>
        <v>#N/A</v>
      </c>
      <c r="T71" s="220" t="str">
        <f t="shared" si="6"/>
        <v>#N/A</v>
      </c>
      <c r="U71" s="221">
        <f t="shared" si="7"/>
        <v>0</v>
      </c>
      <c r="V71" s="229" t="str">
        <f>ifs($N71="",VLOOKUP($B71&amp;$E71,'VISIT DATA'!$A$2:$J100,7,FALSE), $N71="SWAB","OUTSA-RW",$N71="SWQU","OUTSA-SaQu", AND($L71="X",$M71="X",$N71="QUEST"),"OUT-UAQPre",$N71="QUEST","OUT-UAQ", $N71="Walk in","ColUATele")</f>
        <v>#N/A</v>
      </c>
      <c r="W71" s="24" t="str">
        <f t="shared" si="8"/>
        <v>#N/A</v>
      </c>
      <c r="X71" s="222" t="str">
        <f t="shared" si="9"/>
        <v/>
      </c>
      <c r="Y71" s="222" t="str">
        <f t="shared" si="10"/>
        <v/>
      </c>
      <c r="Z71" s="224" t="str">
        <f t="shared" si="11"/>
        <v> </v>
      </c>
      <c r="AA71" s="244"/>
    </row>
    <row r="72" hidden="1">
      <c r="A72" s="214" t="str">
        <f>IFS($B72=FALSE,"",$B72,VLOOKUP($B72,'PATIENT DATA (072721)'!A:C, 2, 0))</f>
        <v/>
      </c>
      <c r="B72" s="215"/>
      <c r="C72" s="230" t="str">
        <f>IF(COUNTIF('PATIENT DATA (072721)'!A:A, B72)=0, "X","✓")</f>
        <v>X</v>
      </c>
      <c r="D72" s="226" t="str">
        <f>IFS($B72=FALSE,"",$B72,VLOOKUP($B72,'PATIENT DATA (072721)'!A:C, 3, 0))</f>
        <v/>
      </c>
      <c r="E72" s="218">
        <v>44578.0</v>
      </c>
      <c r="F72" s="219" t="str">
        <f>ifs($B72="","",$B72, VLOOKUP($B72&amp;$E72, 'VISIT DATA'!A:O,3,0))</f>
        <v/>
      </c>
      <c r="G72" s="231"/>
      <c r="H72" s="221" t="str">
        <f>ifs($B72="","",$B72, VLOOKUP($B72&amp;$E72, 'VISIT DATA'!$A:$O,13,0))</f>
        <v/>
      </c>
      <c r="I72" s="262" t="str">
        <f>VLOOKUP($B72&amp;$E72,'VISIT DATA'!A:J, 9, FALSE)</f>
        <v>#N/A</v>
      </c>
      <c r="J72" s="223" t="str">
        <f>VLOOKUP(B72&amp;E72,'VISIT DATA'!A:N,10,FALSE)</f>
        <v>#N/A</v>
      </c>
      <c r="K72" s="225"/>
      <c r="L72" s="224"/>
      <c r="M72" s="224"/>
      <c r="N72" s="225"/>
      <c r="O72" s="216" t="str">
        <f t="shared" si="1"/>
        <v>X</v>
      </c>
      <c r="P72" s="226" t="str">
        <f t="shared" si="2"/>
        <v>#N/A</v>
      </c>
      <c r="Q72" s="227" t="str">
        <f t="shared" si="3"/>
        <v>#N/A</v>
      </c>
      <c r="R72" s="228" t="str">
        <f t="shared" si="4"/>
        <v>#N/A</v>
      </c>
      <c r="S72" s="220" t="str">
        <f t="shared" si="5"/>
        <v>#N/A</v>
      </c>
      <c r="T72" s="220" t="str">
        <f t="shared" si="6"/>
        <v>#N/A</v>
      </c>
      <c r="U72" s="221">
        <f t="shared" si="7"/>
        <v>0</v>
      </c>
      <c r="V72" s="229" t="str">
        <f>ifs($N72="",VLOOKUP($B72&amp;$E72,'VISIT DATA'!$A$2:$J100,7,FALSE), $N72="SWAB","OUTSA-RW",$N72="SWQU","OUTSA-SaQu", AND($L72="X",$M72="X",$N72="QUEST"),"OUT-UAQPre",$N72="QUEST","OUT-UAQ", $N72="Walk in","ColUATele")</f>
        <v>#N/A</v>
      </c>
      <c r="W72" s="24" t="str">
        <f t="shared" si="8"/>
        <v>#N/A</v>
      </c>
      <c r="X72" s="222" t="str">
        <f t="shared" si="9"/>
        <v/>
      </c>
      <c r="Y72" s="222" t="str">
        <f t="shared" si="10"/>
        <v/>
      </c>
      <c r="Z72" s="224" t="str">
        <f t="shared" si="11"/>
        <v> </v>
      </c>
      <c r="AA72" s="244"/>
    </row>
    <row r="73" hidden="1">
      <c r="A73" s="214" t="str">
        <f>IFS($B73=FALSE,"",$B73,VLOOKUP($B73,'PATIENT DATA (072721)'!A:C, 2, 0))</f>
        <v/>
      </c>
      <c r="B73" s="215"/>
      <c r="C73" s="230" t="str">
        <f>IF(COUNTIF('PATIENT DATA (072721)'!A:A, B73)=0, "X","✓")</f>
        <v>X</v>
      </c>
      <c r="D73" s="226" t="str">
        <f>IFS($B73=FALSE,"",$B73,VLOOKUP($B73,'PATIENT DATA (072721)'!A:C, 3, 0))</f>
        <v/>
      </c>
      <c r="E73" s="218">
        <v>44578.0</v>
      </c>
      <c r="F73" s="219" t="str">
        <f>ifs($B73="","",$B73, VLOOKUP($B73&amp;$E73, 'VISIT DATA'!A:O,3,0))</f>
        <v/>
      </c>
      <c r="G73" s="231"/>
      <c r="H73" s="221" t="str">
        <f>ifs($B73="","",$B73, VLOOKUP($B73&amp;$E73, 'VISIT DATA'!$A:$O,13,0))</f>
        <v/>
      </c>
      <c r="I73" s="262" t="str">
        <f>VLOOKUP($B73&amp;$E73,'VISIT DATA'!A:J, 9, FALSE)</f>
        <v>#N/A</v>
      </c>
      <c r="J73" s="223" t="str">
        <f>VLOOKUP(B73&amp;E73,'VISIT DATA'!A:N,10,FALSE)</f>
        <v>#N/A</v>
      </c>
      <c r="K73" s="225"/>
      <c r="L73" s="224"/>
      <c r="M73" s="224"/>
      <c r="N73" s="225"/>
      <c r="O73" s="216" t="str">
        <f t="shared" si="1"/>
        <v>X</v>
      </c>
      <c r="P73" s="226" t="str">
        <f t="shared" si="2"/>
        <v>#N/A</v>
      </c>
      <c r="Q73" s="227" t="str">
        <f t="shared" si="3"/>
        <v>#N/A</v>
      </c>
      <c r="R73" s="228" t="str">
        <f t="shared" si="4"/>
        <v>#N/A</v>
      </c>
      <c r="S73" s="220" t="str">
        <f t="shared" si="5"/>
        <v>#N/A</v>
      </c>
      <c r="T73" s="220" t="str">
        <f t="shared" si="6"/>
        <v>#N/A</v>
      </c>
      <c r="U73" s="221">
        <f t="shared" si="7"/>
        <v>0</v>
      </c>
      <c r="V73" s="229" t="str">
        <f>ifs($N73="",VLOOKUP($B73&amp;$E73,'VISIT DATA'!$A$2:$J100,7,FALSE), $N73="SWAB","OUTSA-RW",$N73="SWQU","OUTSA-SaQu", AND($L73="X",$M73="X",$N73="QUEST"),"OUT-UAQPre",$N73="QUEST","OUT-UAQ", $N73="Walk in","ColUATele")</f>
        <v>#N/A</v>
      </c>
      <c r="W73" s="24" t="str">
        <f t="shared" si="8"/>
        <v>#N/A</v>
      </c>
      <c r="X73" s="222" t="str">
        <f t="shared" si="9"/>
        <v/>
      </c>
      <c r="Y73" s="222" t="str">
        <f t="shared" si="10"/>
        <v/>
      </c>
      <c r="Z73" s="224" t="str">
        <f t="shared" si="11"/>
        <v> </v>
      </c>
      <c r="AA73" s="244"/>
    </row>
    <row r="74" hidden="1">
      <c r="A74" s="214" t="str">
        <f>IFS($B74=FALSE,"",$B74,VLOOKUP($B74,'PATIENT DATA (072721)'!A:C, 2, 0))</f>
        <v/>
      </c>
      <c r="B74" s="215"/>
      <c r="C74" s="230" t="str">
        <f>IF(COUNTIF('PATIENT DATA (072721)'!A:A, B74)=0, "X","✓")</f>
        <v>X</v>
      </c>
      <c r="D74" s="226" t="str">
        <f>IFS($B74=FALSE,"",$B74,VLOOKUP($B74,'PATIENT DATA (072721)'!A:C, 3, 0))</f>
        <v/>
      </c>
      <c r="E74" s="218">
        <v>44578.0</v>
      </c>
      <c r="F74" s="219" t="str">
        <f>ifs($B74="","",$B74, VLOOKUP($B74&amp;$E74, 'VISIT DATA'!A:O,3,0))</f>
        <v/>
      </c>
      <c r="G74" s="231"/>
      <c r="H74" s="221" t="str">
        <f>ifs($B74="","",$B74, VLOOKUP($B74&amp;$E74, 'VISIT DATA'!$A:$O,13,0))</f>
        <v/>
      </c>
      <c r="I74" s="262" t="str">
        <f>VLOOKUP($B74&amp;$E74,'VISIT DATA'!A:J, 9, FALSE)</f>
        <v>#N/A</v>
      </c>
      <c r="J74" s="223" t="str">
        <f>VLOOKUP(B74&amp;E74,'VISIT DATA'!A:N,10,FALSE)</f>
        <v>#N/A</v>
      </c>
      <c r="K74" s="225"/>
      <c r="L74" s="224"/>
      <c r="M74" s="224"/>
      <c r="N74" s="225"/>
      <c r="O74" s="216" t="str">
        <f t="shared" si="1"/>
        <v>X</v>
      </c>
      <c r="P74" s="226" t="str">
        <f t="shared" si="2"/>
        <v>#N/A</v>
      </c>
      <c r="Q74" s="227" t="str">
        <f t="shared" si="3"/>
        <v>#N/A</v>
      </c>
      <c r="R74" s="228" t="str">
        <f t="shared" si="4"/>
        <v>#N/A</v>
      </c>
      <c r="S74" s="220" t="str">
        <f t="shared" si="5"/>
        <v>#N/A</v>
      </c>
      <c r="T74" s="220" t="str">
        <f t="shared" si="6"/>
        <v>#N/A</v>
      </c>
      <c r="U74" s="221">
        <f t="shared" si="7"/>
        <v>0</v>
      </c>
      <c r="V74" s="229" t="str">
        <f>ifs($N74="",VLOOKUP($B74&amp;$E74,'VISIT DATA'!$A$2:$J100,7,FALSE), $N74="SWAB","OUTSA-RW",$N74="SWQU","OUTSA-SaQu", AND($L74="X",$M74="X",$N74="QUEST"),"OUT-UAQPre",$N74="QUEST","OUT-UAQ", $N74="Walk in","ColUATele")</f>
        <v>#N/A</v>
      </c>
      <c r="W74" s="24" t="str">
        <f t="shared" si="8"/>
        <v>#N/A</v>
      </c>
      <c r="X74" s="222" t="str">
        <f t="shared" si="9"/>
        <v/>
      </c>
      <c r="Y74" s="222" t="str">
        <f t="shared" si="10"/>
        <v/>
      </c>
      <c r="Z74" s="224" t="str">
        <f t="shared" si="11"/>
        <v> </v>
      </c>
      <c r="AA74" s="244"/>
    </row>
    <row r="75" hidden="1">
      <c r="A75" s="214" t="str">
        <f>IFS($B75=FALSE,"",$B75,VLOOKUP($B75,'PATIENT DATA (072721)'!A:C, 2, 0))</f>
        <v/>
      </c>
      <c r="B75" s="215"/>
      <c r="C75" s="230" t="str">
        <f>IF(COUNTIF('PATIENT DATA (072721)'!A:A, B75)=0, "X","✓")</f>
        <v>X</v>
      </c>
      <c r="D75" s="226" t="str">
        <f>IFS($B75=FALSE,"",$B75,VLOOKUP($B75,'PATIENT DATA (072721)'!A:C, 3, 0))</f>
        <v/>
      </c>
      <c r="E75" s="218">
        <v>44578.0</v>
      </c>
      <c r="F75" s="219" t="str">
        <f>ifs($B75="","",$B75, VLOOKUP($B75&amp;$E75, 'VISIT DATA'!A:O,3,0))</f>
        <v/>
      </c>
      <c r="G75" s="231"/>
      <c r="H75" s="221" t="str">
        <f>ifs($B75="","",$B75, VLOOKUP($B75&amp;$E75, 'VISIT DATA'!$A:$O,13,0))</f>
        <v/>
      </c>
      <c r="I75" s="262" t="str">
        <f>VLOOKUP($B75&amp;$E75,'VISIT DATA'!A:J, 9, FALSE)</f>
        <v>#N/A</v>
      </c>
      <c r="J75" s="223" t="str">
        <f>VLOOKUP(B75&amp;E75,'VISIT DATA'!A:N,10,FALSE)</f>
        <v>#N/A</v>
      </c>
      <c r="K75" s="225"/>
      <c r="L75" s="224"/>
      <c r="M75" s="224"/>
      <c r="N75" s="225"/>
      <c r="O75" s="216" t="str">
        <f t="shared" si="1"/>
        <v>X</v>
      </c>
      <c r="P75" s="226" t="str">
        <f t="shared" si="2"/>
        <v>#N/A</v>
      </c>
      <c r="Q75" s="227" t="str">
        <f t="shared" si="3"/>
        <v>#N/A</v>
      </c>
      <c r="R75" s="228" t="str">
        <f t="shared" si="4"/>
        <v>#N/A</v>
      </c>
      <c r="S75" s="220" t="str">
        <f t="shared" si="5"/>
        <v>#N/A</v>
      </c>
      <c r="T75" s="220" t="str">
        <f t="shared" si="6"/>
        <v>#N/A</v>
      </c>
      <c r="U75" s="221">
        <f t="shared" si="7"/>
        <v>0</v>
      </c>
      <c r="V75" s="229" t="str">
        <f>ifs($N75="",VLOOKUP($B75&amp;$E75,'VISIT DATA'!$A$2:$J100,7,FALSE), $N75="SWAB","OUTSA-RW",$N75="SWQU","OUTSA-SaQu", AND($L75="X",$M75="X",$N75="QUEST"),"OUT-UAQPre",$N75="QUEST","OUT-UAQ", $N75="Walk in","ColUATele")</f>
        <v>#N/A</v>
      </c>
      <c r="W75" s="24" t="str">
        <f t="shared" si="8"/>
        <v>#N/A</v>
      </c>
      <c r="X75" s="222" t="str">
        <f t="shared" si="9"/>
        <v/>
      </c>
      <c r="Y75" s="222" t="str">
        <f t="shared" si="10"/>
        <v/>
      </c>
      <c r="Z75" s="224" t="str">
        <f t="shared" si="11"/>
        <v> </v>
      </c>
      <c r="AA75" s="244"/>
    </row>
    <row r="76" hidden="1">
      <c r="A76" s="214" t="str">
        <f>IFS($B76=FALSE,"",$B76,VLOOKUP($B76,'PATIENT DATA (072721)'!A:C, 2, 0))</f>
        <v/>
      </c>
      <c r="B76" s="215"/>
      <c r="C76" s="230" t="str">
        <f>IF(COUNTIF('PATIENT DATA (072721)'!A:A, B76)=0, "X","✓")</f>
        <v>X</v>
      </c>
      <c r="D76" s="226" t="str">
        <f>IFS($B76=FALSE,"",$B76,VLOOKUP($B76,'PATIENT DATA (072721)'!A:C, 3, 0))</f>
        <v/>
      </c>
      <c r="E76" s="218">
        <v>44578.0</v>
      </c>
      <c r="F76" s="219" t="str">
        <f>ifs($B76="","",$B76, VLOOKUP($B76&amp;$E76, 'VISIT DATA'!A:O,3,0))</f>
        <v/>
      </c>
      <c r="G76" s="231"/>
      <c r="H76" s="221" t="str">
        <f>ifs($B76="","",$B76, VLOOKUP($B76&amp;$E76, 'VISIT DATA'!$A:$O,13,0))</f>
        <v/>
      </c>
      <c r="I76" s="262" t="str">
        <f>VLOOKUP($B76&amp;$E76,'VISIT DATA'!A:J, 9, FALSE)</f>
        <v>#N/A</v>
      </c>
      <c r="J76" s="223" t="str">
        <f>VLOOKUP(B76&amp;E76,'VISIT DATA'!A:N,10,FALSE)</f>
        <v>#N/A</v>
      </c>
      <c r="K76" s="225"/>
      <c r="L76" s="224"/>
      <c r="M76" s="224"/>
      <c r="N76" s="225"/>
      <c r="O76" s="216" t="str">
        <f t="shared" si="1"/>
        <v>X</v>
      </c>
      <c r="P76" s="226" t="str">
        <f t="shared" si="2"/>
        <v>#N/A</v>
      </c>
      <c r="Q76" s="227" t="str">
        <f t="shared" si="3"/>
        <v>#N/A</v>
      </c>
      <c r="R76" s="228" t="str">
        <f t="shared" si="4"/>
        <v>#N/A</v>
      </c>
      <c r="S76" s="220" t="str">
        <f t="shared" si="5"/>
        <v>#N/A</v>
      </c>
      <c r="T76" s="220" t="str">
        <f t="shared" si="6"/>
        <v>#N/A</v>
      </c>
      <c r="U76" s="221">
        <f t="shared" si="7"/>
        <v>0</v>
      </c>
      <c r="V76" s="229" t="str">
        <f>ifs($N76="",VLOOKUP($B76&amp;$E76,'VISIT DATA'!$A$2:$J100,7,FALSE), $N76="SWAB","OUTSA-RW",$N76="SWQU","OUTSA-SaQu", AND($L76="X",$M76="X",$N76="QUEST"),"OUT-UAQPre",$N76="QUEST","OUT-UAQ", $N76="Walk in","ColUATele")</f>
        <v>#N/A</v>
      </c>
      <c r="W76" s="24" t="str">
        <f t="shared" si="8"/>
        <v>#N/A</v>
      </c>
      <c r="X76" s="222" t="str">
        <f t="shared" si="9"/>
        <v/>
      </c>
      <c r="Y76" s="222" t="str">
        <f t="shared" si="10"/>
        <v/>
      </c>
      <c r="Z76" s="224" t="str">
        <f t="shared" si="11"/>
        <v> </v>
      </c>
      <c r="AA76" s="244"/>
    </row>
    <row r="77" hidden="1">
      <c r="A77" s="214" t="str">
        <f>IFS($B77=FALSE,"",$B77,VLOOKUP($B77,'PATIENT DATA (072721)'!A:C, 2, 0))</f>
        <v/>
      </c>
      <c r="B77" s="215"/>
      <c r="C77" s="230" t="str">
        <f>IF(COUNTIF('PATIENT DATA (072721)'!A:A, B77)=0, "X","✓")</f>
        <v>X</v>
      </c>
      <c r="D77" s="226" t="str">
        <f>IFS($B77=FALSE,"",$B77,VLOOKUP($B77,'PATIENT DATA (072721)'!A:C, 3, 0))</f>
        <v/>
      </c>
      <c r="E77" s="218">
        <v>44578.0</v>
      </c>
      <c r="F77" s="219" t="str">
        <f>ifs($B77="","",$B77, VLOOKUP($B77&amp;$E77, 'VISIT DATA'!A:O,3,0))</f>
        <v/>
      </c>
      <c r="G77" s="231"/>
      <c r="H77" s="221" t="str">
        <f>ifs($B77="","",$B77, VLOOKUP($B77&amp;$E77, 'VISIT DATA'!$A:$O,13,0))</f>
        <v/>
      </c>
      <c r="I77" s="262" t="str">
        <f>VLOOKUP($B77&amp;$E77,'VISIT DATA'!A:J, 9, FALSE)</f>
        <v>#N/A</v>
      </c>
      <c r="J77" s="223" t="str">
        <f>VLOOKUP(B77&amp;E77,'VISIT DATA'!A:N,10,FALSE)</f>
        <v>#N/A</v>
      </c>
      <c r="K77" s="225"/>
      <c r="L77" s="224"/>
      <c r="M77" s="224"/>
      <c r="N77" s="225"/>
      <c r="O77" s="216" t="str">
        <f t="shared" si="1"/>
        <v>X</v>
      </c>
      <c r="P77" s="226" t="str">
        <f t="shared" si="2"/>
        <v>#N/A</v>
      </c>
      <c r="Q77" s="227" t="str">
        <f t="shared" si="3"/>
        <v>#N/A</v>
      </c>
      <c r="R77" s="228" t="str">
        <f t="shared" si="4"/>
        <v>#N/A</v>
      </c>
      <c r="S77" s="220" t="str">
        <f t="shared" si="5"/>
        <v>#N/A</v>
      </c>
      <c r="T77" s="220" t="str">
        <f t="shared" si="6"/>
        <v>#N/A</v>
      </c>
      <c r="U77" s="221">
        <f t="shared" si="7"/>
        <v>0</v>
      </c>
      <c r="V77" s="229" t="str">
        <f>ifs($N77="",VLOOKUP($B77&amp;$E77,'VISIT DATA'!$A$2:$J100,7,FALSE), $N77="SWAB","OUTSA-RW",$N77="SWQU","OUTSA-SaQu", AND($L77="X",$M77="X",$N77="QUEST"),"OUT-UAQPre",$N77="QUEST","OUT-UAQ", $N77="Walk in","ColUATele")</f>
        <v>#N/A</v>
      </c>
      <c r="W77" s="24" t="str">
        <f t="shared" si="8"/>
        <v>#N/A</v>
      </c>
      <c r="X77" s="222" t="str">
        <f t="shared" si="9"/>
        <v/>
      </c>
      <c r="Y77" s="222" t="str">
        <f t="shared" si="10"/>
        <v/>
      </c>
      <c r="Z77" s="224" t="str">
        <f t="shared" si="11"/>
        <v> </v>
      </c>
      <c r="AA77" s="244"/>
    </row>
    <row r="78" hidden="1">
      <c r="A78" s="214" t="str">
        <f>IFS($B78=FALSE,"",$B78,VLOOKUP($B78,'PATIENT DATA (072721)'!A:C, 2, 0))</f>
        <v/>
      </c>
      <c r="B78" s="215"/>
      <c r="C78" s="230" t="str">
        <f>IF(COUNTIF('PATIENT DATA (072721)'!A:A, B78)=0, "X","✓")</f>
        <v>X</v>
      </c>
      <c r="D78" s="226" t="str">
        <f>IFS($B78=FALSE,"",$B78,VLOOKUP($B78,'PATIENT DATA (072721)'!A:C, 3, 0))</f>
        <v/>
      </c>
      <c r="E78" s="218">
        <v>44578.0</v>
      </c>
      <c r="F78" s="219" t="str">
        <f>ifs($B78="","",$B78, VLOOKUP($B78&amp;$E78, 'VISIT DATA'!A:O,3,0))</f>
        <v/>
      </c>
      <c r="G78" s="231"/>
      <c r="H78" s="221" t="str">
        <f>ifs($B78="","",$B78, VLOOKUP($B78&amp;$E78, 'VISIT DATA'!$A:$O,13,0))</f>
        <v/>
      </c>
      <c r="I78" s="262" t="str">
        <f>VLOOKUP($B78&amp;$E78,'VISIT DATA'!A:J, 9, FALSE)</f>
        <v>#N/A</v>
      </c>
      <c r="J78" s="223" t="str">
        <f>VLOOKUP(B78&amp;E78,'VISIT DATA'!A:N,10,FALSE)</f>
        <v>#N/A</v>
      </c>
      <c r="K78" s="225"/>
      <c r="L78" s="224"/>
      <c r="M78" s="224"/>
      <c r="N78" s="225"/>
      <c r="O78" s="216" t="str">
        <f t="shared" si="1"/>
        <v>X</v>
      </c>
      <c r="P78" s="226" t="str">
        <f t="shared" si="2"/>
        <v>#N/A</v>
      </c>
      <c r="Q78" s="227" t="str">
        <f t="shared" si="3"/>
        <v>#N/A</v>
      </c>
      <c r="R78" s="228" t="str">
        <f t="shared" si="4"/>
        <v>#N/A</v>
      </c>
      <c r="S78" s="220" t="str">
        <f t="shared" si="5"/>
        <v>#N/A</v>
      </c>
      <c r="T78" s="220" t="str">
        <f t="shared" si="6"/>
        <v>#N/A</v>
      </c>
      <c r="U78" s="221">
        <f t="shared" si="7"/>
        <v>0</v>
      </c>
      <c r="V78" s="229" t="str">
        <f>ifs($N78="",VLOOKUP($B78&amp;$E78,'VISIT DATA'!$A$2:$J100,7,FALSE), $N78="SWAB","OUTSA-RW",$N78="SWQU","OUTSA-SaQu", AND($L78="X",$M78="X",$N78="QUEST"),"OUT-UAQPre",$N78="QUEST","OUT-UAQ", $N78="Walk in","ColUATele")</f>
        <v>#N/A</v>
      </c>
      <c r="W78" s="24" t="str">
        <f t="shared" si="8"/>
        <v>#N/A</v>
      </c>
      <c r="X78" s="222" t="str">
        <f t="shared" si="9"/>
        <v/>
      </c>
      <c r="Y78" s="222" t="str">
        <f t="shared" si="10"/>
        <v/>
      </c>
      <c r="Z78" s="224" t="str">
        <f t="shared" si="11"/>
        <v> </v>
      </c>
      <c r="AA78" s="244"/>
    </row>
    <row r="79" hidden="1">
      <c r="A79" s="214" t="str">
        <f>IFS($B79=FALSE,"",$B79,VLOOKUP($B79,'PATIENT DATA (072721)'!A:C, 2, 0))</f>
        <v/>
      </c>
      <c r="B79" s="215"/>
      <c r="C79" s="230" t="str">
        <f>IF(COUNTIF('PATIENT DATA (072721)'!A:A, B79)=0, "X","✓")</f>
        <v>X</v>
      </c>
      <c r="D79" s="226" t="str">
        <f>IFS($B79=FALSE,"",$B79,VLOOKUP($B79,'PATIENT DATA (072721)'!A:C, 3, 0))</f>
        <v/>
      </c>
      <c r="E79" s="218">
        <v>44578.0</v>
      </c>
      <c r="F79" s="219" t="str">
        <f>ifs($B79="","",$B79, VLOOKUP($B79&amp;$E79, 'VISIT DATA'!A:O,3,0))</f>
        <v/>
      </c>
      <c r="G79" s="231"/>
      <c r="H79" s="221" t="str">
        <f>ifs($B79="","",$B79, VLOOKUP($B79&amp;$E79, 'VISIT DATA'!$A:$O,13,0))</f>
        <v/>
      </c>
      <c r="I79" s="262" t="str">
        <f>VLOOKUP($B79&amp;$E79,'VISIT DATA'!A:J, 9, FALSE)</f>
        <v>#N/A</v>
      </c>
      <c r="J79" s="223" t="str">
        <f>VLOOKUP(B79&amp;E79,'VISIT DATA'!A:N,10,FALSE)</f>
        <v>#N/A</v>
      </c>
      <c r="K79" s="225"/>
      <c r="L79" s="224"/>
      <c r="M79" s="224"/>
      <c r="N79" s="225"/>
      <c r="O79" s="216" t="str">
        <f t="shared" si="1"/>
        <v>X</v>
      </c>
      <c r="P79" s="226" t="str">
        <f t="shared" si="2"/>
        <v>#N/A</v>
      </c>
      <c r="Q79" s="227" t="str">
        <f t="shared" si="3"/>
        <v>#N/A</v>
      </c>
      <c r="R79" s="228" t="str">
        <f t="shared" si="4"/>
        <v>#N/A</v>
      </c>
      <c r="S79" s="220" t="str">
        <f t="shared" si="5"/>
        <v>#N/A</v>
      </c>
      <c r="T79" s="220" t="str">
        <f t="shared" si="6"/>
        <v>#N/A</v>
      </c>
      <c r="U79" s="221">
        <f t="shared" si="7"/>
        <v>0</v>
      </c>
      <c r="V79" s="229" t="str">
        <f>ifs($N79="",VLOOKUP($B79&amp;$E79,'VISIT DATA'!$A$2:$J100,7,FALSE), $N79="SWAB","OUTSA-RW",$N79="SWQU","OUTSA-SaQu", AND($L79="X",$M79="X",$N79="QUEST"),"OUT-UAQPre",$N79="QUEST","OUT-UAQ", $N79="Walk in","ColUATele")</f>
        <v>#N/A</v>
      </c>
      <c r="W79" s="24" t="str">
        <f t="shared" si="8"/>
        <v>#N/A</v>
      </c>
      <c r="X79" s="222" t="str">
        <f t="shared" si="9"/>
        <v/>
      </c>
      <c r="Y79" s="222" t="str">
        <f t="shared" si="10"/>
        <v/>
      </c>
      <c r="Z79" s="224" t="str">
        <f t="shared" si="11"/>
        <v> </v>
      </c>
      <c r="AA79" s="244"/>
    </row>
    <row r="80" hidden="1">
      <c r="A80" s="214" t="str">
        <f>IFS($B80=FALSE,"",$B80,VLOOKUP($B80,'PATIENT DATA (072721)'!A:C, 2, 0))</f>
        <v/>
      </c>
      <c r="B80" s="215"/>
      <c r="C80" s="230" t="str">
        <f>IF(COUNTIF('PATIENT DATA (072721)'!A:A, B80)=0, "X","✓")</f>
        <v>X</v>
      </c>
      <c r="D80" s="226" t="str">
        <f>IFS($B80=FALSE,"",$B80,VLOOKUP($B80,'PATIENT DATA (072721)'!A:C, 3, 0))</f>
        <v/>
      </c>
      <c r="E80" s="218">
        <v>44578.0</v>
      </c>
      <c r="F80" s="219" t="str">
        <f>ifs($B80="","",$B80, VLOOKUP($B80&amp;$E80, 'VISIT DATA'!A:O,3,0))</f>
        <v/>
      </c>
      <c r="G80" s="231"/>
      <c r="H80" s="221" t="str">
        <f>ifs($B80="","",$B80, VLOOKUP($B80&amp;$E80, 'VISIT DATA'!$A:$O,13,0))</f>
        <v/>
      </c>
      <c r="I80" s="262" t="str">
        <f>VLOOKUP($B80&amp;$E80,'VISIT DATA'!A:J, 9, FALSE)</f>
        <v>#N/A</v>
      </c>
      <c r="J80" s="223" t="str">
        <f>VLOOKUP(B80&amp;E80,'VISIT DATA'!A:N,10,FALSE)</f>
        <v>#N/A</v>
      </c>
      <c r="K80" s="225"/>
      <c r="L80" s="224"/>
      <c r="M80" s="224"/>
      <c r="N80" s="225"/>
      <c r="O80" s="216" t="str">
        <f t="shared" si="1"/>
        <v>X</v>
      </c>
      <c r="P80" s="226" t="str">
        <f t="shared" si="2"/>
        <v>#N/A</v>
      </c>
      <c r="Q80" s="227" t="str">
        <f t="shared" si="3"/>
        <v>#N/A</v>
      </c>
      <c r="R80" s="228" t="str">
        <f t="shared" si="4"/>
        <v>#N/A</v>
      </c>
      <c r="S80" s="220" t="str">
        <f t="shared" si="5"/>
        <v>#N/A</v>
      </c>
      <c r="T80" s="220" t="str">
        <f t="shared" si="6"/>
        <v>#N/A</v>
      </c>
      <c r="U80" s="221">
        <f t="shared" si="7"/>
        <v>0</v>
      </c>
      <c r="V80" s="229" t="str">
        <f>ifs($N80="",VLOOKUP($B80&amp;$E80,'VISIT DATA'!$A$2:$J100,7,FALSE), $N80="SWAB","OUTSA-RW",$N80="SWQU","OUTSA-SaQu", AND($L80="X",$M80="X",$N80="QUEST"),"OUT-UAQPre",$N80="QUEST","OUT-UAQ", $N80="Walk in","ColUATele")</f>
        <v>#N/A</v>
      </c>
      <c r="W80" s="24" t="str">
        <f t="shared" si="8"/>
        <v>#N/A</v>
      </c>
      <c r="X80" s="222" t="str">
        <f t="shared" si="9"/>
        <v/>
      </c>
      <c r="Y80" s="222" t="str">
        <f t="shared" si="10"/>
        <v/>
      </c>
      <c r="Z80" s="224" t="str">
        <f t="shared" si="11"/>
        <v> </v>
      </c>
      <c r="AA80" s="244"/>
    </row>
    <row r="81" hidden="1">
      <c r="A81" s="214" t="str">
        <f>IFS($B81=FALSE,"",$B81,VLOOKUP($B81,'PATIENT DATA (072721)'!A:C, 2, 0))</f>
        <v/>
      </c>
      <c r="B81" s="215"/>
      <c r="C81" s="230" t="str">
        <f>IF(COUNTIF('PATIENT DATA (072721)'!A:A, B81)=0, "X","✓")</f>
        <v>X</v>
      </c>
      <c r="D81" s="226" t="str">
        <f>IFS($B81=FALSE,"",$B81,VLOOKUP($B81,'PATIENT DATA (072721)'!A:C, 3, 0))</f>
        <v/>
      </c>
      <c r="E81" s="218">
        <v>44578.0</v>
      </c>
      <c r="F81" s="219" t="str">
        <f>ifs($B81="","",$B81, VLOOKUP($B81&amp;$E81, 'VISIT DATA'!A:O,3,0))</f>
        <v/>
      </c>
      <c r="G81" s="231"/>
      <c r="H81" s="221" t="str">
        <f>ifs($B81="","",$B81, VLOOKUP($B81&amp;$E81, 'VISIT DATA'!$A:$O,13,0))</f>
        <v/>
      </c>
      <c r="I81" s="262" t="str">
        <f>VLOOKUP($B81&amp;$E81,'VISIT DATA'!A:J, 9, FALSE)</f>
        <v>#N/A</v>
      </c>
      <c r="J81" s="223" t="str">
        <f>VLOOKUP(B81&amp;E81,'VISIT DATA'!A:N,10,FALSE)</f>
        <v>#N/A</v>
      </c>
      <c r="K81" s="225"/>
      <c r="L81" s="224"/>
      <c r="M81" s="224"/>
      <c r="N81" s="225"/>
      <c r="O81" s="216" t="str">
        <f t="shared" si="1"/>
        <v>X</v>
      </c>
      <c r="P81" s="226" t="str">
        <f t="shared" si="2"/>
        <v>#N/A</v>
      </c>
      <c r="Q81" s="227" t="str">
        <f t="shared" si="3"/>
        <v>#N/A</v>
      </c>
      <c r="R81" s="228" t="str">
        <f t="shared" si="4"/>
        <v>#N/A</v>
      </c>
      <c r="S81" s="220" t="str">
        <f t="shared" si="5"/>
        <v>#N/A</v>
      </c>
      <c r="T81" s="220" t="str">
        <f t="shared" si="6"/>
        <v>#N/A</v>
      </c>
      <c r="U81" s="221">
        <f t="shared" si="7"/>
        <v>0</v>
      </c>
      <c r="V81" s="229" t="str">
        <f>ifs($N81="",VLOOKUP($B81&amp;$E81,'VISIT DATA'!$A$2:$J100,7,FALSE), $N81="SWAB","OUTSA-RW",$N81="SWQU","OUTSA-SaQu", AND($L81="X",$M81="X",$N81="QUEST"),"OUT-UAQPre",$N81="QUEST","OUT-UAQ", $N81="Walk in","ColUATele")</f>
        <v>#N/A</v>
      </c>
      <c r="W81" s="24" t="str">
        <f t="shared" si="8"/>
        <v>#N/A</v>
      </c>
      <c r="X81" s="222" t="str">
        <f t="shared" si="9"/>
        <v/>
      </c>
      <c r="Y81" s="222" t="str">
        <f t="shared" si="10"/>
        <v/>
      </c>
      <c r="Z81" s="224" t="str">
        <f t="shared" si="11"/>
        <v> </v>
      </c>
      <c r="AA81" s="244"/>
    </row>
    <row r="82" hidden="1">
      <c r="A82" s="214" t="str">
        <f>IFS($B82=FALSE,"",$B82,VLOOKUP($B82,'PATIENT DATA (072721)'!A:C, 2, 0))</f>
        <v/>
      </c>
      <c r="B82" s="215"/>
      <c r="C82" s="230" t="str">
        <f>IF(COUNTIF('PATIENT DATA (072721)'!A:A, B82)=0, "X","✓")</f>
        <v>X</v>
      </c>
      <c r="D82" s="226" t="str">
        <f>IFS($B82=FALSE,"",$B82,VLOOKUP($B82,'PATIENT DATA (072721)'!A:C, 3, 0))</f>
        <v/>
      </c>
      <c r="E82" s="218">
        <v>44578.0</v>
      </c>
      <c r="F82" s="219" t="str">
        <f>ifs($B82="","",$B82, VLOOKUP($B82&amp;$E82, 'VISIT DATA'!A:O,3,0))</f>
        <v/>
      </c>
      <c r="G82" s="231"/>
      <c r="H82" s="221" t="str">
        <f>ifs($B82="","",$B82, VLOOKUP($B82&amp;$E82, 'VISIT DATA'!$A:$O,13,0))</f>
        <v/>
      </c>
      <c r="I82" s="262" t="str">
        <f>VLOOKUP($B82&amp;$E82,'VISIT DATA'!A:J, 9, FALSE)</f>
        <v>#N/A</v>
      </c>
      <c r="J82" s="223" t="str">
        <f>VLOOKUP(B82&amp;E82,'VISIT DATA'!A:N,10,FALSE)</f>
        <v>#N/A</v>
      </c>
      <c r="K82" s="225"/>
      <c r="L82" s="224"/>
      <c r="M82" s="224"/>
      <c r="N82" s="225"/>
      <c r="O82" s="216" t="str">
        <f t="shared" si="1"/>
        <v>X</v>
      </c>
      <c r="P82" s="226" t="str">
        <f t="shared" si="2"/>
        <v>#N/A</v>
      </c>
      <c r="Q82" s="227" t="str">
        <f t="shared" si="3"/>
        <v>#N/A</v>
      </c>
      <c r="R82" s="228" t="str">
        <f t="shared" si="4"/>
        <v>#N/A</v>
      </c>
      <c r="S82" s="220" t="str">
        <f t="shared" si="5"/>
        <v>#N/A</v>
      </c>
      <c r="T82" s="220" t="str">
        <f t="shared" si="6"/>
        <v>#N/A</v>
      </c>
      <c r="U82" s="221">
        <f t="shared" si="7"/>
        <v>0</v>
      </c>
      <c r="V82" s="229" t="str">
        <f>ifs($N82="",VLOOKUP($B82&amp;$E82,'VISIT DATA'!$A$2:$J100,7,FALSE), $N82="SWAB","OUTSA-RW",$N82="SWQU","OUTSA-SaQu", AND($L82="X",$M82="X",$N82="QUEST"),"OUT-UAQPre",$N82="QUEST","OUT-UAQ", $N82="Walk in","ColUATele")</f>
        <v>#N/A</v>
      </c>
      <c r="W82" s="24" t="str">
        <f t="shared" si="8"/>
        <v>#N/A</v>
      </c>
      <c r="X82" s="222" t="str">
        <f t="shared" si="9"/>
        <v/>
      </c>
      <c r="Y82" s="222" t="str">
        <f t="shared" si="10"/>
        <v/>
      </c>
      <c r="Z82" s="224" t="str">
        <f t="shared" si="11"/>
        <v> </v>
      </c>
      <c r="AA82" s="244"/>
    </row>
    <row r="83" hidden="1">
      <c r="A83" s="214" t="str">
        <f>IFS($B83=FALSE,"",$B83,VLOOKUP($B83,'PATIENT DATA (072721)'!A:C, 2, 0))</f>
        <v/>
      </c>
      <c r="B83" s="215"/>
      <c r="C83" s="230" t="str">
        <f>IF(COUNTIF('PATIENT DATA (072721)'!A:A, B83)=0, "X","✓")</f>
        <v>X</v>
      </c>
      <c r="D83" s="226" t="str">
        <f>IFS($B83=FALSE,"",$B83,VLOOKUP($B83,'PATIENT DATA (072721)'!A:C, 3, 0))</f>
        <v/>
      </c>
      <c r="E83" s="218">
        <v>44578.0</v>
      </c>
      <c r="F83" s="219" t="str">
        <f>ifs($B83="","",$B83, VLOOKUP($B83&amp;$E83, 'VISIT DATA'!A:O,3,0))</f>
        <v/>
      </c>
      <c r="G83" s="231"/>
      <c r="H83" s="221" t="str">
        <f>ifs($B83="","",$B83, VLOOKUP($B83&amp;$E83, 'VISIT DATA'!$A:$O,13,0))</f>
        <v/>
      </c>
      <c r="I83" s="262" t="str">
        <f>VLOOKUP($B83&amp;$E83,'VISIT DATA'!A:J, 9, FALSE)</f>
        <v>#N/A</v>
      </c>
      <c r="J83" s="223" t="str">
        <f>VLOOKUP(B83&amp;E83,'VISIT DATA'!A:N,10,FALSE)</f>
        <v>#N/A</v>
      </c>
      <c r="K83" s="225"/>
      <c r="L83" s="224"/>
      <c r="M83" s="224"/>
      <c r="N83" s="225"/>
      <c r="O83" s="216" t="str">
        <f t="shared" si="1"/>
        <v>X</v>
      </c>
      <c r="P83" s="226" t="str">
        <f t="shared" si="2"/>
        <v>#N/A</v>
      </c>
      <c r="Q83" s="227" t="str">
        <f t="shared" si="3"/>
        <v>#N/A</v>
      </c>
      <c r="R83" s="228" t="str">
        <f t="shared" si="4"/>
        <v>#N/A</v>
      </c>
      <c r="S83" s="220" t="str">
        <f t="shared" si="5"/>
        <v>#N/A</v>
      </c>
      <c r="T83" s="220" t="str">
        <f t="shared" si="6"/>
        <v>#N/A</v>
      </c>
      <c r="U83" s="221">
        <f t="shared" si="7"/>
        <v>0</v>
      </c>
      <c r="V83" s="229" t="str">
        <f>ifs($N83="",VLOOKUP($B83&amp;$E83,'VISIT DATA'!$A$2:$J100,7,FALSE), $N83="SWAB","OUTSA-RW",$N83="SWQU","OUTSA-SaQu", AND($L83="X",$M83="X",$N83="QUEST"),"OUT-UAQPre",$N83="QUEST","OUT-UAQ", $N83="Walk in","ColUATele")</f>
        <v>#N/A</v>
      </c>
      <c r="W83" s="24" t="str">
        <f t="shared" si="8"/>
        <v>#N/A</v>
      </c>
      <c r="X83" s="222" t="str">
        <f t="shared" si="9"/>
        <v/>
      </c>
      <c r="Y83" s="222" t="str">
        <f t="shared" si="10"/>
        <v/>
      </c>
      <c r="Z83" s="224" t="str">
        <f t="shared" si="11"/>
        <v> </v>
      </c>
      <c r="AA83" s="244"/>
    </row>
    <row r="84" hidden="1">
      <c r="A84" s="214" t="str">
        <f>IFS($B84=FALSE,"",$B84,VLOOKUP($B84,'PATIENT DATA (072721)'!A:C, 2, 0))</f>
        <v/>
      </c>
      <c r="B84" s="215"/>
      <c r="C84" s="230" t="str">
        <f>IF(COUNTIF('PATIENT DATA (072721)'!A:A, B84)=0, "X","✓")</f>
        <v>X</v>
      </c>
      <c r="D84" s="226" t="str">
        <f>IFS($B84=FALSE,"",$B84,VLOOKUP($B84,'PATIENT DATA (072721)'!A:C, 3, 0))</f>
        <v/>
      </c>
      <c r="E84" s="218">
        <v>44578.0</v>
      </c>
      <c r="F84" s="219" t="str">
        <f>ifs($B84="","",$B84, VLOOKUP($B84&amp;$E84, 'VISIT DATA'!A:O,3,0))</f>
        <v/>
      </c>
      <c r="G84" s="231"/>
      <c r="H84" s="221" t="str">
        <f>ifs($B84="","",$B84, VLOOKUP($B84&amp;$E84, 'VISIT DATA'!$A:$O,13,0))</f>
        <v/>
      </c>
      <c r="I84" s="262" t="str">
        <f>VLOOKUP($B84&amp;$E84,'VISIT DATA'!A:J, 9, FALSE)</f>
        <v>#N/A</v>
      </c>
      <c r="J84" s="223" t="str">
        <f>VLOOKUP(B84&amp;E84,'VISIT DATA'!A:N,10,FALSE)</f>
        <v>#N/A</v>
      </c>
      <c r="K84" s="225"/>
      <c r="L84" s="224"/>
      <c r="M84" s="224"/>
      <c r="N84" s="225"/>
      <c r="O84" s="216" t="str">
        <f t="shared" si="1"/>
        <v>X</v>
      </c>
      <c r="P84" s="226" t="str">
        <f t="shared" si="2"/>
        <v>#N/A</v>
      </c>
      <c r="Q84" s="227" t="str">
        <f t="shared" si="3"/>
        <v>#N/A</v>
      </c>
      <c r="R84" s="228" t="str">
        <f t="shared" si="4"/>
        <v>#N/A</v>
      </c>
      <c r="S84" s="220" t="str">
        <f t="shared" si="5"/>
        <v>#N/A</v>
      </c>
      <c r="T84" s="220" t="str">
        <f t="shared" si="6"/>
        <v>#N/A</v>
      </c>
      <c r="U84" s="221">
        <f t="shared" si="7"/>
        <v>0</v>
      </c>
      <c r="V84" s="229" t="str">
        <f>ifs($N84="",VLOOKUP($B84&amp;$E84,'VISIT DATA'!$A$2:$J100,7,FALSE), $N84="SWAB","OUTSA-RW",$N84="SWQU","OUTSA-SaQu", AND($L84="X",$M84="X",$N84="QUEST"),"OUT-UAQPre",$N84="QUEST","OUT-UAQ", $N84="Walk in","ColUATele")</f>
        <v>#N/A</v>
      </c>
      <c r="W84" s="24" t="str">
        <f t="shared" si="8"/>
        <v>#N/A</v>
      </c>
      <c r="X84" s="222" t="str">
        <f t="shared" si="9"/>
        <v/>
      </c>
      <c r="Y84" s="222" t="str">
        <f t="shared" si="10"/>
        <v/>
      </c>
      <c r="Z84" s="224" t="str">
        <f t="shared" si="11"/>
        <v> </v>
      </c>
      <c r="AA84" s="244"/>
    </row>
    <row r="85" hidden="1">
      <c r="A85" s="214" t="str">
        <f>IFS($B85=FALSE,"",$B85,VLOOKUP($B85,'PATIENT DATA (072721)'!A:C, 2, 0))</f>
        <v/>
      </c>
      <c r="B85" s="215"/>
      <c r="C85" s="230" t="str">
        <f>IF(COUNTIF('PATIENT DATA (072721)'!A:A, B85)=0, "X","✓")</f>
        <v>X</v>
      </c>
      <c r="D85" s="226" t="str">
        <f>IFS($B85=FALSE,"",$B85,VLOOKUP($B85,'PATIENT DATA (072721)'!A:C, 3, 0))</f>
        <v/>
      </c>
      <c r="E85" s="218">
        <v>44578.0</v>
      </c>
      <c r="F85" s="219" t="str">
        <f>ifs($B85="","",$B85, VLOOKUP($B85&amp;$E85, 'VISIT DATA'!A:O,3,0))</f>
        <v/>
      </c>
      <c r="G85" s="231"/>
      <c r="H85" s="221" t="str">
        <f>ifs($B85="","",$B85, VLOOKUP($B85&amp;$E85, 'VISIT DATA'!$A:$O,13,0))</f>
        <v/>
      </c>
      <c r="I85" s="262" t="str">
        <f>VLOOKUP($B85&amp;$E85,'VISIT DATA'!A:J, 9, FALSE)</f>
        <v>#N/A</v>
      </c>
      <c r="J85" s="223" t="str">
        <f>VLOOKUP(B85&amp;E85,'VISIT DATA'!A:N,10,FALSE)</f>
        <v>#N/A</v>
      </c>
      <c r="K85" s="225"/>
      <c r="L85" s="224"/>
      <c r="M85" s="224"/>
      <c r="N85" s="225"/>
      <c r="O85" s="216" t="str">
        <f t="shared" si="1"/>
        <v>X</v>
      </c>
      <c r="P85" s="226" t="str">
        <f t="shared" si="2"/>
        <v>#N/A</v>
      </c>
      <c r="Q85" s="227" t="str">
        <f t="shared" si="3"/>
        <v>#N/A</v>
      </c>
      <c r="R85" s="228" t="str">
        <f t="shared" si="4"/>
        <v>#N/A</v>
      </c>
      <c r="S85" s="220" t="str">
        <f t="shared" si="5"/>
        <v>#N/A</v>
      </c>
      <c r="T85" s="220" t="str">
        <f t="shared" si="6"/>
        <v>#N/A</v>
      </c>
      <c r="U85" s="221">
        <f t="shared" si="7"/>
        <v>0</v>
      </c>
      <c r="V85" s="229" t="str">
        <f>ifs($N85="",VLOOKUP($B85&amp;$E85,'VISIT DATA'!$A$2:$J100,7,FALSE), $N85="SWAB","OUTSA-RW",$N85="SWQU","OUTSA-SaQu", AND($L85="X",$M85="X",$N85="QUEST"),"OUT-UAQPre",$N85="QUEST","OUT-UAQ", $N85="Walk in","ColUATele")</f>
        <v>#N/A</v>
      </c>
      <c r="W85" s="24" t="str">
        <f t="shared" si="8"/>
        <v>#N/A</v>
      </c>
      <c r="X85" s="222" t="str">
        <f t="shared" si="9"/>
        <v/>
      </c>
      <c r="Y85" s="222" t="str">
        <f t="shared" si="10"/>
        <v/>
      </c>
      <c r="Z85" s="224" t="str">
        <f t="shared" si="11"/>
        <v> </v>
      </c>
      <c r="AA85" s="244"/>
    </row>
    <row r="86" hidden="1">
      <c r="A86" s="214" t="str">
        <f>IFS($B86=FALSE,"",$B86,VLOOKUP($B86,'PATIENT DATA (072721)'!A:C, 2, 0))</f>
        <v/>
      </c>
      <c r="B86" s="215"/>
      <c r="C86" s="230" t="str">
        <f>IF(COUNTIF('PATIENT DATA (072721)'!A:A, B86)=0, "X","✓")</f>
        <v>X</v>
      </c>
      <c r="D86" s="226" t="str">
        <f>IFS($B86=FALSE,"",$B86,VLOOKUP($B86,'PATIENT DATA (072721)'!A:C, 3, 0))</f>
        <v/>
      </c>
      <c r="E86" s="218">
        <v>44578.0</v>
      </c>
      <c r="F86" s="219" t="str">
        <f>ifs($B86="","",$B86, VLOOKUP($B86&amp;$E86, 'VISIT DATA'!A:O,3,0))</f>
        <v/>
      </c>
      <c r="G86" s="231"/>
      <c r="H86" s="221" t="str">
        <f>ifs($B86="","",$B86, VLOOKUP($B86&amp;$E86, 'VISIT DATA'!$A:$O,13,0))</f>
        <v/>
      </c>
      <c r="I86" s="262" t="str">
        <f>VLOOKUP($B86&amp;$E86,'VISIT DATA'!A:J, 9, FALSE)</f>
        <v>#N/A</v>
      </c>
      <c r="J86" s="223" t="str">
        <f>VLOOKUP(B86&amp;E86,'VISIT DATA'!A:N,10,FALSE)</f>
        <v>#N/A</v>
      </c>
      <c r="K86" s="225"/>
      <c r="L86" s="224"/>
      <c r="M86" s="224"/>
      <c r="N86" s="225"/>
      <c r="O86" s="216" t="str">
        <f t="shared" si="1"/>
        <v>X</v>
      </c>
      <c r="P86" s="226" t="str">
        <f t="shared" si="2"/>
        <v>#N/A</v>
      </c>
      <c r="Q86" s="227" t="str">
        <f t="shared" si="3"/>
        <v>#N/A</v>
      </c>
      <c r="R86" s="228" t="str">
        <f t="shared" si="4"/>
        <v>#N/A</v>
      </c>
      <c r="S86" s="220" t="str">
        <f t="shared" si="5"/>
        <v>#N/A</v>
      </c>
      <c r="T86" s="220" t="str">
        <f t="shared" si="6"/>
        <v>#N/A</v>
      </c>
      <c r="U86" s="221">
        <f t="shared" si="7"/>
        <v>0</v>
      </c>
      <c r="V86" s="229" t="str">
        <f>ifs($N86="",VLOOKUP($B86&amp;$E86,'VISIT DATA'!$A$2:$J100,7,FALSE), $N86="SWAB","OUTSA-RW",$N86="SWQU","OUTSA-SaQu", AND($L86="X",$M86="X",$N86="QUEST"),"OUT-UAQPre",$N86="QUEST","OUT-UAQ", $N86="Walk in","ColUATele")</f>
        <v>#N/A</v>
      </c>
      <c r="W86" s="24" t="str">
        <f t="shared" si="8"/>
        <v>#N/A</v>
      </c>
      <c r="X86" s="222" t="str">
        <f t="shared" si="9"/>
        <v/>
      </c>
      <c r="Y86" s="222" t="str">
        <f t="shared" si="10"/>
        <v/>
      </c>
      <c r="Z86" s="224" t="str">
        <f t="shared" si="11"/>
        <v> </v>
      </c>
      <c r="AA86" s="244"/>
    </row>
    <row r="87" hidden="1">
      <c r="A87" s="214" t="str">
        <f>IFS($B87=FALSE,"",$B87,VLOOKUP($B87,'PATIENT DATA (072721)'!A:C, 2, 0))</f>
        <v/>
      </c>
      <c r="B87" s="215"/>
      <c r="C87" s="230" t="str">
        <f>IF(COUNTIF('PATIENT DATA (072721)'!A:A, B87)=0, "X","✓")</f>
        <v>X</v>
      </c>
      <c r="D87" s="226" t="str">
        <f>IFS($B87=FALSE,"",$B87,VLOOKUP($B87,'PATIENT DATA (072721)'!A:C, 3, 0))</f>
        <v/>
      </c>
      <c r="E87" s="218">
        <v>44578.0</v>
      </c>
      <c r="F87" s="219" t="str">
        <f>ifs($B87="","",$B87, VLOOKUP($B87&amp;$E87, 'VISIT DATA'!A:O,3,0))</f>
        <v/>
      </c>
      <c r="G87" s="231"/>
      <c r="H87" s="221" t="str">
        <f>ifs($B87="","",$B87, VLOOKUP($B87&amp;$E87, 'VISIT DATA'!$A:$O,13,0))</f>
        <v/>
      </c>
      <c r="I87" s="262" t="str">
        <f>VLOOKUP($B87&amp;$E87,'VISIT DATA'!A:J, 9, FALSE)</f>
        <v>#N/A</v>
      </c>
      <c r="J87" s="223" t="str">
        <f>VLOOKUP(B87&amp;E87,'VISIT DATA'!A:N,10,FALSE)</f>
        <v>#N/A</v>
      </c>
      <c r="K87" s="225"/>
      <c r="L87" s="224"/>
      <c r="M87" s="224"/>
      <c r="N87" s="225"/>
      <c r="O87" s="216" t="str">
        <f t="shared" si="1"/>
        <v>X</v>
      </c>
      <c r="P87" s="226" t="str">
        <f t="shared" si="2"/>
        <v>#N/A</v>
      </c>
      <c r="Q87" s="227" t="str">
        <f t="shared" si="3"/>
        <v>#N/A</v>
      </c>
      <c r="R87" s="228" t="str">
        <f t="shared" si="4"/>
        <v>#N/A</v>
      </c>
      <c r="S87" s="220" t="str">
        <f t="shared" si="5"/>
        <v>#N/A</v>
      </c>
      <c r="T87" s="220" t="str">
        <f t="shared" si="6"/>
        <v>#N/A</v>
      </c>
      <c r="U87" s="221">
        <f t="shared" si="7"/>
        <v>0</v>
      </c>
      <c r="V87" s="229" t="str">
        <f>ifs($N87="",VLOOKUP($B87&amp;$E87,'VISIT DATA'!$A$2:$J100,7,FALSE), $N87="SWAB","OUTSA-RW",$N87="SWQU","OUTSA-SaQu", AND($L87="X",$M87="X",$N87="QUEST"),"OUT-UAQPre",$N87="QUEST","OUT-UAQ", $N87="Walk in","ColUATele")</f>
        <v>#N/A</v>
      </c>
      <c r="W87" s="24" t="str">
        <f t="shared" si="8"/>
        <v>#N/A</v>
      </c>
      <c r="X87" s="222" t="str">
        <f t="shared" si="9"/>
        <v/>
      </c>
      <c r="Y87" s="222" t="str">
        <f t="shared" si="10"/>
        <v/>
      </c>
      <c r="Z87" s="224" t="str">
        <f t="shared" si="11"/>
        <v> </v>
      </c>
      <c r="AA87" s="244"/>
    </row>
    <row r="88" hidden="1">
      <c r="A88" s="214" t="str">
        <f>IFS($B88=FALSE,"",$B88,VLOOKUP($B88,'PATIENT DATA (072721)'!A:C, 2, 0))</f>
        <v/>
      </c>
      <c r="B88" s="215"/>
      <c r="C88" s="230" t="str">
        <f>IF(COUNTIF('PATIENT DATA (072721)'!A:A, B88)=0, "X","✓")</f>
        <v>X</v>
      </c>
      <c r="D88" s="226" t="str">
        <f>IFS($B88=FALSE,"",$B88,VLOOKUP($B88,'PATIENT DATA (072721)'!A:C, 3, 0))</f>
        <v/>
      </c>
      <c r="E88" s="218">
        <v>44578.0</v>
      </c>
      <c r="F88" s="219" t="str">
        <f>ifs($B88="","",$B88, VLOOKUP($B88&amp;$E88, 'VISIT DATA'!A:O,3,0))</f>
        <v/>
      </c>
      <c r="G88" s="231"/>
      <c r="H88" s="221" t="str">
        <f>ifs($B88="","",$B88, VLOOKUP($B88&amp;$E88, 'VISIT DATA'!$A:$O,13,0))</f>
        <v/>
      </c>
      <c r="I88" s="262" t="str">
        <f>VLOOKUP($B88&amp;$E88,'VISIT DATA'!A:J, 9, FALSE)</f>
        <v>#N/A</v>
      </c>
      <c r="J88" s="223" t="str">
        <f>VLOOKUP(B88&amp;E88,'VISIT DATA'!A:N,10,FALSE)</f>
        <v>#N/A</v>
      </c>
      <c r="K88" s="225"/>
      <c r="L88" s="224"/>
      <c r="M88" s="224"/>
      <c r="N88" s="225"/>
      <c r="O88" s="216" t="str">
        <f t="shared" si="1"/>
        <v>X</v>
      </c>
      <c r="P88" s="226" t="str">
        <f t="shared" si="2"/>
        <v>#N/A</v>
      </c>
      <c r="Q88" s="227" t="str">
        <f t="shared" si="3"/>
        <v>#N/A</v>
      </c>
      <c r="R88" s="228" t="str">
        <f t="shared" si="4"/>
        <v>#N/A</v>
      </c>
      <c r="S88" s="220" t="str">
        <f t="shared" si="5"/>
        <v>#N/A</v>
      </c>
      <c r="T88" s="220" t="str">
        <f t="shared" si="6"/>
        <v>#N/A</v>
      </c>
      <c r="U88" s="221">
        <f t="shared" si="7"/>
        <v>0</v>
      </c>
      <c r="V88" s="229" t="str">
        <f>ifs($N88="",VLOOKUP($B88&amp;$E88,'VISIT DATA'!$A$2:$J100,7,FALSE), $N88="SWAB","OUTSA-RW",$N88="SWQU","OUTSA-SaQu", AND($L88="X",$M88="X",$N88="QUEST"),"OUT-UAQPre",$N88="QUEST","OUT-UAQ", $N88="Walk in","ColUATele")</f>
        <v>#N/A</v>
      </c>
      <c r="W88" s="24" t="str">
        <f t="shared" si="8"/>
        <v>#N/A</v>
      </c>
      <c r="X88" s="222" t="str">
        <f t="shared" si="9"/>
        <v/>
      </c>
      <c r="Y88" s="222" t="str">
        <f t="shared" si="10"/>
        <v/>
      </c>
      <c r="Z88" s="224" t="str">
        <f t="shared" si="11"/>
        <v> </v>
      </c>
      <c r="AA88" s="244"/>
    </row>
    <row r="89" hidden="1">
      <c r="A89" s="214" t="str">
        <f>IFS($B89=FALSE,"",$B89,VLOOKUP($B89,'PATIENT DATA (072721)'!A:C, 2, 0))</f>
        <v/>
      </c>
      <c r="B89" s="215"/>
      <c r="C89" s="230" t="str">
        <f>IF(COUNTIF('PATIENT DATA (072721)'!A:A, B89)=0, "X","✓")</f>
        <v>X</v>
      </c>
      <c r="D89" s="226" t="str">
        <f>IFS($B89=FALSE,"",$B89,VLOOKUP($B89,'PATIENT DATA (072721)'!A:C, 3, 0))</f>
        <v/>
      </c>
      <c r="E89" s="218">
        <v>44578.0</v>
      </c>
      <c r="F89" s="219" t="str">
        <f>ifs($B89="","",$B89, VLOOKUP($B89&amp;$E89, 'VISIT DATA'!A:O,3,0))</f>
        <v/>
      </c>
      <c r="G89" s="231"/>
      <c r="H89" s="221" t="str">
        <f>ifs($B89="","",$B89, VLOOKUP($B89&amp;$E89, 'VISIT DATA'!$A:$O,13,0))</f>
        <v/>
      </c>
      <c r="I89" s="262" t="str">
        <f>VLOOKUP($B89&amp;$E89,'VISIT DATA'!A:J, 9, FALSE)</f>
        <v>#N/A</v>
      </c>
      <c r="J89" s="223" t="str">
        <f>VLOOKUP(B89&amp;E89,'VISIT DATA'!A:N,10,FALSE)</f>
        <v>#N/A</v>
      </c>
      <c r="K89" s="225"/>
      <c r="L89" s="224"/>
      <c r="M89" s="224"/>
      <c r="N89" s="225"/>
      <c r="O89" s="216" t="str">
        <f t="shared" si="1"/>
        <v>X</v>
      </c>
      <c r="P89" s="226" t="str">
        <f t="shared" si="2"/>
        <v>#N/A</v>
      </c>
      <c r="Q89" s="227" t="str">
        <f t="shared" si="3"/>
        <v>#N/A</v>
      </c>
      <c r="R89" s="228" t="str">
        <f t="shared" si="4"/>
        <v>#N/A</v>
      </c>
      <c r="S89" s="220" t="str">
        <f t="shared" si="5"/>
        <v>#N/A</v>
      </c>
      <c r="T89" s="220" t="str">
        <f t="shared" si="6"/>
        <v>#N/A</v>
      </c>
      <c r="U89" s="221">
        <f t="shared" si="7"/>
        <v>0</v>
      </c>
      <c r="V89" s="229" t="str">
        <f>ifs($N89="",VLOOKUP($B89&amp;$E89,'VISIT DATA'!$A$2:$J100,7,FALSE), $N89="SWAB","OUTSA-RW",$N89="SWQU","OUTSA-SaQu", AND($L89="X",$M89="X",$N89="QUEST"),"OUT-UAQPre",$N89="QUEST","OUT-UAQ", $N89="Walk in","ColUATele")</f>
        <v>#N/A</v>
      </c>
      <c r="W89" s="24" t="str">
        <f t="shared" si="8"/>
        <v>#N/A</v>
      </c>
      <c r="X89" s="222" t="str">
        <f t="shared" si="9"/>
        <v/>
      </c>
      <c r="Y89" s="222" t="str">
        <f t="shared" si="10"/>
        <v/>
      </c>
      <c r="Z89" s="224" t="str">
        <f t="shared" si="11"/>
        <v> </v>
      </c>
      <c r="AA89" s="244"/>
    </row>
    <row r="90" hidden="1">
      <c r="A90" s="214" t="str">
        <f>IFS($B90=FALSE,"",$B90,VLOOKUP($B90,'PATIENT DATA (072721)'!A:C, 2, 0))</f>
        <v/>
      </c>
      <c r="B90" s="215"/>
      <c r="C90" s="230" t="str">
        <f>IF(COUNTIF('PATIENT DATA (072721)'!A:A, B90)=0, "X","✓")</f>
        <v>X</v>
      </c>
      <c r="D90" s="226" t="str">
        <f>IFS($B90=FALSE,"",$B90,VLOOKUP($B90,'PATIENT DATA (072721)'!A:C, 3, 0))</f>
        <v/>
      </c>
      <c r="E90" s="218">
        <v>44578.0</v>
      </c>
      <c r="F90" s="219" t="str">
        <f>ifs($B90="","",$B90, VLOOKUP($B90&amp;$E90, 'VISIT DATA'!A:O,3,0))</f>
        <v/>
      </c>
      <c r="G90" s="231"/>
      <c r="H90" s="221" t="str">
        <f>ifs($B90="","",$B90, VLOOKUP($B90&amp;$E90, 'VISIT DATA'!$A:$O,13,0))</f>
        <v/>
      </c>
      <c r="I90" s="262" t="str">
        <f>VLOOKUP($B90&amp;$E90,'VISIT DATA'!A:J, 9, FALSE)</f>
        <v>#N/A</v>
      </c>
      <c r="J90" s="223" t="str">
        <f>VLOOKUP(B90&amp;E90,'VISIT DATA'!A:N,10,FALSE)</f>
        <v>#N/A</v>
      </c>
      <c r="K90" s="225"/>
      <c r="L90" s="224"/>
      <c r="M90" s="224"/>
      <c r="N90" s="225"/>
      <c r="O90" s="216" t="str">
        <f t="shared" si="1"/>
        <v>X</v>
      </c>
      <c r="P90" s="226" t="str">
        <f t="shared" si="2"/>
        <v>#N/A</v>
      </c>
      <c r="Q90" s="227" t="str">
        <f t="shared" si="3"/>
        <v>#N/A</v>
      </c>
      <c r="R90" s="228" t="str">
        <f t="shared" si="4"/>
        <v>#N/A</v>
      </c>
      <c r="S90" s="220" t="str">
        <f t="shared" si="5"/>
        <v>#N/A</v>
      </c>
      <c r="T90" s="220" t="str">
        <f t="shared" si="6"/>
        <v>#N/A</v>
      </c>
      <c r="U90" s="221">
        <f t="shared" si="7"/>
        <v>0</v>
      </c>
      <c r="V90" s="229" t="str">
        <f>ifs($N90="",VLOOKUP($B90&amp;$E90,'VISIT DATA'!$A$2:$J100,7,FALSE), $N90="SWAB","OUTSA-RW",$N90="SWQU","OUTSA-SaQu", AND($L90="X",$M90="X",$N90="QUEST"),"OUT-UAQPre",$N90="QUEST","OUT-UAQ", $N90="Walk in","ColUATele")</f>
        <v>#N/A</v>
      </c>
      <c r="W90" s="24" t="str">
        <f t="shared" si="8"/>
        <v>#N/A</v>
      </c>
      <c r="X90" s="222" t="str">
        <f t="shared" si="9"/>
        <v/>
      </c>
      <c r="Y90" s="222" t="str">
        <f t="shared" si="10"/>
        <v/>
      </c>
      <c r="Z90" s="224" t="str">
        <f t="shared" si="11"/>
        <v> </v>
      </c>
      <c r="AA90" s="244"/>
    </row>
    <row r="91" hidden="1">
      <c r="A91" s="214" t="str">
        <f>IFS($B91=FALSE,"",$B91,VLOOKUP($B91,'PATIENT DATA (072721)'!A:C, 2, 0))</f>
        <v/>
      </c>
      <c r="B91" s="215"/>
      <c r="C91" s="230" t="str">
        <f>IF(COUNTIF('PATIENT DATA (072721)'!A:A, B91)=0, "X","✓")</f>
        <v>X</v>
      </c>
      <c r="D91" s="226" t="str">
        <f>IFS($B91=FALSE,"",$B91,VLOOKUP($B91,'PATIENT DATA (072721)'!A:C, 3, 0))</f>
        <v/>
      </c>
      <c r="E91" s="218">
        <v>44578.0</v>
      </c>
      <c r="F91" s="219" t="str">
        <f>ifs($B91="","",$B91, VLOOKUP($B91&amp;$E91, 'VISIT DATA'!A:O,3,0))</f>
        <v/>
      </c>
      <c r="G91" s="231"/>
      <c r="H91" s="221" t="str">
        <f>ifs($B91="","",$B91, VLOOKUP($B91&amp;$E91, 'VISIT DATA'!$A:$O,13,0))</f>
        <v/>
      </c>
      <c r="I91" s="262" t="str">
        <f>VLOOKUP($B91&amp;$E91,'VISIT DATA'!A:J, 9, FALSE)</f>
        <v>#N/A</v>
      </c>
      <c r="J91" s="223" t="str">
        <f>VLOOKUP(B91&amp;E91,'VISIT DATA'!A:N,10,FALSE)</f>
        <v>#N/A</v>
      </c>
      <c r="K91" s="225"/>
      <c r="L91" s="224"/>
      <c r="M91" s="224"/>
      <c r="N91" s="225"/>
      <c r="O91" s="216" t="str">
        <f t="shared" si="1"/>
        <v>X</v>
      </c>
      <c r="P91" s="226" t="str">
        <f t="shared" si="2"/>
        <v>#N/A</v>
      </c>
      <c r="Q91" s="227" t="str">
        <f t="shared" si="3"/>
        <v>#N/A</v>
      </c>
      <c r="R91" s="228" t="str">
        <f t="shared" si="4"/>
        <v>#N/A</v>
      </c>
      <c r="S91" s="220" t="str">
        <f t="shared" si="5"/>
        <v>#N/A</v>
      </c>
      <c r="T91" s="220" t="str">
        <f t="shared" si="6"/>
        <v>#N/A</v>
      </c>
      <c r="U91" s="221">
        <f t="shared" si="7"/>
        <v>0</v>
      </c>
      <c r="V91" s="229" t="str">
        <f>ifs($N91="",VLOOKUP($B91&amp;$E91,'VISIT DATA'!$A$2:$J100,7,FALSE), $N91="SWAB","OUTSA-RW",$N91="SWQU","OUTSA-SaQu", AND($L91="X",$M91="X",$N91="QUEST"),"OUT-UAQPre",$N91="QUEST","OUT-UAQ", $N91="Walk in","ColUATele")</f>
        <v>#N/A</v>
      </c>
      <c r="W91" s="24" t="str">
        <f t="shared" si="8"/>
        <v>#N/A</v>
      </c>
      <c r="X91" s="222" t="str">
        <f t="shared" si="9"/>
        <v/>
      </c>
      <c r="Y91" s="222" t="str">
        <f t="shared" si="10"/>
        <v/>
      </c>
      <c r="Z91" s="224" t="str">
        <f t="shared" si="11"/>
        <v> </v>
      </c>
      <c r="AA91" s="244"/>
    </row>
    <row r="92" hidden="1">
      <c r="A92" s="214" t="str">
        <f>IFS($B92=FALSE,"",$B92,VLOOKUP($B92,'PATIENT DATA (072721)'!A:C, 2, 0))</f>
        <v/>
      </c>
      <c r="B92" s="215"/>
      <c r="C92" s="230" t="str">
        <f>IF(COUNTIF('PATIENT DATA (072721)'!A:A, B92)=0, "X","✓")</f>
        <v>X</v>
      </c>
      <c r="D92" s="226" t="str">
        <f>IFS($B92=FALSE,"",$B92,VLOOKUP($B92,'PATIENT DATA (072721)'!A:C, 3, 0))</f>
        <v/>
      </c>
      <c r="E92" s="218">
        <v>44578.0</v>
      </c>
      <c r="F92" s="219" t="str">
        <f>ifs($B92="","",$B92, VLOOKUP($B92&amp;$E92, 'VISIT DATA'!A:O,3,0))</f>
        <v/>
      </c>
      <c r="G92" s="231"/>
      <c r="H92" s="221" t="str">
        <f>ifs($B92="","",$B92, VLOOKUP($B92&amp;$E92, 'VISIT DATA'!$A:$O,13,0))</f>
        <v/>
      </c>
      <c r="I92" s="262" t="str">
        <f>VLOOKUP($B92&amp;$E92,'VISIT DATA'!A:J, 9, FALSE)</f>
        <v>#N/A</v>
      </c>
      <c r="J92" s="223" t="str">
        <f>VLOOKUP(B92&amp;E92,'VISIT DATA'!A:N,10,FALSE)</f>
        <v>#N/A</v>
      </c>
      <c r="K92" s="225"/>
      <c r="L92" s="224"/>
      <c r="M92" s="224"/>
      <c r="N92" s="225"/>
      <c r="O92" s="216" t="str">
        <f t="shared" si="1"/>
        <v>X</v>
      </c>
      <c r="P92" s="226" t="str">
        <f t="shared" si="2"/>
        <v>#N/A</v>
      </c>
      <c r="Q92" s="227" t="str">
        <f t="shared" si="3"/>
        <v>#N/A</v>
      </c>
      <c r="R92" s="228" t="str">
        <f t="shared" si="4"/>
        <v>#N/A</v>
      </c>
      <c r="S92" s="220" t="str">
        <f t="shared" si="5"/>
        <v>#N/A</v>
      </c>
      <c r="T92" s="220" t="str">
        <f t="shared" si="6"/>
        <v>#N/A</v>
      </c>
      <c r="U92" s="221">
        <f t="shared" si="7"/>
        <v>0</v>
      </c>
      <c r="V92" s="229" t="str">
        <f>ifs($N92="",VLOOKUP($B92&amp;$E92,'VISIT DATA'!$A$2:$J100,7,FALSE), $N92="SWAB","OUTSA-RW",$N92="SWQU","OUTSA-SaQu", AND($L92="X",$M92="X",$N92="QUEST"),"OUT-UAQPre",$N92="QUEST","OUT-UAQ", $N92="Walk in","ColUATele")</f>
        <v>#N/A</v>
      </c>
      <c r="W92" s="24" t="str">
        <f t="shared" si="8"/>
        <v>#N/A</v>
      </c>
      <c r="X92" s="222" t="str">
        <f t="shared" si="9"/>
        <v/>
      </c>
      <c r="Y92" s="222" t="str">
        <f t="shared" si="10"/>
        <v/>
      </c>
      <c r="Z92" s="224" t="str">
        <f t="shared" si="11"/>
        <v> </v>
      </c>
      <c r="AA92" s="244"/>
    </row>
    <row r="93" hidden="1">
      <c r="A93" s="214" t="str">
        <f>IFS($B93=FALSE,"",$B93,VLOOKUP($B93,'PATIENT DATA (072721)'!A:C, 2, 0))</f>
        <v/>
      </c>
      <c r="B93" s="215"/>
      <c r="C93" s="230" t="str">
        <f>IF(COUNTIF('PATIENT DATA (072721)'!A:A, B93)=0, "X","✓")</f>
        <v>X</v>
      </c>
      <c r="D93" s="226" t="str">
        <f>IFS($B93=FALSE,"",$B93,VLOOKUP($B93,'PATIENT DATA (072721)'!A:C, 3, 0))</f>
        <v/>
      </c>
      <c r="E93" s="218">
        <v>44578.0</v>
      </c>
      <c r="F93" s="219" t="str">
        <f>ifs($B93="","",$B93, VLOOKUP($B93&amp;$E93, 'VISIT DATA'!A:O,3,0))</f>
        <v/>
      </c>
      <c r="G93" s="231"/>
      <c r="H93" s="221" t="str">
        <f>ifs($B93="","",$B93, VLOOKUP($B93&amp;$E93, 'VISIT DATA'!$A:$O,13,0))</f>
        <v/>
      </c>
      <c r="I93" s="262" t="str">
        <f>VLOOKUP($B93&amp;$E93,'VISIT DATA'!A:J, 9, FALSE)</f>
        <v>#N/A</v>
      </c>
      <c r="J93" s="223" t="str">
        <f>VLOOKUP(B93&amp;E93,'VISIT DATA'!A:N,10,FALSE)</f>
        <v>#N/A</v>
      </c>
      <c r="K93" s="225"/>
      <c r="L93" s="224"/>
      <c r="M93" s="224"/>
      <c r="N93" s="225"/>
      <c r="O93" s="216" t="str">
        <f t="shared" si="1"/>
        <v>X</v>
      </c>
      <c r="P93" s="226" t="str">
        <f t="shared" si="2"/>
        <v>#N/A</v>
      </c>
      <c r="Q93" s="227" t="str">
        <f t="shared" si="3"/>
        <v>#N/A</v>
      </c>
      <c r="R93" s="228" t="str">
        <f t="shared" si="4"/>
        <v>#N/A</v>
      </c>
      <c r="S93" s="220" t="str">
        <f t="shared" si="5"/>
        <v>#N/A</v>
      </c>
      <c r="T93" s="220" t="str">
        <f t="shared" si="6"/>
        <v>#N/A</v>
      </c>
      <c r="U93" s="221">
        <f t="shared" si="7"/>
        <v>0</v>
      </c>
      <c r="V93" s="229" t="str">
        <f>ifs($N93="",VLOOKUP($B93&amp;$E93,'VISIT DATA'!$A$2:$J100,7,FALSE), $N93="SWAB","OUTSA-RW",$N93="SWQU","OUTSA-SaQu", AND($L93="X",$M93="X",$N93="QUEST"),"OUT-UAQPre",$N93="QUEST","OUT-UAQ", $N93="Walk in","ColUATele")</f>
        <v>#N/A</v>
      </c>
      <c r="W93" s="24" t="str">
        <f t="shared" si="8"/>
        <v>#N/A</v>
      </c>
      <c r="X93" s="222" t="str">
        <f t="shared" si="9"/>
        <v/>
      </c>
      <c r="Y93" s="222" t="str">
        <f t="shared" si="10"/>
        <v/>
      </c>
      <c r="Z93" s="224" t="str">
        <f t="shared" si="11"/>
        <v> </v>
      </c>
      <c r="AA93" s="244"/>
    </row>
    <row r="94" hidden="1">
      <c r="A94" s="214" t="str">
        <f>IFS($B94=FALSE,"",$B94,VLOOKUP($B94,'PATIENT DATA (072721)'!A:C, 2, 0))</f>
        <v/>
      </c>
      <c r="B94" s="215"/>
      <c r="C94" s="230" t="str">
        <f>IF(COUNTIF('PATIENT DATA (072721)'!A:A, B94)=0, "X","✓")</f>
        <v>X</v>
      </c>
      <c r="D94" s="226" t="str">
        <f>IFS($B94=FALSE,"",$B94,VLOOKUP($B94,'PATIENT DATA (072721)'!A:C, 3, 0))</f>
        <v/>
      </c>
      <c r="E94" s="218">
        <v>44578.0</v>
      </c>
      <c r="F94" s="219" t="str">
        <f>ifs($B94="","",$B94, VLOOKUP($B94&amp;$E94, 'VISIT DATA'!A:O,3,0))</f>
        <v/>
      </c>
      <c r="G94" s="231"/>
      <c r="H94" s="221" t="str">
        <f>ifs($B94="","",$B94, VLOOKUP($B94&amp;$E94, 'VISIT DATA'!$A:$O,13,0))</f>
        <v/>
      </c>
      <c r="I94" s="262" t="str">
        <f>VLOOKUP($B94&amp;$E94,'VISIT DATA'!A:J, 9, FALSE)</f>
        <v>#N/A</v>
      </c>
      <c r="J94" s="223" t="str">
        <f>VLOOKUP(B94&amp;E94,'VISIT DATA'!A:N,10,FALSE)</f>
        <v>#N/A</v>
      </c>
      <c r="K94" s="225"/>
      <c r="L94" s="224"/>
      <c r="M94" s="224"/>
      <c r="N94" s="225"/>
      <c r="O94" s="216" t="str">
        <f t="shared" si="1"/>
        <v>X</v>
      </c>
      <c r="P94" s="226" t="str">
        <f t="shared" si="2"/>
        <v>#N/A</v>
      </c>
      <c r="Q94" s="227" t="str">
        <f t="shared" si="3"/>
        <v>#N/A</v>
      </c>
      <c r="R94" s="228" t="str">
        <f t="shared" si="4"/>
        <v>#N/A</v>
      </c>
      <c r="S94" s="220" t="str">
        <f t="shared" si="5"/>
        <v>#N/A</v>
      </c>
      <c r="T94" s="220" t="str">
        <f t="shared" si="6"/>
        <v>#N/A</v>
      </c>
      <c r="U94" s="221">
        <f t="shared" si="7"/>
        <v>0</v>
      </c>
      <c r="V94" s="229" t="str">
        <f>ifs($N94="",VLOOKUP($B94&amp;$E94,'VISIT DATA'!$A$2:$J100,7,FALSE), $N94="SWAB","OUTSA-RW",$N94="SWQU","OUTSA-SaQu", AND($L94="X",$M94="X",$N94="QUEST"),"OUT-UAQPre",$N94="QUEST","OUT-UAQ", $N94="Walk in","ColUATele")</f>
        <v>#N/A</v>
      </c>
      <c r="W94" s="24" t="str">
        <f t="shared" si="8"/>
        <v>#N/A</v>
      </c>
      <c r="X94" s="222" t="str">
        <f t="shared" si="9"/>
        <v/>
      </c>
      <c r="Y94" s="222" t="str">
        <f t="shared" si="10"/>
        <v/>
      </c>
      <c r="Z94" s="224" t="str">
        <f t="shared" si="11"/>
        <v> </v>
      </c>
      <c r="AA94" s="244"/>
    </row>
    <row r="95" hidden="1">
      <c r="A95" s="214" t="str">
        <f>IFS($B95=FALSE,"",$B95,VLOOKUP($B95,'PATIENT DATA (072721)'!A:C, 2, 0))</f>
        <v/>
      </c>
      <c r="B95" s="215"/>
      <c r="C95" s="230" t="str">
        <f>IF(COUNTIF('PATIENT DATA (072721)'!A:A, B95)=0, "X","✓")</f>
        <v>X</v>
      </c>
      <c r="D95" s="226" t="str">
        <f>IFS($B95=FALSE,"",$B95,VLOOKUP($B95,'PATIENT DATA (072721)'!A:C, 3, 0))</f>
        <v/>
      </c>
      <c r="E95" s="218">
        <v>44578.0</v>
      </c>
      <c r="F95" s="219" t="str">
        <f>ifs($B95="","",$B95, VLOOKUP($B95&amp;$E95, 'VISIT DATA'!A:O,3,0))</f>
        <v/>
      </c>
      <c r="G95" s="231"/>
      <c r="H95" s="221" t="str">
        <f>ifs($B95="","",$B95, VLOOKUP($B95&amp;$E95, 'VISIT DATA'!$A:$O,13,0))</f>
        <v/>
      </c>
      <c r="I95" s="262" t="str">
        <f>VLOOKUP($B95&amp;$E95,'VISIT DATA'!A:J, 9, FALSE)</f>
        <v>#N/A</v>
      </c>
      <c r="J95" s="223" t="str">
        <f>VLOOKUP(B95&amp;E95,'VISIT DATA'!A:N,10,FALSE)</f>
        <v>#N/A</v>
      </c>
      <c r="K95" s="225"/>
      <c r="L95" s="224"/>
      <c r="M95" s="224"/>
      <c r="N95" s="225"/>
      <c r="O95" s="216" t="str">
        <f t="shared" si="1"/>
        <v>X</v>
      </c>
      <c r="P95" s="226" t="str">
        <f t="shared" si="2"/>
        <v>#N/A</v>
      </c>
      <c r="Q95" s="227" t="str">
        <f t="shared" si="3"/>
        <v>#N/A</v>
      </c>
      <c r="R95" s="228" t="str">
        <f t="shared" si="4"/>
        <v>#N/A</v>
      </c>
      <c r="S95" s="220" t="str">
        <f t="shared" si="5"/>
        <v>#N/A</v>
      </c>
      <c r="T95" s="220" t="str">
        <f t="shared" si="6"/>
        <v>#N/A</v>
      </c>
      <c r="U95" s="221">
        <f t="shared" si="7"/>
        <v>0</v>
      </c>
      <c r="V95" s="229" t="str">
        <f>ifs($N95="",VLOOKUP($B95&amp;$E95,'VISIT DATA'!$A$2:$J100,7,FALSE), $N95="SWAB","OUTSA-RW",$N95="SWQU","OUTSA-SaQu", AND($L95="X",$M95="X",$N95="QUEST"),"OUT-UAQPre",$N95="QUEST","OUT-UAQ", $N95="Walk in","ColUATele")</f>
        <v>#N/A</v>
      </c>
      <c r="W95" s="24" t="str">
        <f t="shared" si="8"/>
        <v>#N/A</v>
      </c>
      <c r="X95" s="222" t="str">
        <f t="shared" si="9"/>
        <v/>
      </c>
      <c r="Y95" s="222" t="str">
        <f t="shared" si="10"/>
        <v/>
      </c>
      <c r="Z95" s="224" t="str">
        <f t="shared" si="11"/>
        <v> </v>
      </c>
      <c r="AA95" s="244"/>
    </row>
    <row r="96" hidden="1">
      <c r="A96" s="214" t="str">
        <f>IFS($B96=FALSE,"",$B96,VLOOKUP($B96,'PATIENT DATA (072721)'!A:C, 2, 0))</f>
        <v/>
      </c>
      <c r="B96" s="215"/>
      <c r="C96" s="230" t="str">
        <f>IF(COUNTIF('PATIENT DATA (072721)'!A:A, B96)=0, "X","✓")</f>
        <v>X</v>
      </c>
      <c r="D96" s="226" t="str">
        <f>IFS($B96=FALSE,"",$B96,VLOOKUP($B96,'PATIENT DATA (072721)'!A:C, 3, 0))</f>
        <v/>
      </c>
      <c r="E96" s="218">
        <v>44578.0</v>
      </c>
      <c r="F96" s="219" t="str">
        <f>ifs($B96="","",$B96, VLOOKUP($B96&amp;$E96, 'VISIT DATA'!A:O,3,0))</f>
        <v/>
      </c>
      <c r="G96" s="231"/>
      <c r="H96" s="221" t="str">
        <f>ifs($B96="","",$B96, VLOOKUP($B96&amp;$E96, 'VISIT DATA'!$A:$O,13,0))</f>
        <v/>
      </c>
      <c r="I96" s="262" t="str">
        <f>VLOOKUP($B96&amp;$E96,'VISIT DATA'!A:J, 9, FALSE)</f>
        <v>#N/A</v>
      </c>
      <c r="J96" s="223" t="str">
        <f>VLOOKUP(B96&amp;E96,'VISIT DATA'!A:N,10,FALSE)</f>
        <v>#N/A</v>
      </c>
      <c r="K96" s="225"/>
      <c r="L96" s="224"/>
      <c r="M96" s="224"/>
      <c r="N96" s="225"/>
      <c r="O96" s="216" t="str">
        <f t="shared" si="1"/>
        <v>X</v>
      </c>
      <c r="P96" s="226" t="str">
        <f t="shared" si="2"/>
        <v>#N/A</v>
      </c>
      <c r="Q96" s="227" t="str">
        <f t="shared" si="3"/>
        <v>#N/A</v>
      </c>
      <c r="R96" s="228" t="str">
        <f t="shared" si="4"/>
        <v>#N/A</v>
      </c>
      <c r="S96" s="220" t="str">
        <f t="shared" si="5"/>
        <v>#N/A</v>
      </c>
      <c r="T96" s="220" t="str">
        <f t="shared" si="6"/>
        <v>#N/A</v>
      </c>
      <c r="U96" s="221">
        <f t="shared" si="7"/>
        <v>0</v>
      </c>
      <c r="V96" s="229" t="str">
        <f>ifs($N96="",VLOOKUP($B96&amp;$E96,'VISIT DATA'!$A$2:$J100,7,FALSE), $N96="SWAB","OUTSA-RW",$N96="SWQU","OUTSA-SaQu", AND($L96="X",$M96="X",$N96="QUEST"),"OUT-UAQPre",$N96="QUEST","OUT-UAQ", $N96="Walk in","ColUATele")</f>
        <v>#N/A</v>
      </c>
      <c r="W96" s="24" t="str">
        <f t="shared" si="8"/>
        <v>#N/A</v>
      </c>
      <c r="X96" s="222" t="str">
        <f t="shared" si="9"/>
        <v/>
      </c>
      <c r="Y96" s="222" t="str">
        <f t="shared" si="10"/>
        <v/>
      </c>
      <c r="Z96" s="224" t="str">
        <f t="shared" si="11"/>
        <v> </v>
      </c>
      <c r="AA96" s="244"/>
    </row>
    <row r="97" hidden="1">
      <c r="A97" s="214" t="str">
        <f>IFS($B97=FALSE,"",$B97,VLOOKUP($B97,'PATIENT DATA (072721)'!A:C, 2, 0))</f>
        <v/>
      </c>
      <c r="B97" s="215"/>
      <c r="C97" s="230" t="str">
        <f>IF(COUNTIF('PATIENT DATA (072721)'!A:A, B97)=0, "X","✓")</f>
        <v>X</v>
      </c>
      <c r="D97" s="226" t="str">
        <f>IFS($B97=FALSE,"",$B97,VLOOKUP($B97,'PATIENT DATA (072721)'!A:C, 3, 0))</f>
        <v/>
      </c>
      <c r="E97" s="218">
        <v>44578.0</v>
      </c>
      <c r="F97" s="219" t="str">
        <f>ifs($B97="","",$B97, VLOOKUP($B97&amp;$E97, 'VISIT DATA'!A:O,3,0))</f>
        <v/>
      </c>
      <c r="G97" s="231"/>
      <c r="H97" s="221" t="str">
        <f>ifs($B97="","",$B97, VLOOKUP($B97&amp;$E97, 'VISIT DATA'!$A:$O,13,0))</f>
        <v/>
      </c>
      <c r="I97" s="262" t="str">
        <f>VLOOKUP($B97&amp;$E97,'VISIT DATA'!A:J, 9, FALSE)</f>
        <v>#N/A</v>
      </c>
      <c r="J97" s="223" t="str">
        <f>VLOOKUP(B97&amp;E97,'VISIT DATA'!A:N,10,FALSE)</f>
        <v>#N/A</v>
      </c>
      <c r="K97" s="225"/>
      <c r="L97" s="224"/>
      <c r="M97" s="224"/>
      <c r="N97" s="225"/>
      <c r="O97" s="216" t="str">
        <f t="shared" si="1"/>
        <v>X</v>
      </c>
      <c r="P97" s="226" t="str">
        <f t="shared" si="2"/>
        <v>#N/A</v>
      </c>
      <c r="Q97" s="227" t="str">
        <f t="shared" si="3"/>
        <v>#N/A</v>
      </c>
      <c r="R97" s="228" t="str">
        <f t="shared" si="4"/>
        <v>#N/A</v>
      </c>
      <c r="S97" s="220" t="str">
        <f t="shared" si="5"/>
        <v>#N/A</v>
      </c>
      <c r="T97" s="220" t="str">
        <f t="shared" si="6"/>
        <v>#N/A</v>
      </c>
      <c r="U97" s="221">
        <f t="shared" si="7"/>
        <v>0</v>
      </c>
      <c r="V97" s="229" t="str">
        <f>ifs($N97="",VLOOKUP($B97&amp;$E97,'VISIT DATA'!$A$2:$J100,7,FALSE), $N97="SWAB","OUTSA-RW",$N97="SWQU","OUTSA-SaQu", AND($L97="X",$M97="X",$N97="QUEST"),"OUT-UAQPre",$N97="QUEST","OUT-UAQ", $N97="Walk in","ColUATele")</f>
        <v>#N/A</v>
      </c>
      <c r="W97" s="24" t="str">
        <f t="shared" si="8"/>
        <v>#N/A</v>
      </c>
      <c r="X97" s="222" t="str">
        <f t="shared" si="9"/>
        <v/>
      </c>
      <c r="Y97" s="222" t="str">
        <f t="shared" si="10"/>
        <v/>
      </c>
      <c r="Z97" s="224" t="str">
        <f t="shared" si="11"/>
        <v> </v>
      </c>
      <c r="AA97" s="244"/>
    </row>
    <row r="98" hidden="1">
      <c r="A98" s="214" t="str">
        <f>IFS($B98=FALSE,"",$B98,VLOOKUP($B98,'PATIENT DATA (072721)'!A:C, 2, 0))</f>
        <v/>
      </c>
      <c r="B98" s="215"/>
      <c r="C98" s="230" t="str">
        <f>IF(COUNTIF('PATIENT DATA (072721)'!A:A, B98)=0, "X","✓")</f>
        <v>X</v>
      </c>
      <c r="D98" s="226" t="str">
        <f>IFS($B98=FALSE,"",$B98,VLOOKUP($B98,'PATIENT DATA (072721)'!A:C, 3, 0))</f>
        <v/>
      </c>
      <c r="E98" s="218">
        <v>44578.0</v>
      </c>
      <c r="F98" s="219" t="str">
        <f>ifs($B98="","",$B98, VLOOKUP($B98&amp;$E98, 'VISIT DATA'!A:O,3,0))</f>
        <v/>
      </c>
      <c r="G98" s="231"/>
      <c r="H98" s="221" t="str">
        <f>ifs($B98="","",$B98, VLOOKUP($B98&amp;$E98, 'VISIT DATA'!$A:$O,13,0))</f>
        <v/>
      </c>
      <c r="I98" s="262" t="str">
        <f>VLOOKUP($B98&amp;$E98,'VISIT DATA'!A:J, 9, FALSE)</f>
        <v>#N/A</v>
      </c>
      <c r="J98" s="223" t="str">
        <f>VLOOKUP(B98&amp;E98,'VISIT DATA'!A:N,10,FALSE)</f>
        <v>#N/A</v>
      </c>
      <c r="K98" s="225"/>
      <c r="L98" s="224"/>
      <c r="M98" s="224"/>
      <c r="N98" s="225"/>
      <c r="O98" s="216" t="str">
        <f t="shared" si="1"/>
        <v>X</v>
      </c>
      <c r="P98" s="226" t="str">
        <f t="shared" si="2"/>
        <v>#N/A</v>
      </c>
      <c r="Q98" s="227" t="str">
        <f t="shared" si="3"/>
        <v>#N/A</v>
      </c>
      <c r="R98" s="228" t="str">
        <f t="shared" si="4"/>
        <v>#N/A</v>
      </c>
      <c r="S98" s="220" t="str">
        <f t="shared" si="5"/>
        <v>#N/A</v>
      </c>
      <c r="T98" s="220" t="str">
        <f t="shared" si="6"/>
        <v>#N/A</v>
      </c>
      <c r="U98" s="221">
        <f t="shared" si="7"/>
        <v>0</v>
      </c>
      <c r="V98" s="229" t="str">
        <f>ifs($N98="",VLOOKUP($B98&amp;$E98,'VISIT DATA'!$A$2:$J100,7,FALSE), $N98="SWAB","OUTSA-RW",$N98="SWQU","OUTSA-SaQu", AND($L98="X",$M98="X",$N98="QUEST"),"OUT-UAQPre",$N98="QUEST","OUT-UAQ", $N98="Walk in","ColUATele")</f>
        <v>#N/A</v>
      </c>
      <c r="W98" s="24" t="str">
        <f t="shared" si="8"/>
        <v>#N/A</v>
      </c>
      <c r="X98" s="222" t="str">
        <f t="shared" si="9"/>
        <v/>
      </c>
      <c r="Y98" s="222" t="str">
        <f t="shared" si="10"/>
        <v/>
      </c>
      <c r="Z98" s="224" t="str">
        <f t="shared" si="11"/>
        <v> </v>
      </c>
      <c r="AA98" s="244"/>
    </row>
    <row r="99" hidden="1">
      <c r="A99" s="214" t="str">
        <f>IFS($B99=FALSE,"",$B99,VLOOKUP($B99,'PATIENT DATA (072721)'!A:C, 2, 0))</f>
        <v/>
      </c>
      <c r="B99" s="215"/>
      <c r="C99" s="230" t="str">
        <f>IF(COUNTIF('PATIENT DATA (072721)'!A:A, B99)=0, "X","✓")</f>
        <v>X</v>
      </c>
      <c r="D99" s="226" t="str">
        <f>IFS($B99=FALSE,"",$B99,VLOOKUP($B99,'PATIENT DATA (072721)'!A:C, 3, 0))</f>
        <v/>
      </c>
      <c r="E99" s="218">
        <v>44578.0</v>
      </c>
      <c r="F99" s="219" t="str">
        <f>ifs($B99="","",$B99, VLOOKUP($B99&amp;$E99, 'VISIT DATA'!A:O,3,0))</f>
        <v/>
      </c>
      <c r="G99" s="231"/>
      <c r="H99" s="221" t="str">
        <f>ifs($B99="","",$B99, VLOOKUP($B99&amp;$E99, 'VISIT DATA'!$A:$O,13,0))</f>
        <v/>
      </c>
      <c r="I99" s="262" t="str">
        <f>VLOOKUP($B99&amp;$E99,'VISIT DATA'!A:J, 9, FALSE)</f>
        <v>#N/A</v>
      </c>
      <c r="J99" s="223" t="str">
        <f>VLOOKUP(B99&amp;E99,'VISIT DATA'!A:N,10,FALSE)</f>
        <v>#N/A</v>
      </c>
      <c r="K99" s="225"/>
      <c r="L99" s="224"/>
      <c r="M99" s="224"/>
      <c r="N99" s="225"/>
      <c r="O99" s="216" t="str">
        <f t="shared" si="1"/>
        <v>X</v>
      </c>
      <c r="P99" s="226" t="str">
        <f t="shared" si="2"/>
        <v>#N/A</v>
      </c>
      <c r="Q99" s="227" t="str">
        <f t="shared" si="3"/>
        <v>#N/A</v>
      </c>
      <c r="R99" s="228" t="str">
        <f t="shared" si="4"/>
        <v>#N/A</v>
      </c>
      <c r="S99" s="220" t="str">
        <f t="shared" si="5"/>
        <v>#N/A</v>
      </c>
      <c r="T99" s="220" t="str">
        <f t="shared" si="6"/>
        <v>#N/A</v>
      </c>
      <c r="U99" s="221">
        <f t="shared" si="7"/>
        <v>0</v>
      </c>
      <c r="V99" s="229" t="str">
        <f>ifs($N99="",VLOOKUP($B99&amp;$E99,'VISIT DATA'!$A$2:$J100,7,FALSE), $N99="SWAB","OUTSA-RW",$N99="SWQU","OUTSA-SaQu", AND($L99="X",$M99="X",$N99="QUEST"),"OUT-UAQPre",$N99="QUEST","OUT-UAQ", $N99="Walk in","ColUATele")</f>
        <v>#N/A</v>
      </c>
      <c r="W99" s="24" t="str">
        <f t="shared" si="8"/>
        <v>#N/A</v>
      </c>
      <c r="X99" s="222" t="str">
        <f t="shared" si="9"/>
        <v/>
      </c>
      <c r="Y99" s="222" t="str">
        <f t="shared" si="10"/>
        <v/>
      </c>
      <c r="Z99" s="224" t="str">
        <f t="shared" si="11"/>
        <v> </v>
      </c>
      <c r="AA99" s="244"/>
    </row>
    <row r="100">
      <c r="A100" s="232"/>
      <c r="B100" s="232"/>
      <c r="C100" s="232"/>
      <c r="D100" s="232"/>
      <c r="E100" s="263"/>
      <c r="F100" s="234"/>
      <c r="G100" s="232"/>
      <c r="H100" s="235"/>
      <c r="I100" s="232"/>
      <c r="J100" s="232"/>
      <c r="K100" s="236" t="s">
        <v>6333</v>
      </c>
      <c r="L100" s="237">
        <f>COUNTIFS(K1:L80, "X")</f>
        <v>53</v>
      </c>
      <c r="M100" s="236" t="s">
        <v>6334</v>
      </c>
      <c r="N100" s="237">
        <f>COUNTIFS(M1:M80, "X")</f>
        <v>10</v>
      </c>
      <c r="O100" s="238"/>
      <c r="P100" s="238"/>
      <c r="Q100" s="238"/>
      <c r="R100" s="238"/>
      <c r="S100" s="238"/>
      <c r="T100" s="238"/>
      <c r="U100" s="238"/>
      <c r="V100" s="239"/>
      <c r="W100" s="238"/>
      <c r="X100" s="238"/>
      <c r="Y100" s="238"/>
      <c r="Z100" s="238"/>
      <c r="AA100" s="238"/>
    </row>
  </sheetData>
  <autoFilter ref="$A$1:$AA$100">
    <filterColumn colId="14">
      <filters blank="1">
        <filter val="✓"/>
      </filters>
    </filterColumn>
  </autoFilter>
  <customSheetViews>
    <customSheetView guid="{20F5F3BA-172D-4727-943D-E296FD1F3EFA}" filter="1" showAutoFilter="1">
      <autoFilter ref="$A$1:$AA$100"/>
    </customSheetView>
  </customSheetViews>
  <conditionalFormatting sqref="A1:X100">
    <cfRule type="expression" dxfId="5" priority="1">
      <formula>$X1="ERROR"</formula>
    </cfRule>
  </conditionalFormatting>
  <conditionalFormatting sqref="A1:Z99">
    <cfRule type="expression" dxfId="5" priority="2">
      <formula>$Y1="NO MATCH"</formula>
    </cfRule>
  </conditionalFormatting>
  <conditionalFormatting sqref="C2:C99 O2:O99">
    <cfRule type="containsText" dxfId="5" priority="3" operator="containsText" text="X">
      <formula>NOT(ISERROR(SEARCH(("X"),(C2))))</formula>
    </cfRule>
  </conditionalFormatting>
  <conditionalFormatting sqref="A1:Z99">
    <cfRule type="expression" dxfId="4" priority="4">
      <formula>$Z1="Repeat"</formula>
    </cfRule>
  </conditionalFormatting>
  <conditionalFormatting sqref="V2:V99">
    <cfRule type="expression" dxfId="10" priority="5">
      <formula>$N2="QUEST"</formula>
    </cfRule>
  </conditionalFormatting>
  <conditionalFormatting sqref="C2:C99 O2:O99">
    <cfRule type="containsText" dxfId="10" priority="6" operator="containsText" text="✓">
      <formula>NOT(ISERROR(SEARCH(("✓"),(C2))))</formula>
    </cfRule>
  </conditionalFormatting>
  <conditionalFormatting sqref="A1:U99">
    <cfRule type="expression" dxfId="20" priority="7">
      <formula>$J1="MOLINA DUAL COMPLETE NEW MEXICO"</formula>
    </cfRule>
  </conditionalFormatting>
  <conditionalFormatting sqref="A1:U99">
    <cfRule type="expression" dxfId="20" priority="8">
      <formula>$J1="MOLINA DUAL COMPLETE TEXAS"</formula>
    </cfRule>
  </conditionalFormatting>
  <conditionalFormatting sqref="A1:U99">
    <cfRule type="expression" dxfId="20" priority="9">
      <formula>$J1="MOLINA MARKETPLACE TEXAS"</formula>
    </cfRule>
  </conditionalFormatting>
  <conditionalFormatting sqref="K1:K99">
    <cfRule type="containsText" dxfId="6" priority="10" operator="containsText" text="x">
      <formula>NOT(ISERROR(SEARCH(("x"),(K1))))</formula>
    </cfRule>
  </conditionalFormatting>
  <conditionalFormatting sqref="M1:M99">
    <cfRule type="containsText" dxfId="21" priority="11" operator="containsText" text="X">
      <formula>NOT(ISERROR(SEARCH(("X"),(M1))))</formula>
    </cfRule>
  </conditionalFormatting>
  <conditionalFormatting sqref="L1:L99">
    <cfRule type="containsText" dxfId="22" priority="12" operator="containsText" text="X">
      <formula>NOT(ISERROR(SEARCH(("X"),(L1))))</formula>
    </cfRule>
  </conditionalFormatting>
  <conditionalFormatting sqref="C1:C99 O1:O99">
    <cfRule type="containsBlanks" dxfId="23" priority="13">
      <formula>LEN(TRIM(C1))=0</formula>
    </cfRule>
  </conditionalFormatting>
  <conditionalFormatting sqref="J1:J99 N1:O1 Z1">
    <cfRule type="containsText" dxfId="24" priority="14" operator="containsText" text="Molina">
      <formula>NOT(ISERROR(SEARCH(("Molina"),(J1))))</formula>
    </cfRule>
  </conditionalFormatting>
  <conditionalFormatting sqref="K1:M99">
    <cfRule type="containsBlanks" dxfId="25" priority="15">
      <formula>LEN(TRIM(K1))=0</formula>
    </cfRule>
  </conditionalFormatting>
  <conditionalFormatting sqref="O1:O99 A2:N99 P2:Z99">
    <cfRule type="expression" dxfId="10" priority="16">
      <formula>$N1="SWAB"</formula>
    </cfRule>
  </conditionalFormatting>
  <conditionalFormatting sqref="J1:J99">
    <cfRule type="containsText" dxfId="5" priority="17" operator="containsText" text="Self Pay">
      <formula>NOT(ISERROR(SEARCH(("Self Pay"),(J1))))</formula>
    </cfRule>
  </conditionalFormatting>
  <conditionalFormatting sqref="J1:J99">
    <cfRule type="containsText" dxfId="5" priority="18" operator="containsText" text="Self-Pay">
      <formula>NOT(ISERROR(SEARCH(("Self-Pay"),(J1))))</formula>
    </cfRule>
  </conditionalFormatting>
  <conditionalFormatting sqref="J1:J99">
    <cfRule type="containsText" dxfId="5" priority="19" operator="containsText" text="Third Party">
      <formula>NOT(ISERROR(SEARCH(("Third Party"),(J1))))</formula>
    </cfRule>
  </conditionalFormatting>
  <conditionalFormatting sqref="A1:U99">
    <cfRule type="expression" dxfId="26" priority="20">
      <formula>$J1="SUPERIOR HEALTH PLAN"</formula>
    </cfRule>
  </conditionalFormatting>
  <conditionalFormatting sqref="A1:U99">
    <cfRule type="expression" dxfId="26" priority="21">
      <formula>$J1="AMBETTER - SUPERIOR"</formula>
    </cfRule>
  </conditionalFormatting>
  <conditionalFormatting sqref="A1:U99">
    <cfRule type="expression" dxfId="19" priority="22">
      <formula>$J1="Wellmed - Humana"</formula>
    </cfRule>
  </conditionalFormatting>
  <conditionalFormatting sqref="A1:U99">
    <cfRule type="expression" dxfId="19" priority="23">
      <formula>$J1="WELLMED - AARP MEDICARE COMPLETE"</formula>
    </cfRule>
  </conditionalFormatting>
  <conditionalFormatting sqref="A1:U99">
    <cfRule type="expression" dxfId="19" priority="24">
      <formula>$J1="WELLMED - AMERIVANTAGE"</formula>
    </cfRule>
  </conditionalFormatting>
  <conditionalFormatting sqref="A1:U99">
    <cfRule type="expression" dxfId="19" priority="25">
      <formula>$J1="WELLMED - CIGNA HEALTHSPRING"</formula>
    </cfRule>
  </conditionalFormatting>
  <conditionalFormatting sqref="A1:U99">
    <cfRule type="expression" dxfId="19" priority="26">
      <formula>$J1="WELLMED - UHC CHRONIC COMPLETE HMO C-SNP"</formula>
    </cfRule>
  </conditionalFormatting>
  <conditionalFormatting sqref="A1:U99">
    <cfRule type="expression" dxfId="19" priority="27">
      <formula>$J1="WELLMED - UHC DUAL COMPLETE HMO SNP"</formula>
    </cfRule>
  </conditionalFormatting>
  <conditionalFormatting sqref="A1:U99">
    <cfRule type="expression" dxfId="19" priority="28">
      <formula>$J1="WELLMED - UHC DUAL COMPLETE SNP"</formula>
    </cfRule>
  </conditionalFormatting>
  <conditionalFormatting sqref="A1:U99">
    <cfRule type="expression" dxfId="20" priority="29">
      <formula>$J1="MOLINA DUAL COMPLETE NEW MEXICO"</formula>
    </cfRule>
  </conditionalFormatting>
  <conditionalFormatting sqref="A1:U99">
    <cfRule type="expression" dxfId="20" priority="30">
      <formula>$J1="MOLINA DUAL COMPLETE TEXAS"</formula>
    </cfRule>
  </conditionalFormatting>
  <conditionalFormatting sqref="A1:U99">
    <cfRule type="expression" dxfId="20" priority="31">
      <formula>$J1="MOLINA MARKETPLACE TEXAS"</formula>
    </cfRule>
  </conditionalFormatting>
  <conditionalFormatting sqref="A1:U99">
    <cfRule type="expression" dxfId="20" priority="32">
      <formula>$J1="MOLINA MEDICAID TEXAS"</formula>
    </cfRule>
  </conditionalFormatting>
  <conditionalFormatting sqref="A1:U99">
    <cfRule type="expression" dxfId="27" priority="33">
      <formula>$J1="HUMANA OPEN ACCESS PLAN"</formula>
    </cfRule>
  </conditionalFormatting>
  <conditionalFormatting sqref="A1:U99">
    <cfRule type="expression" dxfId="28" priority="34">
      <formula>$J1="HUMANA CHOICE CARE"</formula>
    </cfRule>
  </conditionalFormatting>
  <conditionalFormatting sqref="V1:W99">
    <cfRule type="expression" dxfId="11" priority="35">
      <formula>$V1="UA"</formula>
    </cfRule>
  </conditionalFormatting>
  <conditionalFormatting sqref="V1:W99">
    <cfRule type="expression" dxfId="12" priority="36">
      <formula>$V1="OUTUA-PrRW"</formula>
    </cfRule>
  </conditionalFormatting>
  <conditionalFormatting sqref="V1:W99">
    <cfRule type="expression" dxfId="12" priority="37">
      <formula>$V1="OUT-UAQPre"</formula>
    </cfRule>
  </conditionalFormatting>
  <conditionalFormatting sqref="V1:W99">
    <cfRule type="expression" dxfId="13" priority="38">
      <formula>$V1="UA-Prelim"</formula>
    </cfRule>
  </conditionalFormatting>
  <conditionalFormatting sqref="V1:W99">
    <cfRule type="expression" dxfId="6" priority="39">
      <formula>$V1="UA-NWPT"</formula>
    </cfRule>
  </conditionalFormatting>
  <conditionalFormatting sqref="N1:N100 O1:O99">
    <cfRule type="expression" dxfId="5" priority="40">
      <formula>$O1="X"</formula>
    </cfRule>
  </conditionalFormatting>
  <conditionalFormatting sqref="V1:W99">
    <cfRule type="expression" dxfId="10" priority="41">
      <formula>$V1="OUT-UAQ"</formula>
    </cfRule>
  </conditionalFormatting>
  <conditionalFormatting sqref="V1:W99">
    <cfRule type="expression" dxfId="10" priority="42">
      <formula>$V1="OUTUA-FURW"</formula>
    </cfRule>
  </conditionalFormatting>
  <conditionalFormatting sqref="V1:W99">
    <cfRule type="expression" dxfId="14" priority="43">
      <formula>$V1="OUTSA-SaQu"</formula>
    </cfRule>
  </conditionalFormatting>
  <conditionalFormatting sqref="V1:W99">
    <cfRule type="expression" dxfId="14" priority="44">
      <formula>$V1="OUTSA-RW"</formula>
    </cfRule>
  </conditionalFormatting>
  <dataValidations>
    <dataValidation type="list" allowBlank="1" showErrorMessage="1" sqref="H2:H99">
      <formula1>"CH,DA,DC,DM,FA,LM"</formula1>
    </dataValidation>
    <dataValidation type="list" allowBlank="1" showErrorMessage="1" sqref="J2:J99">
      <formula1>Data!$A$2:$A100</formula1>
    </dataValidation>
    <dataValidation type="custom" allowBlank="1" showDropDown="1" showInputMessage="1" showErrorMessage="1" prompt="CAPITALS" sqref="A1:A99">
      <formula1>ISERROR(SEARCH((exact(upper(B:N),B:N)),(A1)))</formula1>
    </dataValidation>
    <dataValidation type="list" allowBlank="1" showErrorMessage="1" sqref="F2:F99">
      <formula1>Data!$B$1:$B$44</formula1>
    </dataValidation>
    <dataValidation type="custom" allowBlank="1" showDropDown="1" showInputMessage="1" showErrorMessage="1" prompt="CAPITALS" sqref="B1:B99">
      <formula1>ISERROR(SEARCH((exact(upper(B:O),B:O)),(B1)))</formula1>
    </dataValidation>
    <dataValidation type="list" allowBlank="1" showErrorMessage="1" sqref="G2:G99">
      <formula1>"F,M"</formula1>
    </dataValidation>
    <dataValidation type="list" allowBlank="1" showErrorMessage="1" sqref="K2:M99">
      <formula1>"X"</formula1>
    </dataValidation>
    <dataValidation type="list" allowBlank="1" showInputMessage="1" showErrorMessage="1" prompt="Click and enter a value from range 'Insurance Data'!C2:C608" sqref="E2:E99">
      <formula1>Data!$C:$C</formula1>
    </dataValidation>
    <dataValidation type="list" allowBlank="1" showErrorMessage="1" sqref="I2:I99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1.0"/>
    <col customWidth="1" min="2" max="2" width="6.43"/>
    <col customWidth="1" min="3" max="3" width="2.14"/>
    <col customWidth="1" min="4" max="4" width="9.71"/>
    <col customWidth="1" min="5" max="5" width="10.71"/>
    <col customWidth="1" min="6" max="6" width="11.57"/>
    <col customWidth="1" min="7" max="7" width="8.43"/>
    <col customWidth="1" min="8" max="8" width="8.29"/>
    <col customWidth="1" min="9" max="9" width="12.71"/>
    <col customWidth="1" min="10" max="10" width="38.14"/>
    <col customWidth="1" min="11" max="11" width="8.29"/>
    <col customWidth="1" min="12" max="12" width="8.57"/>
    <col customWidth="1" min="13" max="13" width="7.57"/>
    <col customWidth="1" min="14" max="14" width="9.86"/>
    <col customWidth="1" min="15" max="15" width="2.14"/>
    <col customWidth="1" hidden="1" min="16" max="20" width="12.57"/>
    <col customWidth="1" hidden="1" min="21" max="21" width="2.14"/>
    <col customWidth="1" min="22" max="22" width="14.86"/>
    <col customWidth="1" hidden="1" min="23" max="24" width="34.57"/>
    <col customWidth="1" hidden="1" min="25" max="25" width="12.14"/>
    <col customWidth="1" hidden="1" min="26" max="26" width="1.57"/>
    <col customWidth="1" min="27" max="27" width="9.57"/>
  </cols>
  <sheetData>
    <row r="1">
      <c r="A1" s="204" t="s">
        <v>24</v>
      </c>
      <c r="B1" s="205" t="s">
        <v>6237</v>
      </c>
      <c r="C1" s="206"/>
      <c r="D1" s="207" t="s">
        <v>25</v>
      </c>
      <c r="E1" s="280" t="s">
        <v>21</v>
      </c>
      <c r="F1" s="208" t="s">
        <v>6077</v>
      </c>
      <c r="G1" s="208" t="s">
        <v>6318</v>
      </c>
      <c r="H1" s="209" t="s">
        <v>2</v>
      </c>
      <c r="I1" s="209" t="s">
        <v>6206</v>
      </c>
      <c r="J1" s="209" t="s">
        <v>6135</v>
      </c>
      <c r="K1" s="208" t="s">
        <v>6353</v>
      </c>
      <c r="L1" s="208" t="s">
        <v>6354</v>
      </c>
      <c r="M1" s="208" t="s">
        <v>6240</v>
      </c>
      <c r="N1" s="210" t="s">
        <v>7</v>
      </c>
      <c r="O1" s="206"/>
      <c r="P1" s="207" t="s">
        <v>6188</v>
      </c>
      <c r="Q1" s="208" t="s">
        <v>6319</v>
      </c>
      <c r="R1" s="208" t="s">
        <v>6132</v>
      </c>
      <c r="S1" s="208" t="s">
        <v>6134</v>
      </c>
      <c r="T1" s="208" t="s">
        <v>6147</v>
      </c>
      <c r="U1" s="211"/>
      <c r="V1" s="212" t="s">
        <v>6320</v>
      </c>
      <c r="W1" s="207"/>
      <c r="X1" s="209"/>
      <c r="Y1" s="208" t="s">
        <v>6321</v>
      </c>
      <c r="Z1" s="213"/>
      <c r="AA1" s="241"/>
    </row>
    <row r="2">
      <c r="A2" s="214" t="str">
        <f>IFS($B2=FALSE,"",$B2,VLOOKUP($B2,'PATIENT DATA (072721)'!A:C, 2, 0))</f>
        <v>HEIDENESCHER, HEIDI A</v>
      </c>
      <c r="B2" s="215">
        <v>13936.0</v>
      </c>
      <c r="C2" s="216" t="str">
        <f>IF(COUNTIF('PATIENT DATA (072721)'!A:A, B2)=0, "X","✓")</f>
        <v>✓</v>
      </c>
      <c r="D2" s="226">
        <f>IFS($B2=FALSE,"",$B2,VLOOKUP($B2,'PATIENT DATA (072721)'!A:C, 3, 0))</f>
        <v>32726</v>
      </c>
      <c r="E2" s="218">
        <v>44579.0</v>
      </c>
      <c r="F2" s="219">
        <f>ifs($B2="","",$B2, VLOOKUP($B2&amp;$E2, 'VISIT DATA'!A:O,3,0))</f>
        <v>0.34375</v>
      </c>
      <c r="G2" s="220" t="s">
        <v>6323</v>
      </c>
      <c r="H2" s="221" t="s">
        <v>14</v>
      </c>
      <c r="I2" s="222" t="str">
        <f>VLOOKUP($B2&amp;$E2,'VISIT DATA'!A:J, 9, FALSE)</f>
        <v>TORRES</v>
      </c>
      <c r="J2" s="223" t="str">
        <f>VLOOKUP(B2&amp;E2,'VISIT DATA'!A:N,10,FALSE)</f>
        <v>WPS VA - COMMUNITY CARE</v>
      </c>
      <c r="K2" s="242"/>
      <c r="L2" s="224" t="s">
        <v>6242</v>
      </c>
      <c r="M2" s="224"/>
      <c r="N2" s="225"/>
      <c r="O2" s="216" t="str">
        <f t="shared" ref="O2:O96" si="1">IF(OR(K2 = "x",L2 = "x",M2 = "x"),"✓", "X")</f>
        <v>✓</v>
      </c>
      <c r="P2" s="226" t="str">
        <f t="shared" ref="P2:P96" si="2">ifs(SEARCH($P$1,$J2)&gt;=1,"X")</f>
        <v>#VALUE!</v>
      </c>
      <c r="Q2" s="227" t="str">
        <f t="shared" ref="Q2:Q96" si="3">ifs(SEARCH($Q$1,$J2)&gt;=1,"X")</f>
        <v>#VALUE!</v>
      </c>
      <c r="R2" s="228" t="str">
        <f t="shared" ref="R2:R96" si="4">ifs(SEARCH($R$1,$J2)&gt;=1,"X")</f>
        <v>#VALUE!</v>
      </c>
      <c r="S2" s="220" t="str">
        <f t="shared" ref="S2:S96" si="5">ifs(SEARCH($S$1,$J2)&gt;=1,"X")</f>
        <v>#VALUE!</v>
      </c>
      <c r="T2" s="220" t="str">
        <f t="shared" ref="T2:T96" si="6">ifs(SEARCH($T$1,$J2)&gt;=1,"X")</f>
        <v>#VALUE!</v>
      </c>
      <c r="U2" s="221">
        <f t="shared" ref="U2:U96" si="7">countif($P2:$T2,"X")</f>
        <v>0</v>
      </c>
      <c r="V2" s="229" t="str">
        <f>ifs($N2="",VLOOKUP($B2&amp;$E2,'VISIT DATA'!$A$2:$J97,7,FALSE), $N2="SWAB","OUTSA-RW",$N2="SWQU","OUTSA-SaQu", AND($L2="X",$M2="X",$N2="QUEST"),"OUT-UAQPre",$N2="QUEST","OUT-UAQ", $N2="Walk in","ColUATele")</f>
        <v>UA</v>
      </c>
      <c r="W2" s="24" t="str">
        <f t="shared" ref="W2:W96" si="8">ifs($V2="UA-NWPT","UA-NWPT : UA New Patient",$V2="UA","UA : Urine Analysis In House",$V2="UA-Prelim","UA-Prelim : Preliminary UA Test",$V2="OUT-UAQ","OUT-UAQ : Quest Out UA",$V2="OUT-UAQPre", "OUT-UAQPre : OUT UA Prelim Quest",$V2="OUTSA-SaQu","OUTSA-SaQu : Saliva Out Quest",$V2="ColUATele","Collected Telemed",$V2="OUTUA-PrRW", "OUTUA-PrRW : OUT UA Prelimin Redwood",$V2="OUTUA-FURW", "OUTUA-FURW : OUT UA FU Redwood",$V2="OUTUA-NWRW", "OUTUA-NWRW : OUT UA New Redwood",$V2="OUTSA-RW", "OUTSA-RW : OUT Saliva Redwood")</f>
        <v>UA : Urine Analysis In House</v>
      </c>
      <c r="X2" s="222" t="str">
        <f t="shared" ref="X2:X96" si="9">ifs($B2="","",and($K2="X",$L2="X",$M2="X",$N2="SWAB"), "ERROR",and($K2="X",$L2="X",$N2="SWAB"), "ERROR", and($L2="X",$N2="SWAB"), "OUTSA-RW : OUT Saliva Redwood", and($K2="X",$M2="X", $N2="SWAB"),"ERROR", and($M2="X",$N2="SWAB"), "OUTSA-RW : OUT Saliva Redwood", and($K2="X",$N2="SWAB"),"OUTSA-RW : OUT Saliva Redwood",and($K2="X",$L2="X"),"ERROR", and($K2="X",$M2="X"),"ERROR",and($M2="X",$U2=1), "OUTUA-PrRW : OUT UA Prelimin Redwood", and($K2="X",$U2=1), "OUTUA-NWRW : OUT UA New Redwood", and($L2="X",$U2=1), "OUTUA-FURW : OUT UA FU Redwood", and($L2="X",$M2="X",$U2=1), "OUTUA-PrRW : OUT UA Prelimin Redwood", $K2="X","UA-NWPT : UA New Patient", and($L2="X",$M2="X"),"UA-Prelim : Preliminary UA Test",and($L2="X",$N2="SWAB"),"OUTSA-RW : OUT Saliva Redwood",$L2="X","UA : Urine Analysis In House",$M2="X","UA-Prelim : Preliminary UA Test")</f>
        <v>UA : Urine Analysis In House</v>
      </c>
      <c r="Y2" s="222" t="str">
        <f t="shared" ref="Y2:Y96" si="10">IFS($B2="","",X2=W2,"MATCH",X2&lt;&gt;W2,"NO MATCH")</f>
        <v>MATCH</v>
      </c>
      <c r="Z2" s="224" t="str">
        <f t="shared" ref="Z2:Z96" si="11">IF((countif($B$2:$B97,$B2)&gt;1),"Repeat"," ")</f>
        <v> </v>
      </c>
      <c r="AA2" s="243"/>
    </row>
    <row r="3">
      <c r="A3" s="214" t="str">
        <f>IFS($B3=FALSE,"",$B3,VLOOKUP($B3,'PATIENT DATA (072721)'!A:C, 2, 0))</f>
        <v>CHAVEZ, MARIA D</v>
      </c>
      <c r="B3" s="215">
        <v>15774.0</v>
      </c>
      <c r="C3" s="216" t="str">
        <f>IF(COUNTIF('PATIENT DATA (072721)'!A:A, B3)=0, "X","✓")</f>
        <v>✓</v>
      </c>
      <c r="D3" s="226">
        <f>IFS($B3=FALSE,"",$B3,VLOOKUP($B3,'PATIENT DATA (072721)'!A:C, 3, 0))</f>
        <v>22495</v>
      </c>
      <c r="E3" s="218">
        <v>44579.0</v>
      </c>
      <c r="F3" s="219">
        <f>ifs($B3="","",$B3, VLOOKUP($B3&amp;$E3, 'VISIT DATA'!A:O,3,0))</f>
        <v>0.375</v>
      </c>
      <c r="G3" s="220" t="s">
        <v>6323</v>
      </c>
      <c r="H3" s="221" t="s">
        <v>14</v>
      </c>
      <c r="I3" s="222" t="str">
        <f>VLOOKUP($B3&amp;$E3,'VISIT DATA'!A:J, 9, FALSE)</f>
        <v>TORRES</v>
      </c>
      <c r="J3" s="223" t="str">
        <f>VLOOKUP(B3&amp;E3,'VISIT DATA'!A:N,10,FALSE)</f>
        <v>MOLINA MEDICAID TEXAS</v>
      </c>
      <c r="K3" s="224"/>
      <c r="L3" s="224" t="s">
        <v>6242</v>
      </c>
      <c r="M3" s="224"/>
      <c r="N3" s="225"/>
      <c r="O3" s="216" t="str">
        <f t="shared" si="1"/>
        <v>✓</v>
      </c>
      <c r="P3" s="226" t="str">
        <f t="shared" si="2"/>
        <v>#VALUE!</v>
      </c>
      <c r="Q3" s="227" t="str">
        <f t="shared" si="3"/>
        <v>X</v>
      </c>
      <c r="R3" s="228" t="str">
        <f t="shared" si="4"/>
        <v>#VALUE!</v>
      </c>
      <c r="S3" s="220" t="str">
        <f t="shared" si="5"/>
        <v>#VALUE!</v>
      </c>
      <c r="T3" s="220" t="str">
        <f t="shared" si="6"/>
        <v>#VALUE!</v>
      </c>
      <c r="U3" s="221">
        <f t="shared" si="7"/>
        <v>1</v>
      </c>
      <c r="V3" s="229" t="str">
        <f>ifs($N3="",VLOOKUP($B3&amp;$E3,'VISIT DATA'!$A$2:$J97,7,FALSE), $N3="SWAB","OUTSA-RW",$N3="SWQU","OUTSA-SaQu", AND($L3="X",$M3="X",$N3="QUEST"),"OUT-UAQPre",$N3="QUEST","OUT-UAQ", $N3="Walk in","ColUATele")</f>
        <v>OUTUA-FURW</v>
      </c>
      <c r="W3" s="24" t="str">
        <f t="shared" si="8"/>
        <v>OUTUA-FURW : OUT UA FU Redwood</v>
      </c>
      <c r="X3" s="222" t="str">
        <f t="shared" si="9"/>
        <v>OUTUA-FURW : OUT UA FU Redwood</v>
      </c>
      <c r="Y3" s="222" t="str">
        <f t="shared" si="10"/>
        <v>MATCH</v>
      </c>
      <c r="Z3" s="224" t="str">
        <f t="shared" si="11"/>
        <v> </v>
      </c>
      <c r="AA3" s="243"/>
    </row>
    <row r="4">
      <c r="A4" s="214" t="str">
        <f>IFS($B4=FALSE,"",$B4,VLOOKUP($B4,'PATIENT DATA (072721)'!A:C, 2, 0))</f>
        <v>MANZI, CYNTHIA</v>
      </c>
      <c r="B4" s="215">
        <v>10300.0</v>
      </c>
      <c r="C4" s="216" t="str">
        <f>IF(COUNTIF('PATIENT DATA (072721)'!A:A, B4)=0, "X","✓")</f>
        <v>✓</v>
      </c>
      <c r="D4" s="226">
        <f>IFS($B4=FALSE,"",$B4,VLOOKUP($B4,'PATIENT DATA (072721)'!A:C, 3, 0))</f>
        <v>30761</v>
      </c>
      <c r="E4" s="218">
        <v>44579.0</v>
      </c>
      <c r="F4" s="219">
        <f>ifs($B4="","",$B4, VLOOKUP($B4&amp;$E4, 'VISIT DATA'!A:O,3,0))</f>
        <v>0.3541666667</v>
      </c>
      <c r="G4" s="220" t="s">
        <v>6323</v>
      </c>
      <c r="H4" s="221" t="s">
        <v>14</v>
      </c>
      <c r="I4" s="222" t="str">
        <f>VLOOKUP($B4&amp;$E4,'VISIT DATA'!A:J, 9, FALSE)</f>
        <v>TORRES</v>
      </c>
      <c r="J4" s="223" t="str">
        <f>VLOOKUP(B4&amp;E4,'VISIT DATA'!A:N,10,FALSE)</f>
        <v>MOLINA MARKETPLACE TEXAS</v>
      </c>
      <c r="K4" s="242"/>
      <c r="L4" s="224" t="s">
        <v>6242</v>
      </c>
      <c r="M4" s="224"/>
      <c r="N4" s="225"/>
      <c r="O4" s="216" t="str">
        <f t="shared" si="1"/>
        <v>✓</v>
      </c>
      <c r="P4" s="226" t="str">
        <f t="shared" si="2"/>
        <v>#VALUE!</v>
      </c>
      <c r="Q4" s="227" t="str">
        <f t="shared" si="3"/>
        <v>X</v>
      </c>
      <c r="R4" s="228" t="str">
        <f t="shared" si="4"/>
        <v>#VALUE!</v>
      </c>
      <c r="S4" s="220" t="str">
        <f t="shared" si="5"/>
        <v>#VALUE!</v>
      </c>
      <c r="T4" s="220" t="str">
        <f t="shared" si="6"/>
        <v>#VALUE!</v>
      </c>
      <c r="U4" s="221">
        <f t="shared" si="7"/>
        <v>1</v>
      </c>
      <c r="V4" s="229" t="str">
        <f>ifs($N4="",VLOOKUP($B4&amp;$E4,'VISIT DATA'!$A$2:$J97,7,FALSE), $N4="SWAB","OUTSA-RW",$N4="SWQU","OUTSA-SaQu", AND($L4="X",$M4="X",$N4="QUEST"),"OUT-UAQPre",$N4="QUEST","OUT-UAQ", $N4="Walk in","ColUATele")</f>
        <v>OUTUA-FURW</v>
      </c>
      <c r="W4" s="24" t="str">
        <f t="shared" si="8"/>
        <v>OUTUA-FURW : OUT UA FU Redwood</v>
      </c>
      <c r="X4" s="222" t="str">
        <f t="shared" si="9"/>
        <v>OUTUA-FURW : OUT UA FU Redwood</v>
      </c>
      <c r="Y4" s="222" t="str">
        <f t="shared" si="10"/>
        <v>MATCH</v>
      </c>
      <c r="Z4" s="224" t="str">
        <f t="shared" si="11"/>
        <v> </v>
      </c>
      <c r="AA4" s="243"/>
    </row>
    <row r="5">
      <c r="A5" s="214" t="str">
        <f>IFS($B5=FALSE,"",$B5,VLOOKUP($B5,'PATIENT DATA (072721)'!A:C, 2, 0))</f>
        <v>REYES, REFUGIO R</v>
      </c>
      <c r="B5" s="215">
        <v>17089.0</v>
      </c>
      <c r="C5" s="216" t="str">
        <f>IF(COUNTIF('PATIENT DATA (072721)'!A:A, B5)=0, "X","✓")</f>
        <v>✓</v>
      </c>
      <c r="D5" s="226">
        <f>IFS($B5=FALSE,"",$B5,VLOOKUP($B5,'PATIENT DATA (072721)'!A:C, 3, 0))</f>
        <v>18082</v>
      </c>
      <c r="E5" s="218">
        <v>44579.0</v>
      </c>
      <c r="F5" s="219">
        <f>ifs($B5="","",$B5, VLOOKUP($B5&amp;$E5, 'VISIT DATA'!A:O,3,0))</f>
        <v>0.3645833333</v>
      </c>
      <c r="G5" s="220" t="s">
        <v>6323</v>
      </c>
      <c r="H5" s="221" t="s">
        <v>14</v>
      </c>
      <c r="I5" s="222" t="str">
        <f>VLOOKUP($B5&amp;$E5,'VISIT DATA'!A:J, 9, FALSE)</f>
        <v>TORRES</v>
      </c>
      <c r="J5" s="223" t="str">
        <f>VLOOKUP(B5&amp;E5,'VISIT DATA'!A:N,10,FALSE)</f>
        <v>WELLMED - HUMANA</v>
      </c>
      <c r="K5" s="224"/>
      <c r="L5" s="224" t="s">
        <v>6242</v>
      </c>
      <c r="M5" s="224"/>
      <c r="N5" s="225"/>
      <c r="O5" s="216" t="str">
        <f t="shared" si="1"/>
        <v>✓</v>
      </c>
      <c r="P5" s="226" t="str">
        <f t="shared" si="2"/>
        <v>X</v>
      </c>
      <c r="Q5" s="227" t="str">
        <f t="shared" si="3"/>
        <v>#VALUE!</v>
      </c>
      <c r="R5" s="228" t="str">
        <f t="shared" si="4"/>
        <v>#VALUE!</v>
      </c>
      <c r="S5" s="220" t="str">
        <f t="shared" si="5"/>
        <v>#VALUE!</v>
      </c>
      <c r="T5" s="220" t="str">
        <f t="shared" si="6"/>
        <v>#VALUE!</v>
      </c>
      <c r="U5" s="221">
        <f t="shared" si="7"/>
        <v>1</v>
      </c>
      <c r="V5" s="229" t="str">
        <f>ifs($N5="",VLOOKUP($B5&amp;$E5,'VISIT DATA'!$A$2:$J97,7,FALSE), $N5="SWAB","OUTSA-RW",$N5="SWQU","OUTSA-SaQu", AND($L5="X",$M5="X",$N5="QUEST"),"OUT-UAQPre",$N5="QUEST","OUT-UAQ", $N5="Walk in","ColUATele")</f>
        <v>OUTUA-FURW</v>
      </c>
      <c r="W5" s="24" t="str">
        <f t="shared" si="8"/>
        <v>OUTUA-FURW : OUT UA FU Redwood</v>
      </c>
      <c r="X5" s="222" t="str">
        <f t="shared" si="9"/>
        <v>OUTUA-FURW : OUT UA FU Redwood</v>
      </c>
      <c r="Y5" s="222" t="str">
        <f t="shared" si="10"/>
        <v>MATCH</v>
      </c>
      <c r="Z5" s="224" t="str">
        <f t="shared" si="11"/>
        <v> </v>
      </c>
      <c r="AA5" s="243"/>
    </row>
    <row r="6">
      <c r="A6" s="214" t="str">
        <f>IFS($B6=FALSE,"",$B6,VLOOKUP($B6,'PATIENT DATA (072721)'!A:C, 2, 0))</f>
        <v>SALAZAR, RAUL</v>
      </c>
      <c r="B6" s="215">
        <v>16196.0</v>
      </c>
      <c r="C6" s="216" t="str">
        <f>IF(COUNTIF('PATIENT DATA (072721)'!A:A, B6)=0, "X","✓")</f>
        <v>✓</v>
      </c>
      <c r="D6" s="226">
        <f>IFS($B6=FALSE,"",$B6,VLOOKUP($B6,'PATIENT DATA (072721)'!A:C, 3, 0))</f>
        <v>17763</v>
      </c>
      <c r="E6" s="218">
        <v>44579.0</v>
      </c>
      <c r="F6" s="219">
        <f>ifs($B6="","",$B6, VLOOKUP($B6&amp;$E6, 'VISIT DATA'!A:O,3,0))</f>
        <v>0.3125</v>
      </c>
      <c r="G6" s="220" t="s">
        <v>6328</v>
      </c>
      <c r="H6" s="221" t="s">
        <v>12</v>
      </c>
      <c r="I6" s="222" t="str">
        <f>VLOOKUP($B6&amp;$E6,'VISIT DATA'!A:J, 9, FALSE)</f>
        <v>LOPEZ</v>
      </c>
      <c r="J6" s="223" t="str">
        <f>VLOOKUP(B6&amp;E6,'VISIT DATA'!A:N,10,FALSE)</f>
        <v>WELLMED - AMERIVANTAGE</v>
      </c>
      <c r="K6" s="224"/>
      <c r="L6" s="224" t="s">
        <v>6242</v>
      </c>
      <c r="M6" s="224"/>
      <c r="N6" s="225"/>
      <c r="O6" s="216" t="str">
        <f t="shared" si="1"/>
        <v>✓</v>
      </c>
      <c r="P6" s="226" t="str">
        <f t="shared" si="2"/>
        <v>X</v>
      </c>
      <c r="Q6" s="227" t="str">
        <f t="shared" si="3"/>
        <v>#VALUE!</v>
      </c>
      <c r="R6" s="228" t="str">
        <f t="shared" si="4"/>
        <v>#VALUE!</v>
      </c>
      <c r="S6" s="220" t="str">
        <f t="shared" si="5"/>
        <v>#VALUE!</v>
      </c>
      <c r="T6" s="220" t="str">
        <f t="shared" si="6"/>
        <v>#VALUE!</v>
      </c>
      <c r="U6" s="221">
        <f t="shared" si="7"/>
        <v>1</v>
      </c>
      <c r="V6" s="229" t="str">
        <f>ifs($N6="",VLOOKUP($B6&amp;$E6,'VISIT DATA'!$A$2:$J97,7,FALSE), $N6="SWAB","OUTSA-RW",$N6="SWQU","OUTSA-SaQu", AND($L6="X",$M6="X",$N6="QUEST"),"OUT-UAQPre",$N6="QUEST","OUT-UAQ", $N6="Walk in","ColUATele")</f>
        <v>OUTUA-FURW</v>
      </c>
      <c r="W6" s="24" t="str">
        <f t="shared" si="8"/>
        <v>OUTUA-FURW : OUT UA FU Redwood</v>
      </c>
      <c r="X6" s="222" t="str">
        <f t="shared" si="9"/>
        <v>OUTUA-FURW : OUT UA FU Redwood</v>
      </c>
      <c r="Y6" s="222" t="str">
        <f t="shared" si="10"/>
        <v>MATCH</v>
      </c>
      <c r="Z6" s="224" t="str">
        <f t="shared" si="11"/>
        <v> </v>
      </c>
      <c r="AA6" s="243"/>
    </row>
    <row r="7">
      <c r="A7" s="214" t="str">
        <f>IFS($B7=FALSE,"",$B7,VLOOKUP($B7,'PATIENT DATA (072721)'!A:C, 2, 0))</f>
        <v>MEDRANO, MARIA</v>
      </c>
      <c r="B7" s="215">
        <v>17857.0</v>
      </c>
      <c r="C7" s="216" t="str">
        <f>IF(COUNTIF('PATIENT DATA (072721)'!A:A, B7)=0, "X","✓")</f>
        <v>✓</v>
      </c>
      <c r="D7" s="226">
        <f>IFS($B7=FALSE,"",$B7,VLOOKUP($B7,'PATIENT DATA (072721)'!A:C, 3, 0))</f>
        <v>23488</v>
      </c>
      <c r="E7" s="218">
        <v>44579.0</v>
      </c>
      <c r="F7" s="219">
        <f>ifs($B7="","",$B7, VLOOKUP($B7&amp;$E7, 'VISIT DATA'!A:O,3,0))</f>
        <v>0.34375</v>
      </c>
      <c r="G7" s="220" t="s">
        <v>6323</v>
      </c>
      <c r="H7" s="221" t="s">
        <v>12</v>
      </c>
      <c r="I7" s="222" t="str">
        <f>VLOOKUP($B7&amp;$E7,'VISIT DATA'!A:J, 9, FALSE)</f>
        <v>LOPEZ</v>
      </c>
      <c r="J7" s="223" t="str">
        <f>VLOOKUP(B7&amp;E7,'VISIT DATA'!A:N,10,FALSE)</f>
        <v>AMERIGROUP</v>
      </c>
      <c r="K7" s="224" t="s">
        <v>6242</v>
      </c>
      <c r="L7" s="224"/>
      <c r="M7" s="224"/>
      <c r="N7" s="225"/>
      <c r="O7" s="216" t="str">
        <f t="shared" si="1"/>
        <v>✓</v>
      </c>
      <c r="P7" s="226" t="str">
        <f t="shared" si="2"/>
        <v>#VALUE!</v>
      </c>
      <c r="Q7" s="227" t="str">
        <f t="shared" si="3"/>
        <v>#VALUE!</v>
      </c>
      <c r="R7" s="228" t="str">
        <f t="shared" si="4"/>
        <v>#VALUE!</v>
      </c>
      <c r="S7" s="220" t="str">
        <f t="shared" si="5"/>
        <v>#VALUE!</v>
      </c>
      <c r="T7" s="220" t="str">
        <f t="shared" si="6"/>
        <v>#VALUE!</v>
      </c>
      <c r="U7" s="221">
        <f t="shared" si="7"/>
        <v>0</v>
      </c>
      <c r="V7" s="229" t="str">
        <f>ifs($N7="",VLOOKUP($B7&amp;$E7,'VISIT DATA'!$A$2:$J97,7,FALSE), $N7="SWAB","OUTSA-RW",$N7="SWQU","OUTSA-SaQu", AND($L7="X",$M7="X",$N7="QUEST"),"OUT-UAQPre",$N7="QUEST","OUT-UAQ", $N7="Walk in","ColUATele")</f>
        <v>UA-NWPT</v>
      </c>
      <c r="W7" s="24" t="str">
        <f t="shared" si="8"/>
        <v>UA-NWPT : UA New Patient</v>
      </c>
      <c r="X7" s="222" t="str">
        <f t="shared" si="9"/>
        <v>UA-NWPT : UA New Patient</v>
      </c>
      <c r="Y7" s="222" t="str">
        <f t="shared" si="10"/>
        <v>MATCH</v>
      </c>
      <c r="Z7" s="224" t="str">
        <f t="shared" si="11"/>
        <v> </v>
      </c>
      <c r="AA7" s="243"/>
    </row>
    <row r="8">
      <c r="A8" s="214" t="str">
        <f>IFS($B8=FALSE,"",$B8,VLOOKUP($B8,'PATIENT DATA (072721)'!A:C, 2, 0))</f>
        <v>HENDERSON, WILYUM</v>
      </c>
      <c r="B8" s="215">
        <v>17930.0</v>
      </c>
      <c r="C8" s="216" t="str">
        <f>IF(COUNTIF('PATIENT DATA (072721)'!A:A, B8)=0, "X","✓")</f>
        <v>✓</v>
      </c>
      <c r="D8" s="226">
        <f>IFS($B8=FALSE,"",$B8,VLOOKUP($B8,'PATIENT DATA (072721)'!A:C, 3, 0))</f>
        <v>21107</v>
      </c>
      <c r="E8" s="218">
        <v>44579.0</v>
      </c>
      <c r="F8" s="219">
        <f>ifs($B8="","",$B8, VLOOKUP($B8&amp;$E8, 'VISIT DATA'!A:O,3,0))</f>
        <v>0.34375</v>
      </c>
      <c r="G8" s="220" t="s">
        <v>6328</v>
      </c>
      <c r="H8" s="221" t="s">
        <v>13</v>
      </c>
      <c r="I8" s="222" t="str">
        <f>VLOOKUP($B8&amp;$E8,'VISIT DATA'!A:J, 9, FALSE)</f>
        <v>LOPEZ</v>
      </c>
      <c r="J8" s="223" t="str">
        <f>VLOOKUP(B8&amp;E8,'VISIT DATA'!A:N,10,FALSE)</f>
        <v>AETNA</v>
      </c>
      <c r="K8" s="224" t="s">
        <v>6242</v>
      </c>
      <c r="L8" s="224"/>
      <c r="M8" s="224"/>
      <c r="N8" s="225"/>
      <c r="O8" s="216" t="str">
        <f t="shared" si="1"/>
        <v>✓</v>
      </c>
      <c r="P8" s="226" t="str">
        <f t="shared" si="2"/>
        <v>#VALUE!</v>
      </c>
      <c r="Q8" s="227" t="str">
        <f t="shared" si="3"/>
        <v>#VALUE!</v>
      </c>
      <c r="R8" s="228" t="str">
        <f t="shared" si="4"/>
        <v>#VALUE!</v>
      </c>
      <c r="S8" s="220" t="str">
        <f t="shared" si="5"/>
        <v>#VALUE!</v>
      </c>
      <c r="T8" s="220" t="str">
        <f t="shared" si="6"/>
        <v>#VALUE!</v>
      </c>
      <c r="U8" s="221">
        <f t="shared" si="7"/>
        <v>0</v>
      </c>
      <c r="V8" s="229" t="str">
        <f>ifs($N8="",VLOOKUP($B8&amp;$E8,'VISIT DATA'!$A$2:$J97,7,FALSE), $N8="SWAB","OUTSA-RW",$N8="SWQU","OUTSA-SaQu", AND($L8="X",$M8="X",$N8="QUEST"),"OUT-UAQPre",$N8="QUEST","OUT-UAQ", $N8="Walk in","ColUATele")</f>
        <v>UA-NWPT</v>
      </c>
      <c r="W8" s="24" t="str">
        <f t="shared" si="8"/>
        <v>UA-NWPT : UA New Patient</v>
      </c>
      <c r="X8" s="222" t="str">
        <f t="shared" si="9"/>
        <v>UA-NWPT : UA New Patient</v>
      </c>
      <c r="Y8" s="222" t="str">
        <f t="shared" si="10"/>
        <v>MATCH</v>
      </c>
      <c r="Z8" s="224" t="str">
        <f t="shared" si="11"/>
        <v> </v>
      </c>
      <c r="AA8" s="243"/>
    </row>
    <row r="9">
      <c r="A9" s="214" t="str">
        <f>IFS($B9=FALSE,"",$B9,VLOOKUP($B9,'PATIENT DATA (072721)'!A:C, 2, 0))</f>
        <v>MARTINEZ, PHILIP</v>
      </c>
      <c r="B9" s="215">
        <v>17903.0</v>
      </c>
      <c r="C9" s="216" t="str">
        <f>IF(COUNTIF('PATIENT DATA (072721)'!A:A, B9)=0, "X","✓")</f>
        <v>✓</v>
      </c>
      <c r="D9" s="226">
        <f>IFS($B9=FALSE,"",$B9,VLOOKUP($B9,'PATIENT DATA (072721)'!A:C, 3, 0))</f>
        <v>12274</v>
      </c>
      <c r="E9" s="218">
        <v>44579.0</v>
      </c>
      <c r="F9" s="219">
        <f>ifs($B9="","",$B9, VLOOKUP($B9&amp;$E9, 'VISIT DATA'!A:O,3,0))</f>
        <v>0.3645833333</v>
      </c>
      <c r="G9" s="220" t="s">
        <v>6328</v>
      </c>
      <c r="H9" s="221" t="s">
        <v>12</v>
      </c>
      <c r="I9" s="222" t="str">
        <f>VLOOKUP($B9&amp;$E9,'VISIT DATA'!A:J, 9, FALSE)</f>
        <v>LOPEZ</v>
      </c>
      <c r="J9" s="223" t="str">
        <f>VLOOKUP(B9&amp;E9,'VISIT DATA'!A:N,10,FALSE)</f>
        <v>EL PASO VA</v>
      </c>
      <c r="K9" s="224" t="s">
        <v>6242</v>
      </c>
      <c r="L9" s="224"/>
      <c r="M9" s="224"/>
      <c r="N9" s="225"/>
      <c r="O9" s="216" t="str">
        <f t="shared" si="1"/>
        <v>✓</v>
      </c>
      <c r="P9" s="226" t="str">
        <f t="shared" si="2"/>
        <v>#VALUE!</v>
      </c>
      <c r="Q9" s="227" t="str">
        <f t="shared" si="3"/>
        <v>#VALUE!</v>
      </c>
      <c r="R9" s="228" t="str">
        <f t="shared" si="4"/>
        <v>#VALUE!</v>
      </c>
      <c r="S9" s="220" t="str">
        <f t="shared" si="5"/>
        <v>#VALUE!</v>
      </c>
      <c r="T9" s="220" t="str">
        <f t="shared" si="6"/>
        <v>#VALUE!</v>
      </c>
      <c r="U9" s="221">
        <f t="shared" si="7"/>
        <v>0</v>
      </c>
      <c r="V9" s="229" t="str">
        <f>ifs($N9="",VLOOKUP($B9&amp;$E9,'VISIT DATA'!$A$2:$J97,7,FALSE), $N9="SWAB","OUTSA-RW",$N9="SWQU","OUTSA-SaQu", AND($L9="X",$M9="X",$N9="QUEST"),"OUT-UAQPre",$N9="QUEST","OUT-UAQ", $N9="Walk in","ColUATele")</f>
        <v>UA-NWPT</v>
      </c>
      <c r="W9" s="24" t="str">
        <f t="shared" si="8"/>
        <v>UA-NWPT : UA New Patient</v>
      </c>
      <c r="X9" s="222" t="str">
        <f t="shared" si="9"/>
        <v>UA-NWPT : UA New Patient</v>
      </c>
      <c r="Y9" s="222" t="str">
        <f t="shared" si="10"/>
        <v>MATCH</v>
      </c>
      <c r="Z9" s="224" t="str">
        <f t="shared" si="11"/>
        <v> </v>
      </c>
      <c r="AA9" s="243"/>
    </row>
    <row r="10">
      <c r="A10" s="214" t="str">
        <f>IFS($B10=FALSE,"",$B10,VLOOKUP($B10,'PATIENT DATA (072721)'!A:C, 2, 0))</f>
        <v>JIMENEZ, LETICIA</v>
      </c>
      <c r="B10" s="215">
        <v>9200.0</v>
      </c>
      <c r="C10" s="216" t="str">
        <f>IF(COUNTIF('PATIENT DATA (072721)'!A:A, B10)=0, "X","✓")</f>
        <v>✓</v>
      </c>
      <c r="D10" s="226">
        <f>IFS($B10=FALSE,"",$B10,VLOOKUP($B10,'PATIENT DATA (072721)'!A:C, 3, 0))</f>
        <v>22540</v>
      </c>
      <c r="E10" s="218">
        <v>44579.0</v>
      </c>
      <c r="F10" s="219">
        <f>ifs($B10="","",$B10, VLOOKUP($B10&amp;$E10, 'VISIT DATA'!A:O,3,0))</f>
        <v>0.3645833333</v>
      </c>
      <c r="G10" s="220" t="s">
        <v>6323</v>
      </c>
      <c r="H10" s="221" t="s">
        <v>13</v>
      </c>
      <c r="I10" s="222" t="str">
        <f>VLOOKUP($B10&amp;$E10,'VISIT DATA'!A:J, 9, FALSE)</f>
        <v>LOPEZ</v>
      </c>
      <c r="J10" s="223" t="str">
        <f>VLOOKUP(B10&amp;E10,'VISIT DATA'!A:N,10,FALSE)</f>
        <v>BCBSTX PPO</v>
      </c>
      <c r="K10" s="224"/>
      <c r="L10" s="224" t="s">
        <v>6242</v>
      </c>
      <c r="M10" s="224" t="s">
        <v>6242</v>
      </c>
      <c r="N10" s="225"/>
      <c r="O10" s="216" t="str">
        <f t="shared" si="1"/>
        <v>✓</v>
      </c>
      <c r="P10" s="226" t="str">
        <f t="shared" si="2"/>
        <v>#VALUE!</v>
      </c>
      <c r="Q10" s="227" t="str">
        <f t="shared" si="3"/>
        <v>#VALUE!</v>
      </c>
      <c r="R10" s="228" t="str">
        <f t="shared" si="4"/>
        <v>#VALUE!</v>
      </c>
      <c r="S10" s="220" t="str">
        <f t="shared" si="5"/>
        <v>#VALUE!</v>
      </c>
      <c r="T10" s="220" t="str">
        <f t="shared" si="6"/>
        <v>#VALUE!</v>
      </c>
      <c r="U10" s="221">
        <f t="shared" si="7"/>
        <v>0</v>
      </c>
      <c r="V10" s="229" t="str">
        <f>ifs($N10="",VLOOKUP($B10&amp;$E10,'VISIT DATA'!$A$2:$J97,7,FALSE), $N10="SWAB","OUTSA-RW",$N10="SWQU","OUTSA-SaQu", AND($L10="X",$M10="X",$N10="QUEST"),"OUT-UAQPre",$N10="QUEST","OUT-UAQ", $N10="Walk in","ColUATele")</f>
        <v>UA-Prelim</v>
      </c>
      <c r="W10" s="24" t="str">
        <f t="shared" si="8"/>
        <v>UA-Prelim : Preliminary UA Test</v>
      </c>
      <c r="X10" s="222" t="str">
        <f t="shared" si="9"/>
        <v>UA-Prelim : Preliminary UA Test</v>
      </c>
      <c r="Y10" s="222" t="str">
        <f t="shared" si="10"/>
        <v>MATCH</v>
      </c>
      <c r="Z10" s="224" t="str">
        <f t="shared" si="11"/>
        <v> </v>
      </c>
      <c r="AA10" s="243"/>
    </row>
    <row r="11">
      <c r="A11" s="214" t="str">
        <f>IFS($B11=FALSE,"",$B11,VLOOKUP($B11,'PATIENT DATA (072721)'!A:C, 2, 0))</f>
        <v>PANFILO, JAYME</v>
      </c>
      <c r="B11" s="215">
        <v>17888.0</v>
      </c>
      <c r="C11" s="216" t="str">
        <f>IF(COUNTIF('PATIENT DATA (072721)'!A:A, B11)=0, "X","✓")</f>
        <v>✓</v>
      </c>
      <c r="D11" s="226">
        <f>IFS($B11=FALSE,"",$B11,VLOOKUP($B11,'PATIENT DATA (072721)'!A:C, 3, 0))</f>
        <v>14755</v>
      </c>
      <c r="E11" s="218">
        <v>44579.0</v>
      </c>
      <c r="F11" s="219">
        <f>ifs($B11="","",$B11, VLOOKUP($B11&amp;$E11, 'VISIT DATA'!A:O,3,0))</f>
        <v>0.3645833333</v>
      </c>
      <c r="G11" s="220" t="s">
        <v>6328</v>
      </c>
      <c r="H11" s="221" t="s">
        <v>12</v>
      </c>
      <c r="I11" s="222" t="str">
        <f>VLOOKUP($B11&amp;$E11,'VISIT DATA'!A:J, 9, FALSE)</f>
        <v>LOPEZ</v>
      </c>
      <c r="J11" s="223" t="str">
        <f>VLOOKUP(B11&amp;E11,'VISIT DATA'!A:N,10,FALSE)</f>
        <v>AETNA</v>
      </c>
      <c r="K11" s="224" t="s">
        <v>6242</v>
      </c>
      <c r="L11" s="224"/>
      <c r="M11" s="224"/>
      <c r="N11" s="225"/>
      <c r="O11" s="216" t="str">
        <f t="shared" si="1"/>
        <v>✓</v>
      </c>
      <c r="P11" s="226" t="str">
        <f t="shared" si="2"/>
        <v>#VALUE!</v>
      </c>
      <c r="Q11" s="227" t="str">
        <f t="shared" si="3"/>
        <v>#VALUE!</v>
      </c>
      <c r="R11" s="228" t="str">
        <f t="shared" si="4"/>
        <v>#VALUE!</v>
      </c>
      <c r="S11" s="220" t="str">
        <f t="shared" si="5"/>
        <v>#VALUE!</v>
      </c>
      <c r="T11" s="220" t="str">
        <f t="shared" si="6"/>
        <v>#VALUE!</v>
      </c>
      <c r="U11" s="221">
        <f t="shared" si="7"/>
        <v>0</v>
      </c>
      <c r="V11" s="229" t="str">
        <f>ifs($N11="",VLOOKUP($B11&amp;$E11,'VISIT DATA'!$A$2:$J97,7,FALSE), $N11="SWAB","OUTSA-RW",$N11="SWQU","OUTSA-SaQu", AND($L11="X",$M11="X",$N11="QUEST"),"OUT-UAQPre",$N11="QUEST","OUT-UAQ", $N11="Walk in","ColUATele")</f>
        <v>UA-NWPT</v>
      </c>
      <c r="W11" s="24" t="str">
        <f t="shared" si="8"/>
        <v>UA-NWPT : UA New Patient</v>
      </c>
      <c r="X11" s="222" t="str">
        <f t="shared" si="9"/>
        <v>UA-NWPT : UA New Patient</v>
      </c>
      <c r="Y11" s="222" t="str">
        <f t="shared" si="10"/>
        <v>MATCH</v>
      </c>
      <c r="Z11" s="224" t="str">
        <f t="shared" si="11"/>
        <v> </v>
      </c>
      <c r="AA11" s="243"/>
    </row>
    <row r="12">
      <c r="A12" s="214" t="str">
        <f>IFS($B12=FALSE,"",$B12,VLOOKUP($B12,'PATIENT DATA (072721)'!A:C, 2, 0))</f>
        <v>VILLALOBOS, MARIA DC</v>
      </c>
      <c r="B12" s="215">
        <v>15813.0</v>
      </c>
      <c r="C12" s="216" t="str">
        <f>IF(COUNTIF('PATIENT DATA (072721)'!A:A, B12)=0, "X","✓")</f>
        <v>✓</v>
      </c>
      <c r="D12" s="226">
        <f>IFS($B12=FALSE,"",$B12,VLOOKUP($B12,'PATIENT DATA (072721)'!A:C, 3, 0))</f>
        <v>21691</v>
      </c>
      <c r="E12" s="218">
        <v>44579.0</v>
      </c>
      <c r="F12" s="219">
        <f>ifs($B12="","",$B12, VLOOKUP($B12&amp;$E12, 'VISIT DATA'!A:O,3,0))</f>
        <v>0.375</v>
      </c>
      <c r="G12" s="220" t="s">
        <v>6323</v>
      </c>
      <c r="H12" s="221" t="s">
        <v>13</v>
      </c>
      <c r="I12" s="222" t="str">
        <f>VLOOKUP($B12&amp;$E12,'VISIT DATA'!A:J, 9, FALSE)</f>
        <v>THOMAS</v>
      </c>
      <c r="J12" s="223" t="str">
        <f>VLOOKUP(B12&amp;E12,'VISIT DATA'!A:N,10,FALSE)</f>
        <v>WELLMED - CIGNA HEALTHSPRING</v>
      </c>
      <c r="K12" s="224"/>
      <c r="L12" s="224" t="s">
        <v>6242</v>
      </c>
      <c r="M12" s="224"/>
      <c r="N12" s="225"/>
      <c r="O12" s="216" t="str">
        <f t="shared" si="1"/>
        <v>✓</v>
      </c>
      <c r="P12" s="226" t="str">
        <f t="shared" si="2"/>
        <v>X</v>
      </c>
      <c r="Q12" s="227" t="str">
        <f t="shared" si="3"/>
        <v>#VALUE!</v>
      </c>
      <c r="R12" s="228" t="str">
        <f t="shared" si="4"/>
        <v>#VALUE!</v>
      </c>
      <c r="S12" s="220" t="str">
        <f t="shared" si="5"/>
        <v>#VALUE!</v>
      </c>
      <c r="T12" s="220" t="str">
        <f t="shared" si="6"/>
        <v>#VALUE!</v>
      </c>
      <c r="U12" s="221">
        <f t="shared" si="7"/>
        <v>1</v>
      </c>
      <c r="V12" s="229" t="str">
        <f>ifs($N12="",VLOOKUP($B12&amp;$E12,'VISIT DATA'!$A$2:$J97,7,FALSE), $N12="SWAB","OUTSA-RW",$N12="SWQU","OUTSA-SaQu", AND($L12="X",$M12="X",$N12="QUEST"),"OUT-UAQPre",$N12="QUEST","OUT-UAQ", $N12="Walk in","ColUATele")</f>
        <v>OUTUA-FURW</v>
      </c>
      <c r="W12" s="24" t="str">
        <f t="shared" si="8"/>
        <v>OUTUA-FURW : OUT UA FU Redwood</v>
      </c>
      <c r="X12" s="222" t="str">
        <f t="shared" si="9"/>
        <v>OUTUA-FURW : OUT UA FU Redwood</v>
      </c>
      <c r="Y12" s="222" t="str">
        <f t="shared" si="10"/>
        <v>MATCH</v>
      </c>
      <c r="Z12" s="224" t="str">
        <f t="shared" si="11"/>
        <v> </v>
      </c>
      <c r="AA12" s="243"/>
    </row>
    <row r="13">
      <c r="A13" s="214" t="str">
        <f>IFS($B13=FALSE,"",$B13,VLOOKUP($B13,'PATIENT DATA (072721)'!A:C, 2, 0))</f>
        <v>GALLARDO, RAYMOND D</v>
      </c>
      <c r="B13" s="215">
        <v>16793.0</v>
      </c>
      <c r="C13" s="216" t="str">
        <f>IF(COUNTIF('PATIENT DATA (072721)'!A:A, B13)=0, "X","✓")</f>
        <v>✓</v>
      </c>
      <c r="D13" s="226">
        <f>IFS($B13=FALSE,"",$B13,VLOOKUP($B13,'PATIENT DATA (072721)'!A:C, 3, 0))</f>
        <v>21247</v>
      </c>
      <c r="E13" s="218">
        <v>44579.0</v>
      </c>
      <c r="F13" s="219" t="str">
        <f>ifs($B13="","",$B13, VLOOKUP($B13&amp;$E13, 'VISIT DATA'!A:O,3,0))</f>
        <v>#N/A</v>
      </c>
      <c r="G13" s="220" t="s">
        <v>6328</v>
      </c>
      <c r="H13" s="221" t="s">
        <v>14</v>
      </c>
      <c r="I13" s="222" t="str">
        <f>VLOOKUP($B13&amp;$E13,'VISIT DATA'!A:J, 9, FALSE)</f>
        <v>#N/A</v>
      </c>
      <c r="J13" s="223" t="str">
        <f>VLOOKUP(B13&amp;E13,'VISIT DATA'!A:N,10,FALSE)</f>
        <v>#N/A</v>
      </c>
      <c r="K13" s="242"/>
      <c r="L13" s="224" t="s">
        <v>6242</v>
      </c>
      <c r="M13" s="224" t="s">
        <v>6242</v>
      </c>
      <c r="N13" s="225"/>
      <c r="O13" s="216" t="str">
        <f t="shared" si="1"/>
        <v>✓</v>
      </c>
      <c r="P13" s="226" t="str">
        <f t="shared" si="2"/>
        <v>#N/A</v>
      </c>
      <c r="Q13" s="227" t="str">
        <f t="shared" si="3"/>
        <v>#N/A</v>
      </c>
      <c r="R13" s="228" t="str">
        <f t="shared" si="4"/>
        <v>#N/A</v>
      </c>
      <c r="S13" s="220" t="str">
        <f t="shared" si="5"/>
        <v>#N/A</v>
      </c>
      <c r="T13" s="220" t="str">
        <f t="shared" si="6"/>
        <v>#N/A</v>
      </c>
      <c r="U13" s="221">
        <f t="shared" si="7"/>
        <v>0</v>
      </c>
      <c r="V13" s="229" t="str">
        <f>ifs($N13="",VLOOKUP($B13&amp;$E13,'VISIT DATA'!$A$2:$J97,7,FALSE), $N13="SWAB","OUTSA-RW",$N13="SWQU","OUTSA-SaQu", AND($L13="X",$M13="X",$N13="QUEST"),"OUT-UAQPre",$N13="QUEST","OUT-UAQ", $N13="Walk in","ColUATele")</f>
        <v>#N/A</v>
      </c>
      <c r="W13" s="24" t="str">
        <f t="shared" si="8"/>
        <v>#N/A</v>
      </c>
      <c r="X13" s="222" t="str">
        <f t="shared" si="9"/>
        <v>UA-Prelim : Preliminary UA Test</v>
      </c>
      <c r="Y13" s="222" t="str">
        <f t="shared" si="10"/>
        <v>#N/A</v>
      </c>
      <c r="Z13" s="224" t="str">
        <f t="shared" si="11"/>
        <v> </v>
      </c>
      <c r="AA13" s="243"/>
    </row>
    <row r="14">
      <c r="A14" s="214" t="str">
        <f>IFS($B14=FALSE,"",$B14,VLOOKUP($B14,'PATIENT DATA (072721)'!A:C, 2, 0))</f>
        <v>HERNANDEZ, FRANCISCO J</v>
      </c>
      <c r="B14" s="215">
        <v>15524.0</v>
      </c>
      <c r="C14" s="216" t="str">
        <f>IF(COUNTIF('PATIENT DATA (072721)'!A:A, B14)=0, "X","✓")</f>
        <v>✓</v>
      </c>
      <c r="D14" s="226">
        <f>IFS($B14=FALSE,"",$B14,VLOOKUP($B14,'PATIENT DATA (072721)'!A:C, 3, 0))</f>
        <v>19310</v>
      </c>
      <c r="E14" s="218">
        <v>44579.0</v>
      </c>
      <c r="F14" s="219">
        <f>ifs($B14="","",$B14, VLOOKUP($B14&amp;$E14, 'VISIT DATA'!A:O,3,0))</f>
        <v>0.4270833333</v>
      </c>
      <c r="G14" s="220" t="s">
        <v>6328</v>
      </c>
      <c r="H14" s="221" t="s">
        <v>14</v>
      </c>
      <c r="I14" s="222" t="str">
        <f>VLOOKUP($B14&amp;$E14,'VISIT DATA'!A:J, 9, FALSE)</f>
        <v>TORRES</v>
      </c>
      <c r="J14" s="223" t="str">
        <f>VLOOKUP(B14&amp;E14,'VISIT DATA'!A:N,10,FALSE)</f>
        <v>WELLMED - UHC DUAL COMPLETE SNP</v>
      </c>
      <c r="K14" s="225"/>
      <c r="L14" s="224" t="s">
        <v>6242</v>
      </c>
      <c r="M14" s="224" t="s">
        <v>6242</v>
      </c>
      <c r="N14" s="225"/>
      <c r="O14" s="216" t="str">
        <f t="shared" si="1"/>
        <v>✓</v>
      </c>
      <c r="P14" s="226" t="str">
        <f t="shared" si="2"/>
        <v>X</v>
      </c>
      <c r="Q14" s="227" t="str">
        <f t="shared" si="3"/>
        <v>#VALUE!</v>
      </c>
      <c r="R14" s="228" t="str">
        <f t="shared" si="4"/>
        <v>#VALUE!</v>
      </c>
      <c r="S14" s="220" t="str">
        <f t="shared" si="5"/>
        <v>#VALUE!</v>
      </c>
      <c r="T14" s="220" t="str">
        <f t="shared" si="6"/>
        <v>#VALUE!</v>
      </c>
      <c r="U14" s="221">
        <f t="shared" si="7"/>
        <v>1</v>
      </c>
      <c r="V14" s="229" t="str">
        <f>ifs($N14="",VLOOKUP($B14&amp;$E14,'VISIT DATA'!$A$2:$J97,7,FALSE), $N14="SWAB","OUTSA-RW",$N14="SWQU","OUTSA-SaQu", AND($L14="X",$M14="X",$N14="QUEST"),"OUT-UAQPre",$N14="QUEST","OUT-UAQ", $N14="Walk in","ColUATele")</f>
        <v>OUTUA-PrRW</v>
      </c>
      <c r="W14" s="24" t="str">
        <f t="shared" si="8"/>
        <v>OUTUA-PrRW : OUT UA Prelimin Redwood</v>
      </c>
      <c r="X14" s="222" t="str">
        <f t="shared" si="9"/>
        <v>OUTUA-PrRW : OUT UA Prelimin Redwood</v>
      </c>
      <c r="Y14" s="222" t="str">
        <f t="shared" si="10"/>
        <v>MATCH</v>
      </c>
      <c r="Z14" s="224" t="str">
        <f t="shared" si="11"/>
        <v> </v>
      </c>
      <c r="AA14" s="244"/>
    </row>
    <row r="15">
      <c r="A15" s="214" t="str">
        <f>IFS($B15=FALSE,"",$B15,VLOOKUP($B15,'PATIENT DATA (072721)'!A:C, 2, 0))</f>
        <v>RENTERIA, MARIA G</v>
      </c>
      <c r="B15" s="215">
        <v>10478.0</v>
      </c>
      <c r="C15" s="216" t="str">
        <f>IF(COUNTIF('PATIENT DATA (072721)'!A:A, B15)=0, "X","✓")</f>
        <v>✓</v>
      </c>
      <c r="D15" s="226">
        <f>IFS($B15=FALSE,"",$B15,VLOOKUP($B15,'PATIENT DATA (072721)'!A:C, 3, 0))</f>
        <v>21138</v>
      </c>
      <c r="E15" s="218">
        <v>44579.0</v>
      </c>
      <c r="F15" s="219">
        <f>ifs($B15="","",$B15, VLOOKUP($B15&amp;$E15, 'VISIT DATA'!A:O,3,0))</f>
        <v>0.40625</v>
      </c>
      <c r="G15" s="220" t="s">
        <v>6323</v>
      </c>
      <c r="H15" s="221" t="s">
        <v>14</v>
      </c>
      <c r="I15" s="222" t="str">
        <f>VLOOKUP($B15&amp;$E15,'VISIT DATA'!A:J, 9, FALSE)</f>
        <v>TORRES</v>
      </c>
      <c r="J15" s="223" t="str">
        <f>VLOOKUP(B15&amp;E15,'VISIT DATA'!A:N,10,FALSE)</f>
        <v>WELLMED - UHC CHRONIC COMPLETE HMO C-SNP</v>
      </c>
      <c r="K15" s="225"/>
      <c r="L15" s="224" t="s">
        <v>6242</v>
      </c>
      <c r="M15" s="224"/>
      <c r="N15" s="225"/>
      <c r="O15" s="216" t="str">
        <f t="shared" si="1"/>
        <v>✓</v>
      </c>
      <c r="P15" s="226" t="str">
        <f t="shared" si="2"/>
        <v>X</v>
      </c>
      <c r="Q15" s="227" t="str">
        <f t="shared" si="3"/>
        <v>#VALUE!</v>
      </c>
      <c r="R15" s="228" t="str">
        <f t="shared" si="4"/>
        <v>#VALUE!</v>
      </c>
      <c r="S15" s="220" t="str">
        <f t="shared" si="5"/>
        <v>#VALUE!</v>
      </c>
      <c r="T15" s="220" t="str">
        <f t="shared" si="6"/>
        <v>#VALUE!</v>
      </c>
      <c r="U15" s="221">
        <f t="shared" si="7"/>
        <v>1</v>
      </c>
      <c r="V15" s="229" t="str">
        <f>ifs($N15="",VLOOKUP($B15&amp;$E15,'VISIT DATA'!$A$2:$J97,7,FALSE), $N15="SWAB","OUTSA-RW",$N15="SWQU","OUTSA-SaQu", AND($L15="X",$M15="X",$N15="QUEST"),"OUT-UAQPre",$N15="QUEST","OUT-UAQ", $N15="Walk in","ColUATele")</f>
        <v>OUTUA-FURW</v>
      </c>
      <c r="W15" s="24" t="str">
        <f t="shared" si="8"/>
        <v>OUTUA-FURW : OUT UA FU Redwood</v>
      </c>
      <c r="X15" s="222" t="str">
        <f t="shared" si="9"/>
        <v>OUTUA-FURW : OUT UA FU Redwood</v>
      </c>
      <c r="Y15" s="222" t="str">
        <f t="shared" si="10"/>
        <v>MATCH</v>
      </c>
      <c r="Z15" s="224" t="str">
        <f t="shared" si="11"/>
        <v> </v>
      </c>
      <c r="AA15" s="244"/>
    </row>
    <row r="16">
      <c r="A16" s="214" t="str">
        <f>IFS($B16=FALSE,"",$B16,VLOOKUP($B16,'PATIENT DATA (072721)'!A:C, 2, 0))</f>
        <v>BEILFUSS, MICHAEL E</v>
      </c>
      <c r="B16" s="215">
        <v>9611.0</v>
      </c>
      <c r="C16" s="216" t="str">
        <f>IF(COUNTIF('PATIENT DATA (072721)'!A:A, B16)=0, "X","✓")</f>
        <v>✓</v>
      </c>
      <c r="D16" s="226">
        <f>IFS($B16=FALSE,"",$B16,VLOOKUP($B16,'PATIENT DATA (072721)'!A:C, 3, 0))</f>
        <v>19130</v>
      </c>
      <c r="E16" s="218">
        <v>44579.0</v>
      </c>
      <c r="F16" s="219">
        <f>ifs($B16="","",$B16, VLOOKUP($B16&amp;$E16, 'VISIT DATA'!A:O,3,0))</f>
        <v>0.4166666667</v>
      </c>
      <c r="G16" s="220" t="s">
        <v>6328</v>
      </c>
      <c r="H16" s="221" t="s">
        <v>12</v>
      </c>
      <c r="I16" s="222" t="str">
        <f>VLOOKUP($B16&amp;$E16,'VISIT DATA'!A:J, 9, FALSE)</f>
        <v>LOPEZ</v>
      </c>
      <c r="J16" s="223" t="str">
        <f>VLOOKUP(B16&amp;E16,'VISIT DATA'!A:N,10,FALSE)</f>
        <v>WELLMED - AARP MEDICARE COMPLETE</v>
      </c>
      <c r="K16" s="224"/>
      <c r="L16" s="224" t="s">
        <v>6242</v>
      </c>
      <c r="M16" s="224"/>
      <c r="N16" s="225"/>
      <c r="O16" s="216" t="str">
        <f t="shared" si="1"/>
        <v>✓</v>
      </c>
      <c r="P16" s="226" t="str">
        <f t="shared" si="2"/>
        <v>X</v>
      </c>
      <c r="Q16" s="227" t="str">
        <f t="shared" si="3"/>
        <v>#VALUE!</v>
      </c>
      <c r="R16" s="228" t="str">
        <f t="shared" si="4"/>
        <v>#VALUE!</v>
      </c>
      <c r="S16" s="220" t="str">
        <f t="shared" si="5"/>
        <v>#VALUE!</v>
      </c>
      <c r="T16" s="220" t="str">
        <f t="shared" si="6"/>
        <v>#VALUE!</v>
      </c>
      <c r="U16" s="221">
        <f t="shared" si="7"/>
        <v>1</v>
      </c>
      <c r="V16" s="229" t="str">
        <f>ifs($N16="",VLOOKUP($B16&amp;$E16,'VISIT DATA'!$A$2:$J97,7,FALSE), $N16="SWAB","OUTSA-RW",$N16="SWQU","OUTSA-SaQu", AND($L16="X",$M16="X",$N16="QUEST"),"OUT-UAQPre",$N16="QUEST","OUT-UAQ", $N16="Walk in","ColUATele")</f>
        <v>OUTUA-FURW</v>
      </c>
      <c r="W16" s="24" t="str">
        <f t="shared" si="8"/>
        <v>OUTUA-FURW : OUT UA FU Redwood</v>
      </c>
      <c r="X16" s="222" t="str">
        <f t="shared" si="9"/>
        <v>OUTUA-FURW : OUT UA FU Redwood</v>
      </c>
      <c r="Y16" s="222" t="str">
        <f t="shared" si="10"/>
        <v>MATCH</v>
      </c>
      <c r="Z16" s="224" t="str">
        <f t="shared" si="11"/>
        <v> </v>
      </c>
      <c r="AA16" s="244"/>
    </row>
    <row r="17">
      <c r="A17" s="214" t="str">
        <f>IFS($B17=FALSE,"",$B17,VLOOKUP($B17,'PATIENT DATA (072721)'!A:C, 2, 0))</f>
        <v>CARDOZA, ROBERTO</v>
      </c>
      <c r="B17" s="215">
        <v>15748.0</v>
      </c>
      <c r="C17" s="216" t="str">
        <f>IF(COUNTIF('PATIENT DATA (072721)'!A:A, B17)=0, "X","✓")</f>
        <v>✓</v>
      </c>
      <c r="D17" s="226">
        <f>IFS($B17=FALSE,"",$B17,VLOOKUP($B17,'PATIENT DATA (072721)'!A:C, 3, 0))</f>
        <v>22492</v>
      </c>
      <c r="E17" s="218">
        <v>44579.0</v>
      </c>
      <c r="F17" s="219">
        <f>ifs($B17="","",$B17, VLOOKUP($B17&amp;$E17, 'VISIT DATA'!A:O,3,0))</f>
        <v>0.4166666667</v>
      </c>
      <c r="G17" s="220" t="s">
        <v>6328</v>
      </c>
      <c r="H17" s="221" t="s">
        <v>12</v>
      </c>
      <c r="I17" s="222" t="str">
        <f>VLOOKUP($B17&amp;$E17,'VISIT DATA'!A:J, 9, FALSE)</f>
        <v>LOPEZ</v>
      </c>
      <c r="J17" s="223" t="str">
        <f>VLOOKUP(B17&amp;E17,'VISIT DATA'!A:N,10,FALSE)</f>
        <v>MOLINA MEDICAID TEXAS</v>
      </c>
      <c r="K17" s="225"/>
      <c r="L17" s="224" t="s">
        <v>6242</v>
      </c>
      <c r="M17" s="224"/>
      <c r="N17" s="224"/>
      <c r="O17" s="216" t="str">
        <f t="shared" si="1"/>
        <v>✓</v>
      </c>
      <c r="P17" s="226" t="str">
        <f t="shared" si="2"/>
        <v>#VALUE!</v>
      </c>
      <c r="Q17" s="227" t="str">
        <f t="shared" si="3"/>
        <v>X</v>
      </c>
      <c r="R17" s="228" t="str">
        <f t="shared" si="4"/>
        <v>#VALUE!</v>
      </c>
      <c r="S17" s="220" t="str">
        <f t="shared" si="5"/>
        <v>#VALUE!</v>
      </c>
      <c r="T17" s="220" t="str">
        <f t="shared" si="6"/>
        <v>#VALUE!</v>
      </c>
      <c r="U17" s="221">
        <f t="shared" si="7"/>
        <v>1</v>
      </c>
      <c r="V17" s="229" t="str">
        <f>ifs($N17="",VLOOKUP($B17&amp;$E17,'VISIT DATA'!$A$2:$J97,7,FALSE), $N17="SWAB","OUTSA-RW",$N17="SWQU","OUTSA-SaQu", AND($L17="X",$M17="X",$N17="QUEST"),"OUT-UAQPre",$N17="QUEST","OUT-UAQ", $N17="Walk in","ColUATele")</f>
        <v>OUTUA-FURW</v>
      </c>
      <c r="W17" s="24" t="str">
        <f t="shared" si="8"/>
        <v>OUTUA-FURW : OUT UA FU Redwood</v>
      </c>
      <c r="X17" s="222" t="str">
        <f t="shared" si="9"/>
        <v>OUTUA-FURW : OUT UA FU Redwood</v>
      </c>
      <c r="Y17" s="222" t="str">
        <f t="shared" si="10"/>
        <v>MATCH</v>
      </c>
      <c r="Z17" s="224" t="str">
        <f t="shared" si="11"/>
        <v> </v>
      </c>
      <c r="AA17" s="245"/>
    </row>
    <row r="18">
      <c r="A18" s="214" t="str">
        <f>IFS($B18=FALSE,"",$B18,VLOOKUP($B18,'PATIENT DATA (072721)'!A:C, 2, 0))</f>
        <v>HUBACKER, LUANA</v>
      </c>
      <c r="B18" s="215">
        <v>10100.0</v>
      </c>
      <c r="C18" s="216" t="str">
        <f>IF(COUNTIF('PATIENT DATA (072721)'!A:A, B18)=0, "X","✓")</f>
        <v>✓</v>
      </c>
      <c r="D18" s="226">
        <f>IFS($B18=FALSE,"",$B18,VLOOKUP($B18,'PATIENT DATA (072721)'!A:C, 3, 0))</f>
        <v>21315</v>
      </c>
      <c r="E18" s="218">
        <v>44579.0</v>
      </c>
      <c r="F18" s="219">
        <f>ifs($B18="","",$B18, VLOOKUP($B18&amp;$E18, 'VISIT DATA'!A:O,3,0))</f>
        <v>0.4166666667</v>
      </c>
      <c r="G18" s="220" t="s">
        <v>6323</v>
      </c>
      <c r="H18" s="221" t="s">
        <v>14</v>
      </c>
      <c r="I18" s="222" t="str">
        <f>VLOOKUP($B18&amp;$E18,'VISIT DATA'!A:J, 9, FALSE)</f>
        <v>TORRES</v>
      </c>
      <c r="J18" s="223" t="str">
        <f>VLOOKUP(B18&amp;E18,'VISIT DATA'!A:N,10,FALSE)</f>
        <v>UHC MEDICARE COMPLETE</v>
      </c>
      <c r="K18" s="224"/>
      <c r="L18" s="224" t="s">
        <v>6242</v>
      </c>
      <c r="M18" s="224" t="s">
        <v>6242</v>
      </c>
      <c r="N18" s="224"/>
      <c r="O18" s="216" t="str">
        <f t="shared" si="1"/>
        <v>✓</v>
      </c>
      <c r="P18" s="226" t="str">
        <f t="shared" si="2"/>
        <v>#VALUE!</v>
      </c>
      <c r="Q18" s="227" t="str">
        <f t="shared" si="3"/>
        <v>#VALUE!</v>
      </c>
      <c r="R18" s="228" t="str">
        <f t="shared" si="4"/>
        <v>#VALUE!</v>
      </c>
      <c r="S18" s="220" t="str">
        <f t="shared" si="5"/>
        <v>#VALUE!</v>
      </c>
      <c r="T18" s="220" t="str">
        <f t="shared" si="6"/>
        <v>#VALUE!</v>
      </c>
      <c r="U18" s="221">
        <f t="shared" si="7"/>
        <v>0</v>
      </c>
      <c r="V18" s="229" t="str">
        <f>ifs($N18="",VLOOKUP($B18&amp;$E18,'VISIT DATA'!$A$2:$J97,7,FALSE), $N18="SWAB","OUTSA-RW",$N18="SWQU","OUTSA-SaQu", AND($L18="X",$M18="X",$N18="QUEST"),"OUT-UAQPre",$N18="QUEST","OUT-UAQ", $N18="Walk in","ColUATele")</f>
        <v>UA-Prelim</v>
      </c>
      <c r="W18" s="24" t="str">
        <f t="shared" si="8"/>
        <v>UA-Prelim : Preliminary UA Test</v>
      </c>
      <c r="X18" s="222" t="str">
        <f t="shared" si="9"/>
        <v>UA-Prelim : Preliminary UA Test</v>
      </c>
      <c r="Y18" s="222" t="str">
        <f t="shared" si="10"/>
        <v>MATCH</v>
      </c>
      <c r="Z18" s="224" t="str">
        <f t="shared" si="11"/>
        <v> </v>
      </c>
      <c r="AA18" s="244"/>
    </row>
    <row r="19">
      <c r="A19" s="214" t="str">
        <f>IFS($B19=FALSE,"",$B19,VLOOKUP($B19,'PATIENT DATA (072721)'!A:C, 2, 0))</f>
        <v>GARCIA, RICHARD</v>
      </c>
      <c r="B19" s="215">
        <v>17822.0</v>
      </c>
      <c r="C19" s="216" t="str">
        <f>IF(COUNTIF('PATIENT DATA (072721)'!A:A, B19)=0, "X","✓")</f>
        <v>✓</v>
      </c>
      <c r="D19" s="226">
        <f>IFS($B19=FALSE,"",$B19,VLOOKUP($B19,'PATIENT DATA (072721)'!A:C, 3, 0))</f>
        <v>28711</v>
      </c>
      <c r="E19" s="218">
        <v>44579.0</v>
      </c>
      <c r="F19" s="219">
        <f>ifs($B19="","",$B19, VLOOKUP($B19&amp;$E19, 'VISIT DATA'!A:O,3,0))</f>
        <v>0.4166666667</v>
      </c>
      <c r="G19" s="220" t="s">
        <v>6328</v>
      </c>
      <c r="H19" s="221" t="s">
        <v>13</v>
      </c>
      <c r="I19" s="222" t="str">
        <f>VLOOKUP($B19&amp;$E19,'VISIT DATA'!A:J, 9, FALSE)</f>
        <v>LOPEZ</v>
      </c>
      <c r="J19" s="223" t="str">
        <f>VLOOKUP(B19&amp;E19,'VISIT DATA'!A:N,10,FALSE)</f>
        <v>BCBSTX PPO</v>
      </c>
      <c r="K19" s="224" t="s">
        <v>6242</v>
      </c>
      <c r="L19" s="224"/>
      <c r="M19" s="224"/>
      <c r="N19" s="225"/>
      <c r="O19" s="216" t="str">
        <f t="shared" si="1"/>
        <v>✓</v>
      </c>
      <c r="P19" s="226" t="str">
        <f t="shared" si="2"/>
        <v>#VALUE!</v>
      </c>
      <c r="Q19" s="227" t="str">
        <f t="shared" si="3"/>
        <v>#VALUE!</v>
      </c>
      <c r="R19" s="228" t="str">
        <f t="shared" si="4"/>
        <v>#VALUE!</v>
      </c>
      <c r="S19" s="220" t="str">
        <f t="shared" si="5"/>
        <v>#VALUE!</v>
      </c>
      <c r="T19" s="220" t="str">
        <f t="shared" si="6"/>
        <v>#VALUE!</v>
      </c>
      <c r="U19" s="221">
        <f t="shared" si="7"/>
        <v>0</v>
      </c>
      <c r="V19" s="229" t="str">
        <f>ifs($N19="",VLOOKUP($B19&amp;$E19,'VISIT DATA'!$A$2:$J97,7,FALSE), $N19="SWAB","OUTSA-RW",$N19="SWQU","OUTSA-SaQu", AND($L19="X",$M19="X",$N19="QUEST"),"OUT-UAQPre",$N19="QUEST","OUT-UAQ", $N19="Walk in","ColUATele")</f>
        <v>UA-NWPT</v>
      </c>
      <c r="W19" s="24" t="str">
        <f t="shared" si="8"/>
        <v>UA-NWPT : UA New Patient</v>
      </c>
      <c r="X19" s="222" t="str">
        <f t="shared" si="9"/>
        <v>UA-NWPT : UA New Patient</v>
      </c>
      <c r="Y19" s="222" t="str">
        <f t="shared" si="10"/>
        <v>MATCH</v>
      </c>
      <c r="Z19" s="224" t="str">
        <f t="shared" si="11"/>
        <v> </v>
      </c>
      <c r="AA19" s="244"/>
    </row>
    <row r="20">
      <c r="A20" s="214" t="str">
        <f>IFS($B20=FALSE,"",$B20,VLOOKUP($B20,'PATIENT DATA (072721)'!A:C, 2, 0))</f>
        <v>HAMILTON, AGNIESZKA</v>
      </c>
      <c r="B20" s="215">
        <v>11522.0</v>
      </c>
      <c r="C20" s="216" t="str">
        <f>IF(COUNTIF('PATIENT DATA (072721)'!A:A, B20)=0, "X","✓")</f>
        <v>✓</v>
      </c>
      <c r="D20" s="226">
        <f>IFS($B20=FALSE,"",$B20,VLOOKUP($B20,'PATIENT DATA (072721)'!A:C, 3, 0))</f>
        <v>29351</v>
      </c>
      <c r="E20" s="218">
        <v>44579.0</v>
      </c>
      <c r="F20" s="219">
        <f>ifs($B20="","",$B20, VLOOKUP($B20&amp;$E20, 'VISIT DATA'!A:O,3,0))</f>
        <v>0.4479166667</v>
      </c>
      <c r="G20" s="220" t="s">
        <v>6323</v>
      </c>
      <c r="H20" s="221" t="s">
        <v>14</v>
      </c>
      <c r="I20" s="222" t="str">
        <f>VLOOKUP($B20&amp;$E20,'VISIT DATA'!A:J, 9, FALSE)</f>
        <v>TORRES</v>
      </c>
      <c r="J20" s="223" t="str">
        <f>VLOOKUP(B20&amp;E20,'VISIT DATA'!A:N,10,FALSE)</f>
        <v>TRICARE PRIME</v>
      </c>
      <c r="K20" s="225"/>
      <c r="L20" s="224" t="s">
        <v>6242</v>
      </c>
      <c r="M20" s="224"/>
      <c r="N20" s="224"/>
      <c r="O20" s="216" t="str">
        <f t="shared" si="1"/>
        <v>✓</v>
      </c>
      <c r="P20" s="226" t="str">
        <f t="shared" si="2"/>
        <v>#VALUE!</v>
      </c>
      <c r="Q20" s="227" t="str">
        <f t="shared" si="3"/>
        <v>#VALUE!</v>
      </c>
      <c r="R20" s="228" t="str">
        <f t="shared" si="4"/>
        <v>#VALUE!</v>
      </c>
      <c r="S20" s="220" t="str">
        <f t="shared" si="5"/>
        <v>#VALUE!</v>
      </c>
      <c r="T20" s="220" t="str">
        <f t="shared" si="6"/>
        <v>#VALUE!</v>
      </c>
      <c r="U20" s="221">
        <f t="shared" si="7"/>
        <v>0</v>
      </c>
      <c r="V20" s="229" t="str">
        <f>ifs($N20="",VLOOKUP($B20&amp;$E20,'VISIT DATA'!$A$2:$J97,7,FALSE), $N20="SWAB","OUTSA-RW",$N20="SWQU","OUTSA-SaQu", AND($L20="X",$M20="X",$N20="QUEST"),"OUT-UAQPre",$N20="QUEST","OUT-UAQ", $N20="Walk in","ColUATele")</f>
        <v>UA</v>
      </c>
      <c r="W20" s="24" t="str">
        <f t="shared" si="8"/>
        <v>UA : Urine Analysis In House</v>
      </c>
      <c r="X20" s="222" t="str">
        <f t="shared" si="9"/>
        <v>UA : Urine Analysis In House</v>
      </c>
      <c r="Y20" s="222" t="str">
        <f t="shared" si="10"/>
        <v>MATCH</v>
      </c>
      <c r="Z20" s="224" t="str">
        <f t="shared" si="11"/>
        <v> </v>
      </c>
      <c r="AA20" s="244"/>
    </row>
    <row r="21">
      <c r="A21" s="214" t="str">
        <f>IFS($B21=FALSE,"",$B21,VLOOKUP($B21,'PATIENT DATA (072721)'!A:C, 2, 0))</f>
        <v>ROBLEDO, CARLOS</v>
      </c>
      <c r="B21" s="215">
        <v>17884.0</v>
      </c>
      <c r="C21" s="216" t="str">
        <f>IF(COUNTIF('PATIENT DATA (072721)'!A:A, B21)=0, "X","✓")</f>
        <v>✓</v>
      </c>
      <c r="D21" s="226">
        <f>IFS($B21=FALSE,"",$B21,VLOOKUP($B21,'PATIENT DATA (072721)'!A:C, 3, 0))</f>
        <v>22699</v>
      </c>
      <c r="E21" s="218">
        <v>44579.0</v>
      </c>
      <c r="F21" s="219">
        <f>ifs($B21="","",$B21, VLOOKUP($B21&amp;$E21, 'VISIT DATA'!A:O,3,0))</f>
        <v>0.4479166667</v>
      </c>
      <c r="G21" s="220" t="s">
        <v>6328</v>
      </c>
      <c r="H21" s="221" t="s">
        <v>12</v>
      </c>
      <c r="I21" s="222" t="str">
        <f>VLOOKUP($B21&amp;$E21,'VISIT DATA'!A:J, 9, FALSE)</f>
        <v>LOPEZ</v>
      </c>
      <c r="J21" s="223" t="str">
        <f>VLOOKUP(B21&amp;E21,'VISIT DATA'!A:N,10,FALSE)</f>
        <v>BCBSTX HMO</v>
      </c>
      <c r="K21" s="224" t="s">
        <v>6242</v>
      </c>
      <c r="L21" s="224"/>
      <c r="M21" s="224"/>
      <c r="N21" s="225"/>
      <c r="O21" s="216" t="str">
        <f t="shared" si="1"/>
        <v>✓</v>
      </c>
      <c r="P21" s="226" t="str">
        <f t="shared" si="2"/>
        <v>#VALUE!</v>
      </c>
      <c r="Q21" s="227" t="str">
        <f t="shared" si="3"/>
        <v>#VALUE!</v>
      </c>
      <c r="R21" s="228" t="str">
        <f t="shared" si="4"/>
        <v>#VALUE!</v>
      </c>
      <c r="S21" s="220" t="str">
        <f t="shared" si="5"/>
        <v>#VALUE!</v>
      </c>
      <c r="T21" s="220" t="str">
        <f t="shared" si="6"/>
        <v>#VALUE!</v>
      </c>
      <c r="U21" s="221">
        <f t="shared" si="7"/>
        <v>0</v>
      </c>
      <c r="V21" s="229" t="str">
        <f>ifs($N21="",VLOOKUP($B21&amp;$E21,'VISIT DATA'!$A$2:$J97,7,FALSE), $N21="SWAB","OUTSA-RW",$N21="SWQU","OUTSA-SaQu", AND($L21="X",$M21="X",$N21="QUEST"),"OUT-UAQPre",$N21="QUEST","OUT-UAQ", $N21="Walk in","ColUATele")</f>
        <v>UA-NWPT</v>
      </c>
      <c r="W21" s="24" t="str">
        <f t="shared" si="8"/>
        <v>UA-NWPT : UA New Patient</v>
      </c>
      <c r="X21" s="222" t="str">
        <f t="shared" si="9"/>
        <v>UA-NWPT : UA New Patient</v>
      </c>
      <c r="Y21" s="222" t="str">
        <f t="shared" si="10"/>
        <v>MATCH</v>
      </c>
      <c r="Z21" s="224" t="str">
        <f t="shared" si="11"/>
        <v> </v>
      </c>
      <c r="AA21" s="244"/>
    </row>
    <row r="22">
      <c r="A22" s="214" t="str">
        <f>IFS($B22=FALSE,"",$B22,VLOOKUP($B22,'PATIENT DATA (072721)'!A:C, 2, 0))</f>
        <v>MCDONALD, MARY J</v>
      </c>
      <c r="B22" s="215">
        <v>11357.0</v>
      </c>
      <c r="C22" s="216" t="str">
        <f>IF(COUNTIF('PATIENT DATA (072721)'!A:A, B22)=0, "X","✓")</f>
        <v>✓</v>
      </c>
      <c r="D22" s="226">
        <f>IFS($B22=FALSE,"",$B22,VLOOKUP($B22,'PATIENT DATA (072721)'!A:C, 3, 0))</f>
        <v>14592</v>
      </c>
      <c r="E22" s="218">
        <v>44579.0</v>
      </c>
      <c r="F22" s="219">
        <f>ifs($B22="","",$B22, VLOOKUP($B22&amp;$E22, 'VISIT DATA'!A:O,3,0))</f>
        <v>0.4375</v>
      </c>
      <c r="G22" s="220" t="s">
        <v>6323</v>
      </c>
      <c r="H22" s="221" t="s">
        <v>14</v>
      </c>
      <c r="I22" s="222" t="str">
        <f>VLOOKUP($B22&amp;$E22,'VISIT DATA'!A:J, 9, FALSE)</f>
        <v>TORRES</v>
      </c>
      <c r="J22" s="223" t="str">
        <f>VLOOKUP(B22&amp;E22,'VISIT DATA'!A:N,10,FALSE)</f>
        <v>MEDICARE TEXAS</v>
      </c>
      <c r="K22" s="225"/>
      <c r="L22" s="224" t="s">
        <v>6242</v>
      </c>
      <c r="M22" s="224"/>
      <c r="N22" s="225"/>
      <c r="O22" s="216" t="str">
        <f t="shared" si="1"/>
        <v>✓</v>
      </c>
      <c r="P22" s="226" t="str">
        <f t="shared" si="2"/>
        <v>#VALUE!</v>
      </c>
      <c r="Q22" s="227" t="str">
        <f t="shared" si="3"/>
        <v>#VALUE!</v>
      </c>
      <c r="R22" s="228" t="str">
        <f t="shared" si="4"/>
        <v>#VALUE!</v>
      </c>
      <c r="S22" s="220" t="str">
        <f t="shared" si="5"/>
        <v>#VALUE!</v>
      </c>
      <c r="T22" s="220" t="str">
        <f t="shared" si="6"/>
        <v>#VALUE!</v>
      </c>
      <c r="U22" s="221">
        <f t="shared" si="7"/>
        <v>0</v>
      </c>
      <c r="V22" s="229" t="str">
        <f>ifs($N22="",VLOOKUP($B22&amp;$E22,'VISIT DATA'!$A$2:$J97,7,FALSE), $N22="SWAB","OUTSA-RW",$N22="SWQU","OUTSA-SaQu", AND($L22="X",$M22="X",$N22="QUEST"),"OUT-UAQPre",$N22="QUEST","OUT-UAQ", $N22="Walk in","ColUATele")</f>
        <v>UA</v>
      </c>
      <c r="W22" s="24" t="str">
        <f t="shared" si="8"/>
        <v>UA : Urine Analysis In House</v>
      </c>
      <c r="X22" s="222" t="str">
        <f t="shared" si="9"/>
        <v>UA : Urine Analysis In House</v>
      </c>
      <c r="Y22" s="222" t="str">
        <f t="shared" si="10"/>
        <v>MATCH</v>
      </c>
      <c r="Z22" s="224" t="str">
        <f t="shared" si="11"/>
        <v> </v>
      </c>
      <c r="AA22" s="244"/>
    </row>
    <row r="23">
      <c r="A23" s="214" t="str">
        <f>IFS($B23=FALSE,"",$B23,VLOOKUP($B23,'PATIENT DATA (072721)'!A:C, 2, 0))</f>
        <v>MARRERO, HECTOR J</v>
      </c>
      <c r="B23" s="215">
        <v>17214.0</v>
      </c>
      <c r="C23" s="216" t="str">
        <f>IF(COUNTIF('PATIENT DATA (072721)'!A:A, B23)=0, "X","✓")</f>
        <v>✓</v>
      </c>
      <c r="D23" s="226">
        <f>IFS($B23=FALSE,"",$B23,VLOOKUP($B23,'PATIENT DATA (072721)'!A:C, 3, 0))</f>
        <v>27931</v>
      </c>
      <c r="E23" s="218">
        <v>44579.0</v>
      </c>
      <c r="F23" s="219">
        <f>ifs($B23="","",$B23, VLOOKUP($B23&amp;$E23, 'VISIT DATA'!A:O,3,0))</f>
        <v>0.4479166667</v>
      </c>
      <c r="G23" s="220" t="s">
        <v>6328</v>
      </c>
      <c r="H23" s="221" t="s">
        <v>12</v>
      </c>
      <c r="I23" s="222" t="str">
        <f>VLOOKUP($B23&amp;$E23,'VISIT DATA'!A:J, 9, FALSE)</f>
        <v>LOPEZ</v>
      </c>
      <c r="J23" s="223" t="str">
        <f>VLOOKUP(B23&amp;E23,'VISIT DATA'!A:N,10,FALSE)</f>
        <v>BCBS CENTENNIAL</v>
      </c>
      <c r="K23" s="224" t="s">
        <v>6242</v>
      </c>
      <c r="L23" s="224"/>
      <c r="M23" s="224"/>
      <c r="N23" s="224"/>
      <c r="O23" s="216" t="str">
        <f t="shared" si="1"/>
        <v>✓</v>
      </c>
      <c r="P23" s="226" t="str">
        <f t="shared" si="2"/>
        <v>#VALUE!</v>
      </c>
      <c r="Q23" s="227" t="str">
        <f t="shared" si="3"/>
        <v>#VALUE!</v>
      </c>
      <c r="R23" s="228" t="str">
        <f t="shared" si="4"/>
        <v>#VALUE!</v>
      </c>
      <c r="S23" s="220" t="str">
        <f t="shared" si="5"/>
        <v>#VALUE!</v>
      </c>
      <c r="T23" s="220" t="str">
        <f t="shared" si="6"/>
        <v>#VALUE!</v>
      </c>
      <c r="U23" s="221">
        <f t="shared" si="7"/>
        <v>0</v>
      </c>
      <c r="V23" s="229" t="str">
        <f>ifs($N23="",VLOOKUP($B23&amp;$E23,'VISIT DATA'!$A$2:$J97,7,FALSE), $N23="SWAB","OUTSA-RW",$N23="SWQU","OUTSA-SaQu", AND($L23="X",$M23="X",$N23="QUEST"),"OUT-UAQPre",$N23="QUEST","OUT-UAQ", $N23="Walk in","ColUATele")</f>
        <v>UA-NWPT</v>
      </c>
      <c r="W23" s="24" t="str">
        <f t="shared" si="8"/>
        <v>UA-NWPT : UA New Patient</v>
      </c>
      <c r="X23" s="222" t="str">
        <f t="shared" si="9"/>
        <v>UA-NWPT : UA New Patient</v>
      </c>
      <c r="Y23" s="222" t="str">
        <f t="shared" si="10"/>
        <v>MATCH</v>
      </c>
      <c r="Z23" s="224" t="str">
        <f t="shared" si="11"/>
        <v> </v>
      </c>
      <c r="AA23" s="245"/>
    </row>
    <row r="24">
      <c r="A24" s="214" t="str">
        <f>IFS($B24=FALSE,"",$B24,VLOOKUP($B24,'PATIENT DATA (072721)'!A:C, 2, 0))</f>
        <v>DOMINGUEZ, LYDIA</v>
      </c>
      <c r="B24" s="215">
        <v>16641.0</v>
      </c>
      <c r="C24" s="216" t="str">
        <f>IF(COUNTIF('PATIENT DATA (072721)'!A:A, B24)=0, "X","✓")</f>
        <v>✓</v>
      </c>
      <c r="D24" s="226">
        <f>IFS($B24=FALSE,"",$B24,VLOOKUP($B24,'PATIENT DATA (072721)'!A:C, 3, 0))</f>
        <v>23406</v>
      </c>
      <c r="E24" s="218">
        <v>44579.0</v>
      </c>
      <c r="F24" s="219">
        <f>ifs($B24="","",$B24, VLOOKUP($B24&amp;$E24, 'VISIT DATA'!A:O,3,0))</f>
        <v>0.4479166667</v>
      </c>
      <c r="G24" s="220" t="s">
        <v>6323</v>
      </c>
      <c r="H24" s="221" t="s">
        <v>12</v>
      </c>
      <c r="I24" s="222" t="str">
        <f>VLOOKUP($B24&amp;$E24,'VISIT DATA'!A:J, 9, FALSE)</f>
        <v>LOPEZ</v>
      </c>
      <c r="J24" s="223" t="str">
        <f>VLOOKUP(B24&amp;E24,'VISIT DATA'!A:N,10,FALSE)</f>
        <v>MOLINA MARKETPLACE TEXAS</v>
      </c>
      <c r="K24" s="225"/>
      <c r="L24" s="224" t="s">
        <v>6242</v>
      </c>
      <c r="M24" s="224"/>
      <c r="N24" s="224"/>
      <c r="O24" s="216" t="str">
        <f t="shared" si="1"/>
        <v>✓</v>
      </c>
      <c r="P24" s="226" t="str">
        <f t="shared" si="2"/>
        <v>#VALUE!</v>
      </c>
      <c r="Q24" s="227" t="str">
        <f t="shared" si="3"/>
        <v>X</v>
      </c>
      <c r="R24" s="228" t="str">
        <f t="shared" si="4"/>
        <v>#VALUE!</v>
      </c>
      <c r="S24" s="220" t="str">
        <f t="shared" si="5"/>
        <v>#VALUE!</v>
      </c>
      <c r="T24" s="220" t="str">
        <f t="shared" si="6"/>
        <v>#VALUE!</v>
      </c>
      <c r="U24" s="221">
        <f t="shared" si="7"/>
        <v>1</v>
      </c>
      <c r="V24" s="229" t="str">
        <f>ifs($N24="",VLOOKUP($B24&amp;$E24,'VISIT DATA'!$A$2:$J97,7,FALSE), $N24="SWAB","OUTSA-RW",$N24="SWQU","OUTSA-SaQu", AND($L24="X",$M24="X",$N24="QUEST"),"OUT-UAQPre",$N24="QUEST","OUT-UAQ", $N24="Walk in","ColUATele")</f>
        <v>OUTUA-FURW</v>
      </c>
      <c r="W24" s="24" t="str">
        <f t="shared" si="8"/>
        <v>OUTUA-FURW : OUT UA FU Redwood</v>
      </c>
      <c r="X24" s="222" t="str">
        <f t="shared" si="9"/>
        <v>OUTUA-FURW : OUT UA FU Redwood</v>
      </c>
      <c r="Y24" s="222" t="str">
        <f t="shared" si="10"/>
        <v>MATCH</v>
      </c>
      <c r="Z24" s="224" t="str">
        <f t="shared" si="11"/>
        <v> </v>
      </c>
      <c r="AA24" s="244"/>
    </row>
    <row r="25">
      <c r="A25" s="214" t="str">
        <f>IFS($B25=FALSE,"",$B25,VLOOKUP($B25,'PATIENT DATA (072721)'!A:C, 2, 0))</f>
        <v>BARNNET, ANGELA M</v>
      </c>
      <c r="B25" s="215">
        <v>17851.0</v>
      </c>
      <c r="C25" s="216" t="str">
        <f>IF(COUNTIF('PATIENT DATA (072721)'!A:A, B25)=0, "X","✓")</f>
        <v>✓</v>
      </c>
      <c r="D25" s="226">
        <f>IFS($B25=FALSE,"",$B25,VLOOKUP($B25,'PATIENT DATA (072721)'!A:C, 3, 0))</f>
        <v>23405</v>
      </c>
      <c r="E25" s="218">
        <v>44579.0</v>
      </c>
      <c r="F25" s="219">
        <f>ifs($B25="","",$B25, VLOOKUP($B25&amp;$E25, 'VISIT DATA'!A:O,3,0))</f>
        <v>0.46875</v>
      </c>
      <c r="G25" s="220" t="s">
        <v>6323</v>
      </c>
      <c r="H25" s="221" t="s">
        <v>12</v>
      </c>
      <c r="I25" s="222" t="str">
        <f>VLOOKUP($B25&amp;$E25,'VISIT DATA'!A:J, 9, FALSE)</f>
        <v>LOPEZ</v>
      </c>
      <c r="J25" s="223" t="str">
        <f>VLOOKUP(B25&amp;E25,'VISIT DATA'!A:N,10,FALSE)</f>
        <v>AMERIVANTAGE DUAL</v>
      </c>
      <c r="K25" s="224" t="s">
        <v>6242</v>
      </c>
      <c r="L25" s="224"/>
      <c r="M25" s="224"/>
      <c r="N25" s="225"/>
      <c r="O25" s="216" t="str">
        <f t="shared" si="1"/>
        <v>✓</v>
      </c>
      <c r="P25" s="226" t="str">
        <f t="shared" si="2"/>
        <v>#VALUE!</v>
      </c>
      <c r="Q25" s="227" t="str">
        <f t="shared" si="3"/>
        <v>#VALUE!</v>
      </c>
      <c r="R25" s="228" t="str">
        <f t="shared" si="4"/>
        <v>#VALUE!</v>
      </c>
      <c r="S25" s="220" t="str">
        <f t="shared" si="5"/>
        <v>#VALUE!</v>
      </c>
      <c r="T25" s="220" t="str">
        <f t="shared" si="6"/>
        <v>#VALUE!</v>
      </c>
      <c r="U25" s="221">
        <f t="shared" si="7"/>
        <v>0</v>
      </c>
      <c r="V25" s="229" t="str">
        <f>ifs($N25="",VLOOKUP($B25&amp;$E25,'VISIT DATA'!$A$2:$J97,7,FALSE), $N25="SWAB","OUTSA-RW",$N25="SWQU","OUTSA-SaQu", AND($L25="X",$M25="X",$N25="QUEST"),"OUT-UAQPre",$N25="QUEST","OUT-UAQ", $N25="Walk in","ColUATele")</f>
        <v>UA-NWPT</v>
      </c>
      <c r="W25" s="24" t="str">
        <f t="shared" si="8"/>
        <v>UA-NWPT : UA New Patient</v>
      </c>
      <c r="X25" s="222" t="str">
        <f t="shared" si="9"/>
        <v>UA-NWPT : UA New Patient</v>
      </c>
      <c r="Y25" s="222" t="str">
        <f t="shared" si="10"/>
        <v>MATCH</v>
      </c>
      <c r="Z25" s="224" t="str">
        <f t="shared" si="11"/>
        <v> </v>
      </c>
      <c r="AA25" s="244"/>
    </row>
    <row r="26">
      <c r="A26" s="214" t="str">
        <f>IFS($B26=FALSE,"",$B26,VLOOKUP($B26,'PATIENT DATA (072721)'!A:C, 2, 0))</f>
        <v>GARCIA, ROSA M</v>
      </c>
      <c r="B26" s="215">
        <v>17896.0</v>
      </c>
      <c r="C26" s="216" t="str">
        <f>IF(COUNTIF('PATIENT DATA (072721)'!A:A, B26)=0, "X","✓")</f>
        <v>✓</v>
      </c>
      <c r="D26" s="226">
        <f>IFS($B26=FALSE,"",$B26,VLOOKUP($B26,'PATIENT DATA (072721)'!A:C, 3, 0))</f>
        <v>19176</v>
      </c>
      <c r="E26" s="218">
        <v>44579.0</v>
      </c>
      <c r="F26" s="219">
        <f>ifs($B26="","",$B26, VLOOKUP($B26&amp;$E26, 'VISIT DATA'!A:O,3,0))</f>
        <v>0.46875</v>
      </c>
      <c r="G26" s="220" t="s">
        <v>6323</v>
      </c>
      <c r="H26" s="221" t="s">
        <v>12</v>
      </c>
      <c r="I26" s="222" t="str">
        <f>VLOOKUP($B26&amp;$E26,'VISIT DATA'!A:J, 9, FALSE)</f>
        <v>LOPEZ</v>
      </c>
      <c r="J26" s="223" t="str">
        <f>VLOOKUP(B26&amp;E26,'VISIT DATA'!A:N,10,FALSE)</f>
        <v>BCBS FEDERAL</v>
      </c>
      <c r="K26" s="224" t="s">
        <v>6242</v>
      </c>
      <c r="L26" s="224"/>
      <c r="M26" s="224"/>
      <c r="N26" s="224"/>
      <c r="O26" s="216" t="str">
        <f t="shared" si="1"/>
        <v>✓</v>
      </c>
      <c r="P26" s="226" t="str">
        <f t="shared" si="2"/>
        <v>#VALUE!</v>
      </c>
      <c r="Q26" s="227" t="str">
        <f t="shared" si="3"/>
        <v>#VALUE!</v>
      </c>
      <c r="R26" s="228" t="str">
        <f t="shared" si="4"/>
        <v>#VALUE!</v>
      </c>
      <c r="S26" s="220" t="str">
        <f t="shared" si="5"/>
        <v>#VALUE!</v>
      </c>
      <c r="T26" s="220" t="str">
        <f t="shared" si="6"/>
        <v>#VALUE!</v>
      </c>
      <c r="U26" s="221">
        <f t="shared" si="7"/>
        <v>0</v>
      </c>
      <c r="V26" s="229" t="str">
        <f>ifs($N26="",VLOOKUP($B26&amp;$E26,'VISIT DATA'!$A$2:$J97,7,FALSE), $N26="SWAB","OUTSA-RW",$N26="SWQU","OUTSA-SaQu", AND($L26="X",$M26="X",$N26="QUEST"),"OUT-UAQPre",$N26="QUEST","OUT-UAQ", $N26="Walk in","ColUATele")</f>
        <v>UA-NWPT</v>
      </c>
      <c r="W26" s="24" t="str">
        <f t="shared" si="8"/>
        <v>UA-NWPT : UA New Patient</v>
      </c>
      <c r="X26" s="222" t="str">
        <f t="shared" si="9"/>
        <v>UA-NWPT : UA New Patient</v>
      </c>
      <c r="Y26" s="222" t="str">
        <f t="shared" si="10"/>
        <v>MATCH</v>
      </c>
      <c r="Z26" s="224" t="str">
        <f t="shared" si="11"/>
        <v> </v>
      </c>
      <c r="AA26" s="245"/>
    </row>
    <row r="27">
      <c r="A27" s="214" t="str">
        <f>IFS($B27=FALSE,"",$B27,VLOOKUP($B27,'PATIENT DATA (072721)'!A:C, 2, 0))</f>
        <v>PAZ, JORGE R</v>
      </c>
      <c r="B27" s="215">
        <v>9945.0</v>
      </c>
      <c r="C27" s="216" t="str">
        <f>IF(COUNTIF('PATIENT DATA (072721)'!A:A, B27)=0, "X","✓")</f>
        <v>✓</v>
      </c>
      <c r="D27" s="226">
        <f>IFS($B27=FALSE,"",$B27,VLOOKUP($B27,'PATIENT DATA (072721)'!A:C, 3, 0))</f>
        <v>21443</v>
      </c>
      <c r="E27" s="218">
        <v>44579.0</v>
      </c>
      <c r="F27" s="219">
        <f>ifs($B27="","",$B27, VLOOKUP($B27&amp;$E27, 'VISIT DATA'!A:O,3,0))</f>
        <v>0.4583333333</v>
      </c>
      <c r="G27" s="220" t="s">
        <v>6328</v>
      </c>
      <c r="H27" s="221" t="s">
        <v>14</v>
      </c>
      <c r="I27" s="222" t="str">
        <f>VLOOKUP($B27&amp;$E27,'VISIT DATA'!A:J, 9, FALSE)</f>
        <v>TORRES</v>
      </c>
      <c r="J27" s="223" t="str">
        <f>VLOOKUP(B27&amp;E27,'VISIT DATA'!A:N,10,FALSE)</f>
        <v>WPS VA - COMMUNITY CARE</v>
      </c>
      <c r="K27" s="224"/>
      <c r="L27" s="224" t="s">
        <v>6242</v>
      </c>
      <c r="M27" s="224" t="s">
        <v>6242</v>
      </c>
      <c r="N27" s="225"/>
      <c r="O27" s="216" t="str">
        <f t="shared" si="1"/>
        <v>✓</v>
      </c>
      <c r="P27" s="226" t="str">
        <f t="shared" si="2"/>
        <v>#VALUE!</v>
      </c>
      <c r="Q27" s="227" t="str">
        <f t="shared" si="3"/>
        <v>#VALUE!</v>
      </c>
      <c r="R27" s="228" t="str">
        <f t="shared" si="4"/>
        <v>#VALUE!</v>
      </c>
      <c r="S27" s="220" t="str">
        <f t="shared" si="5"/>
        <v>#VALUE!</v>
      </c>
      <c r="T27" s="220" t="str">
        <f t="shared" si="6"/>
        <v>#VALUE!</v>
      </c>
      <c r="U27" s="221">
        <f t="shared" si="7"/>
        <v>0</v>
      </c>
      <c r="V27" s="229" t="str">
        <f>ifs($N27="",VLOOKUP($B27&amp;$E27,'VISIT DATA'!$A$2:$J97,7,FALSE), $N27="SWAB","OUTSA-RW",$N27="SWQU","OUTSA-SaQu", AND($L27="X",$M27="X",$N27="QUEST"),"OUT-UAQPre",$N27="QUEST","OUT-UAQ", $N27="Walk in","ColUATele")</f>
        <v>UA-Prelim</v>
      </c>
      <c r="W27" s="24" t="str">
        <f t="shared" si="8"/>
        <v>UA-Prelim : Preliminary UA Test</v>
      </c>
      <c r="X27" s="222" t="str">
        <f t="shared" si="9"/>
        <v>UA-Prelim : Preliminary UA Test</v>
      </c>
      <c r="Y27" s="222" t="str">
        <f t="shared" si="10"/>
        <v>MATCH</v>
      </c>
      <c r="Z27" s="224" t="str">
        <f t="shared" si="11"/>
        <v> </v>
      </c>
      <c r="AA27" s="244"/>
    </row>
    <row r="28">
      <c r="A28" s="214" t="str">
        <f>IFS($B28=FALSE,"",$B28,VLOOKUP($B28,'PATIENT DATA (072721)'!A:C, 2, 0))</f>
        <v>LOPEZ, SERGIO</v>
      </c>
      <c r="B28" s="215">
        <v>9136.0</v>
      </c>
      <c r="C28" s="216" t="str">
        <f>IF(COUNTIF('PATIENT DATA (072721)'!A:A, B28)=0, "X","✓")</f>
        <v>✓</v>
      </c>
      <c r="D28" s="226">
        <f>IFS($B28=FALSE,"",$B28,VLOOKUP($B28,'PATIENT DATA (072721)'!A:C, 3, 0))</f>
        <v>20601</v>
      </c>
      <c r="E28" s="218">
        <v>44579.0</v>
      </c>
      <c r="F28" s="219">
        <f>ifs($B28="","",$B28, VLOOKUP($B28&amp;$E28, 'VISIT DATA'!A:O,3,0))</f>
        <v>0.5416666667</v>
      </c>
      <c r="G28" s="220" t="s">
        <v>6328</v>
      </c>
      <c r="H28" s="221" t="s">
        <v>12</v>
      </c>
      <c r="I28" s="222" t="str">
        <f>VLOOKUP($B28&amp;$E28,'VISIT DATA'!A:J, 9, FALSE)</f>
        <v>TORRES</v>
      </c>
      <c r="J28" s="223" t="str">
        <f>VLOOKUP(B28&amp;E28,'VISIT DATA'!A:N,10,FALSE)</f>
        <v>WELLMED - AARP MEDICARE COMPLETE</v>
      </c>
      <c r="K28" s="224"/>
      <c r="L28" s="224" t="s">
        <v>6242</v>
      </c>
      <c r="M28" s="224"/>
      <c r="N28" s="225"/>
      <c r="O28" s="216" t="str">
        <f t="shared" si="1"/>
        <v>✓</v>
      </c>
      <c r="P28" s="226" t="str">
        <f t="shared" si="2"/>
        <v>X</v>
      </c>
      <c r="Q28" s="227" t="str">
        <f t="shared" si="3"/>
        <v>#VALUE!</v>
      </c>
      <c r="R28" s="228" t="str">
        <f t="shared" si="4"/>
        <v>#VALUE!</v>
      </c>
      <c r="S28" s="220" t="str">
        <f t="shared" si="5"/>
        <v>#VALUE!</v>
      </c>
      <c r="T28" s="220" t="str">
        <f t="shared" si="6"/>
        <v>#VALUE!</v>
      </c>
      <c r="U28" s="221">
        <f t="shared" si="7"/>
        <v>1</v>
      </c>
      <c r="V28" s="229" t="str">
        <f>ifs($N28="",VLOOKUP($B28&amp;$E28,'VISIT DATA'!$A$2:$J97,7,FALSE), $N28="SWAB","OUTSA-RW",$N28="SWQU","OUTSA-SaQu", AND($L28="X",$M28="X",$N28="QUEST"),"OUT-UAQPre",$N28="QUEST","OUT-UAQ", $N28="Walk in","ColUATele")</f>
        <v>OUTUA-FURW</v>
      </c>
      <c r="W28" s="24" t="str">
        <f t="shared" si="8"/>
        <v>OUTUA-FURW : OUT UA FU Redwood</v>
      </c>
      <c r="X28" s="222" t="str">
        <f t="shared" si="9"/>
        <v>OUTUA-FURW : OUT UA FU Redwood</v>
      </c>
      <c r="Y28" s="222" t="str">
        <f t="shared" si="10"/>
        <v>MATCH</v>
      </c>
      <c r="Z28" s="224" t="str">
        <f t="shared" si="11"/>
        <v> </v>
      </c>
      <c r="AA28" s="244"/>
    </row>
    <row r="29">
      <c r="A29" s="214" t="str">
        <f>IFS($B29=FALSE,"",$B29,VLOOKUP($B29,'PATIENT DATA (072721)'!A:C, 2, 0))</f>
        <v>CARTER, BRITTANY</v>
      </c>
      <c r="B29" s="215">
        <v>16002.0</v>
      </c>
      <c r="C29" s="216" t="str">
        <f>IF(COUNTIF('PATIENT DATA (072721)'!A:A, B29)=0, "X","✓")</f>
        <v>✓</v>
      </c>
      <c r="D29" s="226">
        <f>IFS($B29=FALSE,"",$B29,VLOOKUP($B29,'PATIENT DATA (072721)'!A:C, 3, 0))</f>
        <v>33968</v>
      </c>
      <c r="E29" s="218">
        <v>44579.0</v>
      </c>
      <c r="F29" s="219">
        <f>ifs($B29="","",$B29, VLOOKUP($B29&amp;$E29, 'VISIT DATA'!A:O,3,0))</f>
        <v>0.5625</v>
      </c>
      <c r="G29" s="220" t="s">
        <v>6323</v>
      </c>
      <c r="H29" s="221" t="s">
        <v>12</v>
      </c>
      <c r="I29" s="222" t="str">
        <f>VLOOKUP($B29&amp;$E29,'VISIT DATA'!A:J, 9, FALSE)</f>
        <v>TORRES</v>
      </c>
      <c r="J29" s="223" t="str">
        <f>VLOOKUP(B29&amp;E29,'VISIT DATA'!A:N,10,FALSE)</f>
        <v>AETNA</v>
      </c>
      <c r="K29" s="224"/>
      <c r="L29" s="224" t="s">
        <v>6242</v>
      </c>
      <c r="M29" s="224" t="s">
        <v>6242</v>
      </c>
      <c r="N29" s="224"/>
      <c r="O29" s="216" t="str">
        <f t="shared" si="1"/>
        <v>✓</v>
      </c>
      <c r="P29" s="226" t="str">
        <f t="shared" si="2"/>
        <v>#VALUE!</v>
      </c>
      <c r="Q29" s="227" t="str">
        <f t="shared" si="3"/>
        <v>#VALUE!</v>
      </c>
      <c r="R29" s="228" t="str">
        <f t="shared" si="4"/>
        <v>#VALUE!</v>
      </c>
      <c r="S29" s="220" t="str">
        <f t="shared" si="5"/>
        <v>#VALUE!</v>
      </c>
      <c r="T29" s="220" t="str">
        <f t="shared" si="6"/>
        <v>#VALUE!</v>
      </c>
      <c r="U29" s="221">
        <f t="shared" si="7"/>
        <v>0</v>
      </c>
      <c r="V29" s="229" t="str">
        <f>ifs($N29="",VLOOKUP($B29&amp;$E29,'VISIT DATA'!$A$2:$J97,7,FALSE), $N29="SWAB","OUTSA-RW",$N29="SWQU","OUTSA-SaQu", AND($L29="X",$M29="X",$N29="QUEST"),"OUT-UAQPre",$N29="QUEST","OUT-UAQ", $N29="Walk in","ColUATele")</f>
        <v>UA-Prelim</v>
      </c>
      <c r="W29" s="24" t="str">
        <f t="shared" si="8"/>
        <v>UA-Prelim : Preliminary UA Test</v>
      </c>
      <c r="X29" s="222" t="str">
        <f t="shared" si="9"/>
        <v>UA-Prelim : Preliminary UA Test</v>
      </c>
      <c r="Y29" s="222" t="str">
        <f t="shared" si="10"/>
        <v>MATCH</v>
      </c>
      <c r="Z29" s="224" t="str">
        <f t="shared" si="11"/>
        <v> </v>
      </c>
      <c r="AA29" s="245"/>
    </row>
    <row r="30">
      <c r="A30" s="214" t="str">
        <f>IFS($B30=FALSE,"",$B30,VLOOKUP($B30,'PATIENT DATA (072721)'!A:C, 2, 0))</f>
        <v>GREEN, VALERIE A</v>
      </c>
      <c r="B30" s="215">
        <v>17900.0</v>
      </c>
      <c r="C30" s="230" t="str">
        <f>IF(COUNTIF('PATIENT DATA (072721)'!A:A, B30)=0, "X","✓")</f>
        <v>✓</v>
      </c>
      <c r="D30" s="226">
        <f>IFS($B30=FALSE,"",$B30,VLOOKUP($B30,'PATIENT DATA (072721)'!A:C, 3, 0))</f>
        <v>25539</v>
      </c>
      <c r="E30" s="218">
        <v>44579.0</v>
      </c>
      <c r="F30" s="219">
        <f>ifs($B30="","",$B30, VLOOKUP($B30&amp;$E30, 'VISIT DATA'!A:O,3,0))</f>
        <v>0.5416666667</v>
      </c>
      <c r="G30" s="231" t="s">
        <v>6323</v>
      </c>
      <c r="H30" s="221" t="s">
        <v>13</v>
      </c>
      <c r="I30" s="222" t="str">
        <f>VLOOKUP($B30&amp;$E30,'VISIT DATA'!A:J, 9, FALSE)</f>
        <v>LOPEZ</v>
      </c>
      <c r="J30" s="223" t="str">
        <f>VLOOKUP(B30&amp;E30,'VISIT DATA'!A:N,10,FALSE)</f>
        <v>MOLINA MEDICAID TEXAS</v>
      </c>
      <c r="K30" s="224" t="s">
        <v>6242</v>
      </c>
      <c r="L30" s="224"/>
      <c r="M30" s="224"/>
      <c r="N30" s="225"/>
      <c r="O30" s="216" t="str">
        <f t="shared" si="1"/>
        <v>✓</v>
      </c>
      <c r="P30" s="226" t="str">
        <f t="shared" si="2"/>
        <v>#VALUE!</v>
      </c>
      <c r="Q30" s="227" t="str">
        <f t="shared" si="3"/>
        <v>X</v>
      </c>
      <c r="R30" s="228" t="str">
        <f t="shared" si="4"/>
        <v>#VALUE!</v>
      </c>
      <c r="S30" s="220" t="str">
        <f t="shared" si="5"/>
        <v>#VALUE!</v>
      </c>
      <c r="T30" s="220" t="str">
        <f t="shared" si="6"/>
        <v>#VALUE!</v>
      </c>
      <c r="U30" s="221">
        <f t="shared" si="7"/>
        <v>1</v>
      </c>
      <c r="V30" s="229" t="str">
        <f>ifs($N30="",VLOOKUP($B30&amp;$E30,'VISIT DATA'!$A$2:$J97,7,FALSE), $N30="SWAB","OUTSA-RW",$N30="SWQU","OUTSA-SaQu", AND($L30="X",$M30="X",$N30="QUEST"),"OUT-UAQPre",$N30="QUEST","OUT-UAQ", $N30="Walk in","ColUATele")</f>
        <v>OUTUA-NWRW</v>
      </c>
      <c r="W30" s="24" t="str">
        <f t="shared" si="8"/>
        <v>OUTUA-NWRW : OUT UA New Redwood</v>
      </c>
      <c r="X30" s="222" t="str">
        <f t="shared" si="9"/>
        <v>OUTUA-NWRW : OUT UA New Redwood</v>
      </c>
      <c r="Y30" s="222" t="str">
        <f t="shared" si="10"/>
        <v>MATCH</v>
      </c>
      <c r="Z30" s="224" t="str">
        <f t="shared" si="11"/>
        <v> </v>
      </c>
      <c r="AA30" s="244"/>
    </row>
    <row r="31">
      <c r="A31" s="214" t="str">
        <f>IFS($B31=FALSE,"",$B31,VLOOKUP($B31,'PATIENT DATA (072721)'!A:C, 2, 0))</f>
        <v>WILLIAMS, MARTHA M</v>
      </c>
      <c r="B31" s="215">
        <v>17886.0</v>
      </c>
      <c r="C31" s="230" t="str">
        <f>IF(COUNTIF('PATIENT DATA (072721)'!A:A, B31)=0, "X","✓")</f>
        <v>✓</v>
      </c>
      <c r="D31" s="226">
        <f>IFS($B31=FALSE,"",$B31,VLOOKUP($B31,'PATIENT DATA (072721)'!A:C, 3, 0))</f>
        <v>20387</v>
      </c>
      <c r="E31" s="218">
        <v>44579.0</v>
      </c>
      <c r="F31" s="219">
        <f>ifs($B31="","",$B31, VLOOKUP($B31&amp;$E31, 'VISIT DATA'!A:O,3,0))</f>
        <v>0.5416666667</v>
      </c>
      <c r="G31" s="231" t="s">
        <v>6323</v>
      </c>
      <c r="H31" s="221" t="s">
        <v>13</v>
      </c>
      <c r="I31" s="222" t="str">
        <f>VLOOKUP($B31&amp;$E31,'VISIT DATA'!A:J, 9, FALSE)</f>
        <v>LOPEZ</v>
      </c>
      <c r="J31" s="223" t="str">
        <f>VLOOKUP(B31&amp;E31,'VISIT DATA'!A:N,10,FALSE)</f>
        <v>WELLMED - UHC DUAL COMPLETE SNP</v>
      </c>
      <c r="K31" s="224" t="s">
        <v>6242</v>
      </c>
      <c r="L31" s="224"/>
      <c r="M31" s="224"/>
      <c r="N31" s="225"/>
      <c r="O31" s="216" t="str">
        <f t="shared" si="1"/>
        <v>✓</v>
      </c>
      <c r="P31" s="226" t="str">
        <f t="shared" si="2"/>
        <v>X</v>
      </c>
      <c r="Q31" s="227" t="str">
        <f t="shared" si="3"/>
        <v>#VALUE!</v>
      </c>
      <c r="R31" s="228" t="str">
        <f t="shared" si="4"/>
        <v>#VALUE!</v>
      </c>
      <c r="S31" s="220" t="str">
        <f t="shared" si="5"/>
        <v>#VALUE!</v>
      </c>
      <c r="T31" s="220" t="str">
        <f t="shared" si="6"/>
        <v>#VALUE!</v>
      </c>
      <c r="U31" s="221">
        <f t="shared" si="7"/>
        <v>1</v>
      </c>
      <c r="V31" s="229" t="str">
        <f>ifs($N31="",VLOOKUP($B31&amp;$E31,'VISIT DATA'!$A$2:$J97,7,FALSE), $N31="SWAB","OUTSA-RW",$N31="SWQU","OUTSA-SaQu", AND($L31="X",$M31="X",$N31="QUEST"),"OUT-UAQPre",$N31="QUEST","OUT-UAQ", $N31="Walk in","ColUATele")</f>
        <v>OUTUA-NWRW</v>
      </c>
      <c r="W31" s="24" t="str">
        <f t="shared" si="8"/>
        <v>OUTUA-NWRW : OUT UA New Redwood</v>
      </c>
      <c r="X31" s="222" t="str">
        <f t="shared" si="9"/>
        <v>OUTUA-NWRW : OUT UA New Redwood</v>
      </c>
      <c r="Y31" s="222" t="str">
        <f t="shared" si="10"/>
        <v>MATCH</v>
      </c>
      <c r="Z31" s="224" t="str">
        <f t="shared" si="11"/>
        <v> </v>
      </c>
      <c r="AA31" s="244"/>
    </row>
    <row r="32">
      <c r="A32" s="214" t="str">
        <f>IFS($B32=FALSE,"",$B32,VLOOKUP($B32,'PATIENT DATA (072721)'!A:C, 2, 0))</f>
        <v>AMAYA, JUAN</v>
      </c>
      <c r="B32" s="215">
        <v>17572.0</v>
      </c>
      <c r="C32" s="230" t="str">
        <f>IF(COUNTIF('PATIENT DATA (072721)'!A:A, B32)=0, "X","✓")</f>
        <v>✓</v>
      </c>
      <c r="D32" s="226">
        <f>IFS($B32=FALSE,"",$B32,VLOOKUP($B32,'PATIENT DATA (072721)'!A:C, 3, 0))</f>
        <v>16338</v>
      </c>
      <c r="E32" s="218">
        <v>44579.0</v>
      </c>
      <c r="F32" s="219">
        <f>ifs($B32="","",$B32, VLOOKUP($B32&amp;$E32, 'VISIT DATA'!A:O,3,0))</f>
        <v>0.5625</v>
      </c>
      <c r="G32" s="231" t="s">
        <v>6328</v>
      </c>
      <c r="H32" s="221" t="s">
        <v>13</v>
      </c>
      <c r="I32" s="222" t="str">
        <f>VLOOKUP($B32&amp;$E32,'VISIT DATA'!A:J, 9, FALSE)</f>
        <v>LOPEZ</v>
      </c>
      <c r="J32" s="223" t="str">
        <f>VLOOKUP(B32&amp;E32,'VISIT DATA'!A:N,10,FALSE)</f>
        <v>AETNA MEDICARE ADVANTAGE</v>
      </c>
      <c r="K32" s="224" t="s">
        <v>6242</v>
      </c>
      <c r="L32" s="224"/>
      <c r="M32" s="224"/>
      <c r="N32" s="225"/>
      <c r="O32" s="216" t="str">
        <f t="shared" si="1"/>
        <v>✓</v>
      </c>
      <c r="P32" s="226" t="str">
        <f t="shared" si="2"/>
        <v>#VALUE!</v>
      </c>
      <c r="Q32" s="227" t="str">
        <f t="shared" si="3"/>
        <v>#VALUE!</v>
      </c>
      <c r="R32" s="228" t="str">
        <f t="shared" si="4"/>
        <v>#VALUE!</v>
      </c>
      <c r="S32" s="220" t="str">
        <f t="shared" si="5"/>
        <v>#VALUE!</v>
      </c>
      <c r="T32" s="220" t="str">
        <f t="shared" si="6"/>
        <v>#VALUE!</v>
      </c>
      <c r="U32" s="221">
        <f t="shared" si="7"/>
        <v>0</v>
      </c>
      <c r="V32" s="229" t="str">
        <f>ifs($N32="",VLOOKUP($B32&amp;$E32,'VISIT DATA'!$A$2:$J97,7,FALSE), $N32="SWAB","OUTSA-RW",$N32="SWQU","OUTSA-SaQu", AND($L32="X",$M32="X",$N32="QUEST"),"OUT-UAQPre",$N32="QUEST","OUT-UAQ", $N32="Walk in","ColUATele")</f>
        <v>UA-NWPT</v>
      </c>
      <c r="W32" s="24" t="str">
        <f t="shared" si="8"/>
        <v>UA-NWPT : UA New Patient</v>
      </c>
      <c r="X32" s="222" t="str">
        <f t="shared" si="9"/>
        <v>UA-NWPT : UA New Patient</v>
      </c>
      <c r="Y32" s="222" t="str">
        <f t="shared" si="10"/>
        <v>MATCH</v>
      </c>
      <c r="Z32" s="224" t="str">
        <f t="shared" si="11"/>
        <v> </v>
      </c>
      <c r="AA32" s="244"/>
    </row>
    <row r="33">
      <c r="A33" s="214" t="str">
        <f>IFS($B33=FALSE,"",$B33,VLOOKUP($B33,'PATIENT DATA (072721)'!A:C, 2, 0))</f>
        <v>BARTKOWIAK, BRENNA L</v>
      </c>
      <c r="B33" s="215">
        <v>9165.0</v>
      </c>
      <c r="C33" s="230" t="str">
        <f>IF(COUNTIF('PATIENT DATA (072721)'!A:A, B33)=0, "X","✓")</f>
        <v>✓</v>
      </c>
      <c r="D33" s="226">
        <f>IFS($B33=FALSE,"",$B33,VLOOKUP($B33,'PATIENT DATA (072721)'!A:C, 3, 0))</f>
        <v>29909</v>
      </c>
      <c r="E33" s="218">
        <v>44579.0</v>
      </c>
      <c r="F33" s="219">
        <f>ifs($B33="","",$B33, VLOOKUP($B33&amp;$E33, 'VISIT DATA'!A:O,3,0))</f>
        <v>0.5833333333</v>
      </c>
      <c r="G33" s="231" t="s">
        <v>6323</v>
      </c>
      <c r="H33" s="221" t="s">
        <v>15</v>
      </c>
      <c r="I33" s="222" t="str">
        <f>VLOOKUP($B33&amp;$E33,'VISIT DATA'!A:J, 9, FALSE)</f>
        <v>TORRES</v>
      </c>
      <c r="J33" s="223" t="str">
        <f>VLOOKUP(B33&amp;E33,'VISIT DATA'!A:N,10,FALSE)</f>
        <v>MEDICARE TEXAS</v>
      </c>
      <c r="K33" s="225"/>
      <c r="L33" s="224" t="s">
        <v>6242</v>
      </c>
      <c r="M33" s="224"/>
      <c r="N33" s="225"/>
      <c r="O33" s="216" t="str">
        <f t="shared" si="1"/>
        <v>✓</v>
      </c>
      <c r="P33" s="226" t="str">
        <f t="shared" si="2"/>
        <v>#VALUE!</v>
      </c>
      <c r="Q33" s="227" t="str">
        <f t="shared" si="3"/>
        <v>#VALUE!</v>
      </c>
      <c r="R33" s="228" t="str">
        <f t="shared" si="4"/>
        <v>#VALUE!</v>
      </c>
      <c r="S33" s="220" t="str">
        <f t="shared" si="5"/>
        <v>#VALUE!</v>
      </c>
      <c r="T33" s="220" t="str">
        <f t="shared" si="6"/>
        <v>#VALUE!</v>
      </c>
      <c r="U33" s="221">
        <f t="shared" si="7"/>
        <v>0</v>
      </c>
      <c r="V33" s="229" t="str">
        <f>ifs($N33="",VLOOKUP($B33&amp;$E33,'VISIT DATA'!$A$2:$J97,7,FALSE), $N33="SWAB","OUTSA-RW",$N33="SWQU","OUTSA-SaQu", AND($L33="X",$M33="X",$N33="QUEST"),"OUT-UAQPre",$N33="QUEST","OUT-UAQ", $N33="Walk in","ColUATele")</f>
        <v>UA</v>
      </c>
      <c r="W33" s="24" t="str">
        <f t="shared" si="8"/>
        <v>UA : Urine Analysis In House</v>
      </c>
      <c r="X33" s="222" t="str">
        <f t="shared" si="9"/>
        <v>UA : Urine Analysis In House</v>
      </c>
      <c r="Y33" s="222" t="str">
        <f t="shared" si="10"/>
        <v>MATCH</v>
      </c>
      <c r="Z33" s="224" t="str">
        <f t="shared" si="11"/>
        <v> </v>
      </c>
      <c r="AA33" s="244"/>
    </row>
    <row r="34">
      <c r="A34" s="214" t="str">
        <f>IFS($B34=FALSE,"",$B34,VLOOKUP($B34,'PATIENT DATA (072721)'!A:C, 2, 0))</f>
        <v>PETERS, MARIA I</v>
      </c>
      <c r="B34" s="215">
        <v>15817.0</v>
      </c>
      <c r="C34" s="230" t="str">
        <f>IF(COUNTIF('PATIENT DATA (072721)'!A:A, B34)=0, "X","✓")</f>
        <v>✓</v>
      </c>
      <c r="D34" s="226">
        <f>IFS($B34=FALSE,"",$B34,VLOOKUP($B34,'PATIENT DATA (072721)'!A:C, 3, 0))</f>
        <v>31161</v>
      </c>
      <c r="E34" s="218">
        <v>44579.0</v>
      </c>
      <c r="F34" s="219">
        <f>ifs($B34="","",$B34, VLOOKUP($B34&amp;$E34, 'VISIT DATA'!A:O,3,0))</f>
        <v>0.5729166667</v>
      </c>
      <c r="G34" s="231" t="s">
        <v>6323</v>
      </c>
      <c r="H34" s="221" t="s">
        <v>15</v>
      </c>
      <c r="I34" s="222" t="str">
        <f>VLOOKUP($B34&amp;$E34,'VISIT DATA'!A:J, 9, FALSE)</f>
        <v>TORRES</v>
      </c>
      <c r="J34" s="223" t="str">
        <f>VLOOKUP(B34&amp;E34,'VISIT DATA'!A:N,10,FALSE)</f>
        <v>MOLINA MEDICAID TEXAS</v>
      </c>
      <c r="K34" s="225"/>
      <c r="L34" s="224" t="s">
        <v>6242</v>
      </c>
      <c r="M34" s="224"/>
      <c r="N34" s="225"/>
      <c r="O34" s="216" t="str">
        <f t="shared" si="1"/>
        <v>✓</v>
      </c>
      <c r="P34" s="226" t="str">
        <f t="shared" si="2"/>
        <v>#VALUE!</v>
      </c>
      <c r="Q34" s="227" t="str">
        <f t="shared" si="3"/>
        <v>X</v>
      </c>
      <c r="R34" s="228" t="str">
        <f t="shared" si="4"/>
        <v>#VALUE!</v>
      </c>
      <c r="S34" s="220" t="str">
        <f t="shared" si="5"/>
        <v>#VALUE!</v>
      </c>
      <c r="T34" s="220" t="str">
        <f t="shared" si="6"/>
        <v>#VALUE!</v>
      </c>
      <c r="U34" s="221">
        <f t="shared" si="7"/>
        <v>1</v>
      </c>
      <c r="V34" s="229" t="str">
        <f>ifs($N34="",VLOOKUP($B34&amp;$E34,'VISIT DATA'!$A$2:$J97,7,FALSE), $N34="SWAB","OUTSA-RW",$N34="SWQU","OUTSA-SaQu", AND($L34="X",$M34="X",$N34="QUEST"),"OUT-UAQPre",$N34="QUEST","OUT-UAQ", $N34="Walk in","ColUATele")</f>
        <v>OUTUA-FURW</v>
      </c>
      <c r="W34" s="24" t="str">
        <f t="shared" si="8"/>
        <v>OUTUA-FURW : OUT UA FU Redwood</v>
      </c>
      <c r="X34" s="222" t="str">
        <f t="shared" si="9"/>
        <v>OUTUA-FURW : OUT UA FU Redwood</v>
      </c>
      <c r="Y34" s="222" t="str">
        <f t="shared" si="10"/>
        <v>MATCH</v>
      </c>
      <c r="Z34" s="224" t="str">
        <f t="shared" si="11"/>
        <v> </v>
      </c>
      <c r="AA34" s="244"/>
    </row>
    <row r="35">
      <c r="A35" s="214" t="str">
        <f>IFS($B35=FALSE,"",$B35,VLOOKUP($B35,'PATIENT DATA (072721)'!A:C, 2, 0))</f>
        <v>KIMSEY, TOMMIE L</v>
      </c>
      <c r="B35" s="215">
        <v>9169.0</v>
      </c>
      <c r="C35" s="230" t="str">
        <f>IF(COUNTIF('PATIENT DATA (072721)'!A:A, B35)=0, "X","✓")</f>
        <v>✓</v>
      </c>
      <c r="D35" s="226">
        <f>IFS($B35=FALSE,"",$B35,VLOOKUP($B35,'PATIENT DATA (072721)'!A:C, 3, 0))</f>
        <v>16745</v>
      </c>
      <c r="E35" s="218">
        <v>44579.0</v>
      </c>
      <c r="F35" s="219">
        <f>ifs($B35="","",$B35, VLOOKUP($B35&amp;$E35, 'VISIT DATA'!A:O,3,0))</f>
        <v>0.5833333333</v>
      </c>
      <c r="G35" s="231" t="s">
        <v>6323</v>
      </c>
      <c r="H35" s="221" t="s">
        <v>15</v>
      </c>
      <c r="I35" s="222" t="str">
        <f>VLOOKUP($B35&amp;$E35,'VISIT DATA'!A:J, 9, FALSE)</f>
        <v>TORRES</v>
      </c>
      <c r="J35" s="223" t="str">
        <f>VLOOKUP(B35&amp;E35,'VISIT DATA'!A:N,10,FALSE)</f>
        <v>MEDICARE TEXAS</v>
      </c>
      <c r="K35" s="224"/>
      <c r="L35" s="224" t="s">
        <v>6242</v>
      </c>
      <c r="M35" s="224"/>
      <c r="N35" s="224" t="s">
        <v>6343</v>
      </c>
      <c r="O35" s="216" t="str">
        <f t="shared" si="1"/>
        <v>✓</v>
      </c>
      <c r="P35" s="226" t="str">
        <f t="shared" si="2"/>
        <v>#VALUE!</v>
      </c>
      <c r="Q35" s="227" t="str">
        <f t="shared" si="3"/>
        <v>#VALUE!</v>
      </c>
      <c r="R35" s="228" t="str">
        <f t="shared" si="4"/>
        <v>#VALUE!</v>
      </c>
      <c r="S35" s="220" t="str">
        <f t="shared" si="5"/>
        <v>#VALUE!</v>
      </c>
      <c r="T35" s="220" t="str">
        <f t="shared" si="6"/>
        <v>#VALUE!</v>
      </c>
      <c r="U35" s="221">
        <f t="shared" si="7"/>
        <v>0</v>
      </c>
      <c r="V35" s="229" t="str">
        <f>ifs($N35="",VLOOKUP($B35&amp;$E35,'VISIT DATA'!$A$2:$J97,7,FALSE), $N35="SWAB","OUTSA-RW",$N35="SWQU","OUTSA-SaQu", AND($L35="X",$M35="X",$N35="QUEST"),"OUT-UAQPre",$N35="QUEST","OUT-UAQ", $N35="Walk in","ColUATele")</f>
        <v>OUTSA-RW</v>
      </c>
      <c r="W35" s="24" t="str">
        <f t="shared" si="8"/>
        <v>OUTSA-RW : OUT Saliva Redwood</v>
      </c>
      <c r="X35" s="222" t="str">
        <f t="shared" si="9"/>
        <v>OUTSA-RW : OUT Saliva Redwood</v>
      </c>
      <c r="Y35" s="222" t="str">
        <f t="shared" si="10"/>
        <v>MATCH</v>
      </c>
      <c r="Z35" s="224" t="str">
        <f t="shared" si="11"/>
        <v> </v>
      </c>
      <c r="AA35" s="244"/>
    </row>
    <row r="36">
      <c r="A36" s="214" t="str">
        <f>IFS($B36=FALSE,"",$B36,VLOOKUP($B36,'PATIENT DATA (072721)'!A:C, 2, 0))</f>
        <v>ALVAREZ, SERGIO I</v>
      </c>
      <c r="B36" s="215">
        <v>17127.0</v>
      </c>
      <c r="C36" s="230" t="str">
        <f>IF(COUNTIF('PATIENT DATA (072721)'!A:A, B36)=0, "X","✓")</f>
        <v>✓</v>
      </c>
      <c r="D36" s="226">
        <f>IFS($B36=FALSE,"",$B36,VLOOKUP($B36,'PATIENT DATA (072721)'!A:C, 3, 0))</f>
        <v>20178</v>
      </c>
      <c r="E36" s="218">
        <v>44579.0</v>
      </c>
      <c r="F36" s="219">
        <f>ifs($B36="","",$B36, VLOOKUP($B36&amp;$E36, 'VISIT DATA'!A:O,3,0))</f>
        <v>0.59375</v>
      </c>
      <c r="G36" s="231" t="s">
        <v>6328</v>
      </c>
      <c r="H36" s="221" t="s">
        <v>15</v>
      </c>
      <c r="I36" s="222" t="str">
        <f>VLOOKUP($B36&amp;$E36,'VISIT DATA'!A:J, 9, FALSE)</f>
        <v>TORRES</v>
      </c>
      <c r="J36" s="223" t="str">
        <f>VLOOKUP(B36&amp;E36,'VISIT DATA'!A:N,10,FALSE)</f>
        <v>UNITED HEALTHCARE - HEALTH SELECT</v>
      </c>
      <c r="K36" s="225"/>
      <c r="L36" s="224" t="s">
        <v>6242</v>
      </c>
      <c r="M36" s="224"/>
      <c r="N36" s="225"/>
      <c r="O36" s="216" t="str">
        <f t="shared" si="1"/>
        <v>✓</v>
      </c>
      <c r="P36" s="226" t="str">
        <f t="shared" si="2"/>
        <v>#VALUE!</v>
      </c>
      <c r="Q36" s="227" t="str">
        <f t="shared" si="3"/>
        <v>#VALUE!</v>
      </c>
      <c r="R36" s="228" t="str">
        <f t="shared" si="4"/>
        <v>#VALUE!</v>
      </c>
      <c r="S36" s="220" t="str">
        <f t="shared" si="5"/>
        <v>#VALUE!</v>
      </c>
      <c r="T36" s="220" t="str">
        <f t="shared" si="6"/>
        <v>#VALUE!</v>
      </c>
      <c r="U36" s="221">
        <f t="shared" si="7"/>
        <v>0</v>
      </c>
      <c r="V36" s="229" t="str">
        <f>ifs($N36="",VLOOKUP($B36&amp;$E36,'VISIT DATA'!$A$2:$J97,7,FALSE), $N36="SWAB","OUTSA-RW",$N36="SWQU","OUTSA-SaQu", AND($L36="X",$M36="X",$N36="QUEST"),"OUT-UAQPre",$N36="QUEST","OUT-UAQ", $N36="Walk in","ColUATele")</f>
        <v>UA</v>
      </c>
      <c r="W36" s="24" t="str">
        <f t="shared" si="8"/>
        <v>UA : Urine Analysis In House</v>
      </c>
      <c r="X36" s="222" t="str">
        <f t="shared" si="9"/>
        <v>UA : Urine Analysis In House</v>
      </c>
      <c r="Y36" s="222" t="str">
        <f t="shared" si="10"/>
        <v>MATCH</v>
      </c>
      <c r="Z36" s="224" t="str">
        <f t="shared" si="11"/>
        <v> </v>
      </c>
      <c r="AA36" s="244"/>
    </row>
    <row r="37">
      <c r="A37" s="214" t="str">
        <f>IFS($B37=FALSE,"",$B37,VLOOKUP($B37,'PATIENT DATA (072721)'!A:C, 2, 0))</f>
        <v>HASKETT, JESSICA</v>
      </c>
      <c r="B37" s="215">
        <v>16156.0</v>
      </c>
      <c r="C37" s="230" t="str">
        <f>IF(COUNTIF('PATIENT DATA (072721)'!A:A, B37)=0, "X","✓")</f>
        <v>✓</v>
      </c>
      <c r="D37" s="226">
        <f>IFS($B37=FALSE,"",$B37,VLOOKUP($B37,'PATIENT DATA (072721)'!A:C, 3, 0))</f>
        <v>29705</v>
      </c>
      <c r="E37" s="218">
        <v>44579.0</v>
      </c>
      <c r="F37" s="219">
        <f>ifs($B37="","",$B37, VLOOKUP($B37&amp;$E37, 'VISIT DATA'!A:O,3,0))</f>
        <v>0.6145833333</v>
      </c>
      <c r="G37" s="231" t="s">
        <v>6323</v>
      </c>
      <c r="H37" s="221" t="s">
        <v>15</v>
      </c>
      <c r="I37" s="222" t="str">
        <f>VLOOKUP($B37&amp;$E37,'VISIT DATA'!A:J, 9, FALSE)</f>
        <v>TORRES</v>
      </c>
      <c r="J37" s="223" t="str">
        <f>VLOOKUP(B37&amp;E37,'VISIT DATA'!A:N,10,FALSE)</f>
        <v>AMERIGROUP</v>
      </c>
      <c r="K37" s="225"/>
      <c r="L37" s="224" t="s">
        <v>6242</v>
      </c>
      <c r="M37" s="224"/>
      <c r="N37" s="225"/>
      <c r="O37" s="216" t="str">
        <f t="shared" si="1"/>
        <v>✓</v>
      </c>
      <c r="P37" s="226" t="str">
        <f t="shared" si="2"/>
        <v>#VALUE!</v>
      </c>
      <c r="Q37" s="227" t="str">
        <f t="shared" si="3"/>
        <v>#VALUE!</v>
      </c>
      <c r="R37" s="228" t="str">
        <f t="shared" si="4"/>
        <v>#VALUE!</v>
      </c>
      <c r="S37" s="220" t="str">
        <f t="shared" si="5"/>
        <v>#VALUE!</v>
      </c>
      <c r="T37" s="220" t="str">
        <f t="shared" si="6"/>
        <v>#VALUE!</v>
      </c>
      <c r="U37" s="221">
        <f t="shared" si="7"/>
        <v>0</v>
      </c>
      <c r="V37" s="229" t="str">
        <f>ifs($N37="",VLOOKUP($B37&amp;$E37,'VISIT DATA'!$A$2:$J97,7,FALSE), $N37="SWAB","OUTSA-RW",$N37="SWQU","OUTSA-SaQu", AND($L37="X",$M37="X",$N37="QUEST"),"OUT-UAQPre",$N37="QUEST","OUT-UAQ", $N37="Walk in","ColUATele")</f>
        <v>UA</v>
      </c>
      <c r="W37" s="24" t="str">
        <f t="shared" si="8"/>
        <v>UA : Urine Analysis In House</v>
      </c>
      <c r="X37" s="222" t="str">
        <f t="shared" si="9"/>
        <v>UA : Urine Analysis In House</v>
      </c>
      <c r="Y37" s="222" t="str">
        <f t="shared" si="10"/>
        <v>MATCH</v>
      </c>
      <c r="Z37" s="224" t="str">
        <f t="shared" si="11"/>
        <v> </v>
      </c>
      <c r="AA37" s="244"/>
    </row>
    <row r="38">
      <c r="A38" s="214" t="str">
        <f>IFS($B38=FALSE,"",$B38,VLOOKUP($B38,'PATIENT DATA (072721)'!A:C, 2, 0))</f>
        <v>STILWELL, HAROLD W</v>
      </c>
      <c r="B38" s="215">
        <v>15753.0</v>
      </c>
      <c r="C38" s="230" t="str">
        <f>IF(COUNTIF('PATIENT DATA (072721)'!A:A, B38)=0, "X","✓")</f>
        <v>✓</v>
      </c>
      <c r="D38" s="226">
        <f>IFS($B38=FALSE,"",$B38,VLOOKUP($B38,'PATIENT DATA (072721)'!A:C, 3, 0))</f>
        <v>17733</v>
      </c>
      <c r="E38" s="218">
        <v>44579.0</v>
      </c>
      <c r="F38" s="219">
        <f>ifs($B38="","",$B38, VLOOKUP($B38&amp;$E38, 'VISIT DATA'!A:O,3,0))</f>
        <v>0.6041666667</v>
      </c>
      <c r="G38" s="231" t="s">
        <v>6328</v>
      </c>
      <c r="H38" s="221" t="s">
        <v>15</v>
      </c>
      <c r="I38" s="222" t="str">
        <f>VLOOKUP($B38&amp;$E38,'VISIT DATA'!A:J, 9, FALSE)</f>
        <v>TORRES</v>
      </c>
      <c r="J38" s="223" t="str">
        <f>VLOOKUP(B38&amp;E38,'VISIT DATA'!A:N,10,FALSE)</f>
        <v>WPS VA - COMMUNITY CARE</v>
      </c>
      <c r="K38" s="225"/>
      <c r="L38" s="224" t="s">
        <v>6242</v>
      </c>
      <c r="M38" s="224"/>
      <c r="N38" s="225"/>
      <c r="O38" s="216" t="str">
        <f t="shared" si="1"/>
        <v>✓</v>
      </c>
      <c r="P38" s="226" t="str">
        <f t="shared" si="2"/>
        <v>#VALUE!</v>
      </c>
      <c r="Q38" s="227" t="str">
        <f t="shared" si="3"/>
        <v>#VALUE!</v>
      </c>
      <c r="R38" s="228" t="str">
        <f t="shared" si="4"/>
        <v>#VALUE!</v>
      </c>
      <c r="S38" s="220" t="str">
        <f t="shared" si="5"/>
        <v>#VALUE!</v>
      </c>
      <c r="T38" s="220" t="str">
        <f t="shared" si="6"/>
        <v>#VALUE!</v>
      </c>
      <c r="U38" s="221">
        <f t="shared" si="7"/>
        <v>0</v>
      </c>
      <c r="V38" s="229" t="str">
        <f>ifs($N38="",VLOOKUP($B38&amp;$E38,'VISIT DATA'!$A$2:$J97,7,FALSE), $N38="SWAB","OUTSA-RW",$N38="SWQU","OUTSA-SaQu", AND($L38="X",$M38="X",$N38="QUEST"),"OUT-UAQPre",$N38="QUEST","OUT-UAQ", $N38="Walk in","ColUATele")</f>
        <v>UA</v>
      </c>
      <c r="W38" s="24" t="str">
        <f t="shared" si="8"/>
        <v>UA : Urine Analysis In House</v>
      </c>
      <c r="X38" s="222" t="str">
        <f t="shared" si="9"/>
        <v>UA : Urine Analysis In House</v>
      </c>
      <c r="Y38" s="222" t="str">
        <f t="shared" si="10"/>
        <v>MATCH</v>
      </c>
      <c r="Z38" s="224" t="str">
        <f t="shared" si="11"/>
        <v> </v>
      </c>
      <c r="AA38" s="244"/>
    </row>
    <row r="39">
      <c r="A39" s="214" t="str">
        <f>IFS($B39=FALSE,"",$B39,VLOOKUP($B39,'PATIENT DATA (072721)'!A:C, 2, 0))</f>
        <v>BARCELEAU, MARIA C</v>
      </c>
      <c r="B39" s="215">
        <v>17666.0</v>
      </c>
      <c r="C39" s="216" t="str">
        <f>IF(COUNTIF('PATIENT DATA (072721)'!A:A, B39)=0, "X","✓")</f>
        <v>✓</v>
      </c>
      <c r="D39" s="226">
        <f>IFS($B39=FALSE,"",$B39,VLOOKUP($B39,'PATIENT DATA (072721)'!A:C, 3, 0))</f>
        <v>15904</v>
      </c>
      <c r="E39" s="218">
        <v>44579.0</v>
      </c>
      <c r="F39" s="219">
        <f>ifs($B39="","",$B39, VLOOKUP($B39&amp;$E39, 'VISIT DATA'!A:O,3,0))</f>
        <v>0.5625</v>
      </c>
      <c r="G39" s="220" t="s">
        <v>6323</v>
      </c>
      <c r="H39" s="221" t="s">
        <v>13</v>
      </c>
      <c r="I39" s="222" t="str">
        <f>VLOOKUP($B39&amp;$E39,'VISIT DATA'!A:J, 9, FALSE)</f>
        <v>THOMAS</v>
      </c>
      <c r="J39" s="223" t="str">
        <f>VLOOKUP(B39&amp;E39,'VISIT DATA'!A:N,10,FALSE)</f>
        <v>WELLMED - UHC DUAL COMPLETE SNP</v>
      </c>
      <c r="K39" s="225"/>
      <c r="L39" s="224" t="s">
        <v>6242</v>
      </c>
      <c r="M39" s="224"/>
      <c r="N39" s="225"/>
      <c r="O39" s="216" t="str">
        <f t="shared" si="1"/>
        <v>✓</v>
      </c>
      <c r="P39" s="226" t="str">
        <f t="shared" si="2"/>
        <v>X</v>
      </c>
      <c r="Q39" s="227" t="str">
        <f t="shared" si="3"/>
        <v>#VALUE!</v>
      </c>
      <c r="R39" s="228" t="str">
        <f t="shared" si="4"/>
        <v>#VALUE!</v>
      </c>
      <c r="S39" s="220" t="str">
        <f t="shared" si="5"/>
        <v>#VALUE!</v>
      </c>
      <c r="T39" s="220" t="str">
        <f t="shared" si="6"/>
        <v>#VALUE!</v>
      </c>
      <c r="U39" s="221">
        <f t="shared" si="7"/>
        <v>1</v>
      </c>
      <c r="V39" s="229" t="str">
        <f>ifs($N39="",VLOOKUP($B39&amp;$E39,'VISIT DATA'!$A$2:$J97,7,FALSE), $N39="SWAB","OUTSA-RW",$N39="SWQU","OUTSA-SaQu", AND($L39="X",$M39="X",$N39="QUEST"),"OUT-UAQPre",$N39="QUEST","OUT-UAQ", $N39="Walk in","ColUATele")</f>
        <v>OUTUA-FURW</v>
      </c>
      <c r="W39" s="24" t="str">
        <f t="shared" si="8"/>
        <v>OUTUA-FURW : OUT UA FU Redwood</v>
      </c>
      <c r="X39" s="222" t="str">
        <f t="shared" si="9"/>
        <v>OUTUA-FURW : OUT UA FU Redwood</v>
      </c>
      <c r="Y39" s="222" t="str">
        <f t="shared" si="10"/>
        <v>MATCH</v>
      </c>
      <c r="Z39" s="224" t="str">
        <f t="shared" si="11"/>
        <v> </v>
      </c>
      <c r="AA39" s="244"/>
    </row>
    <row r="40">
      <c r="A40" s="214" t="str">
        <f>IFS($B40=FALSE,"",$B40,VLOOKUP($B40,'PATIENT DATA (072721)'!A:C, 2, 0))</f>
        <v>GOMEZ, MARCELO</v>
      </c>
      <c r="B40" s="215">
        <v>15894.0</v>
      </c>
      <c r="C40" s="216" t="str">
        <f>IF(COUNTIF('PATIENT DATA (072721)'!A:A, B40)=0, "X","✓")</f>
        <v>✓</v>
      </c>
      <c r="D40" s="226">
        <f>IFS($B40=FALSE,"",$B40,VLOOKUP($B40,'PATIENT DATA (072721)'!A:C, 3, 0))</f>
        <v>18114</v>
      </c>
      <c r="E40" s="218">
        <v>44579.0</v>
      </c>
      <c r="F40" s="219">
        <f>ifs($B40="","",$B40, VLOOKUP($B40&amp;$E40, 'VISIT DATA'!A:O,3,0))</f>
        <v>0.5729166667</v>
      </c>
      <c r="G40" s="220" t="s">
        <v>6328</v>
      </c>
      <c r="H40" s="221" t="s">
        <v>13</v>
      </c>
      <c r="I40" s="222" t="str">
        <f>VLOOKUP($B40&amp;$E40,'VISIT DATA'!A:J, 9, FALSE)</f>
        <v>THOMAS</v>
      </c>
      <c r="J40" s="223" t="str">
        <f>VLOOKUP(B40&amp;E40,'VISIT DATA'!A:N,10,FALSE)</f>
        <v>WELLMED - UHC DUAL COMPLETE SNP</v>
      </c>
      <c r="K40" s="225"/>
      <c r="L40" s="224" t="s">
        <v>6242</v>
      </c>
      <c r="M40" s="224" t="s">
        <v>6242</v>
      </c>
      <c r="N40" s="225"/>
      <c r="O40" s="216" t="str">
        <f t="shared" si="1"/>
        <v>✓</v>
      </c>
      <c r="P40" s="226" t="str">
        <f t="shared" si="2"/>
        <v>X</v>
      </c>
      <c r="Q40" s="227" t="str">
        <f t="shared" si="3"/>
        <v>#VALUE!</v>
      </c>
      <c r="R40" s="228" t="str">
        <f t="shared" si="4"/>
        <v>#VALUE!</v>
      </c>
      <c r="S40" s="220" t="str">
        <f t="shared" si="5"/>
        <v>#VALUE!</v>
      </c>
      <c r="T40" s="220" t="str">
        <f t="shared" si="6"/>
        <v>#VALUE!</v>
      </c>
      <c r="U40" s="221">
        <f t="shared" si="7"/>
        <v>1</v>
      </c>
      <c r="V40" s="229" t="str">
        <f>ifs($N40="",VLOOKUP($B40&amp;$E40,'VISIT DATA'!$A$2:$J97,7,FALSE), $N40="SWAB","OUTSA-RW",$N40="SWQU","OUTSA-SaQu", AND($L40="X",$M40="X",$N40="QUEST"),"OUT-UAQPre",$N40="QUEST","OUT-UAQ", $N40="Walk in","ColUATele")</f>
        <v>OUTUA-PrRW</v>
      </c>
      <c r="W40" s="24" t="str">
        <f t="shared" si="8"/>
        <v>OUTUA-PrRW : OUT UA Prelimin Redwood</v>
      </c>
      <c r="X40" s="222" t="str">
        <f t="shared" si="9"/>
        <v>OUTUA-PrRW : OUT UA Prelimin Redwood</v>
      </c>
      <c r="Y40" s="222" t="str">
        <f t="shared" si="10"/>
        <v>MATCH</v>
      </c>
      <c r="Z40" s="224" t="str">
        <f t="shared" si="11"/>
        <v> </v>
      </c>
      <c r="AA40" s="244"/>
    </row>
    <row r="41">
      <c r="A41" s="214" t="str">
        <f>IFS($B41=FALSE,"",$B41,VLOOKUP($B41,'PATIENT DATA (072721)'!A:C, 2, 0))</f>
        <v>TELLES, ERNESTO</v>
      </c>
      <c r="B41" s="215">
        <v>11093.0</v>
      </c>
      <c r="C41" s="216" t="str">
        <f>IF(COUNTIF('PATIENT DATA (072721)'!A:A, B41)=0, "X","✓")</f>
        <v>✓</v>
      </c>
      <c r="D41" s="226">
        <f>IFS($B41=FALSE,"",$B41,VLOOKUP($B41,'PATIENT DATA (072721)'!A:C, 3, 0))</f>
        <v>22696</v>
      </c>
      <c r="E41" s="218">
        <v>44579.0</v>
      </c>
      <c r="F41" s="219">
        <f>ifs($B41="","",$B41, VLOOKUP($B41&amp;$E41, 'VISIT DATA'!A:O,3,0))</f>
        <v>0.5729166667</v>
      </c>
      <c r="G41" s="220" t="s">
        <v>6328</v>
      </c>
      <c r="H41" s="221" t="s">
        <v>13</v>
      </c>
      <c r="I41" s="222" t="str">
        <f>VLOOKUP($B41&amp;$E41,'VISIT DATA'!A:J, 9, FALSE)</f>
        <v>THOMAS</v>
      </c>
      <c r="J41" s="223" t="str">
        <f>VLOOKUP(B41&amp;E41,'VISIT DATA'!A:N,10,FALSE)</f>
        <v>WELLMED - UHC DUAL COMPLETE HMO SNP</v>
      </c>
      <c r="K41" s="224"/>
      <c r="L41" s="224" t="s">
        <v>6242</v>
      </c>
      <c r="M41" s="224" t="s">
        <v>6242</v>
      </c>
      <c r="N41" s="225"/>
      <c r="O41" s="216" t="str">
        <f t="shared" si="1"/>
        <v>✓</v>
      </c>
      <c r="P41" s="226" t="str">
        <f t="shared" si="2"/>
        <v>X</v>
      </c>
      <c r="Q41" s="227" t="str">
        <f t="shared" si="3"/>
        <v>#VALUE!</v>
      </c>
      <c r="R41" s="228" t="str">
        <f t="shared" si="4"/>
        <v>#VALUE!</v>
      </c>
      <c r="S41" s="220" t="str">
        <f t="shared" si="5"/>
        <v>#VALUE!</v>
      </c>
      <c r="T41" s="220" t="str">
        <f t="shared" si="6"/>
        <v>#VALUE!</v>
      </c>
      <c r="U41" s="221">
        <f t="shared" si="7"/>
        <v>1</v>
      </c>
      <c r="V41" s="229" t="str">
        <f>ifs($N41="",VLOOKUP($B41&amp;$E41,'VISIT DATA'!$A$2:$J97,7,FALSE), $N41="SWAB","OUTSA-RW",$N41="SWQU","OUTSA-SaQu", AND($L41="X",$M41="X",$N41="QUEST"),"OUT-UAQPre",$N41="QUEST","OUT-UAQ", $N41="Walk in","ColUATele")</f>
        <v>OUTUA-PrRW</v>
      </c>
      <c r="W41" s="24" t="str">
        <f t="shared" si="8"/>
        <v>OUTUA-PrRW : OUT UA Prelimin Redwood</v>
      </c>
      <c r="X41" s="222" t="str">
        <f t="shared" si="9"/>
        <v>OUTUA-PrRW : OUT UA Prelimin Redwood</v>
      </c>
      <c r="Y41" s="222" t="str">
        <f t="shared" si="10"/>
        <v>MATCH</v>
      </c>
      <c r="Z41" s="224" t="str">
        <f t="shared" si="11"/>
        <v> </v>
      </c>
      <c r="AA41" s="244"/>
    </row>
    <row r="42">
      <c r="A42" s="214" t="str">
        <f>IFS($B42=FALSE,"",$B42,VLOOKUP($B42,'PATIENT DATA (072721)'!A:C, 2, 0))</f>
        <v>AVILA, CECILIA E</v>
      </c>
      <c r="B42" s="215">
        <v>17735.0</v>
      </c>
      <c r="C42" s="216" t="str">
        <f>IF(COUNTIF('PATIENT DATA (072721)'!A:A, B42)=0, "X","✓")</f>
        <v>✓</v>
      </c>
      <c r="D42" s="226">
        <f>IFS($B42=FALSE,"",$B42,VLOOKUP($B42,'PATIENT DATA (072721)'!A:C, 3, 0))</f>
        <v>21655</v>
      </c>
      <c r="E42" s="218">
        <v>44579.0</v>
      </c>
      <c r="F42" s="219">
        <f>ifs($B42="","",$B42, VLOOKUP($B42&amp;$E42, 'VISIT DATA'!A:O,3,0))</f>
        <v>0.59375</v>
      </c>
      <c r="G42" s="220" t="s">
        <v>6323</v>
      </c>
      <c r="H42" s="221" t="s">
        <v>13</v>
      </c>
      <c r="I42" s="222" t="str">
        <f>VLOOKUP($B42&amp;$E42,'VISIT DATA'!A:J, 9, FALSE)</f>
        <v>LOPEZ</v>
      </c>
      <c r="J42" s="223" t="str">
        <f>VLOOKUP(B42&amp;E42,'VISIT DATA'!A:N,10,FALSE)</f>
        <v>WELLMED - UHC DUAL COMPLETE SNP</v>
      </c>
      <c r="K42" s="224" t="s">
        <v>6242</v>
      </c>
      <c r="L42" s="224"/>
      <c r="M42" s="224"/>
      <c r="N42" s="225"/>
      <c r="O42" s="216" t="str">
        <f t="shared" si="1"/>
        <v>✓</v>
      </c>
      <c r="P42" s="226" t="str">
        <f t="shared" si="2"/>
        <v>X</v>
      </c>
      <c r="Q42" s="227" t="str">
        <f t="shared" si="3"/>
        <v>#VALUE!</v>
      </c>
      <c r="R42" s="228" t="str">
        <f t="shared" si="4"/>
        <v>#VALUE!</v>
      </c>
      <c r="S42" s="220" t="str">
        <f t="shared" si="5"/>
        <v>#VALUE!</v>
      </c>
      <c r="T42" s="220" t="str">
        <f t="shared" si="6"/>
        <v>#VALUE!</v>
      </c>
      <c r="U42" s="221">
        <f t="shared" si="7"/>
        <v>1</v>
      </c>
      <c r="V42" s="229" t="str">
        <f>ifs($N42="",VLOOKUP($B42&amp;$E42,'VISIT DATA'!$A$2:$J97,7,FALSE), $N42="SWAB","OUTSA-RW",$N42="SWQU","OUTSA-SaQu", AND($L42="X",$M42="X",$N42="QUEST"),"OUT-UAQPre",$N42="QUEST","OUT-UAQ", $N42="Walk in","ColUATele")</f>
        <v>OUTUA-NWRW</v>
      </c>
      <c r="W42" s="24" t="str">
        <f t="shared" si="8"/>
        <v>OUTUA-NWRW : OUT UA New Redwood</v>
      </c>
      <c r="X42" s="222" t="str">
        <f t="shared" si="9"/>
        <v>OUTUA-NWRW : OUT UA New Redwood</v>
      </c>
      <c r="Y42" s="222" t="str">
        <f t="shared" si="10"/>
        <v>MATCH</v>
      </c>
      <c r="Z42" s="224" t="str">
        <f t="shared" si="11"/>
        <v> </v>
      </c>
      <c r="AA42" s="244"/>
    </row>
    <row r="43">
      <c r="A43" s="214" t="str">
        <f>IFS($B43=FALSE,"",$B43,VLOOKUP($B43,'PATIENT DATA (072721)'!A:C, 2, 0))</f>
        <v>JAMES, CAROLYN D</v>
      </c>
      <c r="B43" s="215">
        <v>17751.0</v>
      </c>
      <c r="C43" s="216" t="str">
        <f>IF(COUNTIF('PATIENT DATA (072721)'!A:A, B43)=0, "X","✓")</f>
        <v>✓</v>
      </c>
      <c r="D43" s="226">
        <f>IFS($B43=FALSE,"",$B43,VLOOKUP($B43,'PATIENT DATA (072721)'!A:C, 3, 0))</f>
        <v>23030</v>
      </c>
      <c r="E43" s="218">
        <v>44579.0</v>
      </c>
      <c r="F43" s="219">
        <f>ifs($B43="","",$B43, VLOOKUP($B43&amp;$E43, 'VISIT DATA'!A:O,3,0))</f>
        <v>0.59375</v>
      </c>
      <c r="G43" s="220" t="s">
        <v>6323</v>
      </c>
      <c r="H43" s="221" t="s">
        <v>13</v>
      </c>
      <c r="I43" s="222" t="str">
        <f>VLOOKUP($B43&amp;$E43,'VISIT DATA'!A:J, 9, FALSE)</f>
        <v>LOPEZ</v>
      </c>
      <c r="J43" s="223" t="str">
        <f>VLOOKUP(B43&amp;E43,'VISIT DATA'!A:N,10,FALSE)</f>
        <v>EL PASO VA</v>
      </c>
      <c r="K43" s="224" t="s">
        <v>6242</v>
      </c>
      <c r="L43" s="224"/>
      <c r="M43" s="224"/>
      <c r="N43" s="225"/>
      <c r="O43" s="216" t="str">
        <f t="shared" si="1"/>
        <v>✓</v>
      </c>
      <c r="P43" s="226" t="str">
        <f t="shared" si="2"/>
        <v>#VALUE!</v>
      </c>
      <c r="Q43" s="227" t="str">
        <f t="shared" si="3"/>
        <v>#VALUE!</v>
      </c>
      <c r="R43" s="228" t="str">
        <f t="shared" si="4"/>
        <v>#VALUE!</v>
      </c>
      <c r="S43" s="220" t="str">
        <f t="shared" si="5"/>
        <v>#VALUE!</v>
      </c>
      <c r="T43" s="220" t="str">
        <f t="shared" si="6"/>
        <v>#VALUE!</v>
      </c>
      <c r="U43" s="221">
        <f t="shared" si="7"/>
        <v>0</v>
      </c>
      <c r="V43" s="229" t="str">
        <f>ifs($N43="",VLOOKUP($B43&amp;$E43,'VISIT DATA'!$A$2:$J97,7,FALSE), $N43="SWAB","OUTSA-RW",$N43="SWQU","OUTSA-SaQu", AND($L43="X",$M43="X",$N43="QUEST"),"OUT-UAQPre",$N43="QUEST","OUT-UAQ", $N43="Walk in","ColUATele")</f>
        <v>UA-NWPT</v>
      </c>
      <c r="W43" s="24" t="str">
        <f t="shared" si="8"/>
        <v>UA-NWPT : UA New Patient</v>
      </c>
      <c r="X43" s="222" t="str">
        <f t="shared" si="9"/>
        <v>UA-NWPT : UA New Patient</v>
      </c>
      <c r="Y43" s="222" t="str">
        <f t="shared" si="10"/>
        <v>MATCH</v>
      </c>
      <c r="Z43" s="224" t="str">
        <f t="shared" si="11"/>
        <v> </v>
      </c>
      <c r="AA43" s="244"/>
    </row>
    <row r="44">
      <c r="A44" s="214" t="str">
        <f>IFS($B44=FALSE,"",$B44,VLOOKUP($B44,'PATIENT DATA (072721)'!A:C, 2, 0))</f>
        <v>RIVERA, LORRAINE</v>
      </c>
      <c r="B44" s="215">
        <v>10898.0</v>
      </c>
      <c r="C44" s="230" t="str">
        <f>IF(COUNTIF('PATIENT DATA (072721)'!A:A, B44)=0, "X","✓")</f>
        <v>✓</v>
      </c>
      <c r="D44" s="226">
        <f>IFS($B44=FALSE,"",$B44,VLOOKUP($B44,'PATIENT DATA (072721)'!A:C, 3, 0))</f>
        <v>21418</v>
      </c>
      <c r="E44" s="218">
        <v>44579.0</v>
      </c>
      <c r="F44" s="219">
        <f>ifs($B44="","",$B44, VLOOKUP($B44&amp;$E44, 'VISIT DATA'!A:O,3,0))</f>
        <v>0.59375</v>
      </c>
      <c r="G44" s="220" t="s">
        <v>6323</v>
      </c>
      <c r="H44" s="221" t="s">
        <v>13</v>
      </c>
      <c r="I44" s="222" t="str">
        <f>VLOOKUP($B44&amp;$E44,'VISIT DATA'!A:J, 9, FALSE)</f>
        <v>LOPEZ</v>
      </c>
      <c r="J44" s="223" t="str">
        <f>VLOOKUP(B44&amp;E44,'VISIT DATA'!A:N,10,FALSE)</f>
        <v>MOLINA MEDICAID TEXAS</v>
      </c>
      <c r="K44" s="225"/>
      <c r="L44" s="224" t="s">
        <v>6242</v>
      </c>
      <c r="M44" s="224"/>
      <c r="N44" s="225"/>
      <c r="O44" s="216" t="str">
        <f t="shared" si="1"/>
        <v>✓</v>
      </c>
      <c r="P44" s="226" t="str">
        <f t="shared" si="2"/>
        <v>#VALUE!</v>
      </c>
      <c r="Q44" s="227" t="str">
        <f t="shared" si="3"/>
        <v>X</v>
      </c>
      <c r="R44" s="228" t="str">
        <f t="shared" si="4"/>
        <v>#VALUE!</v>
      </c>
      <c r="S44" s="220" t="str">
        <f t="shared" si="5"/>
        <v>#VALUE!</v>
      </c>
      <c r="T44" s="220" t="str">
        <f t="shared" si="6"/>
        <v>#VALUE!</v>
      </c>
      <c r="U44" s="221">
        <f t="shared" si="7"/>
        <v>1</v>
      </c>
      <c r="V44" s="229" t="str">
        <f>ifs($N44="",VLOOKUP($B44&amp;$E44,'VISIT DATA'!$A$2:$J97,7,FALSE), $N44="SWAB","OUTSA-RW",$N44="SWQU","OUTSA-SaQu", AND($L44="X",$M44="X",$N44="QUEST"),"OUT-UAQPre",$N44="QUEST","OUT-UAQ", $N44="Walk in","ColUATele")</f>
        <v>OUTUA-FURW</v>
      </c>
      <c r="W44" s="24" t="str">
        <f t="shared" si="8"/>
        <v>OUTUA-FURW : OUT UA FU Redwood</v>
      </c>
      <c r="X44" s="222" t="str">
        <f t="shared" si="9"/>
        <v>OUTUA-FURW : OUT UA FU Redwood</v>
      </c>
      <c r="Y44" s="222" t="str">
        <f t="shared" si="10"/>
        <v>MATCH</v>
      </c>
      <c r="Z44" s="224" t="str">
        <f t="shared" si="11"/>
        <v> </v>
      </c>
      <c r="AA44" s="244"/>
    </row>
    <row r="45">
      <c r="A45" s="214" t="str">
        <f>IFS($B45=FALSE,"",$B45,VLOOKUP($B45,'PATIENT DATA (072721)'!A:C, 2, 0))</f>
        <v>SOTO, MARIA E</v>
      </c>
      <c r="B45" s="215">
        <v>16502.0</v>
      </c>
      <c r="C45" s="230" t="str">
        <f>IF(COUNTIF('PATIENT DATA (072721)'!A:A, B45)=0, "X","✓")</f>
        <v>✓</v>
      </c>
      <c r="D45" s="226">
        <f>IFS($B45=FALSE,"",$B45,VLOOKUP($B45,'PATIENT DATA (072721)'!A:C, 3, 0))</f>
        <v>28281</v>
      </c>
      <c r="E45" s="218">
        <v>44579.0</v>
      </c>
      <c r="F45" s="219">
        <f>ifs($B45="","",$B45, VLOOKUP($B45&amp;$E45, 'VISIT DATA'!A:O,3,0))</f>
        <v>0.6354166667</v>
      </c>
      <c r="G45" s="220" t="s">
        <v>6323</v>
      </c>
      <c r="H45" s="221" t="s">
        <v>15</v>
      </c>
      <c r="I45" s="222" t="str">
        <f>VLOOKUP($B45&amp;$E45,'VISIT DATA'!A:J, 9, FALSE)</f>
        <v>TORRES</v>
      </c>
      <c r="J45" s="223" t="str">
        <f>VLOOKUP(B45&amp;E45,'VISIT DATA'!A:N,10,FALSE)</f>
        <v>EL PASO HEALTH PLAN</v>
      </c>
      <c r="K45" s="225"/>
      <c r="L45" s="224" t="s">
        <v>6242</v>
      </c>
      <c r="M45" s="224"/>
      <c r="N45" s="224"/>
      <c r="O45" s="216" t="str">
        <f t="shared" si="1"/>
        <v>✓</v>
      </c>
      <c r="P45" s="226" t="str">
        <f t="shared" si="2"/>
        <v>#VALUE!</v>
      </c>
      <c r="Q45" s="227" t="str">
        <f t="shared" si="3"/>
        <v>#VALUE!</v>
      </c>
      <c r="R45" s="228" t="str">
        <f t="shared" si="4"/>
        <v>#VALUE!</v>
      </c>
      <c r="S45" s="220" t="str">
        <f t="shared" si="5"/>
        <v>#VALUE!</v>
      </c>
      <c r="T45" s="220" t="str">
        <f t="shared" si="6"/>
        <v>#VALUE!</v>
      </c>
      <c r="U45" s="221">
        <f t="shared" si="7"/>
        <v>0</v>
      </c>
      <c r="V45" s="229" t="str">
        <f>ifs($N45="",VLOOKUP($B45&amp;$E45,'VISIT DATA'!$A$2:$J97,7,FALSE), $N45="SWAB","OUTSA-RW",$N45="SWQU","OUTSA-SaQu", AND($L45="X",$M45="X",$N45="QUEST"),"OUT-UAQPre",$N45="QUEST","OUT-UAQ", $N45="Walk in","ColUATele")</f>
        <v>UA</v>
      </c>
      <c r="W45" s="24" t="str">
        <f t="shared" si="8"/>
        <v>UA : Urine Analysis In House</v>
      </c>
      <c r="X45" s="222" t="str">
        <f t="shared" si="9"/>
        <v>UA : Urine Analysis In House</v>
      </c>
      <c r="Y45" s="222" t="str">
        <f t="shared" si="10"/>
        <v>MATCH</v>
      </c>
      <c r="Z45" s="224" t="str">
        <f t="shared" si="11"/>
        <v> </v>
      </c>
      <c r="AA45" s="244"/>
    </row>
    <row r="46">
      <c r="A46" s="214" t="str">
        <f>IFS($B46=FALSE,"",$B46,VLOOKUP($B46,'PATIENT DATA (072721)'!A:C, 2, 0))</f>
        <v>CADENA, JESUS E</v>
      </c>
      <c r="B46" s="215">
        <v>14690.0</v>
      </c>
      <c r="C46" s="247" t="str">
        <f>IF(COUNTIF('PATIENT DATA (072721)'!A:A, B46)=0, "X","✓")</f>
        <v>✓</v>
      </c>
      <c r="D46" s="226">
        <f>IFS($B46=FALSE,"",$B46,VLOOKUP($B46,'PATIENT DATA (072721)'!A:C, 3, 0))</f>
        <v>23183</v>
      </c>
      <c r="E46" s="218">
        <v>44579.0</v>
      </c>
      <c r="F46" s="219"/>
      <c r="G46" s="220" t="s">
        <v>6328</v>
      </c>
      <c r="H46" s="221" t="s">
        <v>13</v>
      </c>
      <c r="I46" s="222" t="str">
        <f>VLOOKUP($B46&amp;$E46,'VISIT DATA'!A:J, 9, FALSE)</f>
        <v>LOPEZ</v>
      </c>
      <c r="J46" s="223" t="str">
        <f>VLOOKUP(B46&amp;E46,'VISIT DATA'!A:N,10,FALSE)</f>
        <v>WELLMED - AARP MEDICARE COMPLETE</v>
      </c>
      <c r="K46" s="225"/>
      <c r="L46" s="224" t="s">
        <v>6242</v>
      </c>
      <c r="M46" s="224" t="s">
        <v>6242</v>
      </c>
      <c r="N46" s="225"/>
      <c r="O46" s="247" t="str">
        <f t="shared" si="1"/>
        <v>✓</v>
      </c>
      <c r="P46" s="226" t="str">
        <f t="shared" si="2"/>
        <v>X</v>
      </c>
      <c r="Q46" s="227" t="str">
        <f t="shared" si="3"/>
        <v>#VALUE!</v>
      </c>
      <c r="R46" s="228" t="str">
        <f t="shared" si="4"/>
        <v>#VALUE!</v>
      </c>
      <c r="S46" s="220" t="str">
        <f t="shared" si="5"/>
        <v>#VALUE!</v>
      </c>
      <c r="T46" s="220" t="str">
        <f t="shared" si="6"/>
        <v>#VALUE!</v>
      </c>
      <c r="U46" s="221">
        <f t="shared" si="7"/>
        <v>1</v>
      </c>
      <c r="V46" s="229" t="str">
        <f>ifs($N46="",VLOOKUP($B46&amp;$E46,'VISIT DATA'!$A$2:$J97,7,FALSE), $N46="SWAB","OUTSA-RW",$N46="SWQU","OUTSA-SaQu", AND($L46="X",$M46="X",$N46="QUEST"),"OUT-UAQPre",$N46="QUEST","OUT-UAQ", $N46="Walk in","ColUATele")</f>
        <v>OUTUA-PrRW</v>
      </c>
      <c r="W46" s="24" t="str">
        <f t="shared" si="8"/>
        <v>OUTUA-PrRW : OUT UA Prelimin Redwood</v>
      </c>
      <c r="X46" s="222" t="str">
        <f t="shared" si="9"/>
        <v>OUTUA-PrRW : OUT UA Prelimin Redwood</v>
      </c>
      <c r="Y46" s="222" t="str">
        <f t="shared" si="10"/>
        <v>MATCH</v>
      </c>
      <c r="Z46" s="224" t="str">
        <f t="shared" si="11"/>
        <v> </v>
      </c>
      <c r="AA46" s="244"/>
    </row>
    <row r="47">
      <c r="A47" s="248" t="str">
        <f>IFS($B47=FALSE,"",$B47,VLOOKUP($B47,'PATIENT DATA (072721)'!A:C, 2, 0))</f>
        <v>BAUGH, ELIZABETH</v>
      </c>
      <c r="B47" s="249">
        <v>17837.0</v>
      </c>
      <c r="C47" s="250" t="str">
        <f>IF(COUNTIF('PATIENT DATA (072721)'!A:A, B47)=0, "X","✓")</f>
        <v>✓</v>
      </c>
      <c r="D47" s="251">
        <f>IFS($B47=FALSE,"",$B47,VLOOKUP($B47,'PATIENT DATA (072721)'!A:C, 3, 0))</f>
        <v>38166</v>
      </c>
      <c r="E47" s="252">
        <v>44579.0</v>
      </c>
      <c r="F47" s="253">
        <f>ifs($B47="","",$B47, VLOOKUP($B47&amp;$E47, 'VISIT DATA'!A:O,3,0))</f>
        <v>0.6145833333</v>
      </c>
      <c r="G47" s="254" t="s">
        <v>6323</v>
      </c>
      <c r="H47" s="255" t="s">
        <v>13</v>
      </c>
      <c r="I47" s="256" t="str">
        <f>VLOOKUP($B47&amp;$E47,'VISIT DATA'!A:J, 9, FALSE)</f>
        <v>LOPEZ</v>
      </c>
      <c r="J47" s="257" t="str">
        <f>VLOOKUP(B47&amp;E47,'VISIT DATA'!A:N,10,FALSE)</f>
        <v>CIGNA</v>
      </c>
      <c r="K47" s="259" t="s">
        <v>6242</v>
      </c>
      <c r="L47" s="259"/>
      <c r="M47" s="259"/>
      <c r="N47" s="258"/>
      <c r="O47" s="260" t="str">
        <f t="shared" si="1"/>
        <v>✓</v>
      </c>
      <c r="P47" s="226" t="str">
        <f t="shared" si="2"/>
        <v>#VALUE!</v>
      </c>
      <c r="Q47" s="227" t="str">
        <f t="shared" si="3"/>
        <v>#VALUE!</v>
      </c>
      <c r="R47" s="228" t="str">
        <f t="shared" si="4"/>
        <v>#VALUE!</v>
      </c>
      <c r="S47" s="220" t="str">
        <f t="shared" si="5"/>
        <v>#VALUE!</v>
      </c>
      <c r="T47" s="220" t="str">
        <f t="shared" si="6"/>
        <v>#VALUE!</v>
      </c>
      <c r="U47" s="221">
        <f t="shared" si="7"/>
        <v>0</v>
      </c>
      <c r="V47" s="261" t="str">
        <f>ifs($N47="",VLOOKUP($B47&amp;$E47,'VISIT DATA'!$A$2:$J97,7,FALSE), $N47="SWAB","OUTSA-RW",$N47="SWQU","OUTSA-SaQu", AND($L47="X",$M47="X",$N47="QUEST"),"OUT-UAQPre",$N47="QUEST","OUT-UAQ", $N47="Walk in","ColUATele")</f>
        <v>UA-NWPT</v>
      </c>
      <c r="W47" s="24" t="str">
        <f t="shared" si="8"/>
        <v>UA-NWPT : UA New Patient</v>
      </c>
      <c r="X47" s="222" t="str">
        <f t="shared" si="9"/>
        <v>UA-NWPT : UA New Patient</v>
      </c>
      <c r="Y47" s="222" t="str">
        <f t="shared" si="10"/>
        <v>MATCH</v>
      </c>
      <c r="Z47" s="224" t="str">
        <f t="shared" si="11"/>
        <v> </v>
      </c>
      <c r="AA47" s="244"/>
    </row>
    <row r="48">
      <c r="A48" s="214" t="str">
        <f>IFS($B48=FALSE,"",$B48,VLOOKUP($B48,'PATIENT DATA (072721)'!A:C, 2, 0))</f>
        <v>CHEW, LUIS ENRIQUE</v>
      </c>
      <c r="B48" s="215">
        <v>17875.0</v>
      </c>
      <c r="C48" s="230" t="str">
        <f>IF(COUNTIF('PATIENT DATA (072721)'!A:A, B48)=0, "X","✓")</f>
        <v>✓</v>
      </c>
      <c r="D48" s="226">
        <f>IFS($B48=FALSE,"",$B48,VLOOKUP($B48,'PATIENT DATA (072721)'!A:C, 3, 0))</f>
        <v>21630</v>
      </c>
      <c r="E48" s="218">
        <v>44579.0</v>
      </c>
      <c r="F48" s="219">
        <f>ifs($B48="","",$B48, VLOOKUP($B48&amp;$E48, 'VISIT DATA'!A:O,3,0))</f>
        <v>0.59375</v>
      </c>
      <c r="G48" s="231" t="s">
        <v>6328</v>
      </c>
      <c r="H48" s="221" t="s">
        <v>12</v>
      </c>
      <c r="I48" s="262" t="str">
        <f>VLOOKUP($B48&amp;$E48,'VISIT DATA'!A:J, 9, FALSE)</f>
        <v>LOPEZ</v>
      </c>
      <c r="J48" s="223" t="str">
        <f>VLOOKUP(B48&amp;E48,'VISIT DATA'!A:N,10,FALSE)</f>
        <v>MOLINA MEDICAID TEXAS</v>
      </c>
      <c r="K48" s="224" t="s">
        <v>6242</v>
      </c>
      <c r="L48" s="224"/>
      <c r="M48" s="224"/>
      <c r="N48" s="225"/>
      <c r="O48" s="216" t="str">
        <f t="shared" si="1"/>
        <v>✓</v>
      </c>
      <c r="P48" s="226" t="str">
        <f t="shared" si="2"/>
        <v>#VALUE!</v>
      </c>
      <c r="Q48" s="227" t="str">
        <f t="shared" si="3"/>
        <v>X</v>
      </c>
      <c r="R48" s="228" t="str">
        <f t="shared" si="4"/>
        <v>#VALUE!</v>
      </c>
      <c r="S48" s="220" t="str">
        <f t="shared" si="5"/>
        <v>#VALUE!</v>
      </c>
      <c r="T48" s="220" t="str">
        <f t="shared" si="6"/>
        <v>#VALUE!</v>
      </c>
      <c r="U48" s="221">
        <f t="shared" si="7"/>
        <v>1</v>
      </c>
      <c r="V48" s="229" t="str">
        <f>ifs($N48="",VLOOKUP($B48&amp;$E48,'VISIT DATA'!$A$2:$J97,7,FALSE), $N48="SWAB","OUTSA-RW",$N48="SWQU","OUTSA-SaQu", AND($L48="X",$M48="X",$N48="QUEST"),"OUT-UAQPre",$N48="QUEST","OUT-UAQ", $N48="Walk in","ColUATele")</f>
        <v>OUTUA-NWRW</v>
      </c>
      <c r="W48" s="24" t="str">
        <f t="shared" si="8"/>
        <v>OUTUA-NWRW : OUT UA New Redwood</v>
      </c>
      <c r="X48" s="222" t="str">
        <f t="shared" si="9"/>
        <v>OUTUA-NWRW : OUT UA New Redwood</v>
      </c>
      <c r="Y48" s="222" t="str">
        <f t="shared" si="10"/>
        <v>MATCH</v>
      </c>
      <c r="Z48" s="224" t="str">
        <f t="shared" si="11"/>
        <v> </v>
      </c>
      <c r="AA48" s="244"/>
    </row>
    <row r="49">
      <c r="A49" s="214" t="str">
        <f>IFS($B49=FALSE,"",$B49,VLOOKUP($B49,'PATIENT DATA (072721)'!A:C, 2, 0))</f>
        <v>RIVAS, SALVADOR</v>
      </c>
      <c r="B49" s="215">
        <v>16513.0</v>
      </c>
      <c r="C49" s="230" t="str">
        <f>IF(COUNTIF('PATIENT DATA (072721)'!A:A, B49)=0, "X","✓")</f>
        <v>✓</v>
      </c>
      <c r="D49" s="226">
        <f>IFS($B49=FALSE,"",$B49,VLOOKUP($B49,'PATIENT DATA (072721)'!A:C, 3, 0))</f>
        <v>17670</v>
      </c>
      <c r="E49" s="218">
        <v>44579.0</v>
      </c>
      <c r="F49" s="219">
        <f>ifs($B49="","",$B49, VLOOKUP($B49&amp;$E49, 'VISIT DATA'!A:O,3,0))</f>
        <v>0.59375</v>
      </c>
      <c r="G49" s="231" t="s">
        <v>6328</v>
      </c>
      <c r="H49" s="221" t="s">
        <v>12</v>
      </c>
      <c r="I49" s="262" t="str">
        <f>VLOOKUP($B49&amp;$E49,'VISIT DATA'!A:J, 9, FALSE)</f>
        <v>THOMAS</v>
      </c>
      <c r="J49" s="223" t="str">
        <f>VLOOKUP(B49&amp;E49,'VISIT DATA'!A:N,10,FALSE)</f>
        <v>WELLMED - UHC DUAL COMPLETE SNP</v>
      </c>
      <c r="K49" s="225"/>
      <c r="L49" s="224" t="s">
        <v>6242</v>
      </c>
      <c r="M49" s="224" t="s">
        <v>6242</v>
      </c>
      <c r="N49" s="225"/>
      <c r="O49" s="216" t="str">
        <f t="shared" si="1"/>
        <v>✓</v>
      </c>
      <c r="P49" s="226" t="str">
        <f t="shared" si="2"/>
        <v>X</v>
      </c>
      <c r="Q49" s="227" t="str">
        <f t="shared" si="3"/>
        <v>#VALUE!</v>
      </c>
      <c r="R49" s="228" t="str">
        <f t="shared" si="4"/>
        <v>#VALUE!</v>
      </c>
      <c r="S49" s="220" t="str">
        <f t="shared" si="5"/>
        <v>#VALUE!</v>
      </c>
      <c r="T49" s="220" t="str">
        <f t="shared" si="6"/>
        <v>#VALUE!</v>
      </c>
      <c r="U49" s="221">
        <f t="shared" si="7"/>
        <v>1</v>
      </c>
      <c r="V49" s="229" t="str">
        <f>ifs($N49="",VLOOKUP($B49&amp;$E49,'VISIT DATA'!$A$2:$J97,7,FALSE), $N49="SWAB","OUTSA-RW",$N49="SWQU","OUTSA-SaQu", AND($L49="X",$M49="X",$N49="QUEST"),"OUT-UAQPre",$N49="QUEST","OUT-UAQ", $N49="Walk in","ColUATele")</f>
        <v>OUTUA-PrRW</v>
      </c>
      <c r="W49" s="24" t="str">
        <f t="shared" si="8"/>
        <v>OUTUA-PrRW : OUT UA Prelimin Redwood</v>
      </c>
      <c r="X49" s="222" t="str">
        <f t="shared" si="9"/>
        <v>OUTUA-PrRW : OUT UA Prelimin Redwood</v>
      </c>
      <c r="Y49" s="222" t="str">
        <f t="shared" si="10"/>
        <v>MATCH</v>
      </c>
      <c r="Z49" s="224" t="str">
        <f t="shared" si="11"/>
        <v> </v>
      </c>
      <c r="AA49" s="244"/>
    </row>
    <row r="50">
      <c r="A50" s="214" t="str">
        <f>IFS($B50=FALSE,"",$B50,VLOOKUP($B50,'PATIENT DATA (072721)'!A:C, 2, 0))</f>
        <v>BRAVO, ANA L</v>
      </c>
      <c r="B50" s="215">
        <v>16420.0</v>
      </c>
      <c r="C50" s="230" t="str">
        <f>IF(COUNTIF('PATIENT DATA (072721)'!A:A, B50)=0, "X","✓")</f>
        <v>✓</v>
      </c>
      <c r="D50" s="226">
        <f>IFS($B50=FALSE,"",$B50,VLOOKUP($B50,'PATIENT DATA (072721)'!A:C, 3, 0))</f>
        <v>24177</v>
      </c>
      <c r="E50" s="218">
        <v>44579.0</v>
      </c>
      <c r="F50" s="219">
        <f>ifs($B50="","",$B50, VLOOKUP($B50&amp;$E50, 'VISIT DATA'!A:O,3,0))</f>
        <v>0.6458333333</v>
      </c>
      <c r="G50" s="231" t="s">
        <v>6323</v>
      </c>
      <c r="H50" s="221" t="s">
        <v>15</v>
      </c>
      <c r="I50" s="262" t="str">
        <f>VLOOKUP($B50&amp;$E50,'VISIT DATA'!A:J, 9, FALSE)</f>
        <v>TORRES</v>
      </c>
      <c r="J50" s="223" t="str">
        <f>VLOOKUP(B50&amp;E50,'VISIT DATA'!A:N,10,FALSE)</f>
        <v>WELLMED - UHC DUAL COMPLETE SNP</v>
      </c>
      <c r="K50" s="224"/>
      <c r="L50" s="224" t="s">
        <v>6242</v>
      </c>
      <c r="M50" s="224" t="s">
        <v>6242</v>
      </c>
      <c r="N50" s="225"/>
      <c r="O50" s="216" t="str">
        <f t="shared" si="1"/>
        <v>✓</v>
      </c>
      <c r="P50" s="226" t="str">
        <f t="shared" si="2"/>
        <v>X</v>
      </c>
      <c r="Q50" s="227" t="str">
        <f t="shared" si="3"/>
        <v>#VALUE!</v>
      </c>
      <c r="R50" s="228" t="str">
        <f t="shared" si="4"/>
        <v>#VALUE!</v>
      </c>
      <c r="S50" s="220" t="str">
        <f t="shared" si="5"/>
        <v>#VALUE!</v>
      </c>
      <c r="T50" s="220" t="str">
        <f t="shared" si="6"/>
        <v>#VALUE!</v>
      </c>
      <c r="U50" s="221">
        <f t="shared" si="7"/>
        <v>1</v>
      </c>
      <c r="V50" s="229" t="str">
        <f>ifs($N50="",VLOOKUP($B50&amp;$E50,'VISIT DATA'!$A$2:$J97,7,FALSE), $N50="SWAB","OUTSA-RW",$N50="SWQU","OUTSA-SaQu", AND($L50="X",$M50="X",$N50="QUEST"),"OUT-UAQPre",$N50="QUEST","OUT-UAQ", $N50="Walk in","ColUATele")</f>
        <v>OUTUA-PrRW</v>
      </c>
      <c r="W50" s="24" t="str">
        <f t="shared" si="8"/>
        <v>OUTUA-PrRW : OUT UA Prelimin Redwood</v>
      </c>
      <c r="X50" s="222" t="str">
        <f t="shared" si="9"/>
        <v>OUTUA-PrRW : OUT UA Prelimin Redwood</v>
      </c>
      <c r="Y50" s="222" t="str">
        <f t="shared" si="10"/>
        <v>MATCH</v>
      </c>
      <c r="Z50" s="224" t="str">
        <f t="shared" si="11"/>
        <v> </v>
      </c>
      <c r="AA50" s="244"/>
    </row>
    <row r="51">
      <c r="A51" s="214" t="str">
        <f>IFS($B51=FALSE,"",$B51,VLOOKUP($B51,'PATIENT DATA (072721)'!A:C, 2, 0))</f>
        <v>HERNANDEZ, CHONG</v>
      </c>
      <c r="B51" s="215">
        <v>10445.0</v>
      </c>
      <c r="C51" s="230" t="str">
        <f>IF(COUNTIF('PATIENT DATA (072721)'!A:A, B51)=0, "X","✓")</f>
        <v>✓</v>
      </c>
      <c r="D51" s="226">
        <f>IFS($B51=FALSE,"",$B51,VLOOKUP($B51,'PATIENT DATA (072721)'!A:C, 3, 0))</f>
        <v>16254</v>
      </c>
      <c r="E51" s="218">
        <v>44579.0</v>
      </c>
      <c r="F51" s="219">
        <f>ifs($B51="","",$B51, VLOOKUP($B51&amp;$E51, 'VISIT DATA'!A:O,3,0))</f>
        <v>0.6354166667</v>
      </c>
      <c r="G51" s="231" t="s">
        <v>6323</v>
      </c>
      <c r="H51" s="221" t="s">
        <v>12</v>
      </c>
      <c r="I51" s="262" t="str">
        <f>VLOOKUP($B51&amp;$E51,'VISIT DATA'!A:J, 9, FALSE)</f>
        <v>LOPEZ</v>
      </c>
      <c r="J51" s="223" t="str">
        <f>VLOOKUP(B51&amp;E51,'VISIT DATA'!A:N,10,FALSE)</f>
        <v>MEDICARE TEXAS</v>
      </c>
      <c r="K51" s="225"/>
      <c r="L51" s="224" t="s">
        <v>6242</v>
      </c>
      <c r="M51" s="224"/>
      <c r="N51" s="225"/>
      <c r="O51" s="216" t="str">
        <f t="shared" si="1"/>
        <v>✓</v>
      </c>
      <c r="P51" s="226" t="str">
        <f t="shared" si="2"/>
        <v>#VALUE!</v>
      </c>
      <c r="Q51" s="227" t="str">
        <f t="shared" si="3"/>
        <v>#VALUE!</v>
      </c>
      <c r="R51" s="228" t="str">
        <f t="shared" si="4"/>
        <v>#VALUE!</v>
      </c>
      <c r="S51" s="220" t="str">
        <f t="shared" si="5"/>
        <v>#VALUE!</v>
      </c>
      <c r="T51" s="220" t="str">
        <f t="shared" si="6"/>
        <v>#VALUE!</v>
      </c>
      <c r="U51" s="221">
        <f t="shared" si="7"/>
        <v>0</v>
      </c>
      <c r="V51" s="229" t="str">
        <f>ifs($N51="",VLOOKUP($B51&amp;$E51,'VISIT DATA'!$A$2:$J97,7,FALSE), $N51="SWAB","OUTSA-RW",$N51="SWQU","OUTSA-SaQu", AND($L51="X",$M51="X",$N51="QUEST"),"OUT-UAQPre",$N51="QUEST","OUT-UAQ", $N51="Walk in","ColUATele")</f>
        <v>UA</v>
      </c>
      <c r="W51" s="24" t="str">
        <f t="shared" si="8"/>
        <v>UA : Urine Analysis In House</v>
      </c>
      <c r="X51" s="222" t="str">
        <f t="shared" si="9"/>
        <v>UA : Urine Analysis In House</v>
      </c>
      <c r="Y51" s="222" t="str">
        <f t="shared" si="10"/>
        <v>MATCH</v>
      </c>
      <c r="Z51" s="224" t="str">
        <f t="shared" si="11"/>
        <v> </v>
      </c>
      <c r="AA51" s="244"/>
    </row>
    <row r="52">
      <c r="A52" s="214" t="str">
        <f>IFS($B52=FALSE,"",$B52,VLOOKUP($B52,'PATIENT DATA (072721)'!A:C, 2, 0))</f>
        <v>RIOS, FRANCISCO</v>
      </c>
      <c r="B52" s="215">
        <v>10929.0</v>
      </c>
      <c r="C52" s="230" t="str">
        <f>IF(COUNTIF('PATIENT DATA (072721)'!A:A, B52)=0, "X","✓")</f>
        <v>✓</v>
      </c>
      <c r="D52" s="226">
        <f>IFS($B52=FALSE,"",$B52,VLOOKUP($B52,'PATIENT DATA (072721)'!A:C, 3, 0))</f>
        <v>30288</v>
      </c>
      <c r="E52" s="218">
        <v>44579.0</v>
      </c>
      <c r="F52" s="219">
        <f>ifs($B52="","",$B52, VLOOKUP($B52&amp;$E52, 'VISIT DATA'!A:O,3,0))</f>
        <v>0.6458333333</v>
      </c>
      <c r="G52" s="231" t="s">
        <v>6328</v>
      </c>
      <c r="H52" s="221" t="s">
        <v>12</v>
      </c>
      <c r="I52" s="262" t="str">
        <f>VLOOKUP($B52&amp;$E52,'VISIT DATA'!A:J, 9, FALSE)</f>
        <v>LOPEZ</v>
      </c>
      <c r="J52" s="223" t="str">
        <f>VLOOKUP(B52&amp;E52,'VISIT DATA'!A:N,10,FALSE)</f>
        <v>AETNA</v>
      </c>
      <c r="K52" s="225"/>
      <c r="L52" s="224" t="s">
        <v>6242</v>
      </c>
      <c r="M52" s="224"/>
      <c r="N52" s="225"/>
      <c r="O52" s="216" t="str">
        <f t="shared" si="1"/>
        <v>✓</v>
      </c>
      <c r="P52" s="226" t="str">
        <f t="shared" si="2"/>
        <v>#VALUE!</v>
      </c>
      <c r="Q52" s="227" t="str">
        <f t="shared" si="3"/>
        <v>#VALUE!</v>
      </c>
      <c r="R52" s="228" t="str">
        <f t="shared" si="4"/>
        <v>#VALUE!</v>
      </c>
      <c r="S52" s="220" t="str">
        <f t="shared" si="5"/>
        <v>#VALUE!</v>
      </c>
      <c r="T52" s="220" t="str">
        <f t="shared" si="6"/>
        <v>#VALUE!</v>
      </c>
      <c r="U52" s="221">
        <f t="shared" si="7"/>
        <v>0</v>
      </c>
      <c r="V52" s="229" t="str">
        <f>ifs($N52="",VLOOKUP($B52&amp;$E52,'VISIT DATA'!$A$2:$J97,7,FALSE), $N52="SWAB","OUTSA-RW",$N52="SWQU","OUTSA-SaQu", AND($L52="X",$M52="X",$N52="QUEST"),"OUT-UAQPre",$N52="QUEST","OUT-UAQ", $N52="Walk in","ColUATele")</f>
        <v>UA</v>
      </c>
      <c r="W52" s="24" t="str">
        <f t="shared" si="8"/>
        <v>UA : Urine Analysis In House</v>
      </c>
      <c r="X52" s="222" t="str">
        <f t="shared" si="9"/>
        <v>UA : Urine Analysis In House</v>
      </c>
      <c r="Y52" s="222" t="str">
        <f t="shared" si="10"/>
        <v>MATCH</v>
      </c>
      <c r="Z52" s="224" t="str">
        <f t="shared" si="11"/>
        <v> </v>
      </c>
      <c r="AA52" s="244"/>
    </row>
    <row r="53">
      <c r="A53" s="214" t="str">
        <f>IFS($B53=FALSE,"",$B53,VLOOKUP($B53,'PATIENT DATA (072721)'!A:C, 2, 0))</f>
        <v>RODRIGUEZ, LAURA M</v>
      </c>
      <c r="B53" s="215">
        <v>14768.0</v>
      </c>
      <c r="C53" s="230" t="str">
        <f>IF(COUNTIF('PATIENT DATA (072721)'!A:A, B53)=0, "X","✓")</f>
        <v>✓</v>
      </c>
      <c r="D53" s="226">
        <f>IFS($B53=FALSE,"",$B53,VLOOKUP($B53,'PATIENT DATA (072721)'!A:C, 3, 0))</f>
        <v>23766</v>
      </c>
      <c r="E53" s="218">
        <v>44579.0</v>
      </c>
      <c r="F53" s="219">
        <f>ifs($B53="","",$B53, VLOOKUP($B53&amp;$E53, 'VISIT DATA'!A:O,3,0))</f>
        <v>0.6458333333</v>
      </c>
      <c r="G53" s="231" t="s">
        <v>6323</v>
      </c>
      <c r="H53" s="221" t="s">
        <v>12</v>
      </c>
      <c r="I53" s="262" t="str">
        <f>VLOOKUP($B53&amp;$E53,'VISIT DATA'!A:J, 9, FALSE)</f>
        <v>LOPEZ</v>
      </c>
      <c r="J53" s="223" t="str">
        <f>VLOOKUP(B53&amp;E53,'VISIT DATA'!A:N,10,FALSE)</f>
        <v>MOLINA MEDICAID TEXAS</v>
      </c>
      <c r="K53" s="225"/>
      <c r="L53" s="224" t="s">
        <v>6242</v>
      </c>
      <c r="M53" s="224"/>
      <c r="N53" s="225"/>
      <c r="O53" s="216" t="str">
        <f t="shared" si="1"/>
        <v>✓</v>
      </c>
      <c r="P53" s="226" t="str">
        <f t="shared" si="2"/>
        <v>#VALUE!</v>
      </c>
      <c r="Q53" s="227" t="str">
        <f t="shared" si="3"/>
        <v>X</v>
      </c>
      <c r="R53" s="228" t="str">
        <f t="shared" si="4"/>
        <v>#VALUE!</v>
      </c>
      <c r="S53" s="220" t="str">
        <f t="shared" si="5"/>
        <v>#VALUE!</v>
      </c>
      <c r="T53" s="220" t="str">
        <f t="shared" si="6"/>
        <v>#VALUE!</v>
      </c>
      <c r="U53" s="221">
        <f t="shared" si="7"/>
        <v>1</v>
      </c>
      <c r="V53" s="229" t="str">
        <f>ifs($N53="",VLOOKUP($B53&amp;$E53,'VISIT DATA'!$A$2:$J97,7,FALSE), $N53="SWAB","OUTSA-RW",$N53="SWQU","OUTSA-SaQu", AND($L53="X",$M53="X",$N53="QUEST"),"OUT-UAQPre",$N53="QUEST","OUT-UAQ", $N53="Walk in","ColUATele")</f>
        <v>OUTUA-FURW</v>
      </c>
      <c r="W53" s="24" t="str">
        <f t="shared" si="8"/>
        <v>OUTUA-FURW : OUT UA FU Redwood</v>
      </c>
      <c r="X53" s="222" t="str">
        <f t="shared" si="9"/>
        <v>OUTUA-FURW : OUT UA FU Redwood</v>
      </c>
      <c r="Y53" s="222" t="str">
        <f t="shared" si="10"/>
        <v>MATCH</v>
      </c>
      <c r="Z53" s="224" t="str">
        <f t="shared" si="11"/>
        <v> </v>
      </c>
      <c r="AA53" s="244"/>
    </row>
    <row r="54">
      <c r="A54" s="214" t="str">
        <f>IFS($B54=FALSE,"",$B54,VLOOKUP($B54,'PATIENT DATA (072721)'!A:C, 2, 0))</f>
        <v/>
      </c>
      <c r="B54" s="215"/>
      <c r="C54" s="230" t="str">
        <f>IF(COUNTIF('PATIENT DATA (072721)'!A:A, B54)=0, "X","✓")</f>
        <v>X</v>
      </c>
      <c r="D54" s="226" t="str">
        <f>IFS($B54=FALSE,"",$B54,VLOOKUP($B54,'PATIENT DATA (072721)'!A:C, 3, 0))</f>
        <v/>
      </c>
      <c r="E54" s="218">
        <v>44579.0</v>
      </c>
      <c r="F54" s="219" t="str">
        <f>ifs($B54="","",$B54, VLOOKUP($B54&amp;$E54, 'VISIT DATA'!A:O,3,0))</f>
        <v/>
      </c>
      <c r="G54" s="231"/>
      <c r="H54" s="221" t="str">
        <f>ifs($B54="","",$B54, VLOOKUP($B54&amp;$E54, 'VISIT DATA'!$A:$O,13,0))</f>
        <v/>
      </c>
      <c r="I54" s="262" t="str">
        <f>VLOOKUP($B54&amp;$E54,'VISIT DATA'!A:J, 9, FALSE)</f>
        <v>#N/A</v>
      </c>
      <c r="J54" s="223" t="str">
        <f>VLOOKUP(B54&amp;E54,'VISIT DATA'!A:N,10,FALSE)</f>
        <v>#N/A</v>
      </c>
      <c r="K54" s="225"/>
      <c r="L54" s="224"/>
      <c r="M54" s="224"/>
      <c r="N54" s="225"/>
      <c r="O54" s="216" t="str">
        <f t="shared" si="1"/>
        <v>X</v>
      </c>
      <c r="P54" s="226" t="str">
        <f t="shared" si="2"/>
        <v>#N/A</v>
      </c>
      <c r="Q54" s="227" t="str">
        <f t="shared" si="3"/>
        <v>#N/A</v>
      </c>
      <c r="R54" s="228" t="str">
        <f t="shared" si="4"/>
        <v>#N/A</v>
      </c>
      <c r="S54" s="220" t="str">
        <f t="shared" si="5"/>
        <v>#N/A</v>
      </c>
      <c r="T54" s="220" t="str">
        <f t="shared" si="6"/>
        <v>#N/A</v>
      </c>
      <c r="U54" s="221">
        <f t="shared" si="7"/>
        <v>0</v>
      </c>
      <c r="V54" s="229" t="str">
        <f>ifs($N54="",VLOOKUP($B54&amp;$E54,'VISIT DATA'!$A$2:$J97,7,FALSE), $N54="SWAB","OUTSA-RW",$N54="SWQU","OUTSA-SaQu", AND($L54="X",$M54="X",$N54="QUEST"),"OUT-UAQPre",$N54="QUEST","OUT-UAQ", $N54="Walk in","ColUATele")</f>
        <v>#N/A</v>
      </c>
      <c r="W54" s="24" t="str">
        <f t="shared" si="8"/>
        <v>#N/A</v>
      </c>
      <c r="X54" s="222" t="str">
        <f t="shared" si="9"/>
        <v/>
      </c>
      <c r="Y54" s="222" t="str">
        <f t="shared" si="10"/>
        <v/>
      </c>
      <c r="Z54" s="224" t="str">
        <f t="shared" si="11"/>
        <v> </v>
      </c>
      <c r="AA54" s="244"/>
    </row>
    <row r="55">
      <c r="A55" s="214" t="str">
        <f>IFS($B55=FALSE,"",$B55,VLOOKUP($B55,'PATIENT DATA (072721)'!A:C, 2, 0))</f>
        <v/>
      </c>
      <c r="B55" s="215"/>
      <c r="C55" s="230" t="str">
        <f>IF(COUNTIF('PATIENT DATA (072721)'!A:A, B55)=0, "X","✓")</f>
        <v>X</v>
      </c>
      <c r="D55" s="226" t="str">
        <f>IFS($B55=FALSE,"",$B55,VLOOKUP($B55,'PATIENT DATA (072721)'!A:C, 3, 0))</f>
        <v/>
      </c>
      <c r="E55" s="218">
        <v>44579.0</v>
      </c>
      <c r="F55" s="219" t="str">
        <f>ifs($B55="","",$B55, VLOOKUP($B55&amp;$E55, 'VISIT DATA'!A:O,3,0))</f>
        <v/>
      </c>
      <c r="G55" s="231"/>
      <c r="H55" s="221" t="str">
        <f>ifs($B55="","",$B55, VLOOKUP($B55&amp;$E55, 'VISIT DATA'!$A:$O,13,0))</f>
        <v/>
      </c>
      <c r="I55" s="262" t="str">
        <f>VLOOKUP($B55&amp;$E55,'VISIT DATA'!A:J, 9, FALSE)</f>
        <v>#N/A</v>
      </c>
      <c r="J55" s="223" t="str">
        <f>VLOOKUP(B55&amp;E55,'VISIT DATA'!A:N,10,FALSE)</f>
        <v>#N/A</v>
      </c>
      <c r="K55" s="224"/>
      <c r="L55" s="224"/>
      <c r="M55" s="224"/>
      <c r="N55" s="225"/>
      <c r="O55" s="216" t="str">
        <f t="shared" si="1"/>
        <v>X</v>
      </c>
      <c r="P55" s="226" t="str">
        <f t="shared" si="2"/>
        <v>#N/A</v>
      </c>
      <c r="Q55" s="227" t="str">
        <f t="shared" si="3"/>
        <v>#N/A</v>
      </c>
      <c r="R55" s="228" t="str">
        <f t="shared" si="4"/>
        <v>#N/A</v>
      </c>
      <c r="S55" s="220" t="str">
        <f t="shared" si="5"/>
        <v>#N/A</v>
      </c>
      <c r="T55" s="220" t="str">
        <f t="shared" si="6"/>
        <v>#N/A</v>
      </c>
      <c r="U55" s="221">
        <f t="shared" si="7"/>
        <v>0</v>
      </c>
      <c r="V55" s="229" t="str">
        <f>ifs($N55="",VLOOKUP($B55&amp;$E55,'VISIT DATA'!$A$2:$J97,7,FALSE), $N55="SWAB","OUTSA-RW",$N55="SWQU","OUTSA-SaQu", AND($L55="X",$M55="X",$N55="QUEST"),"OUT-UAQPre",$N55="QUEST","OUT-UAQ", $N55="Walk in","ColUATele")</f>
        <v>#N/A</v>
      </c>
      <c r="W55" s="24" t="str">
        <f t="shared" si="8"/>
        <v>#N/A</v>
      </c>
      <c r="X55" s="222" t="str">
        <f t="shared" si="9"/>
        <v/>
      </c>
      <c r="Y55" s="222" t="str">
        <f t="shared" si="10"/>
        <v/>
      </c>
      <c r="Z55" s="224" t="str">
        <f t="shared" si="11"/>
        <v> </v>
      </c>
      <c r="AA55" s="244"/>
    </row>
    <row r="56">
      <c r="A56" s="214" t="str">
        <f>IFS($B56=FALSE,"",$B56,VLOOKUP($B56,'PATIENT DATA (072721)'!A:C, 2, 0))</f>
        <v/>
      </c>
      <c r="B56" s="215"/>
      <c r="C56" s="230" t="str">
        <f>IF(COUNTIF('PATIENT DATA (072721)'!A:A, B56)=0, "X","✓")</f>
        <v>X</v>
      </c>
      <c r="D56" s="226" t="str">
        <f>IFS($B56=FALSE,"",$B56,VLOOKUP($B56,'PATIENT DATA (072721)'!A:C, 3, 0))</f>
        <v/>
      </c>
      <c r="E56" s="218">
        <v>44579.0</v>
      </c>
      <c r="F56" s="219" t="str">
        <f>ifs($B56="","",$B56, VLOOKUP($B56&amp;$E56, 'VISIT DATA'!A:O,3,0))</f>
        <v/>
      </c>
      <c r="G56" s="231"/>
      <c r="H56" s="221" t="str">
        <f>ifs($B56="","",$B56, VLOOKUP($B56&amp;$E56, 'VISIT DATA'!$A:$O,13,0))</f>
        <v/>
      </c>
      <c r="I56" s="262" t="str">
        <f>VLOOKUP($B56&amp;$E56,'VISIT DATA'!A:J, 9, FALSE)</f>
        <v>#N/A</v>
      </c>
      <c r="J56" s="223" t="str">
        <f>VLOOKUP(B56&amp;E56,'VISIT DATA'!A:N,10,FALSE)</f>
        <v>#N/A</v>
      </c>
      <c r="K56" s="224"/>
      <c r="L56" s="224"/>
      <c r="M56" s="224"/>
      <c r="N56" s="225"/>
      <c r="O56" s="216" t="str">
        <f t="shared" si="1"/>
        <v>X</v>
      </c>
      <c r="P56" s="226" t="str">
        <f t="shared" si="2"/>
        <v>#N/A</v>
      </c>
      <c r="Q56" s="227" t="str">
        <f t="shared" si="3"/>
        <v>#N/A</v>
      </c>
      <c r="R56" s="228" t="str">
        <f t="shared" si="4"/>
        <v>#N/A</v>
      </c>
      <c r="S56" s="220" t="str">
        <f t="shared" si="5"/>
        <v>#N/A</v>
      </c>
      <c r="T56" s="220" t="str">
        <f t="shared" si="6"/>
        <v>#N/A</v>
      </c>
      <c r="U56" s="221">
        <f t="shared" si="7"/>
        <v>0</v>
      </c>
      <c r="V56" s="229" t="str">
        <f>ifs($N56="",VLOOKUP($B56&amp;$E56,'VISIT DATA'!$A$2:$J97,7,FALSE), $N56="SWAB","OUTSA-RW",$N56="SWQU","OUTSA-SaQu", AND($L56="X",$M56="X",$N56="QUEST"),"OUT-UAQPre",$N56="QUEST","OUT-UAQ", $N56="Walk in","ColUATele")</f>
        <v>#N/A</v>
      </c>
      <c r="W56" s="24" t="str">
        <f t="shared" si="8"/>
        <v>#N/A</v>
      </c>
      <c r="X56" s="222" t="str">
        <f t="shared" si="9"/>
        <v/>
      </c>
      <c r="Y56" s="222" t="str">
        <f t="shared" si="10"/>
        <v/>
      </c>
      <c r="Z56" s="224" t="str">
        <f t="shared" si="11"/>
        <v> </v>
      </c>
      <c r="AA56" s="244"/>
    </row>
    <row r="57">
      <c r="A57" s="214" t="str">
        <f>IFS($B57=FALSE,"",$B57,VLOOKUP($B57,'PATIENT DATA (072721)'!A:C, 2, 0))</f>
        <v/>
      </c>
      <c r="B57" s="215"/>
      <c r="C57" s="230" t="str">
        <f>IF(COUNTIF('PATIENT DATA (072721)'!A:A, B57)=0, "X","✓")</f>
        <v>X</v>
      </c>
      <c r="D57" s="226" t="str">
        <f>IFS($B57=FALSE,"",$B57,VLOOKUP($B57,'PATIENT DATA (072721)'!A:C, 3, 0))</f>
        <v/>
      </c>
      <c r="E57" s="218">
        <v>44579.0</v>
      </c>
      <c r="F57" s="219" t="str">
        <f>ifs($B57="","",$B57, VLOOKUP($B57&amp;$E57, 'VISIT DATA'!A:O,3,0))</f>
        <v/>
      </c>
      <c r="G57" s="231"/>
      <c r="H57" s="221" t="str">
        <f>ifs($B57="","",$B57, VLOOKUP($B57&amp;$E57, 'VISIT DATA'!$A:$O,13,0))</f>
        <v/>
      </c>
      <c r="I57" s="262" t="str">
        <f>VLOOKUP($B57&amp;$E57,'VISIT DATA'!A:J, 9, FALSE)</f>
        <v>#N/A</v>
      </c>
      <c r="J57" s="223" t="str">
        <f>VLOOKUP(B57&amp;E57,'VISIT DATA'!A:N,10,FALSE)</f>
        <v>#N/A</v>
      </c>
      <c r="K57" s="225"/>
      <c r="L57" s="224"/>
      <c r="M57" s="224"/>
      <c r="N57" s="225"/>
      <c r="O57" s="216" t="str">
        <f t="shared" si="1"/>
        <v>X</v>
      </c>
      <c r="P57" s="226" t="str">
        <f t="shared" si="2"/>
        <v>#N/A</v>
      </c>
      <c r="Q57" s="227" t="str">
        <f t="shared" si="3"/>
        <v>#N/A</v>
      </c>
      <c r="R57" s="228" t="str">
        <f t="shared" si="4"/>
        <v>#N/A</v>
      </c>
      <c r="S57" s="220" t="str">
        <f t="shared" si="5"/>
        <v>#N/A</v>
      </c>
      <c r="T57" s="220" t="str">
        <f t="shared" si="6"/>
        <v>#N/A</v>
      </c>
      <c r="U57" s="221">
        <f t="shared" si="7"/>
        <v>0</v>
      </c>
      <c r="V57" s="229" t="str">
        <f>ifs($N57="",VLOOKUP($B57&amp;$E57,'VISIT DATA'!$A$2:$J97,7,FALSE), $N57="SWAB","OUTSA-RW",$N57="SWQU","OUTSA-SaQu", AND($L57="X",$M57="X",$N57="QUEST"),"OUT-UAQPre",$N57="QUEST","OUT-UAQ", $N57="Walk in","ColUATele")</f>
        <v>#N/A</v>
      </c>
      <c r="W57" s="24" t="str">
        <f t="shared" si="8"/>
        <v>#N/A</v>
      </c>
      <c r="X57" s="222" t="str">
        <f t="shared" si="9"/>
        <v/>
      </c>
      <c r="Y57" s="222" t="str">
        <f t="shared" si="10"/>
        <v/>
      </c>
      <c r="Z57" s="224" t="str">
        <f t="shared" si="11"/>
        <v> </v>
      </c>
      <c r="AA57" s="244"/>
    </row>
    <row r="58">
      <c r="A58" s="214" t="str">
        <f>IFS($B58=FALSE,"",$B58,VLOOKUP($B58,'PATIENT DATA (072721)'!A:C, 2, 0))</f>
        <v/>
      </c>
      <c r="B58" s="215"/>
      <c r="C58" s="230" t="str">
        <f>IF(COUNTIF('PATIENT DATA (072721)'!A:A, B58)=0, "X","✓")</f>
        <v>X</v>
      </c>
      <c r="D58" s="226" t="str">
        <f>IFS($B58=FALSE,"",$B58,VLOOKUP($B58,'PATIENT DATA (072721)'!A:C, 3, 0))</f>
        <v/>
      </c>
      <c r="E58" s="218">
        <v>44579.0</v>
      </c>
      <c r="F58" s="219" t="str">
        <f>ifs($B58="","",$B58, VLOOKUP($B58&amp;$E58, 'VISIT DATA'!A:O,3,0))</f>
        <v/>
      </c>
      <c r="G58" s="231"/>
      <c r="H58" s="221" t="str">
        <f>ifs($B58="","",$B58, VLOOKUP($B58&amp;$E58, 'VISIT DATA'!$A:$O,13,0))</f>
        <v/>
      </c>
      <c r="I58" s="262" t="str">
        <f>VLOOKUP($B58&amp;$E58,'VISIT DATA'!A:J, 9, FALSE)</f>
        <v>#N/A</v>
      </c>
      <c r="J58" s="223" t="str">
        <f>VLOOKUP(B58&amp;E58,'VISIT DATA'!A:N,10,FALSE)</f>
        <v>#N/A</v>
      </c>
      <c r="K58" s="225"/>
      <c r="L58" s="224"/>
      <c r="M58" s="224"/>
      <c r="N58" s="225"/>
      <c r="O58" s="216" t="str">
        <f t="shared" si="1"/>
        <v>X</v>
      </c>
      <c r="P58" s="226" t="str">
        <f t="shared" si="2"/>
        <v>#N/A</v>
      </c>
      <c r="Q58" s="227" t="str">
        <f t="shared" si="3"/>
        <v>#N/A</v>
      </c>
      <c r="R58" s="228" t="str">
        <f t="shared" si="4"/>
        <v>#N/A</v>
      </c>
      <c r="S58" s="220" t="str">
        <f t="shared" si="5"/>
        <v>#N/A</v>
      </c>
      <c r="T58" s="220" t="str">
        <f t="shared" si="6"/>
        <v>#N/A</v>
      </c>
      <c r="U58" s="221">
        <f t="shared" si="7"/>
        <v>0</v>
      </c>
      <c r="V58" s="229" t="str">
        <f>ifs($N58="",VLOOKUP($B58&amp;$E58,'VISIT DATA'!$A$2:$J97,7,FALSE), $N58="SWAB","OUTSA-RW",$N58="SWQU","OUTSA-SaQu", AND($L58="X",$M58="X",$N58="QUEST"),"OUT-UAQPre",$N58="QUEST","OUT-UAQ", $N58="Walk in","ColUATele")</f>
        <v>#N/A</v>
      </c>
      <c r="W58" s="24" t="str">
        <f t="shared" si="8"/>
        <v>#N/A</v>
      </c>
      <c r="X58" s="222" t="str">
        <f t="shared" si="9"/>
        <v/>
      </c>
      <c r="Y58" s="222" t="str">
        <f t="shared" si="10"/>
        <v/>
      </c>
      <c r="Z58" s="224" t="str">
        <f t="shared" si="11"/>
        <v> </v>
      </c>
      <c r="AA58" s="244"/>
    </row>
    <row r="59">
      <c r="A59" s="214" t="str">
        <f>IFS($B59=FALSE,"",$B59,VLOOKUP($B59,'PATIENT DATA (072721)'!A:C, 2, 0))</f>
        <v/>
      </c>
      <c r="B59" s="215"/>
      <c r="C59" s="230" t="str">
        <f>IF(COUNTIF('PATIENT DATA (072721)'!A:A, B59)=0, "X","✓")</f>
        <v>X</v>
      </c>
      <c r="D59" s="226" t="str">
        <f>IFS($B59=FALSE,"",$B59,VLOOKUP($B59,'PATIENT DATA (072721)'!A:C, 3, 0))</f>
        <v/>
      </c>
      <c r="E59" s="218">
        <v>44579.0</v>
      </c>
      <c r="F59" s="219" t="str">
        <f>ifs($B59="","",$B59, VLOOKUP($B59&amp;$E59, 'VISIT DATA'!A:O,3,0))</f>
        <v/>
      </c>
      <c r="G59" s="231"/>
      <c r="H59" s="221" t="str">
        <f>ifs($B59="","",$B59, VLOOKUP($B59&amp;$E59, 'VISIT DATA'!$A:$O,13,0))</f>
        <v/>
      </c>
      <c r="I59" s="262" t="str">
        <f>VLOOKUP($B59&amp;$E59,'VISIT DATA'!A:J, 9, FALSE)</f>
        <v>#N/A</v>
      </c>
      <c r="J59" s="223" t="str">
        <f>VLOOKUP(B59&amp;E59,'VISIT DATA'!A:N,10,FALSE)</f>
        <v>#N/A</v>
      </c>
      <c r="K59" s="225"/>
      <c r="L59" s="224"/>
      <c r="M59" s="224"/>
      <c r="N59" s="225"/>
      <c r="O59" s="216" t="str">
        <f t="shared" si="1"/>
        <v>X</v>
      </c>
      <c r="P59" s="226" t="str">
        <f t="shared" si="2"/>
        <v>#N/A</v>
      </c>
      <c r="Q59" s="227" t="str">
        <f t="shared" si="3"/>
        <v>#N/A</v>
      </c>
      <c r="R59" s="228" t="str">
        <f t="shared" si="4"/>
        <v>#N/A</v>
      </c>
      <c r="S59" s="220" t="str">
        <f t="shared" si="5"/>
        <v>#N/A</v>
      </c>
      <c r="T59" s="220" t="str">
        <f t="shared" si="6"/>
        <v>#N/A</v>
      </c>
      <c r="U59" s="221">
        <f t="shared" si="7"/>
        <v>0</v>
      </c>
      <c r="V59" s="229" t="str">
        <f>ifs($N59="",VLOOKUP($B59&amp;$E59,'VISIT DATA'!$A$2:$J97,7,FALSE), $N59="SWAB","OUTSA-RW",$N59="SWQU","OUTSA-SaQu", AND($L59="X",$M59="X",$N59="QUEST"),"OUT-UAQPre",$N59="QUEST","OUT-UAQ", $N59="Walk in","ColUATele")</f>
        <v>#N/A</v>
      </c>
      <c r="W59" s="24" t="str">
        <f t="shared" si="8"/>
        <v>#N/A</v>
      </c>
      <c r="X59" s="222" t="str">
        <f t="shared" si="9"/>
        <v/>
      </c>
      <c r="Y59" s="222" t="str">
        <f t="shared" si="10"/>
        <v/>
      </c>
      <c r="Z59" s="224" t="str">
        <f t="shared" si="11"/>
        <v> </v>
      </c>
      <c r="AA59" s="244"/>
    </row>
    <row r="60">
      <c r="A60" s="214" t="str">
        <f>IFS($B60=FALSE,"",$B60,VLOOKUP($B60,'PATIENT DATA (072721)'!A:C, 2, 0))</f>
        <v/>
      </c>
      <c r="B60" s="215"/>
      <c r="C60" s="230" t="str">
        <f>IF(COUNTIF('PATIENT DATA (072721)'!A:A, B60)=0, "X","✓")</f>
        <v>X</v>
      </c>
      <c r="D60" s="226" t="str">
        <f>IFS($B60=FALSE,"",$B60,VLOOKUP($B60,'PATIENT DATA (072721)'!A:C, 3, 0))</f>
        <v/>
      </c>
      <c r="E60" s="218">
        <v>44579.0</v>
      </c>
      <c r="F60" s="219" t="str">
        <f>ifs($B60="","",$B60, VLOOKUP($B60&amp;$E60, 'VISIT DATA'!A:O,3,0))</f>
        <v/>
      </c>
      <c r="G60" s="231"/>
      <c r="H60" s="221" t="str">
        <f>ifs($B60="","",$B60, VLOOKUP($B60&amp;$E60, 'VISIT DATA'!$A:$O,13,0))</f>
        <v/>
      </c>
      <c r="I60" s="262" t="str">
        <f>VLOOKUP($B60&amp;$E60,'VISIT DATA'!A:J, 9, FALSE)</f>
        <v>#N/A</v>
      </c>
      <c r="J60" s="223" t="str">
        <f>VLOOKUP(B60&amp;E60,'VISIT DATA'!A:N,10,FALSE)</f>
        <v>#N/A</v>
      </c>
      <c r="K60" s="225"/>
      <c r="L60" s="224"/>
      <c r="M60" s="224"/>
      <c r="N60" s="225"/>
      <c r="O60" s="216" t="str">
        <f t="shared" si="1"/>
        <v>X</v>
      </c>
      <c r="P60" s="226" t="str">
        <f t="shared" si="2"/>
        <v>#N/A</v>
      </c>
      <c r="Q60" s="227" t="str">
        <f t="shared" si="3"/>
        <v>#N/A</v>
      </c>
      <c r="R60" s="228" t="str">
        <f t="shared" si="4"/>
        <v>#N/A</v>
      </c>
      <c r="S60" s="220" t="str">
        <f t="shared" si="5"/>
        <v>#N/A</v>
      </c>
      <c r="T60" s="220" t="str">
        <f t="shared" si="6"/>
        <v>#N/A</v>
      </c>
      <c r="U60" s="221">
        <f t="shared" si="7"/>
        <v>0</v>
      </c>
      <c r="V60" s="229" t="str">
        <f>ifs($N60="",VLOOKUP($B60&amp;$E60,'VISIT DATA'!$A$2:$J97,7,FALSE), $N60="SWAB","OUTSA-RW",$N60="SWQU","OUTSA-SaQu", AND($L60="X",$M60="X",$N60="QUEST"),"OUT-UAQPre",$N60="QUEST","OUT-UAQ", $N60="Walk in","ColUATele")</f>
        <v>#N/A</v>
      </c>
      <c r="W60" s="24" t="str">
        <f t="shared" si="8"/>
        <v>#N/A</v>
      </c>
      <c r="X60" s="222" t="str">
        <f t="shared" si="9"/>
        <v/>
      </c>
      <c r="Y60" s="222" t="str">
        <f t="shared" si="10"/>
        <v/>
      </c>
      <c r="Z60" s="224" t="str">
        <f t="shared" si="11"/>
        <v> </v>
      </c>
      <c r="AA60" s="244"/>
    </row>
    <row r="61">
      <c r="A61" s="214" t="str">
        <f>IFS($B61=FALSE,"",$B61,VLOOKUP($B61,'PATIENT DATA (072721)'!A:C, 2, 0))</f>
        <v/>
      </c>
      <c r="B61" s="215"/>
      <c r="C61" s="230" t="str">
        <f>IF(COUNTIF('PATIENT DATA (072721)'!A:A, B61)=0, "X","✓")</f>
        <v>X</v>
      </c>
      <c r="D61" s="226" t="str">
        <f>IFS($B61=FALSE,"",$B61,VLOOKUP($B61,'PATIENT DATA (072721)'!A:C, 3, 0))</f>
        <v/>
      </c>
      <c r="E61" s="218">
        <v>44579.0</v>
      </c>
      <c r="F61" s="219" t="str">
        <f>ifs($B61="","",$B61, VLOOKUP($B61&amp;$E61, 'VISIT DATA'!A:O,3,0))</f>
        <v/>
      </c>
      <c r="G61" s="231"/>
      <c r="H61" s="221" t="str">
        <f>ifs($B61="","",$B61, VLOOKUP($B61&amp;$E61, 'VISIT DATA'!$A:$O,13,0))</f>
        <v/>
      </c>
      <c r="I61" s="262" t="str">
        <f>VLOOKUP($B61&amp;$E61,'VISIT DATA'!A:J, 9, FALSE)</f>
        <v>#N/A</v>
      </c>
      <c r="J61" s="223" t="str">
        <f>VLOOKUP(B61&amp;E61,'VISIT DATA'!A:N,10,FALSE)</f>
        <v>#N/A</v>
      </c>
      <c r="K61" s="225"/>
      <c r="L61" s="224"/>
      <c r="M61" s="224"/>
      <c r="N61" s="225"/>
      <c r="O61" s="216" t="str">
        <f t="shared" si="1"/>
        <v>X</v>
      </c>
      <c r="P61" s="226" t="str">
        <f t="shared" si="2"/>
        <v>#N/A</v>
      </c>
      <c r="Q61" s="227" t="str">
        <f t="shared" si="3"/>
        <v>#N/A</v>
      </c>
      <c r="R61" s="228" t="str">
        <f t="shared" si="4"/>
        <v>#N/A</v>
      </c>
      <c r="S61" s="220" t="str">
        <f t="shared" si="5"/>
        <v>#N/A</v>
      </c>
      <c r="T61" s="220" t="str">
        <f t="shared" si="6"/>
        <v>#N/A</v>
      </c>
      <c r="U61" s="221">
        <f t="shared" si="7"/>
        <v>0</v>
      </c>
      <c r="V61" s="229" t="str">
        <f>ifs($N61="",VLOOKUP($B61&amp;$E61,'VISIT DATA'!$A$2:$J97,7,FALSE), $N61="SWAB","OUTSA-RW",$N61="SWQU","OUTSA-SaQu", AND($L61="X",$M61="X",$N61="QUEST"),"OUT-UAQPre",$N61="QUEST","OUT-UAQ", $N61="Walk in","ColUATele")</f>
        <v>#N/A</v>
      </c>
      <c r="W61" s="24" t="str">
        <f t="shared" si="8"/>
        <v>#N/A</v>
      </c>
      <c r="X61" s="222" t="str">
        <f t="shared" si="9"/>
        <v/>
      </c>
      <c r="Y61" s="222" t="str">
        <f t="shared" si="10"/>
        <v/>
      </c>
      <c r="Z61" s="224" t="str">
        <f t="shared" si="11"/>
        <v> </v>
      </c>
      <c r="AA61" s="244"/>
    </row>
    <row r="62">
      <c r="A62" s="214" t="str">
        <f>IFS($B62=FALSE,"",$B62,VLOOKUP($B62,'PATIENT DATA (072721)'!A:C, 2, 0))</f>
        <v/>
      </c>
      <c r="B62" s="215"/>
      <c r="C62" s="230" t="str">
        <f>IF(COUNTIF('PATIENT DATA (072721)'!A:A, B62)=0, "X","✓")</f>
        <v>X</v>
      </c>
      <c r="D62" s="226" t="str">
        <f>IFS($B62=FALSE,"",$B62,VLOOKUP($B62,'PATIENT DATA (072721)'!A:C, 3, 0))</f>
        <v/>
      </c>
      <c r="E62" s="218">
        <v>44579.0</v>
      </c>
      <c r="F62" s="219" t="str">
        <f>ifs($B62="","",$B62, VLOOKUP($B62&amp;$E62, 'VISIT DATA'!A:O,3,0))</f>
        <v/>
      </c>
      <c r="G62" s="231"/>
      <c r="H62" s="221" t="str">
        <f>ifs($B62="","",$B62, VLOOKUP($B62&amp;$E62, 'VISIT DATA'!$A:$O,13,0))</f>
        <v/>
      </c>
      <c r="I62" s="262" t="str">
        <f>VLOOKUP($B62&amp;$E62,'VISIT DATA'!A:J, 9, FALSE)</f>
        <v>#N/A</v>
      </c>
      <c r="J62" s="223" t="str">
        <f>VLOOKUP(B62&amp;E62,'VISIT DATA'!A:N,10,FALSE)</f>
        <v>#N/A</v>
      </c>
      <c r="K62" s="225"/>
      <c r="L62" s="224"/>
      <c r="M62" s="224"/>
      <c r="N62" s="225"/>
      <c r="O62" s="216" t="str">
        <f t="shared" si="1"/>
        <v>X</v>
      </c>
      <c r="P62" s="226" t="str">
        <f t="shared" si="2"/>
        <v>#N/A</v>
      </c>
      <c r="Q62" s="227" t="str">
        <f t="shared" si="3"/>
        <v>#N/A</v>
      </c>
      <c r="R62" s="228" t="str">
        <f t="shared" si="4"/>
        <v>#N/A</v>
      </c>
      <c r="S62" s="220" t="str">
        <f t="shared" si="5"/>
        <v>#N/A</v>
      </c>
      <c r="T62" s="220" t="str">
        <f t="shared" si="6"/>
        <v>#N/A</v>
      </c>
      <c r="U62" s="221">
        <f t="shared" si="7"/>
        <v>0</v>
      </c>
      <c r="V62" s="229" t="str">
        <f>ifs($N62="",VLOOKUP($B62&amp;$E62,'VISIT DATA'!$A$2:$J97,7,FALSE), $N62="SWAB","OUTSA-RW",$N62="SWQU","OUTSA-SaQu", AND($L62="X",$M62="X",$N62="QUEST"),"OUT-UAQPre",$N62="QUEST","OUT-UAQ", $N62="Walk in","ColUATele")</f>
        <v>#N/A</v>
      </c>
      <c r="W62" s="24" t="str">
        <f t="shared" si="8"/>
        <v>#N/A</v>
      </c>
      <c r="X62" s="222" t="str">
        <f t="shared" si="9"/>
        <v/>
      </c>
      <c r="Y62" s="222" t="str">
        <f t="shared" si="10"/>
        <v/>
      </c>
      <c r="Z62" s="224" t="str">
        <f t="shared" si="11"/>
        <v> </v>
      </c>
      <c r="AA62" s="244"/>
    </row>
    <row r="63">
      <c r="A63" s="214" t="str">
        <f>IFS($B63=FALSE,"",$B63,VLOOKUP($B63,'PATIENT DATA (072721)'!A:C, 2, 0))</f>
        <v/>
      </c>
      <c r="B63" s="215"/>
      <c r="C63" s="230" t="str">
        <f>IF(COUNTIF('PATIENT DATA (072721)'!A:A, B63)=0, "X","✓")</f>
        <v>X</v>
      </c>
      <c r="D63" s="226" t="str">
        <f>IFS($B63=FALSE,"",$B63,VLOOKUP($B63,'PATIENT DATA (072721)'!A:C, 3, 0))</f>
        <v/>
      </c>
      <c r="E63" s="218">
        <v>44579.0</v>
      </c>
      <c r="F63" s="219" t="str">
        <f>ifs($B63="","",$B63, VLOOKUP($B63&amp;$E63, 'VISIT DATA'!A:O,3,0))</f>
        <v/>
      </c>
      <c r="G63" s="231"/>
      <c r="H63" s="221" t="str">
        <f>ifs($B63="","",$B63, VLOOKUP($B63&amp;$E63, 'VISIT DATA'!$A:$O,13,0))</f>
        <v/>
      </c>
      <c r="I63" s="262" t="str">
        <f>VLOOKUP($B63&amp;$E63,'VISIT DATA'!A:J, 9, FALSE)</f>
        <v>#N/A</v>
      </c>
      <c r="J63" s="223" t="str">
        <f>VLOOKUP(B63&amp;E63,'VISIT DATA'!A:N,10,FALSE)</f>
        <v>#N/A</v>
      </c>
      <c r="K63" s="225"/>
      <c r="L63" s="224"/>
      <c r="M63" s="224"/>
      <c r="N63" s="225"/>
      <c r="O63" s="216" t="str">
        <f t="shared" si="1"/>
        <v>X</v>
      </c>
      <c r="P63" s="226" t="str">
        <f t="shared" si="2"/>
        <v>#N/A</v>
      </c>
      <c r="Q63" s="227" t="str">
        <f t="shared" si="3"/>
        <v>#N/A</v>
      </c>
      <c r="R63" s="228" t="str">
        <f t="shared" si="4"/>
        <v>#N/A</v>
      </c>
      <c r="S63" s="220" t="str">
        <f t="shared" si="5"/>
        <v>#N/A</v>
      </c>
      <c r="T63" s="220" t="str">
        <f t="shared" si="6"/>
        <v>#N/A</v>
      </c>
      <c r="U63" s="221">
        <f t="shared" si="7"/>
        <v>0</v>
      </c>
      <c r="V63" s="229" t="str">
        <f>ifs($N63="",VLOOKUP($B63&amp;$E63,'VISIT DATA'!$A$2:$J97,7,FALSE), $N63="SWAB","OUTSA-RW",$N63="SWQU","OUTSA-SaQu", AND($L63="X",$M63="X",$N63="QUEST"),"OUT-UAQPre",$N63="QUEST","OUT-UAQ", $N63="Walk in","ColUATele")</f>
        <v>#N/A</v>
      </c>
      <c r="W63" s="24" t="str">
        <f t="shared" si="8"/>
        <v>#N/A</v>
      </c>
      <c r="X63" s="222" t="str">
        <f t="shared" si="9"/>
        <v/>
      </c>
      <c r="Y63" s="222" t="str">
        <f t="shared" si="10"/>
        <v/>
      </c>
      <c r="Z63" s="224" t="str">
        <f t="shared" si="11"/>
        <v> </v>
      </c>
      <c r="AA63" s="244"/>
    </row>
    <row r="64">
      <c r="A64" s="214" t="str">
        <f>IFS($B64=FALSE,"",$B64,VLOOKUP($B64,'PATIENT DATA (072721)'!A:C, 2, 0))</f>
        <v/>
      </c>
      <c r="B64" s="215"/>
      <c r="C64" s="230" t="str">
        <f>IF(COUNTIF('PATIENT DATA (072721)'!A:A, B64)=0, "X","✓")</f>
        <v>X</v>
      </c>
      <c r="D64" s="226" t="str">
        <f>IFS($B64=FALSE,"",$B64,VLOOKUP($B64,'PATIENT DATA (072721)'!A:C, 3, 0))</f>
        <v/>
      </c>
      <c r="E64" s="218">
        <v>44579.0</v>
      </c>
      <c r="F64" s="219" t="str">
        <f>ifs($B64="","",$B64, VLOOKUP($B64&amp;$E64, 'VISIT DATA'!A:O,3,0))</f>
        <v/>
      </c>
      <c r="G64" s="231"/>
      <c r="H64" s="221" t="str">
        <f>ifs($B64="","",$B64, VLOOKUP($B64&amp;$E64, 'VISIT DATA'!$A:$O,13,0))</f>
        <v/>
      </c>
      <c r="I64" s="262" t="str">
        <f>VLOOKUP($B64&amp;$E64,'VISIT DATA'!A:J, 9, FALSE)</f>
        <v>#N/A</v>
      </c>
      <c r="J64" s="223" t="str">
        <f>VLOOKUP(B64&amp;E64,'VISIT DATA'!A:N,10,FALSE)</f>
        <v>#N/A</v>
      </c>
      <c r="K64" s="225"/>
      <c r="L64" s="224"/>
      <c r="M64" s="224"/>
      <c r="N64" s="225"/>
      <c r="O64" s="216" t="str">
        <f t="shared" si="1"/>
        <v>X</v>
      </c>
      <c r="P64" s="226" t="str">
        <f t="shared" si="2"/>
        <v>#N/A</v>
      </c>
      <c r="Q64" s="227" t="str">
        <f t="shared" si="3"/>
        <v>#N/A</v>
      </c>
      <c r="R64" s="228" t="str">
        <f t="shared" si="4"/>
        <v>#N/A</v>
      </c>
      <c r="S64" s="220" t="str">
        <f t="shared" si="5"/>
        <v>#N/A</v>
      </c>
      <c r="T64" s="220" t="str">
        <f t="shared" si="6"/>
        <v>#N/A</v>
      </c>
      <c r="U64" s="221">
        <f t="shared" si="7"/>
        <v>0</v>
      </c>
      <c r="V64" s="229" t="str">
        <f>ifs($N64="",VLOOKUP($B64&amp;$E64,'VISIT DATA'!$A$2:$J97,7,FALSE), $N64="SWAB","OUTSA-RW",$N64="SWQU","OUTSA-SaQu", AND($L64="X",$M64="X",$N64="QUEST"),"OUT-UAQPre",$N64="QUEST","OUT-UAQ", $N64="Walk in","ColUATele")</f>
        <v>#N/A</v>
      </c>
      <c r="W64" s="24" t="str">
        <f t="shared" si="8"/>
        <v>#N/A</v>
      </c>
      <c r="X64" s="222" t="str">
        <f t="shared" si="9"/>
        <v/>
      </c>
      <c r="Y64" s="222" t="str">
        <f t="shared" si="10"/>
        <v/>
      </c>
      <c r="Z64" s="224" t="str">
        <f t="shared" si="11"/>
        <v> </v>
      </c>
      <c r="AA64" s="244"/>
    </row>
    <row r="65">
      <c r="A65" s="214" t="str">
        <f>IFS($B65=FALSE,"",$B65,VLOOKUP($B65,'PATIENT DATA (072721)'!A:C, 2, 0))</f>
        <v/>
      </c>
      <c r="B65" s="215"/>
      <c r="C65" s="230" t="str">
        <f>IF(COUNTIF('PATIENT DATA (072721)'!A:A, B65)=0, "X","✓")</f>
        <v>X</v>
      </c>
      <c r="D65" s="226" t="str">
        <f>IFS($B65=FALSE,"",$B65,VLOOKUP($B65,'PATIENT DATA (072721)'!A:C, 3, 0))</f>
        <v/>
      </c>
      <c r="E65" s="218">
        <v>44579.0</v>
      </c>
      <c r="F65" s="219" t="str">
        <f>ifs($B65="","",$B65, VLOOKUP($B65&amp;$E65, 'VISIT DATA'!A:O,3,0))</f>
        <v/>
      </c>
      <c r="G65" s="231"/>
      <c r="H65" s="221" t="str">
        <f>ifs($B65="","",$B65, VLOOKUP($B65&amp;$E65, 'VISIT DATA'!$A:$O,13,0))</f>
        <v/>
      </c>
      <c r="I65" s="262" t="str">
        <f>VLOOKUP($B65&amp;$E65,'VISIT DATA'!A:J, 9, FALSE)</f>
        <v>#N/A</v>
      </c>
      <c r="J65" s="223" t="str">
        <f>VLOOKUP(B65&amp;E65,'VISIT DATA'!A:N,10,FALSE)</f>
        <v>#N/A</v>
      </c>
      <c r="K65" s="225"/>
      <c r="L65" s="224"/>
      <c r="M65" s="224"/>
      <c r="N65" s="225"/>
      <c r="O65" s="216" t="str">
        <f t="shared" si="1"/>
        <v>X</v>
      </c>
      <c r="P65" s="226" t="str">
        <f t="shared" si="2"/>
        <v>#N/A</v>
      </c>
      <c r="Q65" s="227" t="str">
        <f t="shared" si="3"/>
        <v>#N/A</v>
      </c>
      <c r="R65" s="228" t="str">
        <f t="shared" si="4"/>
        <v>#N/A</v>
      </c>
      <c r="S65" s="220" t="str">
        <f t="shared" si="5"/>
        <v>#N/A</v>
      </c>
      <c r="T65" s="220" t="str">
        <f t="shared" si="6"/>
        <v>#N/A</v>
      </c>
      <c r="U65" s="221">
        <f t="shared" si="7"/>
        <v>0</v>
      </c>
      <c r="V65" s="229" t="str">
        <f>ifs($N65="",VLOOKUP($B65&amp;$E65,'VISIT DATA'!$A$2:$J97,7,FALSE), $N65="SWAB","OUTSA-RW",$N65="SWQU","OUTSA-SaQu", AND($L65="X",$M65="X",$N65="QUEST"),"OUT-UAQPre",$N65="QUEST","OUT-UAQ", $N65="Walk in","ColUATele")</f>
        <v>#N/A</v>
      </c>
      <c r="W65" s="24" t="str">
        <f t="shared" si="8"/>
        <v>#N/A</v>
      </c>
      <c r="X65" s="222" t="str">
        <f t="shared" si="9"/>
        <v/>
      </c>
      <c r="Y65" s="222" t="str">
        <f t="shared" si="10"/>
        <v/>
      </c>
      <c r="Z65" s="224" t="str">
        <f t="shared" si="11"/>
        <v> </v>
      </c>
      <c r="AA65" s="244"/>
    </row>
    <row r="66">
      <c r="A66" s="214" t="str">
        <f>IFS($B66=FALSE,"",$B66,VLOOKUP($B66,'PATIENT DATA (072721)'!A:C, 2, 0))</f>
        <v/>
      </c>
      <c r="B66" s="215"/>
      <c r="C66" s="230" t="str">
        <f>IF(COUNTIF('PATIENT DATA (072721)'!A:A, B66)=0, "X","✓")</f>
        <v>X</v>
      </c>
      <c r="D66" s="226" t="str">
        <f>IFS($B66=FALSE,"",$B66,VLOOKUP($B66,'PATIENT DATA (072721)'!A:C, 3, 0))</f>
        <v/>
      </c>
      <c r="E66" s="218">
        <v>44579.0</v>
      </c>
      <c r="F66" s="219" t="str">
        <f>ifs($B66="","",$B66, VLOOKUP($B66&amp;$E66, 'VISIT DATA'!A:O,3,0))</f>
        <v/>
      </c>
      <c r="G66" s="231"/>
      <c r="H66" s="221" t="str">
        <f>ifs($B66="","",$B66, VLOOKUP($B66&amp;$E66, 'VISIT DATA'!$A:$O,13,0))</f>
        <v/>
      </c>
      <c r="I66" s="262" t="str">
        <f>VLOOKUP($B66&amp;$E66,'VISIT DATA'!A:J, 9, FALSE)</f>
        <v>#N/A</v>
      </c>
      <c r="J66" s="223" t="str">
        <f>VLOOKUP(B66&amp;E66,'VISIT DATA'!A:N,10,FALSE)</f>
        <v>#N/A</v>
      </c>
      <c r="K66" s="224"/>
      <c r="L66" s="224"/>
      <c r="M66" s="224"/>
      <c r="N66" s="225"/>
      <c r="O66" s="216" t="str">
        <f t="shared" si="1"/>
        <v>X</v>
      </c>
      <c r="P66" s="226" t="str">
        <f t="shared" si="2"/>
        <v>#N/A</v>
      </c>
      <c r="Q66" s="227" t="str">
        <f t="shared" si="3"/>
        <v>#N/A</v>
      </c>
      <c r="R66" s="228" t="str">
        <f t="shared" si="4"/>
        <v>#N/A</v>
      </c>
      <c r="S66" s="220" t="str">
        <f t="shared" si="5"/>
        <v>#N/A</v>
      </c>
      <c r="T66" s="220" t="str">
        <f t="shared" si="6"/>
        <v>#N/A</v>
      </c>
      <c r="U66" s="221">
        <f t="shared" si="7"/>
        <v>0</v>
      </c>
      <c r="V66" s="229" t="str">
        <f>ifs($N66="",VLOOKUP($B66&amp;$E66,'VISIT DATA'!$A$2:$J97,7,FALSE), $N66="SWAB","OUTSA-RW",$N66="SWQU","OUTSA-SaQu", AND($L66="X",$M66="X",$N66="QUEST"),"OUT-UAQPre",$N66="QUEST","OUT-UAQ", $N66="Walk in","ColUATele")</f>
        <v>#N/A</v>
      </c>
      <c r="W66" s="24" t="str">
        <f t="shared" si="8"/>
        <v>#N/A</v>
      </c>
      <c r="X66" s="222" t="str">
        <f t="shared" si="9"/>
        <v/>
      </c>
      <c r="Y66" s="222" t="str">
        <f t="shared" si="10"/>
        <v/>
      </c>
      <c r="Z66" s="224" t="str">
        <f t="shared" si="11"/>
        <v> </v>
      </c>
      <c r="AA66" s="244"/>
    </row>
    <row r="67">
      <c r="A67" s="214" t="str">
        <f>IFS($B67=FALSE,"",$B67,VLOOKUP($B67,'PATIENT DATA (072721)'!A:C, 2, 0))</f>
        <v/>
      </c>
      <c r="B67" s="215"/>
      <c r="C67" s="230" t="str">
        <f>IF(COUNTIF('PATIENT DATA (072721)'!A:A, B67)=0, "X","✓")</f>
        <v>X</v>
      </c>
      <c r="D67" s="226" t="str">
        <f>IFS($B67=FALSE,"",$B67,VLOOKUP($B67,'PATIENT DATA (072721)'!A:C, 3, 0))</f>
        <v/>
      </c>
      <c r="E67" s="218">
        <v>44579.0</v>
      </c>
      <c r="F67" s="219" t="str">
        <f>ifs($B67="","",$B67, VLOOKUP($B67&amp;$E67, 'VISIT DATA'!A:O,3,0))</f>
        <v/>
      </c>
      <c r="G67" s="231"/>
      <c r="H67" s="221" t="str">
        <f>ifs($B67="","",$B67, VLOOKUP($B67&amp;$E67, 'VISIT DATA'!$A:$O,13,0))</f>
        <v/>
      </c>
      <c r="I67" s="262" t="str">
        <f>VLOOKUP($B67&amp;$E67,'VISIT DATA'!A:J, 9, FALSE)</f>
        <v>#N/A</v>
      </c>
      <c r="J67" s="223" t="str">
        <f>VLOOKUP(B67&amp;E67,'VISIT DATA'!A:N,10,FALSE)</f>
        <v>#N/A</v>
      </c>
      <c r="K67" s="224"/>
      <c r="L67" s="224"/>
      <c r="M67" s="224"/>
      <c r="N67" s="225"/>
      <c r="O67" s="216" t="str">
        <f t="shared" si="1"/>
        <v>X</v>
      </c>
      <c r="P67" s="226" t="str">
        <f t="shared" si="2"/>
        <v>#N/A</v>
      </c>
      <c r="Q67" s="227" t="str">
        <f t="shared" si="3"/>
        <v>#N/A</v>
      </c>
      <c r="R67" s="228" t="str">
        <f t="shared" si="4"/>
        <v>#N/A</v>
      </c>
      <c r="S67" s="220" t="str">
        <f t="shared" si="5"/>
        <v>#N/A</v>
      </c>
      <c r="T67" s="220" t="str">
        <f t="shared" si="6"/>
        <v>#N/A</v>
      </c>
      <c r="U67" s="221">
        <f t="shared" si="7"/>
        <v>0</v>
      </c>
      <c r="V67" s="229" t="str">
        <f>ifs($N67="",VLOOKUP($B67&amp;$E67,'VISIT DATA'!$A$2:$J97,7,FALSE), $N67="SWAB","OUTSA-RW",$N67="SWQU","OUTSA-SaQu", AND($L67="X",$M67="X",$N67="QUEST"),"OUT-UAQPre",$N67="QUEST","OUT-UAQ", $N67="Walk in","ColUATele")</f>
        <v>#N/A</v>
      </c>
      <c r="W67" s="24" t="str">
        <f t="shared" si="8"/>
        <v>#N/A</v>
      </c>
      <c r="X67" s="222" t="str">
        <f t="shared" si="9"/>
        <v/>
      </c>
      <c r="Y67" s="222" t="str">
        <f t="shared" si="10"/>
        <v/>
      </c>
      <c r="Z67" s="224" t="str">
        <f t="shared" si="11"/>
        <v> </v>
      </c>
      <c r="AA67" s="244"/>
    </row>
    <row r="68">
      <c r="A68" s="214" t="str">
        <f>IFS($B68=FALSE,"",$B68,VLOOKUP($B68,'PATIENT DATA (072721)'!A:C, 2, 0))</f>
        <v/>
      </c>
      <c r="B68" s="215"/>
      <c r="C68" s="230" t="str">
        <f>IF(COUNTIF('PATIENT DATA (072721)'!A:A, B68)=0, "X","✓")</f>
        <v>X</v>
      </c>
      <c r="D68" s="226" t="str">
        <f>IFS($B68=FALSE,"",$B68,VLOOKUP($B68,'PATIENT DATA (072721)'!A:C, 3, 0))</f>
        <v/>
      </c>
      <c r="E68" s="218">
        <v>44579.0</v>
      </c>
      <c r="F68" s="219" t="str">
        <f>ifs($B68="","",$B68, VLOOKUP($B68&amp;$E68, 'VISIT DATA'!A:O,3,0))</f>
        <v/>
      </c>
      <c r="G68" s="231"/>
      <c r="H68" s="221" t="str">
        <f>ifs($B68="","",$B68, VLOOKUP($B68&amp;$E68, 'VISIT DATA'!$A:$O,13,0))</f>
        <v/>
      </c>
      <c r="I68" s="262" t="str">
        <f>VLOOKUP($B68&amp;$E68,'VISIT DATA'!A:J, 9, FALSE)</f>
        <v>#N/A</v>
      </c>
      <c r="J68" s="223" t="str">
        <f>VLOOKUP(B68&amp;E68,'VISIT DATA'!A:N,10,FALSE)</f>
        <v>#N/A</v>
      </c>
      <c r="K68" s="225"/>
      <c r="L68" s="224"/>
      <c r="M68" s="224"/>
      <c r="N68" s="225"/>
      <c r="O68" s="216" t="str">
        <f t="shared" si="1"/>
        <v>X</v>
      </c>
      <c r="P68" s="226" t="str">
        <f t="shared" si="2"/>
        <v>#N/A</v>
      </c>
      <c r="Q68" s="227" t="str">
        <f t="shared" si="3"/>
        <v>#N/A</v>
      </c>
      <c r="R68" s="228" t="str">
        <f t="shared" si="4"/>
        <v>#N/A</v>
      </c>
      <c r="S68" s="220" t="str">
        <f t="shared" si="5"/>
        <v>#N/A</v>
      </c>
      <c r="T68" s="220" t="str">
        <f t="shared" si="6"/>
        <v>#N/A</v>
      </c>
      <c r="U68" s="221">
        <f t="shared" si="7"/>
        <v>0</v>
      </c>
      <c r="V68" s="229" t="str">
        <f>ifs($N68="",VLOOKUP($B68&amp;$E68,'VISIT DATA'!$A$2:$J97,7,FALSE), $N68="SWAB","OUTSA-RW",$N68="SWQU","OUTSA-SaQu", AND($L68="X",$M68="X",$N68="QUEST"),"OUT-UAQPre",$N68="QUEST","OUT-UAQ", $N68="Walk in","ColUATele")</f>
        <v>#N/A</v>
      </c>
      <c r="W68" s="24" t="str">
        <f t="shared" si="8"/>
        <v>#N/A</v>
      </c>
      <c r="X68" s="222" t="str">
        <f t="shared" si="9"/>
        <v/>
      </c>
      <c r="Y68" s="222" t="str">
        <f t="shared" si="10"/>
        <v/>
      </c>
      <c r="Z68" s="224" t="str">
        <f t="shared" si="11"/>
        <v> </v>
      </c>
      <c r="AA68" s="244"/>
    </row>
    <row r="69">
      <c r="A69" s="214" t="str">
        <f>IFS($B69=FALSE,"",$B69,VLOOKUP($B69,'PATIENT DATA (072721)'!A:C, 2, 0))</f>
        <v/>
      </c>
      <c r="B69" s="215"/>
      <c r="C69" s="230" t="str">
        <f>IF(COUNTIF('PATIENT DATA (072721)'!A:A, B69)=0, "X","✓")</f>
        <v>X</v>
      </c>
      <c r="D69" s="226" t="str">
        <f>IFS($B69=FALSE,"",$B69,VLOOKUP($B69,'PATIENT DATA (072721)'!A:C, 3, 0))</f>
        <v/>
      </c>
      <c r="E69" s="218">
        <v>44579.0</v>
      </c>
      <c r="F69" s="219" t="str">
        <f>ifs($B69="","",$B69, VLOOKUP($B69&amp;$E69, 'VISIT DATA'!A:O,3,0))</f>
        <v/>
      </c>
      <c r="G69" s="231"/>
      <c r="H69" s="221" t="str">
        <f>ifs($B69="","",$B69, VLOOKUP($B69&amp;$E69, 'VISIT DATA'!$A:$O,13,0))</f>
        <v/>
      </c>
      <c r="I69" s="262" t="str">
        <f>VLOOKUP($B69&amp;$E69,'VISIT DATA'!A:J, 9, FALSE)</f>
        <v>#N/A</v>
      </c>
      <c r="J69" s="223" t="str">
        <f>VLOOKUP(B69&amp;E69,'VISIT DATA'!A:N,10,FALSE)</f>
        <v>#N/A</v>
      </c>
      <c r="K69" s="225"/>
      <c r="L69" s="224"/>
      <c r="M69" s="224"/>
      <c r="N69" s="225"/>
      <c r="O69" s="216" t="str">
        <f t="shared" si="1"/>
        <v>X</v>
      </c>
      <c r="P69" s="226" t="str">
        <f t="shared" si="2"/>
        <v>#N/A</v>
      </c>
      <c r="Q69" s="227" t="str">
        <f t="shared" si="3"/>
        <v>#N/A</v>
      </c>
      <c r="R69" s="228" t="str">
        <f t="shared" si="4"/>
        <v>#N/A</v>
      </c>
      <c r="S69" s="220" t="str">
        <f t="shared" si="5"/>
        <v>#N/A</v>
      </c>
      <c r="T69" s="220" t="str">
        <f t="shared" si="6"/>
        <v>#N/A</v>
      </c>
      <c r="U69" s="221">
        <f t="shared" si="7"/>
        <v>0</v>
      </c>
      <c r="V69" s="229" t="str">
        <f>ifs($N69="",VLOOKUP($B69&amp;$E69,'VISIT DATA'!$A$2:$J97,7,FALSE), $N69="SWAB","OUTSA-RW",$N69="SWQU","OUTSA-SaQu", AND($L69="X",$M69="X",$N69="QUEST"),"OUT-UAQPre",$N69="QUEST","OUT-UAQ", $N69="Walk in","ColUATele")</f>
        <v>#N/A</v>
      </c>
      <c r="W69" s="24" t="str">
        <f t="shared" si="8"/>
        <v>#N/A</v>
      </c>
      <c r="X69" s="222" t="str">
        <f t="shared" si="9"/>
        <v/>
      </c>
      <c r="Y69" s="222" t="str">
        <f t="shared" si="10"/>
        <v/>
      </c>
      <c r="Z69" s="224" t="str">
        <f t="shared" si="11"/>
        <v> </v>
      </c>
      <c r="AA69" s="244"/>
    </row>
    <row r="70">
      <c r="A70" s="214" t="str">
        <f>IFS($B70=FALSE,"",$B70,VLOOKUP($B70,'PATIENT DATA (072721)'!A:C, 2, 0))</f>
        <v/>
      </c>
      <c r="B70" s="215"/>
      <c r="C70" s="230" t="str">
        <f>IF(COUNTIF('PATIENT DATA (072721)'!A:A, B70)=0, "X","✓")</f>
        <v>X</v>
      </c>
      <c r="D70" s="226" t="str">
        <f>IFS($B70=FALSE,"",$B70,VLOOKUP($B70,'PATIENT DATA (072721)'!A:C, 3, 0))</f>
        <v/>
      </c>
      <c r="E70" s="218">
        <v>44579.0</v>
      </c>
      <c r="F70" s="219" t="str">
        <f>ifs($B70="","",$B70, VLOOKUP($B70&amp;$E70, 'VISIT DATA'!A:O,3,0))</f>
        <v/>
      </c>
      <c r="G70" s="231"/>
      <c r="H70" s="221" t="str">
        <f>ifs($B70="","",$B70, VLOOKUP($B70&amp;$E70, 'VISIT DATA'!$A:$O,13,0))</f>
        <v/>
      </c>
      <c r="I70" s="262" t="str">
        <f>VLOOKUP($B70&amp;$E70,'VISIT DATA'!A:J, 9, FALSE)</f>
        <v>#N/A</v>
      </c>
      <c r="J70" s="223" t="str">
        <f>VLOOKUP(B70&amp;E70,'VISIT DATA'!A:N,10,FALSE)</f>
        <v>#N/A</v>
      </c>
      <c r="K70" s="225"/>
      <c r="L70" s="224"/>
      <c r="M70" s="224"/>
      <c r="N70" s="225"/>
      <c r="O70" s="216" t="str">
        <f t="shared" si="1"/>
        <v>X</v>
      </c>
      <c r="P70" s="226" t="str">
        <f t="shared" si="2"/>
        <v>#N/A</v>
      </c>
      <c r="Q70" s="227" t="str">
        <f t="shared" si="3"/>
        <v>#N/A</v>
      </c>
      <c r="R70" s="228" t="str">
        <f t="shared" si="4"/>
        <v>#N/A</v>
      </c>
      <c r="S70" s="220" t="str">
        <f t="shared" si="5"/>
        <v>#N/A</v>
      </c>
      <c r="T70" s="220" t="str">
        <f t="shared" si="6"/>
        <v>#N/A</v>
      </c>
      <c r="U70" s="221">
        <f t="shared" si="7"/>
        <v>0</v>
      </c>
      <c r="V70" s="229" t="str">
        <f>ifs($N70="",VLOOKUP($B70&amp;$E70,'VISIT DATA'!$A$2:$J97,7,FALSE), $N70="SWAB","OUTSA-RW",$N70="SWQU","OUTSA-SaQu", AND($L70="X",$M70="X",$N70="QUEST"),"OUT-UAQPre",$N70="QUEST","OUT-UAQ", $N70="Walk in","ColUATele")</f>
        <v>#N/A</v>
      </c>
      <c r="W70" s="24" t="str">
        <f t="shared" si="8"/>
        <v>#N/A</v>
      </c>
      <c r="X70" s="222" t="str">
        <f t="shared" si="9"/>
        <v/>
      </c>
      <c r="Y70" s="222" t="str">
        <f t="shared" si="10"/>
        <v/>
      </c>
      <c r="Z70" s="224" t="str">
        <f t="shared" si="11"/>
        <v> </v>
      </c>
      <c r="AA70" s="244"/>
    </row>
    <row r="71">
      <c r="A71" s="214" t="str">
        <f>IFS($B71=FALSE,"",$B71,VLOOKUP($B71,'PATIENT DATA (072721)'!A:C, 2, 0))</f>
        <v/>
      </c>
      <c r="B71" s="215"/>
      <c r="C71" s="230" t="str">
        <f>IF(COUNTIF('PATIENT DATA (072721)'!A:A, B71)=0, "X","✓")</f>
        <v>X</v>
      </c>
      <c r="D71" s="226" t="str">
        <f>IFS($B71=FALSE,"",$B71,VLOOKUP($B71,'PATIENT DATA (072721)'!A:C, 3, 0))</f>
        <v/>
      </c>
      <c r="E71" s="218">
        <v>44579.0</v>
      </c>
      <c r="F71" s="219" t="str">
        <f>ifs($B71="","",$B71, VLOOKUP($B71&amp;$E71, 'VISIT DATA'!A:O,3,0))</f>
        <v/>
      </c>
      <c r="G71" s="231"/>
      <c r="H71" s="221" t="str">
        <f>ifs($B71="","",$B71, VLOOKUP($B71&amp;$E71, 'VISIT DATA'!$A:$O,13,0))</f>
        <v/>
      </c>
      <c r="I71" s="262" t="str">
        <f>VLOOKUP($B71&amp;$E71,'VISIT DATA'!A:J, 9, FALSE)</f>
        <v>#N/A</v>
      </c>
      <c r="J71" s="223" t="str">
        <f>VLOOKUP(B71&amp;E71,'VISIT DATA'!A:N,10,FALSE)</f>
        <v>#N/A</v>
      </c>
      <c r="K71" s="225"/>
      <c r="L71" s="224"/>
      <c r="M71" s="224"/>
      <c r="N71" s="225"/>
      <c r="O71" s="216" t="str">
        <f t="shared" si="1"/>
        <v>X</v>
      </c>
      <c r="P71" s="226" t="str">
        <f t="shared" si="2"/>
        <v>#N/A</v>
      </c>
      <c r="Q71" s="227" t="str">
        <f t="shared" si="3"/>
        <v>#N/A</v>
      </c>
      <c r="R71" s="228" t="str">
        <f t="shared" si="4"/>
        <v>#N/A</v>
      </c>
      <c r="S71" s="220" t="str">
        <f t="shared" si="5"/>
        <v>#N/A</v>
      </c>
      <c r="T71" s="220" t="str">
        <f t="shared" si="6"/>
        <v>#N/A</v>
      </c>
      <c r="U71" s="221">
        <f t="shared" si="7"/>
        <v>0</v>
      </c>
      <c r="V71" s="229" t="str">
        <f>ifs($N71="",VLOOKUP($B71&amp;$E71,'VISIT DATA'!$A$2:$J97,7,FALSE), $N71="SWAB","OUTSA-RW",$N71="SWQU","OUTSA-SaQu", AND($L71="X",$M71="X",$N71="QUEST"),"OUT-UAQPre",$N71="QUEST","OUT-UAQ", $N71="Walk in","ColUATele")</f>
        <v>#N/A</v>
      </c>
      <c r="W71" s="24" t="str">
        <f t="shared" si="8"/>
        <v>#N/A</v>
      </c>
      <c r="X71" s="222" t="str">
        <f t="shared" si="9"/>
        <v/>
      </c>
      <c r="Y71" s="222" t="str">
        <f t="shared" si="10"/>
        <v/>
      </c>
      <c r="Z71" s="224" t="str">
        <f t="shared" si="11"/>
        <v> </v>
      </c>
      <c r="AA71" s="244"/>
    </row>
    <row r="72">
      <c r="A72" s="214" t="str">
        <f>IFS($B72=FALSE,"",$B72,VLOOKUP($B72,'PATIENT DATA (072721)'!A:C, 2, 0))</f>
        <v/>
      </c>
      <c r="B72" s="215"/>
      <c r="C72" s="230" t="str">
        <f>IF(COUNTIF('PATIENT DATA (072721)'!A:A, B72)=0, "X","✓")</f>
        <v>X</v>
      </c>
      <c r="D72" s="226" t="str">
        <f>IFS($B72=FALSE,"",$B72,VLOOKUP($B72,'PATIENT DATA (072721)'!A:C, 3, 0))</f>
        <v/>
      </c>
      <c r="E72" s="218">
        <v>44579.0</v>
      </c>
      <c r="F72" s="219" t="str">
        <f>ifs($B72="","",$B72, VLOOKUP($B72&amp;$E72, 'VISIT DATA'!A:O,3,0))</f>
        <v/>
      </c>
      <c r="G72" s="231"/>
      <c r="H72" s="221" t="str">
        <f>ifs($B72="","",$B72, VLOOKUP($B72&amp;$E72, 'VISIT DATA'!$A:$O,13,0))</f>
        <v/>
      </c>
      <c r="I72" s="262" t="str">
        <f>VLOOKUP($B72&amp;$E72,'VISIT DATA'!A:J, 9, FALSE)</f>
        <v>#N/A</v>
      </c>
      <c r="J72" s="223" t="str">
        <f>VLOOKUP(B72&amp;E72,'VISIT DATA'!A:N,10,FALSE)</f>
        <v>#N/A</v>
      </c>
      <c r="K72" s="225"/>
      <c r="L72" s="224"/>
      <c r="M72" s="224"/>
      <c r="N72" s="225"/>
      <c r="O72" s="216" t="str">
        <f t="shared" si="1"/>
        <v>X</v>
      </c>
      <c r="P72" s="226" t="str">
        <f t="shared" si="2"/>
        <v>#N/A</v>
      </c>
      <c r="Q72" s="227" t="str">
        <f t="shared" si="3"/>
        <v>#N/A</v>
      </c>
      <c r="R72" s="228" t="str">
        <f t="shared" si="4"/>
        <v>#N/A</v>
      </c>
      <c r="S72" s="220" t="str">
        <f t="shared" si="5"/>
        <v>#N/A</v>
      </c>
      <c r="T72" s="220" t="str">
        <f t="shared" si="6"/>
        <v>#N/A</v>
      </c>
      <c r="U72" s="221">
        <f t="shared" si="7"/>
        <v>0</v>
      </c>
      <c r="V72" s="229" t="str">
        <f>ifs($N72="",VLOOKUP($B72&amp;$E72,'VISIT DATA'!$A$2:$J97,7,FALSE), $N72="SWAB","OUTSA-RW",$N72="SWQU","OUTSA-SaQu", AND($L72="X",$M72="X",$N72="QUEST"),"OUT-UAQPre",$N72="QUEST","OUT-UAQ", $N72="Walk in","ColUATele")</f>
        <v>#N/A</v>
      </c>
      <c r="W72" s="24" t="str">
        <f t="shared" si="8"/>
        <v>#N/A</v>
      </c>
      <c r="X72" s="222" t="str">
        <f t="shared" si="9"/>
        <v/>
      </c>
      <c r="Y72" s="222" t="str">
        <f t="shared" si="10"/>
        <v/>
      </c>
      <c r="Z72" s="224" t="str">
        <f t="shared" si="11"/>
        <v> </v>
      </c>
      <c r="AA72" s="244"/>
    </row>
    <row r="73">
      <c r="A73" s="214" t="str">
        <f>IFS($B73=FALSE,"",$B73,VLOOKUP($B73,'PATIENT DATA (072721)'!A:C, 2, 0))</f>
        <v/>
      </c>
      <c r="B73" s="215"/>
      <c r="C73" s="230" t="str">
        <f>IF(COUNTIF('PATIENT DATA (072721)'!A:A, B73)=0, "X","✓")</f>
        <v>X</v>
      </c>
      <c r="D73" s="226" t="str">
        <f>IFS($B73=FALSE,"",$B73,VLOOKUP($B73,'PATIENT DATA (072721)'!A:C, 3, 0))</f>
        <v/>
      </c>
      <c r="E73" s="218">
        <v>44579.0</v>
      </c>
      <c r="F73" s="219" t="str">
        <f>ifs($B73="","",$B73, VLOOKUP($B73&amp;$E73, 'VISIT DATA'!A:O,3,0))</f>
        <v/>
      </c>
      <c r="G73" s="231"/>
      <c r="H73" s="221" t="str">
        <f>ifs($B73="","",$B73, VLOOKUP($B73&amp;$E73, 'VISIT DATA'!$A:$O,13,0))</f>
        <v/>
      </c>
      <c r="I73" s="262" t="str">
        <f>VLOOKUP($B73&amp;$E73,'VISIT DATA'!A:J, 9, FALSE)</f>
        <v>#N/A</v>
      </c>
      <c r="J73" s="223" t="str">
        <f>VLOOKUP(B73&amp;E73,'VISIT DATA'!A:N,10,FALSE)</f>
        <v>#N/A</v>
      </c>
      <c r="K73" s="225"/>
      <c r="L73" s="224"/>
      <c r="M73" s="224"/>
      <c r="N73" s="225"/>
      <c r="O73" s="216" t="str">
        <f t="shared" si="1"/>
        <v>X</v>
      </c>
      <c r="P73" s="226" t="str">
        <f t="shared" si="2"/>
        <v>#N/A</v>
      </c>
      <c r="Q73" s="227" t="str">
        <f t="shared" si="3"/>
        <v>#N/A</v>
      </c>
      <c r="R73" s="228" t="str">
        <f t="shared" si="4"/>
        <v>#N/A</v>
      </c>
      <c r="S73" s="220" t="str">
        <f t="shared" si="5"/>
        <v>#N/A</v>
      </c>
      <c r="T73" s="220" t="str">
        <f t="shared" si="6"/>
        <v>#N/A</v>
      </c>
      <c r="U73" s="221">
        <f t="shared" si="7"/>
        <v>0</v>
      </c>
      <c r="V73" s="229" t="str">
        <f>ifs($N73="",VLOOKUP($B73&amp;$E73,'VISIT DATA'!$A$2:$J97,7,FALSE), $N73="SWAB","OUTSA-RW",$N73="SWQU","OUTSA-SaQu", AND($L73="X",$M73="X",$N73="QUEST"),"OUT-UAQPre",$N73="QUEST","OUT-UAQ", $N73="Walk in","ColUATele")</f>
        <v>#N/A</v>
      </c>
      <c r="W73" s="24" t="str">
        <f t="shared" si="8"/>
        <v>#N/A</v>
      </c>
      <c r="X73" s="222" t="str">
        <f t="shared" si="9"/>
        <v/>
      </c>
      <c r="Y73" s="222" t="str">
        <f t="shared" si="10"/>
        <v/>
      </c>
      <c r="Z73" s="224" t="str">
        <f t="shared" si="11"/>
        <v> </v>
      </c>
      <c r="AA73" s="244"/>
    </row>
    <row r="74">
      <c r="A74" s="214" t="str">
        <f>IFS($B74=FALSE,"",$B74,VLOOKUP($B74,'PATIENT DATA (072721)'!A:C, 2, 0))</f>
        <v/>
      </c>
      <c r="B74" s="215"/>
      <c r="C74" s="230" t="str">
        <f>IF(COUNTIF('PATIENT DATA (072721)'!A:A, B74)=0, "X","✓")</f>
        <v>X</v>
      </c>
      <c r="D74" s="226" t="str">
        <f>IFS($B74=FALSE,"",$B74,VLOOKUP($B74,'PATIENT DATA (072721)'!A:C, 3, 0))</f>
        <v/>
      </c>
      <c r="E74" s="218">
        <v>44579.0</v>
      </c>
      <c r="F74" s="219" t="str">
        <f>ifs($B74="","",$B74, VLOOKUP($B74&amp;$E74, 'VISIT DATA'!A:O,3,0))</f>
        <v/>
      </c>
      <c r="G74" s="231"/>
      <c r="H74" s="221" t="str">
        <f>ifs($B74="","",$B74, VLOOKUP($B74&amp;$E74, 'VISIT DATA'!$A:$O,13,0))</f>
        <v/>
      </c>
      <c r="I74" s="262" t="str">
        <f>VLOOKUP($B74&amp;$E74,'VISIT DATA'!A:J, 9, FALSE)</f>
        <v>#N/A</v>
      </c>
      <c r="J74" s="223" t="str">
        <f>VLOOKUP(B74&amp;E74,'VISIT DATA'!A:N,10,FALSE)</f>
        <v>#N/A</v>
      </c>
      <c r="K74" s="225"/>
      <c r="L74" s="224"/>
      <c r="M74" s="224"/>
      <c r="N74" s="225"/>
      <c r="O74" s="216" t="str">
        <f t="shared" si="1"/>
        <v>X</v>
      </c>
      <c r="P74" s="226" t="str">
        <f t="shared" si="2"/>
        <v>#N/A</v>
      </c>
      <c r="Q74" s="227" t="str">
        <f t="shared" si="3"/>
        <v>#N/A</v>
      </c>
      <c r="R74" s="228" t="str">
        <f t="shared" si="4"/>
        <v>#N/A</v>
      </c>
      <c r="S74" s="220" t="str">
        <f t="shared" si="5"/>
        <v>#N/A</v>
      </c>
      <c r="T74" s="220" t="str">
        <f t="shared" si="6"/>
        <v>#N/A</v>
      </c>
      <c r="U74" s="221">
        <f t="shared" si="7"/>
        <v>0</v>
      </c>
      <c r="V74" s="229" t="str">
        <f>ifs($N74="",VLOOKUP($B74&amp;$E74,'VISIT DATA'!$A$2:$J97,7,FALSE), $N74="SWAB","OUTSA-RW",$N74="SWQU","OUTSA-SaQu", AND($L74="X",$M74="X",$N74="QUEST"),"OUT-UAQPre",$N74="QUEST","OUT-UAQ", $N74="Walk in","ColUATele")</f>
        <v>#N/A</v>
      </c>
      <c r="W74" s="24" t="str">
        <f t="shared" si="8"/>
        <v>#N/A</v>
      </c>
      <c r="X74" s="222" t="str">
        <f t="shared" si="9"/>
        <v/>
      </c>
      <c r="Y74" s="222" t="str">
        <f t="shared" si="10"/>
        <v/>
      </c>
      <c r="Z74" s="224" t="str">
        <f t="shared" si="11"/>
        <v> </v>
      </c>
      <c r="AA74" s="244"/>
    </row>
    <row r="75">
      <c r="A75" s="214" t="str">
        <f>IFS($B75=FALSE,"",$B75,VLOOKUP($B75,'PATIENT DATA (072721)'!A:C, 2, 0))</f>
        <v/>
      </c>
      <c r="B75" s="215"/>
      <c r="C75" s="230" t="str">
        <f>IF(COUNTIF('PATIENT DATA (072721)'!A:A, B75)=0, "X","✓")</f>
        <v>X</v>
      </c>
      <c r="D75" s="226" t="str">
        <f>IFS($B75=FALSE,"",$B75,VLOOKUP($B75,'PATIENT DATA (072721)'!A:C, 3, 0))</f>
        <v/>
      </c>
      <c r="E75" s="218">
        <v>44579.0</v>
      </c>
      <c r="F75" s="219" t="str">
        <f>ifs($B75="","",$B75, VLOOKUP($B75&amp;$E75, 'VISIT DATA'!A:O,3,0))</f>
        <v/>
      </c>
      <c r="G75" s="231"/>
      <c r="H75" s="221" t="str">
        <f>ifs($B75="","",$B75, VLOOKUP($B75&amp;$E75, 'VISIT DATA'!$A:$O,13,0))</f>
        <v/>
      </c>
      <c r="I75" s="262" t="str">
        <f>VLOOKUP($B75&amp;$E75,'VISIT DATA'!A:J, 9, FALSE)</f>
        <v>#N/A</v>
      </c>
      <c r="J75" s="223" t="str">
        <f>VLOOKUP(B75&amp;E75,'VISIT DATA'!A:N,10,FALSE)</f>
        <v>#N/A</v>
      </c>
      <c r="K75" s="225"/>
      <c r="L75" s="224"/>
      <c r="M75" s="224"/>
      <c r="N75" s="225"/>
      <c r="O75" s="216" t="str">
        <f t="shared" si="1"/>
        <v>X</v>
      </c>
      <c r="P75" s="226" t="str">
        <f t="shared" si="2"/>
        <v>#N/A</v>
      </c>
      <c r="Q75" s="227" t="str">
        <f t="shared" si="3"/>
        <v>#N/A</v>
      </c>
      <c r="R75" s="228" t="str">
        <f t="shared" si="4"/>
        <v>#N/A</v>
      </c>
      <c r="S75" s="220" t="str">
        <f t="shared" si="5"/>
        <v>#N/A</v>
      </c>
      <c r="T75" s="220" t="str">
        <f t="shared" si="6"/>
        <v>#N/A</v>
      </c>
      <c r="U75" s="221">
        <f t="shared" si="7"/>
        <v>0</v>
      </c>
      <c r="V75" s="229" t="str">
        <f>ifs($N75="",VLOOKUP($B75&amp;$E75,'VISIT DATA'!$A$2:$J97,7,FALSE), $N75="SWAB","OUTSA-RW",$N75="SWQU","OUTSA-SaQu", AND($L75="X",$M75="X",$N75="QUEST"),"OUT-UAQPre",$N75="QUEST","OUT-UAQ", $N75="Walk in","ColUATele")</f>
        <v>#N/A</v>
      </c>
      <c r="W75" s="24" t="str">
        <f t="shared" si="8"/>
        <v>#N/A</v>
      </c>
      <c r="X75" s="222" t="str">
        <f t="shared" si="9"/>
        <v/>
      </c>
      <c r="Y75" s="222" t="str">
        <f t="shared" si="10"/>
        <v/>
      </c>
      <c r="Z75" s="224" t="str">
        <f t="shared" si="11"/>
        <v> </v>
      </c>
      <c r="AA75" s="244"/>
    </row>
    <row r="76">
      <c r="A76" s="214" t="str">
        <f>IFS($B76=FALSE,"",$B76,VLOOKUP($B76,'PATIENT DATA (072721)'!A:C, 2, 0))</f>
        <v/>
      </c>
      <c r="B76" s="215"/>
      <c r="C76" s="230" t="str">
        <f>IF(COUNTIF('PATIENT DATA (072721)'!A:A, B76)=0, "X","✓")</f>
        <v>X</v>
      </c>
      <c r="D76" s="226" t="str">
        <f>IFS($B76=FALSE,"",$B76,VLOOKUP($B76,'PATIENT DATA (072721)'!A:C, 3, 0))</f>
        <v/>
      </c>
      <c r="E76" s="218">
        <v>44579.0</v>
      </c>
      <c r="F76" s="219" t="str">
        <f>ifs($B76="","",$B76, VLOOKUP($B76&amp;$E76, 'VISIT DATA'!A:O,3,0))</f>
        <v/>
      </c>
      <c r="G76" s="231"/>
      <c r="H76" s="221" t="str">
        <f>ifs($B76="","",$B76, VLOOKUP($B76&amp;$E76, 'VISIT DATA'!$A:$O,13,0))</f>
        <v/>
      </c>
      <c r="I76" s="262" t="str">
        <f>VLOOKUP($B76&amp;$E76,'VISIT DATA'!A:J, 9, FALSE)</f>
        <v>#N/A</v>
      </c>
      <c r="J76" s="223" t="str">
        <f>VLOOKUP(B76&amp;E76,'VISIT DATA'!A:N,10,FALSE)</f>
        <v>#N/A</v>
      </c>
      <c r="K76" s="225"/>
      <c r="L76" s="224"/>
      <c r="M76" s="224"/>
      <c r="N76" s="225"/>
      <c r="O76" s="216" t="str">
        <f t="shared" si="1"/>
        <v>X</v>
      </c>
      <c r="P76" s="226" t="str">
        <f t="shared" si="2"/>
        <v>#N/A</v>
      </c>
      <c r="Q76" s="227" t="str">
        <f t="shared" si="3"/>
        <v>#N/A</v>
      </c>
      <c r="R76" s="228" t="str">
        <f t="shared" si="4"/>
        <v>#N/A</v>
      </c>
      <c r="S76" s="220" t="str">
        <f t="shared" si="5"/>
        <v>#N/A</v>
      </c>
      <c r="T76" s="220" t="str">
        <f t="shared" si="6"/>
        <v>#N/A</v>
      </c>
      <c r="U76" s="221">
        <f t="shared" si="7"/>
        <v>0</v>
      </c>
      <c r="V76" s="229" t="str">
        <f>ifs($N76="",VLOOKUP($B76&amp;$E76,'VISIT DATA'!$A$2:$J97,7,FALSE), $N76="SWAB","OUTSA-RW",$N76="SWQU","OUTSA-SaQu", AND($L76="X",$M76="X",$N76="QUEST"),"OUT-UAQPre",$N76="QUEST","OUT-UAQ", $N76="Walk in","ColUATele")</f>
        <v>#N/A</v>
      </c>
      <c r="W76" s="24" t="str">
        <f t="shared" si="8"/>
        <v>#N/A</v>
      </c>
      <c r="X76" s="222" t="str">
        <f t="shared" si="9"/>
        <v/>
      </c>
      <c r="Y76" s="222" t="str">
        <f t="shared" si="10"/>
        <v/>
      </c>
      <c r="Z76" s="224" t="str">
        <f t="shared" si="11"/>
        <v> </v>
      </c>
      <c r="AA76" s="244"/>
    </row>
    <row r="77">
      <c r="A77" s="214" t="str">
        <f>IFS($B77=FALSE,"",$B77,VLOOKUP($B77,'PATIENT DATA (072721)'!A:C, 2, 0))</f>
        <v/>
      </c>
      <c r="B77" s="215"/>
      <c r="C77" s="230" t="str">
        <f>IF(COUNTIF('PATIENT DATA (072721)'!A:A, B77)=0, "X","✓")</f>
        <v>X</v>
      </c>
      <c r="D77" s="226" t="str">
        <f>IFS($B77=FALSE,"",$B77,VLOOKUP($B77,'PATIENT DATA (072721)'!A:C, 3, 0))</f>
        <v/>
      </c>
      <c r="E77" s="218">
        <v>44579.0</v>
      </c>
      <c r="F77" s="219" t="str">
        <f>ifs($B77="","",$B77, VLOOKUP($B77&amp;$E77, 'VISIT DATA'!A:O,3,0))</f>
        <v/>
      </c>
      <c r="G77" s="231"/>
      <c r="H77" s="221" t="str">
        <f>ifs($B77="","",$B77, VLOOKUP($B77&amp;$E77, 'VISIT DATA'!$A:$O,13,0))</f>
        <v/>
      </c>
      <c r="I77" s="262" t="str">
        <f>VLOOKUP($B77&amp;$E77,'VISIT DATA'!A:J, 9, FALSE)</f>
        <v>#N/A</v>
      </c>
      <c r="J77" s="223" t="str">
        <f>VLOOKUP(B77&amp;E77,'VISIT DATA'!A:N,10,FALSE)</f>
        <v>#N/A</v>
      </c>
      <c r="K77" s="225"/>
      <c r="L77" s="224"/>
      <c r="M77" s="224"/>
      <c r="N77" s="225"/>
      <c r="O77" s="216" t="str">
        <f t="shared" si="1"/>
        <v>X</v>
      </c>
      <c r="P77" s="226" t="str">
        <f t="shared" si="2"/>
        <v>#N/A</v>
      </c>
      <c r="Q77" s="227" t="str">
        <f t="shared" si="3"/>
        <v>#N/A</v>
      </c>
      <c r="R77" s="228" t="str">
        <f t="shared" si="4"/>
        <v>#N/A</v>
      </c>
      <c r="S77" s="220" t="str">
        <f t="shared" si="5"/>
        <v>#N/A</v>
      </c>
      <c r="T77" s="220" t="str">
        <f t="shared" si="6"/>
        <v>#N/A</v>
      </c>
      <c r="U77" s="221">
        <f t="shared" si="7"/>
        <v>0</v>
      </c>
      <c r="V77" s="229" t="str">
        <f>ifs($N77="",VLOOKUP($B77&amp;$E77,'VISIT DATA'!$A$2:$J97,7,FALSE), $N77="SWAB","OUTSA-RW",$N77="SWQU","OUTSA-SaQu", AND($L77="X",$M77="X",$N77="QUEST"),"OUT-UAQPre",$N77="QUEST","OUT-UAQ", $N77="Walk in","ColUATele")</f>
        <v>#N/A</v>
      </c>
      <c r="W77" s="24" t="str">
        <f t="shared" si="8"/>
        <v>#N/A</v>
      </c>
      <c r="X77" s="222" t="str">
        <f t="shared" si="9"/>
        <v/>
      </c>
      <c r="Y77" s="222" t="str">
        <f t="shared" si="10"/>
        <v/>
      </c>
      <c r="Z77" s="224" t="str">
        <f t="shared" si="11"/>
        <v> </v>
      </c>
      <c r="AA77" s="244"/>
    </row>
    <row r="78">
      <c r="A78" s="214" t="str">
        <f>IFS($B78=FALSE,"",$B78,VLOOKUP($B78,'PATIENT DATA (072721)'!A:C, 2, 0))</f>
        <v/>
      </c>
      <c r="B78" s="215"/>
      <c r="C78" s="230" t="str">
        <f>IF(COUNTIF('PATIENT DATA (072721)'!A:A, B78)=0, "X","✓")</f>
        <v>X</v>
      </c>
      <c r="D78" s="226" t="str">
        <f>IFS($B78=FALSE,"",$B78,VLOOKUP($B78,'PATIENT DATA (072721)'!A:C, 3, 0))</f>
        <v/>
      </c>
      <c r="E78" s="218">
        <v>44579.0</v>
      </c>
      <c r="F78" s="219" t="str">
        <f>ifs($B78="","",$B78, VLOOKUP($B78&amp;$E78, 'VISIT DATA'!A:O,3,0))</f>
        <v/>
      </c>
      <c r="G78" s="231"/>
      <c r="H78" s="221" t="str">
        <f>ifs($B78="","",$B78, VLOOKUP($B78&amp;$E78, 'VISIT DATA'!$A:$O,13,0))</f>
        <v/>
      </c>
      <c r="I78" s="262" t="str">
        <f>VLOOKUP($B78&amp;$E78,'VISIT DATA'!A:J, 9, FALSE)</f>
        <v>#N/A</v>
      </c>
      <c r="J78" s="223" t="str">
        <f>VLOOKUP(B78&amp;E78,'VISIT DATA'!A:N,10,FALSE)</f>
        <v>#N/A</v>
      </c>
      <c r="K78" s="225"/>
      <c r="L78" s="224"/>
      <c r="M78" s="224"/>
      <c r="N78" s="225"/>
      <c r="O78" s="216" t="str">
        <f t="shared" si="1"/>
        <v>X</v>
      </c>
      <c r="P78" s="226" t="str">
        <f t="shared" si="2"/>
        <v>#N/A</v>
      </c>
      <c r="Q78" s="227" t="str">
        <f t="shared" si="3"/>
        <v>#N/A</v>
      </c>
      <c r="R78" s="228" t="str">
        <f t="shared" si="4"/>
        <v>#N/A</v>
      </c>
      <c r="S78" s="220" t="str">
        <f t="shared" si="5"/>
        <v>#N/A</v>
      </c>
      <c r="T78" s="220" t="str">
        <f t="shared" si="6"/>
        <v>#N/A</v>
      </c>
      <c r="U78" s="221">
        <f t="shared" si="7"/>
        <v>0</v>
      </c>
      <c r="V78" s="229" t="str">
        <f>ifs($N78="",VLOOKUP($B78&amp;$E78,'VISIT DATA'!$A$2:$J97,7,FALSE), $N78="SWAB","OUTSA-RW",$N78="SWQU","OUTSA-SaQu", AND($L78="X",$M78="X",$N78="QUEST"),"OUT-UAQPre",$N78="QUEST","OUT-UAQ", $N78="Walk in","ColUATele")</f>
        <v>#N/A</v>
      </c>
      <c r="W78" s="24" t="str">
        <f t="shared" si="8"/>
        <v>#N/A</v>
      </c>
      <c r="X78" s="222" t="str">
        <f t="shared" si="9"/>
        <v/>
      </c>
      <c r="Y78" s="222" t="str">
        <f t="shared" si="10"/>
        <v/>
      </c>
      <c r="Z78" s="224" t="str">
        <f t="shared" si="11"/>
        <v> </v>
      </c>
      <c r="AA78" s="244"/>
    </row>
    <row r="79">
      <c r="A79" s="214" t="str">
        <f>IFS($B79=FALSE,"",$B79,VLOOKUP($B79,'PATIENT DATA (072721)'!A:C, 2, 0))</f>
        <v/>
      </c>
      <c r="B79" s="215"/>
      <c r="C79" s="230" t="str">
        <f>IF(COUNTIF('PATIENT DATA (072721)'!A:A, B79)=0, "X","✓")</f>
        <v>X</v>
      </c>
      <c r="D79" s="226" t="str">
        <f>IFS($B79=FALSE,"",$B79,VLOOKUP($B79,'PATIENT DATA (072721)'!A:C, 3, 0))</f>
        <v/>
      </c>
      <c r="E79" s="218">
        <v>44579.0</v>
      </c>
      <c r="F79" s="219" t="str">
        <f>ifs($B79="","",$B79, VLOOKUP($B79&amp;$E79, 'VISIT DATA'!A:O,3,0))</f>
        <v/>
      </c>
      <c r="G79" s="231"/>
      <c r="H79" s="221" t="str">
        <f>ifs($B79="","",$B79, VLOOKUP($B79&amp;$E79, 'VISIT DATA'!$A:$O,13,0))</f>
        <v/>
      </c>
      <c r="I79" s="262" t="str">
        <f>VLOOKUP($B79&amp;$E79,'VISIT DATA'!A:J, 9, FALSE)</f>
        <v>#N/A</v>
      </c>
      <c r="J79" s="223" t="str">
        <f>VLOOKUP(B79&amp;E79,'VISIT DATA'!A:N,10,FALSE)</f>
        <v>#N/A</v>
      </c>
      <c r="K79" s="225"/>
      <c r="L79" s="224"/>
      <c r="M79" s="224"/>
      <c r="N79" s="225"/>
      <c r="O79" s="216" t="str">
        <f t="shared" si="1"/>
        <v>X</v>
      </c>
      <c r="P79" s="226" t="str">
        <f t="shared" si="2"/>
        <v>#N/A</v>
      </c>
      <c r="Q79" s="227" t="str">
        <f t="shared" si="3"/>
        <v>#N/A</v>
      </c>
      <c r="R79" s="228" t="str">
        <f t="shared" si="4"/>
        <v>#N/A</v>
      </c>
      <c r="S79" s="220" t="str">
        <f t="shared" si="5"/>
        <v>#N/A</v>
      </c>
      <c r="T79" s="220" t="str">
        <f t="shared" si="6"/>
        <v>#N/A</v>
      </c>
      <c r="U79" s="221">
        <f t="shared" si="7"/>
        <v>0</v>
      </c>
      <c r="V79" s="229" t="str">
        <f>ifs($N79="",VLOOKUP($B79&amp;$E79,'VISIT DATA'!$A$2:$J97,7,FALSE), $N79="SWAB","OUTSA-RW",$N79="SWQU","OUTSA-SaQu", AND($L79="X",$M79="X",$N79="QUEST"),"OUT-UAQPre",$N79="QUEST","OUT-UAQ", $N79="Walk in","ColUATele")</f>
        <v>#N/A</v>
      </c>
      <c r="W79" s="24" t="str">
        <f t="shared" si="8"/>
        <v>#N/A</v>
      </c>
      <c r="X79" s="222" t="str">
        <f t="shared" si="9"/>
        <v/>
      </c>
      <c r="Y79" s="222" t="str">
        <f t="shared" si="10"/>
        <v/>
      </c>
      <c r="Z79" s="224" t="str">
        <f t="shared" si="11"/>
        <v> </v>
      </c>
      <c r="AA79" s="244"/>
    </row>
    <row r="80">
      <c r="A80" s="214" t="str">
        <f>IFS($B80=FALSE,"",$B80,VLOOKUP($B80,'PATIENT DATA (072721)'!A:C, 2, 0))</f>
        <v/>
      </c>
      <c r="B80" s="215"/>
      <c r="C80" s="230" t="str">
        <f>IF(COUNTIF('PATIENT DATA (072721)'!A:A, B80)=0, "X","✓")</f>
        <v>X</v>
      </c>
      <c r="D80" s="226" t="str">
        <f>IFS($B80=FALSE,"",$B80,VLOOKUP($B80,'PATIENT DATA (072721)'!A:C, 3, 0))</f>
        <v/>
      </c>
      <c r="E80" s="218">
        <v>44579.0</v>
      </c>
      <c r="F80" s="219" t="str">
        <f>ifs($B80="","",$B80, VLOOKUP($B80&amp;$E80, 'VISIT DATA'!A:O,3,0))</f>
        <v/>
      </c>
      <c r="G80" s="231"/>
      <c r="H80" s="221" t="str">
        <f>ifs($B80="","",$B80, VLOOKUP($B80&amp;$E80, 'VISIT DATA'!$A:$O,13,0))</f>
        <v/>
      </c>
      <c r="I80" s="262" t="str">
        <f>VLOOKUP($B80&amp;$E80,'VISIT DATA'!A:J, 9, FALSE)</f>
        <v>#N/A</v>
      </c>
      <c r="J80" s="223" t="str">
        <f>VLOOKUP(B80&amp;E80,'VISIT DATA'!A:N,10,FALSE)</f>
        <v>#N/A</v>
      </c>
      <c r="K80" s="225"/>
      <c r="L80" s="224"/>
      <c r="M80" s="224"/>
      <c r="N80" s="225"/>
      <c r="O80" s="216" t="str">
        <f t="shared" si="1"/>
        <v>X</v>
      </c>
      <c r="P80" s="226" t="str">
        <f t="shared" si="2"/>
        <v>#N/A</v>
      </c>
      <c r="Q80" s="227" t="str">
        <f t="shared" si="3"/>
        <v>#N/A</v>
      </c>
      <c r="R80" s="228" t="str">
        <f t="shared" si="4"/>
        <v>#N/A</v>
      </c>
      <c r="S80" s="220" t="str">
        <f t="shared" si="5"/>
        <v>#N/A</v>
      </c>
      <c r="T80" s="220" t="str">
        <f t="shared" si="6"/>
        <v>#N/A</v>
      </c>
      <c r="U80" s="221">
        <f t="shared" si="7"/>
        <v>0</v>
      </c>
      <c r="V80" s="229" t="str">
        <f>ifs($N80="",VLOOKUP($B80&amp;$E80,'VISIT DATA'!$A$2:$J97,7,FALSE), $N80="SWAB","OUTSA-RW",$N80="SWQU","OUTSA-SaQu", AND($L80="X",$M80="X",$N80="QUEST"),"OUT-UAQPre",$N80="QUEST","OUT-UAQ", $N80="Walk in","ColUATele")</f>
        <v>#N/A</v>
      </c>
      <c r="W80" s="24" t="str">
        <f t="shared" si="8"/>
        <v>#N/A</v>
      </c>
      <c r="X80" s="222" t="str">
        <f t="shared" si="9"/>
        <v/>
      </c>
      <c r="Y80" s="222" t="str">
        <f t="shared" si="10"/>
        <v/>
      </c>
      <c r="Z80" s="224" t="str">
        <f t="shared" si="11"/>
        <v> </v>
      </c>
      <c r="AA80" s="244"/>
    </row>
    <row r="81">
      <c r="A81" s="214" t="str">
        <f>IFS($B81=FALSE,"",$B81,VLOOKUP($B81,'PATIENT DATA (072721)'!A:C, 2, 0))</f>
        <v/>
      </c>
      <c r="B81" s="215"/>
      <c r="C81" s="230" t="str">
        <f>IF(COUNTIF('PATIENT DATA (072721)'!A:A, B81)=0, "X","✓")</f>
        <v>X</v>
      </c>
      <c r="D81" s="226" t="str">
        <f>IFS($B81=FALSE,"",$B81,VLOOKUP($B81,'PATIENT DATA (072721)'!A:C, 3, 0))</f>
        <v/>
      </c>
      <c r="E81" s="218">
        <v>44579.0</v>
      </c>
      <c r="F81" s="219" t="str">
        <f>ifs($B81="","",$B81, VLOOKUP($B81&amp;$E81, 'VISIT DATA'!A:O,3,0))</f>
        <v/>
      </c>
      <c r="G81" s="231"/>
      <c r="H81" s="221" t="str">
        <f>ifs($B81="","",$B81, VLOOKUP($B81&amp;$E81, 'VISIT DATA'!$A:$O,13,0))</f>
        <v/>
      </c>
      <c r="I81" s="262" t="str">
        <f>VLOOKUP($B81&amp;$E81,'VISIT DATA'!A:J, 9, FALSE)</f>
        <v>#N/A</v>
      </c>
      <c r="J81" s="223" t="str">
        <f>VLOOKUP(B81&amp;E81,'VISIT DATA'!A:N,10,FALSE)</f>
        <v>#N/A</v>
      </c>
      <c r="K81" s="225"/>
      <c r="L81" s="224"/>
      <c r="M81" s="224"/>
      <c r="N81" s="225"/>
      <c r="O81" s="216" t="str">
        <f t="shared" si="1"/>
        <v>X</v>
      </c>
      <c r="P81" s="226" t="str">
        <f t="shared" si="2"/>
        <v>#N/A</v>
      </c>
      <c r="Q81" s="227" t="str">
        <f t="shared" si="3"/>
        <v>#N/A</v>
      </c>
      <c r="R81" s="228" t="str">
        <f t="shared" si="4"/>
        <v>#N/A</v>
      </c>
      <c r="S81" s="220" t="str">
        <f t="shared" si="5"/>
        <v>#N/A</v>
      </c>
      <c r="T81" s="220" t="str">
        <f t="shared" si="6"/>
        <v>#N/A</v>
      </c>
      <c r="U81" s="221">
        <f t="shared" si="7"/>
        <v>0</v>
      </c>
      <c r="V81" s="229" t="str">
        <f>ifs($N81="",VLOOKUP($B81&amp;$E81,'VISIT DATA'!$A$2:$J97,7,FALSE), $N81="SWAB","OUTSA-RW",$N81="SWQU","OUTSA-SaQu", AND($L81="X",$M81="X",$N81="QUEST"),"OUT-UAQPre",$N81="QUEST","OUT-UAQ", $N81="Walk in","ColUATele")</f>
        <v>#N/A</v>
      </c>
      <c r="W81" s="24" t="str">
        <f t="shared" si="8"/>
        <v>#N/A</v>
      </c>
      <c r="X81" s="222" t="str">
        <f t="shared" si="9"/>
        <v/>
      </c>
      <c r="Y81" s="222" t="str">
        <f t="shared" si="10"/>
        <v/>
      </c>
      <c r="Z81" s="224" t="str">
        <f t="shared" si="11"/>
        <v> </v>
      </c>
      <c r="AA81" s="244"/>
    </row>
    <row r="82">
      <c r="A82" s="214" t="str">
        <f>IFS($B82=FALSE,"",$B82,VLOOKUP($B82,'PATIENT DATA (072721)'!A:C, 2, 0))</f>
        <v/>
      </c>
      <c r="B82" s="215"/>
      <c r="C82" s="230" t="str">
        <f>IF(COUNTIF('PATIENT DATA (072721)'!A:A, B82)=0, "X","✓")</f>
        <v>X</v>
      </c>
      <c r="D82" s="226" t="str">
        <f>IFS($B82=FALSE,"",$B82,VLOOKUP($B82,'PATIENT DATA (072721)'!A:C, 3, 0))</f>
        <v/>
      </c>
      <c r="E82" s="218">
        <v>44579.0</v>
      </c>
      <c r="F82" s="219" t="str">
        <f>ifs($B82="","",$B82, VLOOKUP($B82&amp;$E82, 'VISIT DATA'!A:O,3,0))</f>
        <v/>
      </c>
      <c r="G82" s="231"/>
      <c r="H82" s="221" t="str">
        <f>ifs($B82="","",$B82, VLOOKUP($B82&amp;$E82, 'VISIT DATA'!$A:$O,13,0))</f>
        <v/>
      </c>
      <c r="I82" s="262" t="str">
        <f>VLOOKUP($B82&amp;$E82,'VISIT DATA'!A:J, 9, FALSE)</f>
        <v>#N/A</v>
      </c>
      <c r="J82" s="223" t="str">
        <f>VLOOKUP(B82&amp;E82,'VISIT DATA'!A:N,10,FALSE)</f>
        <v>#N/A</v>
      </c>
      <c r="K82" s="225"/>
      <c r="L82" s="224"/>
      <c r="M82" s="224"/>
      <c r="N82" s="225"/>
      <c r="O82" s="216" t="str">
        <f t="shared" si="1"/>
        <v>X</v>
      </c>
      <c r="P82" s="226" t="str">
        <f t="shared" si="2"/>
        <v>#N/A</v>
      </c>
      <c r="Q82" s="227" t="str">
        <f t="shared" si="3"/>
        <v>#N/A</v>
      </c>
      <c r="R82" s="228" t="str">
        <f t="shared" si="4"/>
        <v>#N/A</v>
      </c>
      <c r="S82" s="220" t="str">
        <f t="shared" si="5"/>
        <v>#N/A</v>
      </c>
      <c r="T82" s="220" t="str">
        <f t="shared" si="6"/>
        <v>#N/A</v>
      </c>
      <c r="U82" s="221">
        <f t="shared" si="7"/>
        <v>0</v>
      </c>
      <c r="V82" s="229" t="str">
        <f>ifs($N82="",VLOOKUP($B82&amp;$E82,'VISIT DATA'!$A$2:$J97,7,FALSE), $N82="SWAB","OUTSA-RW",$N82="SWQU","OUTSA-SaQu", AND($L82="X",$M82="X",$N82="QUEST"),"OUT-UAQPre",$N82="QUEST","OUT-UAQ", $N82="Walk in","ColUATele")</f>
        <v>#N/A</v>
      </c>
      <c r="W82" s="24" t="str">
        <f t="shared" si="8"/>
        <v>#N/A</v>
      </c>
      <c r="X82" s="222" t="str">
        <f t="shared" si="9"/>
        <v/>
      </c>
      <c r="Y82" s="222" t="str">
        <f t="shared" si="10"/>
        <v/>
      </c>
      <c r="Z82" s="224" t="str">
        <f t="shared" si="11"/>
        <v> </v>
      </c>
      <c r="AA82" s="244"/>
    </row>
    <row r="83">
      <c r="A83" s="214" t="str">
        <f>IFS($B83=FALSE,"",$B83,VLOOKUP($B83,'PATIENT DATA (072721)'!A:C, 2, 0))</f>
        <v/>
      </c>
      <c r="B83" s="215"/>
      <c r="C83" s="230" t="str">
        <f>IF(COUNTIF('PATIENT DATA (072721)'!A:A, B83)=0, "X","✓")</f>
        <v>X</v>
      </c>
      <c r="D83" s="226" t="str">
        <f>IFS($B83=FALSE,"",$B83,VLOOKUP($B83,'PATIENT DATA (072721)'!A:C, 3, 0))</f>
        <v/>
      </c>
      <c r="E83" s="218">
        <v>44579.0</v>
      </c>
      <c r="F83" s="219" t="str">
        <f>ifs($B83="","",$B83, VLOOKUP($B83&amp;$E83, 'VISIT DATA'!A:O,3,0))</f>
        <v/>
      </c>
      <c r="G83" s="231"/>
      <c r="H83" s="221" t="str">
        <f>ifs($B83="","",$B83, VLOOKUP($B83&amp;$E83, 'VISIT DATA'!$A:$O,13,0))</f>
        <v/>
      </c>
      <c r="I83" s="262" t="str">
        <f>VLOOKUP($B83&amp;$E83,'VISIT DATA'!A:J, 9, FALSE)</f>
        <v>#N/A</v>
      </c>
      <c r="J83" s="223" t="str">
        <f>VLOOKUP(B83&amp;E83,'VISIT DATA'!A:N,10,FALSE)</f>
        <v>#N/A</v>
      </c>
      <c r="K83" s="225"/>
      <c r="L83" s="224"/>
      <c r="M83" s="224"/>
      <c r="N83" s="225"/>
      <c r="O83" s="216" t="str">
        <f t="shared" si="1"/>
        <v>X</v>
      </c>
      <c r="P83" s="226" t="str">
        <f t="shared" si="2"/>
        <v>#N/A</v>
      </c>
      <c r="Q83" s="227" t="str">
        <f t="shared" si="3"/>
        <v>#N/A</v>
      </c>
      <c r="R83" s="228" t="str">
        <f t="shared" si="4"/>
        <v>#N/A</v>
      </c>
      <c r="S83" s="220" t="str">
        <f t="shared" si="5"/>
        <v>#N/A</v>
      </c>
      <c r="T83" s="220" t="str">
        <f t="shared" si="6"/>
        <v>#N/A</v>
      </c>
      <c r="U83" s="221">
        <f t="shared" si="7"/>
        <v>0</v>
      </c>
      <c r="V83" s="229" t="str">
        <f>ifs($N83="",VLOOKUP($B83&amp;$E83,'VISIT DATA'!$A$2:$J97,7,FALSE), $N83="SWAB","OUTSA-RW",$N83="SWQU","OUTSA-SaQu", AND($L83="X",$M83="X",$N83="QUEST"),"OUT-UAQPre",$N83="QUEST","OUT-UAQ", $N83="Walk in","ColUATele")</f>
        <v>#N/A</v>
      </c>
      <c r="W83" s="24" t="str">
        <f t="shared" si="8"/>
        <v>#N/A</v>
      </c>
      <c r="X83" s="222" t="str">
        <f t="shared" si="9"/>
        <v/>
      </c>
      <c r="Y83" s="222" t="str">
        <f t="shared" si="10"/>
        <v/>
      </c>
      <c r="Z83" s="224" t="str">
        <f t="shared" si="11"/>
        <v> </v>
      </c>
      <c r="AA83" s="244"/>
    </row>
    <row r="84">
      <c r="A84" s="214" t="str">
        <f>IFS($B84=FALSE,"",$B84,VLOOKUP($B84,'PATIENT DATA (072721)'!A:C, 2, 0))</f>
        <v/>
      </c>
      <c r="B84" s="215"/>
      <c r="C84" s="230" t="str">
        <f>IF(COUNTIF('PATIENT DATA (072721)'!A:A, B84)=0, "X","✓")</f>
        <v>X</v>
      </c>
      <c r="D84" s="226" t="str">
        <f>IFS($B84=FALSE,"",$B84,VLOOKUP($B84,'PATIENT DATA (072721)'!A:C, 3, 0))</f>
        <v/>
      </c>
      <c r="E84" s="218">
        <v>44579.0</v>
      </c>
      <c r="F84" s="219" t="str">
        <f>ifs($B84="","",$B84, VLOOKUP($B84&amp;$E84, 'VISIT DATA'!A:O,3,0))</f>
        <v/>
      </c>
      <c r="G84" s="231"/>
      <c r="H84" s="221" t="str">
        <f>ifs($B84="","",$B84, VLOOKUP($B84&amp;$E84, 'VISIT DATA'!$A:$O,13,0))</f>
        <v/>
      </c>
      <c r="I84" s="262" t="str">
        <f>VLOOKUP($B84&amp;$E84,'VISIT DATA'!A:J, 9, FALSE)</f>
        <v>#N/A</v>
      </c>
      <c r="J84" s="223" t="str">
        <f>VLOOKUP(B84&amp;E84,'VISIT DATA'!A:N,10,FALSE)</f>
        <v>#N/A</v>
      </c>
      <c r="K84" s="225"/>
      <c r="L84" s="224"/>
      <c r="M84" s="224"/>
      <c r="N84" s="225"/>
      <c r="O84" s="216" t="str">
        <f t="shared" si="1"/>
        <v>X</v>
      </c>
      <c r="P84" s="226" t="str">
        <f t="shared" si="2"/>
        <v>#N/A</v>
      </c>
      <c r="Q84" s="227" t="str">
        <f t="shared" si="3"/>
        <v>#N/A</v>
      </c>
      <c r="R84" s="228" t="str">
        <f t="shared" si="4"/>
        <v>#N/A</v>
      </c>
      <c r="S84" s="220" t="str">
        <f t="shared" si="5"/>
        <v>#N/A</v>
      </c>
      <c r="T84" s="220" t="str">
        <f t="shared" si="6"/>
        <v>#N/A</v>
      </c>
      <c r="U84" s="221">
        <f t="shared" si="7"/>
        <v>0</v>
      </c>
      <c r="V84" s="229" t="str">
        <f>ifs($N84="",VLOOKUP($B84&amp;$E84,'VISIT DATA'!$A$2:$J97,7,FALSE), $N84="SWAB","OUTSA-RW",$N84="SWQU","OUTSA-SaQu", AND($L84="X",$M84="X",$N84="QUEST"),"OUT-UAQPre",$N84="QUEST","OUT-UAQ", $N84="Walk in","ColUATele")</f>
        <v>#N/A</v>
      </c>
      <c r="W84" s="24" t="str">
        <f t="shared" si="8"/>
        <v>#N/A</v>
      </c>
      <c r="X84" s="222" t="str">
        <f t="shared" si="9"/>
        <v/>
      </c>
      <c r="Y84" s="222" t="str">
        <f t="shared" si="10"/>
        <v/>
      </c>
      <c r="Z84" s="224" t="str">
        <f t="shared" si="11"/>
        <v> </v>
      </c>
      <c r="AA84" s="244"/>
    </row>
    <row r="85">
      <c r="A85" s="214" t="str">
        <f>IFS($B85=FALSE,"",$B85,VLOOKUP($B85,'PATIENT DATA (072721)'!A:C, 2, 0))</f>
        <v/>
      </c>
      <c r="B85" s="215"/>
      <c r="C85" s="230" t="str">
        <f>IF(COUNTIF('PATIENT DATA (072721)'!A:A, B85)=0, "X","✓")</f>
        <v>X</v>
      </c>
      <c r="D85" s="226" t="str">
        <f>IFS($B85=FALSE,"",$B85,VLOOKUP($B85,'PATIENT DATA (072721)'!A:C, 3, 0))</f>
        <v/>
      </c>
      <c r="E85" s="218">
        <v>44579.0</v>
      </c>
      <c r="F85" s="219" t="str">
        <f>ifs($B85="","",$B85, VLOOKUP($B85&amp;$E85, 'VISIT DATA'!A:O,3,0))</f>
        <v/>
      </c>
      <c r="G85" s="231"/>
      <c r="H85" s="221" t="str">
        <f>ifs($B85="","",$B85, VLOOKUP($B85&amp;$E85, 'VISIT DATA'!$A:$O,13,0))</f>
        <v/>
      </c>
      <c r="I85" s="262" t="str">
        <f>VLOOKUP($B85&amp;$E85,'VISIT DATA'!A:J, 9, FALSE)</f>
        <v>#N/A</v>
      </c>
      <c r="J85" s="223" t="str">
        <f>VLOOKUP(B85&amp;E85,'VISIT DATA'!A:N,10,FALSE)</f>
        <v>#N/A</v>
      </c>
      <c r="K85" s="225"/>
      <c r="L85" s="224"/>
      <c r="M85" s="224"/>
      <c r="N85" s="225"/>
      <c r="O85" s="216" t="str">
        <f t="shared" si="1"/>
        <v>X</v>
      </c>
      <c r="P85" s="226" t="str">
        <f t="shared" si="2"/>
        <v>#N/A</v>
      </c>
      <c r="Q85" s="227" t="str">
        <f t="shared" si="3"/>
        <v>#N/A</v>
      </c>
      <c r="R85" s="228" t="str">
        <f t="shared" si="4"/>
        <v>#N/A</v>
      </c>
      <c r="S85" s="220" t="str">
        <f t="shared" si="5"/>
        <v>#N/A</v>
      </c>
      <c r="T85" s="220" t="str">
        <f t="shared" si="6"/>
        <v>#N/A</v>
      </c>
      <c r="U85" s="221">
        <f t="shared" si="7"/>
        <v>0</v>
      </c>
      <c r="V85" s="229" t="str">
        <f>ifs($N85="",VLOOKUP($B85&amp;$E85,'VISIT DATA'!$A$2:$J97,7,FALSE), $N85="SWAB","OUTSA-RW",$N85="SWQU","OUTSA-SaQu", AND($L85="X",$M85="X",$N85="QUEST"),"OUT-UAQPre",$N85="QUEST","OUT-UAQ", $N85="Walk in","ColUATele")</f>
        <v>#N/A</v>
      </c>
      <c r="W85" s="24" t="str">
        <f t="shared" si="8"/>
        <v>#N/A</v>
      </c>
      <c r="X85" s="222" t="str">
        <f t="shared" si="9"/>
        <v/>
      </c>
      <c r="Y85" s="222" t="str">
        <f t="shared" si="10"/>
        <v/>
      </c>
      <c r="Z85" s="224" t="str">
        <f t="shared" si="11"/>
        <v> </v>
      </c>
      <c r="AA85" s="244"/>
    </row>
    <row r="86">
      <c r="A86" s="214" t="str">
        <f>IFS($B86=FALSE,"",$B86,VLOOKUP($B86,'PATIENT DATA (072721)'!A:C, 2, 0))</f>
        <v/>
      </c>
      <c r="B86" s="215"/>
      <c r="C86" s="230" t="str">
        <f>IF(COUNTIF('PATIENT DATA (072721)'!A:A, B86)=0, "X","✓")</f>
        <v>X</v>
      </c>
      <c r="D86" s="226" t="str">
        <f>IFS($B86=FALSE,"",$B86,VLOOKUP($B86,'PATIENT DATA (072721)'!A:C, 3, 0))</f>
        <v/>
      </c>
      <c r="E86" s="218">
        <v>44579.0</v>
      </c>
      <c r="F86" s="219" t="str">
        <f>ifs($B86="","",$B86, VLOOKUP($B86&amp;$E86, 'VISIT DATA'!A:O,3,0))</f>
        <v/>
      </c>
      <c r="G86" s="231"/>
      <c r="H86" s="221" t="str">
        <f>ifs($B86="","",$B86, VLOOKUP($B86&amp;$E86, 'VISIT DATA'!$A:$O,13,0))</f>
        <v/>
      </c>
      <c r="I86" s="262" t="str">
        <f>VLOOKUP($B86&amp;$E86,'VISIT DATA'!A:J, 9, FALSE)</f>
        <v>#N/A</v>
      </c>
      <c r="J86" s="223" t="str">
        <f>VLOOKUP(B86&amp;E86,'VISIT DATA'!A:N,10,FALSE)</f>
        <v>#N/A</v>
      </c>
      <c r="K86" s="225"/>
      <c r="L86" s="224"/>
      <c r="M86" s="224"/>
      <c r="N86" s="225"/>
      <c r="O86" s="216" t="str">
        <f t="shared" si="1"/>
        <v>X</v>
      </c>
      <c r="P86" s="226" t="str">
        <f t="shared" si="2"/>
        <v>#N/A</v>
      </c>
      <c r="Q86" s="227" t="str">
        <f t="shared" si="3"/>
        <v>#N/A</v>
      </c>
      <c r="R86" s="228" t="str">
        <f t="shared" si="4"/>
        <v>#N/A</v>
      </c>
      <c r="S86" s="220" t="str">
        <f t="shared" si="5"/>
        <v>#N/A</v>
      </c>
      <c r="T86" s="220" t="str">
        <f t="shared" si="6"/>
        <v>#N/A</v>
      </c>
      <c r="U86" s="221">
        <f t="shared" si="7"/>
        <v>0</v>
      </c>
      <c r="V86" s="229" t="str">
        <f>ifs($N86="",VLOOKUP($B86&amp;$E86,'VISIT DATA'!$A$2:$J97,7,FALSE), $N86="SWAB","OUTSA-RW",$N86="SWQU","OUTSA-SaQu", AND($L86="X",$M86="X",$N86="QUEST"),"OUT-UAQPre",$N86="QUEST","OUT-UAQ", $N86="Walk in","ColUATele")</f>
        <v>#N/A</v>
      </c>
      <c r="W86" s="24" t="str">
        <f t="shared" si="8"/>
        <v>#N/A</v>
      </c>
      <c r="X86" s="222" t="str">
        <f t="shared" si="9"/>
        <v/>
      </c>
      <c r="Y86" s="222" t="str">
        <f t="shared" si="10"/>
        <v/>
      </c>
      <c r="Z86" s="224" t="str">
        <f t="shared" si="11"/>
        <v> </v>
      </c>
      <c r="AA86" s="244"/>
    </row>
    <row r="87">
      <c r="A87" s="214" t="str">
        <f>IFS($B87=FALSE,"",$B87,VLOOKUP($B87,'PATIENT DATA (072721)'!A:C, 2, 0))</f>
        <v/>
      </c>
      <c r="B87" s="215"/>
      <c r="C87" s="230" t="str">
        <f>IF(COUNTIF('PATIENT DATA (072721)'!A:A, B87)=0, "X","✓")</f>
        <v>X</v>
      </c>
      <c r="D87" s="226" t="str">
        <f>IFS($B87=FALSE,"",$B87,VLOOKUP($B87,'PATIENT DATA (072721)'!A:C, 3, 0))</f>
        <v/>
      </c>
      <c r="E87" s="218">
        <v>44579.0</v>
      </c>
      <c r="F87" s="219" t="str">
        <f>ifs($B87="","",$B87, VLOOKUP($B87&amp;$E87, 'VISIT DATA'!A:O,3,0))</f>
        <v/>
      </c>
      <c r="G87" s="231"/>
      <c r="H87" s="221" t="str">
        <f>ifs($B87="","",$B87, VLOOKUP($B87&amp;$E87, 'VISIT DATA'!$A:$O,13,0))</f>
        <v/>
      </c>
      <c r="I87" s="262" t="str">
        <f>VLOOKUP($B87&amp;$E87,'VISIT DATA'!A:J, 9, FALSE)</f>
        <v>#N/A</v>
      </c>
      <c r="J87" s="223" t="str">
        <f>VLOOKUP(B87&amp;E87,'VISIT DATA'!A:N,10,FALSE)</f>
        <v>#N/A</v>
      </c>
      <c r="K87" s="225"/>
      <c r="L87" s="224"/>
      <c r="M87" s="224"/>
      <c r="N87" s="225"/>
      <c r="O87" s="216" t="str">
        <f t="shared" si="1"/>
        <v>X</v>
      </c>
      <c r="P87" s="226" t="str">
        <f t="shared" si="2"/>
        <v>#N/A</v>
      </c>
      <c r="Q87" s="227" t="str">
        <f t="shared" si="3"/>
        <v>#N/A</v>
      </c>
      <c r="R87" s="228" t="str">
        <f t="shared" si="4"/>
        <v>#N/A</v>
      </c>
      <c r="S87" s="220" t="str">
        <f t="shared" si="5"/>
        <v>#N/A</v>
      </c>
      <c r="T87" s="220" t="str">
        <f t="shared" si="6"/>
        <v>#N/A</v>
      </c>
      <c r="U87" s="221">
        <f t="shared" si="7"/>
        <v>0</v>
      </c>
      <c r="V87" s="229" t="str">
        <f>ifs($N87="",VLOOKUP($B87&amp;$E87,'VISIT DATA'!$A$2:$J97,7,FALSE), $N87="SWAB","OUTSA-RW",$N87="SWQU","OUTSA-SaQu", AND($L87="X",$M87="X",$N87="QUEST"),"OUT-UAQPre",$N87="QUEST","OUT-UAQ", $N87="Walk in","ColUATele")</f>
        <v>#N/A</v>
      </c>
      <c r="W87" s="24" t="str">
        <f t="shared" si="8"/>
        <v>#N/A</v>
      </c>
      <c r="X87" s="222" t="str">
        <f t="shared" si="9"/>
        <v/>
      </c>
      <c r="Y87" s="222" t="str">
        <f t="shared" si="10"/>
        <v/>
      </c>
      <c r="Z87" s="224" t="str">
        <f t="shared" si="11"/>
        <v> </v>
      </c>
      <c r="AA87" s="244"/>
    </row>
    <row r="88">
      <c r="A88" s="214" t="str">
        <f>IFS($B88=FALSE,"",$B88,VLOOKUP($B88,'PATIENT DATA (072721)'!A:C, 2, 0))</f>
        <v/>
      </c>
      <c r="B88" s="215"/>
      <c r="C88" s="230" t="str">
        <f>IF(COUNTIF('PATIENT DATA (072721)'!A:A, B88)=0, "X","✓")</f>
        <v>X</v>
      </c>
      <c r="D88" s="226" t="str">
        <f>IFS($B88=FALSE,"",$B88,VLOOKUP($B88,'PATIENT DATA (072721)'!A:C, 3, 0))</f>
        <v/>
      </c>
      <c r="E88" s="218">
        <v>44579.0</v>
      </c>
      <c r="F88" s="219" t="str">
        <f>ifs($B88="","",$B88, VLOOKUP($B88&amp;$E88, 'VISIT DATA'!A:O,3,0))</f>
        <v/>
      </c>
      <c r="G88" s="231"/>
      <c r="H88" s="221" t="str">
        <f>ifs($B88="","",$B88, VLOOKUP($B88&amp;$E88, 'VISIT DATA'!$A:$O,13,0))</f>
        <v/>
      </c>
      <c r="I88" s="262" t="str">
        <f>VLOOKUP($B88&amp;$E88,'VISIT DATA'!A:J, 9, FALSE)</f>
        <v>#N/A</v>
      </c>
      <c r="J88" s="223" t="str">
        <f>VLOOKUP(B88&amp;E88,'VISIT DATA'!A:N,10,FALSE)</f>
        <v>#N/A</v>
      </c>
      <c r="K88" s="225"/>
      <c r="L88" s="224"/>
      <c r="M88" s="224"/>
      <c r="N88" s="225"/>
      <c r="O88" s="216" t="str">
        <f t="shared" si="1"/>
        <v>X</v>
      </c>
      <c r="P88" s="226" t="str">
        <f t="shared" si="2"/>
        <v>#N/A</v>
      </c>
      <c r="Q88" s="227" t="str">
        <f t="shared" si="3"/>
        <v>#N/A</v>
      </c>
      <c r="R88" s="228" t="str">
        <f t="shared" si="4"/>
        <v>#N/A</v>
      </c>
      <c r="S88" s="220" t="str">
        <f t="shared" si="5"/>
        <v>#N/A</v>
      </c>
      <c r="T88" s="220" t="str">
        <f t="shared" si="6"/>
        <v>#N/A</v>
      </c>
      <c r="U88" s="221">
        <f t="shared" si="7"/>
        <v>0</v>
      </c>
      <c r="V88" s="229" t="str">
        <f>ifs($N88="",VLOOKUP($B88&amp;$E88,'VISIT DATA'!$A$2:$J97,7,FALSE), $N88="SWAB","OUTSA-RW",$N88="SWQU","OUTSA-SaQu", AND($L88="X",$M88="X",$N88="QUEST"),"OUT-UAQPre",$N88="QUEST","OUT-UAQ", $N88="Walk in","ColUATele")</f>
        <v>#N/A</v>
      </c>
      <c r="W88" s="24" t="str">
        <f t="shared" si="8"/>
        <v>#N/A</v>
      </c>
      <c r="X88" s="222" t="str">
        <f t="shared" si="9"/>
        <v/>
      </c>
      <c r="Y88" s="222" t="str">
        <f t="shared" si="10"/>
        <v/>
      </c>
      <c r="Z88" s="224" t="str">
        <f t="shared" si="11"/>
        <v> </v>
      </c>
      <c r="AA88" s="244"/>
    </row>
    <row r="89">
      <c r="A89" s="214" t="str">
        <f>IFS($B89=FALSE,"",$B89,VLOOKUP($B89,'PATIENT DATA (072721)'!A:C, 2, 0))</f>
        <v/>
      </c>
      <c r="B89" s="215"/>
      <c r="C89" s="230" t="str">
        <f>IF(COUNTIF('PATIENT DATA (072721)'!A:A, B89)=0, "X","✓")</f>
        <v>X</v>
      </c>
      <c r="D89" s="226" t="str">
        <f>IFS($B89=FALSE,"",$B89,VLOOKUP($B89,'PATIENT DATA (072721)'!A:C, 3, 0))</f>
        <v/>
      </c>
      <c r="E89" s="218">
        <v>44579.0</v>
      </c>
      <c r="F89" s="219" t="str">
        <f>ifs($B89="","",$B89, VLOOKUP($B89&amp;$E89, 'VISIT DATA'!A:O,3,0))</f>
        <v/>
      </c>
      <c r="G89" s="231"/>
      <c r="H89" s="221" t="str">
        <f>ifs($B89="","",$B89, VLOOKUP($B89&amp;$E89, 'VISIT DATA'!$A:$O,13,0))</f>
        <v/>
      </c>
      <c r="I89" s="262" t="str">
        <f>VLOOKUP($B89&amp;$E89,'VISIT DATA'!A:J, 9, FALSE)</f>
        <v>#N/A</v>
      </c>
      <c r="J89" s="223" t="str">
        <f>VLOOKUP(B89&amp;E89,'VISIT DATA'!A:N,10,FALSE)</f>
        <v>#N/A</v>
      </c>
      <c r="K89" s="225"/>
      <c r="L89" s="224"/>
      <c r="M89" s="224"/>
      <c r="N89" s="225"/>
      <c r="O89" s="216" t="str">
        <f t="shared" si="1"/>
        <v>X</v>
      </c>
      <c r="P89" s="226" t="str">
        <f t="shared" si="2"/>
        <v>#N/A</v>
      </c>
      <c r="Q89" s="227" t="str">
        <f t="shared" si="3"/>
        <v>#N/A</v>
      </c>
      <c r="R89" s="228" t="str">
        <f t="shared" si="4"/>
        <v>#N/A</v>
      </c>
      <c r="S89" s="220" t="str">
        <f t="shared" si="5"/>
        <v>#N/A</v>
      </c>
      <c r="T89" s="220" t="str">
        <f t="shared" si="6"/>
        <v>#N/A</v>
      </c>
      <c r="U89" s="221">
        <f t="shared" si="7"/>
        <v>0</v>
      </c>
      <c r="V89" s="229" t="str">
        <f>ifs($N89="",VLOOKUP($B89&amp;$E89,'VISIT DATA'!$A$2:$J97,7,FALSE), $N89="SWAB","OUTSA-RW",$N89="SWQU","OUTSA-SaQu", AND($L89="X",$M89="X",$N89="QUEST"),"OUT-UAQPre",$N89="QUEST","OUT-UAQ", $N89="Walk in","ColUATele")</f>
        <v>#N/A</v>
      </c>
      <c r="W89" s="24" t="str">
        <f t="shared" si="8"/>
        <v>#N/A</v>
      </c>
      <c r="X89" s="222" t="str">
        <f t="shared" si="9"/>
        <v/>
      </c>
      <c r="Y89" s="222" t="str">
        <f t="shared" si="10"/>
        <v/>
      </c>
      <c r="Z89" s="224" t="str">
        <f t="shared" si="11"/>
        <v> </v>
      </c>
      <c r="AA89" s="244"/>
    </row>
    <row r="90">
      <c r="A90" s="214" t="str">
        <f>IFS($B90=FALSE,"",$B90,VLOOKUP($B90,'PATIENT DATA (072721)'!A:C, 2, 0))</f>
        <v/>
      </c>
      <c r="B90" s="215"/>
      <c r="C90" s="230" t="str">
        <f>IF(COUNTIF('PATIENT DATA (072721)'!A:A, B90)=0, "X","✓")</f>
        <v>X</v>
      </c>
      <c r="D90" s="226" t="str">
        <f>IFS($B90=FALSE,"",$B90,VLOOKUP($B90,'PATIENT DATA (072721)'!A:C, 3, 0))</f>
        <v/>
      </c>
      <c r="E90" s="218">
        <v>44579.0</v>
      </c>
      <c r="F90" s="219" t="str">
        <f>ifs($B90="","",$B90, VLOOKUP($B90&amp;$E90, 'VISIT DATA'!A:O,3,0))</f>
        <v/>
      </c>
      <c r="G90" s="231"/>
      <c r="H90" s="221" t="str">
        <f>ifs($B90="","",$B90, VLOOKUP($B90&amp;$E90, 'VISIT DATA'!$A:$O,13,0))</f>
        <v/>
      </c>
      <c r="I90" s="262" t="str">
        <f>VLOOKUP($B90&amp;$E90,'VISIT DATA'!A:J, 9, FALSE)</f>
        <v>#N/A</v>
      </c>
      <c r="J90" s="223" t="str">
        <f>VLOOKUP(B90&amp;E90,'VISIT DATA'!A:N,10,FALSE)</f>
        <v>#N/A</v>
      </c>
      <c r="K90" s="225"/>
      <c r="L90" s="224"/>
      <c r="M90" s="224"/>
      <c r="N90" s="225"/>
      <c r="O90" s="216" t="str">
        <f t="shared" si="1"/>
        <v>X</v>
      </c>
      <c r="P90" s="226" t="str">
        <f t="shared" si="2"/>
        <v>#N/A</v>
      </c>
      <c r="Q90" s="227" t="str">
        <f t="shared" si="3"/>
        <v>#N/A</v>
      </c>
      <c r="R90" s="228" t="str">
        <f t="shared" si="4"/>
        <v>#N/A</v>
      </c>
      <c r="S90" s="220" t="str">
        <f t="shared" si="5"/>
        <v>#N/A</v>
      </c>
      <c r="T90" s="220" t="str">
        <f t="shared" si="6"/>
        <v>#N/A</v>
      </c>
      <c r="U90" s="221">
        <f t="shared" si="7"/>
        <v>0</v>
      </c>
      <c r="V90" s="229" t="str">
        <f>ifs($N90="",VLOOKUP($B90&amp;$E90,'VISIT DATA'!$A$2:$J97,7,FALSE), $N90="SWAB","OUTSA-RW",$N90="SWQU","OUTSA-SaQu", AND($L90="X",$M90="X",$N90="QUEST"),"OUT-UAQPre",$N90="QUEST","OUT-UAQ", $N90="Walk in","ColUATele")</f>
        <v>#N/A</v>
      </c>
      <c r="W90" s="24" t="str">
        <f t="shared" si="8"/>
        <v>#N/A</v>
      </c>
      <c r="X90" s="222" t="str">
        <f t="shared" si="9"/>
        <v/>
      </c>
      <c r="Y90" s="222" t="str">
        <f t="shared" si="10"/>
        <v/>
      </c>
      <c r="Z90" s="224" t="str">
        <f t="shared" si="11"/>
        <v> </v>
      </c>
      <c r="AA90" s="244"/>
    </row>
    <row r="91">
      <c r="A91" s="214" t="str">
        <f>IFS($B91=FALSE,"",$B91,VLOOKUP($B91,'PATIENT DATA (072721)'!A:C, 2, 0))</f>
        <v/>
      </c>
      <c r="B91" s="215"/>
      <c r="C91" s="230" t="str">
        <f>IF(COUNTIF('PATIENT DATA (072721)'!A:A, B91)=0, "X","✓")</f>
        <v>X</v>
      </c>
      <c r="D91" s="226" t="str">
        <f>IFS($B91=FALSE,"",$B91,VLOOKUP($B91,'PATIENT DATA (072721)'!A:C, 3, 0))</f>
        <v/>
      </c>
      <c r="E91" s="218">
        <v>44579.0</v>
      </c>
      <c r="F91" s="219" t="str">
        <f>ifs($B91="","",$B91, VLOOKUP($B91&amp;$E91, 'VISIT DATA'!A:O,3,0))</f>
        <v/>
      </c>
      <c r="G91" s="231"/>
      <c r="H91" s="221" t="str">
        <f>ifs($B91="","",$B91, VLOOKUP($B91&amp;$E91, 'VISIT DATA'!$A:$O,13,0))</f>
        <v/>
      </c>
      <c r="I91" s="262" t="str">
        <f>VLOOKUP($B91&amp;$E91,'VISIT DATA'!A:J, 9, FALSE)</f>
        <v>#N/A</v>
      </c>
      <c r="J91" s="223" t="str">
        <f>VLOOKUP(B91&amp;E91,'VISIT DATA'!A:N,10,FALSE)</f>
        <v>#N/A</v>
      </c>
      <c r="K91" s="225"/>
      <c r="L91" s="224"/>
      <c r="M91" s="224"/>
      <c r="N91" s="225"/>
      <c r="O91" s="216" t="str">
        <f t="shared" si="1"/>
        <v>X</v>
      </c>
      <c r="P91" s="226" t="str">
        <f t="shared" si="2"/>
        <v>#N/A</v>
      </c>
      <c r="Q91" s="227" t="str">
        <f t="shared" si="3"/>
        <v>#N/A</v>
      </c>
      <c r="R91" s="228" t="str">
        <f t="shared" si="4"/>
        <v>#N/A</v>
      </c>
      <c r="S91" s="220" t="str">
        <f t="shared" si="5"/>
        <v>#N/A</v>
      </c>
      <c r="T91" s="220" t="str">
        <f t="shared" si="6"/>
        <v>#N/A</v>
      </c>
      <c r="U91" s="221">
        <f t="shared" si="7"/>
        <v>0</v>
      </c>
      <c r="V91" s="229" t="str">
        <f>ifs($N91="",VLOOKUP($B91&amp;$E91,'VISIT DATA'!$A$2:$J97,7,FALSE), $N91="SWAB","OUTSA-RW",$N91="SWQU","OUTSA-SaQu", AND($L91="X",$M91="X",$N91="QUEST"),"OUT-UAQPre",$N91="QUEST","OUT-UAQ", $N91="Walk in","ColUATele")</f>
        <v>#N/A</v>
      </c>
      <c r="W91" s="24" t="str">
        <f t="shared" si="8"/>
        <v>#N/A</v>
      </c>
      <c r="X91" s="222" t="str">
        <f t="shared" si="9"/>
        <v/>
      </c>
      <c r="Y91" s="222" t="str">
        <f t="shared" si="10"/>
        <v/>
      </c>
      <c r="Z91" s="224" t="str">
        <f t="shared" si="11"/>
        <v> </v>
      </c>
      <c r="AA91" s="244"/>
    </row>
    <row r="92">
      <c r="A92" s="214" t="str">
        <f>IFS($B92=FALSE,"",$B92,VLOOKUP($B92,'PATIENT DATA (072721)'!A:C, 2, 0))</f>
        <v/>
      </c>
      <c r="B92" s="215"/>
      <c r="C92" s="230" t="str">
        <f>IF(COUNTIF('PATIENT DATA (072721)'!A:A, B92)=0, "X","✓")</f>
        <v>X</v>
      </c>
      <c r="D92" s="226" t="str">
        <f>IFS($B92=FALSE,"",$B92,VLOOKUP($B92,'PATIENT DATA (072721)'!A:C, 3, 0))</f>
        <v/>
      </c>
      <c r="E92" s="218">
        <v>44579.0</v>
      </c>
      <c r="F92" s="219" t="str">
        <f>ifs($B92="","",$B92, VLOOKUP($B92&amp;$E92, 'VISIT DATA'!A:O,3,0))</f>
        <v/>
      </c>
      <c r="G92" s="231"/>
      <c r="H92" s="221" t="str">
        <f>ifs($B92="","",$B92, VLOOKUP($B92&amp;$E92, 'VISIT DATA'!$A:$O,13,0))</f>
        <v/>
      </c>
      <c r="I92" s="262" t="str">
        <f>VLOOKUP($B92&amp;$E92,'VISIT DATA'!A:J, 9, FALSE)</f>
        <v>#N/A</v>
      </c>
      <c r="J92" s="223" t="str">
        <f>VLOOKUP(B92&amp;E92,'VISIT DATA'!A:N,10,FALSE)</f>
        <v>#N/A</v>
      </c>
      <c r="K92" s="225"/>
      <c r="L92" s="224"/>
      <c r="M92" s="224"/>
      <c r="N92" s="225"/>
      <c r="O92" s="216" t="str">
        <f t="shared" si="1"/>
        <v>X</v>
      </c>
      <c r="P92" s="226" t="str">
        <f t="shared" si="2"/>
        <v>#N/A</v>
      </c>
      <c r="Q92" s="227" t="str">
        <f t="shared" si="3"/>
        <v>#N/A</v>
      </c>
      <c r="R92" s="228" t="str">
        <f t="shared" si="4"/>
        <v>#N/A</v>
      </c>
      <c r="S92" s="220" t="str">
        <f t="shared" si="5"/>
        <v>#N/A</v>
      </c>
      <c r="T92" s="220" t="str">
        <f t="shared" si="6"/>
        <v>#N/A</v>
      </c>
      <c r="U92" s="221">
        <f t="shared" si="7"/>
        <v>0</v>
      </c>
      <c r="V92" s="229" t="str">
        <f>ifs($N92="",VLOOKUP($B92&amp;$E92,'VISIT DATA'!$A$2:$J97,7,FALSE), $N92="SWAB","OUTSA-RW",$N92="SWQU","OUTSA-SaQu", AND($L92="X",$M92="X",$N92="QUEST"),"OUT-UAQPre",$N92="QUEST","OUT-UAQ", $N92="Walk in","ColUATele")</f>
        <v>#N/A</v>
      </c>
      <c r="W92" s="24" t="str">
        <f t="shared" si="8"/>
        <v>#N/A</v>
      </c>
      <c r="X92" s="222" t="str">
        <f t="shared" si="9"/>
        <v/>
      </c>
      <c r="Y92" s="222" t="str">
        <f t="shared" si="10"/>
        <v/>
      </c>
      <c r="Z92" s="224" t="str">
        <f t="shared" si="11"/>
        <v> </v>
      </c>
      <c r="AA92" s="244"/>
    </row>
    <row r="93">
      <c r="A93" s="214" t="str">
        <f>IFS($B93=FALSE,"",$B93,VLOOKUP($B93,'PATIENT DATA (072721)'!A:C, 2, 0))</f>
        <v/>
      </c>
      <c r="B93" s="215"/>
      <c r="C93" s="230" t="str">
        <f>IF(COUNTIF('PATIENT DATA (072721)'!A:A, B93)=0, "X","✓")</f>
        <v>X</v>
      </c>
      <c r="D93" s="226" t="str">
        <f>IFS($B93=FALSE,"",$B93,VLOOKUP($B93,'PATIENT DATA (072721)'!A:C, 3, 0))</f>
        <v/>
      </c>
      <c r="E93" s="218">
        <v>44579.0</v>
      </c>
      <c r="F93" s="219" t="str">
        <f>ifs($B93="","",$B93, VLOOKUP($B93&amp;$E93, 'VISIT DATA'!A:O,3,0))</f>
        <v/>
      </c>
      <c r="G93" s="231"/>
      <c r="H93" s="221" t="str">
        <f>ifs($B93="","",$B93, VLOOKUP($B93&amp;$E93, 'VISIT DATA'!$A:$O,13,0))</f>
        <v/>
      </c>
      <c r="I93" s="262" t="str">
        <f>VLOOKUP($B93&amp;$E93,'VISIT DATA'!A:J, 9, FALSE)</f>
        <v>#N/A</v>
      </c>
      <c r="J93" s="223" t="str">
        <f>VLOOKUP(B93&amp;E93,'VISIT DATA'!A:N,10,FALSE)</f>
        <v>#N/A</v>
      </c>
      <c r="K93" s="225"/>
      <c r="L93" s="224"/>
      <c r="M93" s="224"/>
      <c r="N93" s="225"/>
      <c r="O93" s="216" t="str">
        <f t="shared" si="1"/>
        <v>X</v>
      </c>
      <c r="P93" s="226" t="str">
        <f t="shared" si="2"/>
        <v>#N/A</v>
      </c>
      <c r="Q93" s="227" t="str">
        <f t="shared" si="3"/>
        <v>#N/A</v>
      </c>
      <c r="R93" s="228" t="str">
        <f t="shared" si="4"/>
        <v>#N/A</v>
      </c>
      <c r="S93" s="220" t="str">
        <f t="shared" si="5"/>
        <v>#N/A</v>
      </c>
      <c r="T93" s="220" t="str">
        <f t="shared" si="6"/>
        <v>#N/A</v>
      </c>
      <c r="U93" s="221">
        <f t="shared" si="7"/>
        <v>0</v>
      </c>
      <c r="V93" s="229" t="str">
        <f>ifs($N93="",VLOOKUP($B93&amp;$E93,'VISIT DATA'!$A$2:$J97,7,FALSE), $N93="SWAB","OUTSA-RW",$N93="SWQU","OUTSA-SaQu", AND($L93="X",$M93="X",$N93="QUEST"),"OUT-UAQPre",$N93="QUEST","OUT-UAQ", $N93="Walk in","ColUATele")</f>
        <v>#N/A</v>
      </c>
      <c r="W93" s="24" t="str">
        <f t="shared" si="8"/>
        <v>#N/A</v>
      </c>
      <c r="X93" s="222" t="str">
        <f t="shared" si="9"/>
        <v/>
      </c>
      <c r="Y93" s="222" t="str">
        <f t="shared" si="10"/>
        <v/>
      </c>
      <c r="Z93" s="224" t="str">
        <f t="shared" si="11"/>
        <v> </v>
      </c>
      <c r="AA93" s="244"/>
    </row>
    <row r="94">
      <c r="A94" s="214" t="str">
        <f>IFS($B94=FALSE,"",$B94,VLOOKUP($B94,'PATIENT DATA (072721)'!A:C, 2, 0))</f>
        <v/>
      </c>
      <c r="B94" s="215"/>
      <c r="C94" s="230" t="str">
        <f>IF(COUNTIF('PATIENT DATA (072721)'!A:A, B94)=0, "X","✓")</f>
        <v>X</v>
      </c>
      <c r="D94" s="226" t="str">
        <f>IFS($B94=FALSE,"",$B94,VLOOKUP($B94,'PATIENT DATA (072721)'!A:C, 3, 0))</f>
        <v/>
      </c>
      <c r="E94" s="218">
        <v>44579.0</v>
      </c>
      <c r="F94" s="219" t="str">
        <f>ifs($B94="","",$B94, VLOOKUP($B94&amp;$E94, 'VISIT DATA'!A:O,3,0))</f>
        <v/>
      </c>
      <c r="G94" s="231"/>
      <c r="H94" s="221" t="str">
        <f>ifs($B94="","",$B94, VLOOKUP($B94&amp;$E94, 'VISIT DATA'!$A:$O,13,0))</f>
        <v/>
      </c>
      <c r="I94" s="262" t="str">
        <f>VLOOKUP($B94&amp;$E94,'VISIT DATA'!A:J, 9, FALSE)</f>
        <v>#N/A</v>
      </c>
      <c r="J94" s="223" t="str">
        <f>VLOOKUP(B94&amp;E94,'VISIT DATA'!A:N,10,FALSE)</f>
        <v>#N/A</v>
      </c>
      <c r="K94" s="225"/>
      <c r="L94" s="224"/>
      <c r="M94" s="224"/>
      <c r="N94" s="225"/>
      <c r="O94" s="216" t="str">
        <f t="shared" si="1"/>
        <v>X</v>
      </c>
      <c r="P94" s="226" t="str">
        <f t="shared" si="2"/>
        <v>#N/A</v>
      </c>
      <c r="Q94" s="227" t="str">
        <f t="shared" si="3"/>
        <v>#N/A</v>
      </c>
      <c r="R94" s="228" t="str">
        <f t="shared" si="4"/>
        <v>#N/A</v>
      </c>
      <c r="S94" s="220" t="str">
        <f t="shared" si="5"/>
        <v>#N/A</v>
      </c>
      <c r="T94" s="220" t="str">
        <f t="shared" si="6"/>
        <v>#N/A</v>
      </c>
      <c r="U94" s="221">
        <f t="shared" si="7"/>
        <v>0</v>
      </c>
      <c r="V94" s="229" t="str">
        <f>ifs($N94="",VLOOKUP($B94&amp;$E94,'VISIT DATA'!$A$2:$J97,7,FALSE), $N94="SWAB","OUTSA-RW",$N94="SWQU","OUTSA-SaQu", AND($L94="X",$M94="X",$N94="QUEST"),"OUT-UAQPre",$N94="QUEST","OUT-UAQ", $N94="Walk in","ColUATele")</f>
        <v>#N/A</v>
      </c>
      <c r="W94" s="24" t="str">
        <f t="shared" si="8"/>
        <v>#N/A</v>
      </c>
      <c r="X94" s="222" t="str">
        <f t="shared" si="9"/>
        <v/>
      </c>
      <c r="Y94" s="222" t="str">
        <f t="shared" si="10"/>
        <v/>
      </c>
      <c r="Z94" s="224" t="str">
        <f t="shared" si="11"/>
        <v> </v>
      </c>
      <c r="AA94" s="244"/>
    </row>
    <row r="95">
      <c r="A95" s="214" t="str">
        <f>IFS($B95=FALSE,"",$B95,VLOOKUP($B95,'PATIENT DATA (072721)'!A:C, 2, 0))</f>
        <v/>
      </c>
      <c r="B95" s="215"/>
      <c r="C95" s="230" t="str">
        <f>IF(COUNTIF('PATIENT DATA (072721)'!A:A, B95)=0, "X","✓")</f>
        <v>X</v>
      </c>
      <c r="D95" s="226" t="str">
        <f>IFS($B95=FALSE,"",$B95,VLOOKUP($B95,'PATIENT DATA (072721)'!A:C, 3, 0))</f>
        <v/>
      </c>
      <c r="E95" s="218">
        <v>44579.0</v>
      </c>
      <c r="F95" s="219" t="str">
        <f>ifs($B95="","",$B95, VLOOKUP($B95&amp;$E95, 'VISIT DATA'!A:O,3,0))</f>
        <v/>
      </c>
      <c r="G95" s="231"/>
      <c r="H95" s="221" t="str">
        <f>ifs($B95="","",$B95, VLOOKUP($B95&amp;$E95, 'VISIT DATA'!$A:$O,13,0))</f>
        <v/>
      </c>
      <c r="I95" s="262" t="str">
        <f>VLOOKUP($B95&amp;$E95,'VISIT DATA'!A:J, 9, FALSE)</f>
        <v>#N/A</v>
      </c>
      <c r="J95" s="223" t="str">
        <f>VLOOKUP(B95&amp;E95,'VISIT DATA'!A:N,10,FALSE)</f>
        <v>#N/A</v>
      </c>
      <c r="K95" s="225"/>
      <c r="L95" s="224"/>
      <c r="M95" s="224"/>
      <c r="N95" s="225"/>
      <c r="O95" s="216" t="str">
        <f t="shared" si="1"/>
        <v>X</v>
      </c>
      <c r="P95" s="226" t="str">
        <f t="shared" si="2"/>
        <v>#N/A</v>
      </c>
      <c r="Q95" s="227" t="str">
        <f t="shared" si="3"/>
        <v>#N/A</v>
      </c>
      <c r="R95" s="228" t="str">
        <f t="shared" si="4"/>
        <v>#N/A</v>
      </c>
      <c r="S95" s="220" t="str">
        <f t="shared" si="5"/>
        <v>#N/A</v>
      </c>
      <c r="T95" s="220" t="str">
        <f t="shared" si="6"/>
        <v>#N/A</v>
      </c>
      <c r="U95" s="221">
        <f t="shared" si="7"/>
        <v>0</v>
      </c>
      <c r="V95" s="229" t="str">
        <f>ifs($N95="",VLOOKUP($B95&amp;$E95,'VISIT DATA'!$A$2:$J97,7,FALSE), $N95="SWAB","OUTSA-RW",$N95="SWQU","OUTSA-SaQu", AND($L95="X",$M95="X",$N95="QUEST"),"OUT-UAQPre",$N95="QUEST","OUT-UAQ", $N95="Walk in","ColUATele")</f>
        <v>#N/A</v>
      </c>
      <c r="W95" s="24" t="str">
        <f t="shared" si="8"/>
        <v>#N/A</v>
      </c>
      <c r="X95" s="222" t="str">
        <f t="shared" si="9"/>
        <v/>
      </c>
      <c r="Y95" s="222" t="str">
        <f t="shared" si="10"/>
        <v/>
      </c>
      <c r="Z95" s="224" t="str">
        <f t="shared" si="11"/>
        <v> </v>
      </c>
      <c r="AA95" s="244"/>
    </row>
    <row r="96">
      <c r="A96" s="214" t="str">
        <f>IFS($B96=FALSE,"",$B96,VLOOKUP($B96,'PATIENT DATA (072721)'!A:C, 2, 0))</f>
        <v/>
      </c>
      <c r="B96" s="215"/>
      <c r="C96" s="230" t="str">
        <f>IF(COUNTIF('PATIENT DATA (072721)'!A:A, B96)=0, "X","✓")</f>
        <v>X</v>
      </c>
      <c r="D96" s="226" t="str">
        <f>IFS($B96=FALSE,"",$B96,VLOOKUP($B96,'PATIENT DATA (072721)'!A:C, 3, 0))</f>
        <v/>
      </c>
      <c r="E96" s="218">
        <v>44579.0</v>
      </c>
      <c r="F96" s="219" t="str">
        <f>ifs($B96="","",$B96, VLOOKUP($B96&amp;$E96, 'VISIT DATA'!A:O,3,0))</f>
        <v/>
      </c>
      <c r="G96" s="231"/>
      <c r="H96" s="221" t="str">
        <f>ifs($B96="","",$B96, VLOOKUP($B96&amp;$E96, 'VISIT DATA'!$A:$O,13,0))</f>
        <v/>
      </c>
      <c r="I96" s="262" t="str">
        <f>VLOOKUP($B96&amp;$E96,'VISIT DATA'!A:J, 9, FALSE)</f>
        <v>#N/A</v>
      </c>
      <c r="J96" s="223" t="str">
        <f>VLOOKUP(B96&amp;E96,'VISIT DATA'!A:N,10,FALSE)</f>
        <v>#N/A</v>
      </c>
      <c r="K96" s="225"/>
      <c r="L96" s="224"/>
      <c r="M96" s="224"/>
      <c r="N96" s="225"/>
      <c r="O96" s="216" t="str">
        <f t="shared" si="1"/>
        <v>X</v>
      </c>
      <c r="P96" s="226" t="str">
        <f t="shared" si="2"/>
        <v>#N/A</v>
      </c>
      <c r="Q96" s="227" t="str">
        <f t="shared" si="3"/>
        <v>#N/A</v>
      </c>
      <c r="R96" s="228" t="str">
        <f t="shared" si="4"/>
        <v>#N/A</v>
      </c>
      <c r="S96" s="220" t="str">
        <f t="shared" si="5"/>
        <v>#N/A</v>
      </c>
      <c r="T96" s="220" t="str">
        <f t="shared" si="6"/>
        <v>#N/A</v>
      </c>
      <c r="U96" s="221">
        <f t="shared" si="7"/>
        <v>0</v>
      </c>
      <c r="V96" s="229" t="str">
        <f>ifs($N96="",VLOOKUP($B96&amp;$E96,'VISIT DATA'!$A$2:$J97,7,FALSE), $N96="SWAB","OUTSA-RW",$N96="SWQU","OUTSA-SaQu", AND($L96="X",$M96="X",$N96="QUEST"),"OUT-UAQPre",$N96="QUEST","OUT-UAQ", $N96="Walk in","ColUATele")</f>
        <v>#N/A</v>
      </c>
      <c r="W96" s="24" t="str">
        <f t="shared" si="8"/>
        <v>#N/A</v>
      </c>
      <c r="X96" s="222" t="str">
        <f t="shared" si="9"/>
        <v/>
      </c>
      <c r="Y96" s="222" t="str">
        <f t="shared" si="10"/>
        <v/>
      </c>
      <c r="Z96" s="224" t="str">
        <f t="shared" si="11"/>
        <v> </v>
      </c>
      <c r="AA96" s="244"/>
    </row>
    <row r="97">
      <c r="A97" s="232"/>
      <c r="B97" s="232"/>
      <c r="C97" s="232"/>
      <c r="D97" s="232"/>
      <c r="E97" s="263"/>
      <c r="F97" s="234"/>
      <c r="G97" s="232"/>
      <c r="H97" s="235"/>
      <c r="I97" s="232"/>
      <c r="J97" s="232"/>
      <c r="K97" s="236" t="s">
        <v>6333</v>
      </c>
      <c r="L97" s="237">
        <f>COUNTIFS(K1:L77, "X")</f>
        <v>52</v>
      </c>
      <c r="M97" s="236" t="s">
        <v>6334</v>
      </c>
      <c r="N97" s="237">
        <f>COUNTIFS(M1:M77, "X")</f>
        <v>11</v>
      </c>
      <c r="O97" s="238"/>
      <c r="P97" s="238"/>
      <c r="Q97" s="238"/>
      <c r="R97" s="238"/>
      <c r="S97" s="238"/>
      <c r="T97" s="238"/>
      <c r="U97" s="238"/>
      <c r="V97" s="239"/>
      <c r="W97" s="238"/>
      <c r="X97" s="238"/>
      <c r="Y97" s="238"/>
      <c r="Z97" s="238"/>
      <c r="AA97" s="238"/>
    </row>
  </sheetData>
  <customSheetViews>
    <customSheetView guid="{20F5F3BA-172D-4727-943D-E296FD1F3EFA}" filter="1" showAutoFilter="1">
      <autoFilter ref="$A$1:$AA$97"/>
    </customSheetView>
  </customSheetViews>
  <conditionalFormatting sqref="A1:X97">
    <cfRule type="expression" dxfId="5" priority="1">
      <formula>$X1="ERROR"</formula>
    </cfRule>
  </conditionalFormatting>
  <conditionalFormatting sqref="A1:Z96">
    <cfRule type="expression" dxfId="5" priority="2">
      <formula>$Y1="NO MATCH"</formula>
    </cfRule>
  </conditionalFormatting>
  <conditionalFormatting sqref="C2:C96 O2:O96">
    <cfRule type="containsText" dxfId="5" priority="3" operator="containsText" text="X">
      <formula>NOT(ISERROR(SEARCH(("X"),(C2))))</formula>
    </cfRule>
  </conditionalFormatting>
  <conditionalFormatting sqref="A1:Z96">
    <cfRule type="expression" dxfId="4" priority="4">
      <formula>$Z1="Repeat"</formula>
    </cfRule>
  </conditionalFormatting>
  <conditionalFormatting sqref="V2:V96">
    <cfRule type="expression" dxfId="10" priority="5">
      <formula>$N2="QUEST"</formula>
    </cfRule>
  </conditionalFormatting>
  <conditionalFormatting sqref="C2:C96 O2:O96">
    <cfRule type="containsText" dxfId="10" priority="6" operator="containsText" text="✓">
      <formula>NOT(ISERROR(SEARCH(("✓"),(C2))))</formula>
    </cfRule>
  </conditionalFormatting>
  <conditionalFormatting sqref="A1:U96">
    <cfRule type="expression" dxfId="20" priority="7">
      <formula>$J1="MOLINA DUAL COMPLETE NEW MEXICO"</formula>
    </cfRule>
  </conditionalFormatting>
  <conditionalFormatting sqref="A1:U96">
    <cfRule type="expression" dxfId="20" priority="8">
      <formula>$J1="MOLINA DUAL COMPLETE TEXAS"</formula>
    </cfRule>
  </conditionalFormatting>
  <conditionalFormatting sqref="A1:U96">
    <cfRule type="expression" dxfId="20" priority="9">
      <formula>$J1="MOLINA MARKETPLACE TEXAS"</formula>
    </cfRule>
  </conditionalFormatting>
  <conditionalFormatting sqref="K1:K96">
    <cfRule type="containsText" dxfId="6" priority="10" operator="containsText" text="x">
      <formula>NOT(ISERROR(SEARCH(("x"),(K1))))</formula>
    </cfRule>
  </conditionalFormatting>
  <conditionalFormatting sqref="M1:M96">
    <cfRule type="containsText" dxfId="21" priority="11" operator="containsText" text="X">
      <formula>NOT(ISERROR(SEARCH(("X"),(M1))))</formula>
    </cfRule>
  </conditionalFormatting>
  <conditionalFormatting sqref="L1:L96">
    <cfRule type="containsText" dxfId="22" priority="12" operator="containsText" text="X">
      <formula>NOT(ISERROR(SEARCH(("X"),(L1))))</formula>
    </cfRule>
  </conditionalFormatting>
  <conditionalFormatting sqref="C1:C96 O1:O96">
    <cfRule type="containsBlanks" dxfId="23" priority="13">
      <formula>LEN(TRIM(C1))=0</formula>
    </cfRule>
  </conditionalFormatting>
  <conditionalFormatting sqref="J1:J96 N1:O1 Z1">
    <cfRule type="containsText" dxfId="24" priority="14" operator="containsText" text="Molina">
      <formula>NOT(ISERROR(SEARCH(("Molina"),(J1))))</formula>
    </cfRule>
  </conditionalFormatting>
  <conditionalFormatting sqref="K1:M96">
    <cfRule type="containsBlanks" dxfId="25" priority="15">
      <formula>LEN(TRIM(K1))=0</formula>
    </cfRule>
  </conditionalFormatting>
  <conditionalFormatting sqref="O1:O96 A2:N96 P2:Z96">
    <cfRule type="expression" dxfId="10" priority="16">
      <formula>$N1="SWAB"</formula>
    </cfRule>
  </conditionalFormatting>
  <conditionalFormatting sqref="J1:J96">
    <cfRule type="containsText" dxfId="5" priority="17" operator="containsText" text="Self Pay">
      <formula>NOT(ISERROR(SEARCH(("Self Pay"),(J1))))</formula>
    </cfRule>
  </conditionalFormatting>
  <conditionalFormatting sqref="J1:J96">
    <cfRule type="containsText" dxfId="5" priority="18" operator="containsText" text="Self-Pay">
      <formula>NOT(ISERROR(SEARCH(("Self-Pay"),(J1))))</formula>
    </cfRule>
  </conditionalFormatting>
  <conditionalFormatting sqref="J1:J96">
    <cfRule type="containsText" dxfId="5" priority="19" operator="containsText" text="Third Party">
      <formula>NOT(ISERROR(SEARCH(("Third Party"),(J1))))</formula>
    </cfRule>
  </conditionalFormatting>
  <conditionalFormatting sqref="A1:U96">
    <cfRule type="expression" dxfId="26" priority="20">
      <formula>$J1="SUPERIOR HEALTH PLAN"</formula>
    </cfRule>
  </conditionalFormatting>
  <conditionalFormatting sqref="A1:U96">
    <cfRule type="expression" dxfId="26" priority="21">
      <formula>$J1="AMBETTER - SUPERIOR"</formula>
    </cfRule>
  </conditionalFormatting>
  <conditionalFormatting sqref="A1:U96">
    <cfRule type="expression" dxfId="19" priority="22">
      <formula>$J1="Wellmed - Humana"</formula>
    </cfRule>
  </conditionalFormatting>
  <conditionalFormatting sqref="A1:U96">
    <cfRule type="expression" dxfId="19" priority="23">
      <formula>$J1="WELLMED - AARP MEDICARE COMPLETE"</formula>
    </cfRule>
  </conditionalFormatting>
  <conditionalFormatting sqref="A1:U96">
    <cfRule type="expression" dxfId="19" priority="24">
      <formula>$J1="WELLMED - AMERIVANTAGE"</formula>
    </cfRule>
  </conditionalFormatting>
  <conditionalFormatting sqref="A1:U96">
    <cfRule type="expression" dxfId="19" priority="25">
      <formula>$J1="WELLMED - CIGNA HEALTHSPRING"</formula>
    </cfRule>
  </conditionalFormatting>
  <conditionalFormatting sqref="A1:U96">
    <cfRule type="expression" dxfId="19" priority="26">
      <formula>$J1="WELLMED - UHC CHRONIC COMPLETE HMO C-SNP"</formula>
    </cfRule>
  </conditionalFormatting>
  <conditionalFormatting sqref="A1:U96">
    <cfRule type="expression" dxfId="19" priority="27">
      <formula>$J1="WELLMED - UHC DUAL COMPLETE HMO SNP"</formula>
    </cfRule>
  </conditionalFormatting>
  <conditionalFormatting sqref="A1:U96">
    <cfRule type="expression" dxfId="19" priority="28">
      <formula>$J1="WELLMED - UHC DUAL COMPLETE SNP"</formula>
    </cfRule>
  </conditionalFormatting>
  <conditionalFormatting sqref="A1:U96">
    <cfRule type="expression" dxfId="20" priority="29">
      <formula>$J1="MOLINA DUAL COMPLETE NEW MEXICO"</formula>
    </cfRule>
  </conditionalFormatting>
  <conditionalFormatting sqref="A1:U96">
    <cfRule type="expression" dxfId="20" priority="30">
      <formula>$J1="MOLINA DUAL COMPLETE TEXAS"</formula>
    </cfRule>
  </conditionalFormatting>
  <conditionalFormatting sqref="A1:U96">
    <cfRule type="expression" dxfId="20" priority="31">
      <formula>$J1="MOLINA MARKETPLACE TEXAS"</formula>
    </cfRule>
  </conditionalFormatting>
  <conditionalFormatting sqref="A1:U96">
    <cfRule type="expression" dxfId="20" priority="32">
      <formula>$J1="MOLINA MEDICAID TEXAS"</formula>
    </cfRule>
  </conditionalFormatting>
  <conditionalFormatting sqref="A1:U96">
    <cfRule type="expression" dxfId="27" priority="33">
      <formula>$J1="HUMANA OPEN ACCESS PLAN"</formula>
    </cfRule>
  </conditionalFormatting>
  <conditionalFormatting sqref="A1:U96">
    <cfRule type="expression" dxfId="28" priority="34">
      <formula>$J1="HUMANA CHOICE CARE"</formula>
    </cfRule>
  </conditionalFormatting>
  <conditionalFormatting sqref="V1:W96">
    <cfRule type="expression" dxfId="11" priority="35">
      <formula>$V1="UA"</formula>
    </cfRule>
  </conditionalFormatting>
  <conditionalFormatting sqref="V1:W96">
    <cfRule type="expression" dxfId="12" priority="36">
      <formula>$V1="OUTUA-PrRW"</formula>
    </cfRule>
  </conditionalFormatting>
  <conditionalFormatting sqref="V1:W96">
    <cfRule type="expression" dxfId="12" priority="37">
      <formula>$V1="OUT-UAQPre"</formula>
    </cfRule>
  </conditionalFormatting>
  <conditionalFormatting sqref="V1:W96">
    <cfRule type="expression" dxfId="13" priority="38">
      <formula>$V1="UA-Prelim"</formula>
    </cfRule>
  </conditionalFormatting>
  <conditionalFormatting sqref="V1:W96">
    <cfRule type="expression" dxfId="6" priority="39">
      <formula>$V1="UA-NWPT"</formula>
    </cfRule>
  </conditionalFormatting>
  <conditionalFormatting sqref="N1:N97 O1:O96">
    <cfRule type="expression" dxfId="5" priority="40">
      <formula>$O1="X"</formula>
    </cfRule>
  </conditionalFormatting>
  <conditionalFormatting sqref="V1:W96">
    <cfRule type="expression" dxfId="10" priority="41">
      <formula>$V1="OUT-UAQ"</formula>
    </cfRule>
  </conditionalFormatting>
  <conditionalFormatting sqref="V1:W96">
    <cfRule type="expression" dxfId="10" priority="42">
      <formula>$V1="OUTUA-FURW"</formula>
    </cfRule>
  </conditionalFormatting>
  <conditionalFormatting sqref="V1:W96">
    <cfRule type="expression" dxfId="14" priority="43">
      <formula>$V1="OUTSA-SaQu"</formula>
    </cfRule>
  </conditionalFormatting>
  <conditionalFormatting sqref="V1:W96">
    <cfRule type="expression" dxfId="14" priority="44">
      <formula>$V1="OUTSA-RW"</formula>
    </cfRule>
  </conditionalFormatting>
  <dataValidations>
    <dataValidation type="list" allowBlank="1" showErrorMessage="1" sqref="H2:H96">
      <formula1>"CH,DA,DC,DM,FA,LM"</formula1>
    </dataValidation>
    <dataValidation type="list" allowBlank="1" showErrorMessage="1" sqref="J2:J96">
      <formula1>Data!$A$2:$A97</formula1>
    </dataValidation>
    <dataValidation type="custom" allowBlank="1" showDropDown="1" showInputMessage="1" showErrorMessage="1" prompt="CAPITALS" sqref="A1:A96">
      <formula1>ISERROR(SEARCH((exact(upper(B:N),B:N)),(A1)))</formula1>
    </dataValidation>
    <dataValidation type="list" allowBlank="1" showErrorMessage="1" sqref="F2:F96">
      <formula1>Data!$B$1:$B$44</formula1>
    </dataValidation>
    <dataValidation type="custom" allowBlank="1" showDropDown="1" showInputMessage="1" showErrorMessage="1" prompt="CAPITALS" sqref="B1:B96">
      <formula1>ISERROR(SEARCH((exact(upper(B:O),B:O)),(B1)))</formula1>
    </dataValidation>
    <dataValidation type="list" allowBlank="1" showErrorMessage="1" sqref="G2:G96">
      <formula1>"F,M"</formula1>
    </dataValidation>
    <dataValidation type="list" allowBlank="1" showErrorMessage="1" sqref="K2:M96">
      <formula1>"X"</formula1>
    </dataValidation>
    <dataValidation type="list" allowBlank="1" showInputMessage="1" showErrorMessage="1" prompt="Click and enter a value from range 'Insurance Data'!C2:C608" sqref="E2:E96">
      <formula1>Data!$C:$C</formula1>
    </dataValidation>
    <dataValidation type="list" allowBlank="1" showErrorMessage="1" sqref="I2:I96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1.0"/>
    <col customWidth="1" min="2" max="2" width="6.43"/>
    <col customWidth="1" min="3" max="3" width="2.14"/>
    <col customWidth="1" min="4" max="4" width="9.71"/>
    <col customWidth="1" min="5" max="5" width="10.71"/>
    <col customWidth="1" min="6" max="6" width="11.57"/>
    <col customWidth="1" min="7" max="7" width="8.43"/>
    <col customWidth="1" min="8" max="8" width="8.29"/>
    <col customWidth="1" min="9" max="9" width="12.71"/>
    <col customWidth="1" min="10" max="10" width="38.14"/>
    <col customWidth="1" min="11" max="11" width="8.29"/>
    <col customWidth="1" min="12" max="12" width="8.57"/>
    <col customWidth="1" min="13" max="13" width="7.57"/>
    <col customWidth="1" min="14" max="14" width="7.0"/>
    <col customWidth="1" min="15" max="15" width="2.14"/>
    <col customWidth="1" hidden="1" min="16" max="20" width="12.57"/>
    <col customWidth="1" hidden="1" min="21" max="21" width="2.14"/>
    <col customWidth="1" min="22" max="22" width="14.86"/>
    <col customWidth="1" hidden="1" min="23" max="24" width="34.57"/>
    <col customWidth="1" hidden="1" min="25" max="25" width="12.14"/>
    <col customWidth="1" hidden="1" min="26" max="26" width="1.57"/>
    <col customWidth="1" min="27" max="27" width="9.57"/>
  </cols>
  <sheetData>
    <row r="1">
      <c r="A1" s="204" t="s">
        <v>24</v>
      </c>
      <c r="B1" s="205" t="s">
        <v>6237</v>
      </c>
      <c r="C1" s="206"/>
      <c r="D1" s="207" t="s">
        <v>25</v>
      </c>
      <c r="E1" s="280" t="s">
        <v>21</v>
      </c>
      <c r="F1" s="208" t="s">
        <v>6077</v>
      </c>
      <c r="G1" s="208" t="s">
        <v>6318</v>
      </c>
      <c r="H1" s="209" t="s">
        <v>2</v>
      </c>
      <c r="I1" s="209" t="s">
        <v>6206</v>
      </c>
      <c r="J1" s="209" t="s">
        <v>6135</v>
      </c>
      <c r="K1" s="208" t="s">
        <v>6353</v>
      </c>
      <c r="L1" s="208" t="s">
        <v>6354</v>
      </c>
      <c r="M1" s="208" t="s">
        <v>6240</v>
      </c>
      <c r="N1" s="210" t="s">
        <v>7</v>
      </c>
      <c r="O1" s="206"/>
      <c r="P1" s="207" t="s">
        <v>6188</v>
      </c>
      <c r="Q1" s="208" t="s">
        <v>6319</v>
      </c>
      <c r="R1" s="208" t="s">
        <v>6132</v>
      </c>
      <c r="S1" s="208" t="s">
        <v>6134</v>
      </c>
      <c r="T1" s="208" t="s">
        <v>6147</v>
      </c>
      <c r="U1" s="211"/>
      <c r="V1" s="212" t="s">
        <v>6320</v>
      </c>
      <c r="W1" s="207"/>
      <c r="X1" s="209"/>
      <c r="Y1" s="208" t="s">
        <v>6321</v>
      </c>
      <c r="Z1" s="213"/>
      <c r="AA1" s="241"/>
    </row>
    <row r="2">
      <c r="A2" s="214" t="str">
        <f>IFS($B2=FALSE,"",$B2,VLOOKUP($B2,'PATIENT DATA (072721)'!A:C, 2, 0))</f>
        <v>RUBIO, HECTOR</v>
      </c>
      <c r="B2" s="215">
        <v>12131.0</v>
      </c>
      <c r="C2" s="216" t="str">
        <f>IF(COUNTIF('PATIENT DATA (072721)'!A:A, B2)=0, "X","✓")</f>
        <v>✓</v>
      </c>
      <c r="D2" s="226">
        <f>IFS($B2=FALSE,"",$B2,VLOOKUP($B2,'PATIENT DATA (072721)'!A:C, 3, 0))</f>
        <v>22551</v>
      </c>
      <c r="E2" s="218">
        <v>44580.0</v>
      </c>
      <c r="F2" s="219">
        <f>ifs($B2="","",$B2, VLOOKUP($B2&amp;$E2, 'VISIT DATA'!A:O,3,0))</f>
        <v>0.3229166667</v>
      </c>
      <c r="G2" s="220" t="s">
        <v>6328</v>
      </c>
      <c r="H2" s="221" t="s">
        <v>12</v>
      </c>
      <c r="I2" s="222" t="str">
        <f>VLOOKUP($B2&amp;$E2,'VISIT DATA'!A:J, 9, FALSE)</f>
        <v>LOPEZ</v>
      </c>
      <c r="J2" s="223" t="str">
        <f>VLOOKUP(B2&amp;E2,'VISIT DATA'!A:N,10,FALSE)</f>
        <v>AMERIGROUP</v>
      </c>
      <c r="K2" s="242"/>
      <c r="L2" s="224" t="s">
        <v>6242</v>
      </c>
      <c r="M2" s="224"/>
      <c r="N2" s="225"/>
      <c r="O2" s="216" t="str">
        <f t="shared" ref="O2:O99" si="1">IF(OR(K2 = "x",L2 = "x",M2 = "x"),"✓", "X")</f>
        <v>✓</v>
      </c>
      <c r="P2" s="226" t="str">
        <f t="shared" ref="P2:P99" si="2">ifs(SEARCH($P$1,$J2)&gt;=1,"X")</f>
        <v>#VALUE!</v>
      </c>
      <c r="Q2" s="227" t="str">
        <f t="shared" ref="Q2:Q99" si="3">ifs(SEARCH($Q$1,$J2)&gt;=1,"X")</f>
        <v>#VALUE!</v>
      </c>
      <c r="R2" s="228" t="str">
        <f t="shared" ref="R2:R99" si="4">ifs(SEARCH($R$1,$J2)&gt;=1,"X")</f>
        <v>#VALUE!</v>
      </c>
      <c r="S2" s="220" t="str">
        <f t="shared" ref="S2:S99" si="5">ifs(SEARCH($S$1,$J2)&gt;=1,"X")</f>
        <v>#VALUE!</v>
      </c>
      <c r="T2" s="220" t="str">
        <f t="shared" ref="T2:T99" si="6">ifs(SEARCH($T$1,$J2)&gt;=1,"X")</f>
        <v>#VALUE!</v>
      </c>
      <c r="U2" s="221">
        <f t="shared" ref="U2:U99" si="7">countif($P2:$T2,"X")</f>
        <v>0</v>
      </c>
      <c r="V2" s="229" t="str">
        <f>ifs($N2="",VLOOKUP($B2&amp;$E2,'VISIT DATA'!$A$2:$J100,7,FALSE), $N2="SWAB","OUTSA-RW",$N2="SWQU","OUTSA-SaQu", AND($L2="X",$M2="X",$N2="QUEST"),"OUT-UAQPre",$N2="QUEST","OUT-UAQ", $N2="Walk in","ColUATele")</f>
        <v>UA</v>
      </c>
      <c r="W2" s="24" t="str">
        <f t="shared" ref="W2:W99" si="8">ifs($V2="UA-NWPT","UA-NWPT : UA New Patient",$V2="UA","UA : Urine Analysis In House",$V2="UA-Prelim","UA-Prelim : Preliminary UA Test",$V2="OUT-UAQ","OUT-UAQ : Quest Out UA",$V2="OUT-UAQPre", "OUT-UAQPre : OUT UA Prelim Quest",$V2="OUTSA-SaQu","OUTSA-SaQu : Saliva Out Quest",$V2="ColUATele","Collected Telemed",$V2="OUTUA-PrRW", "OUTUA-PrRW : OUT UA Prelimin Redwood",$V2="OUTUA-FURW", "OUTUA-FURW : OUT UA FU Redwood",$V2="OUTUA-NWRW", "OUTUA-NWRW : OUT UA New Redwood",$V2="OUTSA-RW", "OUTSA-RW : OUT Saliva Redwood")</f>
        <v>UA : Urine Analysis In House</v>
      </c>
      <c r="X2" s="222" t="str">
        <f t="shared" ref="X2:X99" si="9">ifs($B2="","",and($K2="X",$L2="X",$M2="X",$N2="SWAB"), "ERROR",and($K2="X",$L2="X",$N2="SWAB"), "ERROR", and($L2="X",$N2="SWAB"), "OUTSA-RW : OUT Saliva Redwood", and($K2="X",$M2="X", $N2="SWAB"),"ERROR", and($M2="X",$N2="SWAB"), "OUTSA-RW : OUT Saliva Redwood", and($K2="X",$N2="SWAB"),"OUTSA-RW : OUT Saliva Redwood",and($K2="X",$L2="X"),"ERROR", and($K2="X",$M2="X"),"ERROR",and($M2="X",$U2=1), "OUTUA-PrRW : OUT UA Prelimin Redwood", and($K2="X",$U2=1), "OUTUA-NWRW : OUT UA New Redwood", and($L2="X",$U2=1), "OUTUA-FURW : OUT UA FU Redwood", and($L2="X",$M2="X",$U2=1), "OUTUA-PrRW : OUT UA Prelimin Redwood", $K2="X","UA-NWPT : UA New Patient", and($L2="X",$M2="X"),"UA-Prelim : Preliminary UA Test",and($L2="X",$N2="SWAB"),"OUTSA-RW : OUT Saliva Redwood",$L2="X","UA : Urine Analysis In House",$M2="X","UA-Prelim : Preliminary UA Test")</f>
        <v>UA : Urine Analysis In House</v>
      </c>
      <c r="Y2" s="222" t="str">
        <f t="shared" ref="Y2:Y99" si="10">IFS($B2="","",X2=W2,"MATCH",X2&lt;&gt;W2,"NO MATCH")</f>
        <v>MATCH</v>
      </c>
      <c r="Z2" s="224" t="str">
        <f t="shared" ref="Z2:Z99" si="11">IF((countif($B$2:$B100,$B2)&gt;1),"Repeat"," ")</f>
        <v> </v>
      </c>
      <c r="AA2" s="243"/>
    </row>
    <row r="3">
      <c r="A3" s="214" t="str">
        <f>IFS($B3=FALSE,"",$B3,VLOOKUP($B3,'PATIENT DATA (072721)'!A:C, 2, 0))</f>
        <v>OLIVAS, MARIA</v>
      </c>
      <c r="B3" s="215">
        <v>10961.0</v>
      </c>
      <c r="C3" s="216" t="str">
        <f>IF(COUNTIF('PATIENT DATA (072721)'!A:A, B3)=0, "X","✓")</f>
        <v>✓</v>
      </c>
      <c r="D3" s="226">
        <f>IFS($B3=FALSE,"",$B3,VLOOKUP($B3,'PATIENT DATA (072721)'!A:C, 3, 0))</f>
        <v>19237</v>
      </c>
      <c r="E3" s="218">
        <v>44580.0</v>
      </c>
      <c r="F3" s="219">
        <f>ifs($B3="","",$B3, VLOOKUP($B3&amp;$E3, 'VISIT DATA'!A:O,3,0))</f>
        <v>0.3333333333</v>
      </c>
      <c r="G3" s="220" t="s">
        <v>6323</v>
      </c>
      <c r="H3" s="221" t="s">
        <v>15</v>
      </c>
      <c r="I3" s="222" t="str">
        <f>VLOOKUP($B3&amp;$E3,'VISIT DATA'!A:J, 9, FALSE)</f>
        <v>MARTINEZ</v>
      </c>
      <c r="J3" s="223" t="str">
        <f>VLOOKUP(B3&amp;E3,'VISIT DATA'!A:N,10,FALSE)</f>
        <v>BCBSTX PPO</v>
      </c>
      <c r="K3" s="224"/>
      <c r="L3" s="224" t="s">
        <v>6242</v>
      </c>
      <c r="M3" s="224"/>
      <c r="N3" s="225"/>
      <c r="O3" s="216" t="str">
        <f t="shared" si="1"/>
        <v>✓</v>
      </c>
      <c r="P3" s="226" t="str">
        <f t="shared" si="2"/>
        <v>#VALUE!</v>
      </c>
      <c r="Q3" s="227" t="str">
        <f t="shared" si="3"/>
        <v>#VALUE!</v>
      </c>
      <c r="R3" s="228" t="str">
        <f t="shared" si="4"/>
        <v>#VALUE!</v>
      </c>
      <c r="S3" s="220" t="str">
        <f t="shared" si="5"/>
        <v>#VALUE!</v>
      </c>
      <c r="T3" s="220" t="str">
        <f t="shared" si="6"/>
        <v>#VALUE!</v>
      </c>
      <c r="U3" s="221">
        <f t="shared" si="7"/>
        <v>0</v>
      </c>
      <c r="V3" s="229" t="str">
        <f>ifs($N3="",VLOOKUP($B3&amp;$E3,'VISIT DATA'!$A$2:$J100,7,FALSE), $N3="SWAB","OUTSA-RW",$N3="SWQU","OUTSA-SaQu", AND($L3="X",$M3="X",$N3="QUEST"),"OUT-UAQPre",$N3="QUEST","OUT-UAQ", $N3="Walk in","ColUATele")</f>
        <v>UA</v>
      </c>
      <c r="W3" s="24" t="str">
        <f t="shared" si="8"/>
        <v>UA : Urine Analysis In House</v>
      </c>
      <c r="X3" s="222" t="str">
        <f t="shared" si="9"/>
        <v>UA : Urine Analysis In House</v>
      </c>
      <c r="Y3" s="222" t="str">
        <f t="shared" si="10"/>
        <v>MATCH</v>
      </c>
      <c r="Z3" s="224" t="str">
        <f t="shared" si="11"/>
        <v> </v>
      </c>
      <c r="AA3" s="243"/>
    </row>
    <row r="4">
      <c r="A4" s="214" t="str">
        <f>IFS($B4=FALSE,"",$B4,VLOOKUP($B4,'PATIENT DATA (072721)'!A:C, 2, 0))</f>
        <v>FARAONE, TAMARA J</v>
      </c>
      <c r="B4" s="215">
        <v>9529.0</v>
      </c>
      <c r="C4" s="216" t="str">
        <f>IF(COUNTIF('PATIENT DATA (072721)'!A:A, B4)=0, "X","✓")</f>
        <v>✓</v>
      </c>
      <c r="D4" s="226">
        <f>IFS($B4=FALSE,"",$B4,VLOOKUP($B4,'PATIENT DATA (072721)'!A:C, 3, 0))</f>
        <v>28740</v>
      </c>
      <c r="E4" s="218">
        <v>44580.0</v>
      </c>
      <c r="F4" s="219">
        <f>ifs($B4="","",$B4, VLOOKUP($B4&amp;$E4, 'VISIT DATA'!A:O,3,0))</f>
        <v>0.3541666667</v>
      </c>
      <c r="G4" s="220" t="s">
        <v>6323</v>
      </c>
      <c r="H4" s="221" t="s">
        <v>14</v>
      </c>
      <c r="I4" s="222" t="str">
        <f>VLOOKUP($B4&amp;$E4,'VISIT DATA'!A:J, 9, FALSE)</f>
        <v>TORRES</v>
      </c>
      <c r="J4" s="223" t="str">
        <f>VLOOKUP(B4&amp;E4,'VISIT DATA'!A:N,10,FALSE)</f>
        <v>HUMANA OPEN ACCESS PLAN</v>
      </c>
      <c r="K4" s="242"/>
      <c r="L4" s="224" t="s">
        <v>6242</v>
      </c>
      <c r="M4" s="224" t="s">
        <v>6242</v>
      </c>
      <c r="N4" s="225"/>
      <c r="O4" s="216" t="str">
        <f t="shared" si="1"/>
        <v>✓</v>
      </c>
      <c r="P4" s="226" t="str">
        <f t="shared" si="2"/>
        <v>#VALUE!</v>
      </c>
      <c r="Q4" s="227" t="str">
        <f t="shared" si="3"/>
        <v>#VALUE!</v>
      </c>
      <c r="R4" s="228" t="str">
        <f t="shared" si="4"/>
        <v>#VALUE!</v>
      </c>
      <c r="S4" s="220" t="str">
        <f t="shared" si="5"/>
        <v>X</v>
      </c>
      <c r="T4" s="220" t="str">
        <f t="shared" si="6"/>
        <v>#VALUE!</v>
      </c>
      <c r="U4" s="221">
        <f t="shared" si="7"/>
        <v>1</v>
      </c>
      <c r="V4" s="229" t="str">
        <f>ifs($N4="",VLOOKUP($B4&amp;$E4,'VISIT DATA'!$A$2:$J100,7,FALSE), $N4="SWAB","OUTSA-RW",$N4="SWQU","OUTSA-SaQu", AND($L4="X",$M4="X",$N4="QUEST"),"OUT-UAQPre",$N4="QUEST","OUT-UAQ", $N4="Walk in","ColUATele")</f>
        <v>OUTUA-PrRW</v>
      </c>
      <c r="W4" s="24" t="str">
        <f t="shared" si="8"/>
        <v>OUTUA-PrRW : OUT UA Prelimin Redwood</v>
      </c>
      <c r="X4" s="222" t="str">
        <f t="shared" si="9"/>
        <v>OUTUA-PrRW : OUT UA Prelimin Redwood</v>
      </c>
      <c r="Y4" s="222" t="str">
        <f t="shared" si="10"/>
        <v>MATCH</v>
      </c>
      <c r="Z4" s="224" t="str">
        <f t="shared" si="11"/>
        <v> </v>
      </c>
      <c r="AA4" s="243"/>
    </row>
    <row r="5">
      <c r="A5" s="214" t="str">
        <f>IFS($B5=FALSE,"",$B5,VLOOKUP($B5,'PATIENT DATA (072721)'!A:C, 2, 0))</f>
        <v>HUERTA MARTINEZ, BERTHA</v>
      </c>
      <c r="B5" s="215">
        <v>9608.0</v>
      </c>
      <c r="C5" s="216" t="str">
        <f>IF(COUNTIF('PATIENT DATA (072721)'!A:A, B5)=0, "X","✓")</f>
        <v>✓</v>
      </c>
      <c r="D5" s="226">
        <f>IFS($B5=FALSE,"",$B5,VLOOKUP($B5,'PATIENT DATA (072721)'!A:C, 3, 0))</f>
        <v>21736</v>
      </c>
      <c r="E5" s="218">
        <v>44580.0</v>
      </c>
      <c r="F5" s="219">
        <f>ifs($B5="","",$B5, VLOOKUP($B5&amp;$E5, 'VISIT DATA'!A:O,3,0))</f>
        <v>0.3958333333</v>
      </c>
      <c r="G5" s="220" t="s">
        <v>6323</v>
      </c>
      <c r="H5" s="221" t="s">
        <v>15</v>
      </c>
      <c r="I5" s="222" t="str">
        <f>VLOOKUP($B5&amp;$E5,'VISIT DATA'!A:J, 9, FALSE)</f>
        <v>MARTINEZ</v>
      </c>
      <c r="J5" s="223" t="str">
        <f>VLOOKUP(B5&amp;E5,'VISIT DATA'!A:N,10,FALSE)</f>
        <v>AMERIVANTAGE DUAL</v>
      </c>
      <c r="K5" s="224"/>
      <c r="L5" s="224" t="s">
        <v>6242</v>
      </c>
      <c r="M5" s="224"/>
      <c r="N5" s="225"/>
      <c r="O5" s="216" t="str">
        <f t="shared" si="1"/>
        <v>✓</v>
      </c>
      <c r="P5" s="226" t="str">
        <f t="shared" si="2"/>
        <v>#VALUE!</v>
      </c>
      <c r="Q5" s="227" t="str">
        <f t="shared" si="3"/>
        <v>#VALUE!</v>
      </c>
      <c r="R5" s="228" t="str">
        <f t="shared" si="4"/>
        <v>#VALUE!</v>
      </c>
      <c r="S5" s="220" t="str">
        <f t="shared" si="5"/>
        <v>#VALUE!</v>
      </c>
      <c r="T5" s="220" t="str">
        <f t="shared" si="6"/>
        <v>#VALUE!</v>
      </c>
      <c r="U5" s="221">
        <f t="shared" si="7"/>
        <v>0</v>
      </c>
      <c r="V5" s="229" t="str">
        <f>ifs($N5="",VLOOKUP($B5&amp;$E5,'VISIT DATA'!$A$2:$J100,7,FALSE), $N5="SWAB","OUTSA-RW",$N5="SWQU","OUTSA-SaQu", AND($L5="X",$M5="X",$N5="QUEST"),"OUT-UAQPre",$N5="QUEST","OUT-UAQ", $N5="Walk in","ColUATele")</f>
        <v>UA</v>
      </c>
      <c r="W5" s="24" t="str">
        <f t="shared" si="8"/>
        <v>UA : Urine Analysis In House</v>
      </c>
      <c r="X5" s="222" t="str">
        <f t="shared" si="9"/>
        <v>UA : Urine Analysis In House</v>
      </c>
      <c r="Y5" s="222" t="str">
        <f t="shared" si="10"/>
        <v>MATCH</v>
      </c>
      <c r="Z5" s="224" t="str">
        <f t="shared" si="11"/>
        <v> </v>
      </c>
      <c r="AA5" s="243"/>
    </row>
    <row r="6">
      <c r="A6" s="214" t="str">
        <f>IFS($B6=FALSE,"",$B6,VLOOKUP($B6,'PATIENT DATA (072721)'!A:C, 2, 0))</f>
        <v>VALENCIA, DELIA I</v>
      </c>
      <c r="B6" s="215">
        <v>17632.0</v>
      </c>
      <c r="C6" s="216" t="str">
        <f>IF(COUNTIF('PATIENT DATA (072721)'!A:A, B6)=0, "X","✓")</f>
        <v>✓</v>
      </c>
      <c r="D6" s="226">
        <f>IFS($B6=FALSE,"",$B6,VLOOKUP($B6,'PATIENT DATA (072721)'!A:C, 3, 0))</f>
        <v>31594</v>
      </c>
      <c r="E6" s="218">
        <v>44580.0</v>
      </c>
      <c r="F6" s="219">
        <f>ifs($B6="","",$B6, VLOOKUP($B6&amp;$E6, 'VISIT DATA'!A:O,3,0))</f>
        <v>0.34375</v>
      </c>
      <c r="G6" s="220" t="s">
        <v>6323</v>
      </c>
      <c r="H6" s="221" t="s">
        <v>14</v>
      </c>
      <c r="I6" s="222" t="str">
        <f>VLOOKUP($B6&amp;$E6,'VISIT DATA'!A:J, 9, FALSE)</f>
        <v>TORRES</v>
      </c>
      <c r="J6" s="223" t="str">
        <f>VLOOKUP(B6&amp;E6,'VISIT DATA'!A:N,10,FALSE)</f>
        <v>AMERIVANTAGE DUAL</v>
      </c>
      <c r="K6" s="224"/>
      <c r="L6" s="224" t="s">
        <v>6242</v>
      </c>
      <c r="M6" s="224" t="s">
        <v>6242</v>
      </c>
      <c r="N6" s="225"/>
      <c r="O6" s="216" t="str">
        <f t="shared" si="1"/>
        <v>✓</v>
      </c>
      <c r="P6" s="226" t="str">
        <f t="shared" si="2"/>
        <v>#VALUE!</v>
      </c>
      <c r="Q6" s="227" t="str">
        <f t="shared" si="3"/>
        <v>#VALUE!</v>
      </c>
      <c r="R6" s="228" t="str">
        <f t="shared" si="4"/>
        <v>#VALUE!</v>
      </c>
      <c r="S6" s="220" t="str">
        <f t="shared" si="5"/>
        <v>#VALUE!</v>
      </c>
      <c r="T6" s="220" t="str">
        <f t="shared" si="6"/>
        <v>#VALUE!</v>
      </c>
      <c r="U6" s="221">
        <f t="shared" si="7"/>
        <v>0</v>
      </c>
      <c r="V6" s="229" t="str">
        <f>ifs($N6="",VLOOKUP($B6&amp;$E6,'VISIT DATA'!$A$2:$J100,7,FALSE), $N6="SWAB","OUTSA-RW",$N6="SWQU","OUTSA-SaQu", AND($L6="X",$M6="X",$N6="QUEST"),"OUT-UAQPre",$N6="QUEST","OUT-UAQ", $N6="Walk in","ColUATele")</f>
        <v>UA-Prelim</v>
      </c>
      <c r="W6" s="24" t="str">
        <f t="shared" si="8"/>
        <v>UA-Prelim : Preliminary UA Test</v>
      </c>
      <c r="X6" s="222" t="str">
        <f t="shared" si="9"/>
        <v>UA-Prelim : Preliminary UA Test</v>
      </c>
      <c r="Y6" s="222" t="str">
        <f t="shared" si="10"/>
        <v>MATCH</v>
      </c>
      <c r="Z6" s="224" t="str">
        <f t="shared" si="11"/>
        <v> </v>
      </c>
      <c r="AA6" s="243"/>
    </row>
    <row r="7">
      <c r="A7" s="214" t="str">
        <f>IFS($B7=FALSE,"",$B7,VLOOKUP($B7,'PATIENT DATA (072721)'!A:C, 2, 0))</f>
        <v>MARTINEZ, SERGIO</v>
      </c>
      <c r="B7" s="215">
        <v>14589.0</v>
      </c>
      <c r="C7" s="216" t="str">
        <f>IF(COUNTIF('PATIENT DATA (072721)'!A:A, B7)=0, "X","✓")</f>
        <v>✓</v>
      </c>
      <c r="D7" s="226">
        <f>IFS($B7=FALSE,"",$B7,VLOOKUP($B7,'PATIENT DATA (072721)'!A:C, 3, 0))</f>
        <v>24291</v>
      </c>
      <c r="E7" s="218">
        <v>44580.0</v>
      </c>
      <c r="F7" s="219">
        <f>ifs($B7="","",$B7, VLOOKUP($B7&amp;$E7, 'VISIT DATA'!A:O,3,0))</f>
        <v>0.375</v>
      </c>
      <c r="G7" s="220" t="s">
        <v>6328</v>
      </c>
      <c r="H7" s="221" t="s">
        <v>14</v>
      </c>
      <c r="I7" s="222" t="str">
        <f>VLOOKUP($B7&amp;$E7,'VISIT DATA'!A:J, 9, FALSE)</f>
        <v>TORRES</v>
      </c>
      <c r="J7" s="223" t="str">
        <f>VLOOKUP(B7&amp;E7,'VISIT DATA'!A:N,10,FALSE)</f>
        <v>WELLMED - UHC DUAL COMPLETE SNP</v>
      </c>
      <c r="K7" s="224"/>
      <c r="L7" s="224" t="s">
        <v>6242</v>
      </c>
      <c r="M7" s="224"/>
      <c r="N7" s="225"/>
      <c r="O7" s="216" t="str">
        <f t="shared" si="1"/>
        <v>✓</v>
      </c>
      <c r="P7" s="226" t="str">
        <f t="shared" si="2"/>
        <v>X</v>
      </c>
      <c r="Q7" s="227" t="str">
        <f t="shared" si="3"/>
        <v>#VALUE!</v>
      </c>
      <c r="R7" s="228" t="str">
        <f t="shared" si="4"/>
        <v>#VALUE!</v>
      </c>
      <c r="S7" s="220" t="str">
        <f t="shared" si="5"/>
        <v>#VALUE!</v>
      </c>
      <c r="T7" s="220" t="str">
        <f t="shared" si="6"/>
        <v>#VALUE!</v>
      </c>
      <c r="U7" s="221">
        <f t="shared" si="7"/>
        <v>1</v>
      </c>
      <c r="V7" s="229" t="str">
        <f>ifs($N7="",VLOOKUP($B7&amp;$E7,'VISIT DATA'!$A$2:$J100,7,FALSE), $N7="SWAB","OUTSA-RW",$N7="SWQU","OUTSA-SaQu", AND($L7="X",$M7="X",$N7="QUEST"),"OUT-UAQPre",$N7="QUEST","OUT-UAQ", $N7="Walk in","ColUATele")</f>
        <v>OUTUA-FURW</v>
      </c>
      <c r="W7" s="24" t="str">
        <f t="shared" si="8"/>
        <v>OUTUA-FURW : OUT UA FU Redwood</v>
      </c>
      <c r="X7" s="222" t="str">
        <f t="shared" si="9"/>
        <v>OUTUA-FURW : OUT UA FU Redwood</v>
      </c>
      <c r="Y7" s="222" t="str">
        <f t="shared" si="10"/>
        <v>MATCH</v>
      </c>
      <c r="Z7" s="224" t="str">
        <f t="shared" si="11"/>
        <v> </v>
      </c>
      <c r="AA7" s="243"/>
    </row>
    <row r="8">
      <c r="A8" s="214" t="str">
        <f>IFS($B8=FALSE,"",$B8,VLOOKUP($B8,'PATIENT DATA (072721)'!A:C, 2, 0))</f>
        <v>ESCOBEDO, ROSALBA</v>
      </c>
      <c r="B8" s="215">
        <v>10291.0</v>
      </c>
      <c r="C8" s="216" t="str">
        <f>IF(COUNTIF('PATIENT DATA (072721)'!A:A, B8)=0, "X","✓")</f>
        <v>✓</v>
      </c>
      <c r="D8" s="226">
        <f>IFS($B8=FALSE,"",$B8,VLOOKUP($B8,'PATIENT DATA (072721)'!A:C, 3, 0))</f>
        <v>20391</v>
      </c>
      <c r="E8" s="218">
        <v>44580.0</v>
      </c>
      <c r="F8" s="219">
        <f>ifs($B8="","",$B8, VLOOKUP($B8&amp;$E8, 'VISIT DATA'!A:O,3,0))</f>
        <v>0.3229166667</v>
      </c>
      <c r="G8" s="220" t="s">
        <v>6323</v>
      </c>
      <c r="H8" s="221" t="s">
        <v>12</v>
      </c>
      <c r="I8" s="222" t="str">
        <f>VLOOKUP($B8&amp;$E8,'VISIT DATA'!A:J, 9, FALSE)</f>
        <v>THOMAS</v>
      </c>
      <c r="J8" s="223" t="str">
        <f>VLOOKUP(B8&amp;E8,'VISIT DATA'!A:N,10,FALSE)</f>
        <v>MEDICARE TEXAS</v>
      </c>
      <c r="K8" s="224"/>
      <c r="L8" s="224" t="s">
        <v>6242</v>
      </c>
      <c r="M8" s="224" t="s">
        <v>6242</v>
      </c>
      <c r="N8" s="225"/>
      <c r="O8" s="216" t="str">
        <f t="shared" si="1"/>
        <v>✓</v>
      </c>
      <c r="P8" s="226" t="str">
        <f t="shared" si="2"/>
        <v>#VALUE!</v>
      </c>
      <c r="Q8" s="227" t="str">
        <f t="shared" si="3"/>
        <v>#VALUE!</v>
      </c>
      <c r="R8" s="228" t="str">
        <f t="shared" si="4"/>
        <v>#VALUE!</v>
      </c>
      <c r="S8" s="220" t="str">
        <f t="shared" si="5"/>
        <v>#VALUE!</v>
      </c>
      <c r="T8" s="220" t="str">
        <f t="shared" si="6"/>
        <v>#VALUE!</v>
      </c>
      <c r="U8" s="221">
        <f t="shared" si="7"/>
        <v>0</v>
      </c>
      <c r="V8" s="229" t="str">
        <f>ifs($N8="",VLOOKUP($B8&amp;$E8,'VISIT DATA'!$A$2:$J100,7,FALSE), $N8="SWAB","OUTSA-RW",$N8="SWQU","OUTSA-SaQu", AND($L8="X",$M8="X",$N8="QUEST"),"OUT-UAQPre",$N8="QUEST","OUT-UAQ", $N8="Walk in","ColUATele")</f>
        <v>UA-Prelim</v>
      </c>
      <c r="W8" s="24" t="str">
        <f t="shared" si="8"/>
        <v>UA-Prelim : Preliminary UA Test</v>
      </c>
      <c r="X8" s="222" t="str">
        <f t="shared" si="9"/>
        <v>UA-Prelim : Preliminary UA Test</v>
      </c>
      <c r="Y8" s="222" t="str">
        <f t="shared" si="10"/>
        <v>MATCH</v>
      </c>
      <c r="Z8" s="224" t="str">
        <f t="shared" si="11"/>
        <v> </v>
      </c>
      <c r="AA8" s="243"/>
    </row>
    <row r="9">
      <c r="A9" s="214" t="str">
        <f>IFS($B9=FALSE,"",$B9,VLOOKUP($B9,'PATIENT DATA (072721)'!A:C, 2, 0))</f>
        <v>BAXTER, CHARLES W</v>
      </c>
      <c r="B9" s="215">
        <v>16329.0</v>
      </c>
      <c r="C9" s="216" t="str">
        <f>IF(COUNTIF('PATIENT DATA (072721)'!A:A, B9)=0, "X","✓")</f>
        <v>✓</v>
      </c>
      <c r="D9" s="226">
        <f>IFS($B9=FALSE,"",$B9,VLOOKUP($B9,'PATIENT DATA (072721)'!A:C, 3, 0))</f>
        <v>23619</v>
      </c>
      <c r="E9" s="218">
        <v>44580.0</v>
      </c>
      <c r="F9" s="219">
        <f>ifs($B9="","",$B9, VLOOKUP($B9&amp;$E9, 'VISIT DATA'!A:O,3,0))</f>
        <v>0.375</v>
      </c>
      <c r="G9" s="220" t="s">
        <v>6328</v>
      </c>
      <c r="H9" s="221" t="s">
        <v>15</v>
      </c>
      <c r="I9" s="222" t="str">
        <f>VLOOKUP($B9&amp;$E9,'VISIT DATA'!A:J, 9, FALSE)</f>
        <v>MARTINEZ</v>
      </c>
      <c r="J9" s="223" t="str">
        <f>VLOOKUP(B9&amp;E9,'VISIT DATA'!A:N,10,FALSE)</f>
        <v>WELLMED - UHC DUAL COMPLETE HMO SNP</v>
      </c>
      <c r="K9" s="224"/>
      <c r="L9" s="224" t="s">
        <v>6242</v>
      </c>
      <c r="M9" s="224" t="s">
        <v>6242</v>
      </c>
      <c r="N9" s="225"/>
      <c r="O9" s="216" t="str">
        <f t="shared" si="1"/>
        <v>✓</v>
      </c>
      <c r="P9" s="226" t="str">
        <f t="shared" si="2"/>
        <v>X</v>
      </c>
      <c r="Q9" s="227" t="str">
        <f t="shared" si="3"/>
        <v>#VALUE!</v>
      </c>
      <c r="R9" s="228" t="str">
        <f t="shared" si="4"/>
        <v>#VALUE!</v>
      </c>
      <c r="S9" s="220" t="str">
        <f t="shared" si="5"/>
        <v>#VALUE!</v>
      </c>
      <c r="T9" s="220" t="str">
        <f t="shared" si="6"/>
        <v>#VALUE!</v>
      </c>
      <c r="U9" s="221">
        <f t="shared" si="7"/>
        <v>1</v>
      </c>
      <c r="V9" s="229" t="str">
        <f>ifs($N9="",VLOOKUP($B9&amp;$E9,'VISIT DATA'!$A$2:$J100,7,FALSE), $N9="SWAB","OUTSA-RW",$N9="SWQU","OUTSA-SaQu", AND($L9="X",$M9="X",$N9="QUEST"),"OUT-UAQPre",$N9="QUEST","OUT-UAQ", $N9="Walk in","ColUATele")</f>
        <v>OUTUA-PrRW</v>
      </c>
      <c r="W9" s="24" t="str">
        <f t="shared" si="8"/>
        <v>OUTUA-PrRW : OUT UA Prelimin Redwood</v>
      </c>
      <c r="X9" s="222" t="str">
        <f t="shared" si="9"/>
        <v>OUTUA-PrRW : OUT UA Prelimin Redwood</v>
      </c>
      <c r="Y9" s="222" t="str">
        <f t="shared" si="10"/>
        <v>MATCH</v>
      </c>
      <c r="Z9" s="224" t="str">
        <f t="shared" si="11"/>
        <v> </v>
      </c>
      <c r="AA9" s="243"/>
    </row>
    <row r="10">
      <c r="A10" s="214" t="str">
        <f>IFS($B10=FALSE,"",$B10,VLOOKUP($B10,'PATIENT DATA (072721)'!A:C, 2, 0))</f>
        <v>MELENDEZ, TERESA</v>
      </c>
      <c r="B10" s="215">
        <v>17928.0</v>
      </c>
      <c r="C10" s="216" t="str">
        <f>IF(COUNTIF('PATIENT DATA (072721)'!A:A, B10)=0, "X","✓")</f>
        <v>✓</v>
      </c>
      <c r="D10" s="226">
        <f>IFS($B10=FALSE,"",$B10,VLOOKUP($B10,'PATIENT DATA (072721)'!A:C, 3, 0))</f>
        <v>17455</v>
      </c>
      <c r="E10" s="218">
        <v>44580.0</v>
      </c>
      <c r="F10" s="219">
        <f>ifs($B10="","",$B10, VLOOKUP($B10&amp;$E10, 'VISIT DATA'!A:O,3,0))</f>
        <v>0.34375</v>
      </c>
      <c r="G10" s="220" t="s">
        <v>6323</v>
      </c>
      <c r="H10" s="221" t="s">
        <v>12</v>
      </c>
      <c r="I10" s="222" t="str">
        <f>VLOOKUP($B10&amp;$E10,'VISIT DATA'!A:J, 9, FALSE)</f>
        <v>THOMAS</v>
      </c>
      <c r="J10" s="223" t="str">
        <f>VLOOKUP(B10&amp;E10,'VISIT DATA'!A:N,10,FALSE)</f>
        <v>MEDICARE TEXAS</v>
      </c>
      <c r="K10" s="224" t="s">
        <v>6242</v>
      </c>
      <c r="L10" s="224"/>
      <c r="M10" s="224"/>
      <c r="N10" s="225"/>
      <c r="O10" s="216" t="str">
        <f t="shared" si="1"/>
        <v>✓</v>
      </c>
      <c r="P10" s="226" t="str">
        <f t="shared" si="2"/>
        <v>#VALUE!</v>
      </c>
      <c r="Q10" s="227" t="str">
        <f t="shared" si="3"/>
        <v>#VALUE!</v>
      </c>
      <c r="R10" s="228" t="str">
        <f t="shared" si="4"/>
        <v>#VALUE!</v>
      </c>
      <c r="S10" s="220" t="str">
        <f t="shared" si="5"/>
        <v>#VALUE!</v>
      </c>
      <c r="T10" s="220" t="str">
        <f t="shared" si="6"/>
        <v>#VALUE!</v>
      </c>
      <c r="U10" s="221">
        <f t="shared" si="7"/>
        <v>0</v>
      </c>
      <c r="V10" s="229" t="str">
        <f>ifs($N10="",VLOOKUP($B10&amp;$E10,'VISIT DATA'!$A$2:$J100,7,FALSE), $N10="SWAB","OUTSA-RW",$N10="SWQU","OUTSA-SaQu", AND($L10="X",$M10="X",$N10="QUEST"),"OUT-UAQPre",$N10="QUEST","OUT-UAQ", $N10="Walk in","ColUATele")</f>
        <v>UA-NWPT</v>
      </c>
      <c r="W10" s="24" t="str">
        <f t="shared" si="8"/>
        <v>UA-NWPT : UA New Patient</v>
      </c>
      <c r="X10" s="222" t="str">
        <f t="shared" si="9"/>
        <v>UA-NWPT : UA New Patient</v>
      </c>
      <c r="Y10" s="222" t="str">
        <f t="shared" si="10"/>
        <v>MATCH</v>
      </c>
      <c r="Z10" s="224" t="str">
        <f t="shared" si="11"/>
        <v> </v>
      </c>
      <c r="AA10" s="243"/>
    </row>
    <row r="11">
      <c r="A11" s="214" t="str">
        <f>IFS($B11=FALSE,"",$B11,VLOOKUP($B11,'PATIENT DATA (072721)'!A:C, 2, 0))</f>
        <v>VARGAS, ANTHONY</v>
      </c>
      <c r="B11" s="215">
        <v>17241.0</v>
      </c>
      <c r="C11" s="216" t="str">
        <f>IF(COUNTIF('PATIENT DATA (072721)'!A:A, B11)=0, "X","✓")</f>
        <v>✓</v>
      </c>
      <c r="D11" s="226">
        <f>IFS($B11=FALSE,"",$B11,VLOOKUP($B11,'PATIENT DATA (072721)'!A:C, 3, 0))</f>
        <v>24347</v>
      </c>
      <c r="E11" s="218">
        <v>44580.0</v>
      </c>
      <c r="F11" s="219">
        <f>ifs($B11="","",$B11, VLOOKUP($B11&amp;$E11, 'VISIT DATA'!A:O,3,0))</f>
        <v>0.3125</v>
      </c>
      <c r="G11" s="220" t="s">
        <v>6328</v>
      </c>
      <c r="H11" s="221" t="s">
        <v>12</v>
      </c>
      <c r="I11" s="222" t="str">
        <f>VLOOKUP($B11&amp;$E11,'VISIT DATA'!A:J, 9, FALSE)</f>
        <v>THOMAS</v>
      </c>
      <c r="J11" s="223" t="str">
        <f>VLOOKUP(B11&amp;E11,'VISIT DATA'!A:N,10,FALSE)</f>
        <v>MEDICARE TEXAS</v>
      </c>
      <c r="K11" s="242"/>
      <c r="L11" s="224" t="s">
        <v>6242</v>
      </c>
      <c r="M11" s="224"/>
      <c r="N11" s="225"/>
      <c r="O11" s="216" t="str">
        <f t="shared" si="1"/>
        <v>✓</v>
      </c>
      <c r="P11" s="226" t="str">
        <f t="shared" si="2"/>
        <v>#VALUE!</v>
      </c>
      <c r="Q11" s="227" t="str">
        <f t="shared" si="3"/>
        <v>#VALUE!</v>
      </c>
      <c r="R11" s="228" t="str">
        <f t="shared" si="4"/>
        <v>#VALUE!</v>
      </c>
      <c r="S11" s="220" t="str">
        <f t="shared" si="5"/>
        <v>#VALUE!</v>
      </c>
      <c r="T11" s="220" t="str">
        <f t="shared" si="6"/>
        <v>#VALUE!</v>
      </c>
      <c r="U11" s="221">
        <f t="shared" si="7"/>
        <v>0</v>
      </c>
      <c r="V11" s="229" t="str">
        <f>ifs($N11="",VLOOKUP($B11&amp;$E11,'VISIT DATA'!$A$2:$J100,7,FALSE), $N11="SWAB","OUTSA-RW",$N11="SWQU","OUTSA-SaQu", AND($L11="X",$M11="X",$N11="QUEST"),"OUT-UAQPre",$N11="QUEST","OUT-UAQ", $N11="Walk in","ColUATele")</f>
        <v>UA</v>
      </c>
      <c r="W11" s="24" t="str">
        <f t="shared" si="8"/>
        <v>UA : Urine Analysis In House</v>
      </c>
      <c r="X11" s="222" t="str">
        <f t="shared" si="9"/>
        <v>UA : Urine Analysis In House</v>
      </c>
      <c r="Y11" s="222" t="str">
        <f t="shared" si="10"/>
        <v>MATCH</v>
      </c>
      <c r="Z11" s="224" t="str">
        <f t="shared" si="11"/>
        <v> </v>
      </c>
      <c r="AA11" s="243"/>
    </row>
    <row r="12">
      <c r="A12" s="214" t="str">
        <f>IFS($B12=FALSE,"",$B12,VLOOKUP($B12,'PATIENT DATA (072721)'!A:C, 2, 0))</f>
        <v>GALLEGOS, RUDY</v>
      </c>
      <c r="B12" s="215">
        <v>11403.0</v>
      </c>
      <c r="C12" s="216" t="str">
        <f>IF(COUNTIF('PATIENT DATA (072721)'!A:A, B12)=0, "X","✓")</f>
        <v>✓</v>
      </c>
      <c r="D12" s="226">
        <f>IFS($B12=FALSE,"",$B12,VLOOKUP($B12,'PATIENT DATA (072721)'!A:C, 3, 0))</f>
        <v>26190</v>
      </c>
      <c r="E12" s="218">
        <v>44580.0</v>
      </c>
      <c r="F12" s="219">
        <f>ifs($B12="","",$B12, VLOOKUP($B12&amp;$E12, 'VISIT DATA'!A:O,3,0))</f>
        <v>0.3645833333</v>
      </c>
      <c r="G12" s="220" t="s">
        <v>6328</v>
      </c>
      <c r="H12" s="221" t="s">
        <v>12</v>
      </c>
      <c r="I12" s="222" t="str">
        <f>VLOOKUP($B12&amp;$E12,'VISIT DATA'!A:J, 9, FALSE)</f>
        <v>TORRES</v>
      </c>
      <c r="J12" s="223" t="str">
        <f>VLOOKUP(B12&amp;E12,'VISIT DATA'!A:N,10,FALSE)</f>
        <v>WELLMED - AARP MEDICARE COMPLETE</v>
      </c>
      <c r="K12" s="224"/>
      <c r="L12" s="224" t="s">
        <v>6242</v>
      </c>
      <c r="M12" s="224"/>
      <c r="N12" s="225"/>
      <c r="O12" s="216" t="str">
        <f t="shared" si="1"/>
        <v>✓</v>
      </c>
      <c r="P12" s="226" t="str">
        <f t="shared" si="2"/>
        <v>X</v>
      </c>
      <c r="Q12" s="227" t="str">
        <f t="shared" si="3"/>
        <v>#VALUE!</v>
      </c>
      <c r="R12" s="228" t="str">
        <f t="shared" si="4"/>
        <v>#VALUE!</v>
      </c>
      <c r="S12" s="220" t="str">
        <f t="shared" si="5"/>
        <v>#VALUE!</v>
      </c>
      <c r="T12" s="220" t="str">
        <f t="shared" si="6"/>
        <v>#VALUE!</v>
      </c>
      <c r="U12" s="221">
        <f t="shared" si="7"/>
        <v>1</v>
      </c>
      <c r="V12" s="229" t="str">
        <f>ifs($N12="",VLOOKUP($B12&amp;$E12,'VISIT DATA'!$A$2:$J100,7,FALSE), $N12="SWAB","OUTSA-RW",$N12="SWQU","OUTSA-SaQu", AND($L12="X",$M12="X",$N12="QUEST"),"OUT-UAQPre",$N12="QUEST","OUT-UAQ", $N12="Walk in","ColUATele")</f>
        <v>OUTUA-FURW</v>
      </c>
      <c r="W12" s="24" t="str">
        <f t="shared" si="8"/>
        <v>OUTUA-FURW : OUT UA FU Redwood</v>
      </c>
      <c r="X12" s="222" t="str">
        <f t="shared" si="9"/>
        <v>OUTUA-FURW : OUT UA FU Redwood</v>
      </c>
      <c r="Y12" s="222" t="str">
        <f t="shared" si="10"/>
        <v>MATCH</v>
      </c>
      <c r="Z12" s="224" t="str">
        <f t="shared" si="11"/>
        <v> </v>
      </c>
      <c r="AA12" s="243"/>
    </row>
    <row r="13">
      <c r="A13" s="214" t="str">
        <f>IFS($B13=FALSE,"",$B13,VLOOKUP($B13,'PATIENT DATA (072721)'!A:C, 2, 0))</f>
        <v>CAMPUZANO, FRANCESCA</v>
      </c>
      <c r="B13" s="215">
        <v>13355.0</v>
      </c>
      <c r="C13" s="216" t="str">
        <f>IF(COUNTIF('PATIENT DATA (072721)'!A:A, B13)=0, "X","✓")</f>
        <v>✓</v>
      </c>
      <c r="D13" s="226">
        <f>IFS($B13=FALSE,"",$B13,VLOOKUP($B13,'PATIENT DATA (072721)'!A:C, 3, 0))</f>
        <v>27322</v>
      </c>
      <c r="E13" s="218">
        <v>44580.0</v>
      </c>
      <c r="F13" s="219">
        <f>ifs($B13="","",$B13, VLOOKUP($B13&amp;$E13, 'VISIT DATA'!A:O,3,0))</f>
        <v>0.40625</v>
      </c>
      <c r="G13" s="220" t="s">
        <v>6323</v>
      </c>
      <c r="H13" s="221" t="s">
        <v>14</v>
      </c>
      <c r="I13" s="222" t="str">
        <f>VLOOKUP($B13&amp;$E13,'VISIT DATA'!A:J, 9, FALSE)</f>
        <v>TORRES</v>
      </c>
      <c r="J13" s="223" t="str">
        <f>VLOOKUP(B13&amp;E13,'VISIT DATA'!A:N,10,FALSE)</f>
        <v>UNITED HEALTH CARE CHOICEPLUS</v>
      </c>
      <c r="K13" s="242"/>
      <c r="L13" s="224" t="s">
        <v>6242</v>
      </c>
      <c r="M13" s="224"/>
      <c r="N13" s="225"/>
      <c r="O13" s="216" t="str">
        <f t="shared" si="1"/>
        <v>✓</v>
      </c>
      <c r="P13" s="226" t="str">
        <f t="shared" si="2"/>
        <v>#VALUE!</v>
      </c>
      <c r="Q13" s="227" t="str">
        <f t="shared" si="3"/>
        <v>#VALUE!</v>
      </c>
      <c r="R13" s="228" t="str">
        <f t="shared" si="4"/>
        <v>#VALUE!</v>
      </c>
      <c r="S13" s="220" t="str">
        <f t="shared" si="5"/>
        <v>#VALUE!</v>
      </c>
      <c r="T13" s="220" t="str">
        <f t="shared" si="6"/>
        <v>#VALUE!</v>
      </c>
      <c r="U13" s="221">
        <f t="shared" si="7"/>
        <v>0</v>
      </c>
      <c r="V13" s="229" t="str">
        <f>ifs($N13="",VLOOKUP($B13&amp;$E13,'VISIT DATA'!$A$2:$J100,7,FALSE), $N13="SWAB","OUTSA-RW",$N13="SWQU","OUTSA-SaQu", AND($L13="X",$M13="X",$N13="QUEST"),"OUT-UAQPre",$N13="QUEST","OUT-UAQ", $N13="Walk in","ColUATele")</f>
        <v>UA</v>
      </c>
      <c r="W13" s="24" t="str">
        <f t="shared" si="8"/>
        <v>UA : Urine Analysis In House</v>
      </c>
      <c r="X13" s="222" t="str">
        <f t="shared" si="9"/>
        <v>UA : Urine Analysis In House</v>
      </c>
      <c r="Y13" s="222" t="str">
        <f t="shared" si="10"/>
        <v>MATCH</v>
      </c>
      <c r="Z13" s="224" t="str">
        <f t="shared" si="11"/>
        <v> </v>
      </c>
      <c r="AA13" s="243"/>
    </row>
    <row r="14">
      <c r="A14" s="214" t="str">
        <f>IFS($B14=FALSE,"",$B14,VLOOKUP($B14,'PATIENT DATA (072721)'!A:C, 2, 0))</f>
        <v>PEREZ, VICTOR</v>
      </c>
      <c r="B14" s="215">
        <v>11121.0</v>
      </c>
      <c r="C14" s="216" t="str">
        <f>IF(COUNTIF('PATIENT DATA (072721)'!A:A, B14)=0, "X","✓")</f>
        <v>✓</v>
      </c>
      <c r="D14" s="226">
        <f>IFS($B14=FALSE,"",$B14,VLOOKUP($B14,'PATIENT DATA (072721)'!A:C, 3, 0))</f>
        <v>24534</v>
      </c>
      <c r="E14" s="218">
        <v>44580.0</v>
      </c>
      <c r="F14" s="219">
        <f>ifs($B14="","",$B14, VLOOKUP($B14&amp;$E14, 'VISIT DATA'!A:O,3,0))</f>
        <v>0.3854166667</v>
      </c>
      <c r="G14" s="220" t="s">
        <v>6328</v>
      </c>
      <c r="H14" s="221" t="s">
        <v>15</v>
      </c>
      <c r="I14" s="222" t="str">
        <f>VLOOKUP($B14&amp;$E14,'VISIT DATA'!A:J, 9, FALSE)</f>
        <v>MARTINEZ</v>
      </c>
      <c r="J14" s="223" t="str">
        <f>VLOOKUP(B14&amp;E14,'VISIT DATA'!A:N,10,FALSE)</f>
        <v>WELLMED - CIGNA HEALTHSPRING</v>
      </c>
      <c r="K14" s="225"/>
      <c r="L14" s="224" t="s">
        <v>6242</v>
      </c>
      <c r="M14" s="224" t="s">
        <v>6242</v>
      </c>
      <c r="N14" s="225"/>
      <c r="O14" s="216" t="str">
        <f t="shared" si="1"/>
        <v>✓</v>
      </c>
      <c r="P14" s="226" t="str">
        <f t="shared" si="2"/>
        <v>X</v>
      </c>
      <c r="Q14" s="227" t="str">
        <f t="shared" si="3"/>
        <v>#VALUE!</v>
      </c>
      <c r="R14" s="228" t="str">
        <f t="shared" si="4"/>
        <v>#VALUE!</v>
      </c>
      <c r="S14" s="220" t="str">
        <f t="shared" si="5"/>
        <v>#VALUE!</v>
      </c>
      <c r="T14" s="220" t="str">
        <f t="shared" si="6"/>
        <v>#VALUE!</v>
      </c>
      <c r="U14" s="221">
        <f t="shared" si="7"/>
        <v>1</v>
      </c>
      <c r="V14" s="229" t="str">
        <f>ifs($N14="",VLOOKUP($B14&amp;$E14,'VISIT DATA'!$A$2:$J100,7,FALSE), $N14="SWAB","OUTSA-RW",$N14="SWQU","OUTSA-SaQu", AND($L14="X",$M14="X",$N14="QUEST"),"OUT-UAQPre",$N14="QUEST","OUT-UAQ", $N14="Walk in","ColUATele")</f>
        <v>OUTUA-PrRW</v>
      </c>
      <c r="W14" s="24" t="str">
        <f t="shared" si="8"/>
        <v>OUTUA-PrRW : OUT UA Prelimin Redwood</v>
      </c>
      <c r="X14" s="222" t="str">
        <f t="shared" si="9"/>
        <v>OUTUA-PrRW : OUT UA Prelimin Redwood</v>
      </c>
      <c r="Y14" s="222" t="str">
        <f t="shared" si="10"/>
        <v>MATCH</v>
      </c>
      <c r="Z14" s="224" t="str">
        <f t="shared" si="11"/>
        <v> </v>
      </c>
      <c r="AA14" s="244"/>
    </row>
    <row r="15">
      <c r="A15" s="214" t="str">
        <f>IFS($B15=FALSE,"",$B15,VLOOKUP($B15,'PATIENT DATA (072721)'!A:C, 2, 0))</f>
        <v>CHAVEZ, NORMA</v>
      </c>
      <c r="B15" s="215">
        <v>15002.0</v>
      </c>
      <c r="C15" s="216" t="str">
        <f>IF(COUNTIF('PATIENT DATA (072721)'!A:A, B15)=0, "X","✓")</f>
        <v>✓</v>
      </c>
      <c r="D15" s="226">
        <f>IFS($B15=FALSE,"",$B15,VLOOKUP($B15,'PATIENT DATA (072721)'!A:C, 3, 0))</f>
        <v>21001</v>
      </c>
      <c r="E15" s="218">
        <v>44580.0</v>
      </c>
      <c r="F15" s="219">
        <f>ifs($B15="","",$B15, VLOOKUP($B15&amp;$E15, 'VISIT DATA'!A:O,3,0))</f>
        <v>0.3958333333</v>
      </c>
      <c r="G15" s="220" t="s">
        <v>6323</v>
      </c>
      <c r="H15" s="221" t="s">
        <v>14</v>
      </c>
      <c r="I15" s="222" t="str">
        <f>VLOOKUP($B15&amp;$E15,'VISIT DATA'!A:J, 9, FALSE)</f>
        <v>TORRES</v>
      </c>
      <c r="J15" s="223" t="str">
        <f>VLOOKUP(B15&amp;E15,'VISIT DATA'!A:N,10,FALSE)</f>
        <v>TRICARE SELECT</v>
      </c>
      <c r="K15" s="225"/>
      <c r="L15" s="224" t="s">
        <v>6242</v>
      </c>
      <c r="M15" s="224" t="s">
        <v>6242</v>
      </c>
      <c r="N15" s="225"/>
      <c r="O15" s="216" t="str">
        <f t="shared" si="1"/>
        <v>✓</v>
      </c>
      <c r="P15" s="226" t="str">
        <f t="shared" si="2"/>
        <v>#VALUE!</v>
      </c>
      <c r="Q15" s="227" t="str">
        <f t="shared" si="3"/>
        <v>#VALUE!</v>
      </c>
      <c r="R15" s="228" t="str">
        <f t="shared" si="4"/>
        <v>#VALUE!</v>
      </c>
      <c r="S15" s="220" t="str">
        <f t="shared" si="5"/>
        <v>#VALUE!</v>
      </c>
      <c r="T15" s="220" t="str">
        <f t="shared" si="6"/>
        <v>#VALUE!</v>
      </c>
      <c r="U15" s="221">
        <f t="shared" si="7"/>
        <v>0</v>
      </c>
      <c r="V15" s="229" t="str">
        <f>ifs($N15="",VLOOKUP($B15&amp;$E15,'VISIT DATA'!$A$2:$J100,7,FALSE), $N15="SWAB","OUTSA-RW",$N15="SWQU","OUTSA-SaQu", AND($L15="X",$M15="X",$N15="QUEST"),"OUT-UAQPre",$N15="QUEST","OUT-UAQ", $N15="Walk in","ColUATele")</f>
        <v>UA-Prelim</v>
      </c>
      <c r="W15" s="24" t="str">
        <f t="shared" si="8"/>
        <v>UA-Prelim : Preliminary UA Test</v>
      </c>
      <c r="X15" s="222" t="str">
        <f t="shared" si="9"/>
        <v>UA-Prelim : Preliminary UA Test</v>
      </c>
      <c r="Y15" s="222" t="str">
        <f t="shared" si="10"/>
        <v>MATCH</v>
      </c>
      <c r="Z15" s="224" t="str">
        <f t="shared" si="11"/>
        <v> </v>
      </c>
      <c r="AA15" s="244"/>
    </row>
    <row r="16">
      <c r="A16" s="214" t="str">
        <f>IFS($B16=FALSE,"",$B16,VLOOKUP($B16,'PATIENT DATA (072721)'!A:C, 2, 0))</f>
        <v>BOEHM, THOMAS P</v>
      </c>
      <c r="B16" s="215">
        <v>16376.0</v>
      </c>
      <c r="C16" s="216" t="str">
        <f>IF(COUNTIF('PATIENT DATA (072721)'!A:A, B16)=0, "X","✓")</f>
        <v>✓</v>
      </c>
      <c r="D16" s="226">
        <f>IFS($B16=FALSE,"",$B16,VLOOKUP($B16,'PATIENT DATA (072721)'!A:C, 3, 0))</f>
        <v>30915</v>
      </c>
      <c r="E16" s="218">
        <v>44580.0</v>
      </c>
      <c r="F16" s="219">
        <f>ifs($B16="","",$B16, VLOOKUP($B16&amp;$E16, 'VISIT DATA'!A:O,3,0))</f>
        <v>0.3958333333</v>
      </c>
      <c r="G16" s="220" t="s">
        <v>6328</v>
      </c>
      <c r="H16" s="221" t="s">
        <v>15</v>
      </c>
      <c r="I16" s="222" t="str">
        <f>VLOOKUP($B16&amp;$E16,'VISIT DATA'!A:J, 9, FALSE)</f>
        <v>MARTINEZ</v>
      </c>
      <c r="J16" s="223" t="str">
        <f>VLOOKUP(B16&amp;E16,'VISIT DATA'!A:N,10,FALSE)</f>
        <v>TRICARE PRIME</v>
      </c>
      <c r="K16" s="224"/>
      <c r="L16" s="224" t="s">
        <v>6242</v>
      </c>
      <c r="M16" s="224"/>
      <c r="N16" s="225"/>
      <c r="O16" s="216" t="str">
        <f t="shared" si="1"/>
        <v>✓</v>
      </c>
      <c r="P16" s="226" t="str">
        <f t="shared" si="2"/>
        <v>#VALUE!</v>
      </c>
      <c r="Q16" s="227" t="str">
        <f t="shared" si="3"/>
        <v>#VALUE!</v>
      </c>
      <c r="R16" s="228" t="str">
        <f t="shared" si="4"/>
        <v>#VALUE!</v>
      </c>
      <c r="S16" s="220" t="str">
        <f t="shared" si="5"/>
        <v>#VALUE!</v>
      </c>
      <c r="T16" s="220" t="str">
        <f t="shared" si="6"/>
        <v>#VALUE!</v>
      </c>
      <c r="U16" s="221">
        <f t="shared" si="7"/>
        <v>0</v>
      </c>
      <c r="V16" s="229" t="str">
        <f>ifs($N16="",VLOOKUP($B16&amp;$E16,'VISIT DATA'!$A$2:$J100,7,FALSE), $N16="SWAB","OUTSA-RW",$N16="SWQU","OUTSA-SaQu", AND($L16="X",$M16="X",$N16="QUEST"),"OUT-UAQPre",$N16="QUEST","OUT-UAQ", $N16="Walk in","ColUATele")</f>
        <v>UA</v>
      </c>
      <c r="W16" s="24" t="str">
        <f t="shared" si="8"/>
        <v>UA : Urine Analysis In House</v>
      </c>
      <c r="X16" s="222" t="str">
        <f t="shared" si="9"/>
        <v>UA : Urine Analysis In House</v>
      </c>
      <c r="Y16" s="222" t="str">
        <f t="shared" si="10"/>
        <v>MATCH</v>
      </c>
      <c r="Z16" s="224" t="str">
        <f t="shared" si="11"/>
        <v> </v>
      </c>
      <c r="AA16" s="244"/>
    </row>
    <row r="17">
      <c r="A17" s="214" t="str">
        <f>IFS($B17=FALSE,"",$B17,VLOOKUP($B17,'PATIENT DATA (072721)'!A:C, 2, 0))</f>
        <v>ROMERO, HECTOR</v>
      </c>
      <c r="B17" s="215">
        <v>10364.0</v>
      </c>
      <c r="C17" s="216" t="str">
        <f>IF(COUNTIF('PATIENT DATA (072721)'!A:A, B17)=0, "X","✓")</f>
        <v>✓</v>
      </c>
      <c r="D17" s="226">
        <f>IFS($B17=FALSE,"",$B17,VLOOKUP($B17,'PATIENT DATA (072721)'!A:C, 3, 0))</f>
        <v>20316</v>
      </c>
      <c r="E17" s="218">
        <v>44580.0</v>
      </c>
      <c r="F17" s="219">
        <f>ifs($B17="","",$B17, VLOOKUP($B17&amp;$E17, 'VISIT DATA'!A:O,3,0))</f>
        <v>0.40625</v>
      </c>
      <c r="G17" s="220" t="s">
        <v>6328</v>
      </c>
      <c r="H17" s="221" t="s">
        <v>12</v>
      </c>
      <c r="I17" s="222" t="str">
        <f>VLOOKUP($B17&amp;$E17,'VISIT DATA'!A:J, 9, FALSE)</f>
        <v>THOMAS</v>
      </c>
      <c r="J17" s="223" t="str">
        <f>VLOOKUP(B17&amp;E17,'VISIT DATA'!A:N,10,FALSE)</f>
        <v>WELLMED - UHC DUAL COMPLETE SNP</v>
      </c>
      <c r="K17" s="225"/>
      <c r="L17" s="224" t="s">
        <v>6242</v>
      </c>
      <c r="M17" s="224"/>
      <c r="N17" s="224"/>
      <c r="O17" s="216" t="str">
        <f t="shared" si="1"/>
        <v>✓</v>
      </c>
      <c r="P17" s="226" t="str">
        <f t="shared" si="2"/>
        <v>X</v>
      </c>
      <c r="Q17" s="227" t="str">
        <f t="shared" si="3"/>
        <v>#VALUE!</v>
      </c>
      <c r="R17" s="228" t="str">
        <f t="shared" si="4"/>
        <v>#VALUE!</v>
      </c>
      <c r="S17" s="220" t="str">
        <f t="shared" si="5"/>
        <v>#VALUE!</v>
      </c>
      <c r="T17" s="220" t="str">
        <f t="shared" si="6"/>
        <v>#VALUE!</v>
      </c>
      <c r="U17" s="221">
        <f t="shared" si="7"/>
        <v>1</v>
      </c>
      <c r="V17" s="229" t="str">
        <f>ifs($N17="",VLOOKUP($B17&amp;$E17,'VISIT DATA'!$A$2:$J100,7,FALSE), $N17="SWAB","OUTSA-RW",$N17="SWQU","OUTSA-SaQu", AND($L17="X",$M17="X",$N17="QUEST"),"OUT-UAQPre",$N17="QUEST","OUT-UAQ", $N17="Walk in","ColUATele")</f>
        <v>OUTUA-FURW</v>
      </c>
      <c r="W17" s="24" t="str">
        <f t="shared" si="8"/>
        <v>OUTUA-FURW : OUT UA FU Redwood</v>
      </c>
      <c r="X17" s="222" t="str">
        <f t="shared" si="9"/>
        <v>OUTUA-FURW : OUT UA FU Redwood</v>
      </c>
      <c r="Y17" s="222" t="str">
        <f t="shared" si="10"/>
        <v>MATCH</v>
      </c>
      <c r="Z17" s="224" t="str">
        <f t="shared" si="11"/>
        <v> </v>
      </c>
      <c r="AA17" s="245"/>
    </row>
    <row r="18">
      <c r="A18" s="214" t="str">
        <f>IFS($B18=FALSE,"",$B18,VLOOKUP($B18,'PATIENT DATA (072721)'!A:C, 2, 0))</f>
        <v>FINKLEA, TERRI</v>
      </c>
      <c r="B18" s="215">
        <v>9283.0</v>
      </c>
      <c r="C18" s="216" t="str">
        <f>IF(COUNTIF('PATIENT DATA (072721)'!A:A, B18)=0, "X","✓")</f>
        <v>✓</v>
      </c>
      <c r="D18" s="226">
        <f>IFS($B18=FALSE,"",$B18,VLOOKUP($B18,'PATIENT DATA (072721)'!A:C, 3, 0))</f>
        <v>20483</v>
      </c>
      <c r="E18" s="218">
        <v>44580.0</v>
      </c>
      <c r="F18" s="219">
        <f>ifs($B18="","",$B18, VLOOKUP($B18&amp;$E18, 'VISIT DATA'!A:O,3,0))</f>
        <v>0.4166666667</v>
      </c>
      <c r="G18" s="220" t="s">
        <v>6323</v>
      </c>
      <c r="H18" s="221" t="s">
        <v>14</v>
      </c>
      <c r="I18" s="222" t="str">
        <f>VLOOKUP($B18&amp;$E18,'VISIT DATA'!A:J, 9, FALSE)</f>
        <v>TORRES</v>
      </c>
      <c r="J18" s="223" t="str">
        <f>VLOOKUP(B18&amp;E18,'VISIT DATA'!A:N,10,FALSE)</f>
        <v>MEDICARE TEXAS</v>
      </c>
      <c r="K18" s="224"/>
      <c r="L18" s="224" t="s">
        <v>6242</v>
      </c>
      <c r="M18" s="224" t="s">
        <v>6242</v>
      </c>
      <c r="N18" s="224"/>
      <c r="O18" s="216" t="str">
        <f t="shared" si="1"/>
        <v>✓</v>
      </c>
      <c r="P18" s="226" t="str">
        <f t="shared" si="2"/>
        <v>#VALUE!</v>
      </c>
      <c r="Q18" s="227" t="str">
        <f t="shared" si="3"/>
        <v>#VALUE!</v>
      </c>
      <c r="R18" s="228" t="str">
        <f t="shared" si="4"/>
        <v>#VALUE!</v>
      </c>
      <c r="S18" s="220" t="str">
        <f t="shared" si="5"/>
        <v>#VALUE!</v>
      </c>
      <c r="T18" s="220" t="str">
        <f t="shared" si="6"/>
        <v>#VALUE!</v>
      </c>
      <c r="U18" s="221">
        <f t="shared" si="7"/>
        <v>0</v>
      </c>
      <c r="V18" s="229" t="str">
        <f>ifs($N18="",VLOOKUP($B18&amp;$E18,'VISIT DATA'!$A$2:$J100,7,FALSE), $N18="SWAB","OUTSA-RW",$N18="SWQU","OUTSA-SaQu", AND($L18="X",$M18="X",$N18="QUEST"),"OUT-UAQPre",$N18="QUEST","OUT-UAQ", $N18="Walk in","ColUATele")</f>
        <v>UA-Prelim</v>
      </c>
      <c r="W18" s="24" t="str">
        <f t="shared" si="8"/>
        <v>UA-Prelim : Preliminary UA Test</v>
      </c>
      <c r="X18" s="222" t="str">
        <f t="shared" si="9"/>
        <v>UA-Prelim : Preliminary UA Test</v>
      </c>
      <c r="Y18" s="222" t="str">
        <f t="shared" si="10"/>
        <v>MATCH</v>
      </c>
      <c r="Z18" s="224" t="str">
        <f t="shared" si="11"/>
        <v> </v>
      </c>
      <c r="AA18" s="244"/>
    </row>
    <row r="19">
      <c r="A19" s="214" t="str">
        <f>IFS($B19=FALSE,"",$B19,VLOOKUP($B19,'PATIENT DATA (072721)'!A:C, 2, 0))</f>
        <v>TILIAIA, IUTISONE</v>
      </c>
      <c r="B19" s="215">
        <v>10466.0</v>
      </c>
      <c r="C19" s="216" t="str">
        <f>IF(COUNTIF('PATIENT DATA (072721)'!A:A, B19)=0, "X","✓")</f>
        <v>✓</v>
      </c>
      <c r="D19" s="226">
        <f>IFS($B19=FALSE,"",$B19,VLOOKUP($B19,'PATIENT DATA (072721)'!A:C, 3, 0))</f>
        <v>20330</v>
      </c>
      <c r="E19" s="218">
        <v>44580.0</v>
      </c>
      <c r="F19" s="219">
        <f>ifs($B19="","",$B19, VLOOKUP($B19&amp;$E19, 'VISIT DATA'!A:O,3,0))</f>
        <v>0.4270833333</v>
      </c>
      <c r="G19" s="220" t="s">
        <v>6328</v>
      </c>
      <c r="H19" s="221" t="s">
        <v>14</v>
      </c>
      <c r="I19" s="222" t="str">
        <f>VLOOKUP($B19&amp;$E19,'VISIT DATA'!A:J, 9, FALSE)</f>
        <v>TORRES</v>
      </c>
      <c r="J19" s="223" t="str">
        <f>VLOOKUP(B19&amp;E19,'VISIT DATA'!A:N,10,FALSE)</f>
        <v>WPS VA - COMMUNITY CARE</v>
      </c>
      <c r="K19" s="225"/>
      <c r="L19" s="224" t="s">
        <v>6242</v>
      </c>
      <c r="M19" s="224" t="s">
        <v>6242</v>
      </c>
      <c r="N19" s="225"/>
      <c r="O19" s="216" t="str">
        <f t="shared" si="1"/>
        <v>✓</v>
      </c>
      <c r="P19" s="226" t="str">
        <f t="shared" si="2"/>
        <v>#VALUE!</v>
      </c>
      <c r="Q19" s="227" t="str">
        <f t="shared" si="3"/>
        <v>#VALUE!</v>
      </c>
      <c r="R19" s="228" t="str">
        <f t="shared" si="4"/>
        <v>#VALUE!</v>
      </c>
      <c r="S19" s="220" t="str">
        <f t="shared" si="5"/>
        <v>#VALUE!</v>
      </c>
      <c r="T19" s="220" t="str">
        <f t="shared" si="6"/>
        <v>#VALUE!</v>
      </c>
      <c r="U19" s="221">
        <f t="shared" si="7"/>
        <v>0</v>
      </c>
      <c r="V19" s="229" t="str">
        <f>ifs($N19="",VLOOKUP($B19&amp;$E19,'VISIT DATA'!$A$2:$J100,7,FALSE), $N19="SWAB","OUTSA-RW",$N19="SWQU","OUTSA-SaQu", AND($L19="X",$M19="X",$N19="QUEST"),"OUT-UAQPre",$N19="QUEST","OUT-UAQ", $N19="Walk in","ColUATele")</f>
        <v>UA-Prelim</v>
      </c>
      <c r="W19" s="24" t="str">
        <f t="shared" si="8"/>
        <v>UA-Prelim : Preliminary UA Test</v>
      </c>
      <c r="X19" s="222" t="str">
        <f t="shared" si="9"/>
        <v>UA-Prelim : Preliminary UA Test</v>
      </c>
      <c r="Y19" s="222" t="str">
        <f t="shared" si="10"/>
        <v>MATCH</v>
      </c>
      <c r="Z19" s="224" t="str">
        <f t="shared" si="11"/>
        <v> </v>
      </c>
      <c r="AA19" s="244"/>
    </row>
    <row r="20">
      <c r="A20" s="214" t="str">
        <f>IFS($B20=FALSE,"",$B20,VLOOKUP($B20,'PATIENT DATA (072721)'!A:C, 2, 0))</f>
        <v>WALLIS, PEGGY S</v>
      </c>
      <c r="B20" s="215">
        <v>10481.0</v>
      </c>
      <c r="C20" s="216" t="str">
        <f>IF(COUNTIF('PATIENT DATA (072721)'!A:A, B20)=0, "X","✓")</f>
        <v>✓</v>
      </c>
      <c r="D20" s="226">
        <f>IFS($B20=FALSE,"",$B20,VLOOKUP($B20,'PATIENT DATA (072721)'!A:C, 3, 0))</f>
        <v>22006</v>
      </c>
      <c r="E20" s="218">
        <v>44580.0</v>
      </c>
      <c r="F20" s="219">
        <f>ifs($B20="","",$B20, VLOOKUP($B20&amp;$E20, 'VISIT DATA'!A:O,3,0))</f>
        <v>0.4479166667</v>
      </c>
      <c r="G20" s="220" t="s">
        <v>6323</v>
      </c>
      <c r="H20" s="221" t="s">
        <v>12</v>
      </c>
      <c r="I20" s="222" t="str">
        <f>VLOOKUP($B20&amp;$E20,'VISIT DATA'!A:J, 9, FALSE)</f>
        <v>THOMAS</v>
      </c>
      <c r="J20" s="223" t="str">
        <f>VLOOKUP(B20&amp;E20,'VISIT DATA'!A:N,10,FALSE)</f>
        <v>MEDICARE TEXAS</v>
      </c>
      <c r="K20" s="225"/>
      <c r="L20" s="224" t="s">
        <v>6242</v>
      </c>
      <c r="M20" s="224" t="s">
        <v>6242</v>
      </c>
      <c r="N20" s="224"/>
      <c r="O20" s="216" t="str">
        <f t="shared" si="1"/>
        <v>✓</v>
      </c>
      <c r="P20" s="226" t="str">
        <f t="shared" si="2"/>
        <v>#VALUE!</v>
      </c>
      <c r="Q20" s="227" t="str">
        <f t="shared" si="3"/>
        <v>#VALUE!</v>
      </c>
      <c r="R20" s="228" t="str">
        <f t="shared" si="4"/>
        <v>#VALUE!</v>
      </c>
      <c r="S20" s="220" t="str">
        <f t="shared" si="5"/>
        <v>#VALUE!</v>
      </c>
      <c r="T20" s="220" t="str">
        <f t="shared" si="6"/>
        <v>#VALUE!</v>
      </c>
      <c r="U20" s="221">
        <f t="shared" si="7"/>
        <v>0</v>
      </c>
      <c r="V20" s="229" t="str">
        <f>ifs($N20="",VLOOKUP($B20&amp;$E20,'VISIT DATA'!$A$2:$J100,7,FALSE), $N20="SWAB","OUTSA-RW",$N20="SWQU","OUTSA-SaQu", AND($L20="X",$M20="X",$N20="QUEST"),"OUT-UAQPre",$N20="QUEST","OUT-UAQ", $N20="Walk in","ColUATele")</f>
        <v>UA-Prelim</v>
      </c>
      <c r="W20" s="24" t="str">
        <f t="shared" si="8"/>
        <v>UA-Prelim : Preliminary UA Test</v>
      </c>
      <c r="X20" s="222" t="str">
        <f t="shared" si="9"/>
        <v>UA-Prelim : Preliminary UA Test</v>
      </c>
      <c r="Y20" s="222" t="str">
        <f t="shared" si="10"/>
        <v>MATCH</v>
      </c>
      <c r="Z20" s="224" t="str">
        <f t="shared" si="11"/>
        <v> </v>
      </c>
      <c r="AA20" s="244"/>
    </row>
    <row r="21">
      <c r="A21" s="214" t="str">
        <f>IFS($B21=FALSE,"",$B21,VLOOKUP($B21,'PATIENT DATA (072721)'!A:C, 2, 0))</f>
        <v>SAENZ, RUDY</v>
      </c>
      <c r="B21" s="215">
        <v>9830.0</v>
      </c>
      <c r="C21" s="216" t="str">
        <f>IF(COUNTIF('PATIENT DATA (072721)'!A:A, B21)=0, "X","✓")</f>
        <v>✓</v>
      </c>
      <c r="D21" s="226">
        <f>IFS($B21=FALSE,"",$B21,VLOOKUP($B21,'PATIENT DATA (072721)'!A:C, 3, 0))</f>
        <v>24008</v>
      </c>
      <c r="E21" s="218">
        <v>44580.0</v>
      </c>
      <c r="F21" s="219">
        <f>ifs($B21="","",$B21, VLOOKUP($B21&amp;$E21, 'VISIT DATA'!A:O,3,0))</f>
        <v>0.4375</v>
      </c>
      <c r="G21" s="220" t="s">
        <v>6328</v>
      </c>
      <c r="H21" s="221" t="s">
        <v>15</v>
      </c>
      <c r="I21" s="222" t="str">
        <f>VLOOKUP($B21&amp;$E21,'VISIT DATA'!A:J, 9, FALSE)</f>
        <v>MARTINEZ</v>
      </c>
      <c r="J21" s="223" t="str">
        <f>VLOOKUP(B21&amp;E21,'VISIT DATA'!A:N,10,FALSE)</f>
        <v>TRICARE PRIME</v>
      </c>
      <c r="K21" s="225"/>
      <c r="L21" s="224" t="s">
        <v>6242</v>
      </c>
      <c r="M21" s="224"/>
      <c r="N21" s="225"/>
      <c r="O21" s="216" t="str">
        <f t="shared" si="1"/>
        <v>✓</v>
      </c>
      <c r="P21" s="226" t="str">
        <f t="shared" si="2"/>
        <v>#VALUE!</v>
      </c>
      <c r="Q21" s="227" t="str">
        <f t="shared" si="3"/>
        <v>#VALUE!</v>
      </c>
      <c r="R21" s="228" t="str">
        <f t="shared" si="4"/>
        <v>#VALUE!</v>
      </c>
      <c r="S21" s="220" t="str">
        <f t="shared" si="5"/>
        <v>#VALUE!</v>
      </c>
      <c r="T21" s="220" t="str">
        <f t="shared" si="6"/>
        <v>#VALUE!</v>
      </c>
      <c r="U21" s="221">
        <f t="shared" si="7"/>
        <v>0</v>
      </c>
      <c r="V21" s="229" t="str">
        <f>ifs($N21="",VLOOKUP($B21&amp;$E21,'VISIT DATA'!$A$2:$J100,7,FALSE), $N21="SWAB","OUTSA-RW",$N21="SWQU","OUTSA-SaQu", AND($L21="X",$M21="X",$N21="QUEST"),"OUT-UAQPre",$N21="QUEST","OUT-UAQ", $N21="Walk in","ColUATele")</f>
        <v>UA</v>
      </c>
      <c r="W21" s="24" t="str">
        <f t="shared" si="8"/>
        <v>UA : Urine Analysis In House</v>
      </c>
      <c r="X21" s="222" t="str">
        <f t="shared" si="9"/>
        <v>UA : Urine Analysis In House</v>
      </c>
      <c r="Y21" s="222" t="str">
        <f t="shared" si="10"/>
        <v>MATCH</v>
      </c>
      <c r="Z21" s="224" t="str">
        <f t="shared" si="11"/>
        <v> </v>
      </c>
      <c r="AA21" s="244"/>
    </row>
    <row r="22">
      <c r="A22" s="214" t="str">
        <f>IFS($B22=FALSE,"",$B22,VLOOKUP($B22,'PATIENT DATA (072721)'!A:C, 2, 0))</f>
        <v>NELSON, CYNTHIA D</v>
      </c>
      <c r="B22" s="215">
        <v>16024.0</v>
      </c>
      <c r="C22" s="216" t="str">
        <f>IF(COUNTIF('PATIENT DATA (072721)'!A:A, B22)=0, "X","✓")</f>
        <v>✓</v>
      </c>
      <c r="D22" s="226">
        <f>IFS($B22=FALSE,"",$B22,VLOOKUP($B22,'PATIENT DATA (072721)'!A:C, 3, 0))</f>
        <v>20948</v>
      </c>
      <c r="E22" s="218">
        <v>44580.0</v>
      </c>
      <c r="F22" s="219">
        <f>ifs($B22="","",$B22, VLOOKUP($B22&amp;$E22, 'VISIT DATA'!A:O,3,0))</f>
        <v>0.4895833333</v>
      </c>
      <c r="G22" s="220" t="s">
        <v>6323</v>
      </c>
      <c r="H22" s="221" t="s">
        <v>13</v>
      </c>
      <c r="I22" s="222" t="str">
        <f>VLOOKUP($B22&amp;$E22,'VISIT DATA'!A:J, 9, FALSE)</f>
        <v>LOPEZ</v>
      </c>
      <c r="J22" s="223" t="str">
        <f>VLOOKUP(B22&amp;E22,'VISIT DATA'!A:N,10,FALSE)</f>
        <v>BCBSTX PPO</v>
      </c>
      <c r="K22" s="225"/>
      <c r="L22" s="224" t="s">
        <v>6242</v>
      </c>
      <c r="M22" s="224"/>
      <c r="N22" s="225"/>
      <c r="O22" s="216" t="str">
        <f t="shared" si="1"/>
        <v>✓</v>
      </c>
      <c r="P22" s="226" t="str">
        <f t="shared" si="2"/>
        <v>#VALUE!</v>
      </c>
      <c r="Q22" s="227" t="str">
        <f t="shared" si="3"/>
        <v>#VALUE!</v>
      </c>
      <c r="R22" s="228" t="str">
        <f t="shared" si="4"/>
        <v>#VALUE!</v>
      </c>
      <c r="S22" s="220" t="str">
        <f t="shared" si="5"/>
        <v>#VALUE!</v>
      </c>
      <c r="T22" s="220" t="str">
        <f t="shared" si="6"/>
        <v>#VALUE!</v>
      </c>
      <c r="U22" s="221">
        <f t="shared" si="7"/>
        <v>0</v>
      </c>
      <c r="V22" s="229" t="str">
        <f>ifs($N22="",VLOOKUP($B22&amp;$E22,'VISIT DATA'!$A$2:$J100,7,FALSE), $N22="SWAB","OUTSA-RW",$N22="SWQU","OUTSA-SaQu", AND($L22="X",$M22="X",$N22="QUEST"),"OUT-UAQPre",$N22="QUEST","OUT-UAQ", $N22="Walk in","ColUATele")</f>
        <v>UA</v>
      </c>
      <c r="W22" s="24" t="str">
        <f t="shared" si="8"/>
        <v>UA : Urine Analysis In House</v>
      </c>
      <c r="X22" s="222" t="str">
        <f t="shared" si="9"/>
        <v>UA : Urine Analysis In House</v>
      </c>
      <c r="Y22" s="222" t="str">
        <f t="shared" si="10"/>
        <v>MATCH</v>
      </c>
      <c r="Z22" s="224" t="str">
        <f t="shared" si="11"/>
        <v> </v>
      </c>
      <c r="AA22" s="244"/>
    </row>
    <row r="23">
      <c r="A23" s="214" t="str">
        <f>IFS($B23=FALSE,"",$B23,VLOOKUP($B23,'PATIENT DATA (072721)'!A:C, 2, 0))</f>
        <v>ABEYTA, DAVID</v>
      </c>
      <c r="B23" s="215">
        <v>12049.0</v>
      </c>
      <c r="C23" s="216" t="str">
        <f>IF(COUNTIF('PATIENT DATA (072721)'!A:A, B23)=0, "X","✓")</f>
        <v>✓</v>
      </c>
      <c r="D23" s="226">
        <f>IFS($B23=FALSE,"",$B23,VLOOKUP($B23,'PATIENT DATA (072721)'!A:C, 3, 0))</f>
        <v>24229</v>
      </c>
      <c r="E23" s="218">
        <v>44580.0</v>
      </c>
      <c r="F23" s="219" t="str">
        <f>ifs($B23="","",$B23, VLOOKUP($B23&amp;$E23, 'VISIT DATA'!A:O,3,0))</f>
        <v>#N/A</v>
      </c>
      <c r="G23" s="220" t="s">
        <v>6328</v>
      </c>
      <c r="H23" s="221" t="s">
        <v>15</v>
      </c>
      <c r="I23" s="222" t="str">
        <f>VLOOKUP($B23&amp;$E23,'VISIT DATA'!A:J, 9, FALSE)</f>
        <v>#N/A</v>
      </c>
      <c r="J23" s="223" t="str">
        <f>VLOOKUP(B23&amp;E23,'VISIT DATA'!A:N,10,FALSE)</f>
        <v>#N/A</v>
      </c>
      <c r="K23" s="225"/>
      <c r="L23" s="224" t="s">
        <v>6242</v>
      </c>
      <c r="M23" s="224" t="s">
        <v>6242</v>
      </c>
      <c r="N23" s="224"/>
      <c r="O23" s="216" t="str">
        <f t="shared" si="1"/>
        <v>✓</v>
      </c>
      <c r="P23" s="226" t="str">
        <f t="shared" si="2"/>
        <v>#N/A</v>
      </c>
      <c r="Q23" s="227" t="str">
        <f t="shared" si="3"/>
        <v>#N/A</v>
      </c>
      <c r="R23" s="228" t="str">
        <f t="shared" si="4"/>
        <v>#N/A</v>
      </c>
      <c r="S23" s="220" t="str">
        <f t="shared" si="5"/>
        <v>#N/A</v>
      </c>
      <c r="T23" s="220" t="str">
        <f t="shared" si="6"/>
        <v>#N/A</v>
      </c>
      <c r="U23" s="221">
        <f t="shared" si="7"/>
        <v>0</v>
      </c>
      <c r="V23" s="229" t="str">
        <f>ifs($N23="",VLOOKUP($B23&amp;$E23,'VISIT DATA'!$A$2:$J100,7,FALSE), $N23="SWAB","OUTSA-RW",$N23="SWQU","OUTSA-SaQu", AND($L23="X",$M23="X",$N23="QUEST"),"OUT-UAQPre",$N23="QUEST","OUT-UAQ", $N23="Walk in","ColUATele")</f>
        <v>#N/A</v>
      </c>
      <c r="W23" s="24" t="str">
        <f t="shared" si="8"/>
        <v>#N/A</v>
      </c>
      <c r="X23" s="222" t="str">
        <f t="shared" si="9"/>
        <v>UA-Prelim : Preliminary UA Test</v>
      </c>
      <c r="Y23" s="222" t="str">
        <f t="shared" si="10"/>
        <v>#N/A</v>
      </c>
      <c r="Z23" s="224" t="str">
        <f t="shared" si="11"/>
        <v> </v>
      </c>
      <c r="AA23" s="245"/>
    </row>
    <row r="24">
      <c r="A24" s="214" t="str">
        <f>IFS($B24=FALSE,"",$B24,VLOOKUP($B24,'PATIENT DATA (072721)'!A:C, 2, 0))</f>
        <v>JONES, SHERIENE N</v>
      </c>
      <c r="B24" s="215">
        <v>16019.0</v>
      </c>
      <c r="C24" s="216" t="str">
        <f>IF(COUNTIF('PATIENT DATA (072721)'!A:A, B24)=0, "X","✓")</f>
        <v>✓</v>
      </c>
      <c r="D24" s="226">
        <f>IFS($B24=FALSE,"",$B24,VLOOKUP($B24,'PATIENT DATA (072721)'!A:C, 3, 0))</f>
        <v>27370</v>
      </c>
      <c r="E24" s="218">
        <v>44580.0</v>
      </c>
      <c r="F24" s="219">
        <f>ifs($B24="","",$B24, VLOOKUP($B24&amp;$E24, 'VISIT DATA'!A:O,3,0))</f>
        <v>0.4583333333</v>
      </c>
      <c r="G24" s="220" t="s">
        <v>6323</v>
      </c>
      <c r="H24" s="221" t="s">
        <v>15</v>
      </c>
      <c r="I24" s="222" t="str">
        <f>VLOOKUP($B24&amp;$E24,'VISIT DATA'!A:J, 9, FALSE)</f>
        <v>MARTINEZ</v>
      </c>
      <c r="J24" s="223" t="str">
        <f>VLOOKUP(B24&amp;E24,'VISIT DATA'!A:N,10,FALSE)</f>
        <v>MOLINA MEDICAID TEXAS</v>
      </c>
      <c r="K24" s="225"/>
      <c r="L24" s="224" t="s">
        <v>6242</v>
      </c>
      <c r="M24" s="224"/>
      <c r="N24" s="224"/>
      <c r="O24" s="216" t="str">
        <f t="shared" si="1"/>
        <v>✓</v>
      </c>
      <c r="P24" s="226" t="str">
        <f t="shared" si="2"/>
        <v>#VALUE!</v>
      </c>
      <c r="Q24" s="227" t="str">
        <f t="shared" si="3"/>
        <v>X</v>
      </c>
      <c r="R24" s="228" t="str">
        <f t="shared" si="4"/>
        <v>#VALUE!</v>
      </c>
      <c r="S24" s="220" t="str">
        <f t="shared" si="5"/>
        <v>#VALUE!</v>
      </c>
      <c r="T24" s="220" t="str">
        <f t="shared" si="6"/>
        <v>#VALUE!</v>
      </c>
      <c r="U24" s="221">
        <f t="shared" si="7"/>
        <v>1</v>
      </c>
      <c r="V24" s="229" t="str">
        <f>ifs($N24="",VLOOKUP($B24&amp;$E24,'VISIT DATA'!$A$2:$J100,7,FALSE), $N24="SWAB","OUTSA-RW",$N24="SWQU","OUTSA-SaQu", AND($L24="X",$M24="X",$N24="QUEST"),"OUT-UAQPre",$N24="QUEST","OUT-UAQ", $N24="Walk in","ColUATele")</f>
        <v>OUTUA-FURW</v>
      </c>
      <c r="W24" s="24" t="str">
        <f t="shared" si="8"/>
        <v>OUTUA-FURW : OUT UA FU Redwood</v>
      </c>
      <c r="X24" s="222" t="str">
        <f t="shared" si="9"/>
        <v>OUTUA-FURW : OUT UA FU Redwood</v>
      </c>
      <c r="Y24" s="222" t="str">
        <f t="shared" si="10"/>
        <v>MATCH</v>
      </c>
      <c r="Z24" s="224" t="str">
        <f t="shared" si="11"/>
        <v> </v>
      </c>
      <c r="AA24" s="244"/>
    </row>
    <row r="25">
      <c r="A25" s="214" t="str">
        <f>IFS($B25=FALSE,"",$B25,VLOOKUP($B25,'PATIENT DATA (072721)'!A:C, 2, 0))</f>
        <v>URIAS, MARGARITA I</v>
      </c>
      <c r="B25" s="215">
        <v>15824.0</v>
      </c>
      <c r="C25" s="216" t="str">
        <f>IF(COUNTIF('PATIENT DATA (072721)'!A:A, B25)=0, "X","✓")</f>
        <v>✓</v>
      </c>
      <c r="D25" s="226">
        <f>IFS($B25=FALSE,"",$B25,VLOOKUP($B25,'PATIENT DATA (072721)'!A:C, 3, 0))</f>
        <v>22206</v>
      </c>
      <c r="E25" s="218">
        <v>44580.0</v>
      </c>
      <c r="F25" s="219">
        <f>ifs($B25="","",$B25, VLOOKUP($B25&amp;$E25, 'VISIT DATA'!A:O,3,0))</f>
        <v>0.46875</v>
      </c>
      <c r="G25" s="220" t="s">
        <v>6323</v>
      </c>
      <c r="H25" s="221" t="s">
        <v>14</v>
      </c>
      <c r="I25" s="222" t="str">
        <f>VLOOKUP($B25&amp;$E25,'VISIT DATA'!A:J, 9, FALSE)</f>
        <v>THOMAS</v>
      </c>
      <c r="J25" s="223" t="str">
        <f>VLOOKUP(B25&amp;E25,'VISIT DATA'!A:N,10,FALSE)</f>
        <v>WELLMED - UHC DUAL COMPLETE HMO SNP</v>
      </c>
      <c r="K25" s="224"/>
      <c r="L25" s="224" t="s">
        <v>6242</v>
      </c>
      <c r="M25" s="224" t="s">
        <v>6242</v>
      </c>
      <c r="N25" s="225"/>
      <c r="O25" s="216" t="str">
        <f t="shared" si="1"/>
        <v>✓</v>
      </c>
      <c r="P25" s="226" t="str">
        <f t="shared" si="2"/>
        <v>X</v>
      </c>
      <c r="Q25" s="227" t="str">
        <f t="shared" si="3"/>
        <v>#VALUE!</v>
      </c>
      <c r="R25" s="228" t="str">
        <f t="shared" si="4"/>
        <v>#VALUE!</v>
      </c>
      <c r="S25" s="220" t="str">
        <f t="shared" si="5"/>
        <v>#VALUE!</v>
      </c>
      <c r="T25" s="220" t="str">
        <f t="shared" si="6"/>
        <v>#VALUE!</v>
      </c>
      <c r="U25" s="221">
        <f t="shared" si="7"/>
        <v>1</v>
      </c>
      <c r="V25" s="229" t="str">
        <f>ifs($N25="",VLOOKUP($B25&amp;$E25,'VISIT DATA'!$A$2:$J100,7,FALSE), $N25="SWAB","OUTSA-RW",$N25="SWQU","OUTSA-SaQu", AND($L25="X",$M25="X",$N25="QUEST"),"OUT-UAQPre",$N25="QUEST","OUT-UAQ", $N25="Walk in","ColUATele")</f>
        <v>OUTUA-PrRW</v>
      </c>
      <c r="W25" s="24" t="str">
        <f t="shared" si="8"/>
        <v>OUTUA-PrRW : OUT UA Prelimin Redwood</v>
      </c>
      <c r="X25" s="222" t="str">
        <f t="shared" si="9"/>
        <v>OUTUA-PrRW : OUT UA Prelimin Redwood</v>
      </c>
      <c r="Y25" s="222" t="str">
        <f t="shared" si="10"/>
        <v>MATCH</v>
      </c>
      <c r="Z25" s="224" t="str">
        <f t="shared" si="11"/>
        <v> </v>
      </c>
      <c r="AA25" s="244"/>
    </row>
    <row r="26">
      <c r="A26" s="214" t="str">
        <f>IFS($B26=FALSE,"",$B26,VLOOKUP($B26,'PATIENT DATA (072721)'!A:C, 2, 0))</f>
        <v>WOODRUFF-HERMAN, MARIA</v>
      </c>
      <c r="B26" s="215">
        <v>15835.0</v>
      </c>
      <c r="C26" s="216" t="str">
        <f>IF(COUNTIF('PATIENT DATA (072721)'!A:A, B26)=0, "X","✓")</f>
        <v>✓</v>
      </c>
      <c r="D26" s="226">
        <f>IFS($B26=FALSE,"",$B26,VLOOKUP($B26,'PATIENT DATA (072721)'!A:C, 3, 0))</f>
        <v>21919</v>
      </c>
      <c r="E26" s="218">
        <v>44580.0</v>
      </c>
      <c r="F26" s="219">
        <f>ifs($B26="","",$B26, VLOOKUP($B26&amp;$E26, 'VISIT DATA'!A:O,3,0))</f>
        <v>0.4791666667</v>
      </c>
      <c r="G26" s="220" t="s">
        <v>6323</v>
      </c>
      <c r="H26" s="221" t="s">
        <v>14</v>
      </c>
      <c r="I26" s="222" t="str">
        <f>VLOOKUP($B26&amp;$E26,'VISIT DATA'!A:J, 9, FALSE)</f>
        <v>THOMAS</v>
      </c>
      <c r="J26" s="223" t="str">
        <f>VLOOKUP(B26&amp;E26,'VISIT DATA'!A:N,10,FALSE)</f>
        <v>WELLMED - AARP MEDICARE COMPLETE</v>
      </c>
      <c r="K26" s="224"/>
      <c r="L26" s="224" t="s">
        <v>6242</v>
      </c>
      <c r="M26" s="224"/>
      <c r="N26" s="224"/>
      <c r="O26" s="216" t="str">
        <f t="shared" si="1"/>
        <v>✓</v>
      </c>
      <c r="P26" s="226" t="str">
        <f t="shared" si="2"/>
        <v>X</v>
      </c>
      <c r="Q26" s="227" t="str">
        <f t="shared" si="3"/>
        <v>#VALUE!</v>
      </c>
      <c r="R26" s="228" t="str">
        <f t="shared" si="4"/>
        <v>#VALUE!</v>
      </c>
      <c r="S26" s="220" t="str">
        <f t="shared" si="5"/>
        <v>#VALUE!</v>
      </c>
      <c r="T26" s="220" t="str">
        <f t="shared" si="6"/>
        <v>#VALUE!</v>
      </c>
      <c r="U26" s="221">
        <f t="shared" si="7"/>
        <v>1</v>
      </c>
      <c r="V26" s="229" t="str">
        <f>ifs($N26="",VLOOKUP($B26&amp;$E26,'VISIT DATA'!$A$2:$J100,7,FALSE), $N26="SWAB","OUTSA-RW",$N26="SWQU","OUTSA-SaQu", AND($L26="X",$M26="X",$N26="QUEST"),"OUT-UAQPre",$N26="QUEST","OUT-UAQ", $N26="Walk in","ColUATele")</f>
        <v>OUTUA-FURW</v>
      </c>
      <c r="W26" s="24" t="str">
        <f t="shared" si="8"/>
        <v>OUTUA-FURW : OUT UA FU Redwood</v>
      </c>
      <c r="X26" s="222" t="str">
        <f t="shared" si="9"/>
        <v>OUTUA-FURW : OUT UA FU Redwood</v>
      </c>
      <c r="Y26" s="222" t="str">
        <f t="shared" si="10"/>
        <v>MATCH</v>
      </c>
      <c r="Z26" s="224" t="str">
        <f t="shared" si="11"/>
        <v> </v>
      </c>
      <c r="AA26" s="245"/>
    </row>
    <row r="27">
      <c r="A27" s="214" t="str">
        <f>IFS($B27=FALSE,"",$B27,VLOOKUP($B27,'PATIENT DATA (072721)'!A:C, 2, 0))</f>
        <v>NUNEZ, JUANA M</v>
      </c>
      <c r="B27" s="215">
        <v>17929.0</v>
      </c>
      <c r="C27" s="216" t="str">
        <f>IF(COUNTIF('PATIENT DATA (072721)'!A:A, B27)=0, "X","✓")</f>
        <v>✓</v>
      </c>
      <c r="D27" s="226">
        <f>IFS($B27=FALSE,"",$B27,VLOOKUP($B27,'PATIENT DATA (072721)'!A:C, 3, 0))</f>
        <v>15674</v>
      </c>
      <c r="E27" s="218">
        <v>44580.0</v>
      </c>
      <c r="F27" s="219">
        <f>ifs($B27="","",$B27, VLOOKUP($B27&amp;$E27, 'VISIT DATA'!A:O,3,0))</f>
        <v>0.5416666667</v>
      </c>
      <c r="G27" s="220" t="s">
        <v>6323</v>
      </c>
      <c r="H27" s="221" t="s">
        <v>15</v>
      </c>
      <c r="I27" s="222" t="str">
        <f>VLOOKUP($B27&amp;$E27,'VISIT DATA'!A:J, 9, FALSE)</f>
        <v>THOMAS</v>
      </c>
      <c r="J27" s="223" t="str">
        <f>VLOOKUP(B27&amp;E27,'VISIT DATA'!A:N,10,FALSE)</f>
        <v>WELLMED - AARP MEDICARE COMPLETE</v>
      </c>
      <c r="K27" s="224" t="s">
        <v>6242</v>
      </c>
      <c r="L27" s="224"/>
      <c r="M27" s="224"/>
      <c r="N27" s="225"/>
      <c r="O27" s="216" t="str">
        <f t="shared" si="1"/>
        <v>✓</v>
      </c>
      <c r="P27" s="226" t="str">
        <f t="shared" si="2"/>
        <v>X</v>
      </c>
      <c r="Q27" s="227" t="str">
        <f t="shared" si="3"/>
        <v>#VALUE!</v>
      </c>
      <c r="R27" s="228" t="str">
        <f t="shared" si="4"/>
        <v>#VALUE!</v>
      </c>
      <c r="S27" s="220" t="str">
        <f t="shared" si="5"/>
        <v>#VALUE!</v>
      </c>
      <c r="T27" s="220" t="str">
        <f t="shared" si="6"/>
        <v>#VALUE!</v>
      </c>
      <c r="U27" s="221">
        <f t="shared" si="7"/>
        <v>1</v>
      </c>
      <c r="V27" s="229" t="str">
        <f>ifs($N27="",VLOOKUP($B27&amp;$E27,'VISIT DATA'!$A$2:$J100,7,FALSE), $N27="SWAB","OUTSA-RW",$N27="SWQU","OUTSA-SaQu", AND($L27="X",$M27="X",$N27="QUEST"),"OUT-UAQPre",$N27="QUEST","OUT-UAQ", $N27="Walk in","ColUATele")</f>
        <v>OUTUA-NWRW</v>
      </c>
      <c r="W27" s="24" t="str">
        <f t="shared" si="8"/>
        <v>OUTUA-NWRW : OUT UA New Redwood</v>
      </c>
      <c r="X27" s="222" t="str">
        <f t="shared" si="9"/>
        <v>OUTUA-NWRW : OUT UA New Redwood</v>
      </c>
      <c r="Y27" s="222" t="str">
        <f t="shared" si="10"/>
        <v>MATCH</v>
      </c>
      <c r="Z27" s="224" t="str">
        <f t="shared" si="11"/>
        <v> </v>
      </c>
      <c r="AA27" s="244"/>
    </row>
    <row r="28">
      <c r="A28" s="214" t="str">
        <f>IFS($B28=FALSE,"",$B28,VLOOKUP($B28,'PATIENT DATA (072721)'!A:C, 2, 0))</f>
        <v>MARTINEZ, ANTONIO B</v>
      </c>
      <c r="B28" s="215">
        <v>9846.0</v>
      </c>
      <c r="C28" s="216" t="str">
        <f>IF(COUNTIF('PATIENT DATA (072721)'!A:A, B28)=0, "X","✓")</f>
        <v>✓</v>
      </c>
      <c r="D28" s="226">
        <f>IFS($B28=FALSE,"",$B28,VLOOKUP($B28,'PATIENT DATA (072721)'!A:C, 3, 0))</f>
        <v>25384</v>
      </c>
      <c r="E28" s="218">
        <v>44580.0</v>
      </c>
      <c r="F28" s="219">
        <f>ifs($B28="","",$B28, VLOOKUP($B28&amp;$E28, 'VISIT DATA'!A:O,3,0))</f>
        <v>0.5625</v>
      </c>
      <c r="G28" s="220" t="s">
        <v>6328</v>
      </c>
      <c r="H28" s="221" t="s">
        <v>14</v>
      </c>
      <c r="I28" s="222" t="str">
        <f>VLOOKUP($B28&amp;$E28,'VISIT DATA'!A:J, 9, FALSE)</f>
        <v>TORRES</v>
      </c>
      <c r="J28" s="223" t="str">
        <f>VLOOKUP(B28&amp;E28,'VISIT DATA'!A:N,10,FALSE)</f>
        <v>WELLMED - AARP MEDICARE COMPLETE</v>
      </c>
      <c r="K28" s="224"/>
      <c r="L28" s="224" t="s">
        <v>6242</v>
      </c>
      <c r="M28" s="224" t="s">
        <v>6242</v>
      </c>
      <c r="N28" s="225"/>
      <c r="O28" s="216" t="str">
        <f t="shared" si="1"/>
        <v>✓</v>
      </c>
      <c r="P28" s="226" t="str">
        <f t="shared" si="2"/>
        <v>X</v>
      </c>
      <c r="Q28" s="227" t="str">
        <f t="shared" si="3"/>
        <v>#VALUE!</v>
      </c>
      <c r="R28" s="228" t="str">
        <f t="shared" si="4"/>
        <v>#VALUE!</v>
      </c>
      <c r="S28" s="220" t="str">
        <f t="shared" si="5"/>
        <v>#VALUE!</v>
      </c>
      <c r="T28" s="220" t="str">
        <f t="shared" si="6"/>
        <v>#VALUE!</v>
      </c>
      <c r="U28" s="221">
        <f t="shared" si="7"/>
        <v>1</v>
      </c>
      <c r="V28" s="229" t="str">
        <f>ifs($N28="",VLOOKUP($B28&amp;$E28,'VISIT DATA'!$A$2:$J100,7,FALSE), $N28="SWAB","OUTSA-RW",$N28="SWQU","OUTSA-SaQu", AND($L28="X",$M28="X",$N28="QUEST"),"OUT-UAQPre",$N28="QUEST","OUT-UAQ", $N28="Walk in","ColUATele")</f>
        <v>OUTUA-PrRW</v>
      </c>
      <c r="W28" s="24" t="str">
        <f t="shared" si="8"/>
        <v>OUTUA-PrRW : OUT UA Prelimin Redwood</v>
      </c>
      <c r="X28" s="222" t="str">
        <f t="shared" si="9"/>
        <v>OUTUA-PrRW : OUT UA Prelimin Redwood</v>
      </c>
      <c r="Y28" s="222" t="str">
        <f t="shared" si="10"/>
        <v>MATCH</v>
      </c>
      <c r="Z28" s="224" t="str">
        <f t="shared" si="11"/>
        <v> </v>
      </c>
      <c r="AA28" s="244"/>
    </row>
    <row r="29">
      <c r="A29" s="214" t="str">
        <f>IFS($B29=FALSE,"",$B29,VLOOKUP($B29,'PATIENT DATA (072721)'!A:C, 2, 0))</f>
        <v>RODRIGUEZ, CAROLYN</v>
      </c>
      <c r="B29" s="215">
        <v>12259.0</v>
      </c>
      <c r="C29" s="216" t="str">
        <f>IF(COUNTIF('PATIENT DATA (072721)'!A:A, B29)=0, "X","✓")</f>
        <v>✓</v>
      </c>
      <c r="D29" s="226">
        <f>IFS($B29=FALSE,"",$B29,VLOOKUP($B29,'PATIENT DATA (072721)'!A:C, 3, 0))</f>
        <v>19026</v>
      </c>
      <c r="E29" s="218">
        <v>44580.0</v>
      </c>
      <c r="F29" s="219">
        <f>ifs($B29="","",$B29, VLOOKUP($B29&amp;$E29, 'VISIT DATA'!A:O,3,0))</f>
        <v>0.5416666667</v>
      </c>
      <c r="G29" s="220" t="s">
        <v>6323</v>
      </c>
      <c r="H29" s="221" t="s">
        <v>15</v>
      </c>
      <c r="I29" s="222" t="str">
        <f>VLOOKUP($B29&amp;$E29,'VISIT DATA'!A:J, 9, FALSE)</f>
        <v>MARTINEZ</v>
      </c>
      <c r="J29" s="223" t="str">
        <f>VLOOKUP(B29&amp;E29,'VISIT DATA'!A:N,10,FALSE)</f>
        <v>WELLMED - AARP MEDICARE COMPLETE</v>
      </c>
      <c r="K29" s="224"/>
      <c r="L29" s="224" t="s">
        <v>6242</v>
      </c>
      <c r="M29" s="224"/>
      <c r="N29" s="224"/>
      <c r="O29" s="216" t="str">
        <f t="shared" si="1"/>
        <v>✓</v>
      </c>
      <c r="P29" s="226" t="str">
        <f t="shared" si="2"/>
        <v>X</v>
      </c>
      <c r="Q29" s="227" t="str">
        <f t="shared" si="3"/>
        <v>#VALUE!</v>
      </c>
      <c r="R29" s="228" t="str">
        <f t="shared" si="4"/>
        <v>#VALUE!</v>
      </c>
      <c r="S29" s="220" t="str">
        <f t="shared" si="5"/>
        <v>#VALUE!</v>
      </c>
      <c r="T29" s="220" t="str">
        <f t="shared" si="6"/>
        <v>#VALUE!</v>
      </c>
      <c r="U29" s="221">
        <f t="shared" si="7"/>
        <v>1</v>
      </c>
      <c r="V29" s="229" t="str">
        <f>ifs($N29="",VLOOKUP($B29&amp;$E29,'VISIT DATA'!$A$2:$J100,7,FALSE), $N29="SWAB","OUTSA-RW",$N29="SWQU","OUTSA-SaQu", AND($L29="X",$M29="X",$N29="QUEST"),"OUT-UAQPre",$N29="QUEST","OUT-UAQ", $N29="Walk in","ColUATele")</f>
        <v>OUTUA-FURW</v>
      </c>
      <c r="W29" s="24" t="str">
        <f t="shared" si="8"/>
        <v>OUTUA-FURW : OUT UA FU Redwood</v>
      </c>
      <c r="X29" s="222" t="str">
        <f t="shared" si="9"/>
        <v>OUTUA-FURW : OUT UA FU Redwood</v>
      </c>
      <c r="Y29" s="222" t="str">
        <f t="shared" si="10"/>
        <v>MATCH</v>
      </c>
      <c r="Z29" s="224" t="str">
        <f t="shared" si="11"/>
        <v> </v>
      </c>
      <c r="AA29" s="245"/>
    </row>
    <row r="30">
      <c r="A30" s="214" t="str">
        <f>IFS($B30=FALSE,"",$B30,VLOOKUP($B30,'PATIENT DATA (072721)'!A:C, 2, 0))</f>
        <v>GONZALES, TOMAS</v>
      </c>
      <c r="B30" s="215">
        <v>17869.0</v>
      </c>
      <c r="C30" s="230" t="str">
        <f>IF(COUNTIF('PATIENT DATA (072721)'!A:A, B30)=0, "X","✓")</f>
        <v>✓</v>
      </c>
      <c r="D30" s="226">
        <f>IFS($B30=FALSE,"",$B30,VLOOKUP($B30,'PATIENT DATA (072721)'!A:C, 3, 0))</f>
        <v>14526</v>
      </c>
      <c r="E30" s="218">
        <v>44580.0</v>
      </c>
      <c r="F30" s="219">
        <f>ifs($B30="","",$B30, VLOOKUP($B30&amp;$E30, 'VISIT DATA'!A:O,3,0))</f>
        <v>0.5520833333</v>
      </c>
      <c r="G30" s="231" t="s">
        <v>6328</v>
      </c>
      <c r="H30" s="221" t="s">
        <v>12</v>
      </c>
      <c r="I30" s="222" t="str">
        <f>VLOOKUP($B30&amp;$E30,'VISIT DATA'!A:J, 9, FALSE)</f>
        <v>LOPEZ</v>
      </c>
      <c r="J30" s="223" t="str">
        <f>VLOOKUP(B30&amp;E30,'VISIT DATA'!A:N,10,FALSE)</f>
        <v>MEDICARE TEXAS</v>
      </c>
      <c r="K30" s="224" t="s">
        <v>6242</v>
      </c>
      <c r="L30" s="224"/>
      <c r="M30" s="224"/>
      <c r="N30" s="225"/>
      <c r="O30" s="216" t="str">
        <f t="shared" si="1"/>
        <v>✓</v>
      </c>
      <c r="P30" s="226" t="str">
        <f t="shared" si="2"/>
        <v>#VALUE!</v>
      </c>
      <c r="Q30" s="227" t="str">
        <f t="shared" si="3"/>
        <v>#VALUE!</v>
      </c>
      <c r="R30" s="228" t="str">
        <f t="shared" si="4"/>
        <v>#VALUE!</v>
      </c>
      <c r="S30" s="220" t="str">
        <f t="shared" si="5"/>
        <v>#VALUE!</v>
      </c>
      <c r="T30" s="220" t="str">
        <f t="shared" si="6"/>
        <v>#VALUE!</v>
      </c>
      <c r="U30" s="221">
        <f t="shared" si="7"/>
        <v>0</v>
      </c>
      <c r="V30" s="229" t="str">
        <f>ifs($N30="",VLOOKUP($B30&amp;$E30,'VISIT DATA'!$A$2:$J100,7,FALSE), $N30="SWAB","OUTSA-RW",$N30="SWQU","OUTSA-SaQu", AND($L30="X",$M30="X",$N30="QUEST"),"OUT-UAQPre",$N30="QUEST","OUT-UAQ", $N30="Walk in","ColUATele")</f>
        <v>UA-NWPT</v>
      </c>
      <c r="W30" s="24" t="str">
        <f t="shared" si="8"/>
        <v>UA-NWPT : UA New Patient</v>
      </c>
      <c r="X30" s="222" t="str">
        <f t="shared" si="9"/>
        <v>UA-NWPT : UA New Patient</v>
      </c>
      <c r="Y30" s="222" t="str">
        <f t="shared" si="10"/>
        <v>MATCH</v>
      </c>
      <c r="Z30" s="224" t="str">
        <f t="shared" si="11"/>
        <v> </v>
      </c>
      <c r="AA30" s="244"/>
    </row>
    <row r="31">
      <c r="A31" s="214" t="str">
        <f>IFS($B31=FALSE,"",$B31,VLOOKUP($B31,'PATIENT DATA (072721)'!A:C, 2, 0))</f>
        <v>VILLALOBOS, HECTOR</v>
      </c>
      <c r="B31" s="215">
        <v>17889.0</v>
      </c>
      <c r="C31" s="230" t="str">
        <f>IF(COUNTIF('PATIENT DATA (072721)'!A:A, B31)=0, "X","✓")</f>
        <v>✓</v>
      </c>
      <c r="D31" s="226">
        <f>IFS($B31=FALSE,"",$B31,VLOOKUP($B31,'PATIENT DATA (072721)'!A:C, 3, 0))</f>
        <v>29350</v>
      </c>
      <c r="E31" s="218">
        <v>44580.0</v>
      </c>
      <c r="F31" s="219">
        <f>ifs($B31="","",$B31, VLOOKUP($B31&amp;$E31, 'VISIT DATA'!A:O,3,0))</f>
        <v>0.5520833333</v>
      </c>
      <c r="G31" s="231" t="s">
        <v>6328</v>
      </c>
      <c r="H31" s="221" t="s">
        <v>12</v>
      </c>
      <c r="I31" s="222" t="str">
        <f>VLOOKUP($B31&amp;$E31,'VISIT DATA'!A:J, 9, FALSE)</f>
        <v>LOPEZ</v>
      </c>
      <c r="J31" s="223" t="str">
        <f>VLOOKUP(B31&amp;E31,'VISIT DATA'!A:N,10,FALSE)</f>
        <v>WPS VA - COMMUNITY CARE</v>
      </c>
      <c r="K31" s="224" t="s">
        <v>6242</v>
      </c>
      <c r="L31" s="224"/>
      <c r="M31" s="224"/>
      <c r="N31" s="225"/>
      <c r="O31" s="216" t="str">
        <f t="shared" si="1"/>
        <v>✓</v>
      </c>
      <c r="P31" s="226" t="str">
        <f t="shared" si="2"/>
        <v>#VALUE!</v>
      </c>
      <c r="Q31" s="227" t="str">
        <f t="shared" si="3"/>
        <v>#VALUE!</v>
      </c>
      <c r="R31" s="228" t="str">
        <f t="shared" si="4"/>
        <v>#VALUE!</v>
      </c>
      <c r="S31" s="220" t="str">
        <f t="shared" si="5"/>
        <v>#VALUE!</v>
      </c>
      <c r="T31" s="220" t="str">
        <f t="shared" si="6"/>
        <v>#VALUE!</v>
      </c>
      <c r="U31" s="221">
        <f t="shared" si="7"/>
        <v>0</v>
      </c>
      <c r="V31" s="229" t="str">
        <f>ifs($N31="",VLOOKUP($B31&amp;$E31,'VISIT DATA'!$A$2:$J100,7,FALSE), $N31="SWAB","OUTSA-RW",$N31="SWQU","OUTSA-SaQu", AND($L31="X",$M31="X",$N31="QUEST"),"OUT-UAQPre",$N31="QUEST","OUT-UAQ", $N31="Walk in","ColUATele")</f>
        <v>UA-NWPT</v>
      </c>
      <c r="W31" s="24" t="str">
        <f t="shared" si="8"/>
        <v>UA-NWPT : UA New Patient</v>
      </c>
      <c r="X31" s="222" t="str">
        <f t="shared" si="9"/>
        <v>UA-NWPT : UA New Patient</v>
      </c>
      <c r="Y31" s="222" t="str">
        <f t="shared" si="10"/>
        <v>MATCH</v>
      </c>
      <c r="Z31" s="224" t="str">
        <f t="shared" si="11"/>
        <v> </v>
      </c>
      <c r="AA31" s="244"/>
    </row>
    <row r="32">
      <c r="A32" s="214" t="str">
        <f>IFS($B32=FALSE,"",$B32,VLOOKUP($B32,'PATIENT DATA (072721)'!A:C, 2, 0))</f>
        <v>EUBANK, CASANDRA</v>
      </c>
      <c r="B32" s="215">
        <v>15655.0</v>
      </c>
      <c r="C32" s="230" t="str">
        <f>IF(COUNTIF('PATIENT DATA (072721)'!A:A, B32)=0, "X","✓")</f>
        <v>✓</v>
      </c>
      <c r="D32" s="226">
        <f>IFS($B32=FALSE,"",$B32,VLOOKUP($B32,'PATIENT DATA (072721)'!A:C, 3, 0))</f>
        <v>18038</v>
      </c>
      <c r="E32" s="218">
        <v>44580.0</v>
      </c>
      <c r="F32" s="219">
        <f>ifs($B32="","",$B32, VLOOKUP($B32&amp;$E32, 'VISIT DATA'!A:O,3,0))</f>
        <v>0.5833333333</v>
      </c>
      <c r="G32" s="231" t="s">
        <v>6323</v>
      </c>
      <c r="H32" s="221" t="s">
        <v>14</v>
      </c>
      <c r="I32" s="222" t="str">
        <f>VLOOKUP($B32&amp;$E32,'VISIT DATA'!A:J, 9, FALSE)</f>
        <v>TORRES</v>
      </c>
      <c r="J32" s="223" t="str">
        <f>VLOOKUP(B32&amp;E32,'VISIT DATA'!A:N,10,FALSE)</f>
        <v>WELLMED - CIGNA HEALTHSPRING</v>
      </c>
      <c r="K32" s="224"/>
      <c r="L32" s="224" t="s">
        <v>6242</v>
      </c>
      <c r="M32" s="224"/>
      <c r="N32" s="225"/>
      <c r="O32" s="216" t="str">
        <f t="shared" si="1"/>
        <v>✓</v>
      </c>
      <c r="P32" s="226" t="str">
        <f t="shared" si="2"/>
        <v>X</v>
      </c>
      <c r="Q32" s="227" t="str">
        <f t="shared" si="3"/>
        <v>#VALUE!</v>
      </c>
      <c r="R32" s="228" t="str">
        <f t="shared" si="4"/>
        <v>#VALUE!</v>
      </c>
      <c r="S32" s="220" t="str">
        <f t="shared" si="5"/>
        <v>#VALUE!</v>
      </c>
      <c r="T32" s="220" t="str">
        <f t="shared" si="6"/>
        <v>#VALUE!</v>
      </c>
      <c r="U32" s="221">
        <f t="shared" si="7"/>
        <v>1</v>
      </c>
      <c r="V32" s="229" t="str">
        <f>ifs($N32="",VLOOKUP($B32&amp;$E32,'VISIT DATA'!$A$2:$J100,7,FALSE), $N32="SWAB","OUTSA-RW",$N32="SWQU","OUTSA-SaQu", AND($L32="X",$M32="X",$N32="QUEST"),"OUT-UAQPre",$N32="QUEST","OUT-UAQ", $N32="Walk in","ColUATele")</f>
        <v>OUTUA-FURW</v>
      </c>
      <c r="W32" s="24" t="str">
        <f t="shared" si="8"/>
        <v>OUTUA-FURW : OUT UA FU Redwood</v>
      </c>
      <c r="X32" s="222" t="str">
        <f t="shared" si="9"/>
        <v>OUTUA-FURW : OUT UA FU Redwood</v>
      </c>
      <c r="Y32" s="222" t="str">
        <f t="shared" si="10"/>
        <v>MATCH</v>
      </c>
      <c r="Z32" s="224" t="str">
        <f t="shared" si="11"/>
        <v> </v>
      </c>
      <c r="AA32" s="244"/>
    </row>
    <row r="33">
      <c r="A33" s="214" t="str">
        <f>IFS($B33=FALSE,"",$B33,VLOOKUP($B33,'PATIENT DATA (072721)'!A:C, 2, 0))</f>
        <v>MONTERO, JUAN A</v>
      </c>
      <c r="B33" s="215">
        <v>16524.0</v>
      </c>
      <c r="C33" s="230" t="str">
        <f>IF(COUNTIF('PATIENT DATA (072721)'!A:A, B33)=0, "X","✓")</f>
        <v>✓</v>
      </c>
      <c r="D33" s="226">
        <f>IFS($B33=FALSE,"",$B33,VLOOKUP($B33,'PATIENT DATA (072721)'!A:C, 3, 0))</f>
        <v>25485</v>
      </c>
      <c r="E33" s="218">
        <v>44580.0</v>
      </c>
      <c r="F33" s="219">
        <f>ifs($B33="","",$B33, VLOOKUP($B33&amp;$E33, 'VISIT DATA'!A:O,3,0))</f>
        <v>0.5833333333</v>
      </c>
      <c r="G33" s="231" t="s">
        <v>6328</v>
      </c>
      <c r="H33" s="221" t="s">
        <v>15</v>
      </c>
      <c r="I33" s="222" t="str">
        <f>VLOOKUP($B33&amp;$E33,'VISIT DATA'!A:J, 9, FALSE)</f>
        <v>MARTINEZ</v>
      </c>
      <c r="J33" s="223" t="str">
        <f>VLOOKUP(B33&amp;E33,'VISIT DATA'!A:N,10,FALSE)</f>
        <v>AMBETTER - SUPERIOR</v>
      </c>
      <c r="K33" s="225"/>
      <c r="L33" s="224" t="s">
        <v>6242</v>
      </c>
      <c r="M33" s="224" t="s">
        <v>6242</v>
      </c>
      <c r="N33" s="225"/>
      <c r="O33" s="216" t="str">
        <f t="shared" si="1"/>
        <v>✓</v>
      </c>
      <c r="P33" s="226" t="str">
        <f t="shared" si="2"/>
        <v>#VALUE!</v>
      </c>
      <c r="Q33" s="227" t="str">
        <f t="shared" si="3"/>
        <v>#VALUE!</v>
      </c>
      <c r="R33" s="228" t="str">
        <f t="shared" si="4"/>
        <v>#VALUE!</v>
      </c>
      <c r="S33" s="220" t="str">
        <f t="shared" si="5"/>
        <v>#VALUE!</v>
      </c>
      <c r="T33" s="220" t="str">
        <f t="shared" si="6"/>
        <v>#VALUE!</v>
      </c>
      <c r="U33" s="221">
        <f t="shared" si="7"/>
        <v>0</v>
      </c>
      <c r="V33" s="229" t="str">
        <f>ifs($N33="",VLOOKUP($B33&amp;$E33,'VISIT DATA'!$A$2:$J100,7,FALSE), $N33="SWAB","OUTSA-RW",$N33="SWQU","OUTSA-SaQu", AND($L33="X",$M33="X",$N33="QUEST"),"OUT-UAQPre",$N33="QUEST","OUT-UAQ", $N33="Walk in","ColUATele")</f>
        <v>UA-Prelim</v>
      </c>
      <c r="W33" s="24" t="str">
        <f t="shared" si="8"/>
        <v>UA-Prelim : Preliminary UA Test</v>
      </c>
      <c r="X33" s="222" t="str">
        <f t="shared" si="9"/>
        <v>UA-Prelim : Preliminary UA Test</v>
      </c>
      <c r="Y33" s="222" t="str">
        <f t="shared" si="10"/>
        <v>MATCH</v>
      </c>
      <c r="Z33" s="224" t="str">
        <f t="shared" si="11"/>
        <v> </v>
      </c>
      <c r="AA33" s="244"/>
    </row>
    <row r="34">
      <c r="A34" s="214" t="str">
        <f>IFS($B34=FALSE,"",$B34,VLOOKUP($B34,'PATIENT DATA (072721)'!A:C, 2, 0))</f>
        <v>FLORES, GABRIELA</v>
      </c>
      <c r="B34" s="215">
        <v>17402.0</v>
      </c>
      <c r="C34" s="230" t="str">
        <f>IF(COUNTIF('PATIENT DATA (072721)'!A:A, B34)=0, "X","✓")</f>
        <v>✓</v>
      </c>
      <c r="D34" s="226">
        <f>IFS($B34=FALSE,"",$B34,VLOOKUP($B34,'PATIENT DATA (072721)'!A:C, 3, 0))</f>
        <v>34747</v>
      </c>
      <c r="E34" s="218">
        <v>44580.0</v>
      </c>
      <c r="F34" s="219">
        <f>ifs($B34="","",$B34, VLOOKUP($B34&amp;$E34, 'VISIT DATA'!A:O,3,0))</f>
        <v>0.5520833333</v>
      </c>
      <c r="G34" s="231" t="s">
        <v>6323</v>
      </c>
      <c r="H34" s="221" t="s">
        <v>12</v>
      </c>
      <c r="I34" s="222" t="str">
        <f>VLOOKUP($B34&amp;$E34,'VISIT DATA'!A:J, 9, FALSE)</f>
        <v>LOPEZ</v>
      </c>
      <c r="J34" s="223" t="str">
        <f>VLOOKUP(B34&amp;E34,'VISIT DATA'!A:N,10,FALSE)</f>
        <v>AMERIVANTAGE DUAL</v>
      </c>
      <c r="K34" s="224" t="s">
        <v>6242</v>
      </c>
      <c r="L34" s="224"/>
      <c r="M34" s="224"/>
      <c r="N34" s="225"/>
      <c r="O34" s="216" t="str">
        <f t="shared" si="1"/>
        <v>✓</v>
      </c>
      <c r="P34" s="226" t="str">
        <f t="shared" si="2"/>
        <v>#VALUE!</v>
      </c>
      <c r="Q34" s="227" t="str">
        <f t="shared" si="3"/>
        <v>#VALUE!</v>
      </c>
      <c r="R34" s="228" t="str">
        <f t="shared" si="4"/>
        <v>#VALUE!</v>
      </c>
      <c r="S34" s="220" t="str">
        <f t="shared" si="5"/>
        <v>#VALUE!</v>
      </c>
      <c r="T34" s="220" t="str">
        <f t="shared" si="6"/>
        <v>#VALUE!</v>
      </c>
      <c r="U34" s="221">
        <f t="shared" si="7"/>
        <v>0</v>
      </c>
      <c r="V34" s="229" t="str">
        <f>ifs($N34="",VLOOKUP($B34&amp;$E34,'VISIT DATA'!$A$2:$J100,7,FALSE), $N34="SWAB","OUTSA-RW",$N34="SWQU","OUTSA-SaQu", AND($L34="X",$M34="X",$N34="QUEST"),"OUT-UAQPre",$N34="QUEST","OUT-UAQ", $N34="Walk in","ColUATele")</f>
        <v>UA-NWPT</v>
      </c>
      <c r="W34" s="24" t="str">
        <f t="shared" si="8"/>
        <v>UA-NWPT : UA New Patient</v>
      </c>
      <c r="X34" s="222" t="str">
        <f t="shared" si="9"/>
        <v>UA-NWPT : UA New Patient</v>
      </c>
      <c r="Y34" s="222" t="str">
        <f t="shared" si="10"/>
        <v>MATCH</v>
      </c>
      <c r="Z34" s="224" t="str">
        <f t="shared" si="11"/>
        <v> </v>
      </c>
      <c r="AA34" s="244"/>
    </row>
    <row r="35">
      <c r="A35" s="214" t="str">
        <f>IFS($B35=FALSE,"",$B35,VLOOKUP($B35,'PATIENT DATA (072721)'!A:C, 2, 0))</f>
        <v>MACIAS, ARMANDO</v>
      </c>
      <c r="B35" s="215">
        <v>9616.0</v>
      </c>
      <c r="C35" s="230" t="str">
        <f>IF(COUNTIF('PATIENT DATA (072721)'!A:A, B35)=0, "X","✓")</f>
        <v>✓</v>
      </c>
      <c r="D35" s="226">
        <f>IFS($B35=FALSE,"",$B35,VLOOKUP($B35,'PATIENT DATA (072721)'!A:C, 3, 0))</f>
        <v>19613</v>
      </c>
      <c r="E35" s="218">
        <v>44580.0</v>
      </c>
      <c r="F35" s="219">
        <f>ifs($B35="","",$B35, VLOOKUP($B35&amp;$E35, 'VISIT DATA'!A:O,3,0))</f>
        <v>0.6041666667</v>
      </c>
      <c r="G35" s="231" t="s">
        <v>6328</v>
      </c>
      <c r="H35" s="221" t="s">
        <v>15</v>
      </c>
      <c r="I35" s="222" t="str">
        <f>VLOOKUP($B35&amp;$E35,'VISIT DATA'!A:J, 9, FALSE)</f>
        <v>MARTINEZ</v>
      </c>
      <c r="J35" s="223" t="str">
        <f>VLOOKUP(B35&amp;E35,'VISIT DATA'!A:N,10,FALSE)</f>
        <v>UHC MEDICARE COMPLETE</v>
      </c>
      <c r="K35" s="224"/>
      <c r="L35" s="224" t="s">
        <v>6242</v>
      </c>
      <c r="M35" s="224"/>
      <c r="N35" s="224"/>
      <c r="O35" s="216" t="str">
        <f t="shared" si="1"/>
        <v>✓</v>
      </c>
      <c r="P35" s="226" t="str">
        <f t="shared" si="2"/>
        <v>#VALUE!</v>
      </c>
      <c r="Q35" s="227" t="str">
        <f t="shared" si="3"/>
        <v>#VALUE!</v>
      </c>
      <c r="R35" s="228" t="str">
        <f t="shared" si="4"/>
        <v>#VALUE!</v>
      </c>
      <c r="S35" s="220" t="str">
        <f t="shared" si="5"/>
        <v>#VALUE!</v>
      </c>
      <c r="T35" s="220" t="str">
        <f t="shared" si="6"/>
        <v>#VALUE!</v>
      </c>
      <c r="U35" s="221">
        <f t="shared" si="7"/>
        <v>0</v>
      </c>
      <c r="V35" s="229" t="str">
        <f>ifs($N35="",VLOOKUP($B35&amp;$E35,'VISIT DATA'!$A$2:$J100,7,FALSE), $N35="SWAB","OUTSA-RW",$N35="SWQU","OUTSA-SaQu", AND($L35="X",$M35="X",$N35="QUEST"),"OUT-UAQPre",$N35="QUEST","OUT-UAQ", $N35="Walk in","ColUATele")</f>
        <v>UA</v>
      </c>
      <c r="W35" s="24" t="str">
        <f t="shared" si="8"/>
        <v>UA : Urine Analysis In House</v>
      </c>
      <c r="X35" s="222" t="str">
        <f t="shared" si="9"/>
        <v>UA : Urine Analysis In House</v>
      </c>
      <c r="Y35" s="222" t="str">
        <f t="shared" si="10"/>
        <v>MATCH</v>
      </c>
      <c r="Z35" s="224" t="str">
        <f t="shared" si="11"/>
        <v> </v>
      </c>
      <c r="AA35" s="244"/>
    </row>
    <row r="36">
      <c r="A36" s="214" t="str">
        <f>IFS($B36=FALSE,"",$B36,VLOOKUP($B36,'PATIENT DATA (072721)'!A:C, 2, 0))</f>
        <v>SOSA, JUANITA C</v>
      </c>
      <c r="B36" s="215">
        <v>11829.0</v>
      </c>
      <c r="C36" s="230" t="str">
        <f>IF(COUNTIF('PATIENT DATA (072721)'!A:A, B36)=0, "X","✓")</f>
        <v>✓</v>
      </c>
      <c r="D36" s="226">
        <f>IFS($B36=FALSE,"",$B36,VLOOKUP($B36,'PATIENT DATA (072721)'!A:C, 3, 0))</f>
        <v>23698</v>
      </c>
      <c r="E36" s="218">
        <v>44580.0</v>
      </c>
      <c r="F36" s="219">
        <f>ifs($B36="","",$B36, VLOOKUP($B36&amp;$E36, 'VISIT DATA'!A:O,3,0))</f>
        <v>0.4166666667</v>
      </c>
      <c r="G36" s="231" t="s">
        <v>6323</v>
      </c>
      <c r="H36" s="221" t="s">
        <v>15</v>
      </c>
      <c r="I36" s="222" t="str">
        <f>VLOOKUP($B36&amp;$E36,'VISIT DATA'!A:J, 9, FALSE)</f>
        <v>MARTINEZ</v>
      </c>
      <c r="J36" s="223" t="str">
        <f>VLOOKUP(B36&amp;E36,'VISIT DATA'!A:N,10,FALSE)</f>
        <v>MOLINA MEDICAID TEXAS</v>
      </c>
      <c r="K36" s="225"/>
      <c r="L36" s="224" t="s">
        <v>6242</v>
      </c>
      <c r="M36" s="224" t="s">
        <v>6242</v>
      </c>
      <c r="N36" s="225"/>
      <c r="O36" s="216" t="str">
        <f t="shared" si="1"/>
        <v>✓</v>
      </c>
      <c r="P36" s="226" t="str">
        <f t="shared" si="2"/>
        <v>#VALUE!</v>
      </c>
      <c r="Q36" s="227" t="str">
        <f t="shared" si="3"/>
        <v>X</v>
      </c>
      <c r="R36" s="228" t="str">
        <f t="shared" si="4"/>
        <v>#VALUE!</v>
      </c>
      <c r="S36" s="220" t="str">
        <f t="shared" si="5"/>
        <v>#VALUE!</v>
      </c>
      <c r="T36" s="220" t="str">
        <f t="shared" si="6"/>
        <v>#VALUE!</v>
      </c>
      <c r="U36" s="221">
        <f t="shared" si="7"/>
        <v>1</v>
      </c>
      <c r="V36" s="229" t="str">
        <f>ifs($N36="",VLOOKUP($B36&amp;$E36,'VISIT DATA'!$A$2:$J100,7,FALSE), $N36="SWAB","OUTSA-RW",$N36="SWQU","OUTSA-SaQu", AND($L36="X",$M36="X",$N36="QUEST"),"OUT-UAQPre",$N36="QUEST","OUT-UAQ", $N36="Walk in","ColUATele")</f>
        <v>OUTUA-PrRW</v>
      </c>
      <c r="W36" s="24" t="str">
        <f t="shared" si="8"/>
        <v>OUTUA-PrRW : OUT UA Prelimin Redwood</v>
      </c>
      <c r="X36" s="222" t="str">
        <f t="shared" si="9"/>
        <v>OUTUA-PrRW : OUT UA Prelimin Redwood</v>
      </c>
      <c r="Y36" s="222" t="str">
        <f t="shared" si="10"/>
        <v>MATCH</v>
      </c>
      <c r="Z36" s="224" t="str">
        <f t="shared" si="11"/>
        <v> </v>
      </c>
      <c r="AA36" s="244"/>
    </row>
    <row r="37">
      <c r="A37" s="214" t="str">
        <f>IFS($B37=FALSE,"",$B37,VLOOKUP($B37,'PATIENT DATA (072721)'!A:C, 2, 0))</f>
        <v>SOTO, ASENCION P</v>
      </c>
      <c r="B37" s="215">
        <v>15852.0</v>
      </c>
      <c r="C37" s="230" t="str">
        <f>IF(COUNTIF('PATIENT DATA (072721)'!A:A, B37)=0, "X","✓")</f>
        <v>✓</v>
      </c>
      <c r="D37" s="226">
        <f>IFS($B37=FALSE,"",$B37,VLOOKUP($B37,'PATIENT DATA (072721)'!A:C, 3, 0))</f>
        <v>12166</v>
      </c>
      <c r="E37" s="218">
        <v>44580.0</v>
      </c>
      <c r="F37" s="219">
        <f>ifs($B37="","",$B37, VLOOKUP($B37&amp;$E37, 'VISIT DATA'!A:O,3,0))</f>
        <v>0.5625</v>
      </c>
      <c r="G37" s="231" t="s">
        <v>6323</v>
      </c>
      <c r="H37" s="221" t="s">
        <v>12</v>
      </c>
      <c r="I37" s="222" t="str">
        <f>VLOOKUP($B37&amp;$E37,'VISIT DATA'!A:J, 9, FALSE)</f>
        <v>THOMAS</v>
      </c>
      <c r="J37" s="223" t="str">
        <f>VLOOKUP(B37&amp;E37,'VISIT DATA'!A:N,10,FALSE)</f>
        <v>MEDICARE TEXAS</v>
      </c>
      <c r="K37" s="225"/>
      <c r="L37" s="224" t="s">
        <v>6242</v>
      </c>
      <c r="M37" s="224"/>
      <c r="N37" s="225"/>
      <c r="O37" s="216" t="str">
        <f t="shared" si="1"/>
        <v>✓</v>
      </c>
      <c r="P37" s="226" t="str">
        <f t="shared" si="2"/>
        <v>#VALUE!</v>
      </c>
      <c r="Q37" s="227" t="str">
        <f t="shared" si="3"/>
        <v>#VALUE!</v>
      </c>
      <c r="R37" s="228" t="str">
        <f t="shared" si="4"/>
        <v>#VALUE!</v>
      </c>
      <c r="S37" s="220" t="str">
        <f t="shared" si="5"/>
        <v>#VALUE!</v>
      </c>
      <c r="T37" s="220" t="str">
        <f t="shared" si="6"/>
        <v>#VALUE!</v>
      </c>
      <c r="U37" s="221">
        <f t="shared" si="7"/>
        <v>0</v>
      </c>
      <c r="V37" s="229" t="str">
        <f>ifs($N37="",VLOOKUP($B37&amp;$E37,'VISIT DATA'!$A$2:$J100,7,FALSE), $N37="SWAB","OUTSA-RW",$N37="SWQU","OUTSA-SaQu", AND($L37="X",$M37="X",$N37="QUEST"),"OUT-UAQPre",$N37="QUEST","OUT-UAQ", $N37="Walk in","ColUATele")</f>
        <v>UA</v>
      </c>
      <c r="W37" s="24" t="str">
        <f t="shared" si="8"/>
        <v>UA : Urine Analysis In House</v>
      </c>
      <c r="X37" s="222" t="str">
        <f t="shared" si="9"/>
        <v>UA : Urine Analysis In House</v>
      </c>
      <c r="Y37" s="222" t="str">
        <f t="shared" si="10"/>
        <v>MATCH</v>
      </c>
      <c r="Z37" s="224" t="str">
        <f t="shared" si="11"/>
        <v> </v>
      </c>
      <c r="AA37" s="244"/>
    </row>
    <row r="38">
      <c r="A38" s="214" t="str">
        <f>IFS($B38=FALSE,"",$B38,VLOOKUP($B38,'PATIENT DATA (072721)'!A:C, 2, 0))</f>
        <v>NIETO, MONICA JO</v>
      </c>
      <c r="B38" s="215">
        <v>12409.0</v>
      </c>
      <c r="C38" s="230" t="str">
        <f>IF(COUNTIF('PATIENT DATA (072721)'!A:A, B38)=0, "X","✓")</f>
        <v>✓</v>
      </c>
      <c r="D38" s="226">
        <f>IFS($B38=FALSE,"",$B38,VLOOKUP($B38,'PATIENT DATA (072721)'!A:C, 3, 0))</f>
        <v>27442</v>
      </c>
      <c r="E38" s="218">
        <v>44580.0</v>
      </c>
      <c r="F38" s="219">
        <f>ifs($B38="","",$B38, VLOOKUP($B38&amp;$E38, 'VISIT DATA'!A:O,3,0))</f>
        <v>0.59375</v>
      </c>
      <c r="G38" s="231" t="s">
        <v>6323</v>
      </c>
      <c r="H38" s="221" t="s">
        <v>12</v>
      </c>
      <c r="I38" s="222" t="str">
        <f>VLOOKUP($B38&amp;$E38,'VISIT DATA'!A:J, 9, FALSE)</f>
        <v>THOMAS</v>
      </c>
      <c r="J38" s="223" t="str">
        <f>VLOOKUP(B38&amp;E38,'VISIT DATA'!A:N,10,FALSE)</f>
        <v>WELLMED - UHC DUAL COMPLETE SNP</v>
      </c>
      <c r="K38" s="225"/>
      <c r="L38" s="224" t="s">
        <v>6242</v>
      </c>
      <c r="M38" s="224" t="s">
        <v>6242</v>
      </c>
      <c r="N38" s="225"/>
      <c r="O38" s="216" t="str">
        <f t="shared" si="1"/>
        <v>✓</v>
      </c>
      <c r="P38" s="226" t="str">
        <f t="shared" si="2"/>
        <v>X</v>
      </c>
      <c r="Q38" s="227" t="str">
        <f t="shared" si="3"/>
        <v>#VALUE!</v>
      </c>
      <c r="R38" s="228" t="str">
        <f t="shared" si="4"/>
        <v>#VALUE!</v>
      </c>
      <c r="S38" s="220" t="str">
        <f t="shared" si="5"/>
        <v>#VALUE!</v>
      </c>
      <c r="T38" s="220" t="str">
        <f t="shared" si="6"/>
        <v>#VALUE!</v>
      </c>
      <c r="U38" s="221">
        <f t="shared" si="7"/>
        <v>1</v>
      </c>
      <c r="V38" s="229" t="str">
        <f>ifs($N38="",VLOOKUP($B38&amp;$E38,'VISIT DATA'!$A$2:$J100,7,FALSE), $N38="SWAB","OUTSA-RW",$N38="SWQU","OUTSA-SaQu", AND($L38="X",$M38="X",$N38="QUEST"),"OUT-UAQPre",$N38="QUEST","OUT-UAQ", $N38="Walk in","ColUATele")</f>
        <v>OUTUA-PrRW</v>
      </c>
      <c r="W38" s="24" t="str">
        <f t="shared" si="8"/>
        <v>OUTUA-PrRW : OUT UA Prelimin Redwood</v>
      </c>
      <c r="X38" s="222" t="str">
        <f t="shared" si="9"/>
        <v>OUTUA-PrRW : OUT UA Prelimin Redwood</v>
      </c>
      <c r="Y38" s="222" t="str">
        <f t="shared" si="10"/>
        <v>MATCH</v>
      </c>
      <c r="Z38" s="224" t="str">
        <f t="shared" si="11"/>
        <v> </v>
      </c>
      <c r="AA38" s="244"/>
    </row>
    <row r="39">
      <c r="A39" s="214" t="str">
        <f>IFS($B39=FALSE,"",$B39,VLOOKUP($B39,'PATIENT DATA (072721)'!A:C, 2, 0))</f>
        <v>SANCHEZ, MARIA</v>
      </c>
      <c r="B39" s="215">
        <v>10646.0</v>
      </c>
      <c r="C39" s="230" t="str">
        <f>IF(COUNTIF('PATIENT DATA (072721)'!A:A, B39)=0, "X","✓")</f>
        <v>✓</v>
      </c>
      <c r="D39" s="226">
        <f>IFS($B39=FALSE,"",$B39,VLOOKUP($B39,'PATIENT DATA (072721)'!A:C, 3, 0))</f>
        <v>12791</v>
      </c>
      <c r="E39" s="218">
        <v>44580.0</v>
      </c>
      <c r="F39" s="219">
        <f>ifs($B39="","",$B39, VLOOKUP($B39&amp;$E39, 'VISIT DATA'!A:O,3,0))</f>
        <v>0.5729166667</v>
      </c>
      <c r="G39" s="231" t="s">
        <v>6323</v>
      </c>
      <c r="H39" s="221" t="s">
        <v>15</v>
      </c>
      <c r="I39" s="222" t="str">
        <f>VLOOKUP($B39&amp;$E39,'VISIT DATA'!A:J, 9, FALSE)</f>
        <v>MARTINEZ</v>
      </c>
      <c r="J39" s="223" t="str">
        <f>VLOOKUP(B39&amp;E39,'VISIT DATA'!A:N,10,FALSE)</f>
        <v>WELLCARE OF TEXAS</v>
      </c>
      <c r="K39" s="225"/>
      <c r="L39" s="224" t="s">
        <v>6242</v>
      </c>
      <c r="M39" s="224" t="s">
        <v>6242</v>
      </c>
      <c r="N39" s="225"/>
      <c r="O39" s="216" t="str">
        <f t="shared" si="1"/>
        <v>✓</v>
      </c>
      <c r="P39" s="226" t="str">
        <f t="shared" si="2"/>
        <v>#VALUE!</v>
      </c>
      <c r="Q39" s="227" t="str">
        <f t="shared" si="3"/>
        <v>#VALUE!</v>
      </c>
      <c r="R39" s="228" t="str">
        <f t="shared" si="4"/>
        <v>#VALUE!</v>
      </c>
      <c r="S39" s="220" t="str">
        <f t="shared" si="5"/>
        <v>#VALUE!</v>
      </c>
      <c r="T39" s="220" t="str">
        <f t="shared" si="6"/>
        <v>#VALUE!</v>
      </c>
      <c r="U39" s="221">
        <f t="shared" si="7"/>
        <v>0</v>
      </c>
      <c r="V39" s="229" t="str">
        <f>ifs($N39="",VLOOKUP($B39&amp;$E39,'VISIT DATA'!$A$2:$J100,7,FALSE), $N39="SWAB","OUTSA-RW",$N39="SWQU","OUTSA-SaQu", AND($L39="X",$M39="X",$N39="QUEST"),"OUT-UAQPre",$N39="QUEST","OUT-UAQ", $N39="Walk in","ColUATele")</f>
        <v>UA-Prelim</v>
      </c>
      <c r="W39" s="24" t="str">
        <f t="shared" si="8"/>
        <v>UA-Prelim : Preliminary UA Test</v>
      </c>
      <c r="X39" s="222" t="str">
        <f t="shared" si="9"/>
        <v>UA-Prelim : Preliminary UA Test</v>
      </c>
      <c r="Y39" s="222" t="str">
        <f t="shared" si="10"/>
        <v>MATCH</v>
      </c>
      <c r="Z39" s="224" t="str">
        <f t="shared" si="11"/>
        <v> </v>
      </c>
      <c r="AA39" s="244"/>
    </row>
    <row r="40">
      <c r="A40" s="214" t="str">
        <f>IFS($B40=FALSE,"",$B40,VLOOKUP($B40,'PATIENT DATA (072721)'!A:C, 2, 0))</f>
        <v>JOHNSTON, JOHNNY L</v>
      </c>
      <c r="B40" s="215">
        <v>9309.0</v>
      </c>
      <c r="C40" s="230" t="str">
        <f>IF(COUNTIF('PATIENT DATA (072721)'!A:A, B40)=0, "X","✓")</f>
        <v>✓</v>
      </c>
      <c r="D40" s="226">
        <f>IFS($B40=FALSE,"",$B40,VLOOKUP($B40,'PATIENT DATA (072721)'!A:C, 3, 0))</f>
        <v>16967</v>
      </c>
      <c r="E40" s="218">
        <v>44580.0</v>
      </c>
      <c r="F40" s="219">
        <f>ifs($B40="","",$B40, VLOOKUP($B40&amp;$E40, 'VISIT DATA'!A:O,3,0))</f>
        <v>0.5833333333</v>
      </c>
      <c r="G40" s="231" t="s">
        <v>6328</v>
      </c>
      <c r="H40" s="221" t="s">
        <v>12</v>
      </c>
      <c r="I40" s="222" t="str">
        <f>VLOOKUP($B40&amp;$E40,'VISIT DATA'!A:J, 9, FALSE)</f>
        <v>LOPEZ</v>
      </c>
      <c r="J40" s="223" t="str">
        <f>VLOOKUP(B40&amp;E40,'VISIT DATA'!A:N,10,FALSE)</f>
        <v>WPS VA - COMMUNITY CARE</v>
      </c>
      <c r="K40" s="224"/>
      <c r="L40" s="224" t="s">
        <v>6242</v>
      </c>
      <c r="M40" s="224"/>
      <c r="N40" s="225"/>
      <c r="O40" s="216" t="str">
        <f t="shared" si="1"/>
        <v>✓</v>
      </c>
      <c r="P40" s="226" t="str">
        <f t="shared" si="2"/>
        <v>#VALUE!</v>
      </c>
      <c r="Q40" s="227" t="str">
        <f t="shared" si="3"/>
        <v>#VALUE!</v>
      </c>
      <c r="R40" s="228" t="str">
        <f t="shared" si="4"/>
        <v>#VALUE!</v>
      </c>
      <c r="S40" s="220" t="str">
        <f t="shared" si="5"/>
        <v>#VALUE!</v>
      </c>
      <c r="T40" s="220" t="str">
        <f t="shared" si="6"/>
        <v>#VALUE!</v>
      </c>
      <c r="U40" s="221">
        <f t="shared" si="7"/>
        <v>0</v>
      </c>
      <c r="V40" s="229" t="str">
        <f>ifs($N40="",VLOOKUP($B40&amp;$E40,'VISIT DATA'!$A$2:$J100,7,FALSE), $N40="SWAB","OUTSA-RW",$N40="SWQU","OUTSA-SaQu", AND($L40="X",$M40="X",$N40="QUEST"),"OUT-UAQPre",$N40="QUEST","OUT-UAQ", $N40="Walk in","ColUATele")</f>
        <v>UA</v>
      </c>
      <c r="W40" s="24" t="str">
        <f t="shared" si="8"/>
        <v>UA : Urine Analysis In House</v>
      </c>
      <c r="X40" s="222" t="str">
        <f t="shared" si="9"/>
        <v>UA : Urine Analysis In House</v>
      </c>
      <c r="Y40" s="222" t="str">
        <f t="shared" si="10"/>
        <v>MATCH</v>
      </c>
      <c r="Z40" s="224" t="str">
        <f t="shared" si="11"/>
        <v> </v>
      </c>
      <c r="AA40" s="244"/>
    </row>
    <row r="41">
      <c r="A41" s="214" t="str">
        <f>IFS($B41=FALSE,"",$B41,VLOOKUP($B41,'PATIENT DATA (072721)'!A:C, 2, 0))</f>
        <v>TOVAR, SYLVIA</v>
      </c>
      <c r="B41" s="215">
        <v>9153.0</v>
      </c>
      <c r="C41" s="216" t="str">
        <f>IF(COUNTIF('PATIENT DATA (072721)'!A:A, B41)=0, "X","✓")</f>
        <v>✓</v>
      </c>
      <c r="D41" s="226">
        <f>IFS($B41=FALSE,"",$B41,VLOOKUP($B41,'PATIENT DATA (072721)'!A:C, 3, 0))</f>
        <v>24623</v>
      </c>
      <c r="E41" s="218">
        <v>44580.0</v>
      </c>
      <c r="F41" s="219">
        <f>ifs($B41="","",$B41, VLOOKUP($B41&amp;$E41, 'VISIT DATA'!A:O,3,0))</f>
        <v>0.6041666667</v>
      </c>
      <c r="G41" s="220" t="s">
        <v>6323</v>
      </c>
      <c r="H41" s="221" t="s">
        <v>15</v>
      </c>
      <c r="I41" s="222" t="str">
        <f>VLOOKUP($B41&amp;$E41,'VISIT DATA'!A:J, 9, FALSE)</f>
        <v>MARTINEZ</v>
      </c>
      <c r="J41" s="223" t="str">
        <f>VLOOKUP(B41&amp;E41,'VISIT DATA'!A:N,10,FALSE)</f>
        <v>WELLCARE OF TEXAS HMO</v>
      </c>
      <c r="K41" s="225"/>
      <c r="L41" s="224" t="s">
        <v>6242</v>
      </c>
      <c r="M41" s="224" t="s">
        <v>6242</v>
      </c>
      <c r="N41" s="225"/>
      <c r="O41" s="216" t="str">
        <f t="shared" si="1"/>
        <v>✓</v>
      </c>
      <c r="P41" s="226" t="str">
        <f t="shared" si="2"/>
        <v>#VALUE!</v>
      </c>
      <c r="Q41" s="227" t="str">
        <f t="shared" si="3"/>
        <v>#VALUE!</v>
      </c>
      <c r="R41" s="228" t="str">
        <f t="shared" si="4"/>
        <v>#VALUE!</v>
      </c>
      <c r="S41" s="220" t="str">
        <f t="shared" si="5"/>
        <v>#VALUE!</v>
      </c>
      <c r="T41" s="220" t="str">
        <f t="shared" si="6"/>
        <v>#VALUE!</v>
      </c>
      <c r="U41" s="221">
        <f t="shared" si="7"/>
        <v>0</v>
      </c>
      <c r="V41" s="229" t="str">
        <f>ifs($N41="",VLOOKUP($B41&amp;$E41,'VISIT DATA'!$A$2:$J100,7,FALSE), $N41="SWAB","OUTSA-RW",$N41="SWQU","OUTSA-SaQu", AND($L41="X",$M41="X",$N41="QUEST"),"OUT-UAQPre",$N41="QUEST","OUT-UAQ", $N41="Walk in","ColUATele")</f>
        <v>UA-Prelim</v>
      </c>
      <c r="W41" s="24" t="str">
        <f t="shared" si="8"/>
        <v>UA-Prelim : Preliminary UA Test</v>
      </c>
      <c r="X41" s="222" t="str">
        <f t="shared" si="9"/>
        <v>UA-Prelim : Preliminary UA Test</v>
      </c>
      <c r="Y41" s="222" t="str">
        <f t="shared" si="10"/>
        <v>MATCH</v>
      </c>
      <c r="Z41" s="224" t="str">
        <f t="shared" si="11"/>
        <v> </v>
      </c>
      <c r="AA41" s="244"/>
    </row>
    <row r="42">
      <c r="A42" s="214" t="str">
        <f>IFS($B42=FALSE,"",$B42,VLOOKUP($B42,'PATIENT DATA (072721)'!A:C, 2, 0))</f>
        <v>SALINAS NANCE, GISSEL</v>
      </c>
      <c r="B42" s="215">
        <v>17895.0</v>
      </c>
      <c r="C42" s="216" t="str">
        <f>IF(COUNTIF('PATIENT DATA (072721)'!A:A, B42)=0, "X","✓")</f>
        <v>✓</v>
      </c>
      <c r="D42" s="226">
        <f>IFS($B42=FALSE,"",$B42,VLOOKUP($B42,'PATIENT DATA (072721)'!A:C, 3, 0))</f>
        <v>25491</v>
      </c>
      <c r="E42" s="218">
        <v>44580.0</v>
      </c>
      <c r="F42" s="219">
        <f>ifs($B42="","",$B42, VLOOKUP($B42&amp;$E42, 'VISIT DATA'!A:O,3,0))</f>
        <v>0.6041666667</v>
      </c>
      <c r="G42" s="220" t="s">
        <v>6323</v>
      </c>
      <c r="H42" s="221" t="s">
        <v>12</v>
      </c>
      <c r="I42" s="222" t="str">
        <f>VLOOKUP($B42&amp;$E42,'VISIT DATA'!A:J, 9, FALSE)</f>
        <v>LOPEZ</v>
      </c>
      <c r="J42" s="223" t="str">
        <f>VLOOKUP(B42&amp;E42,'VISIT DATA'!A:N,10,FALSE)</f>
        <v>BCBS CENTENNIAL</v>
      </c>
      <c r="K42" s="224" t="s">
        <v>6242</v>
      </c>
      <c r="L42" s="224"/>
      <c r="M42" s="224"/>
      <c r="N42" s="225"/>
      <c r="O42" s="216" t="str">
        <f t="shared" si="1"/>
        <v>✓</v>
      </c>
      <c r="P42" s="226" t="str">
        <f t="shared" si="2"/>
        <v>#VALUE!</v>
      </c>
      <c r="Q42" s="227" t="str">
        <f t="shared" si="3"/>
        <v>#VALUE!</v>
      </c>
      <c r="R42" s="228" t="str">
        <f t="shared" si="4"/>
        <v>#VALUE!</v>
      </c>
      <c r="S42" s="220" t="str">
        <f t="shared" si="5"/>
        <v>#VALUE!</v>
      </c>
      <c r="T42" s="220" t="str">
        <f t="shared" si="6"/>
        <v>#VALUE!</v>
      </c>
      <c r="U42" s="221">
        <f t="shared" si="7"/>
        <v>0</v>
      </c>
      <c r="V42" s="229" t="str">
        <f>ifs($N42="",VLOOKUP($B42&amp;$E42,'VISIT DATA'!$A$2:$J100,7,FALSE), $N42="SWAB","OUTSA-RW",$N42="SWQU","OUTSA-SaQu", AND($L42="X",$M42="X",$N42="QUEST"),"OUT-UAQPre",$N42="QUEST","OUT-UAQ", $N42="Walk in","ColUATele")</f>
        <v>UA-NWPT</v>
      </c>
      <c r="W42" s="24" t="str">
        <f t="shared" si="8"/>
        <v>UA-NWPT : UA New Patient</v>
      </c>
      <c r="X42" s="222" t="str">
        <f t="shared" si="9"/>
        <v>UA-NWPT : UA New Patient</v>
      </c>
      <c r="Y42" s="222" t="str">
        <f t="shared" si="10"/>
        <v>MATCH</v>
      </c>
      <c r="Z42" s="224" t="str">
        <f t="shared" si="11"/>
        <v> </v>
      </c>
      <c r="AA42" s="244"/>
    </row>
    <row r="43">
      <c r="A43" s="214" t="str">
        <f>IFS($B43=FALSE,"",$B43,VLOOKUP($B43,'PATIENT DATA (072721)'!A:C, 2, 0))</f>
        <v>RUIZ, HECTOR</v>
      </c>
      <c r="B43" s="215">
        <v>15580.0</v>
      </c>
      <c r="C43" s="216" t="str">
        <f>IF(COUNTIF('PATIENT DATA (072721)'!A:A, B43)=0, "X","✓")</f>
        <v>✓</v>
      </c>
      <c r="D43" s="226">
        <f>IFS($B43=FALSE,"",$B43,VLOOKUP($B43,'PATIENT DATA (072721)'!A:C, 3, 0))</f>
        <v>19803</v>
      </c>
      <c r="E43" s="218">
        <v>44580.0</v>
      </c>
      <c r="F43" s="219">
        <f>ifs($B43="","",$B43, VLOOKUP($B43&amp;$E43, 'VISIT DATA'!A:O,3,0))</f>
        <v>0.6041666667</v>
      </c>
      <c r="G43" s="220" t="s">
        <v>6328</v>
      </c>
      <c r="H43" s="221" t="s">
        <v>12</v>
      </c>
      <c r="I43" s="222" t="str">
        <f>VLOOKUP($B43&amp;$E43,'VISIT DATA'!A:J, 9, FALSE)</f>
        <v>THOMAS</v>
      </c>
      <c r="J43" s="223" t="str">
        <f>VLOOKUP(B43&amp;E43,'VISIT DATA'!A:N,10,FALSE)</f>
        <v>WELLMED - UHC DUAL COMPLETE SNP</v>
      </c>
      <c r="K43" s="225"/>
      <c r="L43" s="224" t="s">
        <v>6242</v>
      </c>
      <c r="M43" s="224"/>
      <c r="N43" s="225"/>
      <c r="O43" s="216" t="str">
        <f t="shared" si="1"/>
        <v>✓</v>
      </c>
      <c r="P43" s="226" t="str">
        <f t="shared" si="2"/>
        <v>X</v>
      </c>
      <c r="Q43" s="227" t="str">
        <f t="shared" si="3"/>
        <v>#VALUE!</v>
      </c>
      <c r="R43" s="228" t="str">
        <f t="shared" si="4"/>
        <v>#VALUE!</v>
      </c>
      <c r="S43" s="220" t="str">
        <f t="shared" si="5"/>
        <v>#VALUE!</v>
      </c>
      <c r="T43" s="220" t="str">
        <f t="shared" si="6"/>
        <v>#VALUE!</v>
      </c>
      <c r="U43" s="221">
        <f t="shared" si="7"/>
        <v>1</v>
      </c>
      <c r="V43" s="229" t="str">
        <f>ifs($N43="",VLOOKUP($B43&amp;$E43,'VISIT DATA'!$A$2:$J100,7,FALSE), $N43="SWAB","OUTSA-RW",$N43="SWQU","OUTSA-SaQu", AND($L43="X",$M43="X",$N43="QUEST"),"OUT-UAQPre",$N43="QUEST","OUT-UAQ", $N43="Walk in","ColUATele")</f>
        <v>OUTUA-FURW</v>
      </c>
      <c r="W43" s="24" t="str">
        <f t="shared" si="8"/>
        <v>OUTUA-FURW : OUT UA FU Redwood</v>
      </c>
      <c r="X43" s="222" t="str">
        <f t="shared" si="9"/>
        <v>OUTUA-FURW : OUT UA FU Redwood</v>
      </c>
      <c r="Y43" s="222" t="str">
        <f t="shared" si="10"/>
        <v>MATCH</v>
      </c>
      <c r="Z43" s="224" t="str">
        <f t="shared" si="11"/>
        <v> </v>
      </c>
      <c r="AA43" s="244"/>
    </row>
    <row r="44">
      <c r="A44" s="214" t="str">
        <f>IFS($B44=FALSE,"",$B44,VLOOKUP($B44,'PATIENT DATA (072721)'!A:C, 2, 0))</f>
        <v>PARIENTE, ALICIA</v>
      </c>
      <c r="B44" s="215">
        <v>10377.0</v>
      </c>
      <c r="C44" s="216" t="str">
        <f>IF(COUNTIF('PATIENT DATA (072721)'!A:A, B44)=0, "X","✓")</f>
        <v>✓</v>
      </c>
      <c r="D44" s="226">
        <f>IFS($B44=FALSE,"",$B44,VLOOKUP($B44,'PATIENT DATA (072721)'!A:C, 3, 0))</f>
        <v>20263</v>
      </c>
      <c r="E44" s="218">
        <v>44580.0</v>
      </c>
      <c r="F44" s="219">
        <f>ifs($B44="","",$B44, VLOOKUP($B44&amp;$E44, 'VISIT DATA'!A:O,3,0))</f>
        <v>0.6041666667</v>
      </c>
      <c r="G44" s="220" t="s">
        <v>6323</v>
      </c>
      <c r="H44" s="221" t="s">
        <v>12</v>
      </c>
      <c r="I44" s="222" t="str">
        <f>VLOOKUP($B44&amp;$E44,'VISIT DATA'!A:J, 9, FALSE)</f>
        <v>LOPEZ</v>
      </c>
      <c r="J44" s="223" t="str">
        <f>VLOOKUP(B44&amp;E44,'VISIT DATA'!A:N,10,FALSE)</f>
        <v>WELLMED - AARP MEDICARE COMPLETE</v>
      </c>
      <c r="K44" s="224"/>
      <c r="L44" s="224" t="s">
        <v>6242</v>
      </c>
      <c r="M44" s="224" t="s">
        <v>6242</v>
      </c>
      <c r="N44" s="225"/>
      <c r="O44" s="216" t="str">
        <f t="shared" si="1"/>
        <v>✓</v>
      </c>
      <c r="P44" s="226" t="str">
        <f t="shared" si="2"/>
        <v>X</v>
      </c>
      <c r="Q44" s="227" t="str">
        <f t="shared" si="3"/>
        <v>#VALUE!</v>
      </c>
      <c r="R44" s="228" t="str">
        <f t="shared" si="4"/>
        <v>#VALUE!</v>
      </c>
      <c r="S44" s="220" t="str">
        <f t="shared" si="5"/>
        <v>#VALUE!</v>
      </c>
      <c r="T44" s="220" t="str">
        <f t="shared" si="6"/>
        <v>#VALUE!</v>
      </c>
      <c r="U44" s="221">
        <f t="shared" si="7"/>
        <v>1</v>
      </c>
      <c r="V44" s="229" t="str">
        <f>ifs($N44="",VLOOKUP($B44&amp;$E44,'VISIT DATA'!$A$2:$J100,7,FALSE), $N44="SWAB","OUTSA-RW",$N44="SWQU","OUTSA-SaQu", AND($L44="X",$M44="X",$N44="QUEST"),"OUT-UAQPre",$N44="QUEST","OUT-UAQ", $N44="Walk in","ColUATele")</f>
        <v>OUTUA-PrRW</v>
      </c>
      <c r="W44" s="24" t="str">
        <f t="shared" si="8"/>
        <v>OUTUA-PrRW : OUT UA Prelimin Redwood</v>
      </c>
      <c r="X44" s="222" t="str">
        <f t="shared" si="9"/>
        <v>OUTUA-PrRW : OUT UA Prelimin Redwood</v>
      </c>
      <c r="Y44" s="222" t="str">
        <f t="shared" si="10"/>
        <v>MATCH</v>
      </c>
      <c r="Z44" s="224" t="str">
        <f t="shared" si="11"/>
        <v> </v>
      </c>
      <c r="AA44" s="244"/>
    </row>
    <row r="45">
      <c r="A45" s="214" t="str">
        <f>IFS($B45=FALSE,"",$B45,VLOOKUP($B45,'PATIENT DATA (072721)'!A:C, 2, 0))</f>
        <v>RIOS, GRACIELA A</v>
      </c>
      <c r="B45" s="215">
        <v>17794.0</v>
      </c>
      <c r="C45" s="216" t="str">
        <f>IF(COUNTIF('PATIENT DATA (072721)'!A:A, B45)=0, "X","✓")</f>
        <v>✓</v>
      </c>
      <c r="D45" s="226">
        <f>IFS($B45=FALSE,"",$B45,VLOOKUP($B45,'PATIENT DATA (072721)'!A:C, 3, 0))</f>
        <v>16034</v>
      </c>
      <c r="E45" s="218">
        <v>44580.0</v>
      </c>
      <c r="F45" s="219">
        <f>ifs($B45="","",$B45, VLOOKUP($B45&amp;$E45, 'VISIT DATA'!A:O,3,0))</f>
        <v>0.6041666667</v>
      </c>
      <c r="G45" s="220" t="s">
        <v>6323</v>
      </c>
      <c r="H45" s="221" t="s">
        <v>12</v>
      </c>
      <c r="I45" s="222" t="str">
        <f>VLOOKUP($B45&amp;$E45,'VISIT DATA'!A:J, 9, FALSE)</f>
        <v>LOPEZ</v>
      </c>
      <c r="J45" s="223" t="str">
        <f>VLOOKUP(B45&amp;E45,'VISIT DATA'!A:N,10,FALSE)</f>
        <v>UNITED HEALTHCARE - HEALTH SELECT</v>
      </c>
      <c r="K45" s="224" t="s">
        <v>6242</v>
      </c>
      <c r="L45" s="224"/>
      <c r="M45" s="224"/>
      <c r="N45" s="225"/>
      <c r="O45" s="216" t="str">
        <f t="shared" si="1"/>
        <v>✓</v>
      </c>
      <c r="P45" s="226" t="str">
        <f t="shared" si="2"/>
        <v>#VALUE!</v>
      </c>
      <c r="Q45" s="227" t="str">
        <f t="shared" si="3"/>
        <v>#VALUE!</v>
      </c>
      <c r="R45" s="228" t="str">
        <f t="shared" si="4"/>
        <v>#VALUE!</v>
      </c>
      <c r="S45" s="220" t="str">
        <f t="shared" si="5"/>
        <v>#VALUE!</v>
      </c>
      <c r="T45" s="220" t="str">
        <f t="shared" si="6"/>
        <v>#VALUE!</v>
      </c>
      <c r="U45" s="221">
        <f t="shared" si="7"/>
        <v>0</v>
      </c>
      <c r="V45" s="229" t="str">
        <f>ifs($N45="",VLOOKUP($B45&amp;$E45,'VISIT DATA'!$A$2:$J100,7,FALSE), $N45="SWAB","OUTSA-RW",$N45="SWQU","OUTSA-SaQu", AND($L45="X",$M45="X",$N45="QUEST"),"OUT-UAQPre",$N45="QUEST","OUT-UAQ", $N45="Walk in","ColUATele")</f>
        <v>UA-NWPT</v>
      </c>
      <c r="W45" s="24" t="str">
        <f t="shared" si="8"/>
        <v>UA-NWPT : UA New Patient</v>
      </c>
      <c r="X45" s="222" t="str">
        <f t="shared" si="9"/>
        <v>UA-NWPT : UA New Patient</v>
      </c>
      <c r="Y45" s="222" t="str">
        <f t="shared" si="10"/>
        <v>MATCH</v>
      </c>
      <c r="Z45" s="224" t="str">
        <f t="shared" si="11"/>
        <v> </v>
      </c>
      <c r="AA45" s="244"/>
    </row>
    <row r="46">
      <c r="A46" s="214" t="str">
        <f>IFS($B46=FALSE,"",$B46,VLOOKUP($B46,'PATIENT DATA (072721)'!A:C, 2, 0))</f>
        <v>MONTANEZ, ANGELA</v>
      </c>
      <c r="B46" s="215">
        <v>12659.0</v>
      </c>
      <c r="C46" s="216" t="str">
        <f>IF(COUNTIF('PATIENT DATA (072721)'!A:A, B46)=0, "X","✓")</f>
        <v>✓</v>
      </c>
      <c r="D46" s="226">
        <f>IFS($B46=FALSE,"",$B46,VLOOKUP($B46,'PATIENT DATA (072721)'!A:C, 3, 0))</f>
        <v>32702</v>
      </c>
      <c r="E46" s="218">
        <v>44580.0</v>
      </c>
      <c r="F46" s="219">
        <f>ifs($B46="","",$B46, VLOOKUP($B46&amp;$E46, 'VISIT DATA'!A:O,3,0))</f>
        <v>0.625</v>
      </c>
      <c r="G46" s="220" t="s">
        <v>6323</v>
      </c>
      <c r="H46" s="221" t="s">
        <v>15</v>
      </c>
      <c r="I46" s="222" t="str">
        <f>VLOOKUP($B46&amp;$E46,'VISIT DATA'!A:J, 9, FALSE)</f>
        <v>MARTINEZ</v>
      </c>
      <c r="J46" s="223" t="str">
        <f>VLOOKUP(B46&amp;E46,'VISIT DATA'!A:N,10,FALSE)</f>
        <v>EL PASO HEALTH PLAN</v>
      </c>
      <c r="K46" s="224"/>
      <c r="L46" s="224" t="s">
        <v>6242</v>
      </c>
      <c r="M46" s="224"/>
      <c r="N46" s="225"/>
      <c r="O46" s="216" t="str">
        <f t="shared" si="1"/>
        <v>✓</v>
      </c>
      <c r="P46" s="226" t="str">
        <f t="shared" si="2"/>
        <v>#VALUE!</v>
      </c>
      <c r="Q46" s="227" t="str">
        <f t="shared" si="3"/>
        <v>#VALUE!</v>
      </c>
      <c r="R46" s="228" t="str">
        <f t="shared" si="4"/>
        <v>#VALUE!</v>
      </c>
      <c r="S46" s="220" t="str">
        <f t="shared" si="5"/>
        <v>#VALUE!</v>
      </c>
      <c r="T46" s="220" t="str">
        <f t="shared" si="6"/>
        <v>#VALUE!</v>
      </c>
      <c r="U46" s="221">
        <f t="shared" si="7"/>
        <v>0</v>
      </c>
      <c r="V46" s="229" t="str">
        <f>ifs($N46="",VLOOKUP($B46&amp;$E46,'VISIT DATA'!$A$2:$J100,7,FALSE), $N46="SWAB","OUTSA-RW",$N46="SWQU","OUTSA-SaQu", AND($L46="X",$M46="X",$N46="QUEST"),"OUT-UAQPre",$N46="QUEST","OUT-UAQ", $N46="Walk in","ColUATele")</f>
        <v>UA</v>
      </c>
      <c r="W46" s="24" t="str">
        <f t="shared" si="8"/>
        <v>UA : Urine Analysis In House</v>
      </c>
      <c r="X46" s="222" t="str">
        <f t="shared" si="9"/>
        <v>UA : Urine Analysis In House</v>
      </c>
      <c r="Y46" s="222" t="str">
        <f t="shared" si="10"/>
        <v>MATCH</v>
      </c>
      <c r="Z46" s="224" t="str">
        <f t="shared" si="11"/>
        <v> </v>
      </c>
      <c r="AA46" s="244"/>
    </row>
    <row r="47">
      <c r="A47" s="214" t="str">
        <f>IFS($B47=FALSE,"",$B47,VLOOKUP($B47,'PATIENT DATA (072721)'!A:C, 2, 0))</f>
        <v>BRASWELL, WENDY</v>
      </c>
      <c r="B47" s="215">
        <v>15680.0</v>
      </c>
      <c r="C47" s="230" t="str">
        <f>IF(COUNTIF('PATIENT DATA (072721)'!A:A, B47)=0, "X","✓")</f>
        <v>✓</v>
      </c>
      <c r="D47" s="226">
        <f>IFS($B47=FALSE,"",$B47,VLOOKUP($B47,'PATIENT DATA (072721)'!A:C, 3, 0))</f>
        <v>26249</v>
      </c>
      <c r="E47" s="218">
        <v>44580.0</v>
      </c>
      <c r="F47" s="219">
        <f>ifs($B47="","",$B47, VLOOKUP($B47&amp;$E47, 'VISIT DATA'!A:O,3,0))</f>
        <v>0.6458333333</v>
      </c>
      <c r="G47" s="220" t="s">
        <v>6323</v>
      </c>
      <c r="H47" s="221" t="s">
        <v>15</v>
      </c>
      <c r="I47" s="222" t="str">
        <f>VLOOKUP($B47&amp;$E47,'VISIT DATA'!A:J, 9, FALSE)</f>
        <v>MARTINEZ</v>
      </c>
      <c r="J47" s="223" t="str">
        <f>VLOOKUP(B47&amp;E47,'VISIT DATA'!A:N,10,FALSE)</f>
        <v>TRICARE PRIME</v>
      </c>
      <c r="K47" s="225"/>
      <c r="L47" s="224" t="s">
        <v>6242</v>
      </c>
      <c r="M47" s="224"/>
      <c r="N47" s="225"/>
      <c r="O47" s="216" t="str">
        <f t="shared" si="1"/>
        <v>✓</v>
      </c>
      <c r="P47" s="226" t="str">
        <f t="shared" si="2"/>
        <v>#VALUE!</v>
      </c>
      <c r="Q47" s="227" t="str">
        <f t="shared" si="3"/>
        <v>#VALUE!</v>
      </c>
      <c r="R47" s="228" t="str">
        <f t="shared" si="4"/>
        <v>#VALUE!</v>
      </c>
      <c r="S47" s="220" t="str">
        <f t="shared" si="5"/>
        <v>#VALUE!</v>
      </c>
      <c r="T47" s="220" t="str">
        <f t="shared" si="6"/>
        <v>#VALUE!</v>
      </c>
      <c r="U47" s="221">
        <f t="shared" si="7"/>
        <v>0</v>
      </c>
      <c r="V47" s="229" t="str">
        <f>ifs($N47="",VLOOKUP($B47&amp;$E47,'VISIT DATA'!$A$2:$J100,7,FALSE), $N47="SWAB","OUTSA-RW",$N47="SWQU","OUTSA-SaQu", AND($L47="X",$M47="X",$N47="QUEST"),"OUT-UAQPre",$N47="QUEST","OUT-UAQ", $N47="Walk in","ColUATele")</f>
        <v>UA</v>
      </c>
      <c r="W47" s="24" t="str">
        <f t="shared" si="8"/>
        <v>UA : Urine Analysis In House</v>
      </c>
      <c r="X47" s="222" t="str">
        <f t="shared" si="9"/>
        <v>UA : Urine Analysis In House</v>
      </c>
      <c r="Y47" s="222" t="str">
        <f t="shared" si="10"/>
        <v>MATCH</v>
      </c>
      <c r="Z47" s="224" t="str">
        <f t="shared" si="11"/>
        <v> </v>
      </c>
      <c r="AA47" s="244"/>
    </row>
    <row r="48">
      <c r="A48" s="214" t="str">
        <f>IFS($B48=FALSE,"",$B48,VLOOKUP($B48,'PATIENT DATA (072721)'!A:C, 2, 0))</f>
        <v>ARELLANO, ROSALIO</v>
      </c>
      <c r="B48" s="215">
        <v>13023.0</v>
      </c>
      <c r="C48" s="230" t="str">
        <f>IF(COUNTIF('PATIENT DATA (072721)'!A:A, B48)=0, "X","✓")</f>
        <v>✓</v>
      </c>
      <c r="D48" s="226">
        <f>IFS($B48=FALSE,"",$B48,VLOOKUP($B48,'PATIENT DATA (072721)'!A:C, 3, 0))</f>
        <v>11936</v>
      </c>
      <c r="E48" s="218">
        <v>44580.0</v>
      </c>
      <c r="F48" s="219">
        <f>ifs($B48="","",$B48, VLOOKUP($B48&amp;$E48, 'VISIT DATA'!A:O,3,0))</f>
        <v>0.6145833333</v>
      </c>
      <c r="G48" s="220" t="s">
        <v>6323</v>
      </c>
      <c r="H48" s="221" t="s">
        <v>12</v>
      </c>
      <c r="I48" s="222" t="str">
        <f>VLOOKUP($B48&amp;$E48,'VISIT DATA'!A:J, 9, FALSE)</f>
        <v>THOMAS</v>
      </c>
      <c r="J48" s="223" t="str">
        <f>VLOOKUP(B48&amp;E48,'VISIT DATA'!A:N,10,FALSE)</f>
        <v>MEDICARE TEXAS</v>
      </c>
      <c r="K48" s="225"/>
      <c r="L48" s="224" t="s">
        <v>6242</v>
      </c>
      <c r="M48" s="224"/>
      <c r="N48" s="224"/>
      <c r="O48" s="216" t="str">
        <f t="shared" si="1"/>
        <v>✓</v>
      </c>
      <c r="P48" s="226" t="str">
        <f t="shared" si="2"/>
        <v>#VALUE!</v>
      </c>
      <c r="Q48" s="227" t="str">
        <f t="shared" si="3"/>
        <v>#VALUE!</v>
      </c>
      <c r="R48" s="228" t="str">
        <f t="shared" si="4"/>
        <v>#VALUE!</v>
      </c>
      <c r="S48" s="220" t="str">
        <f t="shared" si="5"/>
        <v>#VALUE!</v>
      </c>
      <c r="T48" s="220" t="str">
        <f t="shared" si="6"/>
        <v>#VALUE!</v>
      </c>
      <c r="U48" s="221">
        <f t="shared" si="7"/>
        <v>0</v>
      </c>
      <c r="V48" s="229" t="str">
        <f>ifs($N48="",VLOOKUP($B48&amp;$E48,'VISIT DATA'!$A$2:$J100,7,FALSE), $N48="SWAB","OUTSA-RW",$N48="SWQU","OUTSA-SaQu", AND($L48="X",$M48="X",$N48="QUEST"),"OUT-UAQPre",$N48="QUEST","OUT-UAQ", $N48="Walk in","ColUATele")</f>
        <v>UA</v>
      </c>
      <c r="W48" s="24" t="str">
        <f t="shared" si="8"/>
        <v>UA : Urine Analysis In House</v>
      </c>
      <c r="X48" s="222" t="str">
        <f t="shared" si="9"/>
        <v>UA : Urine Analysis In House</v>
      </c>
      <c r="Y48" s="222" t="str">
        <f t="shared" si="10"/>
        <v>MATCH</v>
      </c>
      <c r="Z48" s="224" t="str">
        <f t="shared" si="11"/>
        <v> </v>
      </c>
      <c r="AA48" s="244"/>
    </row>
    <row r="49">
      <c r="A49" s="214" t="str">
        <f>IFS($B49=FALSE,"",$B49,VLOOKUP($B49,'PATIENT DATA (072721)'!A:C, 2, 0))</f>
        <v>FRAUSTO, FERNANDO</v>
      </c>
      <c r="B49" s="215">
        <v>17454.0</v>
      </c>
      <c r="C49" s="247" t="str">
        <f>IF(COUNTIF('PATIENT DATA (072721)'!A:A, B49)=0, "X","✓")</f>
        <v>✓</v>
      </c>
      <c r="D49" s="226">
        <f>IFS($B49=FALSE,"",$B49,VLOOKUP($B49,'PATIENT DATA (072721)'!A:C, 3, 0))</f>
        <v>14356</v>
      </c>
      <c r="E49" s="218">
        <v>44580.0</v>
      </c>
      <c r="F49" s="219"/>
      <c r="G49" s="220" t="s">
        <v>6328</v>
      </c>
      <c r="H49" s="221" t="s">
        <v>12</v>
      </c>
      <c r="I49" s="222" t="str">
        <f>VLOOKUP($B49&amp;$E49,'VISIT DATA'!A:J, 9, FALSE)</f>
        <v>THOMAS</v>
      </c>
      <c r="J49" s="223" t="str">
        <f>VLOOKUP(B49&amp;E49,'VISIT DATA'!A:N,10,FALSE)</f>
        <v>WELLMED - UHC DUAL COMPLETE HMO SNP</v>
      </c>
      <c r="K49" s="225"/>
      <c r="L49" s="224" t="s">
        <v>6242</v>
      </c>
      <c r="M49" s="224" t="s">
        <v>6242</v>
      </c>
      <c r="N49" s="225"/>
      <c r="O49" s="247" t="str">
        <f t="shared" si="1"/>
        <v>✓</v>
      </c>
      <c r="P49" s="226" t="str">
        <f t="shared" si="2"/>
        <v>X</v>
      </c>
      <c r="Q49" s="227" t="str">
        <f t="shared" si="3"/>
        <v>#VALUE!</v>
      </c>
      <c r="R49" s="228" t="str">
        <f t="shared" si="4"/>
        <v>#VALUE!</v>
      </c>
      <c r="S49" s="220" t="str">
        <f t="shared" si="5"/>
        <v>#VALUE!</v>
      </c>
      <c r="T49" s="220" t="str">
        <f t="shared" si="6"/>
        <v>#VALUE!</v>
      </c>
      <c r="U49" s="221">
        <f t="shared" si="7"/>
        <v>1</v>
      </c>
      <c r="V49" s="229" t="str">
        <f>ifs($N49="",VLOOKUP($B49&amp;$E49,'VISIT DATA'!$A$2:$J100,7,FALSE), $N49="SWAB","OUTSA-RW",$N49="SWQU","OUTSA-SaQu", AND($L49="X",$M49="X",$N49="QUEST"),"OUT-UAQPre",$N49="QUEST","OUT-UAQ", $N49="Walk in","ColUATele")</f>
        <v>OUTUA-PrRW</v>
      </c>
      <c r="W49" s="24" t="str">
        <f t="shared" si="8"/>
        <v>OUTUA-PrRW : OUT UA Prelimin Redwood</v>
      </c>
      <c r="X49" s="222" t="str">
        <f t="shared" si="9"/>
        <v>OUTUA-PrRW : OUT UA Prelimin Redwood</v>
      </c>
      <c r="Y49" s="222" t="str">
        <f t="shared" si="10"/>
        <v>MATCH</v>
      </c>
      <c r="Z49" s="224" t="str">
        <f t="shared" si="11"/>
        <v> </v>
      </c>
      <c r="AA49" s="244"/>
    </row>
    <row r="50">
      <c r="A50" s="248" t="str">
        <f>IFS($B50=FALSE,"",$B50,VLOOKUP($B50,'PATIENT DATA (072721)'!A:C, 2, 0))</f>
        <v>SIERRA, ARMANDO</v>
      </c>
      <c r="B50" s="249">
        <v>11200.0</v>
      </c>
      <c r="C50" s="250" t="str">
        <f>IF(COUNTIF('PATIENT DATA (072721)'!A:A, B50)=0, "X","✓")</f>
        <v>✓</v>
      </c>
      <c r="D50" s="251">
        <f>IFS($B50=FALSE,"",$B50,VLOOKUP($B50,'PATIENT DATA (072721)'!A:C, 3, 0))</f>
        <v>18775</v>
      </c>
      <c r="E50" s="252">
        <v>44580.0</v>
      </c>
      <c r="F50" s="253">
        <f>ifs($B50="","",$B50, VLOOKUP($B50&amp;$E50, 'VISIT DATA'!A:O,3,0))</f>
        <v>0.5833333333</v>
      </c>
      <c r="G50" s="254" t="s">
        <v>6328</v>
      </c>
      <c r="H50" s="255" t="s">
        <v>14</v>
      </c>
      <c r="I50" s="256" t="str">
        <f>VLOOKUP($B50&amp;$E50,'VISIT DATA'!A:J, 9, FALSE)</f>
        <v>TORRES</v>
      </c>
      <c r="J50" s="257" t="str">
        <f>VLOOKUP(B50&amp;E50,'VISIT DATA'!A:N,10,FALSE)</f>
        <v>MEDICARE TEXAS</v>
      </c>
      <c r="K50" s="258"/>
      <c r="L50" s="259" t="s">
        <v>6242</v>
      </c>
      <c r="M50" s="259"/>
      <c r="N50" s="258"/>
      <c r="O50" s="260" t="str">
        <f t="shared" si="1"/>
        <v>✓</v>
      </c>
      <c r="P50" s="226" t="str">
        <f t="shared" si="2"/>
        <v>#VALUE!</v>
      </c>
      <c r="Q50" s="227" t="str">
        <f t="shared" si="3"/>
        <v>#VALUE!</v>
      </c>
      <c r="R50" s="228" t="str">
        <f t="shared" si="4"/>
        <v>#VALUE!</v>
      </c>
      <c r="S50" s="220" t="str">
        <f t="shared" si="5"/>
        <v>#VALUE!</v>
      </c>
      <c r="T50" s="220" t="str">
        <f t="shared" si="6"/>
        <v>#VALUE!</v>
      </c>
      <c r="U50" s="221">
        <f t="shared" si="7"/>
        <v>0</v>
      </c>
      <c r="V50" s="261" t="str">
        <f>ifs($N50="",VLOOKUP($B50&amp;$E50,'VISIT DATA'!$A$2:$J100,7,FALSE), $N50="SWAB","OUTSA-RW",$N50="SWQU","OUTSA-SaQu", AND($L50="X",$M50="X",$N50="QUEST"),"OUT-UAQPre",$N50="QUEST","OUT-UAQ", $N50="Walk in","ColUATele")</f>
        <v>UA</v>
      </c>
      <c r="W50" s="24" t="str">
        <f t="shared" si="8"/>
        <v>UA : Urine Analysis In House</v>
      </c>
      <c r="X50" s="222" t="str">
        <f t="shared" si="9"/>
        <v>UA : Urine Analysis In House</v>
      </c>
      <c r="Y50" s="222" t="str">
        <f t="shared" si="10"/>
        <v>MATCH</v>
      </c>
      <c r="Z50" s="224" t="str">
        <f t="shared" si="11"/>
        <v> </v>
      </c>
      <c r="AA50" s="244"/>
    </row>
    <row r="51">
      <c r="A51" s="214" t="str">
        <f>IFS($B51=FALSE,"",$B51,VLOOKUP($B51,'PATIENT DATA (072721)'!A:C, 2, 0))</f>
        <v>CALVIRD, PATRICIA N</v>
      </c>
      <c r="B51" s="215">
        <v>14034.0</v>
      </c>
      <c r="C51" s="230" t="str">
        <f>IF(COUNTIF('PATIENT DATA (072721)'!A:A, B51)=0, "X","✓")</f>
        <v>✓</v>
      </c>
      <c r="D51" s="226">
        <f>IFS($B51=FALSE,"",$B51,VLOOKUP($B51,'PATIENT DATA (072721)'!A:C, 3, 0))</f>
        <v>19737</v>
      </c>
      <c r="E51" s="218">
        <v>44580.0</v>
      </c>
      <c r="F51" s="219">
        <f>ifs($B51="","",$B51, VLOOKUP($B51&amp;$E51, 'VISIT DATA'!A:O,3,0))</f>
        <v>0.6354166667</v>
      </c>
      <c r="G51" s="231" t="s">
        <v>6323</v>
      </c>
      <c r="H51" s="221" t="s">
        <v>12</v>
      </c>
      <c r="I51" s="262" t="str">
        <f>VLOOKUP($B51&amp;$E51,'VISIT DATA'!A:J, 9, FALSE)</f>
        <v>THOMAS</v>
      </c>
      <c r="J51" s="223" t="str">
        <f>VLOOKUP(B51&amp;E51,'VISIT DATA'!A:N,10,FALSE)</f>
        <v>WELLMED - HUMANA</v>
      </c>
      <c r="K51" s="225"/>
      <c r="L51" s="224" t="s">
        <v>6242</v>
      </c>
      <c r="M51" s="224"/>
      <c r="N51" s="225"/>
      <c r="O51" s="216" t="str">
        <f t="shared" si="1"/>
        <v>✓</v>
      </c>
      <c r="P51" s="226" t="str">
        <f t="shared" si="2"/>
        <v>X</v>
      </c>
      <c r="Q51" s="227" t="str">
        <f t="shared" si="3"/>
        <v>#VALUE!</v>
      </c>
      <c r="R51" s="228" t="str">
        <f t="shared" si="4"/>
        <v>#VALUE!</v>
      </c>
      <c r="S51" s="220" t="str">
        <f t="shared" si="5"/>
        <v>#VALUE!</v>
      </c>
      <c r="T51" s="220" t="str">
        <f t="shared" si="6"/>
        <v>#VALUE!</v>
      </c>
      <c r="U51" s="221">
        <f t="shared" si="7"/>
        <v>1</v>
      </c>
      <c r="V51" s="229" t="str">
        <f>ifs($N51="",VLOOKUP($B51&amp;$E51,'VISIT DATA'!$A$2:$J100,7,FALSE), $N51="SWAB","OUTSA-RW",$N51="SWQU","OUTSA-SaQu", AND($L51="X",$M51="X",$N51="QUEST"),"OUT-UAQPre",$N51="QUEST","OUT-UAQ", $N51="Walk in","ColUATele")</f>
        <v>OUTUA-FURW</v>
      </c>
      <c r="W51" s="24" t="str">
        <f t="shared" si="8"/>
        <v>OUTUA-FURW : OUT UA FU Redwood</v>
      </c>
      <c r="X51" s="222" t="str">
        <f t="shared" si="9"/>
        <v>OUTUA-FURW : OUT UA FU Redwood</v>
      </c>
      <c r="Y51" s="222" t="str">
        <f t="shared" si="10"/>
        <v>MATCH</v>
      </c>
      <c r="Z51" s="224" t="str">
        <f t="shared" si="11"/>
        <v> </v>
      </c>
      <c r="AA51" s="244"/>
    </row>
    <row r="52">
      <c r="A52" s="214" t="str">
        <f>IFS($B52=FALSE,"",$B52,VLOOKUP($B52,'PATIENT DATA (072721)'!A:C, 2, 0))</f>
        <v>GUERECA, ANA B</v>
      </c>
      <c r="B52" s="215">
        <v>16927.0</v>
      </c>
      <c r="C52" s="230" t="str">
        <f>IF(COUNTIF('PATIENT DATA (072721)'!A:A, B52)=0, "X","✓")</f>
        <v>✓</v>
      </c>
      <c r="D52" s="226">
        <f>IFS($B52=FALSE,"",$B52,VLOOKUP($B52,'PATIENT DATA (072721)'!A:C, 3, 0))</f>
        <v>19924</v>
      </c>
      <c r="E52" s="218">
        <v>44580.0</v>
      </c>
      <c r="F52" s="219">
        <f>ifs($B52="","",$B52, VLOOKUP($B52&amp;$E52, 'VISIT DATA'!A:O,3,0))</f>
        <v>0.6145833333</v>
      </c>
      <c r="G52" s="231" t="s">
        <v>6323</v>
      </c>
      <c r="H52" s="221" t="s">
        <v>14</v>
      </c>
      <c r="I52" s="262" t="str">
        <f>VLOOKUP($B52&amp;$E52,'VISIT DATA'!A:J, 9, FALSE)</f>
        <v>TORRES</v>
      </c>
      <c r="J52" s="223" t="str">
        <f>VLOOKUP(B52&amp;E52,'VISIT DATA'!A:N,10,FALSE)</f>
        <v>WELLCARE OF TEXAS</v>
      </c>
      <c r="K52" s="225"/>
      <c r="L52" s="224" t="s">
        <v>6242</v>
      </c>
      <c r="M52" s="224" t="s">
        <v>6242</v>
      </c>
      <c r="N52" s="225"/>
      <c r="O52" s="216" t="str">
        <f t="shared" si="1"/>
        <v>✓</v>
      </c>
      <c r="P52" s="226" t="str">
        <f t="shared" si="2"/>
        <v>#VALUE!</v>
      </c>
      <c r="Q52" s="227" t="str">
        <f t="shared" si="3"/>
        <v>#VALUE!</v>
      </c>
      <c r="R52" s="228" t="str">
        <f t="shared" si="4"/>
        <v>#VALUE!</v>
      </c>
      <c r="S52" s="220" t="str">
        <f t="shared" si="5"/>
        <v>#VALUE!</v>
      </c>
      <c r="T52" s="220" t="str">
        <f t="shared" si="6"/>
        <v>#VALUE!</v>
      </c>
      <c r="U52" s="221">
        <f t="shared" si="7"/>
        <v>0</v>
      </c>
      <c r="V52" s="229" t="str">
        <f>ifs($N52="",VLOOKUP($B52&amp;$E52,'VISIT DATA'!$A$2:$J100,7,FALSE), $N52="SWAB","OUTSA-RW",$N52="SWQU","OUTSA-SaQu", AND($L52="X",$M52="X",$N52="QUEST"),"OUT-UAQPre",$N52="QUEST","OUT-UAQ", $N52="Walk in","ColUATele")</f>
        <v>UA-Prelim</v>
      </c>
      <c r="W52" s="24" t="str">
        <f t="shared" si="8"/>
        <v>UA-Prelim : Preliminary UA Test</v>
      </c>
      <c r="X52" s="222" t="str">
        <f t="shared" si="9"/>
        <v>UA-Prelim : Preliminary UA Test</v>
      </c>
      <c r="Y52" s="222" t="str">
        <f t="shared" si="10"/>
        <v>MATCH</v>
      </c>
      <c r="Z52" s="224" t="str">
        <f t="shared" si="11"/>
        <v> </v>
      </c>
      <c r="AA52" s="244"/>
    </row>
    <row r="53">
      <c r="A53" s="214" t="str">
        <f>IFS($B53=FALSE,"",$B53,VLOOKUP($B53,'PATIENT DATA (072721)'!A:C, 2, 0))</f>
        <v>CABAN, MILAGROS</v>
      </c>
      <c r="B53" s="215">
        <v>11452.0</v>
      </c>
      <c r="C53" s="230" t="str">
        <f>IF(COUNTIF('PATIENT DATA (072721)'!A:A, B53)=0, "X","✓")</f>
        <v>✓</v>
      </c>
      <c r="D53" s="226">
        <f>IFS($B53=FALSE,"",$B53,VLOOKUP($B53,'PATIENT DATA (072721)'!A:C, 3, 0))</f>
        <v>28273</v>
      </c>
      <c r="E53" s="218">
        <v>44580.0</v>
      </c>
      <c r="F53" s="219">
        <f>ifs($B53="","",$B53, VLOOKUP($B53&amp;$E53, 'VISIT DATA'!A:O,3,0))</f>
        <v>0.625</v>
      </c>
      <c r="G53" s="231" t="s">
        <v>6323</v>
      </c>
      <c r="H53" s="221" t="s">
        <v>12</v>
      </c>
      <c r="I53" s="262" t="str">
        <f>VLOOKUP($B53&amp;$E53,'VISIT DATA'!A:J, 9, FALSE)</f>
        <v>LOPEZ</v>
      </c>
      <c r="J53" s="223" t="str">
        <f>VLOOKUP(B53&amp;E53,'VISIT DATA'!A:N,10,FALSE)</f>
        <v>BCBS FEDERAL</v>
      </c>
      <c r="K53" s="224"/>
      <c r="L53" s="224" t="s">
        <v>6242</v>
      </c>
      <c r="M53" s="224"/>
      <c r="N53" s="225"/>
      <c r="O53" s="216" t="str">
        <f t="shared" si="1"/>
        <v>✓</v>
      </c>
      <c r="P53" s="226" t="str">
        <f t="shared" si="2"/>
        <v>#VALUE!</v>
      </c>
      <c r="Q53" s="227" t="str">
        <f t="shared" si="3"/>
        <v>#VALUE!</v>
      </c>
      <c r="R53" s="228" t="str">
        <f t="shared" si="4"/>
        <v>#VALUE!</v>
      </c>
      <c r="S53" s="220" t="str">
        <f t="shared" si="5"/>
        <v>#VALUE!</v>
      </c>
      <c r="T53" s="220" t="str">
        <f t="shared" si="6"/>
        <v>#VALUE!</v>
      </c>
      <c r="U53" s="221">
        <f t="shared" si="7"/>
        <v>0</v>
      </c>
      <c r="V53" s="229" t="str">
        <f>ifs($N53="",VLOOKUP($B53&amp;$E53,'VISIT DATA'!$A$2:$J100,7,FALSE), $N53="SWAB","OUTSA-RW",$N53="SWQU","OUTSA-SaQu", AND($L53="X",$M53="X",$N53="QUEST"),"OUT-UAQPre",$N53="QUEST","OUT-UAQ", $N53="Walk in","ColUATele")</f>
        <v>UA</v>
      </c>
      <c r="W53" s="24" t="str">
        <f t="shared" si="8"/>
        <v>UA : Urine Analysis In House</v>
      </c>
      <c r="X53" s="222" t="str">
        <f t="shared" si="9"/>
        <v>UA : Urine Analysis In House</v>
      </c>
      <c r="Y53" s="222" t="str">
        <f t="shared" si="10"/>
        <v>MATCH</v>
      </c>
      <c r="Z53" s="224" t="str">
        <f t="shared" si="11"/>
        <v> </v>
      </c>
      <c r="AA53" s="244"/>
    </row>
    <row r="54">
      <c r="A54" s="214" t="str">
        <f>IFS($B54=FALSE,"",$B54,VLOOKUP($B54,'PATIENT DATA (072721)'!A:C, 2, 0))</f>
        <v>CHAVEZ, GUADALUPE</v>
      </c>
      <c r="B54" s="215">
        <v>11072.0</v>
      </c>
      <c r="C54" s="230" t="str">
        <f>IF(COUNTIF('PATIENT DATA (072721)'!A:A, B54)=0, "X","✓")</f>
        <v>✓</v>
      </c>
      <c r="D54" s="226">
        <f>IFS($B54=FALSE,"",$B54,VLOOKUP($B54,'PATIENT DATA (072721)'!A:C, 3, 0))</f>
        <v>27956</v>
      </c>
      <c r="E54" s="218">
        <v>44580.0</v>
      </c>
      <c r="F54" s="219">
        <f>ifs($B54="","",$B54, VLOOKUP($B54&amp;$E54, 'VISIT DATA'!A:O,3,0))</f>
        <v>0.6354166667</v>
      </c>
      <c r="G54" s="231" t="s">
        <v>6323</v>
      </c>
      <c r="H54" s="221" t="s">
        <v>12</v>
      </c>
      <c r="I54" s="262" t="str">
        <f>VLOOKUP($B54&amp;$E54,'VISIT DATA'!A:J, 9, FALSE)</f>
        <v>LOPEZ</v>
      </c>
      <c r="J54" s="223" t="str">
        <f>VLOOKUP(B54&amp;E54,'VISIT DATA'!A:N,10,FALSE)</f>
        <v>BCBS FEDERAL</v>
      </c>
      <c r="K54" s="225"/>
      <c r="L54" s="224" t="s">
        <v>6242</v>
      </c>
      <c r="M54" s="224"/>
      <c r="N54" s="225"/>
      <c r="O54" s="216" t="str">
        <f t="shared" si="1"/>
        <v>✓</v>
      </c>
      <c r="P54" s="226" t="str">
        <f t="shared" si="2"/>
        <v>#VALUE!</v>
      </c>
      <c r="Q54" s="227" t="str">
        <f t="shared" si="3"/>
        <v>#VALUE!</v>
      </c>
      <c r="R54" s="228" t="str">
        <f t="shared" si="4"/>
        <v>#VALUE!</v>
      </c>
      <c r="S54" s="220" t="str">
        <f t="shared" si="5"/>
        <v>#VALUE!</v>
      </c>
      <c r="T54" s="220" t="str">
        <f t="shared" si="6"/>
        <v>#VALUE!</v>
      </c>
      <c r="U54" s="221">
        <f t="shared" si="7"/>
        <v>0</v>
      </c>
      <c r="V54" s="229" t="str">
        <f>ifs($N54="",VLOOKUP($B54&amp;$E54,'VISIT DATA'!$A$2:$J100,7,FALSE), $N54="SWAB","OUTSA-RW",$N54="SWQU","OUTSA-SaQu", AND($L54="X",$M54="X",$N54="QUEST"),"OUT-UAQPre",$N54="QUEST","OUT-UAQ", $N54="Walk in","ColUATele")</f>
        <v>UA</v>
      </c>
      <c r="W54" s="24" t="str">
        <f t="shared" si="8"/>
        <v>UA : Urine Analysis In House</v>
      </c>
      <c r="X54" s="222" t="str">
        <f t="shared" si="9"/>
        <v>UA : Urine Analysis In House</v>
      </c>
      <c r="Y54" s="222" t="str">
        <f t="shared" si="10"/>
        <v>MATCH</v>
      </c>
      <c r="Z54" s="224" t="str">
        <f t="shared" si="11"/>
        <v> </v>
      </c>
      <c r="AA54" s="244"/>
    </row>
    <row r="55">
      <c r="A55" s="214" t="str">
        <f>IFS($B55=FALSE,"",$B55,VLOOKUP($B55,'PATIENT DATA (072721)'!A:C, 2, 0))</f>
        <v>ARRIAGA, HECTOR</v>
      </c>
      <c r="B55" s="215">
        <v>9722.0</v>
      </c>
      <c r="C55" s="230" t="str">
        <f>IF(COUNTIF('PATIENT DATA (072721)'!A:A, B55)=0, "X","✓")</f>
        <v>✓</v>
      </c>
      <c r="D55" s="226">
        <f>IFS($B55=FALSE,"",$B55,VLOOKUP($B55,'PATIENT DATA (072721)'!A:C, 3, 0))</f>
        <v>14366</v>
      </c>
      <c r="E55" s="218">
        <v>44580.0</v>
      </c>
      <c r="F55" s="219">
        <f>ifs($B55="","",$B55, VLOOKUP($B55&amp;$E55, 'VISIT DATA'!A:O,3,0))</f>
        <v>0.6458333333</v>
      </c>
      <c r="G55" s="231" t="s">
        <v>6328</v>
      </c>
      <c r="H55" s="221" t="s">
        <v>12</v>
      </c>
      <c r="I55" s="262" t="str">
        <f>VLOOKUP($B55&amp;$E55,'VISIT DATA'!A:J, 9, FALSE)</f>
        <v>LOPEZ</v>
      </c>
      <c r="J55" s="223" t="str">
        <f>VLOOKUP(B55&amp;E55,'VISIT DATA'!A:N,10,FALSE)</f>
        <v>WELLMED - AMERIVANTAGE</v>
      </c>
      <c r="K55" s="225"/>
      <c r="L55" s="224" t="s">
        <v>6242</v>
      </c>
      <c r="M55" s="224"/>
      <c r="N55" s="225"/>
      <c r="O55" s="216" t="str">
        <f t="shared" si="1"/>
        <v>✓</v>
      </c>
      <c r="P55" s="226" t="str">
        <f t="shared" si="2"/>
        <v>X</v>
      </c>
      <c r="Q55" s="227" t="str">
        <f t="shared" si="3"/>
        <v>#VALUE!</v>
      </c>
      <c r="R55" s="228" t="str">
        <f t="shared" si="4"/>
        <v>#VALUE!</v>
      </c>
      <c r="S55" s="220" t="str">
        <f t="shared" si="5"/>
        <v>#VALUE!</v>
      </c>
      <c r="T55" s="220" t="str">
        <f t="shared" si="6"/>
        <v>#VALUE!</v>
      </c>
      <c r="U55" s="221">
        <f t="shared" si="7"/>
        <v>1</v>
      </c>
      <c r="V55" s="229" t="str">
        <f>ifs($N55="",VLOOKUP($B55&amp;$E55,'VISIT DATA'!$A$2:$J100,7,FALSE), $N55="SWAB","OUTSA-RW",$N55="SWQU","OUTSA-SaQu", AND($L55="X",$M55="X",$N55="QUEST"),"OUT-UAQPre",$N55="QUEST","OUT-UAQ", $N55="Walk in","ColUATele")</f>
        <v>OUTUA-FURW</v>
      </c>
      <c r="W55" s="24" t="str">
        <f t="shared" si="8"/>
        <v>OUTUA-FURW : OUT UA FU Redwood</v>
      </c>
      <c r="X55" s="222" t="str">
        <f t="shared" si="9"/>
        <v>OUTUA-FURW : OUT UA FU Redwood</v>
      </c>
      <c r="Y55" s="222" t="str">
        <f t="shared" si="10"/>
        <v>MATCH</v>
      </c>
      <c r="Z55" s="224" t="str">
        <f t="shared" si="11"/>
        <v> </v>
      </c>
      <c r="AA55" s="244"/>
    </row>
    <row r="56">
      <c r="A56" s="214" t="str">
        <f>IFS($B56=FALSE,"",$B56,VLOOKUP($B56,'PATIENT DATA (072721)'!A:C, 2, 0))</f>
        <v>MIRANDA, NANCY A</v>
      </c>
      <c r="B56" s="215">
        <v>11281.0</v>
      </c>
      <c r="C56" s="230" t="str">
        <f>IF(COUNTIF('PATIENT DATA (072721)'!A:A, B56)=0, "X","✓")</f>
        <v>✓</v>
      </c>
      <c r="D56" s="226">
        <f>IFS($B56=FALSE,"",$B56,VLOOKUP($B56,'PATIENT DATA (072721)'!A:C, 3, 0))</f>
        <v>25767</v>
      </c>
      <c r="E56" s="218">
        <v>44580.0</v>
      </c>
      <c r="F56" s="219" t="str">
        <f>ifs($B56="","",$B56, VLOOKUP($B56&amp;$E56, 'VISIT DATA'!A:O,3,0))</f>
        <v>#N/A</v>
      </c>
      <c r="G56" s="231" t="s">
        <v>6323</v>
      </c>
      <c r="H56" s="221" t="s">
        <v>15</v>
      </c>
      <c r="I56" s="262" t="str">
        <f>VLOOKUP($B56&amp;$E56,'VISIT DATA'!A:J, 9, FALSE)</f>
        <v>#N/A</v>
      </c>
      <c r="J56" s="223" t="str">
        <f>VLOOKUP(B56&amp;E56,'VISIT DATA'!A:N,10,FALSE)</f>
        <v>#N/A</v>
      </c>
      <c r="K56" s="225"/>
      <c r="L56" s="224" t="s">
        <v>6242</v>
      </c>
      <c r="M56" s="224" t="s">
        <v>6242</v>
      </c>
      <c r="N56" s="225"/>
      <c r="O56" s="216" t="str">
        <f t="shared" si="1"/>
        <v>✓</v>
      </c>
      <c r="P56" s="226" t="str">
        <f t="shared" si="2"/>
        <v>#N/A</v>
      </c>
      <c r="Q56" s="227" t="str">
        <f t="shared" si="3"/>
        <v>#N/A</v>
      </c>
      <c r="R56" s="228" t="str">
        <f t="shared" si="4"/>
        <v>#N/A</v>
      </c>
      <c r="S56" s="220" t="str">
        <f t="shared" si="5"/>
        <v>#N/A</v>
      </c>
      <c r="T56" s="220" t="str">
        <f t="shared" si="6"/>
        <v>#N/A</v>
      </c>
      <c r="U56" s="221">
        <f t="shared" si="7"/>
        <v>0</v>
      </c>
      <c r="V56" s="229" t="str">
        <f>ifs($N56="",VLOOKUP($B56&amp;$E56,'VISIT DATA'!$A$2:$J100,7,FALSE), $N56="SWAB","OUTSA-RW",$N56="SWQU","OUTSA-SaQu", AND($L56="X",$M56="X",$N56="QUEST"),"OUT-UAQPre",$N56="QUEST","OUT-UAQ", $N56="Walk in","ColUATele")</f>
        <v>#N/A</v>
      </c>
      <c r="W56" s="24" t="str">
        <f t="shared" si="8"/>
        <v>#N/A</v>
      </c>
      <c r="X56" s="222" t="str">
        <f t="shared" si="9"/>
        <v>UA-Prelim : Preliminary UA Test</v>
      </c>
      <c r="Y56" s="222" t="str">
        <f t="shared" si="10"/>
        <v>#N/A</v>
      </c>
      <c r="Z56" s="224" t="str">
        <f t="shared" si="11"/>
        <v> </v>
      </c>
      <c r="AA56" s="244"/>
    </row>
    <row r="57">
      <c r="A57" s="214" t="str">
        <f>IFS($B57=FALSE,"",$B57,VLOOKUP($B57,'PATIENT DATA (072721)'!A:C, 2, 0))</f>
        <v>ARIZPE, DANNY</v>
      </c>
      <c r="B57" s="215">
        <v>14186.0</v>
      </c>
      <c r="C57" s="230" t="str">
        <f>IF(COUNTIF('PATIENT DATA (072721)'!A:A, B57)=0, "X","✓")</f>
        <v>✓</v>
      </c>
      <c r="D57" s="226">
        <f>IFS($B57=FALSE,"",$B57,VLOOKUP($B57,'PATIENT DATA (072721)'!A:C, 3, 0))</f>
        <v>22075</v>
      </c>
      <c r="E57" s="218">
        <v>44580.0</v>
      </c>
      <c r="F57" s="219">
        <f>ifs($B57="","",$B57, VLOOKUP($B57&amp;$E57, 'VISIT DATA'!A:O,3,0))</f>
        <v>0.6458333333</v>
      </c>
      <c r="G57" s="231" t="s">
        <v>6328</v>
      </c>
      <c r="H57" s="221" t="s">
        <v>12</v>
      </c>
      <c r="I57" s="262" t="str">
        <f>VLOOKUP($B57&amp;$E57,'VISIT DATA'!A:J, 9, FALSE)</f>
        <v>LOPEZ</v>
      </c>
      <c r="J57" s="223" t="str">
        <f>VLOOKUP(B57&amp;E57,'VISIT DATA'!A:N,10,FALSE)</f>
        <v>WPS VA - COMMUNITY CARE</v>
      </c>
      <c r="K57" s="225"/>
      <c r="L57" s="224" t="s">
        <v>6242</v>
      </c>
      <c r="M57" s="224" t="s">
        <v>6242</v>
      </c>
      <c r="N57" s="225"/>
      <c r="O57" s="216" t="str">
        <f t="shared" si="1"/>
        <v>✓</v>
      </c>
      <c r="P57" s="226" t="str">
        <f t="shared" si="2"/>
        <v>#VALUE!</v>
      </c>
      <c r="Q57" s="227" t="str">
        <f t="shared" si="3"/>
        <v>#VALUE!</v>
      </c>
      <c r="R57" s="228" t="str">
        <f t="shared" si="4"/>
        <v>#VALUE!</v>
      </c>
      <c r="S57" s="220" t="str">
        <f t="shared" si="5"/>
        <v>#VALUE!</v>
      </c>
      <c r="T57" s="220" t="str">
        <f t="shared" si="6"/>
        <v>#VALUE!</v>
      </c>
      <c r="U57" s="221">
        <f t="shared" si="7"/>
        <v>0</v>
      </c>
      <c r="V57" s="229" t="str">
        <f>ifs($N57="",VLOOKUP($B57&amp;$E57,'VISIT DATA'!$A$2:$J100,7,FALSE), $N57="SWAB","OUTSA-RW",$N57="SWQU","OUTSA-SaQu", AND($L57="X",$M57="X",$N57="QUEST"),"OUT-UAQPre",$N57="QUEST","OUT-UAQ", $N57="Walk in","ColUATele")</f>
        <v>UA-Prelim</v>
      </c>
      <c r="W57" s="24" t="str">
        <f t="shared" si="8"/>
        <v>UA-Prelim : Preliminary UA Test</v>
      </c>
      <c r="X57" s="222" t="str">
        <f t="shared" si="9"/>
        <v>UA-Prelim : Preliminary UA Test</v>
      </c>
      <c r="Y57" s="222" t="str">
        <f t="shared" si="10"/>
        <v>MATCH</v>
      </c>
      <c r="Z57" s="224" t="str">
        <f t="shared" si="11"/>
        <v> </v>
      </c>
      <c r="AA57" s="244"/>
    </row>
    <row r="58">
      <c r="A58" s="214" t="str">
        <f>IFS($B58=FALSE,"",$B58,VLOOKUP($B58,'PATIENT DATA (072721)'!A:C, 2, 0))</f>
        <v>SERRANO, ROBERTO</v>
      </c>
      <c r="B58" s="215">
        <v>15432.0</v>
      </c>
      <c r="C58" s="230" t="str">
        <f>IF(COUNTIF('PATIENT DATA (072721)'!A:A, B58)=0, "X","✓")</f>
        <v>✓</v>
      </c>
      <c r="D58" s="226">
        <f>IFS($B58=FALSE,"",$B58,VLOOKUP($B58,'PATIENT DATA (072721)'!A:C, 3, 0))</f>
        <v>22895</v>
      </c>
      <c r="E58" s="218">
        <v>44580.0</v>
      </c>
      <c r="F58" s="219">
        <f>ifs($B58="","",$B58, VLOOKUP($B58&amp;$E58, 'VISIT DATA'!A:O,3,0))</f>
        <v>0.3333333333</v>
      </c>
      <c r="G58" s="231" t="s">
        <v>6328</v>
      </c>
      <c r="H58" s="221" t="s">
        <v>13</v>
      </c>
      <c r="I58" s="262" t="str">
        <f>VLOOKUP($B58&amp;$E58,'VISIT DATA'!A:J, 9, FALSE)</f>
        <v>LOPEZ</v>
      </c>
      <c r="J58" s="223" t="str">
        <f>VLOOKUP(B58&amp;E58,'VISIT DATA'!A:N,10,FALSE)</f>
        <v>WELLMED - AARP MEDICARE COMPLETE</v>
      </c>
      <c r="K58" s="224"/>
      <c r="L58" s="224" t="s">
        <v>6242</v>
      </c>
      <c r="M58" s="224"/>
      <c r="N58" s="225"/>
      <c r="O58" s="216" t="str">
        <f t="shared" si="1"/>
        <v>✓</v>
      </c>
      <c r="P58" s="226" t="str">
        <f t="shared" si="2"/>
        <v>X</v>
      </c>
      <c r="Q58" s="227" t="str">
        <f t="shared" si="3"/>
        <v>#VALUE!</v>
      </c>
      <c r="R58" s="228" t="str">
        <f t="shared" si="4"/>
        <v>#VALUE!</v>
      </c>
      <c r="S58" s="220" t="str">
        <f t="shared" si="5"/>
        <v>#VALUE!</v>
      </c>
      <c r="T58" s="220" t="str">
        <f t="shared" si="6"/>
        <v>#VALUE!</v>
      </c>
      <c r="U58" s="221">
        <f t="shared" si="7"/>
        <v>1</v>
      </c>
      <c r="V58" s="229" t="str">
        <f>ifs($N58="",VLOOKUP($B58&amp;$E58,'VISIT DATA'!$A$2:$J100,7,FALSE), $N58="SWAB","OUTSA-RW",$N58="SWQU","OUTSA-SaQu", AND($L58="X",$M58="X",$N58="QUEST"),"OUT-UAQPre",$N58="QUEST","OUT-UAQ", $N58="Walk in","ColUATele")</f>
        <v>OUTUA-FURW</v>
      </c>
      <c r="W58" s="24" t="str">
        <f t="shared" si="8"/>
        <v>OUTUA-FURW : OUT UA FU Redwood</v>
      </c>
      <c r="X58" s="222" t="str">
        <f t="shared" si="9"/>
        <v>OUTUA-FURW : OUT UA FU Redwood</v>
      </c>
      <c r="Y58" s="222" t="str">
        <f t="shared" si="10"/>
        <v>MATCH</v>
      </c>
      <c r="Z58" s="224" t="str">
        <f t="shared" si="11"/>
        <v> </v>
      </c>
      <c r="AA58" s="244"/>
    </row>
    <row r="59">
      <c r="A59" s="214" t="str">
        <f>IFS($B59=FALSE,"",$B59,VLOOKUP($B59,'PATIENT DATA (072721)'!A:C, 2, 0))</f>
        <v>CARO, VICTOR</v>
      </c>
      <c r="B59" s="215">
        <v>15776.0</v>
      </c>
      <c r="C59" s="230" t="str">
        <f>IF(COUNTIF('PATIENT DATA (072721)'!A:A, B59)=0, "X","✓")</f>
        <v>✓</v>
      </c>
      <c r="D59" s="226">
        <f>IFS($B59=FALSE,"",$B59,VLOOKUP($B59,'PATIENT DATA (072721)'!A:C, 3, 0))</f>
        <v>26111</v>
      </c>
      <c r="E59" s="218">
        <v>44580.0</v>
      </c>
      <c r="F59" s="219">
        <f>ifs($B59="","",$B59, VLOOKUP($B59&amp;$E59, 'VISIT DATA'!A:O,3,0))</f>
        <v>0.34375</v>
      </c>
      <c r="G59" s="231" t="s">
        <v>6328</v>
      </c>
      <c r="H59" s="221" t="s">
        <v>13</v>
      </c>
      <c r="I59" s="262" t="str">
        <f>VLOOKUP($B59&amp;$E59,'VISIT DATA'!A:J, 9, FALSE)</f>
        <v>LOPEZ</v>
      </c>
      <c r="J59" s="223" t="str">
        <f>VLOOKUP(B59&amp;E59,'VISIT DATA'!A:N,10,FALSE)</f>
        <v>WPS VA - COMMUNITY CARE</v>
      </c>
      <c r="K59" s="224"/>
      <c r="L59" s="224" t="s">
        <v>6242</v>
      </c>
      <c r="M59" s="224"/>
      <c r="N59" s="225"/>
      <c r="O59" s="216" t="str">
        <f t="shared" si="1"/>
        <v>✓</v>
      </c>
      <c r="P59" s="226" t="str">
        <f t="shared" si="2"/>
        <v>#VALUE!</v>
      </c>
      <c r="Q59" s="227" t="str">
        <f t="shared" si="3"/>
        <v>#VALUE!</v>
      </c>
      <c r="R59" s="228" t="str">
        <f t="shared" si="4"/>
        <v>#VALUE!</v>
      </c>
      <c r="S59" s="220" t="str">
        <f t="shared" si="5"/>
        <v>#VALUE!</v>
      </c>
      <c r="T59" s="220" t="str">
        <f t="shared" si="6"/>
        <v>#VALUE!</v>
      </c>
      <c r="U59" s="221">
        <f t="shared" si="7"/>
        <v>0</v>
      </c>
      <c r="V59" s="229" t="str">
        <f>ifs($N59="",VLOOKUP($B59&amp;$E59,'VISIT DATA'!$A$2:$J100,7,FALSE), $N59="SWAB","OUTSA-RW",$N59="SWQU","OUTSA-SaQu", AND($L59="X",$M59="X",$N59="QUEST"),"OUT-UAQPre",$N59="QUEST","OUT-UAQ", $N59="Walk in","ColUATele")</f>
        <v>UA</v>
      </c>
      <c r="W59" s="24" t="str">
        <f t="shared" si="8"/>
        <v>UA : Urine Analysis In House</v>
      </c>
      <c r="X59" s="222" t="str">
        <f t="shared" si="9"/>
        <v>UA : Urine Analysis In House</v>
      </c>
      <c r="Y59" s="222" t="str">
        <f t="shared" si="10"/>
        <v>MATCH</v>
      </c>
      <c r="Z59" s="224" t="str">
        <f t="shared" si="11"/>
        <v> </v>
      </c>
      <c r="AA59" s="244"/>
    </row>
    <row r="60">
      <c r="A60" s="214" t="str">
        <f>IFS($B60=FALSE,"",$B60,VLOOKUP($B60,'PATIENT DATA (072721)'!A:C, 2, 0))</f>
        <v>RODRIGUEZ CAMPOS, YOLANDA</v>
      </c>
      <c r="B60" s="215">
        <v>17022.0</v>
      </c>
      <c r="C60" s="230" t="str">
        <f>IF(COUNTIF('PATIENT DATA (072721)'!A:A, B60)=0, "X","✓")</f>
        <v>✓</v>
      </c>
      <c r="D60" s="226">
        <f>IFS($B60=FALSE,"",$B60,VLOOKUP($B60,'PATIENT DATA (072721)'!A:C, 3, 0))</f>
        <v>24614</v>
      </c>
      <c r="E60" s="218">
        <v>44580.0</v>
      </c>
      <c r="F60" s="219">
        <f>ifs($B60="","",$B60, VLOOKUP($B60&amp;$E60, 'VISIT DATA'!A:O,3,0))</f>
        <v>0.625</v>
      </c>
      <c r="G60" s="231" t="s">
        <v>6323</v>
      </c>
      <c r="H60" s="221" t="s">
        <v>14</v>
      </c>
      <c r="I60" s="262" t="str">
        <f>VLOOKUP($B60&amp;$E60,'VISIT DATA'!A:J, 9, FALSE)</f>
        <v>TORRES</v>
      </c>
      <c r="J60" s="223" t="str">
        <f>VLOOKUP(B60&amp;E60,'VISIT DATA'!A:N,10,FALSE)</f>
        <v>AMBETTER - SUPERIOR</v>
      </c>
      <c r="K60" s="225"/>
      <c r="L60" s="224" t="s">
        <v>6242</v>
      </c>
      <c r="M60" s="224"/>
      <c r="N60" s="225"/>
      <c r="O60" s="216" t="str">
        <f t="shared" si="1"/>
        <v>✓</v>
      </c>
      <c r="P60" s="226" t="str">
        <f t="shared" si="2"/>
        <v>#VALUE!</v>
      </c>
      <c r="Q60" s="227" t="str">
        <f t="shared" si="3"/>
        <v>#VALUE!</v>
      </c>
      <c r="R60" s="228" t="str">
        <f t="shared" si="4"/>
        <v>#VALUE!</v>
      </c>
      <c r="S60" s="220" t="str">
        <f t="shared" si="5"/>
        <v>#VALUE!</v>
      </c>
      <c r="T60" s="220" t="str">
        <f t="shared" si="6"/>
        <v>#VALUE!</v>
      </c>
      <c r="U60" s="221">
        <f t="shared" si="7"/>
        <v>0</v>
      </c>
      <c r="V60" s="229" t="str">
        <f>ifs($N60="",VLOOKUP($B60&amp;$E60,'VISIT DATA'!$A$2:$J100,7,FALSE), $N60="SWAB","OUTSA-RW",$N60="SWQU","OUTSA-SaQu", AND($L60="X",$M60="X",$N60="QUEST"),"OUT-UAQPre",$N60="QUEST","OUT-UAQ", $N60="Walk in","ColUATele")</f>
        <v>UA</v>
      </c>
      <c r="W60" s="24" t="str">
        <f t="shared" si="8"/>
        <v>UA : Urine Analysis In House</v>
      </c>
      <c r="X60" s="222" t="str">
        <f t="shared" si="9"/>
        <v>UA : Urine Analysis In House</v>
      </c>
      <c r="Y60" s="222" t="str">
        <f t="shared" si="10"/>
        <v>MATCH</v>
      </c>
      <c r="Z60" s="224" t="str">
        <f t="shared" si="11"/>
        <v> </v>
      </c>
      <c r="AA60" s="244"/>
    </row>
    <row r="61">
      <c r="A61" s="214" t="str">
        <f>IFS($B61=FALSE,"",$B61,VLOOKUP($B61,'PATIENT DATA (072721)'!A:C, 2, 0))</f>
        <v/>
      </c>
      <c r="B61" s="215"/>
      <c r="C61" s="230" t="str">
        <f>IF(COUNTIF('PATIENT DATA (072721)'!A:A, B61)=0, "X","✓")</f>
        <v>X</v>
      </c>
      <c r="D61" s="226" t="str">
        <f>IFS($B61=FALSE,"",$B61,VLOOKUP($B61,'PATIENT DATA (072721)'!A:C, 3, 0))</f>
        <v/>
      </c>
      <c r="E61" s="218">
        <v>44580.0</v>
      </c>
      <c r="F61" s="219" t="str">
        <f>ifs($B61="","",$B61, VLOOKUP($B61&amp;$E61, 'VISIT DATA'!A:O,3,0))</f>
        <v/>
      </c>
      <c r="G61" s="231"/>
      <c r="H61" s="221" t="str">
        <f>ifs($B61="","",$B61, VLOOKUP($B61&amp;$E61, 'VISIT DATA'!$A:$O,13,0))</f>
        <v/>
      </c>
      <c r="I61" s="262" t="str">
        <f>VLOOKUP($B61&amp;$E61,'VISIT DATA'!A:J, 9, FALSE)</f>
        <v>#N/A</v>
      </c>
      <c r="J61" s="223" t="str">
        <f>VLOOKUP(B61&amp;E61,'VISIT DATA'!A:N,10,FALSE)</f>
        <v>#N/A</v>
      </c>
      <c r="K61" s="225"/>
      <c r="L61" s="224"/>
      <c r="M61" s="224"/>
      <c r="N61" s="225"/>
      <c r="O61" s="216" t="str">
        <f t="shared" si="1"/>
        <v>X</v>
      </c>
      <c r="P61" s="226" t="str">
        <f t="shared" si="2"/>
        <v>#N/A</v>
      </c>
      <c r="Q61" s="227" t="str">
        <f t="shared" si="3"/>
        <v>#N/A</v>
      </c>
      <c r="R61" s="228" t="str">
        <f t="shared" si="4"/>
        <v>#N/A</v>
      </c>
      <c r="S61" s="220" t="str">
        <f t="shared" si="5"/>
        <v>#N/A</v>
      </c>
      <c r="T61" s="220" t="str">
        <f t="shared" si="6"/>
        <v>#N/A</v>
      </c>
      <c r="U61" s="221">
        <f t="shared" si="7"/>
        <v>0</v>
      </c>
      <c r="V61" s="229" t="str">
        <f>ifs($N61="",VLOOKUP($B61&amp;$E61,'VISIT DATA'!$A$2:$J100,7,FALSE), $N61="SWAB","OUTSA-RW",$N61="SWQU","OUTSA-SaQu", AND($L61="X",$M61="X",$N61="QUEST"),"OUT-UAQPre",$N61="QUEST","OUT-UAQ", $N61="Walk in","ColUATele")</f>
        <v>#N/A</v>
      </c>
      <c r="W61" s="24" t="str">
        <f t="shared" si="8"/>
        <v>#N/A</v>
      </c>
      <c r="X61" s="222" t="str">
        <f t="shared" si="9"/>
        <v/>
      </c>
      <c r="Y61" s="222" t="str">
        <f t="shared" si="10"/>
        <v/>
      </c>
      <c r="Z61" s="224" t="str">
        <f t="shared" si="11"/>
        <v> </v>
      </c>
      <c r="AA61" s="244"/>
    </row>
    <row r="62">
      <c r="A62" s="214" t="str">
        <f>IFS($B62=FALSE,"",$B62,VLOOKUP($B62,'PATIENT DATA (072721)'!A:C, 2, 0))</f>
        <v/>
      </c>
      <c r="B62" s="215"/>
      <c r="C62" s="230" t="str">
        <f>IF(COUNTIF('PATIENT DATA (072721)'!A:A, B62)=0, "X","✓")</f>
        <v>X</v>
      </c>
      <c r="D62" s="226" t="str">
        <f>IFS($B62=FALSE,"",$B62,VLOOKUP($B62,'PATIENT DATA (072721)'!A:C, 3, 0))</f>
        <v/>
      </c>
      <c r="E62" s="218">
        <v>44580.0</v>
      </c>
      <c r="F62" s="219" t="str">
        <f>ifs($B62="","",$B62, VLOOKUP($B62&amp;$E62, 'VISIT DATA'!A:O,3,0))</f>
        <v/>
      </c>
      <c r="G62" s="231"/>
      <c r="H62" s="221" t="str">
        <f>ifs($B62="","",$B62, VLOOKUP($B62&amp;$E62, 'VISIT DATA'!$A:$O,13,0))</f>
        <v/>
      </c>
      <c r="I62" s="262" t="str">
        <f>VLOOKUP($B62&amp;$E62,'VISIT DATA'!A:J, 9, FALSE)</f>
        <v>#N/A</v>
      </c>
      <c r="J62" s="223" t="str">
        <f>VLOOKUP(B62&amp;E62,'VISIT DATA'!A:N,10,FALSE)</f>
        <v>#N/A</v>
      </c>
      <c r="K62" s="225"/>
      <c r="L62" s="224"/>
      <c r="M62" s="224"/>
      <c r="N62" s="225"/>
      <c r="O62" s="216" t="str">
        <f t="shared" si="1"/>
        <v>X</v>
      </c>
      <c r="P62" s="226" t="str">
        <f t="shared" si="2"/>
        <v>#N/A</v>
      </c>
      <c r="Q62" s="227" t="str">
        <f t="shared" si="3"/>
        <v>#N/A</v>
      </c>
      <c r="R62" s="228" t="str">
        <f t="shared" si="4"/>
        <v>#N/A</v>
      </c>
      <c r="S62" s="220" t="str">
        <f t="shared" si="5"/>
        <v>#N/A</v>
      </c>
      <c r="T62" s="220" t="str">
        <f t="shared" si="6"/>
        <v>#N/A</v>
      </c>
      <c r="U62" s="221">
        <f t="shared" si="7"/>
        <v>0</v>
      </c>
      <c r="V62" s="229" t="str">
        <f>ifs($N62="",VLOOKUP($B62&amp;$E62,'VISIT DATA'!$A$2:$J100,7,FALSE), $N62="SWAB","OUTSA-RW",$N62="SWQU","OUTSA-SaQu", AND($L62="X",$M62="X",$N62="QUEST"),"OUT-UAQPre",$N62="QUEST","OUT-UAQ", $N62="Walk in","ColUATele")</f>
        <v>#N/A</v>
      </c>
      <c r="W62" s="24" t="str">
        <f t="shared" si="8"/>
        <v>#N/A</v>
      </c>
      <c r="X62" s="222" t="str">
        <f t="shared" si="9"/>
        <v/>
      </c>
      <c r="Y62" s="222" t="str">
        <f t="shared" si="10"/>
        <v/>
      </c>
      <c r="Z62" s="224" t="str">
        <f t="shared" si="11"/>
        <v> </v>
      </c>
      <c r="AA62" s="244"/>
    </row>
    <row r="63">
      <c r="A63" s="214" t="str">
        <f>IFS($B63=FALSE,"",$B63,VLOOKUP($B63,'PATIENT DATA (072721)'!A:C, 2, 0))</f>
        <v/>
      </c>
      <c r="B63" s="215"/>
      <c r="C63" s="230" t="str">
        <f>IF(COUNTIF('PATIENT DATA (072721)'!A:A, B63)=0, "X","✓")</f>
        <v>X</v>
      </c>
      <c r="D63" s="226" t="str">
        <f>IFS($B63=FALSE,"",$B63,VLOOKUP($B63,'PATIENT DATA (072721)'!A:C, 3, 0))</f>
        <v/>
      </c>
      <c r="E63" s="218">
        <v>44580.0</v>
      </c>
      <c r="F63" s="219" t="str">
        <f>ifs($B63="","",$B63, VLOOKUP($B63&amp;$E63, 'VISIT DATA'!A:O,3,0))</f>
        <v/>
      </c>
      <c r="G63" s="231"/>
      <c r="H63" s="221" t="str">
        <f>ifs($B63="","",$B63, VLOOKUP($B63&amp;$E63, 'VISIT DATA'!$A:$O,13,0))</f>
        <v/>
      </c>
      <c r="I63" s="262" t="str">
        <f>VLOOKUP($B63&amp;$E63,'VISIT DATA'!A:J, 9, FALSE)</f>
        <v>#N/A</v>
      </c>
      <c r="J63" s="223" t="str">
        <f>VLOOKUP(B63&amp;E63,'VISIT DATA'!A:N,10,FALSE)</f>
        <v>#N/A</v>
      </c>
      <c r="K63" s="225"/>
      <c r="L63" s="224"/>
      <c r="M63" s="224"/>
      <c r="N63" s="225"/>
      <c r="O63" s="216" t="str">
        <f t="shared" si="1"/>
        <v>X</v>
      </c>
      <c r="P63" s="226" t="str">
        <f t="shared" si="2"/>
        <v>#N/A</v>
      </c>
      <c r="Q63" s="227" t="str">
        <f t="shared" si="3"/>
        <v>#N/A</v>
      </c>
      <c r="R63" s="228" t="str">
        <f t="shared" si="4"/>
        <v>#N/A</v>
      </c>
      <c r="S63" s="220" t="str">
        <f t="shared" si="5"/>
        <v>#N/A</v>
      </c>
      <c r="T63" s="220" t="str">
        <f t="shared" si="6"/>
        <v>#N/A</v>
      </c>
      <c r="U63" s="221">
        <f t="shared" si="7"/>
        <v>0</v>
      </c>
      <c r="V63" s="229" t="str">
        <f>ifs($N63="",VLOOKUP($B63&amp;$E63,'VISIT DATA'!$A$2:$J100,7,FALSE), $N63="SWAB","OUTSA-RW",$N63="SWQU","OUTSA-SaQu", AND($L63="X",$M63="X",$N63="QUEST"),"OUT-UAQPre",$N63="QUEST","OUT-UAQ", $N63="Walk in","ColUATele")</f>
        <v>#N/A</v>
      </c>
      <c r="W63" s="24" t="str">
        <f t="shared" si="8"/>
        <v>#N/A</v>
      </c>
      <c r="X63" s="222" t="str">
        <f t="shared" si="9"/>
        <v/>
      </c>
      <c r="Y63" s="222" t="str">
        <f t="shared" si="10"/>
        <v/>
      </c>
      <c r="Z63" s="224" t="str">
        <f t="shared" si="11"/>
        <v> </v>
      </c>
      <c r="AA63" s="244"/>
    </row>
    <row r="64">
      <c r="A64" s="214" t="str">
        <f>IFS($B64=FALSE,"",$B64,VLOOKUP($B64,'PATIENT DATA (072721)'!A:C, 2, 0))</f>
        <v/>
      </c>
      <c r="B64" s="215"/>
      <c r="C64" s="230" t="str">
        <f>IF(COUNTIF('PATIENT DATA (072721)'!A:A, B64)=0, "X","✓")</f>
        <v>X</v>
      </c>
      <c r="D64" s="226" t="str">
        <f>IFS($B64=FALSE,"",$B64,VLOOKUP($B64,'PATIENT DATA (072721)'!A:C, 3, 0))</f>
        <v/>
      </c>
      <c r="E64" s="218">
        <v>44580.0</v>
      </c>
      <c r="F64" s="219" t="str">
        <f>ifs($B64="","",$B64, VLOOKUP($B64&amp;$E64, 'VISIT DATA'!A:O,3,0))</f>
        <v/>
      </c>
      <c r="G64" s="231"/>
      <c r="H64" s="221" t="str">
        <f>ifs($B64="","",$B64, VLOOKUP($B64&amp;$E64, 'VISIT DATA'!$A:$O,13,0))</f>
        <v/>
      </c>
      <c r="I64" s="262" t="str">
        <f>VLOOKUP($B64&amp;$E64,'VISIT DATA'!A:J, 9, FALSE)</f>
        <v>#N/A</v>
      </c>
      <c r="J64" s="223" t="str">
        <f>VLOOKUP(B64&amp;E64,'VISIT DATA'!A:N,10,FALSE)</f>
        <v>#N/A</v>
      </c>
      <c r="K64" s="225"/>
      <c r="L64" s="224"/>
      <c r="M64" s="224"/>
      <c r="N64" s="225"/>
      <c r="O64" s="216" t="str">
        <f t="shared" si="1"/>
        <v>X</v>
      </c>
      <c r="P64" s="226" t="str">
        <f t="shared" si="2"/>
        <v>#N/A</v>
      </c>
      <c r="Q64" s="227" t="str">
        <f t="shared" si="3"/>
        <v>#N/A</v>
      </c>
      <c r="R64" s="228" t="str">
        <f t="shared" si="4"/>
        <v>#N/A</v>
      </c>
      <c r="S64" s="220" t="str">
        <f t="shared" si="5"/>
        <v>#N/A</v>
      </c>
      <c r="T64" s="220" t="str">
        <f t="shared" si="6"/>
        <v>#N/A</v>
      </c>
      <c r="U64" s="221">
        <f t="shared" si="7"/>
        <v>0</v>
      </c>
      <c r="V64" s="229" t="str">
        <f>ifs($N64="",VLOOKUP($B64&amp;$E64,'VISIT DATA'!$A$2:$J100,7,FALSE), $N64="SWAB","OUTSA-RW",$N64="SWQU","OUTSA-SaQu", AND($L64="X",$M64="X",$N64="QUEST"),"OUT-UAQPre",$N64="QUEST","OUT-UAQ", $N64="Walk in","ColUATele")</f>
        <v>#N/A</v>
      </c>
      <c r="W64" s="24" t="str">
        <f t="shared" si="8"/>
        <v>#N/A</v>
      </c>
      <c r="X64" s="222" t="str">
        <f t="shared" si="9"/>
        <v/>
      </c>
      <c r="Y64" s="222" t="str">
        <f t="shared" si="10"/>
        <v/>
      </c>
      <c r="Z64" s="224" t="str">
        <f t="shared" si="11"/>
        <v> </v>
      </c>
      <c r="AA64" s="244"/>
    </row>
    <row r="65">
      <c r="A65" s="214" t="str">
        <f>IFS($B65=FALSE,"",$B65,VLOOKUP($B65,'PATIENT DATA (072721)'!A:C, 2, 0))</f>
        <v/>
      </c>
      <c r="B65" s="215"/>
      <c r="C65" s="230" t="str">
        <f>IF(COUNTIF('PATIENT DATA (072721)'!A:A, B65)=0, "X","✓")</f>
        <v>X</v>
      </c>
      <c r="D65" s="226" t="str">
        <f>IFS($B65=FALSE,"",$B65,VLOOKUP($B65,'PATIENT DATA (072721)'!A:C, 3, 0))</f>
        <v/>
      </c>
      <c r="E65" s="218">
        <v>44580.0</v>
      </c>
      <c r="F65" s="219" t="str">
        <f>ifs($B65="","",$B65, VLOOKUP($B65&amp;$E65, 'VISIT DATA'!A:O,3,0))</f>
        <v/>
      </c>
      <c r="G65" s="231"/>
      <c r="H65" s="221" t="str">
        <f>ifs($B65="","",$B65, VLOOKUP($B65&amp;$E65, 'VISIT DATA'!$A:$O,13,0))</f>
        <v/>
      </c>
      <c r="I65" s="262" t="str">
        <f>VLOOKUP($B65&amp;$E65,'VISIT DATA'!A:J, 9, FALSE)</f>
        <v>#N/A</v>
      </c>
      <c r="J65" s="223" t="str">
        <f>VLOOKUP(B65&amp;E65,'VISIT DATA'!A:N,10,FALSE)</f>
        <v>#N/A</v>
      </c>
      <c r="K65" s="225"/>
      <c r="L65" s="224"/>
      <c r="M65" s="224"/>
      <c r="N65" s="225"/>
      <c r="O65" s="216" t="str">
        <f t="shared" si="1"/>
        <v>X</v>
      </c>
      <c r="P65" s="226" t="str">
        <f t="shared" si="2"/>
        <v>#N/A</v>
      </c>
      <c r="Q65" s="227" t="str">
        <f t="shared" si="3"/>
        <v>#N/A</v>
      </c>
      <c r="R65" s="228" t="str">
        <f t="shared" si="4"/>
        <v>#N/A</v>
      </c>
      <c r="S65" s="220" t="str">
        <f t="shared" si="5"/>
        <v>#N/A</v>
      </c>
      <c r="T65" s="220" t="str">
        <f t="shared" si="6"/>
        <v>#N/A</v>
      </c>
      <c r="U65" s="221">
        <f t="shared" si="7"/>
        <v>0</v>
      </c>
      <c r="V65" s="229" t="str">
        <f>ifs($N65="",VLOOKUP($B65&amp;$E65,'VISIT DATA'!$A$2:$J100,7,FALSE), $N65="SWAB","OUTSA-RW",$N65="SWQU","OUTSA-SaQu", AND($L65="X",$M65="X",$N65="QUEST"),"OUT-UAQPre",$N65="QUEST","OUT-UAQ", $N65="Walk in","ColUATele")</f>
        <v>#N/A</v>
      </c>
      <c r="W65" s="24" t="str">
        <f t="shared" si="8"/>
        <v>#N/A</v>
      </c>
      <c r="X65" s="222" t="str">
        <f t="shared" si="9"/>
        <v/>
      </c>
      <c r="Y65" s="222" t="str">
        <f t="shared" si="10"/>
        <v/>
      </c>
      <c r="Z65" s="224" t="str">
        <f t="shared" si="11"/>
        <v> </v>
      </c>
      <c r="AA65" s="244"/>
    </row>
    <row r="66">
      <c r="A66" s="214" t="str">
        <f>IFS($B66=FALSE,"",$B66,VLOOKUP($B66,'PATIENT DATA (072721)'!A:C, 2, 0))</f>
        <v/>
      </c>
      <c r="B66" s="215"/>
      <c r="C66" s="230" t="str">
        <f>IF(COUNTIF('PATIENT DATA (072721)'!A:A, B66)=0, "X","✓")</f>
        <v>X</v>
      </c>
      <c r="D66" s="226" t="str">
        <f>IFS($B66=FALSE,"",$B66,VLOOKUP($B66,'PATIENT DATA (072721)'!A:C, 3, 0))</f>
        <v/>
      </c>
      <c r="E66" s="218">
        <v>44580.0</v>
      </c>
      <c r="F66" s="219" t="str">
        <f>ifs($B66="","",$B66, VLOOKUP($B66&amp;$E66, 'VISIT DATA'!A:O,3,0))</f>
        <v/>
      </c>
      <c r="G66" s="231"/>
      <c r="H66" s="221" t="str">
        <f>ifs($B66="","",$B66, VLOOKUP($B66&amp;$E66, 'VISIT DATA'!$A:$O,13,0))</f>
        <v/>
      </c>
      <c r="I66" s="262" t="str">
        <f>VLOOKUP($B66&amp;$E66,'VISIT DATA'!A:J, 9, FALSE)</f>
        <v>#N/A</v>
      </c>
      <c r="J66" s="223" t="str">
        <f>VLOOKUP(B66&amp;E66,'VISIT DATA'!A:N,10,FALSE)</f>
        <v>#N/A</v>
      </c>
      <c r="K66" s="225"/>
      <c r="L66" s="224"/>
      <c r="M66" s="224"/>
      <c r="N66" s="225"/>
      <c r="O66" s="216" t="str">
        <f t="shared" si="1"/>
        <v>X</v>
      </c>
      <c r="P66" s="226" t="str">
        <f t="shared" si="2"/>
        <v>#N/A</v>
      </c>
      <c r="Q66" s="227" t="str">
        <f t="shared" si="3"/>
        <v>#N/A</v>
      </c>
      <c r="R66" s="228" t="str">
        <f t="shared" si="4"/>
        <v>#N/A</v>
      </c>
      <c r="S66" s="220" t="str">
        <f t="shared" si="5"/>
        <v>#N/A</v>
      </c>
      <c r="T66" s="220" t="str">
        <f t="shared" si="6"/>
        <v>#N/A</v>
      </c>
      <c r="U66" s="221">
        <f t="shared" si="7"/>
        <v>0</v>
      </c>
      <c r="V66" s="229" t="str">
        <f>ifs($N66="",VLOOKUP($B66&amp;$E66,'VISIT DATA'!$A$2:$J100,7,FALSE), $N66="SWAB","OUTSA-RW",$N66="SWQU","OUTSA-SaQu", AND($L66="X",$M66="X",$N66="QUEST"),"OUT-UAQPre",$N66="QUEST","OUT-UAQ", $N66="Walk in","ColUATele")</f>
        <v>#N/A</v>
      </c>
      <c r="W66" s="24" t="str">
        <f t="shared" si="8"/>
        <v>#N/A</v>
      </c>
      <c r="X66" s="222" t="str">
        <f t="shared" si="9"/>
        <v/>
      </c>
      <c r="Y66" s="222" t="str">
        <f t="shared" si="10"/>
        <v/>
      </c>
      <c r="Z66" s="224" t="str">
        <f t="shared" si="11"/>
        <v> </v>
      </c>
      <c r="AA66" s="244"/>
    </row>
    <row r="67">
      <c r="A67" s="214" t="str">
        <f>IFS($B67=FALSE,"",$B67,VLOOKUP($B67,'PATIENT DATA (072721)'!A:C, 2, 0))</f>
        <v/>
      </c>
      <c r="B67" s="215"/>
      <c r="C67" s="230" t="str">
        <f>IF(COUNTIF('PATIENT DATA (072721)'!A:A, B67)=0, "X","✓")</f>
        <v>X</v>
      </c>
      <c r="D67" s="226" t="str">
        <f>IFS($B67=FALSE,"",$B67,VLOOKUP($B67,'PATIENT DATA (072721)'!A:C, 3, 0))</f>
        <v/>
      </c>
      <c r="E67" s="218">
        <v>44580.0</v>
      </c>
      <c r="F67" s="219" t="str">
        <f>ifs($B67="","",$B67, VLOOKUP($B67&amp;$E67, 'VISIT DATA'!A:O,3,0))</f>
        <v/>
      </c>
      <c r="G67" s="231"/>
      <c r="H67" s="221" t="str">
        <f>ifs($B67="","",$B67, VLOOKUP($B67&amp;$E67, 'VISIT DATA'!$A:$O,13,0))</f>
        <v/>
      </c>
      <c r="I67" s="262" t="str">
        <f>VLOOKUP($B67&amp;$E67,'VISIT DATA'!A:J, 9, FALSE)</f>
        <v>#N/A</v>
      </c>
      <c r="J67" s="223" t="str">
        <f>VLOOKUP(B67&amp;E67,'VISIT DATA'!A:N,10,FALSE)</f>
        <v>#N/A</v>
      </c>
      <c r="K67" s="225"/>
      <c r="L67" s="224"/>
      <c r="M67" s="224"/>
      <c r="N67" s="225"/>
      <c r="O67" s="216" t="str">
        <f t="shared" si="1"/>
        <v>X</v>
      </c>
      <c r="P67" s="226" t="str">
        <f t="shared" si="2"/>
        <v>#N/A</v>
      </c>
      <c r="Q67" s="227" t="str">
        <f t="shared" si="3"/>
        <v>#N/A</v>
      </c>
      <c r="R67" s="228" t="str">
        <f t="shared" si="4"/>
        <v>#N/A</v>
      </c>
      <c r="S67" s="220" t="str">
        <f t="shared" si="5"/>
        <v>#N/A</v>
      </c>
      <c r="T67" s="220" t="str">
        <f t="shared" si="6"/>
        <v>#N/A</v>
      </c>
      <c r="U67" s="221">
        <f t="shared" si="7"/>
        <v>0</v>
      </c>
      <c r="V67" s="229" t="str">
        <f>ifs($N67="",VLOOKUP($B67&amp;$E67,'VISIT DATA'!$A$2:$J100,7,FALSE), $N67="SWAB","OUTSA-RW",$N67="SWQU","OUTSA-SaQu", AND($L67="X",$M67="X",$N67="QUEST"),"OUT-UAQPre",$N67="QUEST","OUT-UAQ", $N67="Walk in","ColUATele")</f>
        <v>#N/A</v>
      </c>
      <c r="W67" s="24" t="str">
        <f t="shared" si="8"/>
        <v>#N/A</v>
      </c>
      <c r="X67" s="222" t="str">
        <f t="shared" si="9"/>
        <v/>
      </c>
      <c r="Y67" s="222" t="str">
        <f t="shared" si="10"/>
        <v/>
      </c>
      <c r="Z67" s="224" t="str">
        <f t="shared" si="11"/>
        <v> </v>
      </c>
      <c r="AA67" s="244"/>
    </row>
    <row r="68">
      <c r="A68" s="214" t="str">
        <f>IFS($B68=FALSE,"",$B68,VLOOKUP($B68,'PATIENT DATA (072721)'!A:C, 2, 0))</f>
        <v/>
      </c>
      <c r="B68" s="215"/>
      <c r="C68" s="230" t="str">
        <f>IF(COUNTIF('PATIENT DATA (072721)'!A:A, B68)=0, "X","✓")</f>
        <v>X</v>
      </c>
      <c r="D68" s="226" t="str">
        <f>IFS($B68=FALSE,"",$B68,VLOOKUP($B68,'PATIENT DATA (072721)'!A:C, 3, 0))</f>
        <v/>
      </c>
      <c r="E68" s="218">
        <v>44580.0</v>
      </c>
      <c r="F68" s="219" t="str">
        <f>ifs($B68="","",$B68, VLOOKUP($B68&amp;$E68, 'VISIT DATA'!A:O,3,0))</f>
        <v/>
      </c>
      <c r="G68" s="231"/>
      <c r="H68" s="221" t="str">
        <f>ifs($B68="","",$B68, VLOOKUP($B68&amp;$E68, 'VISIT DATA'!$A:$O,13,0))</f>
        <v/>
      </c>
      <c r="I68" s="262" t="str">
        <f>VLOOKUP($B68&amp;$E68,'VISIT DATA'!A:J, 9, FALSE)</f>
        <v>#N/A</v>
      </c>
      <c r="J68" s="223" t="str">
        <f>VLOOKUP(B68&amp;E68,'VISIT DATA'!A:N,10,FALSE)</f>
        <v>#N/A</v>
      </c>
      <c r="K68" s="225"/>
      <c r="L68" s="224"/>
      <c r="M68" s="224"/>
      <c r="N68" s="225"/>
      <c r="O68" s="216" t="str">
        <f t="shared" si="1"/>
        <v>X</v>
      </c>
      <c r="P68" s="226" t="str">
        <f t="shared" si="2"/>
        <v>#N/A</v>
      </c>
      <c r="Q68" s="227" t="str">
        <f t="shared" si="3"/>
        <v>#N/A</v>
      </c>
      <c r="R68" s="228" t="str">
        <f t="shared" si="4"/>
        <v>#N/A</v>
      </c>
      <c r="S68" s="220" t="str">
        <f t="shared" si="5"/>
        <v>#N/A</v>
      </c>
      <c r="T68" s="220" t="str">
        <f t="shared" si="6"/>
        <v>#N/A</v>
      </c>
      <c r="U68" s="221">
        <f t="shared" si="7"/>
        <v>0</v>
      </c>
      <c r="V68" s="229" t="str">
        <f>ifs($N68="",VLOOKUP($B68&amp;$E68,'VISIT DATA'!$A$2:$J100,7,FALSE), $N68="SWAB","OUTSA-RW",$N68="SWQU","OUTSA-SaQu", AND($L68="X",$M68="X",$N68="QUEST"),"OUT-UAQPre",$N68="QUEST","OUT-UAQ", $N68="Walk in","ColUATele")</f>
        <v>#N/A</v>
      </c>
      <c r="W68" s="24" t="str">
        <f t="shared" si="8"/>
        <v>#N/A</v>
      </c>
      <c r="X68" s="222" t="str">
        <f t="shared" si="9"/>
        <v/>
      </c>
      <c r="Y68" s="222" t="str">
        <f t="shared" si="10"/>
        <v/>
      </c>
      <c r="Z68" s="224" t="str">
        <f t="shared" si="11"/>
        <v> </v>
      </c>
      <c r="AA68" s="244"/>
    </row>
    <row r="69">
      <c r="A69" s="214" t="str">
        <f>IFS($B69=FALSE,"",$B69,VLOOKUP($B69,'PATIENT DATA (072721)'!A:C, 2, 0))</f>
        <v/>
      </c>
      <c r="B69" s="215"/>
      <c r="C69" s="230" t="str">
        <f>IF(COUNTIF('PATIENT DATA (072721)'!A:A, B69)=0, "X","✓")</f>
        <v>X</v>
      </c>
      <c r="D69" s="226" t="str">
        <f>IFS($B69=FALSE,"",$B69,VLOOKUP($B69,'PATIENT DATA (072721)'!A:C, 3, 0))</f>
        <v/>
      </c>
      <c r="E69" s="218">
        <v>44580.0</v>
      </c>
      <c r="F69" s="219" t="str">
        <f>ifs($B69="","",$B69, VLOOKUP($B69&amp;$E69, 'VISIT DATA'!A:O,3,0))</f>
        <v/>
      </c>
      <c r="G69" s="231"/>
      <c r="H69" s="221" t="str">
        <f>ifs($B69="","",$B69, VLOOKUP($B69&amp;$E69, 'VISIT DATA'!$A:$O,13,0))</f>
        <v/>
      </c>
      <c r="I69" s="262" t="str">
        <f>VLOOKUP($B69&amp;$E69,'VISIT DATA'!A:J, 9, FALSE)</f>
        <v>#N/A</v>
      </c>
      <c r="J69" s="223" t="str">
        <f>VLOOKUP(B69&amp;E69,'VISIT DATA'!A:N,10,FALSE)</f>
        <v>#N/A</v>
      </c>
      <c r="K69" s="224"/>
      <c r="L69" s="224"/>
      <c r="M69" s="224"/>
      <c r="N69" s="225"/>
      <c r="O69" s="216" t="str">
        <f t="shared" si="1"/>
        <v>X</v>
      </c>
      <c r="P69" s="226" t="str">
        <f t="shared" si="2"/>
        <v>#N/A</v>
      </c>
      <c r="Q69" s="227" t="str">
        <f t="shared" si="3"/>
        <v>#N/A</v>
      </c>
      <c r="R69" s="228" t="str">
        <f t="shared" si="4"/>
        <v>#N/A</v>
      </c>
      <c r="S69" s="220" t="str">
        <f t="shared" si="5"/>
        <v>#N/A</v>
      </c>
      <c r="T69" s="220" t="str">
        <f t="shared" si="6"/>
        <v>#N/A</v>
      </c>
      <c r="U69" s="221">
        <f t="shared" si="7"/>
        <v>0</v>
      </c>
      <c r="V69" s="229" t="str">
        <f>ifs($N69="",VLOOKUP($B69&amp;$E69,'VISIT DATA'!$A$2:$J100,7,FALSE), $N69="SWAB","OUTSA-RW",$N69="SWQU","OUTSA-SaQu", AND($L69="X",$M69="X",$N69="QUEST"),"OUT-UAQPre",$N69="QUEST","OUT-UAQ", $N69="Walk in","ColUATele")</f>
        <v>#N/A</v>
      </c>
      <c r="W69" s="24" t="str">
        <f t="shared" si="8"/>
        <v>#N/A</v>
      </c>
      <c r="X69" s="222" t="str">
        <f t="shared" si="9"/>
        <v/>
      </c>
      <c r="Y69" s="222" t="str">
        <f t="shared" si="10"/>
        <v/>
      </c>
      <c r="Z69" s="224" t="str">
        <f t="shared" si="11"/>
        <v> </v>
      </c>
      <c r="AA69" s="244"/>
    </row>
    <row r="70">
      <c r="A70" s="214" t="str">
        <f>IFS($B70=FALSE,"",$B70,VLOOKUP($B70,'PATIENT DATA (072721)'!A:C, 2, 0))</f>
        <v/>
      </c>
      <c r="B70" s="215"/>
      <c r="C70" s="230" t="str">
        <f>IF(COUNTIF('PATIENT DATA (072721)'!A:A, B70)=0, "X","✓")</f>
        <v>X</v>
      </c>
      <c r="D70" s="226" t="str">
        <f>IFS($B70=FALSE,"",$B70,VLOOKUP($B70,'PATIENT DATA (072721)'!A:C, 3, 0))</f>
        <v/>
      </c>
      <c r="E70" s="218">
        <v>44580.0</v>
      </c>
      <c r="F70" s="219" t="str">
        <f>ifs($B70="","",$B70, VLOOKUP($B70&amp;$E70, 'VISIT DATA'!A:O,3,0))</f>
        <v/>
      </c>
      <c r="G70" s="231"/>
      <c r="H70" s="221" t="str">
        <f>ifs($B70="","",$B70, VLOOKUP($B70&amp;$E70, 'VISIT DATA'!$A:$O,13,0))</f>
        <v/>
      </c>
      <c r="I70" s="262" t="str">
        <f>VLOOKUP($B70&amp;$E70,'VISIT DATA'!A:J, 9, FALSE)</f>
        <v>#N/A</v>
      </c>
      <c r="J70" s="223" t="str">
        <f>VLOOKUP(B70&amp;E70,'VISIT DATA'!A:N,10,FALSE)</f>
        <v>#N/A</v>
      </c>
      <c r="K70" s="224"/>
      <c r="L70" s="224"/>
      <c r="M70" s="224"/>
      <c r="N70" s="225"/>
      <c r="O70" s="216" t="str">
        <f t="shared" si="1"/>
        <v>X</v>
      </c>
      <c r="P70" s="226" t="str">
        <f t="shared" si="2"/>
        <v>#N/A</v>
      </c>
      <c r="Q70" s="227" t="str">
        <f t="shared" si="3"/>
        <v>#N/A</v>
      </c>
      <c r="R70" s="228" t="str">
        <f t="shared" si="4"/>
        <v>#N/A</v>
      </c>
      <c r="S70" s="220" t="str">
        <f t="shared" si="5"/>
        <v>#N/A</v>
      </c>
      <c r="T70" s="220" t="str">
        <f t="shared" si="6"/>
        <v>#N/A</v>
      </c>
      <c r="U70" s="221">
        <f t="shared" si="7"/>
        <v>0</v>
      </c>
      <c r="V70" s="229" t="str">
        <f>ifs($N70="",VLOOKUP($B70&amp;$E70,'VISIT DATA'!$A$2:$J100,7,FALSE), $N70="SWAB","OUTSA-RW",$N70="SWQU","OUTSA-SaQu", AND($L70="X",$M70="X",$N70="QUEST"),"OUT-UAQPre",$N70="QUEST","OUT-UAQ", $N70="Walk in","ColUATele")</f>
        <v>#N/A</v>
      </c>
      <c r="W70" s="24" t="str">
        <f t="shared" si="8"/>
        <v>#N/A</v>
      </c>
      <c r="X70" s="222" t="str">
        <f t="shared" si="9"/>
        <v/>
      </c>
      <c r="Y70" s="222" t="str">
        <f t="shared" si="10"/>
        <v/>
      </c>
      <c r="Z70" s="224" t="str">
        <f t="shared" si="11"/>
        <v> </v>
      </c>
      <c r="AA70" s="244"/>
    </row>
    <row r="71">
      <c r="A71" s="214" t="str">
        <f>IFS($B71=FALSE,"",$B71,VLOOKUP($B71,'PATIENT DATA (072721)'!A:C, 2, 0))</f>
        <v/>
      </c>
      <c r="B71" s="215"/>
      <c r="C71" s="230" t="str">
        <f>IF(COUNTIF('PATIENT DATA (072721)'!A:A, B71)=0, "X","✓")</f>
        <v>X</v>
      </c>
      <c r="D71" s="226" t="str">
        <f>IFS($B71=FALSE,"",$B71,VLOOKUP($B71,'PATIENT DATA (072721)'!A:C, 3, 0))</f>
        <v/>
      </c>
      <c r="E71" s="218">
        <v>44580.0</v>
      </c>
      <c r="F71" s="219" t="str">
        <f>ifs($B71="","",$B71, VLOOKUP($B71&amp;$E71, 'VISIT DATA'!A:O,3,0))</f>
        <v/>
      </c>
      <c r="G71" s="231"/>
      <c r="H71" s="221" t="str">
        <f>ifs($B71="","",$B71, VLOOKUP($B71&amp;$E71, 'VISIT DATA'!$A:$O,13,0))</f>
        <v/>
      </c>
      <c r="I71" s="262" t="str">
        <f>VLOOKUP($B71&amp;$E71,'VISIT DATA'!A:J, 9, FALSE)</f>
        <v>#N/A</v>
      </c>
      <c r="J71" s="223" t="str">
        <f>VLOOKUP(B71&amp;E71,'VISIT DATA'!A:N,10,FALSE)</f>
        <v>#N/A</v>
      </c>
      <c r="K71" s="225"/>
      <c r="L71" s="224"/>
      <c r="M71" s="224"/>
      <c r="N71" s="225"/>
      <c r="O71" s="216" t="str">
        <f t="shared" si="1"/>
        <v>X</v>
      </c>
      <c r="P71" s="226" t="str">
        <f t="shared" si="2"/>
        <v>#N/A</v>
      </c>
      <c r="Q71" s="227" t="str">
        <f t="shared" si="3"/>
        <v>#N/A</v>
      </c>
      <c r="R71" s="228" t="str">
        <f t="shared" si="4"/>
        <v>#N/A</v>
      </c>
      <c r="S71" s="220" t="str">
        <f t="shared" si="5"/>
        <v>#N/A</v>
      </c>
      <c r="T71" s="220" t="str">
        <f t="shared" si="6"/>
        <v>#N/A</v>
      </c>
      <c r="U71" s="221">
        <f t="shared" si="7"/>
        <v>0</v>
      </c>
      <c r="V71" s="229" t="str">
        <f>ifs($N71="",VLOOKUP($B71&amp;$E71,'VISIT DATA'!$A$2:$J100,7,FALSE), $N71="SWAB","OUTSA-RW",$N71="SWQU","OUTSA-SaQu", AND($L71="X",$M71="X",$N71="QUEST"),"OUT-UAQPre",$N71="QUEST","OUT-UAQ", $N71="Walk in","ColUATele")</f>
        <v>#N/A</v>
      </c>
      <c r="W71" s="24" t="str">
        <f t="shared" si="8"/>
        <v>#N/A</v>
      </c>
      <c r="X71" s="222" t="str">
        <f t="shared" si="9"/>
        <v/>
      </c>
      <c r="Y71" s="222" t="str">
        <f t="shared" si="10"/>
        <v/>
      </c>
      <c r="Z71" s="224" t="str">
        <f t="shared" si="11"/>
        <v> </v>
      </c>
      <c r="AA71" s="244"/>
    </row>
    <row r="72">
      <c r="A72" s="214" t="str">
        <f>IFS($B72=FALSE,"",$B72,VLOOKUP($B72,'PATIENT DATA (072721)'!A:C, 2, 0))</f>
        <v/>
      </c>
      <c r="B72" s="215"/>
      <c r="C72" s="230" t="str">
        <f>IF(COUNTIF('PATIENT DATA (072721)'!A:A, B72)=0, "X","✓")</f>
        <v>X</v>
      </c>
      <c r="D72" s="226" t="str">
        <f>IFS($B72=FALSE,"",$B72,VLOOKUP($B72,'PATIENT DATA (072721)'!A:C, 3, 0))</f>
        <v/>
      </c>
      <c r="E72" s="218">
        <v>44580.0</v>
      </c>
      <c r="F72" s="219" t="str">
        <f>ifs($B72="","",$B72, VLOOKUP($B72&amp;$E72, 'VISIT DATA'!A:O,3,0))</f>
        <v/>
      </c>
      <c r="G72" s="231"/>
      <c r="H72" s="221" t="str">
        <f>ifs($B72="","",$B72, VLOOKUP($B72&amp;$E72, 'VISIT DATA'!$A:$O,13,0))</f>
        <v/>
      </c>
      <c r="I72" s="262" t="str">
        <f>VLOOKUP($B72&amp;$E72,'VISIT DATA'!A:J, 9, FALSE)</f>
        <v>#N/A</v>
      </c>
      <c r="J72" s="223" t="str">
        <f>VLOOKUP(B72&amp;E72,'VISIT DATA'!A:N,10,FALSE)</f>
        <v>#N/A</v>
      </c>
      <c r="K72" s="225"/>
      <c r="L72" s="224"/>
      <c r="M72" s="224"/>
      <c r="N72" s="225"/>
      <c r="O72" s="216" t="str">
        <f t="shared" si="1"/>
        <v>X</v>
      </c>
      <c r="P72" s="226" t="str">
        <f t="shared" si="2"/>
        <v>#N/A</v>
      </c>
      <c r="Q72" s="227" t="str">
        <f t="shared" si="3"/>
        <v>#N/A</v>
      </c>
      <c r="R72" s="228" t="str">
        <f t="shared" si="4"/>
        <v>#N/A</v>
      </c>
      <c r="S72" s="220" t="str">
        <f t="shared" si="5"/>
        <v>#N/A</v>
      </c>
      <c r="T72" s="220" t="str">
        <f t="shared" si="6"/>
        <v>#N/A</v>
      </c>
      <c r="U72" s="221">
        <f t="shared" si="7"/>
        <v>0</v>
      </c>
      <c r="V72" s="229" t="str">
        <f>ifs($N72="",VLOOKUP($B72&amp;$E72,'VISIT DATA'!$A$2:$J100,7,FALSE), $N72="SWAB","OUTSA-RW",$N72="SWQU","OUTSA-SaQu", AND($L72="X",$M72="X",$N72="QUEST"),"OUT-UAQPre",$N72="QUEST","OUT-UAQ", $N72="Walk in","ColUATele")</f>
        <v>#N/A</v>
      </c>
      <c r="W72" s="24" t="str">
        <f t="shared" si="8"/>
        <v>#N/A</v>
      </c>
      <c r="X72" s="222" t="str">
        <f t="shared" si="9"/>
        <v/>
      </c>
      <c r="Y72" s="222" t="str">
        <f t="shared" si="10"/>
        <v/>
      </c>
      <c r="Z72" s="224" t="str">
        <f t="shared" si="11"/>
        <v> </v>
      </c>
      <c r="AA72" s="244"/>
    </row>
    <row r="73">
      <c r="A73" s="214" t="str">
        <f>IFS($B73=FALSE,"",$B73,VLOOKUP($B73,'PATIENT DATA (072721)'!A:C, 2, 0))</f>
        <v/>
      </c>
      <c r="B73" s="215"/>
      <c r="C73" s="230" t="str">
        <f>IF(COUNTIF('PATIENT DATA (072721)'!A:A, B73)=0, "X","✓")</f>
        <v>X</v>
      </c>
      <c r="D73" s="226" t="str">
        <f>IFS($B73=FALSE,"",$B73,VLOOKUP($B73,'PATIENT DATA (072721)'!A:C, 3, 0))</f>
        <v/>
      </c>
      <c r="E73" s="218">
        <v>44580.0</v>
      </c>
      <c r="F73" s="219" t="str">
        <f>ifs($B73="","",$B73, VLOOKUP($B73&amp;$E73, 'VISIT DATA'!A:O,3,0))</f>
        <v/>
      </c>
      <c r="G73" s="231"/>
      <c r="H73" s="221" t="str">
        <f>ifs($B73="","",$B73, VLOOKUP($B73&amp;$E73, 'VISIT DATA'!$A:$O,13,0))</f>
        <v/>
      </c>
      <c r="I73" s="262" t="str">
        <f>VLOOKUP($B73&amp;$E73,'VISIT DATA'!A:J, 9, FALSE)</f>
        <v>#N/A</v>
      </c>
      <c r="J73" s="223" t="str">
        <f>VLOOKUP(B73&amp;E73,'VISIT DATA'!A:N,10,FALSE)</f>
        <v>#N/A</v>
      </c>
      <c r="K73" s="225"/>
      <c r="L73" s="224"/>
      <c r="M73" s="224"/>
      <c r="N73" s="225"/>
      <c r="O73" s="216" t="str">
        <f t="shared" si="1"/>
        <v>X</v>
      </c>
      <c r="P73" s="226" t="str">
        <f t="shared" si="2"/>
        <v>#N/A</v>
      </c>
      <c r="Q73" s="227" t="str">
        <f t="shared" si="3"/>
        <v>#N/A</v>
      </c>
      <c r="R73" s="228" t="str">
        <f t="shared" si="4"/>
        <v>#N/A</v>
      </c>
      <c r="S73" s="220" t="str">
        <f t="shared" si="5"/>
        <v>#N/A</v>
      </c>
      <c r="T73" s="220" t="str">
        <f t="shared" si="6"/>
        <v>#N/A</v>
      </c>
      <c r="U73" s="221">
        <f t="shared" si="7"/>
        <v>0</v>
      </c>
      <c r="V73" s="229" t="str">
        <f>ifs($N73="",VLOOKUP($B73&amp;$E73,'VISIT DATA'!$A$2:$J100,7,FALSE), $N73="SWAB","OUTSA-RW",$N73="SWQU","OUTSA-SaQu", AND($L73="X",$M73="X",$N73="QUEST"),"OUT-UAQPre",$N73="QUEST","OUT-UAQ", $N73="Walk in","ColUATele")</f>
        <v>#N/A</v>
      </c>
      <c r="W73" s="24" t="str">
        <f t="shared" si="8"/>
        <v>#N/A</v>
      </c>
      <c r="X73" s="222" t="str">
        <f t="shared" si="9"/>
        <v/>
      </c>
      <c r="Y73" s="222" t="str">
        <f t="shared" si="10"/>
        <v/>
      </c>
      <c r="Z73" s="224" t="str">
        <f t="shared" si="11"/>
        <v> </v>
      </c>
      <c r="AA73" s="244"/>
    </row>
    <row r="74">
      <c r="A74" s="214" t="str">
        <f>IFS($B74=FALSE,"",$B74,VLOOKUP($B74,'PATIENT DATA (072721)'!A:C, 2, 0))</f>
        <v/>
      </c>
      <c r="B74" s="215"/>
      <c r="C74" s="230" t="str">
        <f>IF(COUNTIF('PATIENT DATA (072721)'!A:A, B74)=0, "X","✓")</f>
        <v>X</v>
      </c>
      <c r="D74" s="226" t="str">
        <f>IFS($B74=FALSE,"",$B74,VLOOKUP($B74,'PATIENT DATA (072721)'!A:C, 3, 0))</f>
        <v/>
      </c>
      <c r="E74" s="218">
        <v>44580.0</v>
      </c>
      <c r="F74" s="219" t="str">
        <f>ifs($B74="","",$B74, VLOOKUP($B74&amp;$E74, 'VISIT DATA'!A:O,3,0))</f>
        <v/>
      </c>
      <c r="G74" s="231"/>
      <c r="H74" s="221" t="str">
        <f>ifs($B74="","",$B74, VLOOKUP($B74&amp;$E74, 'VISIT DATA'!$A:$O,13,0))</f>
        <v/>
      </c>
      <c r="I74" s="262" t="str">
        <f>VLOOKUP($B74&amp;$E74,'VISIT DATA'!A:J, 9, FALSE)</f>
        <v>#N/A</v>
      </c>
      <c r="J74" s="223" t="str">
        <f>VLOOKUP(B74&amp;E74,'VISIT DATA'!A:N,10,FALSE)</f>
        <v>#N/A</v>
      </c>
      <c r="K74" s="225"/>
      <c r="L74" s="224"/>
      <c r="M74" s="224"/>
      <c r="N74" s="225"/>
      <c r="O74" s="216" t="str">
        <f t="shared" si="1"/>
        <v>X</v>
      </c>
      <c r="P74" s="226" t="str">
        <f t="shared" si="2"/>
        <v>#N/A</v>
      </c>
      <c r="Q74" s="227" t="str">
        <f t="shared" si="3"/>
        <v>#N/A</v>
      </c>
      <c r="R74" s="228" t="str">
        <f t="shared" si="4"/>
        <v>#N/A</v>
      </c>
      <c r="S74" s="220" t="str">
        <f t="shared" si="5"/>
        <v>#N/A</v>
      </c>
      <c r="T74" s="220" t="str">
        <f t="shared" si="6"/>
        <v>#N/A</v>
      </c>
      <c r="U74" s="221">
        <f t="shared" si="7"/>
        <v>0</v>
      </c>
      <c r="V74" s="229" t="str">
        <f>ifs($N74="",VLOOKUP($B74&amp;$E74,'VISIT DATA'!$A$2:$J100,7,FALSE), $N74="SWAB","OUTSA-RW",$N74="SWQU","OUTSA-SaQu", AND($L74="X",$M74="X",$N74="QUEST"),"OUT-UAQPre",$N74="QUEST","OUT-UAQ", $N74="Walk in","ColUATele")</f>
        <v>#N/A</v>
      </c>
      <c r="W74" s="24" t="str">
        <f t="shared" si="8"/>
        <v>#N/A</v>
      </c>
      <c r="X74" s="222" t="str">
        <f t="shared" si="9"/>
        <v/>
      </c>
      <c r="Y74" s="222" t="str">
        <f t="shared" si="10"/>
        <v/>
      </c>
      <c r="Z74" s="224" t="str">
        <f t="shared" si="11"/>
        <v> </v>
      </c>
      <c r="AA74" s="244"/>
    </row>
    <row r="75">
      <c r="A75" s="214" t="str">
        <f>IFS($B75=FALSE,"",$B75,VLOOKUP($B75,'PATIENT DATA (072721)'!A:C, 2, 0))</f>
        <v/>
      </c>
      <c r="B75" s="215"/>
      <c r="C75" s="230" t="str">
        <f>IF(COUNTIF('PATIENT DATA (072721)'!A:A, B75)=0, "X","✓")</f>
        <v>X</v>
      </c>
      <c r="D75" s="226" t="str">
        <f>IFS($B75=FALSE,"",$B75,VLOOKUP($B75,'PATIENT DATA (072721)'!A:C, 3, 0))</f>
        <v/>
      </c>
      <c r="E75" s="218">
        <v>44580.0</v>
      </c>
      <c r="F75" s="219" t="str">
        <f>ifs($B75="","",$B75, VLOOKUP($B75&amp;$E75, 'VISIT DATA'!A:O,3,0))</f>
        <v/>
      </c>
      <c r="G75" s="231"/>
      <c r="H75" s="221" t="str">
        <f>ifs($B75="","",$B75, VLOOKUP($B75&amp;$E75, 'VISIT DATA'!$A:$O,13,0))</f>
        <v/>
      </c>
      <c r="I75" s="262" t="str">
        <f>VLOOKUP($B75&amp;$E75,'VISIT DATA'!A:J, 9, FALSE)</f>
        <v>#N/A</v>
      </c>
      <c r="J75" s="223" t="str">
        <f>VLOOKUP(B75&amp;E75,'VISIT DATA'!A:N,10,FALSE)</f>
        <v>#N/A</v>
      </c>
      <c r="K75" s="225"/>
      <c r="L75" s="224"/>
      <c r="M75" s="224"/>
      <c r="N75" s="225"/>
      <c r="O75" s="216" t="str">
        <f t="shared" si="1"/>
        <v>X</v>
      </c>
      <c r="P75" s="226" t="str">
        <f t="shared" si="2"/>
        <v>#N/A</v>
      </c>
      <c r="Q75" s="227" t="str">
        <f t="shared" si="3"/>
        <v>#N/A</v>
      </c>
      <c r="R75" s="228" t="str">
        <f t="shared" si="4"/>
        <v>#N/A</v>
      </c>
      <c r="S75" s="220" t="str">
        <f t="shared" si="5"/>
        <v>#N/A</v>
      </c>
      <c r="T75" s="220" t="str">
        <f t="shared" si="6"/>
        <v>#N/A</v>
      </c>
      <c r="U75" s="221">
        <f t="shared" si="7"/>
        <v>0</v>
      </c>
      <c r="V75" s="229" t="str">
        <f>ifs($N75="",VLOOKUP($B75&amp;$E75,'VISIT DATA'!$A$2:$J100,7,FALSE), $N75="SWAB","OUTSA-RW",$N75="SWQU","OUTSA-SaQu", AND($L75="X",$M75="X",$N75="QUEST"),"OUT-UAQPre",$N75="QUEST","OUT-UAQ", $N75="Walk in","ColUATele")</f>
        <v>#N/A</v>
      </c>
      <c r="W75" s="24" t="str">
        <f t="shared" si="8"/>
        <v>#N/A</v>
      </c>
      <c r="X75" s="222" t="str">
        <f t="shared" si="9"/>
        <v/>
      </c>
      <c r="Y75" s="222" t="str">
        <f t="shared" si="10"/>
        <v/>
      </c>
      <c r="Z75" s="224" t="str">
        <f t="shared" si="11"/>
        <v> </v>
      </c>
      <c r="AA75" s="244"/>
    </row>
    <row r="76">
      <c r="A76" s="214" t="str">
        <f>IFS($B76=FALSE,"",$B76,VLOOKUP($B76,'PATIENT DATA (072721)'!A:C, 2, 0))</f>
        <v/>
      </c>
      <c r="B76" s="215"/>
      <c r="C76" s="230" t="str">
        <f>IF(COUNTIF('PATIENT DATA (072721)'!A:A, B76)=0, "X","✓")</f>
        <v>X</v>
      </c>
      <c r="D76" s="226" t="str">
        <f>IFS($B76=FALSE,"",$B76,VLOOKUP($B76,'PATIENT DATA (072721)'!A:C, 3, 0))</f>
        <v/>
      </c>
      <c r="E76" s="218">
        <v>44580.0</v>
      </c>
      <c r="F76" s="219" t="str">
        <f>ifs($B76="","",$B76, VLOOKUP($B76&amp;$E76, 'VISIT DATA'!A:O,3,0))</f>
        <v/>
      </c>
      <c r="G76" s="231"/>
      <c r="H76" s="221" t="str">
        <f>ifs($B76="","",$B76, VLOOKUP($B76&amp;$E76, 'VISIT DATA'!$A:$O,13,0))</f>
        <v/>
      </c>
      <c r="I76" s="262" t="str">
        <f>VLOOKUP($B76&amp;$E76,'VISIT DATA'!A:J, 9, FALSE)</f>
        <v>#N/A</v>
      </c>
      <c r="J76" s="223" t="str">
        <f>VLOOKUP(B76&amp;E76,'VISIT DATA'!A:N,10,FALSE)</f>
        <v>#N/A</v>
      </c>
      <c r="K76" s="225"/>
      <c r="L76" s="224"/>
      <c r="M76" s="224"/>
      <c r="N76" s="225"/>
      <c r="O76" s="216" t="str">
        <f t="shared" si="1"/>
        <v>X</v>
      </c>
      <c r="P76" s="226" t="str">
        <f t="shared" si="2"/>
        <v>#N/A</v>
      </c>
      <c r="Q76" s="227" t="str">
        <f t="shared" si="3"/>
        <v>#N/A</v>
      </c>
      <c r="R76" s="228" t="str">
        <f t="shared" si="4"/>
        <v>#N/A</v>
      </c>
      <c r="S76" s="220" t="str">
        <f t="shared" si="5"/>
        <v>#N/A</v>
      </c>
      <c r="T76" s="220" t="str">
        <f t="shared" si="6"/>
        <v>#N/A</v>
      </c>
      <c r="U76" s="221">
        <f t="shared" si="7"/>
        <v>0</v>
      </c>
      <c r="V76" s="229" t="str">
        <f>ifs($N76="",VLOOKUP($B76&amp;$E76,'VISIT DATA'!$A$2:$J100,7,FALSE), $N76="SWAB","OUTSA-RW",$N76="SWQU","OUTSA-SaQu", AND($L76="X",$M76="X",$N76="QUEST"),"OUT-UAQPre",$N76="QUEST","OUT-UAQ", $N76="Walk in","ColUATele")</f>
        <v>#N/A</v>
      </c>
      <c r="W76" s="24" t="str">
        <f t="shared" si="8"/>
        <v>#N/A</v>
      </c>
      <c r="X76" s="222" t="str">
        <f t="shared" si="9"/>
        <v/>
      </c>
      <c r="Y76" s="222" t="str">
        <f t="shared" si="10"/>
        <v/>
      </c>
      <c r="Z76" s="224" t="str">
        <f t="shared" si="11"/>
        <v> </v>
      </c>
      <c r="AA76" s="244"/>
    </row>
    <row r="77">
      <c r="A77" s="214" t="str">
        <f>IFS($B77=FALSE,"",$B77,VLOOKUP($B77,'PATIENT DATA (072721)'!A:C, 2, 0))</f>
        <v/>
      </c>
      <c r="B77" s="215"/>
      <c r="C77" s="230" t="str">
        <f>IF(COUNTIF('PATIENT DATA (072721)'!A:A, B77)=0, "X","✓")</f>
        <v>X</v>
      </c>
      <c r="D77" s="226" t="str">
        <f>IFS($B77=FALSE,"",$B77,VLOOKUP($B77,'PATIENT DATA (072721)'!A:C, 3, 0))</f>
        <v/>
      </c>
      <c r="E77" s="218">
        <v>44580.0</v>
      </c>
      <c r="F77" s="219" t="str">
        <f>ifs($B77="","",$B77, VLOOKUP($B77&amp;$E77, 'VISIT DATA'!A:O,3,0))</f>
        <v/>
      </c>
      <c r="G77" s="231"/>
      <c r="H77" s="221" t="str">
        <f>ifs($B77="","",$B77, VLOOKUP($B77&amp;$E77, 'VISIT DATA'!$A:$O,13,0))</f>
        <v/>
      </c>
      <c r="I77" s="262" t="str">
        <f>VLOOKUP($B77&amp;$E77,'VISIT DATA'!A:J, 9, FALSE)</f>
        <v>#N/A</v>
      </c>
      <c r="J77" s="223" t="str">
        <f>VLOOKUP(B77&amp;E77,'VISIT DATA'!A:N,10,FALSE)</f>
        <v>#N/A</v>
      </c>
      <c r="K77" s="225"/>
      <c r="L77" s="224"/>
      <c r="M77" s="224"/>
      <c r="N77" s="225"/>
      <c r="O77" s="216" t="str">
        <f t="shared" si="1"/>
        <v>X</v>
      </c>
      <c r="P77" s="226" t="str">
        <f t="shared" si="2"/>
        <v>#N/A</v>
      </c>
      <c r="Q77" s="227" t="str">
        <f t="shared" si="3"/>
        <v>#N/A</v>
      </c>
      <c r="R77" s="228" t="str">
        <f t="shared" si="4"/>
        <v>#N/A</v>
      </c>
      <c r="S77" s="220" t="str">
        <f t="shared" si="5"/>
        <v>#N/A</v>
      </c>
      <c r="T77" s="220" t="str">
        <f t="shared" si="6"/>
        <v>#N/A</v>
      </c>
      <c r="U77" s="221">
        <f t="shared" si="7"/>
        <v>0</v>
      </c>
      <c r="V77" s="229" t="str">
        <f>ifs($N77="",VLOOKUP($B77&amp;$E77,'VISIT DATA'!$A$2:$J100,7,FALSE), $N77="SWAB","OUTSA-RW",$N77="SWQU","OUTSA-SaQu", AND($L77="X",$M77="X",$N77="QUEST"),"OUT-UAQPre",$N77="QUEST","OUT-UAQ", $N77="Walk in","ColUATele")</f>
        <v>#N/A</v>
      </c>
      <c r="W77" s="24" t="str">
        <f t="shared" si="8"/>
        <v>#N/A</v>
      </c>
      <c r="X77" s="222" t="str">
        <f t="shared" si="9"/>
        <v/>
      </c>
      <c r="Y77" s="222" t="str">
        <f t="shared" si="10"/>
        <v/>
      </c>
      <c r="Z77" s="224" t="str">
        <f t="shared" si="11"/>
        <v> </v>
      </c>
      <c r="AA77" s="244"/>
    </row>
    <row r="78">
      <c r="A78" s="214" t="str">
        <f>IFS($B78=FALSE,"",$B78,VLOOKUP($B78,'PATIENT DATA (072721)'!A:C, 2, 0))</f>
        <v/>
      </c>
      <c r="B78" s="215"/>
      <c r="C78" s="230" t="str">
        <f>IF(COUNTIF('PATIENT DATA (072721)'!A:A, B78)=0, "X","✓")</f>
        <v>X</v>
      </c>
      <c r="D78" s="226" t="str">
        <f>IFS($B78=FALSE,"",$B78,VLOOKUP($B78,'PATIENT DATA (072721)'!A:C, 3, 0))</f>
        <v/>
      </c>
      <c r="E78" s="218">
        <v>44580.0</v>
      </c>
      <c r="F78" s="219" t="str">
        <f>ifs($B78="","",$B78, VLOOKUP($B78&amp;$E78, 'VISIT DATA'!A:O,3,0))</f>
        <v/>
      </c>
      <c r="G78" s="231"/>
      <c r="H78" s="221" t="str">
        <f>ifs($B78="","",$B78, VLOOKUP($B78&amp;$E78, 'VISIT DATA'!$A:$O,13,0))</f>
        <v/>
      </c>
      <c r="I78" s="262" t="str">
        <f>VLOOKUP($B78&amp;$E78,'VISIT DATA'!A:J, 9, FALSE)</f>
        <v>#N/A</v>
      </c>
      <c r="J78" s="223" t="str">
        <f>VLOOKUP(B78&amp;E78,'VISIT DATA'!A:N,10,FALSE)</f>
        <v>#N/A</v>
      </c>
      <c r="K78" s="225"/>
      <c r="L78" s="224"/>
      <c r="M78" s="224"/>
      <c r="N78" s="225"/>
      <c r="O78" s="216" t="str">
        <f t="shared" si="1"/>
        <v>X</v>
      </c>
      <c r="P78" s="226" t="str">
        <f t="shared" si="2"/>
        <v>#N/A</v>
      </c>
      <c r="Q78" s="227" t="str">
        <f t="shared" si="3"/>
        <v>#N/A</v>
      </c>
      <c r="R78" s="228" t="str">
        <f t="shared" si="4"/>
        <v>#N/A</v>
      </c>
      <c r="S78" s="220" t="str">
        <f t="shared" si="5"/>
        <v>#N/A</v>
      </c>
      <c r="T78" s="220" t="str">
        <f t="shared" si="6"/>
        <v>#N/A</v>
      </c>
      <c r="U78" s="221">
        <f t="shared" si="7"/>
        <v>0</v>
      </c>
      <c r="V78" s="229" t="str">
        <f>ifs($N78="",VLOOKUP($B78&amp;$E78,'VISIT DATA'!$A$2:$J100,7,FALSE), $N78="SWAB","OUTSA-RW",$N78="SWQU","OUTSA-SaQu", AND($L78="X",$M78="X",$N78="QUEST"),"OUT-UAQPre",$N78="QUEST","OUT-UAQ", $N78="Walk in","ColUATele")</f>
        <v>#N/A</v>
      </c>
      <c r="W78" s="24" t="str">
        <f t="shared" si="8"/>
        <v>#N/A</v>
      </c>
      <c r="X78" s="222" t="str">
        <f t="shared" si="9"/>
        <v/>
      </c>
      <c r="Y78" s="222" t="str">
        <f t="shared" si="10"/>
        <v/>
      </c>
      <c r="Z78" s="224" t="str">
        <f t="shared" si="11"/>
        <v> </v>
      </c>
      <c r="AA78" s="244"/>
    </row>
    <row r="79">
      <c r="A79" s="214" t="str">
        <f>IFS($B79=FALSE,"",$B79,VLOOKUP($B79,'PATIENT DATA (072721)'!A:C, 2, 0))</f>
        <v/>
      </c>
      <c r="B79" s="215"/>
      <c r="C79" s="230" t="str">
        <f>IF(COUNTIF('PATIENT DATA (072721)'!A:A, B79)=0, "X","✓")</f>
        <v>X</v>
      </c>
      <c r="D79" s="226" t="str">
        <f>IFS($B79=FALSE,"",$B79,VLOOKUP($B79,'PATIENT DATA (072721)'!A:C, 3, 0))</f>
        <v/>
      </c>
      <c r="E79" s="218">
        <v>44580.0</v>
      </c>
      <c r="F79" s="219" t="str">
        <f>ifs($B79="","",$B79, VLOOKUP($B79&amp;$E79, 'VISIT DATA'!A:O,3,0))</f>
        <v/>
      </c>
      <c r="G79" s="231"/>
      <c r="H79" s="221" t="str">
        <f>ifs($B79="","",$B79, VLOOKUP($B79&amp;$E79, 'VISIT DATA'!$A:$O,13,0))</f>
        <v/>
      </c>
      <c r="I79" s="262" t="str">
        <f>VLOOKUP($B79&amp;$E79,'VISIT DATA'!A:J, 9, FALSE)</f>
        <v>#N/A</v>
      </c>
      <c r="J79" s="223" t="str">
        <f>VLOOKUP(B79&amp;E79,'VISIT DATA'!A:N,10,FALSE)</f>
        <v>#N/A</v>
      </c>
      <c r="K79" s="225"/>
      <c r="L79" s="224"/>
      <c r="M79" s="224"/>
      <c r="N79" s="225"/>
      <c r="O79" s="216" t="str">
        <f t="shared" si="1"/>
        <v>X</v>
      </c>
      <c r="P79" s="226" t="str">
        <f t="shared" si="2"/>
        <v>#N/A</v>
      </c>
      <c r="Q79" s="227" t="str">
        <f t="shared" si="3"/>
        <v>#N/A</v>
      </c>
      <c r="R79" s="228" t="str">
        <f t="shared" si="4"/>
        <v>#N/A</v>
      </c>
      <c r="S79" s="220" t="str">
        <f t="shared" si="5"/>
        <v>#N/A</v>
      </c>
      <c r="T79" s="220" t="str">
        <f t="shared" si="6"/>
        <v>#N/A</v>
      </c>
      <c r="U79" s="221">
        <f t="shared" si="7"/>
        <v>0</v>
      </c>
      <c r="V79" s="229" t="str">
        <f>ifs($N79="",VLOOKUP($B79&amp;$E79,'VISIT DATA'!$A$2:$J100,7,FALSE), $N79="SWAB","OUTSA-RW",$N79="SWQU","OUTSA-SaQu", AND($L79="X",$M79="X",$N79="QUEST"),"OUT-UAQPre",$N79="QUEST","OUT-UAQ", $N79="Walk in","ColUATele")</f>
        <v>#N/A</v>
      </c>
      <c r="W79" s="24" t="str">
        <f t="shared" si="8"/>
        <v>#N/A</v>
      </c>
      <c r="X79" s="222" t="str">
        <f t="shared" si="9"/>
        <v/>
      </c>
      <c r="Y79" s="222" t="str">
        <f t="shared" si="10"/>
        <v/>
      </c>
      <c r="Z79" s="224" t="str">
        <f t="shared" si="11"/>
        <v> </v>
      </c>
      <c r="AA79" s="244"/>
    </row>
    <row r="80">
      <c r="A80" s="214" t="str">
        <f>IFS($B80=FALSE,"",$B80,VLOOKUP($B80,'PATIENT DATA (072721)'!A:C, 2, 0))</f>
        <v/>
      </c>
      <c r="B80" s="215"/>
      <c r="C80" s="230" t="str">
        <f>IF(COUNTIF('PATIENT DATA (072721)'!A:A, B80)=0, "X","✓")</f>
        <v>X</v>
      </c>
      <c r="D80" s="226" t="str">
        <f>IFS($B80=FALSE,"",$B80,VLOOKUP($B80,'PATIENT DATA (072721)'!A:C, 3, 0))</f>
        <v/>
      </c>
      <c r="E80" s="218">
        <v>44580.0</v>
      </c>
      <c r="F80" s="219" t="str">
        <f>ifs($B80="","",$B80, VLOOKUP($B80&amp;$E80, 'VISIT DATA'!A:O,3,0))</f>
        <v/>
      </c>
      <c r="G80" s="231"/>
      <c r="H80" s="221" t="str">
        <f>ifs($B80="","",$B80, VLOOKUP($B80&amp;$E80, 'VISIT DATA'!$A:$O,13,0))</f>
        <v/>
      </c>
      <c r="I80" s="262" t="str">
        <f>VLOOKUP($B80&amp;$E80,'VISIT DATA'!A:J, 9, FALSE)</f>
        <v>#N/A</v>
      </c>
      <c r="J80" s="223" t="str">
        <f>VLOOKUP(B80&amp;E80,'VISIT DATA'!A:N,10,FALSE)</f>
        <v>#N/A</v>
      </c>
      <c r="K80" s="225"/>
      <c r="L80" s="224"/>
      <c r="M80" s="224"/>
      <c r="N80" s="225"/>
      <c r="O80" s="216" t="str">
        <f t="shared" si="1"/>
        <v>X</v>
      </c>
      <c r="P80" s="226" t="str">
        <f t="shared" si="2"/>
        <v>#N/A</v>
      </c>
      <c r="Q80" s="227" t="str">
        <f t="shared" si="3"/>
        <v>#N/A</v>
      </c>
      <c r="R80" s="228" t="str">
        <f t="shared" si="4"/>
        <v>#N/A</v>
      </c>
      <c r="S80" s="220" t="str">
        <f t="shared" si="5"/>
        <v>#N/A</v>
      </c>
      <c r="T80" s="220" t="str">
        <f t="shared" si="6"/>
        <v>#N/A</v>
      </c>
      <c r="U80" s="221">
        <f t="shared" si="7"/>
        <v>0</v>
      </c>
      <c r="V80" s="229" t="str">
        <f>ifs($N80="",VLOOKUP($B80&amp;$E80,'VISIT DATA'!$A$2:$J100,7,FALSE), $N80="SWAB","OUTSA-RW",$N80="SWQU","OUTSA-SaQu", AND($L80="X",$M80="X",$N80="QUEST"),"OUT-UAQPre",$N80="QUEST","OUT-UAQ", $N80="Walk in","ColUATele")</f>
        <v>#N/A</v>
      </c>
      <c r="W80" s="24" t="str">
        <f t="shared" si="8"/>
        <v>#N/A</v>
      </c>
      <c r="X80" s="222" t="str">
        <f t="shared" si="9"/>
        <v/>
      </c>
      <c r="Y80" s="222" t="str">
        <f t="shared" si="10"/>
        <v/>
      </c>
      <c r="Z80" s="224" t="str">
        <f t="shared" si="11"/>
        <v> </v>
      </c>
      <c r="AA80" s="244"/>
    </row>
    <row r="81">
      <c r="A81" s="214" t="str">
        <f>IFS($B81=FALSE,"",$B81,VLOOKUP($B81,'PATIENT DATA (072721)'!A:C, 2, 0))</f>
        <v/>
      </c>
      <c r="B81" s="215"/>
      <c r="C81" s="230" t="str">
        <f>IF(COUNTIF('PATIENT DATA (072721)'!A:A, B81)=0, "X","✓")</f>
        <v>X</v>
      </c>
      <c r="D81" s="226" t="str">
        <f>IFS($B81=FALSE,"",$B81,VLOOKUP($B81,'PATIENT DATA (072721)'!A:C, 3, 0))</f>
        <v/>
      </c>
      <c r="E81" s="218">
        <v>44580.0</v>
      </c>
      <c r="F81" s="219" t="str">
        <f>ifs($B81="","",$B81, VLOOKUP($B81&amp;$E81, 'VISIT DATA'!A:O,3,0))</f>
        <v/>
      </c>
      <c r="G81" s="231"/>
      <c r="H81" s="221" t="str">
        <f>ifs($B81="","",$B81, VLOOKUP($B81&amp;$E81, 'VISIT DATA'!$A:$O,13,0))</f>
        <v/>
      </c>
      <c r="I81" s="262" t="str">
        <f>VLOOKUP($B81&amp;$E81,'VISIT DATA'!A:J, 9, FALSE)</f>
        <v>#N/A</v>
      </c>
      <c r="J81" s="223" t="str">
        <f>VLOOKUP(B81&amp;E81,'VISIT DATA'!A:N,10,FALSE)</f>
        <v>#N/A</v>
      </c>
      <c r="K81" s="225"/>
      <c r="L81" s="224"/>
      <c r="M81" s="224"/>
      <c r="N81" s="225"/>
      <c r="O81" s="216" t="str">
        <f t="shared" si="1"/>
        <v>X</v>
      </c>
      <c r="P81" s="226" t="str">
        <f t="shared" si="2"/>
        <v>#N/A</v>
      </c>
      <c r="Q81" s="227" t="str">
        <f t="shared" si="3"/>
        <v>#N/A</v>
      </c>
      <c r="R81" s="228" t="str">
        <f t="shared" si="4"/>
        <v>#N/A</v>
      </c>
      <c r="S81" s="220" t="str">
        <f t="shared" si="5"/>
        <v>#N/A</v>
      </c>
      <c r="T81" s="220" t="str">
        <f t="shared" si="6"/>
        <v>#N/A</v>
      </c>
      <c r="U81" s="221">
        <f t="shared" si="7"/>
        <v>0</v>
      </c>
      <c r="V81" s="229" t="str">
        <f>ifs($N81="",VLOOKUP($B81&amp;$E81,'VISIT DATA'!$A$2:$J100,7,FALSE), $N81="SWAB","OUTSA-RW",$N81="SWQU","OUTSA-SaQu", AND($L81="X",$M81="X",$N81="QUEST"),"OUT-UAQPre",$N81="QUEST","OUT-UAQ", $N81="Walk in","ColUATele")</f>
        <v>#N/A</v>
      </c>
      <c r="W81" s="24" t="str">
        <f t="shared" si="8"/>
        <v>#N/A</v>
      </c>
      <c r="X81" s="222" t="str">
        <f t="shared" si="9"/>
        <v/>
      </c>
      <c r="Y81" s="222" t="str">
        <f t="shared" si="10"/>
        <v/>
      </c>
      <c r="Z81" s="224" t="str">
        <f t="shared" si="11"/>
        <v> </v>
      </c>
      <c r="AA81" s="244"/>
    </row>
    <row r="82">
      <c r="A82" s="214" t="str">
        <f>IFS($B82=FALSE,"",$B82,VLOOKUP($B82,'PATIENT DATA (072721)'!A:C, 2, 0))</f>
        <v/>
      </c>
      <c r="B82" s="215"/>
      <c r="C82" s="230" t="str">
        <f>IF(COUNTIF('PATIENT DATA (072721)'!A:A, B82)=0, "X","✓")</f>
        <v>X</v>
      </c>
      <c r="D82" s="226" t="str">
        <f>IFS($B82=FALSE,"",$B82,VLOOKUP($B82,'PATIENT DATA (072721)'!A:C, 3, 0))</f>
        <v/>
      </c>
      <c r="E82" s="218">
        <v>44580.0</v>
      </c>
      <c r="F82" s="219" t="str">
        <f>ifs($B82="","",$B82, VLOOKUP($B82&amp;$E82, 'VISIT DATA'!A:O,3,0))</f>
        <v/>
      </c>
      <c r="G82" s="231"/>
      <c r="H82" s="221" t="str">
        <f>ifs($B82="","",$B82, VLOOKUP($B82&amp;$E82, 'VISIT DATA'!$A:$O,13,0))</f>
        <v/>
      </c>
      <c r="I82" s="262" t="str">
        <f>VLOOKUP($B82&amp;$E82,'VISIT DATA'!A:J, 9, FALSE)</f>
        <v>#N/A</v>
      </c>
      <c r="J82" s="223" t="str">
        <f>VLOOKUP(B82&amp;E82,'VISIT DATA'!A:N,10,FALSE)</f>
        <v>#N/A</v>
      </c>
      <c r="K82" s="225"/>
      <c r="L82" s="224"/>
      <c r="M82" s="224"/>
      <c r="N82" s="225"/>
      <c r="O82" s="216" t="str">
        <f t="shared" si="1"/>
        <v>X</v>
      </c>
      <c r="P82" s="226" t="str">
        <f t="shared" si="2"/>
        <v>#N/A</v>
      </c>
      <c r="Q82" s="227" t="str">
        <f t="shared" si="3"/>
        <v>#N/A</v>
      </c>
      <c r="R82" s="228" t="str">
        <f t="shared" si="4"/>
        <v>#N/A</v>
      </c>
      <c r="S82" s="220" t="str">
        <f t="shared" si="5"/>
        <v>#N/A</v>
      </c>
      <c r="T82" s="220" t="str">
        <f t="shared" si="6"/>
        <v>#N/A</v>
      </c>
      <c r="U82" s="221">
        <f t="shared" si="7"/>
        <v>0</v>
      </c>
      <c r="V82" s="229" t="str">
        <f>ifs($N82="",VLOOKUP($B82&amp;$E82,'VISIT DATA'!$A$2:$J100,7,FALSE), $N82="SWAB","OUTSA-RW",$N82="SWQU","OUTSA-SaQu", AND($L82="X",$M82="X",$N82="QUEST"),"OUT-UAQPre",$N82="QUEST","OUT-UAQ", $N82="Walk in","ColUATele")</f>
        <v>#N/A</v>
      </c>
      <c r="W82" s="24" t="str">
        <f t="shared" si="8"/>
        <v>#N/A</v>
      </c>
      <c r="X82" s="222" t="str">
        <f t="shared" si="9"/>
        <v/>
      </c>
      <c r="Y82" s="222" t="str">
        <f t="shared" si="10"/>
        <v/>
      </c>
      <c r="Z82" s="224" t="str">
        <f t="shared" si="11"/>
        <v> </v>
      </c>
      <c r="AA82" s="244"/>
    </row>
    <row r="83">
      <c r="A83" s="214" t="str">
        <f>IFS($B83=FALSE,"",$B83,VLOOKUP($B83,'PATIENT DATA (072721)'!A:C, 2, 0))</f>
        <v/>
      </c>
      <c r="B83" s="215"/>
      <c r="C83" s="230" t="str">
        <f>IF(COUNTIF('PATIENT DATA (072721)'!A:A, B83)=0, "X","✓")</f>
        <v>X</v>
      </c>
      <c r="D83" s="226" t="str">
        <f>IFS($B83=FALSE,"",$B83,VLOOKUP($B83,'PATIENT DATA (072721)'!A:C, 3, 0))</f>
        <v/>
      </c>
      <c r="E83" s="218">
        <v>44580.0</v>
      </c>
      <c r="F83" s="219" t="str">
        <f>ifs($B83="","",$B83, VLOOKUP($B83&amp;$E83, 'VISIT DATA'!A:O,3,0))</f>
        <v/>
      </c>
      <c r="G83" s="231"/>
      <c r="H83" s="221" t="str">
        <f>ifs($B83="","",$B83, VLOOKUP($B83&amp;$E83, 'VISIT DATA'!$A:$O,13,0))</f>
        <v/>
      </c>
      <c r="I83" s="262" t="str">
        <f>VLOOKUP($B83&amp;$E83,'VISIT DATA'!A:J, 9, FALSE)</f>
        <v>#N/A</v>
      </c>
      <c r="J83" s="223" t="str">
        <f>VLOOKUP(B83&amp;E83,'VISIT DATA'!A:N,10,FALSE)</f>
        <v>#N/A</v>
      </c>
      <c r="K83" s="225"/>
      <c r="L83" s="224"/>
      <c r="M83" s="224"/>
      <c r="N83" s="225"/>
      <c r="O83" s="216" t="str">
        <f t="shared" si="1"/>
        <v>X</v>
      </c>
      <c r="P83" s="226" t="str">
        <f t="shared" si="2"/>
        <v>#N/A</v>
      </c>
      <c r="Q83" s="227" t="str">
        <f t="shared" si="3"/>
        <v>#N/A</v>
      </c>
      <c r="R83" s="228" t="str">
        <f t="shared" si="4"/>
        <v>#N/A</v>
      </c>
      <c r="S83" s="220" t="str">
        <f t="shared" si="5"/>
        <v>#N/A</v>
      </c>
      <c r="T83" s="220" t="str">
        <f t="shared" si="6"/>
        <v>#N/A</v>
      </c>
      <c r="U83" s="221">
        <f t="shared" si="7"/>
        <v>0</v>
      </c>
      <c r="V83" s="229" t="str">
        <f>ifs($N83="",VLOOKUP($B83&amp;$E83,'VISIT DATA'!$A$2:$J100,7,FALSE), $N83="SWAB","OUTSA-RW",$N83="SWQU","OUTSA-SaQu", AND($L83="X",$M83="X",$N83="QUEST"),"OUT-UAQPre",$N83="QUEST","OUT-UAQ", $N83="Walk in","ColUATele")</f>
        <v>#N/A</v>
      </c>
      <c r="W83" s="24" t="str">
        <f t="shared" si="8"/>
        <v>#N/A</v>
      </c>
      <c r="X83" s="222" t="str">
        <f t="shared" si="9"/>
        <v/>
      </c>
      <c r="Y83" s="222" t="str">
        <f t="shared" si="10"/>
        <v/>
      </c>
      <c r="Z83" s="224" t="str">
        <f t="shared" si="11"/>
        <v> </v>
      </c>
      <c r="AA83" s="244"/>
    </row>
    <row r="84">
      <c r="A84" s="214" t="str">
        <f>IFS($B84=FALSE,"",$B84,VLOOKUP($B84,'PATIENT DATA (072721)'!A:C, 2, 0))</f>
        <v/>
      </c>
      <c r="B84" s="215"/>
      <c r="C84" s="230" t="str">
        <f>IF(COUNTIF('PATIENT DATA (072721)'!A:A, B84)=0, "X","✓")</f>
        <v>X</v>
      </c>
      <c r="D84" s="226" t="str">
        <f>IFS($B84=FALSE,"",$B84,VLOOKUP($B84,'PATIENT DATA (072721)'!A:C, 3, 0))</f>
        <v/>
      </c>
      <c r="E84" s="218">
        <v>44580.0</v>
      </c>
      <c r="F84" s="219" t="str">
        <f>ifs($B84="","",$B84, VLOOKUP($B84&amp;$E84, 'VISIT DATA'!A:O,3,0))</f>
        <v/>
      </c>
      <c r="G84" s="231"/>
      <c r="H84" s="221" t="str">
        <f>ifs($B84="","",$B84, VLOOKUP($B84&amp;$E84, 'VISIT DATA'!$A:$O,13,0))</f>
        <v/>
      </c>
      <c r="I84" s="262" t="str">
        <f>VLOOKUP($B84&amp;$E84,'VISIT DATA'!A:J, 9, FALSE)</f>
        <v>#N/A</v>
      </c>
      <c r="J84" s="223" t="str">
        <f>VLOOKUP(B84&amp;E84,'VISIT DATA'!A:N,10,FALSE)</f>
        <v>#N/A</v>
      </c>
      <c r="K84" s="225"/>
      <c r="L84" s="224"/>
      <c r="M84" s="224"/>
      <c r="N84" s="225"/>
      <c r="O84" s="216" t="str">
        <f t="shared" si="1"/>
        <v>X</v>
      </c>
      <c r="P84" s="226" t="str">
        <f t="shared" si="2"/>
        <v>#N/A</v>
      </c>
      <c r="Q84" s="227" t="str">
        <f t="shared" si="3"/>
        <v>#N/A</v>
      </c>
      <c r="R84" s="228" t="str">
        <f t="shared" si="4"/>
        <v>#N/A</v>
      </c>
      <c r="S84" s="220" t="str">
        <f t="shared" si="5"/>
        <v>#N/A</v>
      </c>
      <c r="T84" s="220" t="str">
        <f t="shared" si="6"/>
        <v>#N/A</v>
      </c>
      <c r="U84" s="221">
        <f t="shared" si="7"/>
        <v>0</v>
      </c>
      <c r="V84" s="229" t="str">
        <f>ifs($N84="",VLOOKUP($B84&amp;$E84,'VISIT DATA'!$A$2:$J100,7,FALSE), $N84="SWAB","OUTSA-RW",$N84="SWQU","OUTSA-SaQu", AND($L84="X",$M84="X",$N84="QUEST"),"OUT-UAQPre",$N84="QUEST","OUT-UAQ", $N84="Walk in","ColUATele")</f>
        <v>#N/A</v>
      </c>
      <c r="W84" s="24" t="str">
        <f t="shared" si="8"/>
        <v>#N/A</v>
      </c>
      <c r="X84" s="222" t="str">
        <f t="shared" si="9"/>
        <v/>
      </c>
      <c r="Y84" s="222" t="str">
        <f t="shared" si="10"/>
        <v/>
      </c>
      <c r="Z84" s="224" t="str">
        <f t="shared" si="11"/>
        <v> </v>
      </c>
      <c r="AA84" s="244"/>
    </row>
    <row r="85">
      <c r="A85" s="214" t="str">
        <f>IFS($B85=FALSE,"",$B85,VLOOKUP($B85,'PATIENT DATA (072721)'!A:C, 2, 0))</f>
        <v/>
      </c>
      <c r="B85" s="215"/>
      <c r="C85" s="230" t="str">
        <f>IF(COUNTIF('PATIENT DATA (072721)'!A:A, B85)=0, "X","✓")</f>
        <v>X</v>
      </c>
      <c r="D85" s="226" t="str">
        <f>IFS($B85=FALSE,"",$B85,VLOOKUP($B85,'PATIENT DATA (072721)'!A:C, 3, 0))</f>
        <v/>
      </c>
      <c r="E85" s="218">
        <v>44580.0</v>
      </c>
      <c r="F85" s="219" t="str">
        <f>ifs($B85="","",$B85, VLOOKUP($B85&amp;$E85, 'VISIT DATA'!A:O,3,0))</f>
        <v/>
      </c>
      <c r="G85" s="231"/>
      <c r="H85" s="221" t="str">
        <f>ifs($B85="","",$B85, VLOOKUP($B85&amp;$E85, 'VISIT DATA'!$A:$O,13,0))</f>
        <v/>
      </c>
      <c r="I85" s="262" t="str">
        <f>VLOOKUP($B85&amp;$E85,'VISIT DATA'!A:J, 9, FALSE)</f>
        <v>#N/A</v>
      </c>
      <c r="J85" s="223" t="str">
        <f>VLOOKUP(B85&amp;E85,'VISIT DATA'!A:N,10,FALSE)</f>
        <v>#N/A</v>
      </c>
      <c r="K85" s="225"/>
      <c r="L85" s="224"/>
      <c r="M85" s="224"/>
      <c r="N85" s="225"/>
      <c r="O85" s="216" t="str">
        <f t="shared" si="1"/>
        <v>X</v>
      </c>
      <c r="P85" s="226" t="str">
        <f t="shared" si="2"/>
        <v>#N/A</v>
      </c>
      <c r="Q85" s="227" t="str">
        <f t="shared" si="3"/>
        <v>#N/A</v>
      </c>
      <c r="R85" s="228" t="str">
        <f t="shared" si="4"/>
        <v>#N/A</v>
      </c>
      <c r="S85" s="220" t="str">
        <f t="shared" si="5"/>
        <v>#N/A</v>
      </c>
      <c r="T85" s="220" t="str">
        <f t="shared" si="6"/>
        <v>#N/A</v>
      </c>
      <c r="U85" s="221">
        <f t="shared" si="7"/>
        <v>0</v>
      </c>
      <c r="V85" s="229" t="str">
        <f>ifs($N85="",VLOOKUP($B85&amp;$E85,'VISIT DATA'!$A$2:$J100,7,FALSE), $N85="SWAB","OUTSA-RW",$N85="SWQU","OUTSA-SaQu", AND($L85="X",$M85="X",$N85="QUEST"),"OUT-UAQPre",$N85="QUEST","OUT-UAQ", $N85="Walk in","ColUATele")</f>
        <v>#N/A</v>
      </c>
      <c r="W85" s="24" t="str">
        <f t="shared" si="8"/>
        <v>#N/A</v>
      </c>
      <c r="X85" s="222" t="str">
        <f t="shared" si="9"/>
        <v/>
      </c>
      <c r="Y85" s="222" t="str">
        <f t="shared" si="10"/>
        <v/>
      </c>
      <c r="Z85" s="224" t="str">
        <f t="shared" si="11"/>
        <v> </v>
      </c>
      <c r="AA85" s="244"/>
    </row>
    <row r="86">
      <c r="A86" s="214" t="str">
        <f>IFS($B86=FALSE,"",$B86,VLOOKUP($B86,'PATIENT DATA (072721)'!A:C, 2, 0))</f>
        <v/>
      </c>
      <c r="B86" s="215"/>
      <c r="C86" s="230" t="str">
        <f>IF(COUNTIF('PATIENT DATA (072721)'!A:A, B86)=0, "X","✓")</f>
        <v>X</v>
      </c>
      <c r="D86" s="226" t="str">
        <f>IFS($B86=FALSE,"",$B86,VLOOKUP($B86,'PATIENT DATA (072721)'!A:C, 3, 0))</f>
        <v/>
      </c>
      <c r="E86" s="218">
        <v>44580.0</v>
      </c>
      <c r="F86" s="219" t="str">
        <f>ifs($B86="","",$B86, VLOOKUP($B86&amp;$E86, 'VISIT DATA'!A:O,3,0))</f>
        <v/>
      </c>
      <c r="G86" s="231"/>
      <c r="H86" s="221" t="str">
        <f>ifs($B86="","",$B86, VLOOKUP($B86&amp;$E86, 'VISIT DATA'!$A:$O,13,0))</f>
        <v/>
      </c>
      <c r="I86" s="262" t="str">
        <f>VLOOKUP($B86&amp;$E86,'VISIT DATA'!A:J, 9, FALSE)</f>
        <v>#N/A</v>
      </c>
      <c r="J86" s="223" t="str">
        <f>VLOOKUP(B86&amp;E86,'VISIT DATA'!A:N,10,FALSE)</f>
        <v>#N/A</v>
      </c>
      <c r="K86" s="225"/>
      <c r="L86" s="224"/>
      <c r="M86" s="224"/>
      <c r="N86" s="225"/>
      <c r="O86" s="216" t="str">
        <f t="shared" si="1"/>
        <v>X</v>
      </c>
      <c r="P86" s="226" t="str">
        <f t="shared" si="2"/>
        <v>#N/A</v>
      </c>
      <c r="Q86" s="227" t="str">
        <f t="shared" si="3"/>
        <v>#N/A</v>
      </c>
      <c r="R86" s="228" t="str">
        <f t="shared" si="4"/>
        <v>#N/A</v>
      </c>
      <c r="S86" s="220" t="str">
        <f t="shared" si="5"/>
        <v>#N/A</v>
      </c>
      <c r="T86" s="220" t="str">
        <f t="shared" si="6"/>
        <v>#N/A</v>
      </c>
      <c r="U86" s="221">
        <f t="shared" si="7"/>
        <v>0</v>
      </c>
      <c r="V86" s="229" t="str">
        <f>ifs($N86="",VLOOKUP($B86&amp;$E86,'VISIT DATA'!$A$2:$J100,7,FALSE), $N86="SWAB","OUTSA-RW",$N86="SWQU","OUTSA-SaQu", AND($L86="X",$M86="X",$N86="QUEST"),"OUT-UAQPre",$N86="QUEST","OUT-UAQ", $N86="Walk in","ColUATele")</f>
        <v>#N/A</v>
      </c>
      <c r="W86" s="24" t="str">
        <f t="shared" si="8"/>
        <v>#N/A</v>
      </c>
      <c r="X86" s="222" t="str">
        <f t="shared" si="9"/>
        <v/>
      </c>
      <c r="Y86" s="222" t="str">
        <f t="shared" si="10"/>
        <v/>
      </c>
      <c r="Z86" s="224" t="str">
        <f t="shared" si="11"/>
        <v> </v>
      </c>
      <c r="AA86" s="244"/>
    </row>
    <row r="87">
      <c r="A87" s="214" t="str">
        <f>IFS($B87=FALSE,"",$B87,VLOOKUP($B87,'PATIENT DATA (072721)'!A:C, 2, 0))</f>
        <v/>
      </c>
      <c r="B87" s="215"/>
      <c r="C87" s="230" t="str">
        <f>IF(COUNTIF('PATIENT DATA (072721)'!A:A, B87)=0, "X","✓")</f>
        <v>X</v>
      </c>
      <c r="D87" s="226" t="str">
        <f>IFS($B87=FALSE,"",$B87,VLOOKUP($B87,'PATIENT DATA (072721)'!A:C, 3, 0))</f>
        <v/>
      </c>
      <c r="E87" s="218">
        <v>44580.0</v>
      </c>
      <c r="F87" s="219" t="str">
        <f>ifs($B87="","",$B87, VLOOKUP($B87&amp;$E87, 'VISIT DATA'!A:O,3,0))</f>
        <v/>
      </c>
      <c r="G87" s="231"/>
      <c r="H87" s="221" t="str">
        <f>ifs($B87="","",$B87, VLOOKUP($B87&amp;$E87, 'VISIT DATA'!$A:$O,13,0))</f>
        <v/>
      </c>
      <c r="I87" s="262" t="str">
        <f>VLOOKUP($B87&amp;$E87,'VISIT DATA'!A:J, 9, FALSE)</f>
        <v>#N/A</v>
      </c>
      <c r="J87" s="223" t="str">
        <f>VLOOKUP(B87&amp;E87,'VISIT DATA'!A:N,10,FALSE)</f>
        <v>#N/A</v>
      </c>
      <c r="K87" s="225"/>
      <c r="L87" s="224"/>
      <c r="M87" s="224"/>
      <c r="N87" s="225"/>
      <c r="O87" s="216" t="str">
        <f t="shared" si="1"/>
        <v>X</v>
      </c>
      <c r="P87" s="226" t="str">
        <f t="shared" si="2"/>
        <v>#N/A</v>
      </c>
      <c r="Q87" s="227" t="str">
        <f t="shared" si="3"/>
        <v>#N/A</v>
      </c>
      <c r="R87" s="228" t="str">
        <f t="shared" si="4"/>
        <v>#N/A</v>
      </c>
      <c r="S87" s="220" t="str">
        <f t="shared" si="5"/>
        <v>#N/A</v>
      </c>
      <c r="T87" s="220" t="str">
        <f t="shared" si="6"/>
        <v>#N/A</v>
      </c>
      <c r="U87" s="221">
        <f t="shared" si="7"/>
        <v>0</v>
      </c>
      <c r="V87" s="229" t="str">
        <f>ifs($N87="",VLOOKUP($B87&amp;$E87,'VISIT DATA'!$A$2:$J100,7,FALSE), $N87="SWAB","OUTSA-RW",$N87="SWQU","OUTSA-SaQu", AND($L87="X",$M87="X",$N87="QUEST"),"OUT-UAQPre",$N87="QUEST","OUT-UAQ", $N87="Walk in","ColUATele")</f>
        <v>#N/A</v>
      </c>
      <c r="W87" s="24" t="str">
        <f t="shared" si="8"/>
        <v>#N/A</v>
      </c>
      <c r="X87" s="222" t="str">
        <f t="shared" si="9"/>
        <v/>
      </c>
      <c r="Y87" s="222" t="str">
        <f t="shared" si="10"/>
        <v/>
      </c>
      <c r="Z87" s="224" t="str">
        <f t="shared" si="11"/>
        <v> </v>
      </c>
      <c r="AA87" s="244"/>
    </row>
    <row r="88">
      <c r="A88" s="214" t="str">
        <f>IFS($B88=FALSE,"",$B88,VLOOKUP($B88,'PATIENT DATA (072721)'!A:C, 2, 0))</f>
        <v/>
      </c>
      <c r="B88" s="215"/>
      <c r="C88" s="230" t="str">
        <f>IF(COUNTIF('PATIENT DATA (072721)'!A:A, B88)=0, "X","✓")</f>
        <v>X</v>
      </c>
      <c r="D88" s="226" t="str">
        <f>IFS($B88=FALSE,"",$B88,VLOOKUP($B88,'PATIENT DATA (072721)'!A:C, 3, 0))</f>
        <v/>
      </c>
      <c r="E88" s="218">
        <v>44580.0</v>
      </c>
      <c r="F88" s="219" t="str">
        <f>ifs($B88="","",$B88, VLOOKUP($B88&amp;$E88, 'VISIT DATA'!A:O,3,0))</f>
        <v/>
      </c>
      <c r="G88" s="231"/>
      <c r="H88" s="221" t="str">
        <f>ifs($B88="","",$B88, VLOOKUP($B88&amp;$E88, 'VISIT DATA'!$A:$O,13,0))</f>
        <v/>
      </c>
      <c r="I88" s="262" t="str">
        <f>VLOOKUP($B88&amp;$E88,'VISIT DATA'!A:J, 9, FALSE)</f>
        <v>#N/A</v>
      </c>
      <c r="J88" s="223" t="str">
        <f>VLOOKUP(B88&amp;E88,'VISIT DATA'!A:N,10,FALSE)</f>
        <v>#N/A</v>
      </c>
      <c r="K88" s="225"/>
      <c r="L88" s="224"/>
      <c r="M88" s="224"/>
      <c r="N88" s="225"/>
      <c r="O88" s="216" t="str">
        <f t="shared" si="1"/>
        <v>X</v>
      </c>
      <c r="P88" s="226" t="str">
        <f t="shared" si="2"/>
        <v>#N/A</v>
      </c>
      <c r="Q88" s="227" t="str">
        <f t="shared" si="3"/>
        <v>#N/A</v>
      </c>
      <c r="R88" s="228" t="str">
        <f t="shared" si="4"/>
        <v>#N/A</v>
      </c>
      <c r="S88" s="220" t="str">
        <f t="shared" si="5"/>
        <v>#N/A</v>
      </c>
      <c r="T88" s="220" t="str">
        <f t="shared" si="6"/>
        <v>#N/A</v>
      </c>
      <c r="U88" s="221">
        <f t="shared" si="7"/>
        <v>0</v>
      </c>
      <c r="V88" s="229" t="str">
        <f>ifs($N88="",VLOOKUP($B88&amp;$E88,'VISIT DATA'!$A$2:$J100,7,FALSE), $N88="SWAB","OUTSA-RW",$N88="SWQU","OUTSA-SaQu", AND($L88="X",$M88="X",$N88="QUEST"),"OUT-UAQPre",$N88="QUEST","OUT-UAQ", $N88="Walk in","ColUATele")</f>
        <v>#N/A</v>
      </c>
      <c r="W88" s="24" t="str">
        <f t="shared" si="8"/>
        <v>#N/A</v>
      </c>
      <c r="X88" s="222" t="str">
        <f t="shared" si="9"/>
        <v/>
      </c>
      <c r="Y88" s="222" t="str">
        <f t="shared" si="10"/>
        <v/>
      </c>
      <c r="Z88" s="224" t="str">
        <f t="shared" si="11"/>
        <v> </v>
      </c>
      <c r="AA88" s="244"/>
    </row>
    <row r="89">
      <c r="A89" s="214" t="str">
        <f>IFS($B89=FALSE,"",$B89,VLOOKUP($B89,'PATIENT DATA (072721)'!A:C, 2, 0))</f>
        <v/>
      </c>
      <c r="B89" s="215"/>
      <c r="C89" s="230" t="str">
        <f>IF(COUNTIF('PATIENT DATA (072721)'!A:A, B89)=0, "X","✓")</f>
        <v>X</v>
      </c>
      <c r="D89" s="226" t="str">
        <f>IFS($B89=FALSE,"",$B89,VLOOKUP($B89,'PATIENT DATA (072721)'!A:C, 3, 0))</f>
        <v/>
      </c>
      <c r="E89" s="218">
        <v>44580.0</v>
      </c>
      <c r="F89" s="219" t="str">
        <f>ifs($B89="","",$B89, VLOOKUP($B89&amp;$E89, 'VISIT DATA'!A:O,3,0))</f>
        <v/>
      </c>
      <c r="G89" s="231"/>
      <c r="H89" s="221" t="str">
        <f>ifs($B89="","",$B89, VLOOKUP($B89&amp;$E89, 'VISIT DATA'!$A:$O,13,0))</f>
        <v/>
      </c>
      <c r="I89" s="262" t="str">
        <f>VLOOKUP($B89&amp;$E89,'VISIT DATA'!A:J, 9, FALSE)</f>
        <v>#N/A</v>
      </c>
      <c r="J89" s="223" t="str">
        <f>VLOOKUP(B89&amp;E89,'VISIT DATA'!A:N,10,FALSE)</f>
        <v>#N/A</v>
      </c>
      <c r="K89" s="225"/>
      <c r="L89" s="224"/>
      <c r="M89" s="224"/>
      <c r="N89" s="225"/>
      <c r="O89" s="216" t="str">
        <f t="shared" si="1"/>
        <v>X</v>
      </c>
      <c r="P89" s="226" t="str">
        <f t="shared" si="2"/>
        <v>#N/A</v>
      </c>
      <c r="Q89" s="227" t="str">
        <f t="shared" si="3"/>
        <v>#N/A</v>
      </c>
      <c r="R89" s="228" t="str">
        <f t="shared" si="4"/>
        <v>#N/A</v>
      </c>
      <c r="S89" s="220" t="str">
        <f t="shared" si="5"/>
        <v>#N/A</v>
      </c>
      <c r="T89" s="220" t="str">
        <f t="shared" si="6"/>
        <v>#N/A</v>
      </c>
      <c r="U89" s="221">
        <f t="shared" si="7"/>
        <v>0</v>
      </c>
      <c r="V89" s="229" t="str">
        <f>ifs($N89="",VLOOKUP($B89&amp;$E89,'VISIT DATA'!$A$2:$J100,7,FALSE), $N89="SWAB","OUTSA-RW",$N89="SWQU","OUTSA-SaQu", AND($L89="X",$M89="X",$N89="QUEST"),"OUT-UAQPre",$N89="QUEST","OUT-UAQ", $N89="Walk in","ColUATele")</f>
        <v>#N/A</v>
      </c>
      <c r="W89" s="24" t="str">
        <f t="shared" si="8"/>
        <v>#N/A</v>
      </c>
      <c r="X89" s="222" t="str">
        <f t="shared" si="9"/>
        <v/>
      </c>
      <c r="Y89" s="222" t="str">
        <f t="shared" si="10"/>
        <v/>
      </c>
      <c r="Z89" s="224" t="str">
        <f t="shared" si="11"/>
        <v> </v>
      </c>
      <c r="AA89" s="244"/>
    </row>
    <row r="90">
      <c r="A90" s="214" t="str">
        <f>IFS($B90=FALSE,"",$B90,VLOOKUP($B90,'PATIENT DATA (072721)'!A:C, 2, 0))</f>
        <v/>
      </c>
      <c r="B90" s="215"/>
      <c r="C90" s="230" t="str">
        <f>IF(COUNTIF('PATIENT DATA (072721)'!A:A, B90)=0, "X","✓")</f>
        <v>X</v>
      </c>
      <c r="D90" s="226" t="str">
        <f>IFS($B90=FALSE,"",$B90,VLOOKUP($B90,'PATIENT DATA (072721)'!A:C, 3, 0))</f>
        <v/>
      </c>
      <c r="E90" s="218">
        <v>44580.0</v>
      </c>
      <c r="F90" s="219" t="str">
        <f>ifs($B90="","",$B90, VLOOKUP($B90&amp;$E90, 'VISIT DATA'!A:O,3,0))</f>
        <v/>
      </c>
      <c r="G90" s="231"/>
      <c r="H90" s="221" t="str">
        <f>ifs($B90="","",$B90, VLOOKUP($B90&amp;$E90, 'VISIT DATA'!$A:$O,13,0))</f>
        <v/>
      </c>
      <c r="I90" s="262" t="str">
        <f>VLOOKUP($B90&amp;$E90,'VISIT DATA'!A:J, 9, FALSE)</f>
        <v>#N/A</v>
      </c>
      <c r="J90" s="223" t="str">
        <f>VLOOKUP(B90&amp;E90,'VISIT DATA'!A:N,10,FALSE)</f>
        <v>#N/A</v>
      </c>
      <c r="K90" s="225"/>
      <c r="L90" s="224"/>
      <c r="M90" s="224"/>
      <c r="N90" s="225"/>
      <c r="O90" s="216" t="str">
        <f t="shared" si="1"/>
        <v>X</v>
      </c>
      <c r="P90" s="226" t="str">
        <f t="shared" si="2"/>
        <v>#N/A</v>
      </c>
      <c r="Q90" s="227" t="str">
        <f t="shared" si="3"/>
        <v>#N/A</v>
      </c>
      <c r="R90" s="228" t="str">
        <f t="shared" si="4"/>
        <v>#N/A</v>
      </c>
      <c r="S90" s="220" t="str">
        <f t="shared" si="5"/>
        <v>#N/A</v>
      </c>
      <c r="T90" s="220" t="str">
        <f t="shared" si="6"/>
        <v>#N/A</v>
      </c>
      <c r="U90" s="221">
        <f t="shared" si="7"/>
        <v>0</v>
      </c>
      <c r="V90" s="229" t="str">
        <f>ifs($N90="",VLOOKUP($B90&amp;$E90,'VISIT DATA'!$A$2:$J100,7,FALSE), $N90="SWAB","OUTSA-RW",$N90="SWQU","OUTSA-SaQu", AND($L90="X",$M90="X",$N90="QUEST"),"OUT-UAQPre",$N90="QUEST","OUT-UAQ", $N90="Walk in","ColUATele")</f>
        <v>#N/A</v>
      </c>
      <c r="W90" s="24" t="str">
        <f t="shared" si="8"/>
        <v>#N/A</v>
      </c>
      <c r="X90" s="222" t="str">
        <f t="shared" si="9"/>
        <v/>
      </c>
      <c r="Y90" s="222" t="str">
        <f t="shared" si="10"/>
        <v/>
      </c>
      <c r="Z90" s="224" t="str">
        <f t="shared" si="11"/>
        <v> </v>
      </c>
      <c r="AA90" s="244"/>
    </row>
    <row r="91">
      <c r="A91" s="214" t="str">
        <f>IFS($B91=FALSE,"",$B91,VLOOKUP($B91,'PATIENT DATA (072721)'!A:C, 2, 0))</f>
        <v/>
      </c>
      <c r="B91" s="215"/>
      <c r="C91" s="230" t="str">
        <f>IF(COUNTIF('PATIENT DATA (072721)'!A:A, B91)=0, "X","✓")</f>
        <v>X</v>
      </c>
      <c r="D91" s="226" t="str">
        <f>IFS($B91=FALSE,"",$B91,VLOOKUP($B91,'PATIENT DATA (072721)'!A:C, 3, 0))</f>
        <v/>
      </c>
      <c r="E91" s="218">
        <v>44580.0</v>
      </c>
      <c r="F91" s="219" t="str">
        <f>ifs($B91="","",$B91, VLOOKUP($B91&amp;$E91, 'VISIT DATA'!A:O,3,0))</f>
        <v/>
      </c>
      <c r="G91" s="231"/>
      <c r="H91" s="221" t="str">
        <f>ifs($B91="","",$B91, VLOOKUP($B91&amp;$E91, 'VISIT DATA'!$A:$O,13,0))</f>
        <v/>
      </c>
      <c r="I91" s="262" t="str">
        <f>VLOOKUP($B91&amp;$E91,'VISIT DATA'!A:J, 9, FALSE)</f>
        <v>#N/A</v>
      </c>
      <c r="J91" s="223" t="str">
        <f>VLOOKUP(B91&amp;E91,'VISIT DATA'!A:N,10,FALSE)</f>
        <v>#N/A</v>
      </c>
      <c r="K91" s="225"/>
      <c r="L91" s="224"/>
      <c r="M91" s="224"/>
      <c r="N91" s="225"/>
      <c r="O91" s="216" t="str">
        <f t="shared" si="1"/>
        <v>X</v>
      </c>
      <c r="P91" s="226" t="str">
        <f t="shared" si="2"/>
        <v>#N/A</v>
      </c>
      <c r="Q91" s="227" t="str">
        <f t="shared" si="3"/>
        <v>#N/A</v>
      </c>
      <c r="R91" s="228" t="str">
        <f t="shared" si="4"/>
        <v>#N/A</v>
      </c>
      <c r="S91" s="220" t="str">
        <f t="shared" si="5"/>
        <v>#N/A</v>
      </c>
      <c r="T91" s="220" t="str">
        <f t="shared" si="6"/>
        <v>#N/A</v>
      </c>
      <c r="U91" s="221">
        <f t="shared" si="7"/>
        <v>0</v>
      </c>
      <c r="V91" s="229" t="str">
        <f>ifs($N91="",VLOOKUP($B91&amp;$E91,'VISIT DATA'!$A$2:$J100,7,FALSE), $N91="SWAB","OUTSA-RW",$N91="SWQU","OUTSA-SaQu", AND($L91="X",$M91="X",$N91="QUEST"),"OUT-UAQPre",$N91="QUEST","OUT-UAQ", $N91="Walk in","ColUATele")</f>
        <v>#N/A</v>
      </c>
      <c r="W91" s="24" t="str">
        <f t="shared" si="8"/>
        <v>#N/A</v>
      </c>
      <c r="X91" s="222" t="str">
        <f t="shared" si="9"/>
        <v/>
      </c>
      <c r="Y91" s="222" t="str">
        <f t="shared" si="10"/>
        <v/>
      </c>
      <c r="Z91" s="224" t="str">
        <f t="shared" si="11"/>
        <v> </v>
      </c>
      <c r="AA91" s="244"/>
    </row>
    <row r="92">
      <c r="A92" s="214" t="str">
        <f>IFS($B92=FALSE,"",$B92,VLOOKUP($B92,'PATIENT DATA (072721)'!A:C, 2, 0))</f>
        <v/>
      </c>
      <c r="B92" s="215"/>
      <c r="C92" s="230" t="str">
        <f>IF(COUNTIF('PATIENT DATA (072721)'!A:A, B92)=0, "X","✓")</f>
        <v>X</v>
      </c>
      <c r="D92" s="226" t="str">
        <f>IFS($B92=FALSE,"",$B92,VLOOKUP($B92,'PATIENT DATA (072721)'!A:C, 3, 0))</f>
        <v/>
      </c>
      <c r="E92" s="218">
        <v>44580.0</v>
      </c>
      <c r="F92" s="219" t="str">
        <f>ifs($B92="","",$B92, VLOOKUP($B92&amp;$E92, 'VISIT DATA'!A:O,3,0))</f>
        <v/>
      </c>
      <c r="G92" s="231"/>
      <c r="H92" s="221" t="str">
        <f>ifs($B92="","",$B92, VLOOKUP($B92&amp;$E92, 'VISIT DATA'!$A:$O,13,0))</f>
        <v/>
      </c>
      <c r="I92" s="262" t="str">
        <f>VLOOKUP($B92&amp;$E92,'VISIT DATA'!A:J, 9, FALSE)</f>
        <v>#N/A</v>
      </c>
      <c r="J92" s="223" t="str">
        <f>VLOOKUP(B92&amp;E92,'VISIT DATA'!A:N,10,FALSE)</f>
        <v>#N/A</v>
      </c>
      <c r="K92" s="225"/>
      <c r="L92" s="224"/>
      <c r="M92" s="224"/>
      <c r="N92" s="225"/>
      <c r="O92" s="216" t="str">
        <f t="shared" si="1"/>
        <v>X</v>
      </c>
      <c r="P92" s="226" t="str">
        <f t="shared" si="2"/>
        <v>#N/A</v>
      </c>
      <c r="Q92" s="227" t="str">
        <f t="shared" si="3"/>
        <v>#N/A</v>
      </c>
      <c r="R92" s="228" t="str">
        <f t="shared" si="4"/>
        <v>#N/A</v>
      </c>
      <c r="S92" s="220" t="str">
        <f t="shared" si="5"/>
        <v>#N/A</v>
      </c>
      <c r="T92" s="220" t="str">
        <f t="shared" si="6"/>
        <v>#N/A</v>
      </c>
      <c r="U92" s="221">
        <f t="shared" si="7"/>
        <v>0</v>
      </c>
      <c r="V92" s="229" t="str">
        <f>ifs($N92="",VLOOKUP($B92&amp;$E92,'VISIT DATA'!$A$2:$J100,7,FALSE), $N92="SWAB","OUTSA-RW",$N92="SWQU","OUTSA-SaQu", AND($L92="X",$M92="X",$N92="QUEST"),"OUT-UAQPre",$N92="QUEST","OUT-UAQ", $N92="Walk in","ColUATele")</f>
        <v>#N/A</v>
      </c>
      <c r="W92" s="24" t="str">
        <f t="shared" si="8"/>
        <v>#N/A</v>
      </c>
      <c r="X92" s="222" t="str">
        <f t="shared" si="9"/>
        <v/>
      </c>
      <c r="Y92" s="222" t="str">
        <f t="shared" si="10"/>
        <v/>
      </c>
      <c r="Z92" s="224" t="str">
        <f t="shared" si="11"/>
        <v> </v>
      </c>
      <c r="AA92" s="244"/>
    </row>
    <row r="93">
      <c r="A93" s="214" t="str">
        <f>IFS($B93=FALSE,"",$B93,VLOOKUP($B93,'PATIENT DATA (072721)'!A:C, 2, 0))</f>
        <v/>
      </c>
      <c r="B93" s="215"/>
      <c r="C93" s="230" t="str">
        <f>IF(COUNTIF('PATIENT DATA (072721)'!A:A, B93)=0, "X","✓")</f>
        <v>X</v>
      </c>
      <c r="D93" s="226" t="str">
        <f>IFS($B93=FALSE,"",$B93,VLOOKUP($B93,'PATIENT DATA (072721)'!A:C, 3, 0))</f>
        <v/>
      </c>
      <c r="E93" s="218">
        <v>44580.0</v>
      </c>
      <c r="F93" s="219" t="str">
        <f>ifs($B93="","",$B93, VLOOKUP($B93&amp;$E93, 'VISIT DATA'!A:O,3,0))</f>
        <v/>
      </c>
      <c r="G93" s="231"/>
      <c r="H93" s="221" t="str">
        <f>ifs($B93="","",$B93, VLOOKUP($B93&amp;$E93, 'VISIT DATA'!$A:$O,13,0))</f>
        <v/>
      </c>
      <c r="I93" s="262" t="str">
        <f>VLOOKUP($B93&amp;$E93,'VISIT DATA'!A:J, 9, FALSE)</f>
        <v>#N/A</v>
      </c>
      <c r="J93" s="223" t="str">
        <f>VLOOKUP(B93&amp;E93,'VISIT DATA'!A:N,10,FALSE)</f>
        <v>#N/A</v>
      </c>
      <c r="K93" s="225"/>
      <c r="L93" s="224"/>
      <c r="M93" s="224"/>
      <c r="N93" s="225"/>
      <c r="O93" s="216" t="str">
        <f t="shared" si="1"/>
        <v>X</v>
      </c>
      <c r="P93" s="226" t="str">
        <f t="shared" si="2"/>
        <v>#N/A</v>
      </c>
      <c r="Q93" s="227" t="str">
        <f t="shared" si="3"/>
        <v>#N/A</v>
      </c>
      <c r="R93" s="228" t="str">
        <f t="shared" si="4"/>
        <v>#N/A</v>
      </c>
      <c r="S93" s="220" t="str">
        <f t="shared" si="5"/>
        <v>#N/A</v>
      </c>
      <c r="T93" s="220" t="str">
        <f t="shared" si="6"/>
        <v>#N/A</v>
      </c>
      <c r="U93" s="221">
        <f t="shared" si="7"/>
        <v>0</v>
      </c>
      <c r="V93" s="229" t="str">
        <f>ifs($N93="",VLOOKUP($B93&amp;$E93,'VISIT DATA'!$A$2:$J100,7,FALSE), $N93="SWAB","OUTSA-RW",$N93="SWQU","OUTSA-SaQu", AND($L93="X",$M93="X",$N93="QUEST"),"OUT-UAQPre",$N93="QUEST","OUT-UAQ", $N93="Walk in","ColUATele")</f>
        <v>#N/A</v>
      </c>
      <c r="W93" s="24" t="str">
        <f t="shared" si="8"/>
        <v>#N/A</v>
      </c>
      <c r="X93" s="222" t="str">
        <f t="shared" si="9"/>
        <v/>
      </c>
      <c r="Y93" s="222" t="str">
        <f t="shared" si="10"/>
        <v/>
      </c>
      <c r="Z93" s="224" t="str">
        <f t="shared" si="11"/>
        <v> </v>
      </c>
      <c r="AA93" s="244"/>
    </row>
    <row r="94">
      <c r="A94" s="214" t="str">
        <f>IFS($B94=FALSE,"",$B94,VLOOKUP($B94,'PATIENT DATA (072721)'!A:C, 2, 0))</f>
        <v/>
      </c>
      <c r="B94" s="215"/>
      <c r="C94" s="230" t="str">
        <f>IF(COUNTIF('PATIENT DATA (072721)'!A:A, B94)=0, "X","✓")</f>
        <v>X</v>
      </c>
      <c r="D94" s="226" t="str">
        <f>IFS($B94=FALSE,"",$B94,VLOOKUP($B94,'PATIENT DATA (072721)'!A:C, 3, 0))</f>
        <v/>
      </c>
      <c r="E94" s="218">
        <v>44580.0</v>
      </c>
      <c r="F94" s="219" t="str">
        <f>ifs($B94="","",$B94, VLOOKUP($B94&amp;$E94, 'VISIT DATA'!A:O,3,0))</f>
        <v/>
      </c>
      <c r="G94" s="231"/>
      <c r="H94" s="221" t="str">
        <f>ifs($B94="","",$B94, VLOOKUP($B94&amp;$E94, 'VISIT DATA'!$A:$O,13,0))</f>
        <v/>
      </c>
      <c r="I94" s="262" t="str">
        <f>VLOOKUP($B94&amp;$E94,'VISIT DATA'!A:J, 9, FALSE)</f>
        <v>#N/A</v>
      </c>
      <c r="J94" s="223" t="str">
        <f>VLOOKUP(B94&amp;E94,'VISIT DATA'!A:N,10,FALSE)</f>
        <v>#N/A</v>
      </c>
      <c r="K94" s="225"/>
      <c r="L94" s="224"/>
      <c r="M94" s="224"/>
      <c r="N94" s="225"/>
      <c r="O94" s="216" t="str">
        <f t="shared" si="1"/>
        <v>X</v>
      </c>
      <c r="P94" s="226" t="str">
        <f t="shared" si="2"/>
        <v>#N/A</v>
      </c>
      <c r="Q94" s="227" t="str">
        <f t="shared" si="3"/>
        <v>#N/A</v>
      </c>
      <c r="R94" s="228" t="str">
        <f t="shared" si="4"/>
        <v>#N/A</v>
      </c>
      <c r="S94" s="220" t="str">
        <f t="shared" si="5"/>
        <v>#N/A</v>
      </c>
      <c r="T94" s="220" t="str">
        <f t="shared" si="6"/>
        <v>#N/A</v>
      </c>
      <c r="U94" s="221">
        <f t="shared" si="7"/>
        <v>0</v>
      </c>
      <c r="V94" s="229" t="str">
        <f>ifs($N94="",VLOOKUP($B94&amp;$E94,'VISIT DATA'!$A$2:$J100,7,FALSE), $N94="SWAB","OUTSA-RW",$N94="SWQU","OUTSA-SaQu", AND($L94="X",$M94="X",$N94="QUEST"),"OUT-UAQPre",$N94="QUEST","OUT-UAQ", $N94="Walk in","ColUATele")</f>
        <v>#N/A</v>
      </c>
      <c r="W94" s="24" t="str">
        <f t="shared" si="8"/>
        <v>#N/A</v>
      </c>
      <c r="X94" s="222" t="str">
        <f t="shared" si="9"/>
        <v/>
      </c>
      <c r="Y94" s="222" t="str">
        <f t="shared" si="10"/>
        <v/>
      </c>
      <c r="Z94" s="224" t="str">
        <f t="shared" si="11"/>
        <v> </v>
      </c>
      <c r="AA94" s="244"/>
    </row>
    <row r="95">
      <c r="A95" s="214" t="str">
        <f>IFS($B95=FALSE,"",$B95,VLOOKUP($B95,'PATIENT DATA (072721)'!A:C, 2, 0))</f>
        <v/>
      </c>
      <c r="B95" s="215"/>
      <c r="C95" s="230" t="str">
        <f>IF(COUNTIF('PATIENT DATA (072721)'!A:A, B95)=0, "X","✓")</f>
        <v>X</v>
      </c>
      <c r="D95" s="226" t="str">
        <f>IFS($B95=FALSE,"",$B95,VLOOKUP($B95,'PATIENT DATA (072721)'!A:C, 3, 0))</f>
        <v/>
      </c>
      <c r="E95" s="218">
        <v>44580.0</v>
      </c>
      <c r="F95" s="219" t="str">
        <f>ifs($B95="","",$B95, VLOOKUP($B95&amp;$E95, 'VISIT DATA'!A:O,3,0))</f>
        <v/>
      </c>
      <c r="G95" s="231"/>
      <c r="H95" s="221" t="str">
        <f>ifs($B95="","",$B95, VLOOKUP($B95&amp;$E95, 'VISIT DATA'!$A:$O,13,0))</f>
        <v/>
      </c>
      <c r="I95" s="262" t="str">
        <f>VLOOKUP($B95&amp;$E95,'VISIT DATA'!A:J, 9, FALSE)</f>
        <v>#N/A</v>
      </c>
      <c r="J95" s="223" t="str">
        <f>VLOOKUP(B95&amp;E95,'VISIT DATA'!A:N,10,FALSE)</f>
        <v>#N/A</v>
      </c>
      <c r="K95" s="225"/>
      <c r="L95" s="224"/>
      <c r="M95" s="224"/>
      <c r="N95" s="225"/>
      <c r="O95" s="216" t="str">
        <f t="shared" si="1"/>
        <v>X</v>
      </c>
      <c r="P95" s="226" t="str">
        <f t="shared" si="2"/>
        <v>#N/A</v>
      </c>
      <c r="Q95" s="227" t="str">
        <f t="shared" si="3"/>
        <v>#N/A</v>
      </c>
      <c r="R95" s="228" t="str">
        <f t="shared" si="4"/>
        <v>#N/A</v>
      </c>
      <c r="S95" s="220" t="str">
        <f t="shared" si="5"/>
        <v>#N/A</v>
      </c>
      <c r="T95" s="220" t="str">
        <f t="shared" si="6"/>
        <v>#N/A</v>
      </c>
      <c r="U95" s="221">
        <f t="shared" si="7"/>
        <v>0</v>
      </c>
      <c r="V95" s="229" t="str">
        <f>ifs($N95="",VLOOKUP($B95&amp;$E95,'VISIT DATA'!$A$2:$J100,7,FALSE), $N95="SWAB","OUTSA-RW",$N95="SWQU","OUTSA-SaQu", AND($L95="X",$M95="X",$N95="QUEST"),"OUT-UAQPre",$N95="QUEST","OUT-UAQ", $N95="Walk in","ColUATele")</f>
        <v>#N/A</v>
      </c>
      <c r="W95" s="24" t="str">
        <f t="shared" si="8"/>
        <v>#N/A</v>
      </c>
      <c r="X95" s="222" t="str">
        <f t="shared" si="9"/>
        <v/>
      </c>
      <c r="Y95" s="222" t="str">
        <f t="shared" si="10"/>
        <v/>
      </c>
      <c r="Z95" s="224" t="str">
        <f t="shared" si="11"/>
        <v> </v>
      </c>
      <c r="AA95" s="244"/>
    </row>
    <row r="96">
      <c r="A96" s="214" t="str">
        <f>IFS($B96=FALSE,"",$B96,VLOOKUP($B96,'PATIENT DATA (072721)'!A:C, 2, 0))</f>
        <v/>
      </c>
      <c r="B96" s="215"/>
      <c r="C96" s="230" t="str">
        <f>IF(COUNTIF('PATIENT DATA (072721)'!A:A, B96)=0, "X","✓")</f>
        <v>X</v>
      </c>
      <c r="D96" s="226" t="str">
        <f>IFS($B96=FALSE,"",$B96,VLOOKUP($B96,'PATIENT DATA (072721)'!A:C, 3, 0))</f>
        <v/>
      </c>
      <c r="E96" s="218">
        <v>44580.0</v>
      </c>
      <c r="F96" s="219" t="str">
        <f>ifs($B96="","",$B96, VLOOKUP($B96&amp;$E96, 'VISIT DATA'!A:O,3,0))</f>
        <v/>
      </c>
      <c r="G96" s="231"/>
      <c r="H96" s="221" t="str">
        <f>ifs($B96="","",$B96, VLOOKUP($B96&amp;$E96, 'VISIT DATA'!$A:$O,13,0))</f>
        <v/>
      </c>
      <c r="I96" s="262" t="str">
        <f>VLOOKUP($B96&amp;$E96,'VISIT DATA'!A:J, 9, FALSE)</f>
        <v>#N/A</v>
      </c>
      <c r="J96" s="223" t="str">
        <f>VLOOKUP(B96&amp;E96,'VISIT DATA'!A:N,10,FALSE)</f>
        <v>#N/A</v>
      </c>
      <c r="K96" s="225"/>
      <c r="L96" s="224"/>
      <c r="M96" s="224"/>
      <c r="N96" s="225"/>
      <c r="O96" s="216" t="str">
        <f t="shared" si="1"/>
        <v>X</v>
      </c>
      <c r="P96" s="226" t="str">
        <f t="shared" si="2"/>
        <v>#N/A</v>
      </c>
      <c r="Q96" s="227" t="str">
        <f t="shared" si="3"/>
        <v>#N/A</v>
      </c>
      <c r="R96" s="228" t="str">
        <f t="shared" si="4"/>
        <v>#N/A</v>
      </c>
      <c r="S96" s="220" t="str">
        <f t="shared" si="5"/>
        <v>#N/A</v>
      </c>
      <c r="T96" s="220" t="str">
        <f t="shared" si="6"/>
        <v>#N/A</v>
      </c>
      <c r="U96" s="221">
        <f t="shared" si="7"/>
        <v>0</v>
      </c>
      <c r="V96" s="229" t="str">
        <f>ifs($N96="",VLOOKUP($B96&amp;$E96,'VISIT DATA'!$A$2:$J100,7,FALSE), $N96="SWAB","OUTSA-RW",$N96="SWQU","OUTSA-SaQu", AND($L96="X",$M96="X",$N96="QUEST"),"OUT-UAQPre",$N96="QUEST","OUT-UAQ", $N96="Walk in","ColUATele")</f>
        <v>#N/A</v>
      </c>
      <c r="W96" s="24" t="str">
        <f t="shared" si="8"/>
        <v>#N/A</v>
      </c>
      <c r="X96" s="222" t="str">
        <f t="shared" si="9"/>
        <v/>
      </c>
      <c r="Y96" s="222" t="str">
        <f t="shared" si="10"/>
        <v/>
      </c>
      <c r="Z96" s="224" t="str">
        <f t="shared" si="11"/>
        <v> </v>
      </c>
      <c r="AA96" s="244"/>
    </row>
    <row r="97">
      <c r="A97" s="214" t="str">
        <f>IFS($B97=FALSE,"",$B97,VLOOKUP($B97,'PATIENT DATA (072721)'!A:C, 2, 0))</f>
        <v/>
      </c>
      <c r="B97" s="215"/>
      <c r="C97" s="230" t="str">
        <f>IF(COUNTIF('PATIENT DATA (072721)'!A:A, B97)=0, "X","✓")</f>
        <v>X</v>
      </c>
      <c r="D97" s="226" t="str">
        <f>IFS($B97=FALSE,"",$B97,VLOOKUP($B97,'PATIENT DATA (072721)'!A:C, 3, 0))</f>
        <v/>
      </c>
      <c r="E97" s="218">
        <v>44580.0</v>
      </c>
      <c r="F97" s="219" t="str">
        <f>ifs($B97="","",$B97, VLOOKUP($B97&amp;$E97, 'VISIT DATA'!A:O,3,0))</f>
        <v/>
      </c>
      <c r="G97" s="231"/>
      <c r="H97" s="221" t="str">
        <f>ifs($B97="","",$B97, VLOOKUP($B97&amp;$E97, 'VISIT DATA'!$A:$O,13,0))</f>
        <v/>
      </c>
      <c r="I97" s="262" t="str">
        <f>VLOOKUP($B97&amp;$E97,'VISIT DATA'!A:J, 9, FALSE)</f>
        <v>#N/A</v>
      </c>
      <c r="J97" s="223" t="str">
        <f>VLOOKUP(B97&amp;E97,'VISIT DATA'!A:N,10,FALSE)</f>
        <v>#N/A</v>
      </c>
      <c r="K97" s="225"/>
      <c r="L97" s="224"/>
      <c r="M97" s="224"/>
      <c r="N97" s="225"/>
      <c r="O97" s="216" t="str">
        <f t="shared" si="1"/>
        <v>X</v>
      </c>
      <c r="P97" s="226" t="str">
        <f t="shared" si="2"/>
        <v>#N/A</v>
      </c>
      <c r="Q97" s="227" t="str">
        <f t="shared" si="3"/>
        <v>#N/A</v>
      </c>
      <c r="R97" s="228" t="str">
        <f t="shared" si="4"/>
        <v>#N/A</v>
      </c>
      <c r="S97" s="220" t="str">
        <f t="shared" si="5"/>
        <v>#N/A</v>
      </c>
      <c r="T97" s="220" t="str">
        <f t="shared" si="6"/>
        <v>#N/A</v>
      </c>
      <c r="U97" s="221">
        <f t="shared" si="7"/>
        <v>0</v>
      </c>
      <c r="V97" s="229" t="str">
        <f>ifs($N97="",VLOOKUP($B97&amp;$E97,'VISIT DATA'!$A$2:$J100,7,FALSE), $N97="SWAB","OUTSA-RW",$N97="SWQU","OUTSA-SaQu", AND($L97="X",$M97="X",$N97="QUEST"),"OUT-UAQPre",$N97="QUEST","OUT-UAQ", $N97="Walk in","ColUATele")</f>
        <v>#N/A</v>
      </c>
      <c r="W97" s="24" t="str">
        <f t="shared" si="8"/>
        <v>#N/A</v>
      </c>
      <c r="X97" s="222" t="str">
        <f t="shared" si="9"/>
        <v/>
      </c>
      <c r="Y97" s="222" t="str">
        <f t="shared" si="10"/>
        <v/>
      </c>
      <c r="Z97" s="224" t="str">
        <f t="shared" si="11"/>
        <v> </v>
      </c>
      <c r="AA97" s="244"/>
    </row>
    <row r="98">
      <c r="A98" s="214" t="str">
        <f>IFS($B98=FALSE,"",$B98,VLOOKUP($B98,'PATIENT DATA (072721)'!A:C, 2, 0))</f>
        <v/>
      </c>
      <c r="B98" s="215"/>
      <c r="C98" s="230" t="str">
        <f>IF(COUNTIF('PATIENT DATA (072721)'!A:A, B98)=0, "X","✓")</f>
        <v>X</v>
      </c>
      <c r="D98" s="226" t="str">
        <f>IFS($B98=FALSE,"",$B98,VLOOKUP($B98,'PATIENT DATA (072721)'!A:C, 3, 0))</f>
        <v/>
      </c>
      <c r="E98" s="218">
        <v>44580.0</v>
      </c>
      <c r="F98" s="219" t="str">
        <f>ifs($B98="","",$B98, VLOOKUP($B98&amp;$E98, 'VISIT DATA'!A:O,3,0))</f>
        <v/>
      </c>
      <c r="G98" s="231"/>
      <c r="H98" s="221" t="str">
        <f>ifs($B98="","",$B98, VLOOKUP($B98&amp;$E98, 'VISIT DATA'!$A:$O,13,0))</f>
        <v/>
      </c>
      <c r="I98" s="262" t="str">
        <f>VLOOKUP($B98&amp;$E98,'VISIT DATA'!A:J, 9, FALSE)</f>
        <v>#N/A</v>
      </c>
      <c r="J98" s="223" t="str">
        <f>VLOOKUP(B98&amp;E98,'VISIT DATA'!A:N,10,FALSE)</f>
        <v>#N/A</v>
      </c>
      <c r="K98" s="225"/>
      <c r="L98" s="224"/>
      <c r="M98" s="224"/>
      <c r="N98" s="225"/>
      <c r="O98" s="216" t="str">
        <f t="shared" si="1"/>
        <v>X</v>
      </c>
      <c r="P98" s="226" t="str">
        <f t="shared" si="2"/>
        <v>#N/A</v>
      </c>
      <c r="Q98" s="227" t="str">
        <f t="shared" si="3"/>
        <v>#N/A</v>
      </c>
      <c r="R98" s="228" t="str">
        <f t="shared" si="4"/>
        <v>#N/A</v>
      </c>
      <c r="S98" s="220" t="str">
        <f t="shared" si="5"/>
        <v>#N/A</v>
      </c>
      <c r="T98" s="220" t="str">
        <f t="shared" si="6"/>
        <v>#N/A</v>
      </c>
      <c r="U98" s="221">
        <f t="shared" si="7"/>
        <v>0</v>
      </c>
      <c r="V98" s="229" t="str">
        <f>ifs($N98="",VLOOKUP($B98&amp;$E98,'VISIT DATA'!$A$2:$J100,7,FALSE), $N98="SWAB","OUTSA-RW",$N98="SWQU","OUTSA-SaQu", AND($L98="X",$M98="X",$N98="QUEST"),"OUT-UAQPre",$N98="QUEST","OUT-UAQ", $N98="Walk in","ColUATele")</f>
        <v>#N/A</v>
      </c>
      <c r="W98" s="24" t="str">
        <f t="shared" si="8"/>
        <v>#N/A</v>
      </c>
      <c r="X98" s="222" t="str">
        <f t="shared" si="9"/>
        <v/>
      </c>
      <c r="Y98" s="222" t="str">
        <f t="shared" si="10"/>
        <v/>
      </c>
      <c r="Z98" s="224" t="str">
        <f t="shared" si="11"/>
        <v> </v>
      </c>
      <c r="AA98" s="244"/>
    </row>
    <row r="99">
      <c r="A99" s="214" t="str">
        <f>IFS($B99=FALSE,"",$B99,VLOOKUP($B99,'PATIENT DATA (072721)'!A:C, 2, 0))</f>
        <v/>
      </c>
      <c r="B99" s="215"/>
      <c r="C99" s="230" t="str">
        <f>IF(COUNTIF('PATIENT DATA (072721)'!A:A, B99)=0, "X","✓")</f>
        <v>X</v>
      </c>
      <c r="D99" s="226" t="str">
        <f>IFS($B99=FALSE,"",$B99,VLOOKUP($B99,'PATIENT DATA (072721)'!A:C, 3, 0))</f>
        <v/>
      </c>
      <c r="E99" s="218">
        <v>44580.0</v>
      </c>
      <c r="F99" s="219" t="str">
        <f>ifs($B99="","",$B99, VLOOKUP($B99&amp;$E99, 'VISIT DATA'!A:O,3,0))</f>
        <v/>
      </c>
      <c r="G99" s="231"/>
      <c r="H99" s="221" t="str">
        <f>ifs($B99="","",$B99, VLOOKUP($B99&amp;$E99, 'VISIT DATA'!$A:$O,13,0))</f>
        <v/>
      </c>
      <c r="I99" s="262" t="str">
        <f>VLOOKUP($B99&amp;$E99,'VISIT DATA'!A:J, 9, FALSE)</f>
        <v>#N/A</v>
      </c>
      <c r="J99" s="223" t="str">
        <f>VLOOKUP(B99&amp;E99,'VISIT DATA'!A:N,10,FALSE)</f>
        <v>#N/A</v>
      </c>
      <c r="K99" s="225"/>
      <c r="L99" s="224"/>
      <c r="M99" s="224"/>
      <c r="N99" s="225"/>
      <c r="O99" s="216" t="str">
        <f t="shared" si="1"/>
        <v>X</v>
      </c>
      <c r="P99" s="226" t="str">
        <f t="shared" si="2"/>
        <v>#N/A</v>
      </c>
      <c r="Q99" s="227" t="str">
        <f t="shared" si="3"/>
        <v>#N/A</v>
      </c>
      <c r="R99" s="228" t="str">
        <f t="shared" si="4"/>
        <v>#N/A</v>
      </c>
      <c r="S99" s="220" t="str">
        <f t="shared" si="5"/>
        <v>#N/A</v>
      </c>
      <c r="T99" s="220" t="str">
        <f t="shared" si="6"/>
        <v>#N/A</v>
      </c>
      <c r="U99" s="221">
        <f t="shared" si="7"/>
        <v>0</v>
      </c>
      <c r="V99" s="229" t="str">
        <f>ifs($N99="",VLOOKUP($B99&amp;$E99,'VISIT DATA'!$A$2:$J100,7,FALSE), $N99="SWAB","OUTSA-RW",$N99="SWQU","OUTSA-SaQu", AND($L99="X",$M99="X",$N99="QUEST"),"OUT-UAQPre",$N99="QUEST","OUT-UAQ", $N99="Walk in","ColUATele")</f>
        <v>#N/A</v>
      </c>
      <c r="W99" s="24" t="str">
        <f t="shared" si="8"/>
        <v>#N/A</v>
      </c>
      <c r="X99" s="222" t="str">
        <f t="shared" si="9"/>
        <v/>
      </c>
      <c r="Y99" s="222" t="str">
        <f t="shared" si="10"/>
        <v/>
      </c>
      <c r="Z99" s="224" t="str">
        <f t="shared" si="11"/>
        <v> </v>
      </c>
      <c r="AA99" s="244"/>
    </row>
    <row r="100">
      <c r="A100" s="232"/>
      <c r="B100" s="232"/>
      <c r="C100" s="232"/>
      <c r="D100" s="232"/>
      <c r="E100" s="263"/>
      <c r="F100" s="234"/>
      <c r="G100" s="232"/>
      <c r="H100" s="235"/>
      <c r="I100" s="232"/>
      <c r="J100" s="232"/>
      <c r="K100" s="236" t="s">
        <v>6333</v>
      </c>
      <c r="L100" s="237">
        <f>COUNTIFS(K1:L80, "X")</f>
        <v>59</v>
      </c>
      <c r="M100" s="236" t="s">
        <v>6334</v>
      </c>
      <c r="N100" s="237">
        <f>COUNTIFS(M1:M80, "X")</f>
        <v>22</v>
      </c>
      <c r="O100" s="238"/>
      <c r="P100" s="238"/>
      <c r="Q100" s="238"/>
      <c r="R100" s="238"/>
      <c r="S100" s="238"/>
      <c r="T100" s="238"/>
      <c r="U100" s="238"/>
      <c r="V100" s="239"/>
      <c r="W100" s="238"/>
      <c r="X100" s="238"/>
      <c r="Y100" s="238"/>
      <c r="Z100" s="238"/>
      <c r="AA100" s="238"/>
    </row>
  </sheetData>
  <customSheetViews>
    <customSheetView guid="{20F5F3BA-172D-4727-943D-E296FD1F3EFA}" filter="1" showAutoFilter="1">
      <autoFilter ref="$A$1:$AA$100"/>
    </customSheetView>
  </customSheetViews>
  <conditionalFormatting sqref="A1:X100">
    <cfRule type="expression" dxfId="5" priority="1">
      <formula>$X1="ERROR"</formula>
    </cfRule>
  </conditionalFormatting>
  <conditionalFormatting sqref="A1:Z99">
    <cfRule type="expression" dxfId="5" priority="2">
      <formula>$Y1="NO MATCH"</formula>
    </cfRule>
  </conditionalFormatting>
  <conditionalFormatting sqref="C2:C99 O2:O99">
    <cfRule type="containsText" dxfId="5" priority="3" operator="containsText" text="X">
      <formula>NOT(ISERROR(SEARCH(("X"),(C2))))</formula>
    </cfRule>
  </conditionalFormatting>
  <conditionalFormatting sqref="A1:Z99">
    <cfRule type="expression" dxfId="4" priority="4">
      <formula>$Z1="Repeat"</formula>
    </cfRule>
  </conditionalFormatting>
  <conditionalFormatting sqref="V2:V99">
    <cfRule type="expression" dxfId="10" priority="5">
      <formula>$N2="QUEST"</formula>
    </cfRule>
  </conditionalFormatting>
  <conditionalFormatting sqref="C2:C99 O2:O99">
    <cfRule type="containsText" dxfId="10" priority="6" operator="containsText" text="✓">
      <formula>NOT(ISERROR(SEARCH(("✓"),(C2))))</formula>
    </cfRule>
  </conditionalFormatting>
  <conditionalFormatting sqref="A1:U99">
    <cfRule type="expression" dxfId="20" priority="7">
      <formula>$J1="MOLINA DUAL COMPLETE NEW MEXICO"</formula>
    </cfRule>
  </conditionalFormatting>
  <conditionalFormatting sqref="A1:U99">
    <cfRule type="expression" dxfId="20" priority="8">
      <formula>$J1="MOLINA DUAL COMPLETE TEXAS"</formula>
    </cfRule>
  </conditionalFormatting>
  <conditionalFormatting sqref="A1:U99">
    <cfRule type="expression" dxfId="20" priority="9">
      <formula>$J1="MOLINA MARKETPLACE TEXAS"</formula>
    </cfRule>
  </conditionalFormatting>
  <conditionalFormatting sqref="K1:K99">
    <cfRule type="containsText" dxfId="6" priority="10" operator="containsText" text="x">
      <formula>NOT(ISERROR(SEARCH(("x"),(K1))))</formula>
    </cfRule>
  </conditionalFormatting>
  <conditionalFormatting sqref="M1:M99">
    <cfRule type="containsText" dxfId="21" priority="11" operator="containsText" text="X">
      <formula>NOT(ISERROR(SEARCH(("X"),(M1))))</formula>
    </cfRule>
  </conditionalFormatting>
  <conditionalFormatting sqref="L1:L99">
    <cfRule type="containsText" dxfId="22" priority="12" operator="containsText" text="X">
      <formula>NOT(ISERROR(SEARCH(("X"),(L1))))</formula>
    </cfRule>
  </conditionalFormatting>
  <conditionalFormatting sqref="C1:C99 O1:O99">
    <cfRule type="containsBlanks" dxfId="23" priority="13">
      <formula>LEN(TRIM(C1))=0</formula>
    </cfRule>
  </conditionalFormatting>
  <conditionalFormatting sqref="J1:J99 N1:O1 Z1">
    <cfRule type="containsText" dxfId="24" priority="14" operator="containsText" text="Molina">
      <formula>NOT(ISERROR(SEARCH(("Molina"),(J1))))</formula>
    </cfRule>
  </conditionalFormatting>
  <conditionalFormatting sqref="K1:M99">
    <cfRule type="containsBlanks" dxfId="25" priority="15">
      <formula>LEN(TRIM(K1))=0</formula>
    </cfRule>
  </conditionalFormatting>
  <conditionalFormatting sqref="O1:O99 A2:N99 P2:Z99">
    <cfRule type="expression" dxfId="10" priority="16">
      <formula>$N1="SWAB"</formula>
    </cfRule>
  </conditionalFormatting>
  <conditionalFormatting sqref="J1:J99">
    <cfRule type="containsText" dxfId="5" priority="17" operator="containsText" text="Self Pay">
      <formula>NOT(ISERROR(SEARCH(("Self Pay"),(J1))))</formula>
    </cfRule>
  </conditionalFormatting>
  <conditionalFormatting sqref="J1:J99">
    <cfRule type="containsText" dxfId="5" priority="18" operator="containsText" text="Self-Pay">
      <formula>NOT(ISERROR(SEARCH(("Self-Pay"),(J1))))</formula>
    </cfRule>
  </conditionalFormatting>
  <conditionalFormatting sqref="J1:J99">
    <cfRule type="containsText" dxfId="5" priority="19" operator="containsText" text="Third Party">
      <formula>NOT(ISERROR(SEARCH(("Third Party"),(J1))))</formula>
    </cfRule>
  </conditionalFormatting>
  <conditionalFormatting sqref="A1:U99">
    <cfRule type="expression" dxfId="26" priority="20">
      <formula>$J1="SUPERIOR HEALTH PLAN"</formula>
    </cfRule>
  </conditionalFormatting>
  <conditionalFormatting sqref="A1:U99">
    <cfRule type="expression" dxfId="26" priority="21">
      <formula>$J1="AMBETTER - SUPERIOR"</formula>
    </cfRule>
  </conditionalFormatting>
  <conditionalFormatting sqref="A1:U99">
    <cfRule type="expression" dxfId="19" priority="22">
      <formula>$J1="Wellmed - Humana"</formula>
    </cfRule>
  </conditionalFormatting>
  <conditionalFormatting sqref="A1:U99">
    <cfRule type="expression" dxfId="19" priority="23">
      <formula>$J1="WELLMED - AARP MEDICARE COMPLETE"</formula>
    </cfRule>
  </conditionalFormatting>
  <conditionalFormatting sqref="A1:U99">
    <cfRule type="expression" dxfId="19" priority="24">
      <formula>$J1="WELLMED - AMERIVANTAGE"</formula>
    </cfRule>
  </conditionalFormatting>
  <conditionalFormatting sqref="A1:U99">
    <cfRule type="expression" dxfId="19" priority="25">
      <formula>$J1="WELLMED - CIGNA HEALTHSPRING"</formula>
    </cfRule>
  </conditionalFormatting>
  <conditionalFormatting sqref="A1:U99">
    <cfRule type="expression" dxfId="19" priority="26">
      <formula>$J1="WELLMED - UHC CHRONIC COMPLETE HMO C-SNP"</formula>
    </cfRule>
  </conditionalFormatting>
  <conditionalFormatting sqref="A1:U99">
    <cfRule type="expression" dxfId="19" priority="27">
      <formula>$J1="WELLMED - UHC DUAL COMPLETE HMO SNP"</formula>
    </cfRule>
  </conditionalFormatting>
  <conditionalFormatting sqref="A1:U99">
    <cfRule type="expression" dxfId="19" priority="28">
      <formula>$J1="WELLMED - UHC DUAL COMPLETE SNP"</formula>
    </cfRule>
  </conditionalFormatting>
  <conditionalFormatting sqref="A1:U99">
    <cfRule type="expression" dxfId="20" priority="29">
      <formula>$J1="MOLINA DUAL COMPLETE NEW MEXICO"</formula>
    </cfRule>
  </conditionalFormatting>
  <conditionalFormatting sqref="A1:U99">
    <cfRule type="expression" dxfId="20" priority="30">
      <formula>$J1="MOLINA DUAL COMPLETE TEXAS"</formula>
    </cfRule>
  </conditionalFormatting>
  <conditionalFormatting sqref="A1:U99">
    <cfRule type="expression" dxfId="20" priority="31">
      <formula>$J1="MOLINA MARKETPLACE TEXAS"</formula>
    </cfRule>
  </conditionalFormatting>
  <conditionalFormatting sqref="A1:U99">
    <cfRule type="expression" dxfId="20" priority="32">
      <formula>$J1="MOLINA MEDICAID TEXAS"</formula>
    </cfRule>
  </conditionalFormatting>
  <conditionalFormatting sqref="A1:U99">
    <cfRule type="expression" dxfId="27" priority="33">
      <formula>$J1="HUMANA OPEN ACCESS PLAN"</formula>
    </cfRule>
  </conditionalFormatting>
  <conditionalFormatting sqref="A1:U99">
    <cfRule type="expression" dxfId="28" priority="34">
      <formula>$J1="HUMANA CHOICE CARE"</formula>
    </cfRule>
  </conditionalFormatting>
  <conditionalFormatting sqref="V1:W99">
    <cfRule type="expression" dxfId="11" priority="35">
      <formula>$V1="UA"</formula>
    </cfRule>
  </conditionalFormatting>
  <conditionalFormatting sqref="V1:W99">
    <cfRule type="expression" dxfId="12" priority="36">
      <formula>$V1="OUTUA-PrRW"</formula>
    </cfRule>
  </conditionalFormatting>
  <conditionalFormatting sqref="V1:W99">
    <cfRule type="expression" dxfId="12" priority="37">
      <formula>$V1="OUT-UAQPre"</formula>
    </cfRule>
  </conditionalFormatting>
  <conditionalFormatting sqref="V1:W99">
    <cfRule type="expression" dxfId="13" priority="38">
      <formula>$V1="UA-Prelim"</formula>
    </cfRule>
  </conditionalFormatting>
  <conditionalFormatting sqref="V1:W99">
    <cfRule type="expression" dxfId="6" priority="39">
      <formula>$V1="UA-NWPT"</formula>
    </cfRule>
  </conditionalFormatting>
  <conditionalFormatting sqref="N1:N100 O1:O99">
    <cfRule type="expression" dxfId="5" priority="40">
      <formula>$O1="X"</formula>
    </cfRule>
  </conditionalFormatting>
  <conditionalFormatting sqref="V1:W99">
    <cfRule type="expression" dxfId="10" priority="41">
      <formula>$V1="OUT-UAQ"</formula>
    </cfRule>
  </conditionalFormatting>
  <conditionalFormatting sqref="V1:W99">
    <cfRule type="expression" dxfId="10" priority="42">
      <formula>$V1="OUTUA-FURW"</formula>
    </cfRule>
  </conditionalFormatting>
  <conditionalFormatting sqref="V1:W99">
    <cfRule type="expression" dxfId="14" priority="43">
      <formula>$V1="OUTSA-SaQu"</formula>
    </cfRule>
  </conditionalFormatting>
  <conditionalFormatting sqref="V1:W99">
    <cfRule type="expression" dxfId="14" priority="44">
      <formula>$V1="OUTSA-RW"</formula>
    </cfRule>
  </conditionalFormatting>
  <dataValidations>
    <dataValidation type="list" allowBlank="1" showErrorMessage="1" sqref="H2:H99">
      <formula1>"CH,DA,DC,DM,FA,LM"</formula1>
    </dataValidation>
    <dataValidation type="list" allowBlank="1" showErrorMessage="1" sqref="J2:J99">
      <formula1>Data!$A$2:$A100</formula1>
    </dataValidation>
    <dataValidation type="custom" allowBlank="1" showDropDown="1" showInputMessage="1" showErrorMessage="1" prompt="CAPITALS" sqref="A1:A99">
      <formula1>ISERROR(SEARCH((exact(upper(B:N),B:N)),(A1)))</formula1>
    </dataValidation>
    <dataValidation type="list" allowBlank="1" showErrorMessage="1" sqref="F2:F99">
      <formula1>Data!$B$1:$B$44</formula1>
    </dataValidation>
    <dataValidation type="custom" allowBlank="1" showDropDown="1" showInputMessage="1" showErrorMessage="1" prompt="CAPITALS" sqref="B1:B99">
      <formula1>ISERROR(SEARCH((exact(upper(B:O),B:O)),(B1)))</formula1>
    </dataValidation>
    <dataValidation type="list" allowBlank="1" showErrorMessage="1" sqref="G2:G99">
      <formula1>"F,M"</formula1>
    </dataValidation>
    <dataValidation type="list" allowBlank="1" showErrorMessage="1" sqref="K2:M99">
      <formula1>"X"</formula1>
    </dataValidation>
    <dataValidation type="list" allowBlank="1" showInputMessage="1" showErrorMessage="1" prompt="Click and enter a value from range 'Insurance Data'!C2:C608" sqref="E2:E99">
      <formula1>Data!$C:$C</formula1>
    </dataValidation>
    <dataValidation type="list" allowBlank="1" showErrorMessage="1" sqref="I2:I99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1.0"/>
    <col customWidth="1" min="2" max="2" width="6.43"/>
    <col customWidth="1" min="3" max="3" width="2.14"/>
    <col customWidth="1" min="4" max="4" width="9.71"/>
    <col customWidth="1" min="5" max="5" width="10.71"/>
    <col customWidth="1" min="6" max="6" width="11.57"/>
    <col customWidth="1" min="7" max="7" width="8.43"/>
    <col customWidth="1" min="8" max="8" width="8.29"/>
    <col customWidth="1" min="9" max="9" width="12.71"/>
    <col customWidth="1" min="10" max="10" width="38.14"/>
    <col customWidth="1" min="11" max="11" width="8.29"/>
    <col customWidth="1" min="12" max="12" width="8.57"/>
    <col customWidth="1" min="13" max="13" width="7.57"/>
    <col customWidth="1" min="14" max="14" width="7.0"/>
    <col customWidth="1" min="15" max="15" width="2.14"/>
    <col customWidth="1" hidden="1" min="16" max="20" width="12.57"/>
    <col customWidth="1" hidden="1" min="21" max="21" width="2.14"/>
    <col customWidth="1" min="22" max="22" width="14.86"/>
    <col customWidth="1" hidden="1" min="23" max="24" width="34.57"/>
    <col customWidth="1" hidden="1" min="25" max="25" width="12.14"/>
    <col customWidth="1" hidden="1" min="26" max="26" width="1.57"/>
    <col customWidth="1" min="27" max="27" width="9.57"/>
  </cols>
  <sheetData>
    <row r="1">
      <c r="A1" s="204" t="s">
        <v>24</v>
      </c>
      <c r="B1" s="205" t="s">
        <v>6237</v>
      </c>
      <c r="C1" s="206"/>
      <c r="D1" s="207" t="s">
        <v>25</v>
      </c>
      <c r="E1" s="280" t="s">
        <v>21</v>
      </c>
      <c r="F1" s="208" t="s">
        <v>6077</v>
      </c>
      <c r="G1" s="208" t="s">
        <v>6318</v>
      </c>
      <c r="H1" s="209" t="s">
        <v>2</v>
      </c>
      <c r="I1" s="209" t="s">
        <v>6206</v>
      </c>
      <c r="J1" s="209" t="s">
        <v>6135</v>
      </c>
      <c r="K1" s="208" t="s">
        <v>6353</v>
      </c>
      <c r="L1" s="208" t="s">
        <v>6354</v>
      </c>
      <c r="M1" s="208" t="s">
        <v>6240</v>
      </c>
      <c r="N1" s="210" t="s">
        <v>7</v>
      </c>
      <c r="O1" s="206"/>
      <c r="P1" s="207" t="s">
        <v>6188</v>
      </c>
      <c r="Q1" s="208" t="s">
        <v>6319</v>
      </c>
      <c r="R1" s="208" t="s">
        <v>6132</v>
      </c>
      <c r="S1" s="208" t="s">
        <v>6134</v>
      </c>
      <c r="T1" s="208" t="s">
        <v>6147</v>
      </c>
      <c r="U1" s="211"/>
      <c r="V1" s="212" t="s">
        <v>6320</v>
      </c>
      <c r="W1" s="207"/>
      <c r="X1" s="209"/>
      <c r="Y1" s="208" t="s">
        <v>6321</v>
      </c>
      <c r="Z1" s="213"/>
      <c r="AA1" s="241"/>
    </row>
    <row r="2">
      <c r="A2" s="214" t="str">
        <f>IFS($B2=FALSE,"",$B2,VLOOKUP($B2,'PATIENT DATA (072721)'!A:C, 2, 0))</f>
        <v>CORREA, JUAN</v>
      </c>
      <c r="B2" s="215">
        <v>10959.0</v>
      </c>
      <c r="C2" s="216" t="str">
        <f>IF(COUNTIF('PATIENT DATA (072721)'!A:A, B2)=0, "X","✓")</f>
        <v>✓</v>
      </c>
      <c r="D2" s="226">
        <f>IFS($B2=FALSE,"",$B2,VLOOKUP($B2,'PATIENT DATA (072721)'!A:C, 3, 0))</f>
        <v>20829</v>
      </c>
      <c r="E2" s="218">
        <v>44581.0</v>
      </c>
      <c r="F2" s="219">
        <f>ifs($B2="","",$B2, VLOOKUP($B2&amp;$E2, 'VISIT DATA'!A:O,3,0))</f>
        <v>0.3333333333</v>
      </c>
      <c r="G2" s="220" t="s">
        <v>6328</v>
      </c>
      <c r="H2" s="221" t="s">
        <v>15</v>
      </c>
      <c r="I2" s="222" t="str">
        <f>VLOOKUP($B2&amp;$E2,'VISIT DATA'!A:J, 9, FALSE)</f>
        <v>MARTINEZ</v>
      </c>
      <c r="J2" s="223" t="str">
        <f>VLOOKUP(B2&amp;E2,'VISIT DATA'!A:N,10,FALSE)</f>
        <v>AETNA MEDICARE ADVANTAGE</v>
      </c>
      <c r="K2" s="242"/>
      <c r="L2" s="224" t="s">
        <v>6242</v>
      </c>
      <c r="M2" s="224" t="s">
        <v>6242</v>
      </c>
      <c r="N2" s="225"/>
      <c r="O2" s="216" t="str">
        <f t="shared" ref="O2:O99" si="1">IF(OR(K2 = "x",L2 = "x",M2 = "x"),"✓", "X")</f>
        <v>✓</v>
      </c>
      <c r="P2" s="226" t="str">
        <f t="shared" ref="P2:P99" si="2">ifs(SEARCH($P$1,$J2)&gt;=1,"X")</f>
        <v>#VALUE!</v>
      </c>
      <c r="Q2" s="227" t="str">
        <f t="shared" ref="Q2:Q99" si="3">ifs(SEARCH($Q$1,$J2)&gt;=1,"X")</f>
        <v>#VALUE!</v>
      </c>
      <c r="R2" s="228" t="str">
        <f t="shared" ref="R2:R99" si="4">ifs(SEARCH($R$1,$J2)&gt;=1,"X")</f>
        <v>#VALUE!</v>
      </c>
      <c r="S2" s="220" t="str">
        <f t="shared" ref="S2:S99" si="5">ifs(SEARCH($S$1,$J2)&gt;=1,"X")</f>
        <v>#VALUE!</v>
      </c>
      <c r="T2" s="220" t="str">
        <f t="shared" ref="T2:T99" si="6">ifs(SEARCH($T$1,$J2)&gt;=1,"X")</f>
        <v>#VALUE!</v>
      </c>
      <c r="U2" s="221">
        <f t="shared" ref="U2:U99" si="7">countif($P2:$T2,"X")</f>
        <v>0</v>
      </c>
      <c r="V2" s="229" t="str">
        <f>ifs($N2="",VLOOKUP($B2&amp;$E2,'VISIT DATA'!$A$2:$J100,7,FALSE), $N2="SWAB","OUTSA-RW",$N2="SWQU","OUTSA-SaQu", AND($L2="X",$M2="X",$N2="QUEST"),"OUT-UAQPre",$N2="QUEST","OUT-UAQ", $N2="Walk in","ColUATele")</f>
        <v>UA-Prelim</v>
      </c>
      <c r="W2" s="24" t="str">
        <f t="shared" ref="W2:W99" si="8">ifs($V2="UA-NWPT","UA-NWPT : UA New Patient",$V2="UA","UA : Urine Analysis In House",$V2="UA-Prelim","UA-Prelim : Preliminary UA Test",$V2="OUT-UAQ","OUT-UAQ : Quest Out UA",$V2="OUT-UAQPre", "OUT-UAQPre : OUT UA Prelim Quest",$V2="OUTSA-SaQu","OUTSA-SaQu : Saliva Out Quest",$V2="ColUATele","Collected Telemed",$V2="OUTUA-PrRW", "OUTUA-PrRW : OUT UA Prelimin Redwood",$V2="OUTUA-FURW", "OUTUA-FURW : OUT UA FU Redwood",$V2="OUTUA-NWRW", "OUTUA-NWRW : OUT UA New Redwood",$V2="OUTSA-RW", "OUTSA-RW : OUT Saliva Redwood")</f>
        <v>UA-Prelim : Preliminary UA Test</v>
      </c>
      <c r="X2" s="222" t="str">
        <f t="shared" ref="X2:X99" si="9">ifs($B2="","",and($K2="X",$L2="X",$M2="X",$N2="SWAB"), "ERROR",and($K2="X",$L2="X",$N2="SWAB"), "ERROR", and($L2="X",$N2="SWAB"), "OUTSA-RW : OUT Saliva Redwood", and($K2="X",$M2="X", $N2="SWAB"),"ERROR", and($M2="X",$N2="SWAB"), "OUTSA-RW : OUT Saliva Redwood", and($K2="X",$N2="SWAB"),"OUTSA-RW : OUT Saliva Redwood",and($K2="X",$L2="X"),"ERROR", and($K2="X",$M2="X"),"ERROR",and($M2="X",$U2=1), "OUTUA-PrRW : OUT UA Prelimin Redwood", and($K2="X",$U2=1), "OUTUA-NWRW : OUT UA New Redwood", and($L2="X",$U2=1), "OUTUA-FURW : OUT UA FU Redwood", and($L2="X",$M2="X",$U2=1), "OUTUA-PrRW : OUT UA Prelimin Redwood", $K2="X","UA-NWPT : UA New Patient", and($L2="X",$M2="X"),"UA-Prelim : Preliminary UA Test",and($L2="X",$N2="SWAB"),"OUTSA-RW : OUT Saliva Redwood",$L2="X","UA : Urine Analysis In House",$M2="X","UA-Prelim : Preliminary UA Test")</f>
        <v>UA-Prelim : Preliminary UA Test</v>
      </c>
      <c r="Y2" s="222" t="str">
        <f t="shared" ref="Y2:Y99" si="10">IFS($B2="","",X2=W2,"MATCH",X2&lt;&gt;W2,"NO MATCH")</f>
        <v>MATCH</v>
      </c>
      <c r="Z2" s="224" t="str">
        <f t="shared" ref="Z2:Z99" si="11">IF((countif($B$2:$B100,$B2)&gt;1),"Repeat"," ")</f>
        <v> </v>
      </c>
      <c r="AA2" s="243"/>
    </row>
    <row r="3">
      <c r="A3" s="214" t="str">
        <f>IFS($B3=FALSE,"",$B3,VLOOKUP($B3,'PATIENT DATA (072721)'!A:C, 2, 0))</f>
        <v>HERMOSILLO, ALICE D</v>
      </c>
      <c r="B3" s="215">
        <v>15684.0</v>
      </c>
      <c r="C3" s="216" t="str">
        <f>IF(COUNTIF('PATIENT DATA (072721)'!A:A, B3)=0, "X","✓")</f>
        <v>✓</v>
      </c>
      <c r="D3" s="226">
        <f>IFS($B3=FALSE,"",$B3,VLOOKUP($B3,'PATIENT DATA (072721)'!A:C, 3, 0))</f>
        <v>29785</v>
      </c>
      <c r="E3" s="218">
        <v>44581.0</v>
      </c>
      <c r="F3" s="219">
        <f>ifs($B3="","",$B3, VLOOKUP($B3&amp;$E3, 'VISIT DATA'!A:O,3,0))</f>
        <v>0.3333333333</v>
      </c>
      <c r="G3" s="220" t="s">
        <v>6323</v>
      </c>
      <c r="H3" s="221" t="s">
        <v>14</v>
      </c>
      <c r="I3" s="222" t="str">
        <f>VLOOKUP($B3&amp;$E3,'VISIT DATA'!A:J, 9, FALSE)</f>
        <v>TORRES</v>
      </c>
      <c r="J3" s="223" t="str">
        <f>VLOOKUP(B3&amp;E3,'VISIT DATA'!A:N,10,FALSE)</f>
        <v>MOLINA MEDICAID TEXAS</v>
      </c>
      <c r="K3" s="224"/>
      <c r="L3" s="224" t="s">
        <v>6242</v>
      </c>
      <c r="M3" s="224" t="s">
        <v>6242</v>
      </c>
      <c r="N3" s="225"/>
      <c r="O3" s="216" t="str">
        <f t="shared" si="1"/>
        <v>✓</v>
      </c>
      <c r="P3" s="226" t="str">
        <f t="shared" si="2"/>
        <v>#VALUE!</v>
      </c>
      <c r="Q3" s="227" t="str">
        <f t="shared" si="3"/>
        <v>X</v>
      </c>
      <c r="R3" s="228" t="str">
        <f t="shared" si="4"/>
        <v>#VALUE!</v>
      </c>
      <c r="S3" s="220" t="str">
        <f t="shared" si="5"/>
        <v>#VALUE!</v>
      </c>
      <c r="T3" s="220" t="str">
        <f t="shared" si="6"/>
        <v>#VALUE!</v>
      </c>
      <c r="U3" s="221">
        <f t="shared" si="7"/>
        <v>1</v>
      </c>
      <c r="V3" s="229" t="str">
        <f>ifs($N3="",VLOOKUP($B3&amp;$E3,'VISIT DATA'!$A$2:$J100,7,FALSE), $N3="SWAB","OUTSA-RW",$N3="SWQU","OUTSA-SaQu", AND($L3="X",$M3="X",$N3="QUEST"),"OUT-UAQPre",$N3="QUEST","OUT-UAQ", $N3="Walk in","ColUATele")</f>
        <v>OUTUA-PrRW</v>
      </c>
      <c r="W3" s="24" t="str">
        <f t="shared" si="8"/>
        <v>OUTUA-PrRW : OUT UA Prelimin Redwood</v>
      </c>
      <c r="X3" s="222" t="str">
        <f t="shared" si="9"/>
        <v>OUTUA-PrRW : OUT UA Prelimin Redwood</v>
      </c>
      <c r="Y3" s="222" t="str">
        <f t="shared" si="10"/>
        <v>MATCH</v>
      </c>
      <c r="Z3" s="224" t="str">
        <f t="shared" si="11"/>
        <v> </v>
      </c>
      <c r="AA3" s="243"/>
    </row>
    <row r="4">
      <c r="A4" s="214" t="str">
        <f>IFS($B4=FALSE,"",$B4,VLOOKUP($B4,'PATIENT DATA (072721)'!A:C, 2, 0))</f>
        <v>VENEGAS, BERTA</v>
      </c>
      <c r="B4" s="215">
        <v>11017.0</v>
      </c>
      <c r="C4" s="216" t="str">
        <f>IF(COUNTIF('PATIENT DATA (072721)'!A:A, B4)=0, "X","✓")</f>
        <v>✓</v>
      </c>
      <c r="D4" s="226">
        <f>IFS($B4=FALSE,"",$B4,VLOOKUP($B4,'PATIENT DATA (072721)'!A:C, 3, 0))</f>
        <v>22235</v>
      </c>
      <c r="E4" s="218">
        <v>44581.0</v>
      </c>
      <c r="F4" s="219">
        <f>ifs($B4="","",$B4, VLOOKUP($B4&amp;$E4, 'VISIT DATA'!A:O,3,0))</f>
        <v>0.3541666667</v>
      </c>
      <c r="G4" s="220" t="s">
        <v>6323</v>
      </c>
      <c r="H4" s="221" t="s">
        <v>15</v>
      </c>
      <c r="I4" s="222" t="str">
        <f>VLOOKUP($B4&amp;$E4,'VISIT DATA'!A:J, 9, FALSE)</f>
        <v>MARTINEZ</v>
      </c>
      <c r="J4" s="223" t="str">
        <f>VLOOKUP(B4&amp;E4,'VISIT DATA'!A:N,10,FALSE)</f>
        <v>WELLMED - UHC DUAL COMPLETE SNP</v>
      </c>
      <c r="K4" s="242"/>
      <c r="L4" s="224" t="s">
        <v>6242</v>
      </c>
      <c r="M4" s="224"/>
      <c r="N4" s="225"/>
      <c r="O4" s="216" t="str">
        <f t="shared" si="1"/>
        <v>✓</v>
      </c>
      <c r="P4" s="226" t="str">
        <f t="shared" si="2"/>
        <v>X</v>
      </c>
      <c r="Q4" s="227" t="str">
        <f t="shared" si="3"/>
        <v>#VALUE!</v>
      </c>
      <c r="R4" s="228" t="str">
        <f t="shared" si="4"/>
        <v>#VALUE!</v>
      </c>
      <c r="S4" s="220" t="str">
        <f t="shared" si="5"/>
        <v>#VALUE!</v>
      </c>
      <c r="T4" s="220" t="str">
        <f t="shared" si="6"/>
        <v>#VALUE!</v>
      </c>
      <c r="U4" s="221">
        <f t="shared" si="7"/>
        <v>1</v>
      </c>
      <c r="V4" s="229" t="str">
        <f>ifs($N4="",VLOOKUP($B4&amp;$E4,'VISIT DATA'!$A$2:$J100,7,FALSE), $N4="SWAB","OUTSA-RW",$N4="SWQU","OUTSA-SaQu", AND($L4="X",$M4="X",$N4="QUEST"),"OUT-UAQPre",$N4="QUEST","OUT-UAQ", $N4="Walk in","ColUATele")</f>
        <v>UA</v>
      </c>
      <c r="W4" s="24" t="str">
        <f t="shared" si="8"/>
        <v>UA : Urine Analysis In House</v>
      </c>
      <c r="X4" s="222" t="str">
        <f t="shared" si="9"/>
        <v>OUTUA-FURW : OUT UA FU Redwood</v>
      </c>
      <c r="Y4" s="222" t="str">
        <f t="shared" si="10"/>
        <v>NO MATCH</v>
      </c>
      <c r="Z4" s="224" t="str">
        <f t="shared" si="11"/>
        <v> </v>
      </c>
      <c r="AA4" s="243"/>
    </row>
    <row r="5">
      <c r="A5" s="214" t="str">
        <f>IFS($B5=FALSE,"",$B5,VLOOKUP($B5,'PATIENT DATA (072721)'!A:C, 2, 0))</f>
        <v>FLORES, EMMA U</v>
      </c>
      <c r="B5" s="215">
        <v>17954.0</v>
      </c>
      <c r="C5" s="216" t="str">
        <f>IF(COUNTIF('PATIENT DATA (072721)'!A:A, B5)=0, "X","✓")</f>
        <v>✓</v>
      </c>
      <c r="D5" s="226">
        <f>IFS($B5=FALSE,"",$B5,VLOOKUP($B5,'PATIENT DATA (072721)'!A:C, 3, 0))</f>
        <v>13621</v>
      </c>
      <c r="E5" s="218">
        <v>44581.0</v>
      </c>
      <c r="F5" s="219">
        <f>ifs($B5="","",$B5, VLOOKUP($B5&amp;$E5, 'VISIT DATA'!A:O,3,0))</f>
        <v>0.3645833333</v>
      </c>
      <c r="G5" s="220" t="s">
        <v>6323</v>
      </c>
      <c r="H5" s="221" t="s">
        <v>13</v>
      </c>
      <c r="I5" s="222" t="str">
        <f>VLOOKUP($B5&amp;$E5,'VISIT DATA'!A:J, 9, FALSE)</f>
        <v>THOMAS</v>
      </c>
      <c r="J5" s="223" t="str">
        <f>VLOOKUP(B5&amp;E5,'VISIT DATA'!A:N,10,FALSE)</f>
        <v>WELLMED - AARP MEDICARE COMPLETE</v>
      </c>
      <c r="K5" s="224" t="s">
        <v>6242</v>
      </c>
      <c r="L5" s="224"/>
      <c r="M5" s="224"/>
      <c r="N5" s="225"/>
      <c r="O5" s="216" t="str">
        <f t="shared" si="1"/>
        <v>✓</v>
      </c>
      <c r="P5" s="226" t="str">
        <f t="shared" si="2"/>
        <v>X</v>
      </c>
      <c r="Q5" s="227" t="str">
        <f t="shared" si="3"/>
        <v>#VALUE!</v>
      </c>
      <c r="R5" s="228" t="str">
        <f t="shared" si="4"/>
        <v>#VALUE!</v>
      </c>
      <c r="S5" s="220" t="str">
        <f t="shared" si="5"/>
        <v>#VALUE!</v>
      </c>
      <c r="T5" s="220" t="str">
        <f t="shared" si="6"/>
        <v>#VALUE!</v>
      </c>
      <c r="U5" s="221">
        <f t="shared" si="7"/>
        <v>1</v>
      </c>
      <c r="V5" s="229" t="str">
        <f>ifs($N5="",VLOOKUP($B5&amp;$E5,'VISIT DATA'!$A$2:$J100,7,FALSE), $N5="SWAB","OUTSA-RW",$N5="SWQU","OUTSA-SaQu", AND($L5="X",$M5="X",$N5="QUEST"),"OUT-UAQPre",$N5="QUEST","OUT-UAQ", $N5="Walk in","ColUATele")</f>
        <v>OUTUA-NWRW</v>
      </c>
      <c r="W5" s="24" t="str">
        <f t="shared" si="8"/>
        <v>OUTUA-NWRW : OUT UA New Redwood</v>
      </c>
      <c r="X5" s="222" t="str">
        <f t="shared" si="9"/>
        <v>OUTUA-NWRW : OUT UA New Redwood</v>
      </c>
      <c r="Y5" s="222" t="str">
        <f t="shared" si="10"/>
        <v>MATCH</v>
      </c>
      <c r="Z5" s="224" t="str">
        <f t="shared" si="11"/>
        <v> </v>
      </c>
      <c r="AA5" s="243"/>
    </row>
    <row r="6">
      <c r="A6" s="214" t="str">
        <f>IFS($B6=FALSE,"",$B6,VLOOKUP($B6,'PATIENT DATA (072721)'!A:C, 2, 0))</f>
        <v>TARANGO, MARIA</v>
      </c>
      <c r="B6" s="215">
        <v>12993.0</v>
      </c>
      <c r="C6" s="216" t="str">
        <f>IF(COUNTIF('PATIENT DATA (072721)'!A:A, B6)=0, "X","✓")</f>
        <v>✓</v>
      </c>
      <c r="D6" s="226">
        <f>IFS($B6=FALSE,"",$B6,VLOOKUP($B6,'PATIENT DATA (072721)'!A:C, 3, 0))</f>
        <v>19819</v>
      </c>
      <c r="E6" s="218">
        <v>44581.0</v>
      </c>
      <c r="F6" s="219">
        <f>ifs($B6="","",$B6, VLOOKUP($B6&amp;$E6, 'VISIT DATA'!A:O,3,0))</f>
        <v>0.34375</v>
      </c>
      <c r="G6" s="220" t="s">
        <v>6323</v>
      </c>
      <c r="H6" s="221" t="s">
        <v>12</v>
      </c>
      <c r="I6" s="222" t="str">
        <f>VLOOKUP($B6&amp;$E6,'VISIT DATA'!A:J, 9, FALSE)</f>
        <v>THOMAS</v>
      </c>
      <c r="J6" s="223" t="str">
        <f>VLOOKUP(B6&amp;E6,'VISIT DATA'!A:N,10,FALSE)</f>
        <v>WELLMED - UHC DUAL COMPLETE SNP</v>
      </c>
      <c r="K6" s="224"/>
      <c r="L6" s="224" t="s">
        <v>6242</v>
      </c>
      <c r="M6" s="224"/>
      <c r="N6" s="225"/>
      <c r="O6" s="216" t="str">
        <f t="shared" si="1"/>
        <v>✓</v>
      </c>
      <c r="P6" s="226" t="str">
        <f t="shared" si="2"/>
        <v>X</v>
      </c>
      <c r="Q6" s="227" t="str">
        <f t="shared" si="3"/>
        <v>#VALUE!</v>
      </c>
      <c r="R6" s="228" t="str">
        <f t="shared" si="4"/>
        <v>#VALUE!</v>
      </c>
      <c r="S6" s="220" t="str">
        <f t="shared" si="5"/>
        <v>#VALUE!</v>
      </c>
      <c r="T6" s="220" t="str">
        <f t="shared" si="6"/>
        <v>#VALUE!</v>
      </c>
      <c r="U6" s="221">
        <f t="shared" si="7"/>
        <v>1</v>
      </c>
      <c r="V6" s="229" t="str">
        <f>ifs($N6="",VLOOKUP($B6&amp;$E6,'VISIT DATA'!$A$2:$J100,7,FALSE), $N6="SWAB","OUTSA-RW",$N6="SWQU","OUTSA-SaQu", AND($L6="X",$M6="X",$N6="QUEST"),"OUT-UAQPre",$N6="QUEST","OUT-UAQ", $N6="Walk in","ColUATele")</f>
        <v>OUTUA-FURW</v>
      </c>
      <c r="W6" s="24" t="str">
        <f t="shared" si="8"/>
        <v>OUTUA-FURW : OUT UA FU Redwood</v>
      </c>
      <c r="X6" s="222" t="str">
        <f t="shared" si="9"/>
        <v>OUTUA-FURW : OUT UA FU Redwood</v>
      </c>
      <c r="Y6" s="222" t="str">
        <f t="shared" si="10"/>
        <v>MATCH</v>
      </c>
      <c r="Z6" s="224" t="str">
        <f t="shared" si="11"/>
        <v> </v>
      </c>
      <c r="AA6" s="243"/>
    </row>
    <row r="7">
      <c r="A7" s="214" t="str">
        <f>IFS($B7=FALSE,"",$B7,VLOOKUP($B7,'PATIENT DATA (072721)'!A:C, 2, 0))</f>
        <v>BARBOSA, MINERVA D</v>
      </c>
      <c r="B7" s="215">
        <v>15763.0</v>
      </c>
      <c r="C7" s="216" t="str">
        <f>IF(COUNTIF('PATIENT DATA (072721)'!A:A, B7)=0, "X","✓")</f>
        <v>✓</v>
      </c>
      <c r="D7" s="226">
        <f>IFS($B7=FALSE,"",$B7,VLOOKUP($B7,'PATIENT DATA (072721)'!A:C, 3, 0))</f>
        <v>23818</v>
      </c>
      <c r="E7" s="218">
        <v>44581.0</v>
      </c>
      <c r="F7" s="219">
        <f>ifs($B7="","",$B7, VLOOKUP($B7&amp;$E7, 'VISIT DATA'!A:O,3,0))</f>
        <v>0.375</v>
      </c>
      <c r="G7" s="220" t="s">
        <v>6323</v>
      </c>
      <c r="H7" s="221" t="s">
        <v>14</v>
      </c>
      <c r="I7" s="222" t="str">
        <f>VLOOKUP($B7&amp;$E7,'VISIT DATA'!A:J, 9, FALSE)</f>
        <v>TORRES</v>
      </c>
      <c r="J7" s="223" t="str">
        <f>VLOOKUP(B7&amp;E7,'VISIT DATA'!A:N,10,FALSE)</f>
        <v>ALLWELL - SUPERIOR</v>
      </c>
      <c r="K7" s="224"/>
      <c r="L7" s="224" t="s">
        <v>6242</v>
      </c>
      <c r="M7" s="224"/>
      <c r="N7" s="225"/>
      <c r="O7" s="216" t="str">
        <f t="shared" si="1"/>
        <v>✓</v>
      </c>
      <c r="P7" s="226" t="str">
        <f t="shared" si="2"/>
        <v>#VALUE!</v>
      </c>
      <c r="Q7" s="227" t="str">
        <f t="shared" si="3"/>
        <v>#VALUE!</v>
      </c>
      <c r="R7" s="228" t="str">
        <f t="shared" si="4"/>
        <v>#VALUE!</v>
      </c>
      <c r="S7" s="220" t="str">
        <f t="shared" si="5"/>
        <v>#VALUE!</v>
      </c>
      <c r="T7" s="220" t="str">
        <f t="shared" si="6"/>
        <v>#VALUE!</v>
      </c>
      <c r="U7" s="221">
        <f t="shared" si="7"/>
        <v>0</v>
      </c>
      <c r="V7" s="229" t="str">
        <f>ifs($N7="",VLOOKUP($B7&amp;$E7,'VISIT DATA'!$A$2:$J100,7,FALSE), $N7="SWAB","OUTSA-RW",$N7="SWQU","OUTSA-SaQu", AND($L7="X",$M7="X",$N7="QUEST"),"OUT-UAQPre",$N7="QUEST","OUT-UAQ", $N7="Walk in","ColUATele")</f>
        <v>UA</v>
      </c>
      <c r="W7" s="24" t="str">
        <f t="shared" si="8"/>
        <v>UA : Urine Analysis In House</v>
      </c>
      <c r="X7" s="222" t="str">
        <f t="shared" si="9"/>
        <v>UA : Urine Analysis In House</v>
      </c>
      <c r="Y7" s="222" t="str">
        <f t="shared" si="10"/>
        <v>MATCH</v>
      </c>
      <c r="Z7" s="224" t="str">
        <f t="shared" si="11"/>
        <v> </v>
      </c>
      <c r="AA7" s="243"/>
    </row>
    <row r="8">
      <c r="A8" s="214" t="str">
        <f>IFS($B8=FALSE,"",$B8,VLOOKUP($B8,'PATIENT DATA (072721)'!A:C, 2, 0))</f>
        <v>LUCERO, LINDA M</v>
      </c>
      <c r="B8" s="215">
        <v>13579.0</v>
      </c>
      <c r="C8" s="216" t="str">
        <f>IF(COUNTIF('PATIENT DATA (072721)'!A:A, B8)=0, "X","✓")</f>
        <v>✓</v>
      </c>
      <c r="D8" s="226">
        <f>IFS($B8=FALSE,"",$B8,VLOOKUP($B8,'PATIENT DATA (072721)'!A:C, 3, 0))</f>
        <v>23956</v>
      </c>
      <c r="E8" s="218">
        <v>44581.0</v>
      </c>
      <c r="F8" s="219">
        <f>ifs($B8="","",$B8, VLOOKUP($B8&amp;$E8, 'VISIT DATA'!A:O,3,0))</f>
        <v>0.3645833333</v>
      </c>
      <c r="G8" s="220" t="s">
        <v>6323</v>
      </c>
      <c r="H8" s="221" t="s">
        <v>15</v>
      </c>
      <c r="I8" s="222" t="str">
        <f>VLOOKUP($B8&amp;$E8,'VISIT DATA'!A:J, 9, FALSE)</f>
        <v>MARTINEZ</v>
      </c>
      <c r="J8" s="223" t="str">
        <f>VLOOKUP(B8&amp;E8,'VISIT DATA'!A:N,10,FALSE)</f>
        <v>AMERIGROUP</v>
      </c>
      <c r="K8" s="224"/>
      <c r="L8" s="224" t="s">
        <v>6242</v>
      </c>
      <c r="M8" s="224"/>
      <c r="N8" s="225"/>
      <c r="O8" s="216" t="str">
        <f t="shared" si="1"/>
        <v>✓</v>
      </c>
      <c r="P8" s="226" t="str">
        <f t="shared" si="2"/>
        <v>#VALUE!</v>
      </c>
      <c r="Q8" s="227" t="str">
        <f t="shared" si="3"/>
        <v>#VALUE!</v>
      </c>
      <c r="R8" s="228" t="str">
        <f t="shared" si="4"/>
        <v>#VALUE!</v>
      </c>
      <c r="S8" s="220" t="str">
        <f t="shared" si="5"/>
        <v>#VALUE!</v>
      </c>
      <c r="T8" s="220" t="str">
        <f t="shared" si="6"/>
        <v>#VALUE!</v>
      </c>
      <c r="U8" s="221">
        <f t="shared" si="7"/>
        <v>0</v>
      </c>
      <c r="V8" s="229" t="str">
        <f>ifs($N8="",VLOOKUP($B8&amp;$E8,'VISIT DATA'!$A$2:$J100,7,FALSE), $N8="SWAB","OUTSA-RW",$N8="SWQU","OUTSA-SaQu", AND($L8="X",$M8="X",$N8="QUEST"),"OUT-UAQPre",$N8="QUEST","OUT-UAQ", $N8="Walk in","ColUATele")</f>
        <v>UA</v>
      </c>
      <c r="W8" s="24" t="str">
        <f t="shared" si="8"/>
        <v>UA : Urine Analysis In House</v>
      </c>
      <c r="X8" s="222" t="str">
        <f t="shared" si="9"/>
        <v>UA : Urine Analysis In House</v>
      </c>
      <c r="Y8" s="222" t="str">
        <f t="shared" si="10"/>
        <v>MATCH</v>
      </c>
      <c r="Z8" s="224" t="str">
        <f t="shared" si="11"/>
        <v> </v>
      </c>
      <c r="AA8" s="243"/>
    </row>
    <row r="9">
      <c r="A9" s="214" t="str">
        <f>IFS($B9=FALSE,"",$B9,VLOOKUP($B9,'PATIENT DATA (072721)'!A:C, 2, 0))</f>
        <v>HADDAD, ANITA M</v>
      </c>
      <c r="B9" s="215">
        <v>15718.0</v>
      </c>
      <c r="C9" s="216" t="str">
        <f>IF(COUNTIF('PATIENT DATA (072721)'!A:A, B9)=0, "X","✓")</f>
        <v>✓</v>
      </c>
      <c r="D9" s="226">
        <f>IFS($B9=FALSE,"",$B9,VLOOKUP($B9,'PATIENT DATA (072721)'!A:C, 3, 0))</f>
        <v>14315</v>
      </c>
      <c r="E9" s="218">
        <v>44581.0</v>
      </c>
      <c r="F9" s="219">
        <f>ifs($B9="","",$B9, VLOOKUP($B9&amp;$E9, 'VISIT DATA'!A:O,3,0))</f>
        <v>0.3645833333</v>
      </c>
      <c r="G9" s="220" t="s">
        <v>6323</v>
      </c>
      <c r="H9" s="221" t="s">
        <v>13</v>
      </c>
      <c r="I9" s="222" t="str">
        <f>VLOOKUP($B9&amp;$E9,'VISIT DATA'!A:J, 9, FALSE)</f>
        <v>LOPEZ</v>
      </c>
      <c r="J9" s="223" t="str">
        <f>VLOOKUP(B9&amp;E9,'VISIT DATA'!A:N,10,FALSE)</f>
        <v>MEDICARE TEXAS</v>
      </c>
      <c r="K9" s="224"/>
      <c r="L9" s="224" t="s">
        <v>6242</v>
      </c>
      <c r="M9" s="224"/>
      <c r="N9" s="225"/>
      <c r="O9" s="216" t="str">
        <f t="shared" si="1"/>
        <v>✓</v>
      </c>
      <c r="P9" s="226" t="str">
        <f t="shared" si="2"/>
        <v>#VALUE!</v>
      </c>
      <c r="Q9" s="227" t="str">
        <f t="shared" si="3"/>
        <v>#VALUE!</v>
      </c>
      <c r="R9" s="228" t="str">
        <f t="shared" si="4"/>
        <v>#VALUE!</v>
      </c>
      <c r="S9" s="220" t="str">
        <f t="shared" si="5"/>
        <v>#VALUE!</v>
      </c>
      <c r="T9" s="220" t="str">
        <f t="shared" si="6"/>
        <v>#VALUE!</v>
      </c>
      <c r="U9" s="221">
        <f t="shared" si="7"/>
        <v>0</v>
      </c>
      <c r="V9" s="229" t="str">
        <f>ifs($N9="",VLOOKUP($B9&amp;$E9,'VISIT DATA'!$A$2:$J100,7,FALSE), $N9="SWAB","OUTSA-RW",$N9="SWQU","OUTSA-SaQu", AND($L9="X",$M9="X",$N9="QUEST"),"OUT-UAQPre",$N9="QUEST","OUT-UAQ", $N9="Walk in","ColUATele")</f>
        <v>UA</v>
      </c>
      <c r="W9" s="24" t="str">
        <f t="shared" si="8"/>
        <v>UA : Urine Analysis In House</v>
      </c>
      <c r="X9" s="222" t="str">
        <f t="shared" si="9"/>
        <v>UA : Urine Analysis In House</v>
      </c>
      <c r="Y9" s="222" t="str">
        <f t="shared" si="10"/>
        <v>MATCH</v>
      </c>
      <c r="Z9" s="224" t="str">
        <f t="shared" si="11"/>
        <v> </v>
      </c>
      <c r="AA9" s="243"/>
    </row>
    <row r="10">
      <c r="A10" s="214" t="str">
        <f>IFS($B10=FALSE,"",$B10,VLOOKUP($B10,'PATIENT DATA (072721)'!A:C, 2, 0))</f>
        <v>WIX, JESSICA</v>
      </c>
      <c r="B10" s="215">
        <v>12869.0</v>
      </c>
      <c r="C10" s="216" t="str">
        <f>IF(COUNTIF('PATIENT DATA (072721)'!A:A, B10)=0, "X","✓")</f>
        <v>✓</v>
      </c>
      <c r="D10" s="226">
        <f>IFS($B10=FALSE,"",$B10,VLOOKUP($B10,'PATIENT DATA (072721)'!A:C, 3, 0))</f>
        <v>25511</v>
      </c>
      <c r="E10" s="218">
        <v>44581.0</v>
      </c>
      <c r="F10" s="219">
        <f>ifs($B10="","",$B10, VLOOKUP($B10&amp;$E10, 'VISIT DATA'!A:O,3,0))</f>
        <v>0.375</v>
      </c>
      <c r="G10" s="220" t="s">
        <v>6323</v>
      </c>
      <c r="H10" s="221" t="s">
        <v>15</v>
      </c>
      <c r="I10" s="222" t="str">
        <f>VLOOKUP($B10&amp;$E10,'VISIT DATA'!A:J, 9, FALSE)</f>
        <v>MARTINEZ</v>
      </c>
      <c r="J10" s="223" t="str">
        <f>VLOOKUP(B10&amp;E10,'VISIT DATA'!A:N,10,FALSE)</f>
        <v>HUMANA GOLD PLUS HMO</v>
      </c>
      <c r="K10" s="224"/>
      <c r="L10" s="224" t="s">
        <v>6242</v>
      </c>
      <c r="M10" s="224" t="s">
        <v>6242</v>
      </c>
      <c r="N10" s="225"/>
      <c r="O10" s="216" t="str">
        <f t="shared" si="1"/>
        <v>✓</v>
      </c>
      <c r="P10" s="226" t="str">
        <f t="shared" si="2"/>
        <v>#VALUE!</v>
      </c>
      <c r="Q10" s="227" t="str">
        <f t="shared" si="3"/>
        <v>#VALUE!</v>
      </c>
      <c r="R10" s="228" t="str">
        <f t="shared" si="4"/>
        <v>#VALUE!</v>
      </c>
      <c r="S10" s="220" t="str">
        <f t="shared" si="5"/>
        <v>#VALUE!</v>
      </c>
      <c r="T10" s="220" t="str">
        <f t="shared" si="6"/>
        <v>#VALUE!</v>
      </c>
      <c r="U10" s="221">
        <f t="shared" si="7"/>
        <v>0</v>
      </c>
      <c r="V10" s="229" t="str">
        <f>ifs($N10="",VLOOKUP($B10&amp;$E10,'VISIT DATA'!$A$2:$J100,7,FALSE), $N10="SWAB","OUTSA-RW",$N10="SWQU","OUTSA-SaQu", AND($L10="X",$M10="X",$N10="QUEST"),"OUT-UAQPre",$N10="QUEST","OUT-UAQ", $N10="Walk in","ColUATele")</f>
        <v>UA-Prelim</v>
      </c>
      <c r="W10" s="24" t="str">
        <f t="shared" si="8"/>
        <v>UA-Prelim : Preliminary UA Test</v>
      </c>
      <c r="X10" s="222" t="str">
        <f t="shared" si="9"/>
        <v>UA-Prelim : Preliminary UA Test</v>
      </c>
      <c r="Y10" s="222" t="str">
        <f t="shared" si="10"/>
        <v>MATCH</v>
      </c>
      <c r="Z10" s="224" t="str">
        <f t="shared" si="11"/>
        <v> </v>
      </c>
      <c r="AA10" s="243"/>
    </row>
    <row r="11">
      <c r="A11" s="214" t="str">
        <f>IFS($B11=FALSE,"",$B11,VLOOKUP($B11,'PATIENT DATA (072721)'!A:C, 2, 0))</f>
        <v>MARTINEZ RASCON, FRANCISCA</v>
      </c>
      <c r="B11" s="215">
        <v>12531.0</v>
      </c>
      <c r="C11" s="216" t="str">
        <f>IF(COUNTIF('PATIENT DATA (072721)'!A:A, B11)=0, "X","✓")</f>
        <v>✓</v>
      </c>
      <c r="D11" s="226">
        <f>IFS($B11=FALSE,"",$B11,VLOOKUP($B11,'PATIENT DATA (072721)'!A:C, 3, 0))</f>
        <v>18176</v>
      </c>
      <c r="E11" s="218">
        <v>44581.0</v>
      </c>
      <c r="F11" s="219">
        <f>ifs($B11="","",$B11, VLOOKUP($B11&amp;$E11, 'VISIT DATA'!A:O,3,0))</f>
        <v>0.3854166667</v>
      </c>
      <c r="G11" s="220" t="s">
        <v>6323</v>
      </c>
      <c r="H11" s="221" t="s">
        <v>12</v>
      </c>
      <c r="I11" s="222" t="str">
        <f>VLOOKUP($B11&amp;$E11,'VISIT DATA'!A:J, 9, FALSE)</f>
        <v>LOPEZ</v>
      </c>
      <c r="J11" s="223" t="str">
        <f>VLOOKUP(B11&amp;E11,'VISIT DATA'!A:N,10,FALSE)</f>
        <v>HUMANA GOLD PLUS HMO</v>
      </c>
      <c r="K11" s="242"/>
      <c r="L11" s="224" t="s">
        <v>6242</v>
      </c>
      <c r="M11" s="224"/>
      <c r="N11" s="225"/>
      <c r="O11" s="216" t="str">
        <f t="shared" si="1"/>
        <v>✓</v>
      </c>
      <c r="P11" s="226" t="str">
        <f t="shared" si="2"/>
        <v>#VALUE!</v>
      </c>
      <c r="Q11" s="227" t="str">
        <f t="shared" si="3"/>
        <v>#VALUE!</v>
      </c>
      <c r="R11" s="228" t="str">
        <f t="shared" si="4"/>
        <v>#VALUE!</v>
      </c>
      <c r="S11" s="220" t="str">
        <f t="shared" si="5"/>
        <v>#VALUE!</v>
      </c>
      <c r="T11" s="220" t="str">
        <f t="shared" si="6"/>
        <v>#VALUE!</v>
      </c>
      <c r="U11" s="221">
        <f t="shared" si="7"/>
        <v>0</v>
      </c>
      <c r="V11" s="229" t="str">
        <f>ifs($N11="",VLOOKUP($B11&amp;$E11,'VISIT DATA'!$A$2:$J100,7,FALSE), $N11="SWAB","OUTSA-RW",$N11="SWQU","OUTSA-SaQu", AND($L11="X",$M11="X",$N11="QUEST"),"OUT-UAQPre",$N11="QUEST","OUT-UAQ", $N11="Walk in","ColUATele")</f>
        <v>UA</v>
      </c>
      <c r="W11" s="24" t="str">
        <f t="shared" si="8"/>
        <v>UA : Urine Analysis In House</v>
      </c>
      <c r="X11" s="222" t="str">
        <f t="shared" si="9"/>
        <v>UA : Urine Analysis In House</v>
      </c>
      <c r="Y11" s="222" t="str">
        <f t="shared" si="10"/>
        <v>MATCH</v>
      </c>
      <c r="Z11" s="224" t="str">
        <f t="shared" si="11"/>
        <v> </v>
      </c>
      <c r="AA11" s="243"/>
    </row>
    <row r="12">
      <c r="A12" s="214" t="str">
        <f>IFS($B12=FALSE,"",$B12,VLOOKUP($B12,'PATIENT DATA (072721)'!A:C, 2, 0))</f>
        <v>SARABIA, ASHLEY</v>
      </c>
      <c r="B12" s="215">
        <v>16368.0</v>
      </c>
      <c r="C12" s="216" t="str">
        <f>IF(COUNTIF('PATIENT DATA (072721)'!A:A, B12)=0, "X","✓")</f>
        <v>✓</v>
      </c>
      <c r="D12" s="226">
        <f>IFS($B12=FALSE,"",$B12,VLOOKUP($B12,'PATIENT DATA (072721)'!A:C, 3, 0))</f>
        <v>33256</v>
      </c>
      <c r="E12" s="218">
        <v>44581.0</v>
      </c>
      <c r="F12" s="219">
        <f>ifs($B12="","",$B12, VLOOKUP($B12&amp;$E12, 'VISIT DATA'!A:O,3,0))</f>
        <v>0.3854166667</v>
      </c>
      <c r="G12" s="220" t="s">
        <v>6323</v>
      </c>
      <c r="H12" s="221" t="s">
        <v>15</v>
      </c>
      <c r="I12" s="222" t="str">
        <f>VLOOKUP($B12&amp;$E12,'VISIT DATA'!A:J, 9, FALSE)</f>
        <v>MARTINEZ</v>
      </c>
      <c r="J12" s="223" t="str">
        <f>VLOOKUP(B12&amp;E12,'VISIT DATA'!A:N,10,FALSE)</f>
        <v>AETNA</v>
      </c>
      <c r="K12" s="224"/>
      <c r="L12" s="224" t="s">
        <v>6242</v>
      </c>
      <c r="M12" s="224"/>
      <c r="N12" s="225"/>
      <c r="O12" s="216" t="str">
        <f t="shared" si="1"/>
        <v>✓</v>
      </c>
      <c r="P12" s="226" t="str">
        <f t="shared" si="2"/>
        <v>#VALUE!</v>
      </c>
      <c r="Q12" s="227" t="str">
        <f t="shared" si="3"/>
        <v>#VALUE!</v>
      </c>
      <c r="R12" s="228" t="str">
        <f t="shared" si="4"/>
        <v>#VALUE!</v>
      </c>
      <c r="S12" s="220" t="str">
        <f t="shared" si="5"/>
        <v>#VALUE!</v>
      </c>
      <c r="T12" s="220" t="str">
        <f t="shared" si="6"/>
        <v>#VALUE!</v>
      </c>
      <c r="U12" s="221">
        <f t="shared" si="7"/>
        <v>0</v>
      </c>
      <c r="V12" s="229" t="str">
        <f>ifs($N12="",VLOOKUP($B12&amp;$E12,'VISIT DATA'!$A$2:$J100,7,FALSE), $N12="SWAB","OUTSA-RW",$N12="SWQU","OUTSA-SaQu", AND($L12="X",$M12="X",$N12="QUEST"),"OUT-UAQPre",$N12="QUEST","OUT-UAQ", $N12="Walk in","ColUATele")</f>
        <v>UA</v>
      </c>
      <c r="W12" s="24" t="str">
        <f t="shared" si="8"/>
        <v>UA : Urine Analysis In House</v>
      </c>
      <c r="X12" s="222" t="str">
        <f t="shared" si="9"/>
        <v>UA : Urine Analysis In House</v>
      </c>
      <c r="Y12" s="222" t="str">
        <f t="shared" si="10"/>
        <v>MATCH</v>
      </c>
      <c r="Z12" s="224" t="str">
        <f t="shared" si="11"/>
        <v> </v>
      </c>
      <c r="AA12" s="243"/>
    </row>
    <row r="13">
      <c r="A13" s="214" t="str">
        <f>IFS($B13=FALSE,"",$B13,VLOOKUP($B13,'PATIENT DATA (072721)'!A:C, 2, 0))</f>
        <v>DIAZ, AMELIA</v>
      </c>
      <c r="B13" s="215">
        <v>15502.0</v>
      </c>
      <c r="C13" s="216" t="str">
        <f>IF(COUNTIF('PATIENT DATA (072721)'!A:A, B13)=0, "X","✓")</f>
        <v>✓</v>
      </c>
      <c r="D13" s="226">
        <f>IFS($B13=FALSE,"",$B13,VLOOKUP($B13,'PATIENT DATA (072721)'!A:C, 3, 0))</f>
        <v>22188</v>
      </c>
      <c r="E13" s="218">
        <v>44581.0</v>
      </c>
      <c r="F13" s="219">
        <f>ifs($B13="","",$B13, VLOOKUP($B13&amp;$E13, 'VISIT DATA'!A:O,3,0))</f>
        <v>0.3958333333</v>
      </c>
      <c r="G13" s="220" t="s">
        <v>6323</v>
      </c>
      <c r="H13" s="221" t="s">
        <v>14</v>
      </c>
      <c r="I13" s="222" t="str">
        <f>VLOOKUP($B13&amp;$E13,'VISIT DATA'!A:J, 9, FALSE)</f>
        <v>TORRES</v>
      </c>
      <c r="J13" s="223" t="str">
        <f>VLOOKUP(B13&amp;E13,'VISIT DATA'!A:N,10,FALSE)</f>
        <v>AMERIGROUP</v>
      </c>
      <c r="K13" s="242"/>
      <c r="L13" s="224" t="s">
        <v>6242</v>
      </c>
      <c r="M13" s="224"/>
      <c r="N13" s="225"/>
      <c r="O13" s="216" t="str">
        <f t="shared" si="1"/>
        <v>✓</v>
      </c>
      <c r="P13" s="226" t="str">
        <f t="shared" si="2"/>
        <v>#VALUE!</v>
      </c>
      <c r="Q13" s="227" t="str">
        <f t="shared" si="3"/>
        <v>#VALUE!</v>
      </c>
      <c r="R13" s="228" t="str">
        <f t="shared" si="4"/>
        <v>#VALUE!</v>
      </c>
      <c r="S13" s="220" t="str">
        <f t="shared" si="5"/>
        <v>#VALUE!</v>
      </c>
      <c r="T13" s="220" t="str">
        <f t="shared" si="6"/>
        <v>#VALUE!</v>
      </c>
      <c r="U13" s="221">
        <f t="shared" si="7"/>
        <v>0</v>
      </c>
      <c r="V13" s="229" t="str">
        <f>ifs($N13="",VLOOKUP($B13&amp;$E13,'VISIT DATA'!$A$2:$J100,7,FALSE), $N13="SWAB","OUTSA-RW",$N13="SWQU","OUTSA-SaQu", AND($L13="X",$M13="X",$N13="QUEST"),"OUT-UAQPre",$N13="QUEST","OUT-UAQ", $N13="Walk in","ColUATele")</f>
        <v>UA</v>
      </c>
      <c r="W13" s="24" t="str">
        <f t="shared" si="8"/>
        <v>UA : Urine Analysis In House</v>
      </c>
      <c r="X13" s="222" t="str">
        <f t="shared" si="9"/>
        <v>UA : Urine Analysis In House</v>
      </c>
      <c r="Y13" s="222" t="str">
        <f t="shared" si="10"/>
        <v>MATCH</v>
      </c>
      <c r="Z13" s="224" t="str">
        <f t="shared" si="11"/>
        <v> </v>
      </c>
      <c r="AA13" s="243"/>
    </row>
    <row r="14">
      <c r="A14" s="214" t="str">
        <f>IFS($B14=FALSE,"",$B14,VLOOKUP($B14,'PATIENT DATA (072721)'!A:C, 2, 0))</f>
        <v>CABRERA VASQUEZ, FLAVIO</v>
      </c>
      <c r="B14" s="215">
        <v>17940.0</v>
      </c>
      <c r="C14" s="216" t="str">
        <f>IF(COUNTIF('PATIENT DATA (072721)'!A:A, B14)=0, "X","✓")</f>
        <v>✓</v>
      </c>
      <c r="D14" s="226">
        <f>IFS($B14=FALSE,"",$B14,VLOOKUP($B14,'PATIENT DATA (072721)'!A:C, 3, 0))</f>
        <v>12708</v>
      </c>
      <c r="E14" s="218">
        <v>44581.0</v>
      </c>
      <c r="F14" s="219">
        <f>ifs($B14="","",$B14, VLOOKUP($B14&amp;$E14, 'VISIT DATA'!A:O,3,0))</f>
        <v>0.3958333333</v>
      </c>
      <c r="G14" s="220" t="s">
        <v>6328</v>
      </c>
      <c r="H14" s="221" t="s">
        <v>12</v>
      </c>
      <c r="I14" s="222" t="str">
        <f>VLOOKUP($B14&amp;$E14,'VISIT DATA'!A:J, 9, FALSE)</f>
        <v>THOMAS</v>
      </c>
      <c r="J14" s="223" t="str">
        <f>VLOOKUP(B14&amp;E14,'VISIT DATA'!A:N,10,FALSE)</f>
        <v>WELLMED - UHC DUAL COMPLETE SNP</v>
      </c>
      <c r="K14" s="224" t="s">
        <v>6242</v>
      </c>
      <c r="L14" s="224"/>
      <c r="M14" s="224"/>
      <c r="N14" s="225"/>
      <c r="O14" s="216" t="str">
        <f t="shared" si="1"/>
        <v>✓</v>
      </c>
      <c r="P14" s="226" t="str">
        <f t="shared" si="2"/>
        <v>X</v>
      </c>
      <c r="Q14" s="227" t="str">
        <f t="shared" si="3"/>
        <v>#VALUE!</v>
      </c>
      <c r="R14" s="228" t="str">
        <f t="shared" si="4"/>
        <v>#VALUE!</v>
      </c>
      <c r="S14" s="220" t="str">
        <f t="shared" si="5"/>
        <v>#VALUE!</v>
      </c>
      <c r="T14" s="220" t="str">
        <f t="shared" si="6"/>
        <v>#VALUE!</v>
      </c>
      <c r="U14" s="221">
        <f t="shared" si="7"/>
        <v>1</v>
      </c>
      <c r="V14" s="229" t="str">
        <f>ifs($N14="",VLOOKUP($B14&amp;$E14,'VISIT DATA'!$A$2:$J100,7,FALSE), $N14="SWAB","OUTSA-RW",$N14="SWQU","OUTSA-SaQu", AND($L14="X",$M14="X",$N14="QUEST"),"OUT-UAQPre",$N14="QUEST","OUT-UAQ", $N14="Walk in","ColUATele")</f>
        <v>OUTUA-NWRW</v>
      </c>
      <c r="W14" s="24" t="str">
        <f t="shared" si="8"/>
        <v>OUTUA-NWRW : OUT UA New Redwood</v>
      </c>
      <c r="X14" s="222" t="str">
        <f t="shared" si="9"/>
        <v>OUTUA-NWRW : OUT UA New Redwood</v>
      </c>
      <c r="Y14" s="222" t="str">
        <f t="shared" si="10"/>
        <v>MATCH</v>
      </c>
      <c r="Z14" s="224" t="str">
        <f t="shared" si="11"/>
        <v> </v>
      </c>
      <c r="AA14" s="244"/>
    </row>
    <row r="15">
      <c r="A15" s="214" t="str">
        <f>IFS($B15=FALSE,"",$B15,VLOOKUP($B15,'PATIENT DATA (072721)'!A:C, 2, 0))</f>
        <v>LARA, YOLANDA</v>
      </c>
      <c r="B15" s="215">
        <v>16310.0</v>
      </c>
      <c r="C15" s="216" t="str">
        <f>IF(COUNTIF('PATIENT DATA (072721)'!A:A, B15)=0, "X","✓")</f>
        <v>✓</v>
      </c>
      <c r="D15" s="226">
        <f>IFS($B15=FALSE,"",$B15,VLOOKUP($B15,'PATIENT DATA (072721)'!A:C, 3, 0))</f>
        <v>20014</v>
      </c>
      <c r="E15" s="218">
        <v>44581.0</v>
      </c>
      <c r="F15" s="219">
        <f>ifs($B15="","",$B15, VLOOKUP($B15&amp;$E15, 'VISIT DATA'!A:O,3,0))</f>
        <v>0.375</v>
      </c>
      <c r="G15" s="220" t="s">
        <v>6323</v>
      </c>
      <c r="H15" s="221" t="s">
        <v>13</v>
      </c>
      <c r="I15" s="222" t="str">
        <f>VLOOKUP($B15&amp;$E15,'VISIT DATA'!A:J, 9, FALSE)</f>
        <v>THOMAS</v>
      </c>
      <c r="J15" s="223" t="str">
        <f>VLOOKUP(B15&amp;E15,'VISIT DATA'!A:N,10,FALSE)</f>
        <v>MEDICARE TEXAS</v>
      </c>
      <c r="K15" s="225"/>
      <c r="L15" s="224" t="s">
        <v>6242</v>
      </c>
      <c r="M15" s="224" t="s">
        <v>6242</v>
      </c>
      <c r="N15" s="225"/>
      <c r="O15" s="216" t="str">
        <f t="shared" si="1"/>
        <v>✓</v>
      </c>
      <c r="P15" s="226" t="str">
        <f t="shared" si="2"/>
        <v>#VALUE!</v>
      </c>
      <c r="Q15" s="227" t="str">
        <f t="shared" si="3"/>
        <v>#VALUE!</v>
      </c>
      <c r="R15" s="228" t="str">
        <f t="shared" si="4"/>
        <v>#VALUE!</v>
      </c>
      <c r="S15" s="220" t="str">
        <f t="shared" si="5"/>
        <v>#VALUE!</v>
      </c>
      <c r="T15" s="220" t="str">
        <f t="shared" si="6"/>
        <v>#VALUE!</v>
      </c>
      <c r="U15" s="221">
        <f t="shared" si="7"/>
        <v>0</v>
      </c>
      <c r="V15" s="229" t="str">
        <f>ifs($N15="",VLOOKUP($B15&amp;$E15,'VISIT DATA'!$A$2:$J100,7,FALSE), $N15="SWAB","OUTSA-RW",$N15="SWQU","OUTSA-SaQu", AND($L15="X",$M15="X",$N15="QUEST"),"OUT-UAQPre",$N15="QUEST","OUT-UAQ", $N15="Walk in","ColUATele")</f>
        <v>UA-Prelim</v>
      </c>
      <c r="W15" s="24" t="str">
        <f t="shared" si="8"/>
        <v>UA-Prelim : Preliminary UA Test</v>
      </c>
      <c r="X15" s="222" t="str">
        <f t="shared" si="9"/>
        <v>UA-Prelim : Preliminary UA Test</v>
      </c>
      <c r="Y15" s="222" t="str">
        <f t="shared" si="10"/>
        <v>MATCH</v>
      </c>
      <c r="Z15" s="224" t="str">
        <f t="shared" si="11"/>
        <v> </v>
      </c>
      <c r="AA15" s="244"/>
    </row>
    <row r="16">
      <c r="A16" s="214" t="str">
        <f>IFS($B16=FALSE,"",$B16,VLOOKUP($B16,'PATIENT DATA (072721)'!A:C, 2, 0))</f>
        <v>HEATH, WALLACE</v>
      </c>
      <c r="B16" s="215">
        <v>11613.0</v>
      </c>
      <c r="C16" s="216" t="str">
        <f>IF(COUNTIF('PATIENT DATA (072721)'!A:A, B16)=0, "X","✓")</f>
        <v>✓</v>
      </c>
      <c r="D16" s="226">
        <f>IFS($B16=FALSE,"",$B16,VLOOKUP($B16,'PATIENT DATA (072721)'!A:C, 3, 0))</f>
        <v>22853</v>
      </c>
      <c r="E16" s="218">
        <v>44581.0</v>
      </c>
      <c r="F16" s="219">
        <f>ifs($B16="","",$B16, VLOOKUP($B16&amp;$E16, 'VISIT DATA'!A:O,3,0))</f>
        <v>0.3958333333</v>
      </c>
      <c r="G16" s="220" t="s">
        <v>6328</v>
      </c>
      <c r="H16" s="221" t="s">
        <v>15</v>
      </c>
      <c r="I16" s="222" t="str">
        <f>VLOOKUP($B16&amp;$E16,'VISIT DATA'!A:J, 9, FALSE)</f>
        <v>MARTINEZ</v>
      </c>
      <c r="J16" s="223" t="str">
        <f>VLOOKUP(B16&amp;E16,'VISIT DATA'!A:N,10,FALSE)</f>
        <v>WPS VA - COMMUNITY CARE</v>
      </c>
      <c r="K16" s="224"/>
      <c r="L16" s="224" t="s">
        <v>6242</v>
      </c>
      <c r="M16" s="224"/>
      <c r="N16" s="225"/>
      <c r="O16" s="216" t="str">
        <f t="shared" si="1"/>
        <v>✓</v>
      </c>
      <c r="P16" s="226" t="str">
        <f t="shared" si="2"/>
        <v>#VALUE!</v>
      </c>
      <c r="Q16" s="227" t="str">
        <f t="shared" si="3"/>
        <v>#VALUE!</v>
      </c>
      <c r="R16" s="228" t="str">
        <f t="shared" si="4"/>
        <v>#VALUE!</v>
      </c>
      <c r="S16" s="220" t="str">
        <f t="shared" si="5"/>
        <v>#VALUE!</v>
      </c>
      <c r="T16" s="220" t="str">
        <f t="shared" si="6"/>
        <v>#VALUE!</v>
      </c>
      <c r="U16" s="221">
        <f t="shared" si="7"/>
        <v>0</v>
      </c>
      <c r="V16" s="229" t="str">
        <f>ifs($N16="",VLOOKUP($B16&amp;$E16,'VISIT DATA'!$A$2:$J100,7,FALSE), $N16="SWAB","OUTSA-RW",$N16="SWQU","OUTSA-SaQu", AND($L16="X",$M16="X",$N16="QUEST"),"OUT-UAQPre",$N16="QUEST","OUT-UAQ", $N16="Walk in","ColUATele")</f>
        <v>UA</v>
      </c>
      <c r="W16" s="24" t="str">
        <f t="shared" si="8"/>
        <v>UA : Urine Analysis In House</v>
      </c>
      <c r="X16" s="222" t="str">
        <f t="shared" si="9"/>
        <v>UA : Urine Analysis In House</v>
      </c>
      <c r="Y16" s="222" t="str">
        <f t="shared" si="10"/>
        <v>MATCH</v>
      </c>
      <c r="Z16" s="224" t="str">
        <f t="shared" si="11"/>
        <v> </v>
      </c>
      <c r="AA16" s="244"/>
    </row>
    <row r="17">
      <c r="A17" s="214" t="str">
        <f>IFS($B17=FALSE,"",$B17,VLOOKUP($B17,'PATIENT DATA (072721)'!A:C, 2, 0))</f>
        <v>MANRIQUEZ, ELOISA</v>
      </c>
      <c r="B17" s="215">
        <v>10813.0</v>
      </c>
      <c r="C17" s="216" t="str">
        <f>IF(COUNTIF('PATIENT DATA (072721)'!A:A, B17)=0, "X","✓")</f>
        <v>✓</v>
      </c>
      <c r="D17" s="226">
        <f>IFS($B17=FALSE,"",$B17,VLOOKUP($B17,'PATIENT DATA (072721)'!A:C, 3, 0))</f>
        <v>13035</v>
      </c>
      <c r="E17" s="218">
        <v>44581.0</v>
      </c>
      <c r="F17" s="219">
        <f>ifs($B17="","",$B17, VLOOKUP($B17&amp;$E17, 'VISIT DATA'!A:O,3,0))</f>
        <v>0.375</v>
      </c>
      <c r="G17" s="220" t="s">
        <v>6323</v>
      </c>
      <c r="H17" s="221" t="s">
        <v>13</v>
      </c>
      <c r="I17" s="222" t="str">
        <f>VLOOKUP($B17&amp;$E17,'VISIT DATA'!A:J, 9, FALSE)</f>
        <v>THOMAS</v>
      </c>
      <c r="J17" s="223" t="str">
        <f>VLOOKUP(B17&amp;E17,'VISIT DATA'!A:N,10,FALSE)</f>
        <v>WELLMED - HUMANA</v>
      </c>
      <c r="K17" s="225"/>
      <c r="L17" s="224" t="s">
        <v>6242</v>
      </c>
      <c r="M17" s="224" t="s">
        <v>6242</v>
      </c>
      <c r="N17" s="224"/>
      <c r="O17" s="216" t="str">
        <f t="shared" si="1"/>
        <v>✓</v>
      </c>
      <c r="P17" s="226" t="str">
        <f t="shared" si="2"/>
        <v>X</v>
      </c>
      <c r="Q17" s="227" t="str">
        <f t="shared" si="3"/>
        <v>#VALUE!</v>
      </c>
      <c r="R17" s="228" t="str">
        <f t="shared" si="4"/>
        <v>#VALUE!</v>
      </c>
      <c r="S17" s="220" t="str">
        <f t="shared" si="5"/>
        <v>#VALUE!</v>
      </c>
      <c r="T17" s="220" t="str">
        <f t="shared" si="6"/>
        <v>#VALUE!</v>
      </c>
      <c r="U17" s="221">
        <f t="shared" si="7"/>
        <v>1</v>
      </c>
      <c r="V17" s="229" t="str">
        <f>ifs($N17="",VLOOKUP($B17&amp;$E17,'VISIT DATA'!$A$2:$J100,7,FALSE), $N17="SWAB","OUTSA-RW",$N17="SWQU","OUTSA-SaQu", AND($L17="X",$M17="X",$N17="QUEST"),"OUT-UAQPre",$N17="QUEST","OUT-UAQ", $N17="Walk in","ColUATele")</f>
        <v>OUTUA-PrRW</v>
      </c>
      <c r="W17" s="24" t="str">
        <f t="shared" si="8"/>
        <v>OUTUA-PrRW : OUT UA Prelimin Redwood</v>
      </c>
      <c r="X17" s="222" t="str">
        <f t="shared" si="9"/>
        <v>OUTUA-PrRW : OUT UA Prelimin Redwood</v>
      </c>
      <c r="Y17" s="222" t="str">
        <f t="shared" si="10"/>
        <v>MATCH</v>
      </c>
      <c r="Z17" s="224" t="str">
        <f t="shared" si="11"/>
        <v> </v>
      </c>
      <c r="AA17" s="245"/>
    </row>
    <row r="18">
      <c r="A18" s="214" t="str">
        <f>IFS($B18=FALSE,"",$B18,VLOOKUP($B18,'PATIENT DATA (072721)'!A:C, 2, 0))</f>
        <v>MEDINA, JOSE</v>
      </c>
      <c r="B18" s="215">
        <v>16786.0</v>
      </c>
      <c r="C18" s="216" t="str">
        <f>IF(COUNTIF('PATIENT DATA (072721)'!A:A, B18)=0, "X","✓")</f>
        <v>✓</v>
      </c>
      <c r="D18" s="226">
        <f>IFS($B18=FALSE,"",$B18,VLOOKUP($B18,'PATIENT DATA (072721)'!A:C, 3, 0))</f>
        <v>19366</v>
      </c>
      <c r="E18" s="218">
        <v>44581.0</v>
      </c>
      <c r="F18" s="219">
        <f>ifs($B18="","",$B18, VLOOKUP($B18&amp;$E18, 'VISIT DATA'!A:O,3,0))</f>
        <v>0.40625</v>
      </c>
      <c r="G18" s="220" t="s">
        <v>6328</v>
      </c>
      <c r="H18" s="221" t="s">
        <v>15</v>
      </c>
      <c r="I18" s="222" t="str">
        <f>VLOOKUP($B18&amp;$E18,'VISIT DATA'!A:J, 9, FALSE)</f>
        <v>MARTINEZ</v>
      </c>
      <c r="J18" s="223" t="str">
        <f>VLOOKUP(B18&amp;E18,'VISIT DATA'!A:N,10,FALSE)</f>
        <v>WELLMED - CIGNA HEALTHSPRING</v>
      </c>
      <c r="K18" s="224"/>
      <c r="L18" s="224" t="s">
        <v>6242</v>
      </c>
      <c r="M18" s="224"/>
      <c r="N18" s="224"/>
      <c r="O18" s="216" t="str">
        <f t="shared" si="1"/>
        <v>✓</v>
      </c>
      <c r="P18" s="226" t="str">
        <f t="shared" si="2"/>
        <v>X</v>
      </c>
      <c r="Q18" s="227" t="str">
        <f t="shared" si="3"/>
        <v>#VALUE!</v>
      </c>
      <c r="R18" s="228" t="str">
        <f t="shared" si="4"/>
        <v>#VALUE!</v>
      </c>
      <c r="S18" s="220" t="str">
        <f t="shared" si="5"/>
        <v>#VALUE!</v>
      </c>
      <c r="T18" s="220" t="str">
        <f t="shared" si="6"/>
        <v>#VALUE!</v>
      </c>
      <c r="U18" s="221">
        <f t="shared" si="7"/>
        <v>1</v>
      </c>
      <c r="V18" s="229" t="str">
        <f>ifs($N18="",VLOOKUP($B18&amp;$E18,'VISIT DATA'!$A$2:$J100,7,FALSE), $N18="SWAB","OUTSA-RW",$N18="SWQU","OUTSA-SaQu", AND($L18="X",$M18="X",$N18="QUEST"),"OUT-UAQPre",$N18="QUEST","OUT-UAQ", $N18="Walk in","ColUATele")</f>
        <v>OUTUA-FURW</v>
      </c>
      <c r="W18" s="24" t="str">
        <f t="shared" si="8"/>
        <v>OUTUA-FURW : OUT UA FU Redwood</v>
      </c>
      <c r="X18" s="222" t="str">
        <f t="shared" si="9"/>
        <v>OUTUA-FURW : OUT UA FU Redwood</v>
      </c>
      <c r="Y18" s="222" t="str">
        <f t="shared" si="10"/>
        <v>MATCH</v>
      </c>
      <c r="Z18" s="224" t="str">
        <f t="shared" si="11"/>
        <v> </v>
      </c>
      <c r="AA18" s="244"/>
    </row>
    <row r="19">
      <c r="A19" s="214" t="str">
        <f>IFS($B19=FALSE,"",$B19,VLOOKUP($B19,'PATIENT DATA (072721)'!A:C, 2, 0))</f>
        <v>VILLAGOMEZ, LAURA L</v>
      </c>
      <c r="B19" s="215">
        <v>12267.0</v>
      </c>
      <c r="C19" s="216" t="str">
        <f>IF(COUNTIF('PATIENT DATA (072721)'!A:A, B19)=0, "X","✓")</f>
        <v>✓</v>
      </c>
      <c r="D19" s="226">
        <f>IFS($B19=FALSE,"",$B19,VLOOKUP($B19,'PATIENT DATA (072721)'!A:C, 3, 0))</f>
        <v>23969</v>
      </c>
      <c r="E19" s="218">
        <v>44581.0</v>
      </c>
      <c r="F19" s="219">
        <f>ifs($B19="","",$B19, VLOOKUP($B19&amp;$E19, 'VISIT DATA'!A:O,3,0))</f>
        <v>0.40625</v>
      </c>
      <c r="G19" s="220" t="s">
        <v>6323</v>
      </c>
      <c r="H19" s="221" t="s">
        <v>14</v>
      </c>
      <c r="I19" s="222" t="str">
        <f>VLOOKUP($B19&amp;$E19,'VISIT DATA'!A:J, 9, FALSE)</f>
        <v>TORRES</v>
      </c>
      <c r="J19" s="223" t="str">
        <f>VLOOKUP(B19&amp;E19,'VISIT DATA'!A:N,10,FALSE)</f>
        <v>AMERIGROUP</v>
      </c>
      <c r="K19" s="225"/>
      <c r="L19" s="224" t="s">
        <v>6242</v>
      </c>
      <c r="M19" s="224"/>
      <c r="N19" s="225"/>
      <c r="O19" s="216" t="str">
        <f t="shared" si="1"/>
        <v>✓</v>
      </c>
      <c r="P19" s="226" t="str">
        <f t="shared" si="2"/>
        <v>#VALUE!</v>
      </c>
      <c r="Q19" s="227" t="str">
        <f t="shared" si="3"/>
        <v>#VALUE!</v>
      </c>
      <c r="R19" s="228" t="str">
        <f t="shared" si="4"/>
        <v>#VALUE!</v>
      </c>
      <c r="S19" s="220" t="str">
        <f t="shared" si="5"/>
        <v>#VALUE!</v>
      </c>
      <c r="T19" s="220" t="str">
        <f t="shared" si="6"/>
        <v>#VALUE!</v>
      </c>
      <c r="U19" s="221">
        <f t="shared" si="7"/>
        <v>0</v>
      </c>
      <c r="V19" s="229" t="str">
        <f>ifs($N19="",VLOOKUP($B19&amp;$E19,'VISIT DATA'!$A$2:$J100,7,FALSE), $N19="SWAB","OUTSA-RW",$N19="SWQU","OUTSA-SaQu", AND($L19="X",$M19="X",$N19="QUEST"),"OUT-UAQPre",$N19="QUEST","OUT-UAQ", $N19="Walk in","ColUATele")</f>
        <v>UA</v>
      </c>
      <c r="W19" s="24" t="str">
        <f t="shared" si="8"/>
        <v>UA : Urine Analysis In House</v>
      </c>
      <c r="X19" s="222" t="str">
        <f t="shared" si="9"/>
        <v>UA : Urine Analysis In House</v>
      </c>
      <c r="Y19" s="222" t="str">
        <f t="shared" si="10"/>
        <v>MATCH</v>
      </c>
      <c r="Z19" s="224" t="str">
        <f t="shared" si="11"/>
        <v> </v>
      </c>
      <c r="AA19" s="244"/>
    </row>
    <row r="20">
      <c r="A20" s="214" t="str">
        <f>IFS($B20=FALSE,"",$B20,VLOOKUP($B20,'PATIENT DATA (072721)'!A:C, 2, 0))</f>
        <v>ARCOS, LUIS</v>
      </c>
      <c r="B20" s="215">
        <v>11365.0</v>
      </c>
      <c r="C20" s="216" t="str">
        <f>IF(COUNTIF('PATIENT DATA (072721)'!A:A, B20)=0, "X","✓")</f>
        <v>✓</v>
      </c>
      <c r="D20" s="226">
        <f>IFS($B20=FALSE,"",$B20,VLOOKUP($B20,'PATIENT DATA (072721)'!A:C, 3, 0))</f>
        <v>26273</v>
      </c>
      <c r="E20" s="218">
        <v>44581.0</v>
      </c>
      <c r="F20" s="219">
        <f>ifs($B20="","",$B20, VLOOKUP($B20&amp;$E20, 'VISIT DATA'!A:O,3,0))</f>
        <v>0.4375</v>
      </c>
      <c r="G20" s="220" t="s">
        <v>6328</v>
      </c>
      <c r="H20" s="221" t="s">
        <v>14</v>
      </c>
      <c r="I20" s="222" t="str">
        <f>VLOOKUP($B20&amp;$E20,'VISIT DATA'!A:J, 9, FALSE)</f>
        <v>TORRES</v>
      </c>
      <c r="J20" s="223" t="str">
        <f>VLOOKUP(B20&amp;E20,'VISIT DATA'!A:N,10,FALSE)</f>
        <v>AMERIGROUP</v>
      </c>
      <c r="K20" s="225"/>
      <c r="L20" s="224" t="s">
        <v>6242</v>
      </c>
      <c r="M20" s="224"/>
      <c r="N20" s="224"/>
      <c r="O20" s="216" t="str">
        <f t="shared" si="1"/>
        <v>✓</v>
      </c>
      <c r="P20" s="226" t="str">
        <f t="shared" si="2"/>
        <v>#VALUE!</v>
      </c>
      <c r="Q20" s="227" t="str">
        <f t="shared" si="3"/>
        <v>#VALUE!</v>
      </c>
      <c r="R20" s="228" t="str">
        <f t="shared" si="4"/>
        <v>#VALUE!</v>
      </c>
      <c r="S20" s="220" t="str">
        <f t="shared" si="5"/>
        <v>#VALUE!</v>
      </c>
      <c r="T20" s="220" t="str">
        <f t="shared" si="6"/>
        <v>#VALUE!</v>
      </c>
      <c r="U20" s="221">
        <f t="shared" si="7"/>
        <v>0</v>
      </c>
      <c r="V20" s="229" t="str">
        <f>ifs($N20="",VLOOKUP($B20&amp;$E20,'VISIT DATA'!$A$2:$J100,7,FALSE), $N20="SWAB","OUTSA-RW",$N20="SWQU","OUTSA-SaQu", AND($L20="X",$M20="X",$N20="QUEST"),"OUT-UAQPre",$N20="QUEST","OUT-UAQ", $N20="Walk in","ColUATele")</f>
        <v>UA</v>
      </c>
      <c r="W20" s="24" t="str">
        <f t="shared" si="8"/>
        <v>UA : Urine Analysis In House</v>
      </c>
      <c r="X20" s="222" t="str">
        <f t="shared" si="9"/>
        <v>UA : Urine Analysis In House</v>
      </c>
      <c r="Y20" s="222" t="str">
        <f t="shared" si="10"/>
        <v>MATCH</v>
      </c>
      <c r="Z20" s="224" t="str">
        <f t="shared" si="11"/>
        <v> </v>
      </c>
      <c r="AA20" s="244"/>
    </row>
    <row r="21">
      <c r="A21" s="214" t="str">
        <f>IFS($B21=FALSE,"",$B21,VLOOKUP($B21,'PATIENT DATA (072721)'!A:C, 2, 0))</f>
        <v>SANCHEZ, REBECCA S</v>
      </c>
      <c r="B21" s="215">
        <v>15998.0</v>
      </c>
      <c r="C21" s="216" t="str">
        <f>IF(COUNTIF('PATIENT DATA (072721)'!A:A, B21)=0, "X","✓")</f>
        <v>✓</v>
      </c>
      <c r="D21" s="226">
        <f>IFS($B21=FALSE,"",$B21,VLOOKUP($B21,'PATIENT DATA (072721)'!A:C, 3, 0))</f>
        <v>19064</v>
      </c>
      <c r="E21" s="218">
        <v>44581.0</v>
      </c>
      <c r="F21" s="219">
        <f>ifs($B21="","",$B21, VLOOKUP($B21&amp;$E21, 'VISIT DATA'!A:O,3,0))</f>
        <v>0.4166666667</v>
      </c>
      <c r="G21" s="220" t="s">
        <v>6323</v>
      </c>
      <c r="H21" s="221" t="s">
        <v>12</v>
      </c>
      <c r="I21" s="222" t="str">
        <f>VLOOKUP($B21&amp;$E21,'VISIT DATA'!A:J, 9, FALSE)</f>
        <v>THOMAS</v>
      </c>
      <c r="J21" s="223" t="str">
        <f>VLOOKUP(B21&amp;E21,'VISIT DATA'!A:N,10,FALSE)</f>
        <v>MEDICARE TEXAS</v>
      </c>
      <c r="K21" s="225"/>
      <c r="L21" s="224" t="s">
        <v>6242</v>
      </c>
      <c r="M21" s="224"/>
      <c r="N21" s="225"/>
      <c r="O21" s="216" t="str">
        <f t="shared" si="1"/>
        <v>✓</v>
      </c>
      <c r="P21" s="226" t="str">
        <f t="shared" si="2"/>
        <v>#VALUE!</v>
      </c>
      <c r="Q21" s="227" t="str">
        <f t="shared" si="3"/>
        <v>#VALUE!</v>
      </c>
      <c r="R21" s="228" t="str">
        <f t="shared" si="4"/>
        <v>#VALUE!</v>
      </c>
      <c r="S21" s="220" t="str">
        <f t="shared" si="5"/>
        <v>#VALUE!</v>
      </c>
      <c r="T21" s="220" t="str">
        <f t="shared" si="6"/>
        <v>#VALUE!</v>
      </c>
      <c r="U21" s="221">
        <f t="shared" si="7"/>
        <v>0</v>
      </c>
      <c r="V21" s="229" t="str">
        <f>ifs($N21="",VLOOKUP($B21&amp;$E21,'VISIT DATA'!$A$2:$J100,7,FALSE), $N21="SWAB","OUTSA-RW",$N21="SWQU","OUTSA-SaQu", AND($L21="X",$M21="X",$N21="QUEST"),"OUT-UAQPre",$N21="QUEST","OUT-UAQ", $N21="Walk in","ColUATele")</f>
        <v>UA</v>
      </c>
      <c r="W21" s="24" t="str">
        <f t="shared" si="8"/>
        <v>UA : Urine Analysis In House</v>
      </c>
      <c r="X21" s="222" t="str">
        <f t="shared" si="9"/>
        <v>UA : Urine Analysis In House</v>
      </c>
      <c r="Y21" s="222" t="str">
        <f t="shared" si="10"/>
        <v>MATCH</v>
      </c>
      <c r="Z21" s="224" t="str">
        <f t="shared" si="11"/>
        <v> </v>
      </c>
      <c r="AA21" s="244"/>
    </row>
    <row r="22">
      <c r="A22" s="214" t="str">
        <f>IFS($B22=FALSE,"",$B22,VLOOKUP($B22,'PATIENT DATA (072721)'!A:C, 2, 0))</f>
        <v>ARCOS, MARTHA</v>
      </c>
      <c r="B22" s="215">
        <v>11223.0</v>
      </c>
      <c r="C22" s="216" t="str">
        <f>IF(COUNTIF('PATIENT DATA (072721)'!A:A, B22)=0, "X","✓")</f>
        <v>✓</v>
      </c>
      <c r="D22" s="226">
        <f>IFS($B22=FALSE,"",$B22,VLOOKUP($B22,'PATIENT DATA (072721)'!A:C, 3, 0))</f>
        <v>27156</v>
      </c>
      <c r="E22" s="218">
        <v>44581.0</v>
      </c>
      <c r="F22" s="219">
        <f>ifs($B22="","",$B22, VLOOKUP($B22&amp;$E22, 'VISIT DATA'!A:O,3,0))</f>
        <v>0.4375</v>
      </c>
      <c r="G22" s="220" t="s">
        <v>6323</v>
      </c>
      <c r="H22" s="221" t="s">
        <v>14</v>
      </c>
      <c r="I22" s="222" t="str">
        <f>VLOOKUP($B22&amp;$E22,'VISIT DATA'!A:J, 9, FALSE)</f>
        <v>TORRES</v>
      </c>
      <c r="J22" s="223" t="str">
        <f>VLOOKUP(B22&amp;E22,'VISIT DATA'!A:N,10,FALSE)</f>
        <v>AMERIGROUP</v>
      </c>
      <c r="K22" s="225"/>
      <c r="L22" s="224" t="s">
        <v>6242</v>
      </c>
      <c r="M22" s="224" t="s">
        <v>6242</v>
      </c>
      <c r="N22" s="225"/>
      <c r="O22" s="216" t="str">
        <f t="shared" si="1"/>
        <v>✓</v>
      </c>
      <c r="P22" s="226" t="str">
        <f t="shared" si="2"/>
        <v>#VALUE!</v>
      </c>
      <c r="Q22" s="227" t="str">
        <f t="shared" si="3"/>
        <v>#VALUE!</v>
      </c>
      <c r="R22" s="228" t="str">
        <f t="shared" si="4"/>
        <v>#VALUE!</v>
      </c>
      <c r="S22" s="220" t="str">
        <f t="shared" si="5"/>
        <v>#VALUE!</v>
      </c>
      <c r="T22" s="220" t="str">
        <f t="shared" si="6"/>
        <v>#VALUE!</v>
      </c>
      <c r="U22" s="221">
        <f t="shared" si="7"/>
        <v>0</v>
      </c>
      <c r="V22" s="229" t="str">
        <f>ifs($N22="",VLOOKUP($B22&amp;$E22,'VISIT DATA'!$A$2:$J100,7,FALSE), $N22="SWAB","OUTSA-RW",$N22="SWQU","OUTSA-SaQu", AND($L22="X",$M22="X",$N22="QUEST"),"OUT-UAQPre",$N22="QUEST","OUT-UAQ", $N22="Walk in","ColUATele")</f>
        <v>UA-Prelim</v>
      </c>
      <c r="W22" s="24" t="str">
        <f t="shared" si="8"/>
        <v>UA-Prelim : Preliminary UA Test</v>
      </c>
      <c r="X22" s="222" t="str">
        <f t="shared" si="9"/>
        <v>UA-Prelim : Preliminary UA Test</v>
      </c>
      <c r="Y22" s="222" t="str">
        <f t="shared" si="10"/>
        <v>MATCH</v>
      </c>
      <c r="Z22" s="224" t="str">
        <f t="shared" si="11"/>
        <v> </v>
      </c>
      <c r="AA22" s="244"/>
    </row>
    <row r="23">
      <c r="A23" s="214" t="str">
        <f>IFS($B23=FALSE,"",$B23,VLOOKUP($B23,'PATIENT DATA (072721)'!A:C, 2, 0))</f>
        <v>MONTES, EDMUNDO</v>
      </c>
      <c r="B23" s="215">
        <v>14054.0</v>
      </c>
      <c r="C23" s="216" t="str">
        <f>IF(COUNTIF('PATIENT DATA (072721)'!A:A, B23)=0, "X","✓")</f>
        <v>✓</v>
      </c>
      <c r="D23" s="226">
        <f>IFS($B23=FALSE,"",$B23,VLOOKUP($B23,'PATIENT DATA (072721)'!A:C, 3, 0))</f>
        <v>19098</v>
      </c>
      <c r="E23" s="218">
        <v>44581.0</v>
      </c>
      <c r="F23" s="219" t="str">
        <f>ifs($B23="","",$B23, VLOOKUP($B23&amp;$E23, 'VISIT DATA'!A:O,3,0))</f>
        <v>#N/A</v>
      </c>
      <c r="G23" s="220" t="s">
        <v>6328</v>
      </c>
      <c r="H23" s="221" t="s">
        <v>14</v>
      </c>
      <c r="I23" s="222" t="str">
        <f>VLOOKUP($B23&amp;$E23,'VISIT DATA'!A:J, 9, FALSE)</f>
        <v>#N/A</v>
      </c>
      <c r="J23" s="223" t="str">
        <f>VLOOKUP(B23&amp;E23,'VISIT DATA'!A:N,10,FALSE)</f>
        <v>#N/A</v>
      </c>
      <c r="K23" s="225"/>
      <c r="L23" s="224" t="s">
        <v>6242</v>
      </c>
      <c r="M23" s="224" t="s">
        <v>6242</v>
      </c>
      <c r="N23" s="224"/>
      <c r="O23" s="216" t="str">
        <f t="shared" si="1"/>
        <v>✓</v>
      </c>
      <c r="P23" s="226" t="str">
        <f t="shared" si="2"/>
        <v>#N/A</v>
      </c>
      <c r="Q23" s="227" t="str">
        <f t="shared" si="3"/>
        <v>#N/A</v>
      </c>
      <c r="R23" s="228" t="str">
        <f t="shared" si="4"/>
        <v>#N/A</v>
      </c>
      <c r="S23" s="220" t="str">
        <f t="shared" si="5"/>
        <v>#N/A</v>
      </c>
      <c r="T23" s="220" t="str">
        <f t="shared" si="6"/>
        <v>#N/A</v>
      </c>
      <c r="U23" s="221">
        <f t="shared" si="7"/>
        <v>0</v>
      </c>
      <c r="V23" s="229" t="str">
        <f>ifs($N23="",VLOOKUP($B23&amp;$E23,'VISIT DATA'!$A$2:$J100,7,FALSE), $N23="SWAB","OUTSA-RW",$N23="SWQU","OUTSA-SaQu", AND($L23="X",$M23="X",$N23="QUEST"),"OUT-UAQPre",$N23="QUEST","OUT-UAQ", $N23="Walk in","ColUATele")</f>
        <v>#N/A</v>
      </c>
      <c r="W23" s="24" t="str">
        <f t="shared" si="8"/>
        <v>#N/A</v>
      </c>
      <c r="X23" s="222" t="str">
        <f t="shared" si="9"/>
        <v>UA-Prelim : Preliminary UA Test</v>
      </c>
      <c r="Y23" s="222" t="str">
        <f t="shared" si="10"/>
        <v>#N/A</v>
      </c>
      <c r="Z23" s="224" t="str">
        <f t="shared" si="11"/>
        <v> </v>
      </c>
      <c r="AA23" s="245"/>
    </row>
    <row r="24">
      <c r="A24" s="214" t="str">
        <f>IFS($B24=FALSE,"",$B24,VLOOKUP($B24,'PATIENT DATA (072721)'!A:C, 2, 0))</f>
        <v>NORMAN, JONATHON I</v>
      </c>
      <c r="B24" s="215">
        <v>12594.0</v>
      </c>
      <c r="C24" s="216" t="str">
        <f>IF(COUNTIF('PATIENT DATA (072721)'!A:A, B24)=0, "X","✓")</f>
        <v>✓</v>
      </c>
      <c r="D24" s="226">
        <f>IFS($B24=FALSE,"",$B24,VLOOKUP($B24,'PATIENT DATA (072721)'!A:C, 3, 0))</f>
        <v>30485</v>
      </c>
      <c r="E24" s="218">
        <v>44581.0</v>
      </c>
      <c r="F24" s="219">
        <f>ifs($B24="","",$B24, VLOOKUP($B24&amp;$E24, 'VISIT DATA'!A:O,3,0))</f>
        <v>0.4166666667</v>
      </c>
      <c r="G24" s="220" t="s">
        <v>6328</v>
      </c>
      <c r="H24" s="221" t="s">
        <v>15</v>
      </c>
      <c r="I24" s="222" t="str">
        <f>VLOOKUP($B24&amp;$E24,'VISIT DATA'!A:J, 9, FALSE)</f>
        <v>MARTINEZ</v>
      </c>
      <c r="J24" s="223" t="str">
        <f>VLOOKUP(B24&amp;E24,'VISIT DATA'!A:N,10,FALSE)</f>
        <v>WPS VA - COMMUNITY CARE</v>
      </c>
      <c r="K24" s="225"/>
      <c r="L24" s="224" t="s">
        <v>6242</v>
      </c>
      <c r="M24" s="224"/>
      <c r="N24" s="224"/>
      <c r="O24" s="216" t="str">
        <f t="shared" si="1"/>
        <v>✓</v>
      </c>
      <c r="P24" s="226" t="str">
        <f t="shared" si="2"/>
        <v>#VALUE!</v>
      </c>
      <c r="Q24" s="227" t="str">
        <f t="shared" si="3"/>
        <v>#VALUE!</v>
      </c>
      <c r="R24" s="228" t="str">
        <f t="shared" si="4"/>
        <v>#VALUE!</v>
      </c>
      <c r="S24" s="220" t="str">
        <f t="shared" si="5"/>
        <v>#VALUE!</v>
      </c>
      <c r="T24" s="220" t="str">
        <f t="shared" si="6"/>
        <v>#VALUE!</v>
      </c>
      <c r="U24" s="221">
        <f t="shared" si="7"/>
        <v>0</v>
      </c>
      <c r="V24" s="229" t="str">
        <f>ifs($N24="",VLOOKUP($B24&amp;$E24,'VISIT DATA'!$A$2:$J100,7,FALSE), $N24="SWAB","OUTSA-RW",$N24="SWQU","OUTSA-SaQu", AND($L24="X",$M24="X",$N24="QUEST"),"OUT-UAQPre",$N24="QUEST","OUT-UAQ", $N24="Walk in","ColUATele")</f>
        <v>UA</v>
      </c>
      <c r="W24" s="24" t="str">
        <f t="shared" si="8"/>
        <v>UA : Urine Analysis In House</v>
      </c>
      <c r="X24" s="222" t="str">
        <f t="shared" si="9"/>
        <v>UA : Urine Analysis In House</v>
      </c>
      <c r="Y24" s="222" t="str">
        <f t="shared" si="10"/>
        <v>MATCH</v>
      </c>
      <c r="Z24" s="224" t="str">
        <f t="shared" si="11"/>
        <v> </v>
      </c>
      <c r="AA24" s="244"/>
    </row>
    <row r="25">
      <c r="A25" s="214" t="str">
        <f>IFS($B25=FALSE,"",$B25,VLOOKUP($B25,'PATIENT DATA (072721)'!A:C, 2, 0))</f>
        <v>JERIDO, LADARIUS</v>
      </c>
      <c r="B25" s="215">
        <v>9670.0</v>
      </c>
      <c r="C25" s="216" t="str">
        <f>IF(COUNTIF('PATIENT DATA (072721)'!A:A, B25)=0, "X","✓")</f>
        <v>✓</v>
      </c>
      <c r="D25" s="226">
        <f>IFS($B25=FALSE,"",$B25,VLOOKUP($B25,'PATIENT DATA (072721)'!A:C, 3, 0))</f>
        <v>29843</v>
      </c>
      <c r="E25" s="218">
        <v>44581.0</v>
      </c>
      <c r="F25" s="219">
        <f>ifs($B25="","",$B25, VLOOKUP($B25&amp;$E25, 'VISIT DATA'!A:O,3,0))</f>
        <v>0.4270833333</v>
      </c>
      <c r="G25" s="220" t="s">
        <v>6328</v>
      </c>
      <c r="H25" s="221" t="s">
        <v>15</v>
      </c>
      <c r="I25" s="222" t="str">
        <f>VLOOKUP($B25&amp;$E25,'VISIT DATA'!A:J, 9, FALSE)</f>
        <v>MARTINEZ</v>
      </c>
      <c r="J25" s="223" t="str">
        <f>VLOOKUP(B25&amp;E25,'VISIT DATA'!A:N,10,FALSE)</f>
        <v>WPS VA - COMMUNITY CARE</v>
      </c>
      <c r="K25" s="224"/>
      <c r="L25" s="224" t="s">
        <v>6242</v>
      </c>
      <c r="M25" s="224"/>
      <c r="N25" s="225"/>
      <c r="O25" s="216" t="str">
        <f t="shared" si="1"/>
        <v>✓</v>
      </c>
      <c r="P25" s="226" t="str">
        <f t="shared" si="2"/>
        <v>#VALUE!</v>
      </c>
      <c r="Q25" s="227" t="str">
        <f t="shared" si="3"/>
        <v>#VALUE!</v>
      </c>
      <c r="R25" s="228" t="str">
        <f t="shared" si="4"/>
        <v>#VALUE!</v>
      </c>
      <c r="S25" s="220" t="str">
        <f t="shared" si="5"/>
        <v>#VALUE!</v>
      </c>
      <c r="T25" s="220" t="str">
        <f t="shared" si="6"/>
        <v>#VALUE!</v>
      </c>
      <c r="U25" s="221">
        <f t="shared" si="7"/>
        <v>0</v>
      </c>
      <c r="V25" s="229" t="str">
        <f>ifs($N25="",VLOOKUP($B25&amp;$E25,'VISIT DATA'!$A$2:$J100,7,FALSE), $N25="SWAB","OUTSA-RW",$N25="SWQU","OUTSA-SaQu", AND($L25="X",$M25="X",$N25="QUEST"),"OUT-UAQPre",$N25="QUEST","OUT-UAQ", $N25="Walk in","ColUATele")</f>
        <v>UA</v>
      </c>
      <c r="W25" s="24" t="str">
        <f t="shared" si="8"/>
        <v>UA : Urine Analysis In House</v>
      </c>
      <c r="X25" s="222" t="str">
        <f t="shared" si="9"/>
        <v>UA : Urine Analysis In House</v>
      </c>
      <c r="Y25" s="222" t="str">
        <f t="shared" si="10"/>
        <v>MATCH</v>
      </c>
      <c r="Z25" s="224" t="str">
        <f t="shared" si="11"/>
        <v> </v>
      </c>
      <c r="AA25" s="244"/>
    </row>
    <row r="26">
      <c r="A26" s="214" t="str">
        <f>IFS($B26=FALSE,"",$B26,VLOOKUP($B26,'PATIENT DATA (072721)'!A:C, 2, 0))</f>
        <v>ORONA, SERGIO</v>
      </c>
      <c r="B26" s="215">
        <v>14742.0</v>
      </c>
      <c r="C26" s="216" t="str">
        <f>IF(COUNTIF('PATIENT DATA (072721)'!A:A, B26)=0, "X","✓")</f>
        <v>✓</v>
      </c>
      <c r="D26" s="226">
        <f>IFS($B26=FALSE,"",$B26,VLOOKUP($B26,'PATIENT DATA (072721)'!A:C, 3, 0))</f>
        <v>19050</v>
      </c>
      <c r="E26" s="218">
        <v>44581.0</v>
      </c>
      <c r="F26" s="219">
        <f>ifs($B26="","",$B26, VLOOKUP($B26&amp;$E26, 'VISIT DATA'!A:O,3,0))</f>
        <v>0.40625</v>
      </c>
      <c r="G26" s="220" t="s">
        <v>6328</v>
      </c>
      <c r="H26" s="221" t="s">
        <v>14</v>
      </c>
      <c r="I26" s="222" t="str">
        <f>VLOOKUP($B26&amp;$E26,'VISIT DATA'!A:J, 9, FALSE)</f>
        <v>TORRES</v>
      </c>
      <c r="J26" s="223" t="str">
        <f>VLOOKUP(B26&amp;E26,'VISIT DATA'!A:N,10,FALSE)</f>
        <v>WELLMED - UHC MEDICARE PPO</v>
      </c>
      <c r="K26" s="224"/>
      <c r="L26" s="224" t="s">
        <v>6242</v>
      </c>
      <c r="M26" s="224"/>
      <c r="N26" s="224" t="s">
        <v>6343</v>
      </c>
      <c r="O26" s="216" t="str">
        <f t="shared" si="1"/>
        <v>✓</v>
      </c>
      <c r="P26" s="226" t="str">
        <f t="shared" si="2"/>
        <v>X</v>
      </c>
      <c r="Q26" s="227" t="str">
        <f t="shared" si="3"/>
        <v>#VALUE!</v>
      </c>
      <c r="R26" s="228" t="str">
        <f t="shared" si="4"/>
        <v>#VALUE!</v>
      </c>
      <c r="S26" s="220" t="str">
        <f t="shared" si="5"/>
        <v>#VALUE!</v>
      </c>
      <c r="T26" s="220" t="str">
        <f t="shared" si="6"/>
        <v>#VALUE!</v>
      </c>
      <c r="U26" s="221">
        <f t="shared" si="7"/>
        <v>1</v>
      </c>
      <c r="V26" s="229" t="str">
        <f>ifs($N26="",VLOOKUP($B26&amp;$E26,'VISIT DATA'!$A$2:$J100,7,FALSE), $N26="SWAB","OUTSA-RW",$N26="SWQU","OUTSA-SaQu", AND($L26="X",$M26="X",$N26="QUEST"),"OUT-UAQPre",$N26="QUEST","OUT-UAQ", $N26="Walk in","ColUATele")</f>
        <v>OUTSA-RW</v>
      </c>
      <c r="W26" s="24" t="str">
        <f t="shared" si="8"/>
        <v>OUTSA-RW : OUT Saliva Redwood</v>
      </c>
      <c r="X26" s="222" t="str">
        <f t="shared" si="9"/>
        <v>OUTSA-RW : OUT Saliva Redwood</v>
      </c>
      <c r="Y26" s="222" t="str">
        <f t="shared" si="10"/>
        <v>MATCH</v>
      </c>
      <c r="Z26" s="224" t="str">
        <f t="shared" si="11"/>
        <v> </v>
      </c>
      <c r="AA26" s="245"/>
    </row>
    <row r="27">
      <c r="A27" s="214" t="str">
        <f>IFS($B27=FALSE,"",$B27,VLOOKUP($B27,'PATIENT DATA (072721)'!A:C, 2, 0))</f>
        <v>ROBLEDO, IDA M</v>
      </c>
      <c r="B27" s="215">
        <v>16697.0</v>
      </c>
      <c r="C27" s="216" t="str">
        <f>IF(COUNTIF('PATIENT DATA (072721)'!A:A, B27)=0, "X","✓")</f>
        <v>✓</v>
      </c>
      <c r="D27" s="226">
        <f>IFS($B27=FALSE,"",$B27,VLOOKUP($B27,'PATIENT DATA (072721)'!A:C, 3, 0))</f>
        <v>25544</v>
      </c>
      <c r="E27" s="218">
        <v>44581.0</v>
      </c>
      <c r="F27" s="219" t="str">
        <f>ifs($B27="","",$B27, VLOOKUP($B27&amp;$E27, 'VISIT DATA'!A:O,3,0))</f>
        <v>#N/A</v>
      </c>
      <c r="G27" s="220" t="s">
        <v>6323</v>
      </c>
      <c r="H27" s="221" t="s">
        <v>15</v>
      </c>
      <c r="I27" s="222" t="str">
        <f>VLOOKUP($B27&amp;$E27,'VISIT DATA'!A:J, 9, FALSE)</f>
        <v>#N/A</v>
      </c>
      <c r="J27" s="223" t="str">
        <f>VLOOKUP(B27&amp;E27,'VISIT DATA'!A:N,10,FALSE)</f>
        <v>#N/A</v>
      </c>
      <c r="K27" s="224"/>
      <c r="L27" s="224" t="s">
        <v>6242</v>
      </c>
      <c r="M27" s="224" t="s">
        <v>6242</v>
      </c>
      <c r="N27" s="225"/>
      <c r="O27" s="216" t="str">
        <f t="shared" si="1"/>
        <v>✓</v>
      </c>
      <c r="P27" s="226" t="str">
        <f t="shared" si="2"/>
        <v>#N/A</v>
      </c>
      <c r="Q27" s="227" t="str">
        <f t="shared" si="3"/>
        <v>#N/A</v>
      </c>
      <c r="R27" s="228" t="str">
        <f t="shared" si="4"/>
        <v>#N/A</v>
      </c>
      <c r="S27" s="220" t="str">
        <f t="shared" si="5"/>
        <v>#N/A</v>
      </c>
      <c r="T27" s="220" t="str">
        <f t="shared" si="6"/>
        <v>#N/A</v>
      </c>
      <c r="U27" s="221">
        <f t="shared" si="7"/>
        <v>0</v>
      </c>
      <c r="V27" s="229" t="str">
        <f>ifs($N27="",VLOOKUP($B27&amp;$E27,'VISIT DATA'!$A$2:$J100,7,FALSE), $N27="SWAB","OUTSA-RW",$N27="SWQU","OUTSA-SaQu", AND($L27="X",$M27="X",$N27="QUEST"),"OUT-UAQPre",$N27="QUEST","OUT-UAQ", $N27="Walk in","ColUATele")</f>
        <v>#N/A</v>
      </c>
      <c r="W27" s="24" t="str">
        <f t="shared" si="8"/>
        <v>#N/A</v>
      </c>
      <c r="X27" s="222" t="str">
        <f t="shared" si="9"/>
        <v>UA-Prelim : Preliminary UA Test</v>
      </c>
      <c r="Y27" s="222" t="str">
        <f t="shared" si="10"/>
        <v>#N/A</v>
      </c>
      <c r="Z27" s="224" t="str">
        <f t="shared" si="11"/>
        <v> </v>
      </c>
      <c r="AA27" s="244"/>
    </row>
    <row r="28">
      <c r="A28" s="214" t="str">
        <f>IFS($B28=FALSE,"",$B28,VLOOKUP($B28,'PATIENT DATA (072721)'!A:C, 2, 0))</f>
        <v>CALDERON, ARACELI</v>
      </c>
      <c r="B28" s="215">
        <v>11865.0</v>
      </c>
      <c r="C28" s="216" t="str">
        <f>IF(COUNTIF('PATIENT DATA (072721)'!A:A, B28)=0, "X","✓")</f>
        <v>✓</v>
      </c>
      <c r="D28" s="226">
        <f>IFS($B28=FALSE,"",$B28,VLOOKUP($B28,'PATIENT DATA (072721)'!A:C, 3, 0))</f>
        <v>25554</v>
      </c>
      <c r="E28" s="218">
        <v>44581.0</v>
      </c>
      <c r="F28" s="219">
        <f>ifs($B28="","",$B28, VLOOKUP($B28&amp;$E28, 'VISIT DATA'!A:O,3,0))</f>
        <v>0.4375</v>
      </c>
      <c r="G28" s="220" t="s">
        <v>6323</v>
      </c>
      <c r="H28" s="221" t="s">
        <v>13</v>
      </c>
      <c r="I28" s="222" t="str">
        <f>VLOOKUP($B28&amp;$E28,'VISIT DATA'!A:J, 9, FALSE)</f>
        <v>LOPEZ</v>
      </c>
      <c r="J28" s="223" t="str">
        <f>VLOOKUP(B28&amp;E28,'VISIT DATA'!A:N,10,FALSE)</f>
        <v>CIGNA - SOCORRO ISD</v>
      </c>
      <c r="K28" s="224"/>
      <c r="L28" s="224" t="s">
        <v>6242</v>
      </c>
      <c r="M28" s="224" t="s">
        <v>6242</v>
      </c>
      <c r="N28" s="225"/>
      <c r="O28" s="216" t="str">
        <f t="shared" si="1"/>
        <v>✓</v>
      </c>
      <c r="P28" s="226" t="str">
        <f t="shared" si="2"/>
        <v>#VALUE!</v>
      </c>
      <c r="Q28" s="227" t="str">
        <f t="shared" si="3"/>
        <v>#VALUE!</v>
      </c>
      <c r="R28" s="228" t="str">
        <f t="shared" si="4"/>
        <v>#VALUE!</v>
      </c>
      <c r="S28" s="220" t="str">
        <f t="shared" si="5"/>
        <v>#VALUE!</v>
      </c>
      <c r="T28" s="220" t="str">
        <f t="shared" si="6"/>
        <v>#VALUE!</v>
      </c>
      <c r="U28" s="221">
        <f t="shared" si="7"/>
        <v>0</v>
      </c>
      <c r="V28" s="229" t="str">
        <f>ifs($N28="",VLOOKUP($B28&amp;$E28,'VISIT DATA'!$A$2:$J100,7,FALSE), $N28="SWAB","OUTSA-RW",$N28="SWQU","OUTSA-SaQu", AND($L28="X",$M28="X",$N28="QUEST"),"OUT-UAQPre",$N28="QUEST","OUT-UAQ", $N28="Walk in","ColUATele")</f>
        <v>UA-Prelim</v>
      </c>
      <c r="W28" s="24" t="str">
        <f t="shared" si="8"/>
        <v>UA-Prelim : Preliminary UA Test</v>
      </c>
      <c r="X28" s="222" t="str">
        <f t="shared" si="9"/>
        <v>UA-Prelim : Preliminary UA Test</v>
      </c>
      <c r="Y28" s="222" t="str">
        <f t="shared" si="10"/>
        <v>MATCH</v>
      </c>
      <c r="Z28" s="224" t="str">
        <f t="shared" si="11"/>
        <v> </v>
      </c>
      <c r="AA28" s="244"/>
    </row>
    <row r="29">
      <c r="A29" s="214" t="str">
        <f>IFS($B29=FALSE,"",$B29,VLOOKUP($B29,'PATIENT DATA (072721)'!A:C, 2, 0))</f>
        <v>CAZARES, BENIGNO</v>
      </c>
      <c r="B29" s="215">
        <v>17009.0</v>
      </c>
      <c r="C29" s="216" t="str">
        <f>IF(COUNTIF('PATIENT DATA (072721)'!A:A, B29)=0, "X","✓")</f>
        <v>✓</v>
      </c>
      <c r="D29" s="226">
        <f>IFS($B29=FALSE,"",$B29,VLOOKUP($B29,'PATIENT DATA (072721)'!A:C, 3, 0))</f>
        <v>20910</v>
      </c>
      <c r="E29" s="218">
        <v>44581.0</v>
      </c>
      <c r="F29" s="219">
        <f>ifs($B29="","",$B29, VLOOKUP($B29&amp;$E29, 'VISIT DATA'!A:O,3,0))</f>
        <v>0.4166666667</v>
      </c>
      <c r="G29" s="220" t="s">
        <v>6328</v>
      </c>
      <c r="H29" s="221" t="s">
        <v>14</v>
      </c>
      <c r="I29" s="222" t="str">
        <f>VLOOKUP($B29&amp;$E29,'VISIT DATA'!A:J, 9, FALSE)</f>
        <v>TORRES</v>
      </c>
      <c r="J29" s="223" t="str">
        <f>VLOOKUP(B29&amp;E29,'VISIT DATA'!A:N,10,FALSE)</f>
        <v>UNITED HEALTH CARE</v>
      </c>
      <c r="K29" s="224"/>
      <c r="L29" s="224" t="s">
        <v>6242</v>
      </c>
      <c r="M29" s="224"/>
      <c r="N29" s="224"/>
      <c r="O29" s="216" t="str">
        <f t="shared" si="1"/>
        <v>✓</v>
      </c>
      <c r="P29" s="226" t="str">
        <f t="shared" si="2"/>
        <v>#VALUE!</v>
      </c>
      <c r="Q29" s="227" t="str">
        <f t="shared" si="3"/>
        <v>#VALUE!</v>
      </c>
      <c r="R29" s="228" t="str">
        <f t="shared" si="4"/>
        <v>#VALUE!</v>
      </c>
      <c r="S29" s="220" t="str">
        <f t="shared" si="5"/>
        <v>#VALUE!</v>
      </c>
      <c r="T29" s="220" t="str">
        <f t="shared" si="6"/>
        <v>#VALUE!</v>
      </c>
      <c r="U29" s="221">
        <f t="shared" si="7"/>
        <v>0</v>
      </c>
      <c r="V29" s="229" t="str">
        <f>ifs($N29="",VLOOKUP($B29&amp;$E29,'VISIT DATA'!$A$2:$J100,7,FALSE), $N29="SWAB","OUTSA-RW",$N29="SWQU","OUTSA-SaQu", AND($L29="X",$M29="X",$N29="QUEST"),"OUT-UAQPre",$N29="QUEST","OUT-UAQ", $N29="Walk in","ColUATele")</f>
        <v>UA</v>
      </c>
      <c r="W29" s="24" t="str">
        <f t="shared" si="8"/>
        <v>UA : Urine Analysis In House</v>
      </c>
      <c r="X29" s="222" t="str">
        <f t="shared" si="9"/>
        <v>UA : Urine Analysis In House</v>
      </c>
      <c r="Y29" s="222" t="str">
        <f t="shared" si="10"/>
        <v>MATCH</v>
      </c>
      <c r="Z29" s="224" t="str">
        <f t="shared" si="11"/>
        <v> </v>
      </c>
      <c r="AA29" s="245"/>
    </row>
    <row r="30">
      <c r="A30" s="214" t="str">
        <f>IFS($B30=FALSE,"",$B30,VLOOKUP($B30,'PATIENT DATA (072721)'!A:C, 2, 0))</f>
        <v>GONZALEZ, ANTONIO</v>
      </c>
      <c r="B30" s="215">
        <v>9759.0</v>
      </c>
      <c r="C30" s="230" t="str">
        <f>IF(COUNTIF('PATIENT DATA (072721)'!A:A, B30)=0, "X","✓")</f>
        <v>✓</v>
      </c>
      <c r="D30" s="226">
        <f>IFS($B30=FALSE,"",$B30,VLOOKUP($B30,'PATIENT DATA (072721)'!A:C, 3, 0))</f>
        <v>18196</v>
      </c>
      <c r="E30" s="218">
        <v>44581.0</v>
      </c>
      <c r="F30" s="219" t="str">
        <f>ifs($B30="","",$B30, VLOOKUP($B30&amp;$E30, 'VISIT DATA'!A:O,3,0))</f>
        <v>#N/A</v>
      </c>
      <c r="G30" s="231" t="s">
        <v>6328</v>
      </c>
      <c r="H30" s="221" t="s">
        <v>15</v>
      </c>
      <c r="I30" s="222" t="str">
        <f>VLOOKUP($B30&amp;$E30,'VISIT DATA'!A:J, 9, FALSE)</f>
        <v>#N/A</v>
      </c>
      <c r="J30" s="223" t="str">
        <f>VLOOKUP(B30&amp;E30,'VISIT DATA'!A:N,10,FALSE)</f>
        <v>#N/A</v>
      </c>
      <c r="K30" s="224"/>
      <c r="L30" s="224" t="s">
        <v>6242</v>
      </c>
      <c r="M30" s="224"/>
      <c r="N30" s="225"/>
      <c r="O30" s="216" t="str">
        <f t="shared" si="1"/>
        <v>✓</v>
      </c>
      <c r="P30" s="226" t="str">
        <f t="shared" si="2"/>
        <v>#N/A</v>
      </c>
      <c r="Q30" s="227" t="str">
        <f t="shared" si="3"/>
        <v>#N/A</v>
      </c>
      <c r="R30" s="228" t="str">
        <f t="shared" si="4"/>
        <v>#N/A</v>
      </c>
      <c r="S30" s="220" t="str">
        <f t="shared" si="5"/>
        <v>#N/A</v>
      </c>
      <c r="T30" s="220" t="str">
        <f t="shared" si="6"/>
        <v>#N/A</v>
      </c>
      <c r="U30" s="221">
        <f t="shared" si="7"/>
        <v>0</v>
      </c>
      <c r="V30" s="229" t="str">
        <f>ifs($N30="",VLOOKUP($B30&amp;$E30,'VISIT DATA'!$A$2:$J100,7,FALSE), $N30="SWAB","OUTSA-RW",$N30="SWQU","OUTSA-SaQu", AND($L30="X",$M30="X",$N30="QUEST"),"OUT-UAQPre",$N30="QUEST","OUT-UAQ", $N30="Walk in","ColUATele")</f>
        <v>#N/A</v>
      </c>
      <c r="W30" s="24" t="str">
        <f t="shared" si="8"/>
        <v>#N/A</v>
      </c>
      <c r="X30" s="222" t="str">
        <f t="shared" si="9"/>
        <v>UA : Urine Analysis In House</v>
      </c>
      <c r="Y30" s="222" t="str">
        <f t="shared" si="10"/>
        <v>#N/A</v>
      </c>
      <c r="Z30" s="224" t="str">
        <f t="shared" si="11"/>
        <v> </v>
      </c>
      <c r="AA30" s="244"/>
    </row>
    <row r="31">
      <c r="A31" s="214" t="str">
        <f>IFS($B31=FALSE,"",$B31,VLOOKUP($B31,'PATIENT DATA (072721)'!A:C, 2, 0))</f>
        <v>BUSTAMANTE, LOURDES I</v>
      </c>
      <c r="B31" s="215">
        <v>10583.0</v>
      </c>
      <c r="C31" s="230" t="str">
        <f>IF(COUNTIF('PATIENT DATA (072721)'!A:A, B31)=0, "X","✓")</f>
        <v>✓</v>
      </c>
      <c r="D31" s="226">
        <f>IFS($B31=FALSE,"",$B31,VLOOKUP($B31,'PATIENT DATA (072721)'!A:C, 3, 0))</f>
        <v>24764</v>
      </c>
      <c r="E31" s="218">
        <v>44581.0</v>
      </c>
      <c r="F31" s="219">
        <f>ifs($B31="","",$B31, VLOOKUP($B31&amp;$E31, 'VISIT DATA'!A:O,3,0))</f>
        <v>0.4270833333</v>
      </c>
      <c r="G31" s="231" t="s">
        <v>6323</v>
      </c>
      <c r="H31" s="221" t="s">
        <v>14</v>
      </c>
      <c r="I31" s="222" t="str">
        <f>VLOOKUP($B31&amp;$E31,'VISIT DATA'!A:J, 9, FALSE)</f>
        <v>TORRES</v>
      </c>
      <c r="J31" s="223" t="str">
        <f>VLOOKUP(B31&amp;E31,'VISIT DATA'!A:N,10,FALSE)</f>
        <v>AMERIVANTAGE</v>
      </c>
      <c r="K31" s="225"/>
      <c r="L31" s="224" t="s">
        <v>6242</v>
      </c>
      <c r="M31" s="224"/>
      <c r="N31" s="225"/>
      <c r="O31" s="216" t="str">
        <f t="shared" si="1"/>
        <v>✓</v>
      </c>
      <c r="P31" s="226" t="str">
        <f t="shared" si="2"/>
        <v>#VALUE!</v>
      </c>
      <c r="Q31" s="227" t="str">
        <f t="shared" si="3"/>
        <v>#VALUE!</v>
      </c>
      <c r="R31" s="228" t="str">
        <f t="shared" si="4"/>
        <v>#VALUE!</v>
      </c>
      <c r="S31" s="220" t="str">
        <f t="shared" si="5"/>
        <v>#VALUE!</v>
      </c>
      <c r="T31" s="220" t="str">
        <f t="shared" si="6"/>
        <v>#VALUE!</v>
      </c>
      <c r="U31" s="221">
        <f t="shared" si="7"/>
        <v>0</v>
      </c>
      <c r="V31" s="229" t="str">
        <f>ifs($N31="",VLOOKUP($B31&amp;$E31,'VISIT DATA'!$A$2:$J100,7,FALSE), $N31="SWAB","OUTSA-RW",$N31="SWQU","OUTSA-SaQu", AND($L31="X",$M31="X",$N31="QUEST"),"OUT-UAQPre",$N31="QUEST","OUT-UAQ", $N31="Walk in","ColUATele")</f>
        <v>UA</v>
      </c>
      <c r="W31" s="24" t="str">
        <f t="shared" si="8"/>
        <v>UA : Urine Analysis In House</v>
      </c>
      <c r="X31" s="222" t="str">
        <f t="shared" si="9"/>
        <v>UA : Urine Analysis In House</v>
      </c>
      <c r="Y31" s="222" t="str">
        <f t="shared" si="10"/>
        <v>MATCH</v>
      </c>
      <c r="Z31" s="224" t="str">
        <f t="shared" si="11"/>
        <v> </v>
      </c>
      <c r="AA31" s="244"/>
    </row>
    <row r="32">
      <c r="A32" s="214" t="str">
        <f>IFS($B32=FALSE,"",$B32,VLOOKUP($B32,'PATIENT DATA (072721)'!A:C, 2, 0))</f>
        <v>STIPE, BEVERLY</v>
      </c>
      <c r="B32" s="215">
        <v>12614.0</v>
      </c>
      <c r="C32" s="230" t="str">
        <f>IF(COUNTIF('PATIENT DATA (072721)'!A:A, B32)=0, "X","✓")</f>
        <v>✓</v>
      </c>
      <c r="D32" s="226">
        <f>IFS($B32=FALSE,"",$B32,VLOOKUP($B32,'PATIENT DATA (072721)'!A:C, 3, 0))</f>
        <v>21378</v>
      </c>
      <c r="E32" s="218">
        <v>44581.0</v>
      </c>
      <c r="F32" s="219">
        <f>ifs($B32="","",$B32, VLOOKUP($B32&amp;$E32, 'VISIT DATA'!A:O,3,0))</f>
        <v>0.4583333333</v>
      </c>
      <c r="G32" s="231" t="s">
        <v>6323</v>
      </c>
      <c r="H32" s="221" t="s">
        <v>13</v>
      </c>
      <c r="I32" s="222" t="str">
        <f>VLOOKUP($B32&amp;$E32,'VISIT DATA'!A:J, 9, FALSE)</f>
        <v>LOPEZ</v>
      </c>
      <c r="J32" s="223" t="str">
        <f>VLOOKUP(B32&amp;E32,'VISIT DATA'!A:N,10,FALSE)</f>
        <v>WPS VA - COMMUNITY CARE</v>
      </c>
      <c r="K32" s="224"/>
      <c r="L32" s="224" t="s">
        <v>6242</v>
      </c>
      <c r="M32" s="224" t="s">
        <v>6242</v>
      </c>
      <c r="N32" s="225"/>
      <c r="O32" s="216" t="str">
        <f t="shared" si="1"/>
        <v>✓</v>
      </c>
      <c r="P32" s="226" t="str">
        <f t="shared" si="2"/>
        <v>#VALUE!</v>
      </c>
      <c r="Q32" s="227" t="str">
        <f t="shared" si="3"/>
        <v>#VALUE!</v>
      </c>
      <c r="R32" s="228" t="str">
        <f t="shared" si="4"/>
        <v>#VALUE!</v>
      </c>
      <c r="S32" s="220" t="str">
        <f t="shared" si="5"/>
        <v>#VALUE!</v>
      </c>
      <c r="T32" s="220" t="str">
        <f t="shared" si="6"/>
        <v>#VALUE!</v>
      </c>
      <c r="U32" s="221">
        <f t="shared" si="7"/>
        <v>0</v>
      </c>
      <c r="V32" s="229" t="str">
        <f>ifs($N32="",VLOOKUP($B32&amp;$E32,'VISIT DATA'!$A$2:$J100,7,FALSE), $N32="SWAB","OUTSA-RW",$N32="SWQU","OUTSA-SaQu", AND($L32="X",$M32="X",$N32="QUEST"),"OUT-UAQPre",$N32="QUEST","OUT-UAQ", $N32="Walk in","ColUATele")</f>
        <v>UA-Prelim</v>
      </c>
      <c r="W32" s="24" t="str">
        <f t="shared" si="8"/>
        <v>UA-Prelim : Preliminary UA Test</v>
      </c>
      <c r="X32" s="222" t="str">
        <f t="shared" si="9"/>
        <v>UA-Prelim : Preliminary UA Test</v>
      </c>
      <c r="Y32" s="222" t="str">
        <f t="shared" si="10"/>
        <v>MATCH</v>
      </c>
      <c r="Z32" s="224" t="str">
        <f t="shared" si="11"/>
        <v> </v>
      </c>
      <c r="AA32" s="244"/>
    </row>
    <row r="33">
      <c r="A33" s="214" t="str">
        <f>IFS($B33=FALSE,"",$B33,VLOOKUP($B33,'PATIENT DATA (072721)'!A:C, 2, 0))</f>
        <v>CASTANEDA, HECTOR</v>
      </c>
      <c r="B33" s="215">
        <v>17957.0</v>
      </c>
      <c r="C33" s="230" t="str">
        <f>IF(COUNTIF('PATIENT DATA (072721)'!A:A, B33)=0, "X","✓")</f>
        <v>✓</v>
      </c>
      <c r="D33" s="226">
        <f>IFS($B33=FALSE,"",$B33,VLOOKUP($B33,'PATIENT DATA (072721)'!A:C, 3, 0))</f>
        <v>19296</v>
      </c>
      <c r="E33" s="218">
        <v>44581.0</v>
      </c>
      <c r="F33" s="219">
        <f>ifs($B33="","",$B33, VLOOKUP($B33&amp;$E33, 'VISIT DATA'!A:O,3,0))</f>
        <v>0.4479166667</v>
      </c>
      <c r="G33" s="231" t="s">
        <v>6328</v>
      </c>
      <c r="H33" s="221" t="s">
        <v>12</v>
      </c>
      <c r="I33" s="222" t="str">
        <f>VLOOKUP($B33&amp;$E33,'VISIT DATA'!A:J, 9, FALSE)</f>
        <v>THOMAS</v>
      </c>
      <c r="J33" s="223" t="str">
        <f>VLOOKUP(B33&amp;E33,'VISIT DATA'!A:N,10,FALSE)</f>
        <v>MEDICARE TEXAS</v>
      </c>
      <c r="K33" s="224" t="s">
        <v>6242</v>
      </c>
      <c r="L33" s="224"/>
      <c r="M33" s="224"/>
      <c r="N33" s="225"/>
      <c r="O33" s="216" t="str">
        <f t="shared" si="1"/>
        <v>✓</v>
      </c>
      <c r="P33" s="226" t="str">
        <f t="shared" si="2"/>
        <v>#VALUE!</v>
      </c>
      <c r="Q33" s="227" t="str">
        <f t="shared" si="3"/>
        <v>#VALUE!</v>
      </c>
      <c r="R33" s="228" t="str">
        <f t="shared" si="4"/>
        <v>#VALUE!</v>
      </c>
      <c r="S33" s="220" t="str">
        <f t="shared" si="5"/>
        <v>#VALUE!</v>
      </c>
      <c r="T33" s="220" t="str">
        <f t="shared" si="6"/>
        <v>#VALUE!</v>
      </c>
      <c r="U33" s="221">
        <f t="shared" si="7"/>
        <v>0</v>
      </c>
      <c r="V33" s="229" t="str">
        <f>ifs($N33="",VLOOKUP($B33&amp;$E33,'VISIT DATA'!$A$2:$J100,7,FALSE), $N33="SWAB","OUTSA-RW",$N33="SWQU","OUTSA-SaQu", AND($L33="X",$M33="X",$N33="QUEST"),"OUT-UAQPre",$N33="QUEST","OUT-UAQ", $N33="Walk in","ColUATele")</f>
        <v>UA-NWPT</v>
      </c>
      <c r="W33" s="24" t="str">
        <f t="shared" si="8"/>
        <v>UA-NWPT : UA New Patient</v>
      </c>
      <c r="X33" s="222" t="str">
        <f t="shared" si="9"/>
        <v>UA-NWPT : UA New Patient</v>
      </c>
      <c r="Y33" s="222" t="str">
        <f t="shared" si="10"/>
        <v>MATCH</v>
      </c>
      <c r="Z33" s="224" t="str">
        <f t="shared" si="11"/>
        <v> </v>
      </c>
      <c r="AA33" s="244"/>
    </row>
    <row r="34">
      <c r="A34" s="214" t="str">
        <f>IFS($B34=FALSE,"",$B34,VLOOKUP($B34,'PATIENT DATA (072721)'!A:C, 2, 0))</f>
        <v>ZENTZ, FREDERICK A</v>
      </c>
      <c r="B34" s="215">
        <v>14683.0</v>
      </c>
      <c r="C34" s="230" t="str">
        <f>IF(COUNTIF('PATIENT DATA (072721)'!A:A, B34)=0, "X","✓")</f>
        <v>✓</v>
      </c>
      <c r="D34" s="226">
        <f>IFS($B34=FALSE,"",$B34,VLOOKUP($B34,'PATIENT DATA (072721)'!A:C, 3, 0))</f>
        <v>18722</v>
      </c>
      <c r="E34" s="218">
        <v>44581.0</v>
      </c>
      <c r="F34" s="219">
        <f>ifs($B34="","",$B34, VLOOKUP($B34&amp;$E34, 'VISIT DATA'!A:O,3,0))</f>
        <v>0.4583333333</v>
      </c>
      <c r="G34" s="231" t="s">
        <v>6328</v>
      </c>
      <c r="H34" s="221" t="s">
        <v>14</v>
      </c>
      <c r="I34" s="222" t="str">
        <f>VLOOKUP($B34&amp;$E34,'VISIT DATA'!A:J, 9, FALSE)</f>
        <v>TORRES</v>
      </c>
      <c r="J34" s="223" t="str">
        <f>VLOOKUP(B34&amp;E34,'VISIT DATA'!A:N,10,FALSE)</f>
        <v>WPS VA - COMMUNITY CARE</v>
      </c>
      <c r="K34" s="225"/>
      <c r="L34" s="224" t="s">
        <v>6242</v>
      </c>
      <c r="M34" s="224"/>
      <c r="N34" s="225"/>
      <c r="O34" s="216" t="str">
        <f t="shared" si="1"/>
        <v>✓</v>
      </c>
      <c r="P34" s="226" t="str">
        <f t="shared" si="2"/>
        <v>#VALUE!</v>
      </c>
      <c r="Q34" s="227" t="str">
        <f t="shared" si="3"/>
        <v>#VALUE!</v>
      </c>
      <c r="R34" s="228" t="str">
        <f t="shared" si="4"/>
        <v>#VALUE!</v>
      </c>
      <c r="S34" s="220" t="str">
        <f t="shared" si="5"/>
        <v>#VALUE!</v>
      </c>
      <c r="T34" s="220" t="str">
        <f t="shared" si="6"/>
        <v>#VALUE!</v>
      </c>
      <c r="U34" s="221">
        <f t="shared" si="7"/>
        <v>0</v>
      </c>
      <c r="V34" s="229" t="str">
        <f>ifs($N34="",VLOOKUP($B34&amp;$E34,'VISIT DATA'!$A$2:$J100,7,FALSE), $N34="SWAB","OUTSA-RW",$N34="SWQU","OUTSA-SaQu", AND($L34="X",$M34="X",$N34="QUEST"),"OUT-UAQPre",$N34="QUEST","OUT-UAQ", $N34="Walk in","ColUATele")</f>
        <v>UA</v>
      </c>
      <c r="W34" s="24" t="str">
        <f t="shared" si="8"/>
        <v>UA : Urine Analysis In House</v>
      </c>
      <c r="X34" s="222" t="str">
        <f t="shared" si="9"/>
        <v>UA : Urine Analysis In House</v>
      </c>
      <c r="Y34" s="222" t="str">
        <f t="shared" si="10"/>
        <v>MATCH</v>
      </c>
      <c r="Z34" s="224" t="str">
        <f t="shared" si="11"/>
        <v> </v>
      </c>
      <c r="AA34" s="244"/>
    </row>
    <row r="35">
      <c r="A35" s="214" t="str">
        <f>IFS($B35=FALSE,"",$B35,VLOOKUP($B35,'PATIENT DATA (072721)'!A:C, 2, 0))</f>
        <v>ABASTA, HERIBERTO O</v>
      </c>
      <c r="B35" s="215">
        <v>17858.0</v>
      </c>
      <c r="C35" s="230" t="str">
        <f>IF(COUNTIF('PATIENT DATA (072721)'!A:A, B35)=0, "X","✓")</f>
        <v>✓</v>
      </c>
      <c r="D35" s="226">
        <f>IFS($B35=FALSE,"",$B35,VLOOKUP($B35,'PATIENT DATA (072721)'!A:C, 3, 0))</f>
        <v>15062</v>
      </c>
      <c r="E35" s="218">
        <v>44581.0</v>
      </c>
      <c r="F35" s="219">
        <f>ifs($B35="","",$B35, VLOOKUP($B35&amp;$E35, 'VISIT DATA'!A:O,3,0))</f>
        <v>0.46875</v>
      </c>
      <c r="G35" s="231" t="s">
        <v>6328</v>
      </c>
      <c r="H35" s="221" t="s">
        <v>12</v>
      </c>
      <c r="I35" s="222" t="str">
        <f>VLOOKUP($B35&amp;$E35,'VISIT DATA'!A:J, 9, FALSE)</f>
        <v>THOMAS</v>
      </c>
      <c r="J35" s="223" t="str">
        <f>VLOOKUP(B35&amp;E35,'VISIT DATA'!A:N,10,FALSE)</f>
        <v>WELLMED - AARP MEDICARE COMPLETE</v>
      </c>
      <c r="K35" s="224"/>
      <c r="L35" s="224" t="s">
        <v>6242</v>
      </c>
      <c r="M35" s="224"/>
      <c r="N35" s="224"/>
      <c r="O35" s="216" t="str">
        <f t="shared" si="1"/>
        <v>✓</v>
      </c>
      <c r="P35" s="226" t="str">
        <f t="shared" si="2"/>
        <v>X</v>
      </c>
      <c r="Q35" s="227" t="str">
        <f t="shared" si="3"/>
        <v>#VALUE!</v>
      </c>
      <c r="R35" s="228" t="str">
        <f t="shared" si="4"/>
        <v>#VALUE!</v>
      </c>
      <c r="S35" s="220" t="str">
        <f t="shared" si="5"/>
        <v>#VALUE!</v>
      </c>
      <c r="T35" s="220" t="str">
        <f t="shared" si="6"/>
        <v>#VALUE!</v>
      </c>
      <c r="U35" s="221">
        <f t="shared" si="7"/>
        <v>1</v>
      </c>
      <c r="V35" s="229" t="str">
        <f>ifs($N35="",VLOOKUP($B35&amp;$E35,'VISIT DATA'!$A$2:$J100,7,FALSE), $N35="SWAB","OUTSA-RW",$N35="SWQU","OUTSA-SaQu", AND($L35="X",$M35="X",$N35="QUEST"),"OUT-UAQPre",$N35="QUEST","OUT-UAQ", $N35="Walk in","ColUATele")</f>
        <v>OUTUA-NWRW</v>
      </c>
      <c r="W35" s="24" t="str">
        <f t="shared" si="8"/>
        <v>OUTUA-NWRW : OUT UA New Redwood</v>
      </c>
      <c r="X35" s="222" t="str">
        <f t="shared" si="9"/>
        <v>OUTUA-FURW : OUT UA FU Redwood</v>
      </c>
      <c r="Y35" s="222" t="str">
        <f t="shared" si="10"/>
        <v>NO MATCH</v>
      </c>
      <c r="Z35" s="224" t="str">
        <f t="shared" si="11"/>
        <v> </v>
      </c>
      <c r="AA35" s="244"/>
    </row>
    <row r="36">
      <c r="A36" s="214" t="str">
        <f>IFS($B36=FALSE,"",$B36,VLOOKUP($B36,'PATIENT DATA (072721)'!A:C, 2, 0))</f>
        <v>CAMACHO LOTTI, FRANCISCO J</v>
      </c>
      <c r="B36" s="215">
        <v>16139.0</v>
      </c>
      <c r="C36" s="230" t="str">
        <f>IF(COUNTIF('PATIENT DATA (072721)'!A:A, B36)=0, "X","✓")</f>
        <v>✓</v>
      </c>
      <c r="D36" s="226">
        <f>IFS($B36=FALSE,"",$B36,VLOOKUP($B36,'PATIENT DATA (072721)'!A:C, 3, 0))</f>
        <v>31019</v>
      </c>
      <c r="E36" s="218">
        <v>44581.0</v>
      </c>
      <c r="F36" s="219">
        <f>ifs($B36="","",$B36, VLOOKUP($B36&amp;$E36, 'VISIT DATA'!A:O,3,0))</f>
        <v>0.46875</v>
      </c>
      <c r="G36" s="231" t="s">
        <v>6328</v>
      </c>
      <c r="H36" s="221" t="s">
        <v>13</v>
      </c>
      <c r="I36" s="222" t="str">
        <f>VLOOKUP($B36&amp;$E36,'VISIT DATA'!A:J, 9, FALSE)</f>
        <v>LOPEZ</v>
      </c>
      <c r="J36" s="223" t="str">
        <f>VLOOKUP(B36&amp;E36,'VISIT DATA'!A:N,10,FALSE)</f>
        <v>TRICARE PRIME</v>
      </c>
      <c r="K36" s="225"/>
      <c r="L36" s="224" t="s">
        <v>6242</v>
      </c>
      <c r="M36" s="224"/>
      <c r="N36" s="225"/>
      <c r="O36" s="216" t="str">
        <f t="shared" si="1"/>
        <v>✓</v>
      </c>
      <c r="P36" s="226" t="str">
        <f t="shared" si="2"/>
        <v>#VALUE!</v>
      </c>
      <c r="Q36" s="227" t="str">
        <f t="shared" si="3"/>
        <v>#VALUE!</v>
      </c>
      <c r="R36" s="228" t="str">
        <f t="shared" si="4"/>
        <v>#VALUE!</v>
      </c>
      <c r="S36" s="220" t="str">
        <f t="shared" si="5"/>
        <v>#VALUE!</v>
      </c>
      <c r="T36" s="220" t="str">
        <f t="shared" si="6"/>
        <v>#VALUE!</v>
      </c>
      <c r="U36" s="221">
        <f t="shared" si="7"/>
        <v>0</v>
      </c>
      <c r="V36" s="229" t="str">
        <f>ifs($N36="",VLOOKUP($B36&amp;$E36,'VISIT DATA'!$A$2:$J100,7,FALSE), $N36="SWAB","OUTSA-RW",$N36="SWQU","OUTSA-SaQu", AND($L36="X",$M36="X",$N36="QUEST"),"OUT-UAQPre",$N36="QUEST","OUT-UAQ", $N36="Walk in","ColUATele")</f>
        <v>UA</v>
      </c>
      <c r="W36" s="24" t="str">
        <f t="shared" si="8"/>
        <v>UA : Urine Analysis In House</v>
      </c>
      <c r="X36" s="222" t="str">
        <f t="shared" si="9"/>
        <v>UA : Urine Analysis In House</v>
      </c>
      <c r="Y36" s="222" t="str">
        <f t="shared" si="10"/>
        <v>MATCH</v>
      </c>
      <c r="Z36" s="224" t="str">
        <f t="shared" si="11"/>
        <v> </v>
      </c>
      <c r="AA36" s="244"/>
    </row>
    <row r="37">
      <c r="A37" s="214" t="str">
        <f>IFS($B37=FALSE,"",$B37,VLOOKUP($B37,'PATIENT DATA (072721)'!A:C, 2, 0))</f>
        <v>GRISSON, TARA</v>
      </c>
      <c r="B37" s="215">
        <v>12873.0</v>
      </c>
      <c r="C37" s="230" t="str">
        <f>IF(COUNTIF('PATIENT DATA (072721)'!A:A, B37)=0, "X","✓")</f>
        <v>✓</v>
      </c>
      <c r="D37" s="226">
        <f>IFS($B37=FALSE,"",$B37,VLOOKUP($B37,'PATIENT DATA (072721)'!A:C, 3, 0))</f>
        <v>25745</v>
      </c>
      <c r="E37" s="218">
        <v>44581.0</v>
      </c>
      <c r="F37" s="219">
        <f>ifs($B37="","",$B37, VLOOKUP($B37&amp;$E37, 'VISIT DATA'!A:O,3,0))</f>
        <v>0.4791666667</v>
      </c>
      <c r="G37" s="231" t="s">
        <v>6323</v>
      </c>
      <c r="H37" s="221" t="s">
        <v>13</v>
      </c>
      <c r="I37" s="222" t="str">
        <f>VLOOKUP($B37&amp;$E37,'VISIT DATA'!A:J, 9, FALSE)</f>
        <v>THOMAS</v>
      </c>
      <c r="J37" s="223" t="str">
        <f>VLOOKUP(B37&amp;E37,'VISIT DATA'!A:N,10,FALSE)</f>
        <v>MEDICARE TEXAS</v>
      </c>
      <c r="K37" s="225"/>
      <c r="L37" s="224" t="s">
        <v>6242</v>
      </c>
      <c r="M37" s="224"/>
      <c r="N37" s="225"/>
      <c r="O37" s="216" t="str">
        <f t="shared" si="1"/>
        <v>✓</v>
      </c>
      <c r="P37" s="226" t="str">
        <f t="shared" si="2"/>
        <v>#VALUE!</v>
      </c>
      <c r="Q37" s="227" t="str">
        <f t="shared" si="3"/>
        <v>#VALUE!</v>
      </c>
      <c r="R37" s="228" t="str">
        <f t="shared" si="4"/>
        <v>#VALUE!</v>
      </c>
      <c r="S37" s="220" t="str">
        <f t="shared" si="5"/>
        <v>#VALUE!</v>
      </c>
      <c r="T37" s="220" t="str">
        <f t="shared" si="6"/>
        <v>#VALUE!</v>
      </c>
      <c r="U37" s="221">
        <f t="shared" si="7"/>
        <v>0</v>
      </c>
      <c r="V37" s="229" t="str">
        <f>ifs($N37="",VLOOKUP($B37&amp;$E37,'VISIT DATA'!$A$2:$J100,7,FALSE), $N37="SWAB","OUTSA-RW",$N37="SWQU","OUTSA-SaQu", AND($L37="X",$M37="X",$N37="QUEST"),"OUT-UAQPre",$N37="QUEST","OUT-UAQ", $N37="Walk in","ColUATele")</f>
        <v>UA</v>
      </c>
      <c r="W37" s="24" t="str">
        <f t="shared" si="8"/>
        <v>UA : Urine Analysis In House</v>
      </c>
      <c r="X37" s="222" t="str">
        <f t="shared" si="9"/>
        <v>UA : Urine Analysis In House</v>
      </c>
      <c r="Y37" s="222" t="str">
        <f t="shared" si="10"/>
        <v>MATCH</v>
      </c>
      <c r="Z37" s="224" t="str">
        <f t="shared" si="11"/>
        <v> </v>
      </c>
      <c r="AA37" s="244"/>
    </row>
    <row r="38">
      <c r="A38" s="214" t="str">
        <f>IFS($B38=FALSE,"",$B38,VLOOKUP($B38,'PATIENT DATA (072721)'!A:C, 2, 0))</f>
        <v>DOMINGUEZ, ARLENE</v>
      </c>
      <c r="B38" s="215">
        <v>15697.0</v>
      </c>
      <c r="C38" s="230" t="str">
        <f>IF(COUNTIF('PATIENT DATA (072721)'!A:A, B38)=0, "X","✓")</f>
        <v>✓</v>
      </c>
      <c r="D38" s="226">
        <f>IFS($B38=FALSE,"",$B38,VLOOKUP($B38,'PATIENT DATA (072721)'!A:C, 3, 0))</f>
        <v>28605</v>
      </c>
      <c r="E38" s="218">
        <v>44581.0</v>
      </c>
      <c r="F38" s="219" t="str">
        <f>ifs($B38="","",$B38, VLOOKUP($B38&amp;$E38, 'VISIT DATA'!A:O,3,0))</f>
        <v>#N/A</v>
      </c>
      <c r="G38" s="231" t="s">
        <v>6323</v>
      </c>
      <c r="H38" s="221" t="s">
        <v>13</v>
      </c>
      <c r="I38" s="222" t="str">
        <f>VLOOKUP($B38&amp;$E38,'VISIT DATA'!A:J, 9, FALSE)</f>
        <v>#N/A</v>
      </c>
      <c r="J38" s="223" t="str">
        <f>VLOOKUP(B38&amp;E38,'VISIT DATA'!A:N,10,FALSE)</f>
        <v>#N/A</v>
      </c>
      <c r="K38" s="225"/>
      <c r="L38" s="224" t="s">
        <v>6242</v>
      </c>
      <c r="M38" s="224"/>
      <c r="N38" s="225"/>
      <c r="O38" s="216" t="str">
        <f t="shared" si="1"/>
        <v>✓</v>
      </c>
      <c r="P38" s="226" t="str">
        <f t="shared" si="2"/>
        <v>#N/A</v>
      </c>
      <c r="Q38" s="227" t="str">
        <f t="shared" si="3"/>
        <v>#N/A</v>
      </c>
      <c r="R38" s="228" t="str">
        <f t="shared" si="4"/>
        <v>#N/A</v>
      </c>
      <c r="S38" s="220" t="str">
        <f t="shared" si="5"/>
        <v>#N/A</v>
      </c>
      <c r="T38" s="220" t="str">
        <f t="shared" si="6"/>
        <v>#N/A</v>
      </c>
      <c r="U38" s="221">
        <f t="shared" si="7"/>
        <v>0</v>
      </c>
      <c r="V38" s="229" t="str">
        <f>ifs($N38="",VLOOKUP($B38&amp;$E38,'VISIT DATA'!$A$2:$J100,7,FALSE), $N38="SWAB","OUTSA-RW",$N38="SWQU","OUTSA-SaQu", AND($L38="X",$M38="X",$N38="QUEST"),"OUT-UAQPre",$N38="QUEST","OUT-UAQ", $N38="Walk in","ColUATele")</f>
        <v>#N/A</v>
      </c>
      <c r="W38" s="24" t="str">
        <f t="shared" si="8"/>
        <v>#N/A</v>
      </c>
      <c r="X38" s="222" t="str">
        <f t="shared" si="9"/>
        <v>UA : Urine Analysis In House</v>
      </c>
      <c r="Y38" s="222" t="str">
        <f t="shared" si="10"/>
        <v>#N/A</v>
      </c>
      <c r="Z38" s="224" t="str">
        <f t="shared" si="11"/>
        <v> </v>
      </c>
      <c r="AA38" s="244"/>
    </row>
    <row r="39">
      <c r="A39" s="214" t="str">
        <f>IFS($B39=FALSE,"",$B39,VLOOKUP($B39,'PATIENT DATA (072721)'!A:C, 2, 0))</f>
        <v>OBLINGER, TERESA</v>
      </c>
      <c r="B39" s="215">
        <v>17637.0</v>
      </c>
      <c r="C39" s="230" t="str">
        <f>IF(COUNTIF('PATIENT DATA (072721)'!A:A, B39)=0, "X","✓")</f>
        <v>✓</v>
      </c>
      <c r="D39" s="226">
        <f>IFS($B39=FALSE,"",$B39,VLOOKUP($B39,'PATIENT DATA (072721)'!A:C, 3, 0))</f>
        <v>21661</v>
      </c>
      <c r="E39" s="218">
        <v>44581.0</v>
      </c>
      <c r="F39" s="219">
        <f>ifs($B39="","",$B39, VLOOKUP($B39&amp;$E39, 'VISIT DATA'!A:O,3,0))</f>
        <v>0.5520833333</v>
      </c>
      <c r="G39" s="231" t="s">
        <v>6323</v>
      </c>
      <c r="H39" s="221" t="s">
        <v>13</v>
      </c>
      <c r="I39" s="222" t="str">
        <f>VLOOKUP($B39&amp;$E39,'VISIT DATA'!A:J, 9, FALSE)</f>
        <v>LOPEZ</v>
      </c>
      <c r="J39" s="223" t="str">
        <f>VLOOKUP(B39&amp;E39,'VISIT DATA'!A:N,10,FALSE)</f>
        <v>BLUE CROSS MEDICARE ADVANTAGE HMO TX</v>
      </c>
      <c r="K39" s="224" t="s">
        <v>6242</v>
      </c>
      <c r="L39" s="224"/>
      <c r="M39" s="224"/>
      <c r="N39" s="225"/>
      <c r="O39" s="216" t="str">
        <f t="shared" si="1"/>
        <v>✓</v>
      </c>
      <c r="P39" s="226" t="str">
        <f t="shared" si="2"/>
        <v>#VALUE!</v>
      </c>
      <c r="Q39" s="227" t="str">
        <f t="shared" si="3"/>
        <v>#VALUE!</v>
      </c>
      <c r="R39" s="228" t="str">
        <f t="shared" si="4"/>
        <v>#VALUE!</v>
      </c>
      <c r="S39" s="220" t="str">
        <f t="shared" si="5"/>
        <v>#VALUE!</v>
      </c>
      <c r="T39" s="220" t="str">
        <f t="shared" si="6"/>
        <v>#VALUE!</v>
      </c>
      <c r="U39" s="221">
        <f t="shared" si="7"/>
        <v>0</v>
      </c>
      <c r="V39" s="229" t="str">
        <f>ifs($N39="",VLOOKUP($B39&amp;$E39,'VISIT DATA'!$A$2:$J100,7,FALSE), $N39="SWAB","OUTSA-RW",$N39="SWQU","OUTSA-SaQu", AND($L39="X",$M39="X",$N39="QUEST"),"OUT-UAQPre",$N39="QUEST","OUT-UAQ", $N39="Walk in","ColUATele")</f>
        <v>UA-NWPT</v>
      </c>
      <c r="W39" s="24" t="str">
        <f t="shared" si="8"/>
        <v>UA-NWPT : UA New Patient</v>
      </c>
      <c r="X39" s="222" t="str">
        <f t="shared" si="9"/>
        <v>UA-NWPT : UA New Patient</v>
      </c>
      <c r="Y39" s="222" t="str">
        <f t="shared" si="10"/>
        <v>MATCH</v>
      </c>
      <c r="Z39" s="224" t="str">
        <f t="shared" si="11"/>
        <v>Repeat</v>
      </c>
      <c r="AA39" s="244"/>
    </row>
    <row r="40">
      <c r="A40" s="214" t="str">
        <f>IFS($B40=FALSE,"",$B40,VLOOKUP($B40,'PATIENT DATA (072721)'!A:C, 2, 0))</f>
        <v>GARCIA, ARMANDO</v>
      </c>
      <c r="B40" s="215">
        <v>11287.0</v>
      </c>
      <c r="C40" s="230" t="str">
        <f>IF(COUNTIF('PATIENT DATA (072721)'!A:A, B40)=0, "X","✓")</f>
        <v>✓</v>
      </c>
      <c r="D40" s="226">
        <f>IFS($B40=FALSE,"",$B40,VLOOKUP($B40,'PATIENT DATA (072721)'!A:C, 3, 0))</f>
        <v>21059</v>
      </c>
      <c r="E40" s="218">
        <v>44581.0</v>
      </c>
      <c r="F40" s="219">
        <f>ifs($B40="","",$B40, VLOOKUP($B40&amp;$E40, 'VISIT DATA'!A:O,3,0))</f>
        <v>0.5416666667</v>
      </c>
      <c r="G40" s="231" t="s">
        <v>6328</v>
      </c>
      <c r="H40" s="221" t="s">
        <v>15</v>
      </c>
      <c r="I40" s="222" t="str">
        <f>VLOOKUP($B40&amp;$E40,'VISIT DATA'!A:J, 9, FALSE)</f>
        <v>TORRES</v>
      </c>
      <c r="J40" s="223" t="str">
        <f>VLOOKUP(B40&amp;E40,'VISIT DATA'!A:N,10,FALSE)</f>
        <v>WELLMED - UHC DUAL COMPLETE SNP</v>
      </c>
      <c r="K40" s="224"/>
      <c r="L40" s="224" t="s">
        <v>6242</v>
      </c>
      <c r="M40" s="224"/>
      <c r="N40" s="225"/>
      <c r="O40" s="216" t="str">
        <f t="shared" si="1"/>
        <v>✓</v>
      </c>
      <c r="P40" s="226" t="str">
        <f t="shared" si="2"/>
        <v>X</v>
      </c>
      <c r="Q40" s="227" t="str">
        <f t="shared" si="3"/>
        <v>#VALUE!</v>
      </c>
      <c r="R40" s="228" t="str">
        <f t="shared" si="4"/>
        <v>#VALUE!</v>
      </c>
      <c r="S40" s="220" t="str">
        <f t="shared" si="5"/>
        <v>#VALUE!</v>
      </c>
      <c r="T40" s="220" t="str">
        <f t="shared" si="6"/>
        <v>#VALUE!</v>
      </c>
      <c r="U40" s="221">
        <f t="shared" si="7"/>
        <v>1</v>
      </c>
      <c r="V40" s="229" t="str">
        <f>ifs($N40="",VLOOKUP($B40&amp;$E40,'VISIT DATA'!$A$2:$J100,7,FALSE), $N40="SWAB","OUTSA-RW",$N40="SWQU","OUTSA-SaQu", AND($L40="X",$M40="X",$N40="QUEST"),"OUT-UAQPre",$N40="QUEST","OUT-UAQ", $N40="Walk in","ColUATele")</f>
        <v>OUTUA-FURW</v>
      </c>
      <c r="W40" s="24" t="str">
        <f t="shared" si="8"/>
        <v>OUTUA-FURW : OUT UA FU Redwood</v>
      </c>
      <c r="X40" s="222" t="str">
        <f t="shared" si="9"/>
        <v>OUTUA-FURW : OUT UA FU Redwood</v>
      </c>
      <c r="Y40" s="222" t="str">
        <f t="shared" si="10"/>
        <v>MATCH</v>
      </c>
      <c r="Z40" s="224" t="str">
        <f t="shared" si="11"/>
        <v> </v>
      </c>
      <c r="AA40" s="244"/>
    </row>
    <row r="41">
      <c r="A41" s="214" t="str">
        <f>IFS($B41=FALSE,"",$B41,VLOOKUP($B41,'PATIENT DATA (072721)'!A:C, 2, 0))</f>
        <v>SIFUENTES, CARLOS G</v>
      </c>
      <c r="B41" s="215">
        <v>10772.0</v>
      </c>
      <c r="C41" s="216" t="str">
        <f>IF(COUNTIF('PATIENT DATA (072721)'!A:A, B41)=0, "X","✓")</f>
        <v>✓</v>
      </c>
      <c r="D41" s="226">
        <f>IFS($B41=FALSE,"",$B41,VLOOKUP($B41,'PATIENT DATA (072721)'!A:C, 3, 0))</f>
        <v>20763</v>
      </c>
      <c r="E41" s="218">
        <v>44581.0</v>
      </c>
      <c r="F41" s="219">
        <f>ifs($B41="","",$B41, VLOOKUP($B41&amp;$E41, 'VISIT DATA'!A:O,3,0))</f>
        <v>0.5416666667</v>
      </c>
      <c r="G41" s="220" t="s">
        <v>6328</v>
      </c>
      <c r="H41" s="221" t="s">
        <v>15</v>
      </c>
      <c r="I41" s="222" t="str">
        <f>VLOOKUP($B41&amp;$E41,'VISIT DATA'!A:J, 9, FALSE)</f>
        <v>TORRES</v>
      </c>
      <c r="J41" s="223" t="str">
        <f>VLOOKUP(B41&amp;E41,'VISIT DATA'!A:N,10,FALSE)</f>
        <v>WELLMED - UHC DUAL COMPLETE SNP</v>
      </c>
      <c r="K41" s="225"/>
      <c r="L41" s="224" t="s">
        <v>6242</v>
      </c>
      <c r="M41" s="224" t="s">
        <v>6242</v>
      </c>
      <c r="N41" s="225"/>
      <c r="O41" s="216" t="str">
        <f t="shared" si="1"/>
        <v>✓</v>
      </c>
      <c r="P41" s="226" t="str">
        <f t="shared" si="2"/>
        <v>X</v>
      </c>
      <c r="Q41" s="227" t="str">
        <f t="shared" si="3"/>
        <v>#VALUE!</v>
      </c>
      <c r="R41" s="228" t="str">
        <f t="shared" si="4"/>
        <v>#VALUE!</v>
      </c>
      <c r="S41" s="220" t="str">
        <f t="shared" si="5"/>
        <v>#VALUE!</v>
      </c>
      <c r="T41" s="220" t="str">
        <f t="shared" si="6"/>
        <v>#VALUE!</v>
      </c>
      <c r="U41" s="221">
        <f t="shared" si="7"/>
        <v>1</v>
      </c>
      <c r="V41" s="229" t="str">
        <f>ifs($N41="",VLOOKUP($B41&amp;$E41,'VISIT DATA'!$A$2:$J100,7,FALSE), $N41="SWAB","OUTSA-RW",$N41="SWQU","OUTSA-SaQu", AND($L41="X",$M41="X",$N41="QUEST"),"OUT-UAQPre",$N41="QUEST","OUT-UAQ", $N41="Walk in","ColUATele")</f>
        <v>OUTUA-PrRW</v>
      </c>
      <c r="W41" s="24" t="str">
        <f t="shared" si="8"/>
        <v>OUTUA-PrRW : OUT UA Prelimin Redwood</v>
      </c>
      <c r="X41" s="222" t="str">
        <f t="shared" si="9"/>
        <v>OUTUA-PrRW : OUT UA Prelimin Redwood</v>
      </c>
      <c r="Y41" s="222" t="str">
        <f t="shared" si="10"/>
        <v>MATCH</v>
      </c>
      <c r="Z41" s="224" t="str">
        <f t="shared" si="11"/>
        <v> </v>
      </c>
      <c r="AA41" s="244"/>
    </row>
    <row r="42">
      <c r="A42" s="214" t="str">
        <f>IFS($B42=FALSE,"",$B42,VLOOKUP($B42,'PATIENT DATA (072721)'!A:C, 2, 0))</f>
        <v>MARTINEZ, LILY J</v>
      </c>
      <c r="B42" s="215">
        <v>15298.0</v>
      </c>
      <c r="C42" s="216" t="str">
        <f>IF(COUNTIF('PATIENT DATA (072721)'!A:A, B42)=0, "X","✓")</f>
        <v>✓</v>
      </c>
      <c r="D42" s="226">
        <f>IFS($B42=FALSE,"",$B42,VLOOKUP($B42,'PATIENT DATA (072721)'!A:C, 3, 0))</f>
        <v>28361</v>
      </c>
      <c r="E42" s="218">
        <v>44581.0</v>
      </c>
      <c r="F42" s="219">
        <f>ifs($B42="","",$B42, VLOOKUP($B42&amp;$E42, 'VISIT DATA'!A:O,3,0))</f>
        <v>0.5520833333</v>
      </c>
      <c r="G42" s="220" t="s">
        <v>6323</v>
      </c>
      <c r="H42" s="221" t="s">
        <v>15</v>
      </c>
      <c r="I42" s="222" t="str">
        <f>VLOOKUP($B42&amp;$E42,'VISIT DATA'!A:J, 9, FALSE)</f>
        <v>MARTINEZ</v>
      </c>
      <c r="J42" s="223" t="str">
        <f>VLOOKUP(B42&amp;E42,'VISIT DATA'!A:N,10,FALSE)</f>
        <v>BCBSTX PPO</v>
      </c>
      <c r="K42" s="225"/>
      <c r="L42" s="224" t="s">
        <v>6242</v>
      </c>
      <c r="M42" s="224" t="s">
        <v>6242</v>
      </c>
      <c r="N42" s="225"/>
      <c r="O42" s="216" t="str">
        <f t="shared" si="1"/>
        <v>✓</v>
      </c>
      <c r="P42" s="226" t="str">
        <f t="shared" si="2"/>
        <v>#VALUE!</v>
      </c>
      <c r="Q42" s="227" t="str">
        <f t="shared" si="3"/>
        <v>#VALUE!</v>
      </c>
      <c r="R42" s="228" t="str">
        <f t="shared" si="4"/>
        <v>#VALUE!</v>
      </c>
      <c r="S42" s="220" t="str">
        <f t="shared" si="5"/>
        <v>#VALUE!</v>
      </c>
      <c r="T42" s="220" t="str">
        <f t="shared" si="6"/>
        <v>#VALUE!</v>
      </c>
      <c r="U42" s="221">
        <f t="shared" si="7"/>
        <v>0</v>
      </c>
      <c r="V42" s="229" t="str">
        <f>ifs($N42="",VLOOKUP($B42&amp;$E42,'VISIT DATA'!$A$2:$J100,7,FALSE), $N42="SWAB","OUTSA-RW",$N42="SWQU","OUTSA-SaQu", AND($L42="X",$M42="X",$N42="QUEST"),"OUT-UAQPre",$N42="QUEST","OUT-UAQ", $N42="Walk in","ColUATele")</f>
        <v>UA-Prelim</v>
      </c>
      <c r="W42" s="24" t="str">
        <f t="shared" si="8"/>
        <v>UA-Prelim : Preliminary UA Test</v>
      </c>
      <c r="X42" s="222" t="str">
        <f t="shared" si="9"/>
        <v>UA-Prelim : Preliminary UA Test</v>
      </c>
      <c r="Y42" s="222" t="str">
        <f t="shared" si="10"/>
        <v>MATCH</v>
      </c>
      <c r="Z42" s="224" t="str">
        <f t="shared" si="11"/>
        <v> </v>
      </c>
      <c r="AA42" s="244"/>
    </row>
    <row r="43">
      <c r="A43" s="214" t="str">
        <f>IFS($B43=FALSE,"",$B43,VLOOKUP($B43,'PATIENT DATA (072721)'!A:C, 2, 0))</f>
        <v>MARTINEZ, ARTURO</v>
      </c>
      <c r="B43" s="215">
        <v>15126.0</v>
      </c>
      <c r="C43" s="216" t="str">
        <f>IF(COUNTIF('PATIENT DATA (072721)'!A:A, B43)=0, "X","✓")</f>
        <v>✓</v>
      </c>
      <c r="D43" s="226">
        <f>IFS($B43=FALSE,"",$B43,VLOOKUP($B43,'PATIENT DATA (072721)'!A:C, 3, 0))</f>
        <v>23561</v>
      </c>
      <c r="E43" s="218">
        <v>44581.0</v>
      </c>
      <c r="F43" s="219">
        <f>ifs($B43="","",$B43, VLOOKUP($B43&amp;$E43, 'VISIT DATA'!A:O,3,0))</f>
        <v>0.5520833333</v>
      </c>
      <c r="G43" s="220" t="s">
        <v>6328</v>
      </c>
      <c r="H43" s="221" t="s">
        <v>15</v>
      </c>
      <c r="I43" s="222" t="str">
        <f>VLOOKUP($B43&amp;$E43,'VISIT DATA'!A:J, 9, FALSE)</f>
        <v>TORRES</v>
      </c>
      <c r="J43" s="223" t="str">
        <f>VLOOKUP(B43&amp;E43,'VISIT DATA'!A:N,10,FALSE)</f>
        <v>MOLINA MEDICAID TEXAS</v>
      </c>
      <c r="K43" s="225"/>
      <c r="L43" s="224" t="s">
        <v>6242</v>
      </c>
      <c r="M43" s="224" t="s">
        <v>6242</v>
      </c>
      <c r="N43" s="225"/>
      <c r="O43" s="216" t="str">
        <f t="shared" si="1"/>
        <v>✓</v>
      </c>
      <c r="P43" s="226" t="str">
        <f t="shared" si="2"/>
        <v>#VALUE!</v>
      </c>
      <c r="Q43" s="227" t="str">
        <f t="shared" si="3"/>
        <v>X</v>
      </c>
      <c r="R43" s="228" t="str">
        <f t="shared" si="4"/>
        <v>#VALUE!</v>
      </c>
      <c r="S43" s="220" t="str">
        <f t="shared" si="5"/>
        <v>#VALUE!</v>
      </c>
      <c r="T43" s="220" t="str">
        <f t="shared" si="6"/>
        <v>#VALUE!</v>
      </c>
      <c r="U43" s="221">
        <f t="shared" si="7"/>
        <v>1</v>
      </c>
      <c r="V43" s="229" t="str">
        <f>ifs($N43="",VLOOKUP($B43&amp;$E43,'VISIT DATA'!$A$2:$J100,7,FALSE), $N43="SWAB","OUTSA-RW",$N43="SWQU","OUTSA-SaQu", AND($L43="X",$M43="X",$N43="QUEST"),"OUT-UAQPre",$N43="QUEST","OUT-UAQ", $N43="Walk in","ColUATele")</f>
        <v>OUTUA-PrRW</v>
      </c>
      <c r="W43" s="24" t="str">
        <f t="shared" si="8"/>
        <v>OUTUA-PrRW : OUT UA Prelimin Redwood</v>
      </c>
      <c r="X43" s="222" t="str">
        <f t="shared" si="9"/>
        <v>OUTUA-PrRW : OUT UA Prelimin Redwood</v>
      </c>
      <c r="Y43" s="222" t="str">
        <f t="shared" si="10"/>
        <v>MATCH</v>
      </c>
      <c r="Z43" s="224" t="str">
        <f t="shared" si="11"/>
        <v> </v>
      </c>
      <c r="AA43" s="244"/>
    </row>
    <row r="44">
      <c r="A44" s="214" t="str">
        <f>IFS($B44=FALSE,"",$B44,VLOOKUP($B44,'PATIENT DATA (072721)'!A:C, 2, 0))</f>
        <v>LOPEZ, MARIA ELENA</v>
      </c>
      <c r="B44" s="215">
        <v>13597.0</v>
      </c>
      <c r="C44" s="216" t="str">
        <f>IF(COUNTIF('PATIENT DATA (072721)'!A:A, B44)=0, "X","✓")</f>
        <v>✓</v>
      </c>
      <c r="D44" s="226">
        <f>IFS($B44=FALSE,"",$B44,VLOOKUP($B44,'PATIENT DATA (072721)'!A:C, 3, 0))</f>
        <v>11955</v>
      </c>
      <c r="E44" s="218">
        <v>44581.0</v>
      </c>
      <c r="F44" s="219">
        <f>ifs($B44="","",$B44, VLOOKUP($B44&amp;$E44, 'VISIT DATA'!A:O,3,0))</f>
        <v>0.5625</v>
      </c>
      <c r="G44" s="220" t="s">
        <v>6323</v>
      </c>
      <c r="H44" s="221" t="s">
        <v>15</v>
      </c>
      <c r="I44" s="222" t="str">
        <f>VLOOKUP($B44&amp;$E44,'VISIT DATA'!A:J, 9, FALSE)</f>
        <v>TORRES</v>
      </c>
      <c r="J44" s="223" t="str">
        <f>VLOOKUP(B44&amp;E44,'VISIT DATA'!A:N,10,FALSE)</f>
        <v>WELLMED - UHC DUAL COMPLETE SNP</v>
      </c>
      <c r="K44" s="224"/>
      <c r="L44" s="224" t="s">
        <v>6242</v>
      </c>
      <c r="M44" s="224"/>
      <c r="N44" s="225"/>
      <c r="O44" s="216" t="str">
        <f t="shared" si="1"/>
        <v>✓</v>
      </c>
      <c r="P44" s="226" t="str">
        <f t="shared" si="2"/>
        <v>X</v>
      </c>
      <c r="Q44" s="227" t="str">
        <f t="shared" si="3"/>
        <v>#VALUE!</v>
      </c>
      <c r="R44" s="228" t="str">
        <f t="shared" si="4"/>
        <v>#VALUE!</v>
      </c>
      <c r="S44" s="220" t="str">
        <f t="shared" si="5"/>
        <v>#VALUE!</v>
      </c>
      <c r="T44" s="220" t="str">
        <f t="shared" si="6"/>
        <v>#VALUE!</v>
      </c>
      <c r="U44" s="221">
        <f t="shared" si="7"/>
        <v>1</v>
      </c>
      <c r="V44" s="229" t="str">
        <f>ifs($N44="",VLOOKUP($B44&amp;$E44,'VISIT DATA'!$A$2:$J100,7,FALSE), $N44="SWAB","OUTSA-RW",$N44="SWQU","OUTSA-SaQu", AND($L44="X",$M44="X",$N44="QUEST"),"OUT-UAQPre",$N44="QUEST","OUT-UAQ", $N44="Walk in","ColUATele")</f>
        <v>OUTUA-FURW</v>
      </c>
      <c r="W44" s="24" t="str">
        <f t="shared" si="8"/>
        <v>OUTUA-FURW : OUT UA FU Redwood</v>
      </c>
      <c r="X44" s="222" t="str">
        <f t="shared" si="9"/>
        <v>OUTUA-FURW : OUT UA FU Redwood</v>
      </c>
      <c r="Y44" s="222" t="str">
        <f t="shared" si="10"/>
        <v>MATCH</v>
      </c>
      <c r="Z44" s="224" t="str">
        <f t="shared" si="11"/>
        <v> </v>
      </c>
      <c r="AA44" s="244"/>
    </row>
    <row r="45">
      <c r="A45" s="214" t="str">
        <f>IFS($B45=FALSE,"",$B45,VLOOKUP($B45,'PATIENT DATA (072721)'!A:C, 2, 0))</f>
        <v>CRUZ, BLANCA</v>
      </c>
      <c r="B45" s="215">
        <v>14985.0</v>
      </c>
      <c r="C45" s="216" t="str">
        <f>IF(COUNTIF('PATIENT DATA (072721)'!A:A, B45)=0, "X","✓")</f>
        <v>✓</v>
      </c>
      <c r="D45" s="226">
        <f>IFS($B45=FALSE,"",$B45,VLOOKUP($B45,'PATIENT DATA (072721)'!A:C, 3, 0))</f>
        <v>25658</v>
      </c>
      <c r="E45" s="218">
        <v>44581.0</v>
      </c>
      <c r="F45" s="219">
        <f>ifs($B45="","",$B45, VLOOKUP($B45&amp;$E45, 'VISIT DATA'!A:O,3,0))</f>
        <v>0.5833333333</v>
      </c>
      <c r="G45" s="220" t="s">
        <v>6323</v>
      </c>
      <c r="H45" s="221" t="s">
        <v>15</v>
      </c>
      <c r="I45" s="222" t="str">
        <f>VLOOKUP($B45&amp;$E45,'VISIT DATA'!A:J, 9, FALSE)</f>
        <v>MARTINEZ</v>
      </c>
      <c r="J45" s="223" t="str">
        <f>VLOOKUP(B45&amp;E45,'VISIT DATA'!A:N,10,FALSE)</f>
        <v>AMBETTER - SUPERIOR</v>
      </c>
      <c r="K45" s="225"/>
      <c r="L45" s="224" t="s">
        <v>6242</v>
      </c>
      <c r="M45" s="224" t="s">
        <v>6242</v>
      </c>
      <c r="N45" s="225"/>
      <c r="O45" s="216" t="str">
        <f t="shared" si="1"/>
        <v>✓</v>
      </c>
      <c r="P45" s="226" t="str">
        <f t="shared" si="2"/>
        <v>#VALUE!</v>
      </c>
      <c r="Q45" s="227" t="str">
        <f t="shared" si="3"/>
        <v>#VALUE!</v>
      </c>
      <c r="R45" s="228" t="str">
        <f t="shared" si="4"/>
        <v>#VALUE!</v>
      </c>
      <c r="S45" s="220" t="str">
        <f t="shared" si="5"/>
        <v>#VALUE!</v>
      </c>
      <c r="T45" s="220" t="str">
        <f t="shared" si="6"/>
        <v>#VALUE!</v>
      </c>
      <c r="U45" s="221">
        <f t="shared" si="7"/>
        <v>0</v>
      </c>
      <c r="V45" s="229" t="str">
        <f>ifs($N45="",VLOOKUP($B45&amp;$E45,'VISIT DATA'!$A$2:$J100,7,FALSE), $N45="SWAB","OUTSA-RW",$N45="SWQU","OUTSA-SaQu", AND($L45="X",$M45="X",$N45="QUEST"),"OUT-UAQPre",$N45="QUEST","OUT-UAQ", $N45="Walk in","ColUATele")</f>
        <v>UA-Prelim</v>
      </c>
      <c r="W45" s="24" t="str">
        <f t="shared" si="8"/>
        <v>UA-Prelim : Preliminary UA Test</v>
      </c>
      <c r="X45" s="222" t="str">
        <f t="shared" si="9"/>
        <v>UA-Prelim : Preliminary UA Test</v>
      </c>
      <c r="Y45" s="222" t="str">
        <f t="shared" si="10"/>
        <v>MATCH</v>
      </c>
      <c r="Z45" s="224" t="str">
        <f t="shared" si="11"/>
        <v> </v>
      </c>
      <c r="AA45" s="244"/>
    </row>
    <row r="46">
      <c r="A46" s="214" t="str">
        <f>IFS($B46=FALSE,"",$B46,VLOOKUP($B46,'PATIENT DATA (072721)'!A:C, 2, 0))</f>
        <v>RUBIO, LORENZA C</v>
      </c>
      <c r="B46" s="215">
        <v>16162.0</v>
      </c>
      <c r="C46" s="216" t="str">
        <f>IF(COUNTIF('PATIENT DATA (072721)'!A:A, B46)=0, "X","✓")</f>
        <v>✓</v>
      </c>
      <c r="D46" s="226">
        <f>IFS($B46=FALSE,"",$B46,VLOOKUP($B46,'PATIENT DATA (072721)'!A:C, 3, 0))</f>
        <v>27212</v>
      </c>
      <c r="E46" s="218">
        <v>44581.0</v>
      </c>
      <c r="F46" s="219">
        <f>ifs($B46="","",$B46, VLOOKUP($B46&amp;$E46, 'VISIT DATA'!A:O,3,0))</f>
        <v>0.3541666667</v>
      </c>
      <c r="G46" s="220" t="s">
        <v>6323</v>
      </c>
      <c r="H46" s="221" t="s">
        <v>15</v>
      </c>
      <c r="I46" s="222" t="str">
        <f>VLOOKUP($B46&amp;$E46,'VISIT DATA'!A:J, 9, FALSE)</f>
        <v>LOPEZ</v>
      </c>
      <c r="J46" s="223" t="str">
        <f>VLOOKUP(B46&amp;E46,'VISIT DATA'!A:N,10,FALSE)</f>
        <v>EL PASO HEALTH PLAN</v>
      </c>
      <c r="K46" s="224"/>
      <c r="L46" s="224" t="s">
        <v>6242</v>
      </c>
      <c r="M46" s="224" t="s">
        <v>6242</v>
      </c>
      <c r="N46" s="225"/>
      <c r="O46" s="216" t="str">
        <f t="shared" si="1"/>
        <v>✓</v>
      </c>
      <c r="P46" s="226" t="str">
        <f t="shared" si="2"/>
        <v>#VALUE!</v>
      </c>
      <c r="Q46" s="227" t="str">
        <f t="shared" si="3"/>
        <v>#VALUE!</v>
      </c>
      <c r="R46" s="228" t="str">
        <f t="shared" si="4"/>
        <v>#VALUE!</v>
      </c>
      <c r="S46" s="220" t="str">
        <f t="shared" si="5"/>
        <v>#VALUE!</v>
      </c>
      <c r="T46" s="220" t="str">
        <f t="shared" si="6"/>
        <v>#VALUE!</v>
      </c>
      <c r="U46" s="221">
        <f t="shared" si="7"/>
        <v>0</v>
      </c>
      <c r="V46" s="229" t="str">
        <f>ifs($N46="",VLOOKUP($B46&amp;$E46,'VISIT DATA'!$A$2:$J100,7,FALSE), $N46="SWAB","OUTSA-RW",$N46="SWQU","OUTSA-SaQu", AND($L46="X",$M46="X",$N46="QUEST"),"OUT-UAQPre",$N46="QUEST","OUT-UAQ", $N46="Walk in","ColUATele")</f>
        <v>UA-Prelim</v>
      </c>
      <c r="W46" s="24" t="str">
        <f t="shared" si="8"/>
        <v>UA-Prelim : Preliminary UA Test</v>
      </c>
      <c r="X46" s="222" t="str">
        <f t="shared" si="9"/>
        <v>UA-Prelim : Preliminary UA Test</v>
      </c>
      <c r="Y46" s="222" t="str">
        <f t="shared" si="10"/>
        <v>MATCH</v>
      </c>
      <c r="Z46" s="224" t="str">
        <f t="shared" si="11"/>
        <v> </v>
      </c>
      <c r="AA46" s="244"/>
    </row>
    <row r="47">
      <c r="A47" s="214" t="str">
        <f>IFS($B47=FALSE,"",$B47,VLOOKUP($B47,'PATIENT DATA (072721)'!A:C, 2, 0))</f>
        <v>SEGURA, ALBERTO</v>
      </c>
      <c r="B47" s="215">
        <v>9576.0</v>
      </c>
      <c r="C47" s="230" t="str">
        <f>IF(COUNTIF('PATIENT DATA (072721)'!A:A, B47)=0, "X","✓")</f>
        <v>✓</v>
      </c>
      <c r="D47" s="226">
        <f>IFS($B47=FALSE,"",$B47,VLOOKUP($B47,'PATIENT DATA (072721)'!A:C, 3, 0))</f>
        <v>18646</v>
      </c>
      <c r="E47" s="218">
        <v>44581.0</v>
      </c>
      <c r="F47" s="219">
        <f>ifs($B47="","",$B47, VLOOKUP($B47&amp;$E47, 'VISIT DATA'!A:O,3,0))</f>
        <v>0.59375</v>
      </c>
      <c r="G47" s="220" t="s">
        <v>6328</v>
      </c>
      <c r="H47" s="221" t="s">
        <v>15</v>
      </c>
      <c r="I47" s="222" t="str">
        <f>VLOOKUP($B47&amp;$E47,'VISIT DATA'!A:J, 9, FALSE)</f>
        <v>MARTINEZ</v>
      </c>
      <c r="J47" s="223" t="str">
        <f>VLOOKUP(B47&amp;E47,'VISIT DATA'!A:N,10,FALSE)</f>
        <v>WPS VA - COMMUNITY CARE</v>
      </c>
      <c r="K47" s="225"/>
      <c r="L47" s="224" t="s">
        <v>6242</v>
      </c>
      <c r="M47" s="224"/>
      <c r="N47" s="225"/>
      <c r="O47" s="216" t="str">
        <f t="shared" si="1"/>
        <v>✓</v>
      </c>
      <c r="P47" s="226" t="str">
        <f t="shared" si="2"/>
        <v>#VALUE!</v>
      </c>
      <c r="Q47" s="227" t="str">
        <f t="shared" si="3"/>
        <v>#VALUE!</v>
      </c>
      <c r="R47" s="228" t="str">
        <f t="shared" si="4"/>
        <v>#VALUE!</v>
      </c>
      <c r="S47" s="220" t="str">
        <f t="shared" si="5"/>
        <v>#VALUE!</v>
      </c>
      <c r="T47" s="220" t="str">
        <f t="shared" si="6"/>
        <v>#VALUE!</v>
      </c>
      <c r="U47" s="221">
        <f t="shared" si="7"/>
        <v>0</v>
      </c>
      <c r="V47" s="229" t="str">
        <f>ifs($N47="",VLOOKUP($B47&amp;$E47,'VISIT DATA'!$A$2:$J100,7,FALSE), $N47="SWAB","OUTSA-RW",$N47="SWQU","OUTSA-SaQu", AND($L47="X",$M47="X",$N47="QUEST"),"OUT-UAQPre",$N47="QUEST","OUT-UAQ", $N47="Walk in","ColUATele")</f>
        <v>UA</v>
      </c>
      <c r="W47" s="24" t="str">
        <f t="shared" si="8"/>
        <v>UA : Urine Analysis In House</v>
      </c>
      <c r="X47" s="222" t="str">
        <f t="shared" si="9"/>
        <v>UA : Urine Analysis In House</v>
      </c>
      <c r="Y47" s="222" t="str">
        <f t="shared" si="10"/>
        <v>MATCH</v>
      </c>
      <c r="Z47" s="224" t="str">
        <f t="shared" si="11"/>
        <v> </v>
      </c>
      <c r="AA47" s="244"/>
    </row>
    <row r="48">
      <c r="A48" s="214" t="str">
        <f>IFS($B48=FALSE,"",$B48,VLOOKUP($B48,'PATIENT DATA (072721)'!A:C, 2, 0))</f>
        <v>RAMIREZ, RICARDO J</v>
      </c>
      <c r="B48" s="215">
        <v>9794.0</v>
      </c>
      <c r="C48" s="230" t="str">
        <f>IF(COUNTIF('PATIENT DATA (072721)'!A:A, B48)=0, "X","✓")</f>
        <v>✓</v>
      </c>
      <c r="D48" s="226">
        <f>IFS($B48=FALSE,"",$B48,VLOOKUP($B48,'PATIENT DATA (072721)'!A:C, 3, 0))</f>
        <v>24881</v>
      </c>
      <c r="E48" s="218">
        <v>44581.0</v>
      </c>
      <c r="F48" s="219">
        <f>ifs($B48="","",$B48, VLOOKUP($B48&amp;$E48, 'VISIT DATA'!A:O,3,0))</f>
        <v>0.6041666667</v>
      </c>
      <c r="G48" s="220" t="s">
        <v>6323</v>
      </c>
      <c r="H48" s="221" t="s">
        <v>15</v>
      </c>
      <c r="I48" s="222" t="str">
        <f>VLOOKUP($B48&amp;$E48,'VISIT DATA'!A:J, 9, FALSE)</f>
        <v>MARTINEZ</v>
      </c>
      <c r="J48" s="223" t="str">
        <f>VLOOKUP(B48&amp;E48,'VISIT DATA'!A:N,10,FALSE)</f>
        <v>AMBETTER - SUPERIOR</v>
      </c>
      <c r="K48" s="225"/>
      <c r="L48" s="224" t="s">
        <v>6242</v>
      </c>
      <c r="M48" s="224" t="s">
        <v>6242</v>
      </c>
      <c r="N48" s="224"/>
      <c r="O48" s="216" t="str">
        <f t="shared" si="1"/>
        <v>✓</v>
      </c>
      <c r="P48" s="226" t="str">
        <f t="shared" si="2"/>
        <v>#VALUE!</v>
      </c>
      <c r="Q48" s="227" t="str">
        <f t="shared" si="3"/>
        <v>#VALUE!</v>
      </c>
      <c r="R48" s="228" t="str">
        <f t="shared" si="4"/>
        <v>#VALUE!</v>
      </c>
      <c r="S48" s="220" t="str">
        <f t="shared" si="5"/>
        <v>#VALUE!</v>
      </c>
      <c r="T48" s="220" t="str">
        <f t="shared" si="6"/>
        <v>#VALUE!</v>
      </c>
      <c r="U48" s="221">
        <f t="shared" si="7"/>
        <v>0</v>
      </c>
      <c r="V48" s="229" t="str">
        <f>ifs($N48="",VLOOKUP($B48&amp;$E48,'VISIT DATA'!$A$2:$J100,7,FALSE), $N48="SWAB","OUTSA-RW",$N48="SWQU","OUTSA-SaQu", AND($L48="X",$M48="X",$N48="QUEST"),"OUT-UAQPre",$N48="QUEST","OUT-UAQ", $N48="Walk in","ColUATele")</f>
        <v>UA-Prelim</v>
      </c>
      <c r="W48" s="24" t="str">
        <f t="shared" si="8"/>
        <v>UA-Prelim : Preliminary UA Test</v>
      </c>
      <c r="X48" s="222" t="str">
        <f t="shared" si="9"/>
        <v>UA-Prelim : Preliminary UA Test</v>
      </c>
      <c r="Y48" s="222" t="str">
        <f t="shared" si="10"/>
        <v>MATCH</v>
      </c>
      <c r="Z48" s="224" t="str">
        <f t="shared" si="11"/>
        <v> </v>
      </c>
      <c r="AA48" s="244"/>
    </row>
    <row r="49">
      <c r="A49" s="214" t="str">
        <f>IFS($B49=FALSE,"",$B49,VLOOKUP($B49,'PATIENT DATA (072721)'!A:C, 2, 0))</f>
        <v>RAMIREZ, ROSA I</v>
      </c>
      <c r="B49" s="215">
        <v>13847.0</v>
      </c>
      <c r="C49" s="247" t="str">
        <f>IF(COUNTIF('PATIENT DATA (072721)'!A:A, B49)=0, "X","✓")</f>
        <v>✓</v>
      </c>
      <c r="D49" s="226">
        <f>IFS($B49=FALSE,"",$B49,VLOOKUP($B49,'PATIENT DATA (072721)'!A:C, 3, 0))</f>
        <v>24349</v>
      </c>
      <c r="E49" s="218">
        <v>44581.0</v>
      </c>
      <c r="F49" s="219"/>
      <c r="G49" s="220" t="s">
        <v>6323</v>
      </c>
      <c r="H49" s="221" t="s">
        <v>15</v>
      </c>
      <c r="I49" s="222" t="str">
        <f>VLOOKUP($B49&amp;$E49,'VISIT DATA'!A:J, 9, FALSE)</f>
        <v>MARTINEZ</v>
      </c>
      <c r="J49" s="223" t="str">
        <f>VLOOKUP(B49&amp;E49,'VISIT DATA'!A:N,10,FALSE)</f>
        <v>AMBETTER - SUPERIOR</v>
      </c>
      <c r="K49" s="225"/>
      <c r="L49" s="224" t="s">
        <v>6242</v>
      </c>
      <c r="M49" s="224"/>
      <c r="N49" s="225"/>
      <c r="O49" s="247" t="str">
        <f t="shared" si="1"/>
        <v>✓</v>
      </c>
      <c r="P49" s="226" t="str">
        <f t="shared" si="2"/>
        <v>#VALUE!</v>
      </c>
      <c r="Q49" s="227" t="str">
        <f t="shared" si="3"/>
        <v>#VALUE!</v>
      </c>
      <c r="R49" s="228" t="str">
        <f t="shared" si="4"/>
        <v>#VALUE!</v>
      </c>
      <c r="S49" s="220" t="str">
        <f t="shared" si="5"/>
        <v>#VALUE!</v>
      </c>
      <c r="T49" s="220" t="str">
        <f t="shared" si="6"/>
        <v>#VALUE!</v>
      </c>
      <c r="U49" s="221">
        <f t="shared" si="7"/>
        <v>0</v>
      </c>
      <c r="V49" s="229" t="str">
        <f>ifs($N49="",VLOOKUP($B49&amp;$E49,'VISIT DATA'!$A$2:$J100,7,FALSE), $N49="SWAB","OUTSA-RW",$N49="SWQU","OUTSA-SaQu", AND($L49="X",$M49="X",$N49="QUEST"),"OUT-UAQPre",$N49="QUEST","OUT-UAQ", $N49="Walk in","ColUATele")</f>
        <v>UA</v>
      </c>
      <c r="W49" s="24" t="str">
        <f t="shared" si="8"/>
        <v>UA : Urine Analysis In House</v>
      </c>
      <c r="X49" s="222" t="str">
        <f t="shared" si="9"/>
        <v>UA : Urine Analysis In House</v>
      </c>
      <c r="Y49" s="222" t="str">
        <f t="shared" si="10"/>
        <v>MATCH</v>
      </c>
      <c r="Z49" s="224" t="str">
        <f t="shared" si="11"/>
        <v> </v>
      </c>
      <c r="AA49" s="244"/>
    </row>
    <row r="50">
      <c r="A50" s="248" t="str">
        <f>IFS($B50=FALSE,"",$B50,VLOOKUP($B50,'PATIENT DATA (072721)'!A:C, 2, 0))</f>
        <v>REGISTER, JAMES</v>
      </c>
      <c r="B50" s="249">
        <v>12795.0</v>
      </c>
      <c r="C50" s="250" t="str">
        <f>IF(COUNTIF('PATIENT DATA (072721)'!A:A, B50)=0, "X","✓")</f>
        <v>✓</v>
      </c>
      <c r="D50" s="251">
        <f>IFS($B50=FALSE,"",$B50,VLOOKUP($B50,'PATIENT DATA (072721)'!A:C, 3, 0))</f>
        <v>25954</v>
      </c>
      <c r="E50" s="252">
        <v>44581.0</v>
      </c>
      <c r="F50" s="253" t="str">
        <f>ifs($B50="","",$B50, VLOOKUP($B50&amp;$E50, 'VISIT DATA'!A:O,3,0))</f>
        <v>#N/A</v>
      </c>
      <c r="G50" s="254" t="s">
        <v>6328</v>
      </c>
      <c r="H50" s="255" t="s">
        <v>15</v>
      </c>
      <c r="I50" s="256" t="str">
        <f>VLOOKUP($B50&amp;$E50,'VISIT DATA'!A:J, 9, FALSE)</f>
        <v>#N/A</v>
      </c>
      <c r="J50" s="257" t="str">
        <f>VLOOKUP(B50&amp;E50,'VISIT DATA'!A:N,10,FALSE)</f>
        <v>#N/A</v>
      </c>
      <c r="K50" s="258"/>
      <c r="L50" s="259" t="s">
        <v>6242</v>
      </c>
      <c r="M50" s="259"/>
      <c r="N50" s="258"/>
      <c r="O50" s="260" t="str">
        <f t="shared" si="1"/>
        <v>✓</v>
      </c>
      <c r="P50" s="226" t="str">
        <f t="shared" si="2"/>
        <v>#N/A</v>
      </c>
      <c r="Q50" s="227" t="str">
        <f t="shared" si="3"/>
        <v>#N/A</v>
      </c>
      <c r="R50" s="228" t="str">
        <f t="shared" si="4"/>
        <v>#N/A</v>
      </c>
      <c r="S50" s="220" t="str">
        <f t="shared" si="5"/>
        <v>#N/A</v>
      </c>
      <c r="T50" s="220" t="str">
        <f t="shared" si="6"/>
        <v>#N/A</v>
      </c>
      <c r="U50" s="221">
        <f t="shared" si="7"/>
        <v>0</v>
      </c>
      <c r="V50" s="261" t="str">
        <f>ifs($N50="",VLOOKUP($B50&amp;$E50,'VISIT DATA'!$A$2:$J100,7,FALSE), $N50="SWAB","OUTSA-RW",$N50="SWQU","OUTSA-SaQu", AND($L50="X",$M50="X",$N50="QUEST"),"OUT-UAQPre",$N50="QUEST","OUT-UAQ", $N50="Walk in","ColUATele")</f>
        <v>#N/A</v>
      </c>
      <c r="W50" s="24" t="str">
        <f t="shared" si="8"/>
        <v>#N/A</v>
      </c>
      <c r="X50" s="222" t="str">
        <f t="shared" si="9"/>
        <v>UA : Urine Analysis In House</v>
      </c>
      <c r="Y50" s="222" t="str">
        <f t="shared" si="10"/>
        <v>#N/A</v>
      </c>
      <c r="Z50" s="224" t="str">
        <f t="shared" si="11"/>
        <v> </v>
      </c>
      <c r="AA50" s="244"/>
    </row>
    <row r="51">
      <c r="A51" s="214" t="str">
        <f>IFS($B51=FALSE,"",$B51,VLOOKUP($B51,'PATIENT DATA (072721)'!A:C, 2, 0))</f>
        <v>BAYLON, BRENDA</v>
      </c>
      <c r="B51" s="215">
        <v>12776.0</v>
      </c>
      <c r="C51" s="230" t="str">
        <f>IF(COUNTIF('PATIENT DATA (072721)'!A:A, B51)=0, "X","✓")</f>
        <v>✓</v>
      </c>
      <c r="D51" s="226">
        <f>IFS($B51=FALSE,"",$B51,VLOOKUP($B51,'PATIENT DATA (072721)'!A:C, 3, 0))</f>
        <v>28373</v>
      </c>
      <c r="E51" s="218">
        <v>44581.0</v>
      </c>
      <c r="F51" s="219">
        <f>ifs($B51="","",$B51, VLOOKUP($B51&amp;$E51, 'VISIT DATA'!A:O,3,0))</f>
        <v>0.6354166667</v>
      </c>
      <c r="G51" s="231" t="s">
        <v>6323</v>
      </c>
      <c r="H51" s="221" t="s">
        <v>15</v>
      </c>
      <c r="I51" s="262" t="str">
        <f>VLOOKUP($B51&amp;$E51,'VISIT DATA'!A:J, 9, FALSE)</f>
        <v>MARTINEZ</v>
      </c>
      <c r="J51" s="223" t="str">
        <f>VLOOKUP(B51&amp;E51,'VISIT DATA'!A:N,10,FALSE)</f>
        <v>CIGNA</v>
      </c>
      <c r="K51" s="225"/>
      <c r="L51" s="224" t="s">
        <v>6242</v>
      </c>
      <c r="M51" s="224"/>
      <c r="N51" s="225"/>
      <c r="O51" s="216" t="str">
        <f t="shared" si="1"/>
        <v>✓</v>
      </c>
      <c r="P51" s="226" t="str">
        <f t="shared" si="2"/>
        <v>#VALUE!</v>
      </c>
      <c r="Q51" s="227" t="str">
        <f t="shared" si="3"/>
        <v>#VALUE!</v>
      </c>
      <c r="R51" s="228" t="str">
        <f t="shared" si="4"/>
        <v>#VALUE!</v>
      </c>
      <c r="S51" s="220" t="str">
        <f t="shared" si="5"/>
        <v>#VALUE!</v>
      </c>
      <c r="T51" s="220" t="str">
        <f t="shared" si="6"/>
        <v>#VALUE!</v>
      </c>
      <c r="U51" s="221">
        <f t="shared" si="7"/>
        <v>0</v>
      </c>
      <c r="V51" s="229" t="str">
        <f>ifs($N51="",VLOOKUP($B51&amp;$E51,'VISIT DATA'!$A$2:$J100,7,FALSE), $N51="SWAB","OUTSA-RW",$N51="SWQU","OUTSA-SaQu", AND($L51="X",$M51="X",$N51="QUEST"),"OUT-UAQPre",$N51="QUEST","OUT-UAQ", $N51="Walk in","ColUATele")</f>
        <v>UA</v>
      </c>
      <c r="W51" s="24" t="str">
        <f t="shared" si="8"/>
        <v>UA : Urine Analysis In House</v>
      </c>
      <c r="X51" s="222" t="str">
        <f t="shared" si="9"/>
        <v>UA : Urine Analysis In House</v>
      </c>
      <c r="Y51" s="222" t="str">
        <f t="shared" si="10"/>
        <v>MATCH</v>
      </c>
      <c r="Z51" s="224" t="str">
        <f t="shared" si="11"/>
        <v> </v>
      </c>
      <c r="AA51" s="244"/>
    </row>
    <row r="52">
      <c r="A52" s="214" t="str">
        <f>IFS($B52=FALSE,"",$B52,VLOOKUP($B52,'PATIENT DATA (072721)'!A:C, 2, 0))</f>
        <v>GUTIERREZ, LILIA A</v>
      </c>
      <c r="B52" s="215">
        <v>16723.0</v>
      </c>
      <c r="C52" s="230" t="str">
        <f>IF(COUNTIF('PATIENT DATA (072721)'!A:A, B52)=0, "X","✓")</f>
        <v>✓</v>
      </c>
      <c r="D52" s="226">
        <f>IFS($B52=FALSE,"",$B52,VLOOKUP($B52,'PATIENT DATA (072721)'!A:C, 3, 0))</f>
        <v>25804</v>
      </c>
      <c r="E52" s="218">
        <v>44581.0</v>
      </c>
      <c r="F52" s="219">
        <f>ifs($B52="","",$B52, VLOOKUP($B52&amp;$E52, 'VISIT DATA'!A:O,3,0))</f>
        <v>0.625</v>
      </c>
      <c r="G52" s="231" t="s">
        <v>6323</v>
      </c>
      <c r="H52" s="221" t="s">
        <v>15</v>
      </c>
      <c r="I52" s="262" t="str">
        <f>VLOOKUP($B52&amp;$E52,'VISIT DATA'!A:J, 9, FALSE)</f>
        <v>TORRES</v>
      </c>
      <c r="J52" s="223" t="str">
        <f>VLOOKUP(B52&amp;E52,'VISIT DATA'!A:N,10,FALSE)</f>
        <v>AMERIGROUP</v>
      </c>
      <c r="K52" s="225"/>
      <c r="L52" s="224" t="s">
        <v>6242</v>
      </c>
      <c r="M52" s="224"/>
      <c r="N52" s="225"/>
      <c r="O52" s="216" t="str">
        <f t="shared" si="1"/>
        <v>✓</v>
      </c>
      <c r="P52" s="226" t="str">
        <f t="shared" si="2"/>
        <v>#VALUE!</v>
      </c>
      <c r="Q52" s="227" t="str">
        <f t="shared" si="3"/>
        <v>#VALUE!</v>
      </c>
      <c r="R52" s="228" t="str">
        <f t="shared" si="4"/>
        <v>#VALUE!</v>
      </c>
      <c r="S52" s="220" t="str">
        <f t="shared" si="5"/>
        <v>#VALUE!</v>
      </c>
      <c r="T52" s="220" t="str">
        <f t="shared" si="6"/>
        <v>#VALUE!</v>
      </c>
      <c r="U52" s="221">
        <f t="shared" si="7"/>
        <v>0</v>
      </c>
      <c r="V52" s="229" t="str">
        <f>ifs($N52="",VLOOKUP($B52&amp;$E52,'VISIT DATA'!$A$2:$J100,7,FALSE), $N52="SWAB","OUTSA-RW",$N52="SWQU","OUTSA-SaQu", AND($L52="X",$M52="X",$N52="QUEST"),"OUT-UAQPre",$N52="QUEST","OUT-UAQ", $N52="Walk in","ColUATele")</f>
        <v>UA</v>
      </c>
      <c r="W52" s="24" t="str">
        <f t="shared" si="8"/>
        <v>UA : Urine Analysis In House</v>
      </c>
      <c r="X52" s="222" t="str">
        <f t="shared" si="9"/>
        <v>UA : Urine Analysis In House</v>
      </c>
      <c r="Y52" s="222" t="str">
        <f t="shared" si="10"/>
        <v>MATCH</v>
      </c>
      <c r="Z52" s="224" t="str">
        <f t="shared" si="11"/>
        <v> </v>
      </c>
      <c r="AA52" s="244"/>
    </row>
    <row r="53">
      <c r="A53" s="214" t="str">
        <f>IFS($B53=FALSE,"",$B53,VLOOKUP($B53,'PATIENT DATA (072721)'!A:C, 2, 0))</f>
        <v>SANCHEZ, GUSTAVO</v>
      </c>
      <c r="B53" s="215">
        <v>14084.0</v>
      </c>
      <c r="C53" s="230" t="str">
        <f>IF(COUNTIF('PATIENT DATA (072721)'!A:A, B53)=0, "X","✓")</f>
        <v>✓</v>
      </c>
      <c r="D53" s="226">
        <f>IFS($B53=FALSE,"",$B53,VLOOKUP($B53,'PATIENT DATA (072721)'!A:C, 3, 0))</f>
        <v>29711</v>
      </c>
      <c r="E53" s="218">
        <v>44581.0</v>
      </c>
      <c r="F53" s="219">
        <f>ifs($B53="","",$B53, VLOOKUP($B53&amp;$E53, 'VISIT DATA'!A:O,3,0))</f>
        <v>0.625</v>
      </c>
      <c r="G53" s="231" t="s">
        <v>6328</v>
      </c>
      <c r="H53" s="221" t="s">
        <v>15</v>
      </c>
      <c r="I53" s="262" t="str">
        <f>VLOOKUP($B53&amp;$E53,'VISIT DATA'!A:J, 9, FALSE)</f>
        <v>MARTINEZ</v>
      </c>
      <c r="J53" s="223" t="str">
        <f>VLOOKUP(B53&amp;E53,'VISIT DATA'!A:N,10,FALSE)</f>
        <v>WPS VA - COMMUNITY CARE</v>
      </c>
      <c r="K53" s="224"/>
      <c r="L53" s="224" t="s">
        <v>6242</v>
      </c>
      <c r="M53" s="224" t="s">
        <v>6242</v>
      </c>
      <c r="N53" s="225"/>
      <c r="O53" s="216" t="str">
        <f t="shared" si="1"/>
        <v>✓</v>
      </c>
      <c r="P53" s="226" t="str">
        <f t="shared" si="2"/>
        <v>#VALUE!</v>
      </c>
      <c r="Q53" s="227" t="str">
        <f t="shared" si="3"/>
        <v>#VALUE!</v>
      </c>
      <c r="R53" s="228" t="str">
        <f t="shared" si="4"/>
        <v>#VALUE!</v>
      </c>
      <c r="S53" s="220" t="str">
        <f t="shared" si="5"/>
        <v>#VALUE!</v>
      </c>
      <c r="T53" s="220" t="str">
        <f t="shared" si="6"/>
        <v>#VALUE!</v>
      </c>
      <c r="U53" s="221">
        <f t="shared" si="7"/>
        <v>0</v>
      </c>
      <c r="V53" s="229" t="str">
        <f>ifs($N53="",VLOOKUP($B53&amp;$E53,'VISIT DATA'!$A$2:$J100,7,FALSE), $N53="SWAB","OUTSA-RW",$N53="SWQU","OUTSA-SaQu", AND($L53="X",$M53="X",$N53="QUEST"),"OUT-UAQPre",$N53="QUEST","OUT-UAQ", $N53="Walk in","ColUATele")</f>
        <v>UA-Prelim</v>
      </c>
      <c r="W53" s="24" t="str">
        <f t="shared" si="8"/>
        <v>UA-Prelim : Preliminary UA Test</v>
      </c>
      <c r="X53" s="222" t="str">
        <f t="shared" si="9"/>
        <v>UA-Prelim : Preliminary UA Test</v>
      </c>
      <c r="Y53" s="222" t="str">
        <f t="shared" si="10"/>
        <v>MATCH</v>
      </c>
      <c r="Z53" s="224" t="str">
        <f t="shared" si="11"/>
        <v> </v>
      </c>
      <c r="AA53" s="244"/>
    </row>
    <row r="54">
      <c r="A54" s="214" t="str">
        <f>IFS($B54=FALSE,"",$B54,VLOOKUP($B54,'PATIENT DATA (072721)'!A:C, 2, 0))</f>
        <v>DELGADO, FELICIANA</v>
      </c>
      <c r="B54" s="215">
        <v>17909.0</v>
      </c>
      <c r="C54" s="230" t="str">
        <f>IF(COUNTIF('PATIENT DATA (072721)'!A:A, B54)=0, "X","✓")</f>
        <v>✓</v>
      </c>
      <c r="D54" s="226">
        <f>IFS($B54=FALSE,"",$B54,VLOOKUP($B54,'PATIENT DATA (072721)'!A:C, 3, 0))</f>
        <v>17693</v>
      </c>
      <c r="E54" s="218">
        <v>44581.0</v>
      </c>
      <c r="F54" s="219">
        <f>ifs($B54="","",$B54, VLOOKUP($B54&amp;$E54, 'VISIT DATA'!A:O,3,0))</f>
        <v>0.5416666667</v>
      </c>
      <c r="G54" s="231" t="s">
        <v>6323</v>
      </c>
      <c r="H54" s="221" t="s">
        <v>13</v>
      </c>
      <c r="I54" s="262" t="str">
        <f>VLOOKUP($B54&amp;$E54,'VISIT DATA'!A:J, 9, FALSE)</f>
        <v>THOMAS</v>
      </c>
      <c r="J54" s="223" t="str">
        <f>VLOOKUP(B54&amp;E54,'VISIT DATA'!A:N,10,FALSE)</f>
        <v>MEDICARE TEXAS</v>
      </c>
      <c r="K54" s="224" t="s">
        <v>6242</v>
      </c>
      <c r="L54" s="224"/>
      <c r="M54" s="224"/>
      <c r="N54" s="225"/>
      <c r="O54" s="216" t="str">
        <f t="shared" si="1"/>
        <v>✓</v>
      </c>
      <c r="P54" s="226" t="str">
        <f t="shared" si="2"/>
        <v>#VALUE!</v>
      </c>
      <c r="Q54" s="227" t="str">
        <f t="shared" si="3"/>
        <v>#VALUE!</v>
      </c>
      <c r="R54" s="228" t="str">
        <f t="shared" si="4"/>
        <v>#VALUE!</v>
      </c>
      <c r="S54" s="220" t="str">
        <f t="shared" si="5"/>
        <v>#VALUE!</v>
      </c>
      <c r="T54" s="220" t="str">
        <f t="shared" si="6"/>
        <v>#VALUE!</v>
      </c>
      <c r="U54" s="221">
        <f t="shared" si="7"/>
        <v>0</v>
      </c>
      <c r="V54" s="229" t="str">
        <f>ifs($N54="",VLOOKUP($B54&amp;$E54,'VISIT DATA'!$A$2:$J100,7,FALSE), $N54="SWAB","OUTSA-RW",$N54="SWQU","OUTSA-SaQu", AND($L54="X",$M54="X",$N54="QUEST"),"OUT-UAQPre",$N54="QUEST","OUT-UAQ", $N54="Walk in","ColUATele")</f>
        <v>UA-NWPT</v>
      </c>
      <c r="W54" s="24" t="str">
        <f t="shared" si="8"/>
        <v>UA-NWPT : UA New Patient</v>
      </c>
      <c r="X54" s="222" t="str">
        <f t="shared" si="9"/>
        <v>UA-NWPT : UA New Patient</v>
      </c>
      <c r="Y54" s="222" t="str">
        <f t="shared" si="10"/>
        <v>MATCH</v>
      </c>
      <c r="Z54" s="224" t="str">
        <f t="shared" si="11"/>
        <v> </v>
      </c>
      <c r="AA54" s="244"/>
    </row>
    <row r="55">
      <c r="A55" s="214" t="str">
        <f>IFS($B55=FALSE,"",$B55,VLOOKUP($B55,'PATIENT DATA (072721)'!A:C, 2, 0))</f>
        <v>PETTEYS, SUZAN</v>
      </c>
      <c r="B55" s="215">
        <v>16622.0</v>
      </c>
      <c r="C55" s="230" t="str">
        <f>IF(COUNTIF('PATIENT DATA (072721)'!A:A, B55)=0, "X","✓")</f>
        <v>✓</v>
      </c>
      <c r="D55" s="226">
        <f>IFS($B55=FALSE,"",$B55,VLOOKUP($B55,'PATIENT DATA (072721)'!A:C, 3, 0))</f>
        <v>22025</v>
      </c>
      <c r="E55" s="218">
        <v>44581.0</v>
      </c>
      <c r="F55" s="219">
        <f>ifs($B55="","",$B55, VLOOKUP($B55&amp;$E55, 'VISIT DATA'!A:O,3,0))</f>
        <v>0.5416666667</v>
      </c>
      <c r="G55" s="231" t="s">
        <v>6323</v>
      </c>
      <c r="H55" s="221" t="s">
        <v>13</v>
      </c>
      <c r="I55" s="262" t="str">
        <f>VLOOKUP($B55&amp;$E55,'VISIT DATA'!A:J, 9, FALSE)</f>
        <v>THOMAS</v>
      </c>
      <c r="J55" s="223" t="str">
        <f>VLOOKUP(B55&amp;E55,'VISIT DATA'!A:N,10,FALSE)</f>
        <v>WELLMED - AARP MEDICARE COMPLETE</v>
      </c>
      <c r="K55" s="224" t="s">
        <v>6242</v>
      </c>
      <c r="L55" s="224"/>
      <c r="M55" s="224"/>
      <c r="N55" s="225"/>
      <c r="O55" s="216" t="str">
        <f t="shared" si="1"/>
        <v>✓</v>
      </c>
      <c r="P55" s="226" t="str">
        <f t="shared" si="2"/>
        <v>X</v>
      </c>
      <c r="Q55" s="227" t="str">
        <f t="shared" si="3"/>
        <v>#VALUE!</v>
      </c>
      <c r="R55" s="228" t="str">
        <f t="shared" si="4"/>
        <v>#VALUE!</v>
      </c>
      <c r="S55" s="220" t="str">
        <f t="shared" si="5"/>
        <v>#VALUE!</v>
      </c>
      <c r="T55" s="220" t="str">
        <f t="shared" si="6"/>
        <v>#VALUE!</v>
      </c>
      <c r="U55" s="221">
        <f t="shared" si="7"/>
        <v>1</v>
      </c>
      <c r="V55" s="229" t="str">
        <f>ifs($N55="",VLOOKUP($B55&amp;$E55,'VISIT DATA'!$A$2:$J100,7,FALSE), $N55="SWAB","OUTSA-RW",$N55="SWQU","OUTSA-SaQu", AND($L55="X",$M55="X",$N55="QUEST"),"OUT-UAQPre",$N55="QUEST","OUT-UAQ", $N55="Walk in","ColUATele")</f>
        <v>UA-NWPT</v>
      </c>
      <c r="W55" s="24" t="str">
        <f t="shared" si="8"/>
        <v>UA-NWPT : UA New Patient</v>
      </c>
      <c r="X55" s="222" t="str">
        <f t="shared" si="9"/>
        <v>OUTUA-NWRW : OUT UA New Redwood</v>
      </c>
      <c r="Y55" s="222" t="str">
        <f t="shared" si="10"/>
        <v>NO MATCH</v>
      </c>
      <c r="Z55" s="224" t="str">
        <f t="shared" si="11"/>
        <v> </v>
      </c>
      <c r="AA55" s="244"/>
    </row>
    <row r="56">
      <c r="A56" s="214" t="str">
        <f>IFS($B56=FALSE,"",$B56,VLOOKUP($B56,'PATIENT DATA (072721)'!A:C, 2, 0))</f>
        <v>OBLINGER, TERESA</v>
      </c>
      <c r="B56" s="215">
        <v>17637.0</v>
      </c>
      <c r="C56" s="230" t="str">
        <f>IF(COUNTIF('PATIENT DATA (072721)'!A:A, B56)=0, "X","✓")</f>
        <v>✓</v>
      </c>
      <c r="D56" s="226">
        <f>IFS($B56=FALSE,"",$B56,VLOOKUP($B56,'PATIENT DATA (072721)'!A:C, 3, 0))</f>
        <v>21661</v>
      </c>
      <c r="E56" s="218">
        <v>44581.0</v>
      </c>
      <c r="F56" s="219">
        <f>ifs($B56="","",$B56, VLOOKUP($B56&amp;$E56, 'VISIT DATA'!A:O,3,0))</f>
        <v>0.5520833333</v>
      </c>
      <c r="G56" s="231" t="s">
        <v>6323</v>
      </c>
      <c r="H56" s="221" t="s">
        <v>13</v>
      </c>
      <c r="I56" s="262" t="str">
        <f>VLOOKUP($B56&amp;$E56,'VISIT DATA'!A:J, 9, FALSE)</f>
        <v>LOPEZ</v>
      </c>
      <c r="J56" s="223" t="str">
        <f>VLOOKUP(B56&amp;E56,'VISIT DATA'!A:N,10,FALSE)</f>
        <v>BLUE CROSS MEDICARE ADVANTAGE HMO TX</v>
      </c>
      <c r="K56" s="224" t="s">
        <v>6242</v>
      </c>
      <c r="L56" s="224"/>
      <c r="M56" s="224"/>
      <c r="N56" s="225"/>
      <c r="O56" s="216" t="str">
        <f t="shared" si="1"/>
        <v>✓</v>
      </c>
      <c r="P56" s="226" t="str">
        <f t="shared" si="2"/>
        <v>#VALUE!</v>
      </c>
      <c r="Q56" s="227" t="str">
        <f t="shared" si="3"/>
        <v>#VALUE!</v>
      </c>
      <c r="R56" s="228" t="str">
        <f t="shared" si="4"/>
        <v>#VALUE!</v>
      </c>
      <c r="S56" s="220" t="str">
        <f t="shared" si="5"/>
        <v>#VALUE!</v>
      </c>
      <c r="T56" s="220" t="str">
        <f t="shared" si="6"/>
        <v>#VALUE!</v>
      </c>
      <c r="U56" s="221">
        <f t="shared" si="7"/>
        <v>0</v>
      </c>
      <c r="V56" s="229" t="str">
        <f>ifs($N56="",VLOOKUP($B56&amp;$E56,'VISIT DATA'!$A$2:$J100,7,FALSE), $N56="SWAB","OUTSA-RW",$N56="SWQU","OUTSA-SaQu", AND($L56="X",$M56="X",$N56="QUEST"),"OUT-UAQPre",$N56="QUEST","OUT-UAQ", $N56="Walk in","ColUATele")</f>
        <v>UA-NWPT</v>
      </c>
      <c r="W56" s="24" t="str">
        <f t="shared" si="8"/>
        <v>UA-NWPT : UA New Patient</v>
      </c>
      <c r="X56" s="222" t="str">
        <f t="shared" si="9"/>
        <v>UA-NWPT : UA New Patient</v>
      </c>
      <c r="Y56" s="222" t="str">
        <f t="shared" si="10"/>
        <v>MATCH</v>
      </c>
      <c r="Z56" s="224" t="str">
        <f t="shared" si="11"/>
        <v>Repeat</v>
      </c>
      <c r="AA56" s="244"/>
    </row>
    <row r="57">
      <c r="A57" s="214" t="str">
        <f>IFS($B57=FALSE,"",$B57,VLOOKUP($B57,'PATIENT DATA (072721)'!A:C, 2, 0))</f>
        <v>VALADEZ, JUANITA</v>
      </c>
      <c r="B57" s="215">
        <v>11060.0</v>
      </c>
      <c r="C57" s="230" t="str">
        <f>IF(COUNTIF('PATIENT DATA (072721)'!A:A, B57)=0, "X","✓")</f>
        <v>✓</v>
      </c>
      <c r="D57" s="226">
        <f>IFS($B57=FALSE,"",$B57,VLOOKUP($B57,'PATIENT DATA (072721)'!A:C, 3, 0))</f>
        <v>17390</v>
      </c>
      <c r="E57" s="218">
        <v>44581.0</v>
      </c>
      <c r="F57" s="219">
        <f>ifs($B57="","",$B57, VLOOKUP($B57&amp;$E57, 'VISIT DATA'!A:O,3,0))</f>
        <v>0.5729166667</v>
      </c>
      <c r="G57" s="231" t="s">
        <v>6323</v>
      </c>
      <c r="H57" s="221" t="s">
        <v>13</v>
      </c>
      <c r="I57" s="262" t="str">
        <f>VLOOKUP($B57&amp;$E57,'VISIT DATA'!A:J, 9, FALSE)</f>
        <v>THOMAS</v>
      </c>
      <c r="J57" s="223" t="str">
        <f>VLOOKUP(B57&amp;E57,'VISIT DATA'!A:N,10,FALSE)</f>
        <v>WELLMED - AMERIVANTAGE</v>
      </c>
      <c r="K57" s="225"/>
      <c r="L57" s="224" t="s">
        <v>6242</v>
      </c>
      <c r="M57" s="224" t="s">
        <v>6242</v>
      </c>
      <c r="N57" s="225"/>
      <c r="O57" s="216" t="str">
        <f t="shared" si="1"/>
        <v>✓</v>
      </c>
      <c r="P57" s="226" t="str">
        <f t="shared" si="2"/>
        <v>X</v>
      </c>
      <c r="Q57" s="227" t="str">
        <f t="shared" si="3"/>
        <v>#VALUE!</v>
      </c>
      <c r="R57" s="228" t="str">
        <f t="shared" si="4"/>
        <v>#VALUE!</v>
      </c>
      <c r="S57" s="220" t="str">
        <f t="shared" si="5"/>
        <v>#VALUE!</v>
      </c>
      <c r="T57" s="220" t="str">
        <f t="shared" si="6"/>
        <v>#VALUE!</v>
      </c>
      <c r="U57" s="221">
        <f t="shared" si="7"/>
        <v>1</v>
      </c>
      <c r="V57" s="229" t="str">
        <f>ifs($N57="",VLOOKUP($B57&amp;$E57,'VISIT DATA'!$A$2:$J100,7,FALSE), $N57="SWAB","OUTSA-RW",$N57="SWQU","OUTSA-SaQu", AND($L57="X",$M57="X",$N57="QUEST"),"OUT-UAQPre",$N57="QUEST","OUT-UAQ", $N57="Walk in","ColUATele")</f>
        <v>OUTUA-PrRW</v>
      </c>
      <c r="W57" s="24" t="str">
        <f t="shared" si="8"/>
        <v>OUTUA-PrRW : OUT UA Prelimin Redwood</v>
      </c>
      <c r="X57" s="222" t="str">
        <f t="shared" si="9"/>
        <v>OUTUA-PrRW : OUT UA Prelimin Redwood</v>
      </c>
      <c r="Y57" s="222" t="str">
        <f t="shared" si="10"/>
        <v>MATCH</v>
      </c>
      <c r="Z57" s="224" t="str">
        <f t="shared" si="11"/>
        <v> </v>
      </c>
      <c r="AA57" s="244"/>
    </row>
    <row r="58">
      <c r="A58" s="214" t="str">
        <f>IFS($B58=FALSE,"",$B58,VLOOKUP($B58,'PATIENT DATA (072721)'!A:C, 2, 0))</f>
        <v>JOHNSON EVANS, KALEISHA M</v>
      </c>
      <c r="B58" s="215">
        <v>13183.0</v>
      </c>
      <c r="C58" s="230" t="str">
        <f>IF(COUNTIF('PATIENT DATA (072721)'!A:A, B58)=0, "X","✓")</f>
        <v>✓</v>
      </c>
      <c r="D58" s="226">
        <f>IFS($B58=FALSE,"",$B58,VLOOKUP($B58,'PATIENT DATA (072721)'!A:C, 3, 0))</f>
        <v>32643</v>
      </c>
      <c r="E58" s="218">
        <v>44581.0</v>
      </c>
      <c r="F58" s="219">
        <f>ifs($B58="","",$B58, VLOOKUP($B58&amp;$E58, 'VISIT DATA'!A:O,3,0))</f>
        <v>0.6458333333</v>
      </c>
      <c r="G58" s="231" t="s">
        <v>6323</v>
      </c>
      <c r="H58" s="221" t="s">
        <v>15</v>
      </c>
      <c r="I58" s="262" t="str">
        <f>VLOOKUP($B58&amp;$E58,'VISIT DATA'!A:J, 9, FALSE)</f>
        <v>TORRES</v>
      </c>
      <c r="J58" s="223" t="str">
        <f>VLOOKUP(B58&amp;E58,'VISIT DATA'!A:N,10,FALSE)</f>
        <v>WPS VA - COMMUNITY CARE</v>
      </c>
      <c r="K58" s="224"/>
      <c r="L58" s="224" t="s">
        <v>6242</v>
      </c>
      <c r="M58" s="224"/>
      <c r="N58" s="225"/>
      <c r="O58" s="216" t="str">
        <f t="shared" si="1"/>
        <v>✓</v>
      </c>
      <c r="P58" s="226" t="str">
        <f t="shared" si="2"/>
        <v>#VALUE!</v>
      </c>
      <c r="Q58" s="227" t="str">
        <f t="shared" si="3"/>
        <v>#VALUE!</v>
      </c>
      <c r="R58" s="228" t="str">
        <f t="shared" si="4"/>
        <v>#VALUE!</v>
      </c>
      <c r="S58" s="220" t="str">
        <f t="shared" si="5"/>
        <v>#VALUE!</v>
      </c>
      <c r="T58" s="220" t="str">
        <f t="shared" si="6"/>
        <v>#VALUE!</v>
      </c>
      <c r="U58" s="221">
        <f t="shared" si="7"/>
        <v>0</v>
      </c>
      <c r="V58" s="229" t="str">
        <f>ifs($N58="",VLOOKUP($B58&amp;$E58,'VISIT DATA'!$A$2:$J100,7,FALSE), $N58="SWAB","OUTSA-RW",$N58="SWQU","OUTSA-SaQu", AND($L58="X",$M58="X",$N58="QUEST"),"OUT-UAQPre",$N58="QUEST","OUT-UAQ", $N58="Walk in","ColUATele")</f>
        <v>UA</v>
      </c>
      <c r="W58" s="24" t="str">
        <f t="shared" si="8"/>
        <v>UA : Urine Analysis In House</v>
      </c>
      <c r="X58" s="222" t="str">
        <f t="shared" si="9"/>
        <v>UA : Urine Analysis In House</v>
      </c>
      <c r="Y58" s="222" t="str">
        <f t="shared" si="10"/>
        <v>MATCH</v>
      </c>
      <c r="Z58" s="224" t="str">
        <f t="shared" si="11"/>
        <v> </v>
      </c>
      <c r="AA58" s="244"/>
    </row>
    <row r="59">
      <c r="A59" s="214" t="str">
        <f>IFS($B59=FALSE,"",$B59,VLOOKUP($B59,'PATIENT DATA (072721)'!A:C, 2, 0))</f>
        <v>CARRASCO, EDWARD</v>
      </c>
      <c r="B59" s="215">
        <v>17913.0</v>
      </c>
      <c r="C59" s="230" t="str">
        <f>IF(COUNTIF('PATIENT DATA (072721)'!A:A, B59)=0, "X","✓")</f>
        <v>✓</v>
      </c>
      <c r="D59" s="226">
        <f>IFS($B59=FALSE,"",$B59,VLOOKUP($B59,'PATIENT DATA (072721)'!A:C, 3, 0))</f>
        <v>15556</v>
      </c>
      <c r="E59" s="218">
        <v>44581.0</v>
      </c>
      <c r="F59" s="219">
        <f>ifs($B59="","",$B59, VLOOKUP($B59&amp;$E59, 'VISIT DATA'!A:O,3,0))</f>
        <v>0.59375</v>
      </c>
      <c r="G59" s="231" t="s">
        <v>6328</v>
      </c>
      <c r="H59" s="221" t="s">
        <v>13</v>
      </c>
      <c r="I59" s="262" t="str">
        <f>VLOOKUP($B59&amp;$E59,'VISIT DATA'!A:J, 9, FALSE)</f>
        <v>THOMAS</v>
      </c>
      <c r="J59" s="223" t="str">
        <f>VLOOKUP(B59&amp;E59,'VISIT DATA'!A:N,10,FALSE)</f>
        <v>WELLMED - AARP MEDICARE COMPLETE</v>
      </c>
      <c r="K59" s="224" t="s">
        <v>6242</v>
      </c>
      <c r="L59" s="224"/>
      <c r="M59" s="224"/>
      <c r="N59" s="225"/>
      <c r="O59" s="216" t="str">
        <f t="shared" si="1"/>
        <v>✓</v>
      </c>
      <c r="P59" s="226" t="str">
        <f t="shared" si="2"/>
        <v>X</v>
      </c>
      <c r="Q59" s="227" t="str">
        <f t="shared" si="3"/>
        <v>#VALUE!</v>
      </c>
      <c r="R59" s="228" t="str">
        <f t="shared" si="4"/>
        <v>#VALUE!</v>
      </c>
      <c r="S59" s="220" t="str">
        <f t="shared" si="5"/>
        <v>#VALUE!</v>
      </c>
      <c r="T59" s="220" t="str">
        <f t="shared" si="6"/>
        <v>#VALUE!</v>
      </c>
      <c r="U59" s="221">
        <f t="shared" si="7"/>
        <v>1</v>
      </c>
      <c r="V59" s="229" t="str">
        <f>ifs($N59="",VLOOKUP($B59&amp;$E59,'VISIT DATA'!$A$2:$J100,7,FALSE), $N59="SWAB","OUTSA-RW",$N59="SWQU","OUTSA-SaQu", AND($L59="X",$M59="X",$N59="QUEST"),"OUT-UAQPre",$N59="QUEST","OUT-UAQ", $N59="Walk in","ColUATele")</f>
        <v>OUTUA-NWRW</v>
      </c>
      <c r="W59" s="24" t="str">
        <f t="shared" si="8"/>
        <v>OUTUA-NWRW : OUT UA New Redwood</v>
      </c>
      <c r="X59" s="222" t="str">
        <f t="shared" si="9"/>
        <v>OUTUA-NWRW : OUT UA New Redwood</v>
      </c>
      <c r="Y59" s="222" t="str">
        <f t="shared" si="10"/>
        <v>MATCH</v>
      </c>
      <c r="Z59" s="224" t="str">
        <f t="shared" si="11"/>
        <v> </v>
      </c>
      <c r="AA59" s="244"/>
    </row>
    <row r="60">
      <c r="A60" s="214" t="str">
        <f>IFS($B60=FALSE,"",$B60,VLOOKUP($B60,'PATIENT DATA (072721)'!A:C, 2, 0))</f>
        <v>SANDOVAL, BLANCA</v>
      </c>
      <c r="B60" s="215">
        <v>10076.0</v>
      </c>
      <c r="C60" s="230" t="str">
        <f>IF(COUNTIF('PATIENT DATA (072721)'!A:A, B60)=0, "X","✓")</f>
        <v>✓</v>
      </c>
      <c r="D60" s="226">
        <f>IFS($B60=FALSE,"",$B60,VLOOKUP($B60,'PATIENT DATA (072721)'!A:C, 3, 0))</f>
        <v>27726</v>
      </c>
      <c r="E60" s="218">
        <v>44581.0</v>
      </c>
      <c r="F60" s="219">
        <f>ifs($B60="","",$B60, VLOOKUP($B60&amp;$E60, 'VISIT DATA'!A:O,3,0))</f>
        <v>0.59375</v>
      </c>
      <c r="G60" s="231" t="s">
        <v>6323</v>
      </c>
      <c r="H60" s="221" t="s">
        <v>13</v>
      </c>
      <c r="I60" s="262" t="str">
        <f>VLOOKUP($B60&amp;$E60,'VISIT DATA'!A:J, 9, FALSE)</f>
        <v>LOPEZ</v>
      </c>
      <c r="J60" s="223" t="str">
        <f>VLOOKUP(B60&amp;E60,'VISIT DATA'!A:N,10,FALSE)</f>
        <v>BCBS FEDERAL</v>
      </c>
      <c r="K60" s="225"/>
      <c r="L60" s="224" t="s">
        <v>6242</v>
      </c>
      <c r="M60" s="224"/>
      <c r="N60" s="225"/>
      <c r="O60" s="216" t="str">
        <f t="shared" si="1"/>
        <v>✓</v>
      </c>
      <c r="P60" s="226" t="str">
        <f t="shared" si="2"/>
        <v>#VALUE!</v>
      </c>
      <c r="Q60" s="227" t="str">
        <f t="shared" si="3"/>
        <v>#VALUE!</v>
      </c>
      <c r="R60" s="228" t="str">
        <f t="shared" si="4"/>
        <v>#VALUE!</v>
      </c>
      <c r="S60" s="220" t="str">
        <f t="shared" si="5"/>
        <v>#VALUE!</v>
      </c>
      <c r="T60" s="220" t="str">
        <f t="shared" si="6"/>
        <v>#VALUE!</v>
      </c>
      <c r="U60" s="221">
        <f t="shared" si="7"/>
        <v>0</v>
      </c>
      <c r="V60" s="229" t="str">
        <f>ifs($N60="",VLOOKUP($B60&amp;$E60,'VISIT DATA'!$A$2:$J100,7,FALSE), $N60="SWAB","OUTSA-RW",$N60="SWQU","OUTSA-SaQu", AND($L60="X",$M60="X",$N60="QUEST"),"OUT-UAQPre",$N60="QUEST","OUT-UAQ", $N60="Walk in","ColUATele")</f>
        <v>UA</v>
      </c>
      <c r="W60" s="24" t="str">
        <f t="shared" si="8"/>
        <v>UA : Urine Analysis In House</v>
      </c>
      <c r="X60" s="222" t="str">
        <f t="shared" si="9"/>
        <v>UA : Urine Analysis In House</v>
      </c>
      <c r="Y60" s="222" t="str">
        <f t="shared" si="10"/>
        <v>MATCH</v>
      </c>
      <c r="Z60" s="224" t="str">
        <f t="shared" si="11"/>
        <v> </v>
      </c>
      <c r="AA60" s="244"/>
    </row>
    <row r="61">
      <c r="A61" s="214" t="str">
        <f>IFS($B61=FALSE,"",$B61,VLOOKUP($B61,'PATIENT DATA (072721)'!A:C, 2, 0))</f>
        <v>CARRILLO, OFELIA</v>
      </c>
      <c r="B61" s="215">
        <v>16833.0</v>
      </c>
      <c r="C61" s="230" t="str">
        <f>IF(COUNTIF('PATIENT DATA (072721)'!A:A, B61)=0, "X","✓")</f>
        <v>✓</v>
      </c>
      <c r="D61" s="226">
        <f>IFS($B61=FALSE,"",$B61,VLOOKUP($B61,'PATIENT DATA (072721)'!A:C, 3, 0))</f>
        <v>17920</v>
      </c>
      <c r="E61" s="218">
        <v>44581.0</v>
      </c>
      <c r="F61" s="219">
        <f>ifs($B61="","",$B61, VLOOKUP($B61&amp;$E61, 'VISIT DATA'!A:O,3,0))</f>
        <v>0.6041666667</v>
      </c>
      <c r="G61" s="231" t="s">
        <v>6323</v>
      </c>
      <c r="H61" s="221" t="s">
        <v>13</v>
      </c>
      <c r="I61" s="262" t="str">
        <f>VLOOKUP($B61&amp;$E61,'VISIT DATA'!A:J, 9, FALSE)</f>
        <v>THOMAS</v>
      </c>
      <c r="J61" s="223" t="str">
        <f>VLOOKUP(B61&amp;E61,'VISIT DATA'!A:N,10,FALSE)</f>
        <v>WELLMED - UHC DUAL COMPLETE HMO SNP</v>
      </c>
      <c r="K61" s="225"/>
      <c r="L61" s="224" t="s">
        <v>6242</v>
      </c>
      <c r="M61" s="224"/>
      <c r="N61" s="225"/>
      <c r="O61" s="216" t="str">
        <f t="shared" si="1"/>
        <v>✓</v>
      </c>
      <c r="P61" s="226" t="str">
        <f t="shared" si="2"/>
        <v>X</v>
      </c>
      <c r="Q61" s="227" t="str">
        <f t="shared" si="3"/>
        <v>#VALUE!</v>
      </c>
      <c r="R61" s="228" t="str">
        <f t="shared" si="4"/>
        <v>#VALUE!</v>
      </c>
      <c r="S61" s="220" t="str">
        <f t="shared" si="5"/>
        <v>#VALUE!</v>
      </c>
      <c r="T61" s="220" t="str">
        <f t="shared" si="6"/>
        <v>#VALUE!</v>
      </c>
      <c r="U61" s="221">
        <f t="shared" si="7"/>
        <v>1</v>
      </c>
      <c r="V61" s="229" t="str">
        <f>ifs($N61="",VLOOKUP($B61&amp;$E61,'VISIT DATA'!$A$2:$J100,7,FALSE), $N61="SWAB","OUTSA-RW",$N61="SWQU","OUTSA-SaQu", AND($L61="X",$M61="X",$N61="QUEST"),"OUT-UAQPre",$N61="QUEST","OUT-UAQ", $N61="Walk in","ColUATele")</f>
        <v>OUTUA-FURW</v>
      </c>
      <c r="W61" s="24" t="str">
        <f t="shared" si="8"/>
        <v>OUTUA-FURW : OUT UA FU Redwood</v>
      </c>
      <c r="X61" s="222" t="str">
        <f t="shared" si="9"/>
        <v>OUTUA-FURW : OUT UA FU Redwood</v>
      </c>
      <c r="Y61" s="222" t="str">
        <f t="shared" si="10"/>
        <v>MATCH</v>
      </c>
      <c r="Z61" s="224" t="str">
        <f t="shared" si="11"/>
        <v> </v>
      </c>
      <c r="AA61" s="244"/>
    </row>
    <row r="62">
      <c r="A62" s="214" t="str">
        <f>IFS($B62=FALSE,"",$B62,VLOOKUP($B62,'PATIENT DATA (072721)'!A:C, 2, 0))</f>
        <v>HERNANDEZ, ARLENE</v>
      </c>
      <c r="B62" s="215">
        <v>14152.0</v>
      </c>
      <c r="C62" s="230" t="str">
        <f>IF(COUNTIF('PATIENT DATA (072721)'!A:A, B62)=0, "X","✓")</f>
        <v>✓</v>
      </c>
      <c r="D62" s="226">
        <f>IFS($B62=FALSE,"",$B62,VLOOKUP($B62,'PATIENT DATA (072721)'!A:C, 3, 0))</f>
        <v>25368</v>
      </c>
      <c r="E62" s="218">
        <v>44581.0</v>
      </c>
      <c r="F62" s="219">
        <f>ifs($B62="","",$B62, VLOOKUP($B62&amp;$E62, 'VISIT DATA'!A:O,3,0))</f>
        <v>0.6041666667</v>
      </c>
      <c r="G62" s="231" t="s">
        <v>6323</v>
      </c>
      <c r="H62" s="221" t="s">
        <v>13</v>
      </c>
      <c r="I62" s="262" t="str">
        <f>VLOOKUP($B62&amp;$E62,'VISIT DATA'!A:J, 9, FALSE)</f>
        <v>LOPEZ</v>
      </c>
      <c r="J62" s="223" t="str">
        <f>VLOOKUP(B62&amp;E62,'VISIT DATA'!A:N,10,FALSE)</f>
        <v>AMERIGROUP</v>
      </c>
      <c r="K62" s="225"/>
      <c r="L62" s="224" t="s">
        <v>6242</v>
      </c>
      <c r="M62" s="224" t="s">
        <v>6242</v>
      </c>
      <c r="N62" s="225"/>
      <c r="O62" s="216" t="str">
        <f t="shared" si="1"/>
        <v>✓</v>
      </c>
      <c r="P62" s="226" t="str">
        <f t="shared" si="2"/>
        <v>#VALUE!</v>
      </c>
      <c r="Q62" s="227" t="str">
        <f t="shared" si="3"/>
        <v>#VALUE!</v>
      </c>
      <c r="R62" s="228" t="str">
        <f t="shared" si="4"/>
        <v>#VALUE!</v>
      </c>
      <c r="S62" s="220" t="str">
        <f t="shared" si="5"/>
        <v>#VALUE!</v>
      </c>
      <c r="T62" s="220" t="str">
        <f t="shared" si="6"/>
        <v>#VALUE!</v>
      </c>
      <c r="U62" s="221">
        <f t="shared" si="7"/>
        <v>0</v>
      </c>
      <c r="V62" s="229" t="str">
        <f>ifs($N62="",VLOOKUP($B62&amp;$E62,'VISIT DATA'!$A$2:$J100,7,FALSE), $N62="SWAB","OUTSA-RW",$N62="SWQU","OUTSA-SaQu", AND($L62="X",$M62="X",$N62="QUEST"),"OUT-UAQPre",$N62="QUEST","OUT-UAQ", $N62="Walk in","ColUATele")</f>
        <v>UA-Prelim</v>
      </c>
      <c r="W62" s="24" t="str">
        <f t="shared" si="8"/>
        <v>UA-Prelim : Preliminary UA Test</v>
      </c>
      <c r="X62" s="222" t="str">
        <f t="shared" si="9"/>
        <v>UA-Prelim : Preliminary UA Test</v>
      </c>
      <c r="Y62" s="222" t="str">
        <f t="shared" si="10"/>
        <v>MATCH</v>
      </c>
      <c r="Z62" s="224" t="str">
        <f t="shared" si="11"/>
        <v> </v>
      </c>
      <c r="AA62" s="244"/>
    </row>
    <row r="63">
      <c r="A63" s="214" t="str">
        <f>IFS($B63=FALSE,"",$B63,VLOOKUP($B63,'PATIENT DATA (072721)'!A:C, 2, 0))</f>
        <v>SANCHEZ, RADAMES</v>
      </c>
      <c r="B63" s="215">
        <v>17952.0</v>
      </c>
      <c r="C63" s="230" t="str">
        <f>IF(COUNTIF('PATIENT DATA (072721)'!A:A, B63)=0, "X","✓")</f>
        <v>✓</v>
      </c>
      <c r="D63" s="226">
        <f>IFS($B63=FALSE,"",$B63,VLOOKUP($B63,'PATIENT DATA (072721)'!A:C, 3, 0))</f>
        <v>20021</v>
      </c>
      <c r="E63" s="218">
        <v>44581.0</v>
      </c>
      <c r="F63" s="219">
        <f>ifs($B63="","",$B63, VLOOKUP($B63&amp;$E63, 'VISIT DATA'!A:O,3,0))</f>
        <v>0.6145833333</v>
      </c>
      <c r="G63" s="231" t="s">
        <v>6328</v>
      </c>
      <c r="H63" s="221" t="s">
        <v>13</v>
      </c>
      <c r="I63" s="262" t="str">
        <f>VLOOKUP($B63&amp;$E63,'VISIT DATA'!A:J, 9, FALSE)</f>
        <v>THOMAS</v>
      </c>
      <c r="J63" s="223" t="str">
        <f>VLOOKUP(B63&amp;E63,'VISIT DATA'!A:N,10,FALSE)</f>
        <v>MEDICARE TEXAS</v>
      </c>
      <c r="K63" s="224" t="s">
        <v>6242</v>
      </c>
      <c r="L63" s="224"/>
      <c r="M63" s="224"/>
      <c r="N63" s="225"/>
      <c r="O63" s="216" t="str">
        <f t="shared" si="1"/>
        <v>✓</v>
      </c>
      <c r="P63" s="226" t="str">
        <f t="shared" si="2"/>
        <v>#VALUE!</v>
      </c>
      <c r="Q63" s="227" t="str">
        <f t="shared" si="3"/>
        <v>#VALUE!</v>
      </c>
      <c r="R63" s="228" t="str">
        <f t="shared" si="4"/>
        <v>#VALUE!</v>
      </c>
      <c r="S63" s="220" t="str">
        <f t="shared" si="5"/>
        <v>#VALUE!</v>
      </c>
      <c r="T63" s="220" t="str">
        <f t="shared" si="6"/>
        <v>#VALUE!</v>
      </c>
      <c r="U63" s="221">
        <f t="shared" si="7"/>
        <v>0</v>
      </c>
      <c r="V63" s="229" t="str">
        <f>ifs($N63="",VLOOKUP($B63&amp;$E63,'VISIT DATA'!$A$2:$J100,7,FALSE), $N63="SWAB","OUTSA-RW",$N63="SWQU","OUTSA-SaQu", AND($L63="X",$M63="X",$N63="QUEST"),"OUT-UAQPre",$N63="QUEST","OUT-UAQ", $N63="Walk in","ColUATele")</f>
        <v>UA-NWPT</v>
      </c>
      <c r="W63" s="24" t="str">
        <f t="shared" si="8"/>
        <v>UA-NWPT : UA New Patient</v>
      </c>
      <c r="X63" s="222" t="str">
        <f t="shared" si="9"/>
        <v>UA-NWPT : UA New Patient</v>
      </c>
      <c r="Y63" s="222" t="str">
        <f t="shared" si="10"/>
        <v>MATCH</v>
      </c>
      <c r="Z63" s="224" t="str">
        <f t="shared" si="11"/>
        <v> </v>
      </c>
      <c r="AA63" s="244"/>
    </row>
    <row r="64">
      <c r="A64" s="214" t="str">
        <f>IFS($B64=FALSE,"",$B64,VLOOKUP($B64,'PATIENT DATA (072721)'!A:C, 2, 0))</f>
        <v>ALCANTAR, JUANA</v>
      </c>
      <c r="B64" s="215">
        <v>13160.0</v>
      </c>
      <c r="C64" s="230" t="str">
        <f>IF(COUNTIF('PATIENT DATA (072721)'!A:A, B64)=0, "X","✓")</f>
        <v>✓</v>
      </c>
      <c r="D64" s="226">
        <f>IFS($B64=FALSE,"",$B64,VLOOKUP($B64,'PATIENT DATA (072721)'!A:C, 3, 0))</f>
        <v>16977</v>
      </c>
      <c r="E64" s="218">
        <v>44581.0</v>
      </c>
      <c r="F64" s="219">
        <f>ifs($B64="","",$B64, VLOOKUP($B64&amp;$E64, 'VISIT DATA'!A:O,3,0))</f>
        <v>0.625</v>
      </c>
      <c r="G64" s="231" t="s">
        <v>6323</v>
      </c>
      <c r="H64" s="221" t="s">
        <v>13</v>
      </c>
      <c r="I64" s="262" t="str">
        <f>VLOOKUP($B64&amp;$E64,'VISIT DATA'!A:J, 9, FALSE)</f>
        <v>LOPEZ</v>
      </c>
      <c r="J64" s="223" t="str">
        <f>VLOOKUP(B64&amp;E64,'VISIT DATA'!A:N,10,FALSE)</f>
        <v>WELLMED - UHC CHRONIC COMPLETE HMO C-SNP</v>
      </c>
      <c r="K64" s="225"/>
      <c r="L64" s="224" t="s">
        <v>6242</v>
      </c>
      <c r="M64" s="224" t="s">
        <v>6242</v>
      </c>
      <c r="N64" s="225"/>
      <c r="O64" s="216" t="str">
        <f t="shared" si="1"/>
        <v>✓</v>
      </c>
      <c r="P64" s="226" t="str">
        <f t="shared" si="2"/>
        <v>X</v>
      </c>
      <c r="Q64" s="227" t="str">
        <f t="shared" si="3"/>
        <v>#VALUE!</v>
      </c>
      <c r="R64" s="228" t="str">
        <f t="shared" si="4"/>
        <v>#VALUE!</v>
      </c>
      <c r="S64" s="220" t="str">
        <f t="shared" si="5"/>
        <v>#VALUE!</v>
      </c>
      <c r="T64" s="220" t="str">
        <f t="shared" si="6"/>
        <v>#VALUE!</v>
      </c>
      <c r="U64" s="221">
        <f t="shared" si="7"/>
        <v>1</v>
      </c>
      <c r="V64" s="229" t="str">
        <f>ifs($N64="",VLOOKUP($B64&amp;$E64,'VISIT DATA'!$A$2:$J100,7,FALSE), $N64="SWAB","OUTSA-RW",$N64="SWQU","OUTSA-SaQu", AND($L64="X",$M64="X",$N64="QUEST"),"OUT-UAQPre",$N64="QUEST","OUT-UAQ", $N64="Walk in","ColUATele")</f>
        <v>OUTUA-PrRW</v>
      </c>
      <c r="W64" s="24" t="str">
        <f t="shared" si="8"/>
        <v>OUTUA-PrRW : OUT UA Prelimin Redwood</v>
      </c>
      <c r="X64" s="222" t="str">
        <f t="shared" si="9"/>
        <v>OUTUA-PrRW : OUT UA Prelimin Redwood</v>
      </c>
      <c r="Y64" s="222" t="str">
        <f t="shared" si="10"/>
        <v>MATCH</v>
      </c>
      <c r="Z64" s="224" t="str">
        <f t="shared" si="11"/>
        <v> </v>
      </c>
      <c r="AA64" s="244"/>
    </row>
    <row r="65">
      <c r="A65" s="214" t="str">
        <f>IFS($B65=FALSE,"",$B65,VLOOKUP($B65,'PATIENT DATA (072721)'!A:C, 2, 0))</f>
        <v>COLEMAN, POLLY</v>
      </c>
      <c r="B65" s="215">
        <v>15690.0</v>
      </c>
      <c r="C65" s="230" t="str">
        <f>IF(COUNTIF('PATIENT DATA (072721)'!A:A, B65)=0, "X","✓")</f>
        <v>✓</v>
      </c>
      <c r="D65" s="226">
        <f>IFS($B65=FALSE,"",$B65,VLOOKUP($B65,'PATIENT DATA (072721)'!A:C, 3, 0))</f>
        <v>17162</v>
      </c>
      <c r="E65" s="218">
        <v>44581.0</v>
      </c>
      <c r="F65" s="219">
        <f>ifs($B65="","",$B65, VLOOKUP($B65&amp;$E65, 'VISIT DATA'!A:O,3,0))</f>
        <v>0.625</v>
      </c>
      <c r="G65" s="231" t="s">
        <v>6323</v>
      </c>
      <c r="H65" s="221" t="s">
        <v>13</v>
      </c>
      <c r="I65" s="262" t="str">
        <f>VLOOKUP($B65&amp;$E65,'VISIT DATA'!A:J, 9, FALSE)</f>
        <v>THOMAS</v>
      </c>
      <c r="J65" s="223" t="str">
        <f>VLOOKUP(B65&amp;E65,'VISIT DATA'!A:N,10,FALSE)</f>
        <v>MEDICARE TEXAS</v>
      </c>
      <c r="K65" s="225"/>
      <c r="L65" s="224" t="s">
        <v>6242</v>
      </c>
      <c r="M65" s="224" t="s">
        <v>6242</v>
      </c>
      <c r="N65" s="225"/>
      <c r="O65" s="216" t="str">
        <f t="shared" si="1"/>
        <v>✓</v>
      </c>
      <c r="P65" s="226" t="str">
        <f t="shared" si="2"/>
        <v>#VALUE!</v>
      </c>
      <c r="Q65" s="227" t="str">
        <f t="shared" si="3"/>
        <v>#VALUE!</v>
      </c>
      <c r="R65" s="228" t="str">
        <f t="shared" si="4"/>
        <v>#VALUE!</v>
      </c>
      <c r="S65" s="220" t="str">
        <f t="shared" si="5"/>
        <v>#VALUE!</v>
      </c>
      <c r="T65" s="220" t="str">
        <f t="shared" si="6"/>
        <v>#VALUE!</v>
      </c>
      <c r="U65" s="221">
        <f t="shared" si="7"/>
        <v>0</v>
      </c>
      <c r="V65" s="229" t="str">
        <f>ifs($N65="",VLOOKUP($B65&amp;$E65,'VISIT DATA'!$A$2:$J100,7,FALSE), $N65="SWAB","OUTSA-RW",$N65="SWQU","OUTSA-SaQu", AND($L65="X",$M65="X",$N65="QUEST"),"OUT-UAQPre",$N65="QUEST","OUT-UAQ", $N65="Walk in","ColUATele")</f>
        <v>UA-Prelim</v>
      </c>
      <c r="W65" s="24" t="str">
        <f t="shared" si="8"/>
        <v>UA-Prelim : Preliminary UA Test</v>
      </c>
      <c r="X65" s="222" t="str">
        <f t="shared" si="9"/>
        <v>UA-Prelim : Preliminary UA Test</v>
      </c>
      <c r="Y65" s="222" t="str">
        <f t="shared" si="10"/>
        <v>MATCH</v>
      </c>
      <c r="Z65" s="224" t="str">
        <f t="shared" si="11"/>
        <v> </v>
      </c>
      <c r="AA65" s="244"/>
    </row>
    <row r="66">
      <c r="A66" s="214" t="str">
        <f>IFS($B66=FALSE,"",$B66,VLOOKUP($B66,'PATIENT DATA (072721)'!A:C, 2, 0))</f>
        <v>CALHOUN, GWYNDOLYN L</v>
      </c>
      <c r="B66" s="215">
        <v>15741.0</v>
      </c>
      <c r="C66" s="230" t="str">
        <f>IF(COUNTIF('PATIENT DATA (072721)'!A:A, B66)=0, "X","✓")</f>
        <v>✓</v>
      </c>
      <c r="D66" s="226">
        <f>IFS($B66=FALSE,"",$B66,VLOOKUP($B66,'PATIENT DATA (072721)'!A:C, 3, 0))</f>
        <v>17556</v>
      </c>
      <c r="E66" s="218">
        <v>44581.0</v>
      </c>
      <c r="F66" s="219">
        <f>ifs($B66="","",$B66, VLOOKUP($B66&amp;$E66, 'VISIT DATA'!A:O,3,0))</f>
        <v>0.6458333333</v>
      </c>
      <c r="G66" s="231" t="s">
        <v>6323</v>
      </c>
      <c r="H66" s="221" t="s">
        <v>12</v>
      </c>
      <c r="I66" s="262" t="str">
        <f>VLOOKUP($B66&amp;$E66,'VISIT DATA'!A:J, 9, FALSE)</f>
        <v>THOMAS</v>
      </c>
      <c r="J66" s="223" t="str">
        <f>VLOOKUP(B66&amp;E66,'VISIT DATA'!A:N,10,FALSE)</f>
        <v>MEDICARE TEXAS</v>
      </c>
      <c r="K66" s="225"/>
      <c r="L66" s="224" t="s">
        <v>6242</v>
      </c>
      <c r="M66" s="224"/>
      <c r="N66" s="225"/>
      <c r="O66" s="216" t="str">
        <f t="shared" si="1"/>
        <v>✓</v>
      </c>
      <c r="P66" s="226" t="str">
        <f t="shared" si="2"/>
        <v>#VALUE!</v>
      </c>
      <c r="Q66" s="227" t="str">
        <f t="shared" si="3"/>
        <v>#VALUE!</v>
      </c>
      <c r="R66" s="228" t="str">
        <f t="shared" si="4"/>
        <v>#VALUE!</v>
      </c>
      <c r="S66" s="220" t="str">
        <f t="shared" si="5"/>
        <v>#VALUE!</v>
      </c>
      <c r="T66" s="220" t="str">
        <f t="shared" si="6"/>
        <v>#VALUE!</v>
      </c>
      <c r="U66" s="221">
        <f t="shared" si="7"/>
        <v>0</v>
      </c>
      <c r="V66" s="229" t="str">
        <f>ifs($N66="",VLOOKUP($B66&amp;$E66,'VISIT DATA'!$A$2:$J100,7,FALSE), $N66="SWAB","OUTSA-RW",$N66="SWQU","OUTSA-SaQu", AND($L66="X",$M66="X",$N66="QUEST"),"OUT-UAQPre",$N66="QUEST","OUT-UAQ", $N66="Walk in","ColUATele")</f>
        <v>UA</v>
      </c>
      <c r="W66" s="24" t="str">
        <f t="shared" si="8"/>
        <v>UA : Urine Analysis In House</v>
      </c>
      <c r="X66" s="222" t="str">
        <f t="shared" si="9"/>
        <v>UA : Urine Analysis In House</v>
      </c>
      <c r="Y66" s="222" t="str">
        <f t="shared" si="10"/>
        <v>MATCH</v>
      </c>
      <c r="Z66" s="224" t="str">
        <f t="shared" si="11"/>
        <v> </v>
      </c>
      <c r="AA66" s="244"/>
    </row>
    <row r="67">
      <c r="A67" s="214" t="str">
        <f>IFS($B67=FALSE,"",$B67,VLOOKUP($B67,'PATIENT DATA (072721)'!A:C, 2, 0))</f>
        <v>ERSKINE, JACQUELINE</v>
      </c>
      <c r="B67" s="215">
        <v>9957.0</v>
      </c>
      <c r="C67" s="230" t="str">
        <f>IF(COUNTIF('PATIENT DATA (072721)'!A:A, B67)=0, "X","✓")</f>
        <v>✓</v>
      </c>
      <c r="D67" s="226">
        <f>IFS($B67=FALSE,"",$B67,VLOOKUP($B67,'PATIENT DATA (072721)'!A:C, 3, 0))</f>
        <v>18709</v>
      </c>
      <c r="E67" s="218">
        <v>44581.0</v>
      </c>
      <c r="F67" s="219">
        <f>ifs($B67="","",$B67, VLOOKUP($B67&amp;$E67, 'VISIT DATA'!A:O,3,0))</f>
        <v>0.6354166667</v>
      </c>
      <c r="G67" s="231" t="s">
        <v>6323</v>
      </c>
      <c r="H67" s="221" t="s">
        <v>15</v>
      </c>
      <c r="I67" s="262" t="str">
        <f>VLOOKUP($B67&amp;$E67,'VISIT DATA'!A:J, 9, FALSE)</f>
        <v>MARTINEZ</v>
      </c>
      <c r="J67" s="223" t="str">
        <f>VLOOKUP(B67&amp;E67,'VISIT DATA'!A:N,10,FALSE)</f>
        <v>MEDICARE TEXAS</v>
      </c>
      <c r="K67" s="225"/>
      <c r="L67" s="224" t="s">
        <v>6242</v>
      </c>
      <c r="M67" s="224"/>
      <c r="N67" s="225"/>
      <c r="O67" s="216" t="str">
        <f t="shared" si="1"/>
        <v>✓</v>
      </c>
      <c r="P67" s="226" t="str">
        <f t="shared" si="2"/>
        <v>#VALUE!</v>
      </c>
      <c r="Q67" s="227" t="str">
        <f t="shared" si="3"/>
        <v>#VALUE!</v>
      </c>
      <c r="R67" s="228" t="str">
        <f t="shared" si="4"/>
        <v>#VALUE!</v>
      </c>
      <c r="S67" s="220" t="str">
        <f t="shared" si="5"/>
        <v>#VALUE!</v>
      </c>
      <c r="T67" s="220" t="str">
        <f t="shared" si="6"/>
        <v>#VALUE!</v>
      </c>
      <c r="U67" s="221">
        <f t="shared" si="7"/>
        <v>0</v>
      </c>
      <c r="V67" s="229" t="str">
        <f>ifs($N67="",VLOOKUP($B67&amp;$E67,'VISIT DATA'!$A$2:$J100,7,FALSE), $N67="SWAB","OUTSA-RW",$N67="SWQU","OUTSA-SaQu", AND($L67="X",$M67="X",$N67="QUEST"),"OUT-UAQPre",$N67="QUEST","OUT-UAQ", $N67="Walk in","ColUATele")</f>
        <v>UA</v>
      </c>
      <c r="W67" s="24" t="str">
        <f t="shared" si="8"/>
        <v>UA : Urine Analysis In House</v>
      </c>
      <c r="X67" s="222" t="str">
        <f t="shared" si="9"/>
        <v>UA : Urine Analysis In House</v>
      </c>
      <c r="Y67" s="222" t="str">
        <f t="shared" si="10"/>
        <v>MATCH</v>
      </c>
      <c r="Z67" s="224" t="str">
        <f t="shared" si="11"/>
        <v> </v>
      </c>
      <c r="AA67" s="244"/>
    </row>
    <row r="68">
      <c r="A68" s="214" t="str">
        <f>IFS($B68=FALSE,"",$B68,VLOOKUP($B68,'PATIENT DATA (072721)'!A:C, 2, 0))</f>
        <v>RIOS, JAIME</v>
      </c>
      <c r="B68" s="215">
        <v>9407.0</v>
      </c>
      <c r="C68" s="230" t="str">
        <f>IF(COUNTIF('PATIENT DATA (072721)'!A:A, B68)=0, "X","✓")</f>
        <v>✓</v>
      </c>
      <c r="D68" s="226">
        <f>IFS($B68=FALSE,"",$B68,VLOOKUP($B68,'PATIENT DATA (072721)'!A:C, 3, 0))</f>
        <v>20817</v>
      </c>
      <c r="E68" s="218">
        <v>44581.0</v>
      </c>
      <c r="F68" s="219">
        <f>ifs($B68="","",$B68, VLOOKUP($B68&amp;$E68, 'VISIT DATA'!A:O,3,0))</f>
        <v>0.6458333333</v>
      </c>
      <c r="G68" s="231" t="s">
        <v>6328</v>
      </c>
      <c r="H68" s="221" t="s">
        <v>15</v>
      </c>
      <c r="I68" s="262" t="str">
        <f>VLOOKUP($B68&amp;$E68,'VISIT DATA'!A:J, 9, FALSE)</f>
        <v>TORRES</v>
      </c>
      <c r="J68" s="223" t="str">
        <f>VLOOKUP(B68&amp;E68,'VISIT DATA'!A:N,10,FALSE)</f>
        <v>MOLINA DUAL COMPLETE TEXAS</v>
      </c>
      <c r="K68" s="225"/>
      <c r="L68" s="224" t="s">
        <v>6242</v>
      </c>
      <c r="M68" s="224" t="s">
        <v>6242</v>
      </c>
      <c r="N68" s="225"/>
      <c r="O68" s="216" t="str">
        <f t="shared" si="1"/>
        <v>✓</v>
      </c>
      <c r="P68" s="226" t="str">
        <f t="shared" si="2"/>
        <v>#VALUE!</v>
      </c>
      <c r="Q68" s="227" t="str">
        <f t="shared" si="3"/>
        <v>X</v>
      </c>
      <c r="R68" s="228" t="str">
        <f t="shared" si="4"/>
        <v>#VALUE!</v>
      </c>
      <c r="S68" s="220" t="str">
        <f t="shared" si="5"/>
        <v>#VALUE!</v>
      </c>
      <c r="T68" s="220" t="str">
        <f t="shared" si="6"/>
        <v>#VALUE!</v>
      </c>
      <c r="U68" s="221">
        <f t="shared" si="7"/>
        <v>1</v>
      </c>
      <c r="V68" s="229" t="str">
        <f>ifs($N68="",VLOOKUP($B68&amp;$E68,'VISIT DATA'!$A$2:$J100,7,FALSE), $N68="SWAB","OUTSA-RW",$N68="SWQU","OUTSA-SaQu", AND($L68="X",$M68="X",$N68="QUEST"),"OUT-UAQPre",$N68="QUEST","OUT-UAQ", $N68="Walk in","ColUATele")</f>
        <v>OUTUA-PrRW</v>
      </c>
      <c r="W68" s="24" t="str">
        <f t="shared" si="8"/>
        <v>OUTUA-PrRW : OUT UA Prelimin Redwood</v>
      </c>
      <c r="X68" s="222" t="str">
        <f t="shared" si="9"/>
        <v>OUTUA-PrRW : OUT UA Prelimin Redwood</v>
      </c>
      <c r="Y68" s="222" t="str">
        <f t="shared" si="10"/>
        <v>MATCH</v>
      </c>
      <c r="Z68" s="224" t="str">
        <f t="shared" si="11"/>
        <v> </v>
      </c>
      <c r="AA68" s="244"/>
    </row>
    <row r="69">
      <c r="A69" s="214" t="str">
        <f>IFS($B69=FALSE,"",$B69,VLOOKUP($B69,'PATIENT DATA (072721)'!A:C, 2, 0))</f>
        <v/>
      </c>
      <c r="B69" s="215"/>
      <c r="C69" s="230" t="str">
        <f>IF(COUNTIF('PATIENT DATA (072721)'!A:A, B69)=0, "X","✓")</f>
        <v>X</v>
      </c>
      <c r="D69" s="226" t="str">
        <f>IFS($B69=FALSE,"",$B69,VLOOKUP($B69,'PATIENT DATA (072721)'!A:C, 3, 0))</f>
        <v/>
      </c>
      <c r="E69" s="218"/>
      <c r="F69" s="219" t="str">
        <f>ifs($B69="","",$B69, VLOOKUP($B69&amp;$E69, 'VISIT DATA'!A:O,3,0))</f>
        <v/>
      </c>
      <c r="G69" s="231"/>
      <c r="H69" s="221"/>
      <c r="I69" s="262" t="str">
        <f>VLOOKUP($B69&amp;$E69,'VISIT DATA'!A:J, 9, FALSE)</f>
        <v>#N/A</v>
      </c>
      <c r="J69" s="223" t="str">
        <f>VLOOKUP(B69&amp;E69,'VISIT DATA'!A:N,10,FALSE)</f>
        <v>#N/A</v>
      </c>
      <c r="K69" s="224"/>
      <c r="L69" s="224"/>
      <c r="M69" s="224"/>
      <c r="N69" s="225"/>
      <c r="O69" s="216" t="str">
        <f t="shared" si="1"/>
        <v>X</v>
      </c>
      <c r="P69" s="226" t="str">
        <f t="shared" si="2"/>
        <v>#N/A</v>
      </c>
      <c r="Q69" s="227" t="str">
        <f t="shared" si="3"/>
        <v>#N/A</v>
      </c>
      <c r="R69" s="228" t="str">
        <f t="shared" si="4"/>
        <v>#N/A</v>
      </c>
      <c r="S69" s="220" t="str">
        <f t="shared" si="5"/>
        <v>#N/A</v>
      </c>
      <c r="T69" s="220" t="str">
        <f t="shared" si="6"/>
        <v>#N/A</v>
      </c>
      <c r="U69" s="221">
        <f t="shared" si="7"/>
        <v>0</v>
      </c>
      <c r="V69" s="229" t="str">
        <f>ifs($N69="",VLOOKUP($B69&amp;$E69,'VISIT DATA'!$A$2:$J100,7,FALSE), $N69="SWAB","OUTSA-RW",$N69="SWQU","OUTSA-SaQu", AND($L69="X",$M69="X",$N69="QUEST"),"OUT-UAQPre",$N69="QUEST","OUT-UAQ", $N69="Walk in","ColUATele")</f>
        <v>#N/A</v>
      </c>
      <c r="W69" s="24" t="str">
        <f t="shared" si="8"/>
        <v>#N/A</v>
      </c>
      <c r="X69" s="222" t="str">
        <f t="shared" si="9"/>
        <v/>
      </c>
      <c r="Y69" s="222" t="str">
        <f t="shared" si="10"/>
        <v/>
      </c>
      <c r="Z69" s="224" t="str">
        <f t="shared" si="11"/>
        <v> </v>
      </c>
      <c r="AA69" s="244"/>
    </row>
    <row r="70">
      <c r="A70" s="214" t="str">
        <f>IFS($B70=FALSE,"",$B70,VLOOKUP($B70,'PATIENT DATA (072721)'!A:C, 2, 0))</f>
        <v/>
      </c>
      <c r="B70" s="215"/>
      <c r="C70" s="230" t="str">
        <f>IF(COUNTIF('PATIENT DATA (072721)'!A:A, B70)=0, "X","✓")</f>
        <v>X</v>
      </c>
      <c r="D70" s="226" t="str">
        <f>IFS($B70=FALSE,"",$B70,VLOOKUP($B70,'PATIENT DATA (072721)'!A:C, 3, 0))</f>
        <v/>
      </c>
      <c r="E70" s="218"/>
      <c r="F70" s="219" t="str">
        <f>ifs($B70="","",$B70, VLOOKUP($B70&amp;$E70, 'VISIT DATA'!A:O,3,0))</f>
        <v/>
      </c>
      <c r="G70" s="231"/>
      <c r="H70" s="221"/>
      <c r="I70" s="262" t="str">
        <f>VLOOKUP($B70&amp;$E70,'VISIT DATA'!A:J, 9, FALSE)</f>
        <v>#N/A</v>
      </c>
      <c r="J70" s="223" t="str">
        <f>VLOOKUP(B70&amp;E70,'VISIT DATA'!A:N,10,FALSE)</f>
        <v>#N/A</v>
      </c>
      <c r="K70" s="224"/>
      <c r="L70" s="224"/>
      <c r="M70" s="224"/>
      <c r="N70" s="225"/>
      <c r="O70" s="216" t="str">
        <f t="shared" si="1"/>
        <v>X</v>
      </c>
      <c r="P70" s="226" t="str">
        <f t="shared" si="2"/>
        <v>#N/A</v>
      </c>
      <c r="Q70" s="227" t="str">
        <f t="shared" si="3"/>
        <v>#N/A</v>
      </c>
      <c r="R70" s="228" t="str">
        <f t="shared" si="4"/>
        <v>#N/A</v>
      </c>
      <c r="S70" s="220" t="str">
        <f t="shared" si="5"/>
        <v>#N/A</v>
      </c>
      <c r="T70" s="220" t="str">
        <f t="shared" si="6"/>
        <v>#N/A</v>
      </c>
      <c r="U70" s="221">
        <f t="shared" si="7"/>
        <v>0</v>
      </c>
      <c r="V70" s="229" t="str">
        <f>ifs($N70="",VLOOKUP($B70&amp;$E70,'VISIT DATA'!$A$2:$J100,7,FALSE), $N70="SWAB","OUTSA-RW",$N70="SWQU","OUTSA-SaQu", AND($L70="X",$M70="X",$N70="QUEST"),"OUT-UAQPre",$N70="QUEST","OUT-UAQ", $N70="Walk in","ColUATele")</f>
        <v>#N/A</v>
      </c>
      <c r="W70" s="24" t="str">
        <f t="shared" si="8"/>
        <v>#N/A</v>
      </c>
      <c r="X70" s="222" t="str">
        <f t="shared" si="9"/>
        <v/>
      </c>
      <c r="Y70" s="222" t="str">
        <f t="shared" si="10"/>
        <v/>
      </c>
      <c r="Z70" s="224" t="str">
        <f t="shared" si="11"/>
        <v> </v>
      </c>
      <c r="AA70" s="244"/>
    </row>
    <row r="71">
      <c r="A71" s="214" t="str">
        <f>IFS($B71=FALSE,"",$B71,VLOOKUP($B71,'PATIENT DATA (072721)'!A:C, 2, 0))</f>
        <v/>
      </c>
      <c r="B71" s="215"/>
      <c r="C71" s="230" t="str">
        <f>IF(COUNTIF('PATIENT DATA (072721)'!A:A, B71)=0, "X","✓")</f>
        <v>X</v>
      </c>
      <c r="D71" s="226" t="str">
        <f>IFS($B71=FALSE,"",$B71,VLOOKUP($B71,'PATIENT DATA (072721)'!A:C, 3, 0))</f>
        <v/>
      </c>
      <c r="E71" s="218"/>
      <c r="F71" s="219" t="str">
        <f>ifs($B71="","",$B71, VLOOKUP($B71&amp;$E71, 'VISIT DATA'!A:O,3,0))</f>
        <v/>
      </c>
      <c r="G71" s="231"/>
      <c r="H71" s="221"/>
      <c r="I71" s="262" t="str">
        <f>VLOOKUP($B71&amp;$E71,'VISIT DATA'!A:J, 9, FALSE)</f>
        <v>#N/A</v>
      </c>
      <c r="J71" s="223" t="str">
        <f>VLOOKUP(B71&amp;E71,'VISIT DATA'!A:N,10,FALSE)</f>
        <v>#N/A</v>
      </c>
      <c r="K71" s="225"/>
      <c r="L71" s="224"/>
      <c r="M71" s="224"/>
      <c r="N71" s="225"/>
      <c r="O71" s="216" t="str">
        <f t="shared" si="1"/>
        <v>X</v>
      </c>
      <c r="P71" s="226" t="str">
        <f t="shared" si="2"/>
        <v>#N/A</v>
      </c>
      <c r="Q71" s="227" t="str">
        <f t="shared" si="3"/>
        <v>#N/A</v>
      </c>
      <c r="R71" s="228" t="str">
        <f t="shared" si="4"/>
        <v>#N/A</v>
      </c>
      <c r="S71" s="220" t="str">
        <f t="shared" si="5"/>
        <v>#N/A</v>
      </c>
      <c r="T71" s="220" t="str">
        <f t="shared" si="6"/>
        <v>#N/A</v>
      </c>
      <c r="U71" s="221">
        <f t="shared" si="7"/>
        <v>0</v>
      </c>
      <c r="V71" s="229" t="str">
        <f>ifs($N71="",VLOOKUP($B71&amp;$E71,'VISIT DATA'!$A$2:$J100,7,FALSE), $N71="SWAB","OUTSA-RW",$N71="SWQU","OUTSA-SaQu", AND($L71="X",$M71="X",$N71="QUEST"),"OUT-UAQPre",$N71="QUEST","OUT-UAQ", $N71="Walk in","ColUATele")</f>
        <v>#N/A</v>
      </c>
      <c r="W71" s="24" t="str">
        <f t="shared" si="8"/>
        <v>#N/A</v>
      </c>
      <c r="X71" s="222" t="str">
        <f t="shared" si="9"/>
        <v/>
      </c>
      <c r="Y71" s="222" t="str">
        <f t="shared" si="10"/>
        <v/>
      </c>
      <c r="Z71" s="224" t="str">
        <f t="shared" si="11"/>
        <v> </v>
      </c>
      <c r="AA71" s="244"/>
    </row>
    <row r="72">
      <c r="A72" s="214" t="str">
        <f>IFS($B72=FALSE,"",$B72,VLOOKUP($B72,'PATIENT DATA (072721)'!A:C, 2, 0))</f>
        <v/>
      </c>
      <c r="B72" s="215"/>
      <c r="C72" s="230" t="str">
        <f>IF(COUNTIF('PATIENT DATA (072721)'!A:A, B72)=0, "X","✓")</f>
        <v>X</v>
      </c>
      <c r="D72" s="226" t="str">
        <f>IFS($B72=FALSE,"",$B72,VLOOKUP($B72,'PATIENT DATA (072721)'!A:C, 3, 0))</f>
        <v/>
      </c>
      <c r="E72" s="218"/>
      <c r="F72" s="219" t="str">
        <f>ifs($B72="","",$B72, VLOOKUP($B72&amp;$E72, 'VISIT DATA'!A:O,3,0))</f>
        <v/>
      </c>
      <c r="G72" s="231"/>
      <c r="H72" s="221"/>
      <c r="I72" s="262" t="str">
        <f>VLOOKUP($B72&amp;$E72,'VISIT DATA'!A:J, 9, FALSE)</f>
        <v>#N/A</v>
      </c>
      <c r="J72" s="223" t="str">
        <f>VLOOKUP(B72&amp;E72,'VISIT DATA'!A:N,10,FALSE)</f>
        <v>#N/A</v>
      </c>
      <c r="K72" s="225"/>
      <c r="L72" s="224"/>
      <c r="M72" s="224"/>
      <c r="N72" s="225"/>
      <c r="O72" s="216" t="str">
        <f t="shared" si="1"/>
        <v>X</v>
      </c>
      <c r="P72" s="226" t="str">
        <f t="shared" si="2"/>
        <v>#N/A</v>
      </c>
      <c r="Q72" s="227" t="str">
        <f t="shared" si="3"/>
        <v>#N/A</v>
      </c>
      <c r="R72" s="228" t="str">
        <f t="shared" si="4"/>
        <v>#N/A</v>
      </c>
      <c r="S72" s="220" t="str">
        <f t="shared" si="5"/>
        <v>#N/A</v>
      </c>
      <c r="T72" s="220" t="str">
        <f t="shared" si="6"/>
        <v>#N/A</v>
      </c>
      <c r="U72" s="221">
        <f t="shared" si="7"/>
        <v>0</v>
      </c>
      <c r="V72" s="229" t="str">
        <f>ifs($N72="",VLOOKUP($B72&amp;$E72,'VISIT DATA'!$A$2:$J100,7,FALSE), $N72="SWAB","OUTSA-RW",$N72="SWQU","OUTSA-SaQu", AND($L72="X",$M72="X",$N72="QUEST"),"OUT-UAQPre",$N72="QUEST","OUT-UAQ", $N72="Walk in","ColUATele")</f>
        <v>#N/A</v>
      </c>
      <c r="W72" s="24" t="str">
        <f t="shared" si="8"/>
        <v>#N/A</v>
      </c>
      <c r="X72" s="222" t="str">
        <f t="shared" si="9"/>
        <v/>
      </c>
      <c r="Y72" s="222" t="str">
        <f t="shared" si="10"/>
        <v/>
      </c>
      <c r="Z72" s="224" t="str">
        <f t="shared" si="11"/>
        <v> </v>
      </c>
      <c r="AA72" s="244"/>
    </row>
    <row r="73">
      <c r="A73" s="214" t="str">
        <f>IFS($B73=FALSE,"",$B73,VLOOKUP($B73,'PATIENT DATA (072721)'!A:C, 2, 0))</f>
        <v/>
      </c>
      <c r="B73" s="215"/>
      <c r="C73" s="230" t="str">
        <f>IF(COUNTIF('PATIENT DATA (072721)'!A:A, B73)=0, "X","✓")</f>
        <v>X</v>
      </c>
      <c r="D73" s="226" t="str">
        <f>IFS($B73=FALSE,"",$B73,VLOOKUP($B73,'PATIENT DATA (072721)'!A:C, 3, 0))</f>
        <v/>
      </c>
      <c r="E73" s="218"/>
      <c r="F73" s="219" t="str">
        <f>ifs($B73="","",$B73, VLOOKUP($B73&amp;$E73, 'VISIT DATA'!A:O,3,0))</f>
        <v/>
      </c>
      <c r="G73" s="231"/>
      <c r="H73" s="221"/>
      <c r="I73" s="262" t="str">
        <f>VLOOKUP($B73&amp;$E73,'VISIT DATA'!A:J, 9, FALSE)</f>
        <v>#N/A</v>
      </c>
      <c r="J73" s="223" t="str">
        <f>VLOOKUP(B73&amp;E73,'VISIT DATA'!A:N,10,FALSE)</f>
        <v>#N/A</v>
      </c>
      <c r="K73" s="225"/>
      <c r="L73" s="224"/>
      <c r="M73" s="224"/>
      <c r="N73" s="225"/>
      <c r="O73" s="216" t="str">
        <f t="shared" si="1"/>
        <v>X</v>
      </c>
      <c r="P73" s="226" t="str">
        <f t="shared" si="2"/>
        <v>#N/A</v>
      </c>
      <c r="Q73" s="227" t="str">
        <f t="shared" si="3"/>
        <v>#N/A</v>
      </c>
      <c r="R73" s="228" t="str">
        <f t="shared" si="4"/>
        <v>#N/A</v>
      </c>
      <c r="S73" s="220" t="str">
        <f t="shared" si="5"/>
        <v>#N/A</v>
      </c>
      <c r="T73" s="220" t="str">
        <f t="shared" si="6"/>
        <v>#N/A</v>
      </c>
      <c r="U73" s="221">
        <f t="shared" si="7"/>
        <v>0</v>
      </c>
      <c r="V73" s="229" t="str">
        <f>ifs($N73="",VLOOKUP($B73&amp;$E73,'VISIT DATA'!$A$2:$J100,7,FALSE), $N73="SWAB","OUTSA-RW",$N73="SWQU","OUTSA-SaQu", AND($L73="X",$M73="X",$N73="QUEST"),"OUT-UAQPre",$N73="QUEST","OUT-UAQ", $N73="Walk in","ColUATele")</f>
        <v>#N/A</v>
      </c>
      <c r="W73" s="24" t="str">
        <f t="shared" si="8"/>
        <v>#N/A</v>
      </c>
      <c r="X73" s="222" t="str">
        <f t="shared" si="9"/>
        <v/>
      </c>
      <c r="Y73" s="222" t="str">
        <f t="shared" si="10"/>
        <v/>
      </c>
      <c r="Z73" s="224" t="str">
        <f t="shared" si="11"/>
        <v> </v>
      </c>
      <c r="AA73" s="244"/>
    </row>
    <row r="74">
      <c r="A74" s="214" t="str">
        <f>IFS($B74=FALSE,"",$B74,VLOOKUP($B74,'PATIENT DATA (072721)'!A:C, 2, 0))</f>
        <v/>
      </c>
      <c r="B74" s="215"/>
      <c r="C74" s="230" t="str">
        <f>IF(COUNTIF('PATIENT DATA (072721)'!A:A, B74)=0, "X","✓")</f>
        <v>X</v>
      </c>
      <c r="D74" s="226" t="str">
        <f>IFS($B74=FALSE,"",$B74,VLOOKUP($B74,'PATIENT DATA (072721)'!A:C, 3, 0))</f>
        <v/>
      </c>
      <c r="E74" s="218"/>
      <c r="F74" s="219" t="str">
        <f>ifs($B74="","",$B74, VLOOKUP($B74&amp;$E74, 'VISIT DATA'!A:O,3,0))</f>
        <v/>
      </c>
      <c r="G74" s="231"/>
      <c r="H74" s="221"/>
      <c r="I74" s="262" t="str">
        <f>VLOOKUP($B74&amp;$E74,'VISIT DATA'!A:J, 9, FALSE)</f>
        <v>#N/A</v>
      </c>
      <c r="J74" s="223" t="str">
        <f>VLOOKUP(B74&amp;E74,'VISIT DATA'!A:N,10,FALSE)</f>
        <v>#N/A</v>
      </c>
      <c r="K74" s="225"/>
      <c r="L74" s="224"/>
      <c r="M74" s="224"/>
      <c r="N74" s="225"/>
      <c r="O74" s="216" t="str">
        <f t="shared" si="1"/>
        <v>X</v>
      </c>
      <c r="P74" s="226" t="str">
        <f t="shared" si="2"/>
        <v>#N/A</v>
      </c>
      <c r="Q74" s="227" t="str">
        <f t="shared" si="3"/>
        <v>#N/A</v>
      </c>
      <c r="R74" s="228" t="str">
        <f t="shared" si="4"/>
        <v>#N/A</v>
      </c>
      <c r="S74" s="220" t="str">
        <f t="shared" si="5"/>
        <v>#N/A</v>
      </c>
      <c r="T74" s="220" t="str">
        <f t="shared" si="6"/>
        <v>#N/A</v>
      </c>
      <c r="U74" s="221">
        <f t="shared" si="7"/>
        <v>0</v>
      </c>
      <c r="V74" s="229" t="str">
        <f>ifs($N74="",VLOOKUP($B74&amp;$E74,'VISIT DATA'!$A$2:$J100,7,FALSE), $N74="SWAB","OUTSA-RW",$N74="SWQU","OUTSA-SaQu", AND($L74="X",$M74="X",$N74="QUEST"),"OUT-UAQPre",$N74="QUEST","OUT-UAQ", $N74="Walk in","ColUATele")</f>
        <v>#N/A</v>
      </c>
      <c r="W74" s="24" t="str">
        <f t="shared" si="8"/>
        <v>#N/A</v>
      </c>
      <c r="X74" s="222" t="str">
        <f t="shared" si="9"/>
        <v/>
      </c>
      <c r="Y74" s="222" t="str">
        <f t="shared" si="10"/>
        <v/>
      </c>
      <c r="Z74" s="224" t="str">
        <f t="shared" si="11"/>
        <v> </v>
      </c>
      <c r="AA74" s="244"/>
    </row>
    <row r="75">
      <c r="A75" s="214" t="str">
        <f>IFS($B75=FALSE,"",$B75,VLOOKUP($B75,'PATIENT DATA (072721)'!A:C, 2, 0))</f>
        <v/>
      </c>
      <c r="B75" s="215"/>
      <c r="C75" s="230" t="str">
        <f>IF(COUNTIF('PATIENT DATA (072721)'!A:A, B75)=0, "X","✓")</f>
        <v>X</v>
      </c>
      <c r="D75" s="226" t="str">
        <f>IFS($B75=FALSE,"",$B75,VLOOKUP($B75,'PATIENT DATA (072721)'!A:C, 3, 0))</f>
        <v/>
      </c>
      <c r="E75" s="218"/>
      <c r="F75" s="219" t="str">
        <f>ifs($B75="","",$B75, VLOOKUP($B75&amp;$E75, 'VISIT DATA'!A:O,3,0))</f>
        <v/>
      </c>
      <c r="G75" s="231"/>
      <c r="H75" s="221"/>
      <c r="I75" s="262" t="str">
        <f>VLOOKUP($B75&amp;$E75,'VISIT DATA'!A:J, 9, FALSE)</f>
        <v>#N/A</v>
      </c>
      <c r="J75" s="223" t="str">
        <f>VLOOKUP(B75&amp;E75,'VISIT DATA'!A:N,10,FALSE)</f>
        <v>#N/A</v>
      </c>
      <c r="K75" s="225"/>
      <c r="L75" s="224"/>
      <c r="M75" s="224"/>
      <c r="N75" s="225"/>
      <c r="O75" s="216" t="str">
        <f t="shared" si="1"/>
        <v>X</v>
      </c>
      <c r="P75" s="226" t="str">
        <f t="shared" si="2"/>
        <v>#N/A</v>
      </c>
      <c r="Q75" s="227" t="str">
        <f t="shared" si="3"/>
        <v>#N/A</v>
      </c>
      <c r="R75" s="228" t="str">
        <f t="shared" si="4"/>
        <v>#N/A</v>
      </c>
      <c r="S75" s="220" t="str">
        <f t="shared" si="5"/>
        <v>#N/A</v>
      </c>
      <c r="T75" s="220" t="str">
        <f t="shared" si="6"/>
        <v>#N/A</v>
      </c>
      <c r="U75" s="221">
        <f t="shared" si="7"/>
        <v>0</v>
      </c>
      <c r="V75" s="229" t="str">
        <f>ifs($N75="",VLOOKUP($B75&amp;$E75,'VISIT DATA'!$A$2:$J100,7,FALSE), $N75="SWAB","OUTSA-RW",$N75="SWQU","OUTSA-SaQu", AND($L75="X",$M75="X",$N75="QUEST"),"OUT-UAQPre",$N75="QUEST","OUT-UAQ", $N75="Walk in","ColUATele")</f>
        <v>#N/A</v>
      </c>
      <c r="W75" s="24" t="str">
        <f t="shared" si="8"/>
        <v>#N/A</v>
      </c>
      <c r="X75" s="222" t="str">
        <f t="shared" si="9"/>
        <v/>
      </c>
      <c r="Y75" s="222" t="str">
        <f t="shared" si="10"/>
        <v/>
      </c>
      <c r="Z75" s="224" t="str">
        <f t="shared" si="11"/>
        <v> </v>
      </c>
      <c r="AA75" s="244"/>
    </row>
    <row r="76">
      <c r="A76" s="214" t="str">
        <f>IFS($B76=FALSE,"",$B76,VLOOKUP($B76,'PATIENT DATA (072721)'!A:C, 2, 0))</f>
        <v/>
      </c>
      <c r="B76" s="215"/>
      <c r="C76" s="230" t="str">
        <f>IF(COUNTIF('PATIENT DATA (072721)'!A:A, B76)=0, "X","✓")</f>
        <v>X</v>
      </c>
      <c r="D76" s="226" t="str">
        <f>IFS($B76=FALSE,"",$B76,VLOOKUP($B76,'PATIENT DATA (072721)'!A:C, 3, 0))</f>
        <v/>
      </c>
      <c r="E76" s="218"/>
      <c r="F76" s="219" t="str">
        <f>ifs($B76="","",$B76, VLOOKUP($B76&amp;$E76, 'VISIT DATA'!A:O,3,0))</f>
        <v/>
      </c>
      <c r="G76" s="231"/>
      <c r="H76" s="221"/>
      <c r="I76" s="262" t="str">
        <f>VLOOKUP($B76&amp;$E76,'VISIT DATA'!A:J, 9, FALSE)</f>
        <v>#N/A</v>
      </c>
      <c r="J76" s="223" t="str">
        <f>VLOOKUP(B76&amp;E76,'VISIT DATA'!A:N,10,FALSE)</f>
        <v>#N/A</v>
      </c>
      <c r="K76" s="225"/>
      <c r="L76" s="224"/>
      <c r="M76" s="224"/>
      <c r="N76" s="225"/>
      <c r="O76" s="216" t="str">
        <f t="shared" si="1"/>
        <v>X</v>
      </c>
      <c r="P76" s="226" t="str">
        <f t="shared" si="2"/>
        <v>#N/A</v>
      </c>
      <c r="Q76" s="227" t="str">
        <f t="shared" si="3"/>
        <v>#N/A</v>
      </c>
      <c r="R76" s="228" t="str">
        <f t="shared" si="4"/>
        <v>#N/A</v>
      </c>
      <c r="S76" s="220" t="str">
        <f t="shared" si="5"/>
        <v>#N/A</v>
      </c>
      <c r="T76" s="220" t="str">
        <f t="shared" si="6"/>
        <v>#N/A</v>
      </c>
      <c r="U76" s="221">
        <f t="shared" si="7"/>
        <v>0</v>
      </c>
      <c r="V76" s="229" t="str">
        <f>ifs($N76="",VLOOKUP($B76&amp;$E76,'VISIT DATA'!$A$2:$J100,7,FALSE), $N76="SWAB","OUTSA-RW",$N76="SWQU","OUTSA-SaQu", AND($L76="X",$M76="X",$N76="QUEST"),"OUT-UAQPre",$N76="QUEST","OUT-UAQ", $N76="Walk in","ColUATele")</f>
        <v>#N/A</v>
      </c>
      <c r="W76" s="24" t="str">
        <f t="shared" si="8"/>
        <v>#N/A</v>
      </c>
      <c r="X76" s="222" t="str">
        <f t="shared" si="9"/>
        <v/>
      </c>
      <c r="Y76" s="222" t="str">
        <f t="shared" si="10"/>
        <v/>
      </c>
      <c r="Z76" s="224" t="str">
        <f t="shared" si="11"/>
        <v> </v>
      </c>
      <c r="AA76" s="244"/>
    </row>
    <row r="77">
      <c r="A77" s="214" t="str">
        <f>IFS($B77=FALSE,"",$B77,VLOOKUP($B77,'PATIENT DATA (072721)'!A:C, 2, 0))</f>
        <v/>
      </c>
      <c r="B77" s="215"/>
      <c r="C77" s="230" t="str">
        <f>IF(COUNTIF('PATIENT DATA (072721)'!A:A, B77)=0, "X","✓")</f>
        <v>X</v>
      </c>
      <c r="D77" s="226" t="str">
        <f>IFS($B77=FALSE,"",$B77,VLOOKUP($B77,'PATIENT DATA (072721)'!A:C, 3, 0))</f>
        <v/>
      </c>
      <c r="E77" s="218"/>
      <c r="F77" s="219" t="str">
        <f>ifs($B77="","",$B77, VLOOKUP($B77&amp;$E77, 'VISIT DATA'!A:O,3,0))</f>
        <v/>
      </c>
      <c r="G77" s="231"/>
      <c r="H77" s="221"/>
      <c r="I77" s="262" t="str">
        <f>VLOOKUP($B77&amp;$E77,'VISIT DATA'!A:J, 9, FALSE)</f>
        <v>#N/A</v>
      </c>
      <c r="J77" s="223" t="str">
        <f>VLOOKUP(B77&amp;E77,'VISIT DATA'!A:N,10,FALSE)</f>
        <v>#N/A</v>
      </c>
      <c r="K77" s="225"/>
      <c r="L77" s="224"/>
      <c r="M77" s="224"/>
      <c r="N77" s="225"/>
      <c r="O77" s="216" t="str">
        <f t="shared" si="1"/>
        <v>X</v>
      </c>
      <c r="P77" s="226" t="str">
        <f t="shared" si="2"/>
        <v>#N/A</v>
      </c>
      <c r="Q77" s="227" t="str">
        <f t="shared" si="3"/>
        <v>#N/A</v>
      </c>
      <c r="R77" s="228" t="str">
        <f t="shared" si="4"/>
        <v>#N/A</v>
      </c>
      <c r="S77" s="220" t="str">
        <f t="shared" si="5"/>
        <v>#N/A</v>
      </c>
      <c r="T77" s="220" t="str">
        <f t="shared" si="6"/>
        <v>#N/A</v>
      </c>
      <c r="U77" s="221">
        <f t="shared" si="7"/>
        <v>0</v>
      </c>
      <c r="V77" s="229" t="str">
        <f>ifs($N77="",VLOOKUP($B77&amp;$E77,'VISIT DATA'!$A$2:$J100,7,FALSE), $N77="SWAB","OUTSA-RW",$N77="SWQU","OUTSA-SaQu", AND($L77="X",$M77="X",$N77="QUEST"),"OUT-UAQPre",$N77="QUEST","OUT-UAQ", $N77="Walk in","ColUATele")</f>
        <v>#N/A</v>
      </c>
      <c r="W77" s="24" t="str">
        <f t="shared" si="8"/>
        <v>#N/A</v>
      </c>
      <c r="X77" s="222" t="str">
        <f t="shared" si="9"/>
        <v/>
      </c>
      <c r="Y77" s="222" t="str">
        <f t="shared" si="10"/>
        <v/>
      </c>
      <c r="Z77" s="224" t="str">
        <f t="shared" si="11"/>
        <v> </v>
      </c>
      <c r="AA77" s="244"/>
    </row>
    <row r="78">
      <c r="A78" s="214" t="str">
        <f>IFS($B78=FALSE,"",$B78,VLOOKUP($B78,'PATIENT DATA (072721)'!A:C, 2, 0))</f>
        <v/>
      </c>
      <c r="B78" s="215"/>
      <c r="C78" s="230" t="str">
        <f>IF(COUNTIF('PATIENT DATA (072721)'!A:A, B78)=0, "X","✓")</f>
        <v>X</v>
      </c>
      <c r="D78" s="226" t="str">
        <f>IFS($B78=FALSE,"",$B78,VLOOKUP($B78,'PATIENT DATA (072721)'!A:C, 3, 0))</f>
        <v/>
      </c>
      <c r="E78" s="218"/>
      <c r="F78" s="219" t="str">
        <f>ifs($B78="","",$B78, VLOOKUP($B78&amp;$E78, 'VISIT DATA'!A:O,3,0))</f>
        <v/>
      </c>
      <c r="G78" s="231"/>
      <c r="H78" s="221"/>
      <c r="I78" s="262" t="str">
        <f>VLOOKUP($B78&amp;$E78,'VISIT DATA'!A:J, 9, FALSE)</f>
        <v>#N/A</v>
      </c>
      <c r="J78" s="223" t="str">
        <f>VLOOKUP(B78&amp;E78,'VISIT DATA'!A:N,10,FALSE)</f>
        <v>#N/A</v>
      </c>
      <c r="K78" s="225"/>
      <c r="L78" s="224"/>
      <c r="M78" s="224"/>
      <c r="N78" s="225"/>
      <c r="O78" s="216" t="str">
        <f t="shared" si="1"/>
        <v>X</v>
      </c>
      <c r="P78" s="226" t="str">
        <f t="shared" si="2"/>
        <v>#N/A</v>
      </c>
      <c r="Q78" s="227" t="str">
        <f t="shared" si="3"/>
        <v>#N/A</v>
      </c>
      <c r="R78" s="228" t="str">
        <f t="shared" si="4"/>
        <v>#N/A</v>
      </c>
      <c r="S78" s="220" t="str">
        <f t="shared" si="5"/>
        <v>#N/A</v>
      </c>
      <c r="T78" s="220" t="str">
        <f t="shared" si="6"/>
        <v>#N/A</v>
      </c>
      <c r="U78" s="221">
        <f t="shared" si="7"/>
        <v>0</v>
      </c>
      <c r="V78" s="229" t="str">
        <f>ifs($N78="",VLOOKUP($B78&amp;$E78,'VISIT DATA'!$A$2:$J100,7,FALSE), $N78="SWAB","OUTSA-RW",$N78="SWQU","OUTSA-SaQu", AND($L78="X",$M78="X",$N78="QUEST"),"OUT-UAQPre",$N78="QUEST","OUT-UAQ", $N78="Walk in","ColUATele")</f>
        <v>#N/A</v>
      </c>
      <c r="W78" s="24" t="str">
        <f t="shared" si="8"/>
        <v>#N/A</v>
      </c>
      <c r="X78" s="222" t="str">
        <f t="shared" si="9"/>
        <v/>
      </c>
      <c r="Y78" s="222" t="str">
        <f t="shared" si="10"/>
        <v/>
      </c>
      <c r="Z78" s="224" t="str">
        <f t="shared" si="11"/>
        <v> </v>
      </c>
      <c r="AA78" s="244"/>
    </row>
    <row r="79">
      <c r="A79" s="214" t="str">
        <f>IFS($B79=FALSE,"",$B79,VLOOKUP($B79,'PATIENT DATA (072721)'!A:C, 2, 0))</f>
        <v/>
      </c>
      <c r="B79" s="215"/>
      <c r="C79" s="230" t="str">
        <f>IF(COUNTIF('PATIENT DATA (072721)'!A:A, B79)=0, "X","✓")</f>
        <v>X</v>
      </c>
      <c r="D79" s="226" t="str">
        <f>IFS($B79=FALSE,"",$B79,VLOOKUP($B79,'PATIENT DATA (072721)'!A:C, 3, 0))</f>
        <v/>
      </c>
      <c r="E79" s="218"/>
      <c r="F79" s="219" t="str">
        <f>ifs($B79="","",$B79, VLOOKUP($B79&amp;$E79, 'VISIT DATA'!A:O,3,0))</f>
        <v/>
      </c>
      <c r="G79" s="231"/>
      <c r="H79" s="221"/>
      <c r="I79" s="262" t="str">
        <f>VLOOKUP($B79&amp;$E79,'VISIT DATA'!A:J, 9, FALSE)</f>
        <v>#N/A</v>
      </c>
      <c r="J79" s="223" t="str">
        <f>VLOOKUP(B79&amp;E79,'VISIT DATA'!A:N,10,FALSE)</f>
        <v>#N/A</v>
      </c>
      <c r="K79" s="225"/>
      <c r="L79" s="224"/>
      <c r="M79" s="224"/>
      <c r="N79" s="225"/>
      <c r="O79" s="216" t="str">
        <f t="shared" si="1"/>
        <v>X</v>
      </c>
      <c r="P79" s="226" t="str">
        <f t="shared" si="2"/>
        <v>#N/A</v>
      </c>
      <c r="Q79" s="227" t="str">
        <f t="shared" si="3"/>
        <v>#N/A</v>
      </c>
      <c r="R79" s="228" t="str">
        <f t="shared" si="4"/>
        <v>#N/A</v>
      </c>
      <c r="S79" s="220" t="str">
        <f t="shared" si="5"/>
        <v>#N/A</v>
      </c>
      <c r="T79" s="220" t="str">
        <f t="shared" si="6"/>
        <v>#N/A</v>
      </c>
      <c r="U79" s="221">
        <f t="shared" si="7"/>
        <v>0</v>
      </c>
      <c r="V79" s="229" t="str">
        <f>ifs($N79="",VLOOKUP($B79&amp;$E79,'VISIT DATA'!$A$2:$J100,7,FALSE), $N79="SWAB","OUTSA-RW",$N79="SWQU","OUTSA-SaQu", AND($L79="X",$M79="X",$N79="QUEST"),"OUT-UAQPre",$N79="QUEST","OUT-UAQ", $N79="Walk in","ColUATele")</f>
        <v>#N/A</v>
      </c>
      <c r="W79" s="24" t="str">
        <f t="shared" si="8"/>
        <v>#N/A</v>
      </c>
      <c r="X79" s="222" t="str">
        <f t="shared" si="9"/>
        <v/>
      </c>
      <c r="Y79" s="222" t="str">
        <f t="shared" si="10"/>
        <v/>
      </c>
      <c r="Z79" s="224" t="str">
        <f t="shared" si="11"/>
        <v> </v>
      </c>
      <c r="AA79" s="244"/>
    </row>
    <row r="80">
      <c r="A80" s="214" t="str">
        <f>IFS($B80=FALSE,"",$B80,VLOOKUP($B80,'PATIENT DATA (072721)'!A:C, 2, 0))</f>
        <v/>
      </c>
      <c r="B80" s="215"/>
      <c r="C80" s="230" t="str">
        <f>IF(COUNTIF('PATIENT DATA (072721)'!A:A, B80)=0, "X","✓")</f>
        <v>X</v>
      </c>
      <c r="D80" s="226" t="str">
        <f>IFS($B80=FALSE,"",$B80,VLOOKUP($B80,'PATIENT DATA (072721)'!A:C, 3, 0))</f>
        <v/>
      </c>
      <c r="E80" s="218"/>
      <c r="F80" s="219" t="str">
        <f>ifs($B80="","",$B80, VLOOKUP($B80&amp;$E80, 'VISIT DATA'!A:O,3,0))</f>
        <v/>
      </c>
      <c r="G80" s="231"/>
      <c r="H80" s="221"/>
      <c r="I80" s="262" t="str">
        <f>VLOOKUP($B80&amp;$E80,'VISIT DATA'!A:J, 9, FALSE)</f>
        <v>#N/A</v>
      </c>
      <c r="J80" s="223" t="str">
        <f>VLOOKUP(B80&amp;E80,'VISIT DATA'!A:N,10,FALSE)</f>
        <v>#N/A</v>
      </c>
      <c r="K80" s="225"/>
      <c r="L80" s="224"/>
      <c r="M80" s="224"/>
      <c r="N80" s="225"/>
      <c r="O80" s="216" t="str">
        <f t="shared" si="1"/>
        <v>X</v>
      </c>
      <c r="P80" s="226" t="str">
        <f t="shared" si="2"/>
        <v>#N/A</v>
      </c>
      <c r="Q80" s="227" t="str">
        <f t="shared" si="3"/>
        <v>#N/A</v>
      </c>
      <c r="R80" s="228" t="str">
        <f t="shared" si="4"/>
        <v>#N/A</v>
      </c>
      <c r="S80" s="220" t="str">
        <f t="shared" si="5"/>
        <v>#N/A</v>
      </c>
      <c r="T80" s="220" t="str">
        <f t="shared" si="6"/>
        <v>#N/A</v>
      </c>
      <c r="U80" s="221">
        <f t="shared" si="7"/>
        <v>0</v>
      </c>
      <c r="V80" s="229" t="str">
        <f>ifs($N80="",VLOOKUP($B80&amp;$E80,'VISIT DATA'!$A$2:$J100,7,FALSE), $N80="SWAB","OUTSA-RW",$N80="SWQU","OUTSA-SaQu", AND($L80="X",$M80="X",$N80="QUEST"),"OUT-UAQPre",$N80="QUEST","OUT-UAQ", $N80="Walk in","ColUATele")</f>
        <v>#N/A</v>
      </c>
      <c r="W80" s="24" t="str">
        <f t="shared" si="8"/>
        <v>#N/A</v>
      </c>
      <c r="X80" s="222" t="str">
        <f t="shared" si="9"/>
        <v/>
      </c>
      <c r="Y80" s="222" t="str">
        <f t="shared" si="10"/>
        <v/>
      </c>
      <c r="Z80" s="224" t="str">
        <f t="shared" si="11"/>
        <v> </v>
      </c>
      <c r="AA80" s="244"/>
    </row>
    <row r="81">
      <c r="A81" s="214" t="str">
        <f>IFS($B81=FALSE,"",$B81,VLOOKUP($B81,'PATIENT DATA (072721)'!A:C, 2, 0))</f>
        <v/>
      </c>
      <c r="B81" s="215"/>
      <c r="C81" s="230" t="str">
        <f>IF(COUNTIF('PATIENT DATA (072721)'!A:A, B81)=0, "X","✓")</f>
        <v>X</v>
      </c>
      <c r="D81" s="226" t="str">
        <f>IFS($B81=FALSE,"",$B81,VLOOKUP($B81,'PATIENT DATA (072721)'!A:C, 3, 0))</f>
        <v/>
      </c>
      <c r="E81" s="218"/>
      <c r="F81" s="219" t="str">
        <f>ifs($B81="","",$B81, VLOOKUP($B81&amp;$E81, 'VISIT DATA'!A:O,3,0))</f>
        <v/>
      </c>
      <c r="G81" s="231"/>
      <c r="H81" s="221"/>
      <c r="I81" s="262" t="str">
        <f>VLOOKUP($B81&amp;$E81,'VISIT DATA'!A:J, 9, FALSE)</f>
        <v>#N/A</v>
      </c>
      <c r="J81" s="223" t="str">
        <f>VLOOKUP(B81&amp;E81,'VISIT DATA'!A:N,10,FALSE)</f>
        <v>#N/A</v>
      </c>
      <c r="K81" s="225"/>
      <c r="L81" s="224"/>
      <c r="M81" s="224"/>
      <c r="N81" s="225"/>
      <c r="O81" s="216" t="str">
        <f t="shared" si="1"/>
        <v>X</v>
      </c>
      <c r="P81" s="226" t="str">
        <f t="shared" si="2"/>
        <v>#N/A</v>
      </c>
      <c r="Q81" s="227" t="str">
        <f t="shared" si="3"/>
        <v>#N/A</v>
      </c>
      <c r="R81" s="228" t="str">
        <f t="shared" si="4"/>
        <v>#N/A</v>
      </c>
      <c r="S81" s="220" t="str">
        <f t="shared" si="5"/>
        <v>#N/A</v>
      </c>
      <c r="T81" s="220" t="str">
        <f t="shared" si="6"/>
        <v>#N/A</v>
      </c>
      <c r="U81" s="221">
        <f t="shared" si="7"/>
        <v>0</v>
      </c>
      <c r="V81" s="229" t="str">
        <f>ifs($N81="",VLOOKUP($B81&amp;$E81,'VISIT DATA'!$A$2:$J100,7,FALSE), $N81="SWAB","OUTSA-RW",$N81="SWQU","OUTSA-SaQu", AND($L81="X",$M81="X",$N81="QUEST"),"OUT-UAQPre",$N81="QUEST","OUT-UAQ", $N81="Walk in","ColUATele")</f>
        <v>#N/A</v>
      </c>
      <c r="W81" s="24" t="str">
        <f t="shared" si="8"/>
        <v>#N/A</v>
      </c>
      <c r="X81" s="222" t="str">
        <f t="shared" si="9"/>
        <v/>
      </c>
      <c r="Y81" s="222" t="str">
        <f t="shared" si="10"/>
        <v/>
      </c>
      <c r="Z81" s="224" t="str">
        <f t="shared" si="11"/>
        <v> </v>
      </c>
      <c r="AA81" s="244"/>
    </row>
    <row r="82">
      <c r="A82" s="214" t="str">
        <f>IFS($B82=FALSE,"",$B82,VLOOKUP($B82,'PATIENT DATA (072721)'!A:C, 2, 0))</f>
        <v/>
      </c>
      <c r="B82" s="215"/>
      <c r="C82" s="230" t="str">
        <f>IF(COUNTIF('PATIENT DATA (072721)'!A:A, B82)=0, "X","✓")</f>
        <v>X</v>
      </c>
      <c r="D82" s="226" t="str">
        <f>IFS($B82=FALSE,"",$B82,VLOOKUP($B82,'PATIENT DATA (072721)'!A:C, 3, 0))</f>
        <v/>
      </c>
      <c r="E82" s="218"/>
      <c r="F82" s="219" t="str">
        <f>ifs($B82="","",$B82, VLOOKUP($B82&amp;$E82, 'VISIT DATA'!A:O,3,0))</f>
        <v/>
      </c>
      <c r="G82" s="231"/>
      <c r="H82" s="221"/>
      <c r="I82" s="262" t="str">
        <f>VLOOKUP($B82&amp;$E82,'VISIT DATA'!A:J, 9, FALSE)</f>
        <v>#N/A</v>
      </c>
      <c r="J82" s="223" t="str">
        <f>VLOOKUP(B82&amp;E82,'VISIT DATA'!A:N,10,FALSE)</f>
        <v>#N/A</v>
      </c>
      <c r="K82" s="225"/>
      <c r="L82" s="224"/>
      <c r="M82" s="224"/>
      <c r="N82" s="225"/>
      <c r="O82" s="216" t="str">
        <f t="shared" si="1"/>
        <v>X</v>
      </c>
      <c r="P82" s="226" t="str">
        <f t="shared" si="2"/>
        <v>#N/A</v>
      </c>
      <c r="Q82" s="227" t="str">
        <f t="shared" si="3"/>
        <v>#N/A</v>
      </c>
      <c r="R82" s="228" t="str">
        <f t="shared" si="4"/>
        <v>#N/A</v>
      </c>
      <c r="S82" s="220" t="str">
        <f t="shared" si="5"/>
        <v>#N/A</v>
      </c>
      <c r="T82" s="220" t="str">
        <f t="shared" si="6"/>
        <v>#N/A</v>
      </c>
      <c r="U82" s="221">
        <f t="shared" si="7"/>
        <v>0</v>
      </c>
      <c r="V82" s="229" t="str">
        <f>ifs($N82="",VLOOKUP($B82&amp;$E82,'VISIT DATA'!$A$2:$J100,7,FALSE), $N82="SWAB","OUTSA-RW",$N82="SWQU","OUTSA-SaQu", AND($L82="X",$M82="X",$N82="QUEST"),"OUT-UAQPre",$N82="QUEST","OUT-UAQ", $N82="Walk in","ColUATele")</f>
        <v>#N/A</v>
      </c>
      <c r="W82" s="24" t="str">
        <f t="shared" si="8"/>
        <v>#N/A</v>
      </c>
      <c r="X82" s="222" t="str">
        <f t="shared" si="9"/>
        <v/>
      </c>
      <c r="Y82" s="222" t="str">
        <f t="shared" si="10"/>
        <v/>
      </c>
      <c r="Z82" s="224" t="str">
        <f t="shared" si="11"/>
        <v> </v>
      </c>
      <c r="AA82" s="244"/>
    </row>
    <row r="83">
      <c r="A83" s="214" t="str">
        <f>IFS($B83=FALSE,"",$B83,VLOOKUP($B83,'PATIENT DATA (072721)'!A:C, 2, 0))</f>
        <v/>
      </c>
      <c r="B83" s="215"/>
      <c r="C83" s="230" t="str">
        <f>IF(COUNTIF('PATIENT DATA (072721)'!A:A, B83)=0, "X","✓")</f>
        <v>X</v>
      </c>
      <c r="D83" s="226" t="str">
        <f>IFS($B83=FALSE,"",$B83,VLOOKUP($B83,'PATIENT DATA (072721)'!A:C, 3, 0))</f>
        <v/>
      </c>
      <c r="E83" s="218"/>
      <c r="F83" s="219" t="str">
        <f>ifs($B83="","",$B83, VLOOKUP($B83&amp;$E83, 'VISIT DATA'!A:O,3,0))</f>
        <v/>
      </c>
      <c r="G83" s="231"/>
      <c r="H83" s="221"/>
      <c r="I83" s="262" t="str">
        <f>VLOOKUP($B83&amp;$E83,'VISIT DATA'!A:J, 9, FALSE)</f>
        <v>#N/A</v>
      </c>
      <c r="J83" s="223" t="str">
        <f>VLOOKUP(B83&amp;E83,'VISIT DATA'!A:N,10,FALSE)</f>
        <v>#N/A</v>
      </c>
      <c r="K83" s="225"/>
      <c r="L83" s="224"/>
      <c r="M83" s="224"/>
      <c r="N83" s="225"/>
      <c r="O83" s="216" t="str">
        <f t="shared" si="1"/>
        <v>X</v>
      </c>
      <c r="P83" s="226" t="str">
        <f t="shared" si="2"/>
        <v>#N/A</v>
      </c>
      <c r="Q83" s="227" t="str">
        <f t="shared" si="3"/>
        <v>#N/A</v>
      </c>
      <c r="R83" s="228" t="str">
        <f t="shared" si="4"/>
        <v>#N/A</v>
      </c>
      <c r="S83" s="220" t="str">
        <f t="shared" si="5"/>
        <v>#N/A</v>
      </c>
      <c r="T83" s="220" t="str">
        <f t="shared" si="6"/>
        <v>#N/A</v>
      </c>
      <c r="U83" s="221">
        <f t="shared" si="7"/>
        <v>0</v>
      </c>
      <c r="V83" s="229" t="str">
        <f>ifs($N83="",VLOOKUP($B83&amp;$E83,'VISIT DATA'!$A$2:$J100,7,FALSE), $N83="SWAB","OUTSA-RW",$N83="SWQU","OUTSA-SaQu", AND($L83="X",$M83="X",$N83="QUEST"),"OUT-UAQPre",$N83="QUEST","OUT-UAQ", $N83="Walk in","ColUATele")</f>
        <v>#N/A</v>
      </c>
      <c r="W83" s="24" t="str">
        <f t="shared" si="8"/>
        <v>#N/A</v>
      </c>
      <c r="X83" s="222" t="str">
        <f t="shared" si="9"/>
        <v/>
      </c>
      <c r="Y83" s="222" t="str">
        <f t="shared" si="10"/>
        <v/>
      </c>
      <c r="Z83" s="224" t="str">
        <f t="shared" si="11"/>
        <v> </v>
      </c>
      <c r="AA83" s="244"/>
    </row>
    <row r="84">
      <c r="A84" s="214" t="str">
        <f>IFS($B84=FALSE,"",$B84,VLOOKUP($B84,'PATIENT DATA (072721)'!A:C, 2, 0))</f>
        <v/>
      </c>
      <c r="B84" s="215"/>
      <c r="C84" s="230" t="str">
        <f>IF(COUNTIF('PATIENT DATA (072721)'!A:A, B84)=0, "X","✓")</f>
        <v>X</v>
      </c>
      <c r="D84" s="226" t="str">
        <f>IFS($B84=FALSE,"",$B84,VLOOKUP($B84,'PATIENT DATA (072721)'!A:C, 3, 0))</f>
        <v/>
      </c>
      <c r="E84" s="218"/>
      <c r="F84" s="219" t="str">
        <f>ifs($B84="","",$B84, VLOOKUP($B84&amp;$E84, 'VISIT DATA'!A:O,3,0))</f>
        <v/>
      </c>
      <c r="G84" s="231"/>
      <c r="H84" s="221"/>
      <c r="I84" s="262" t="str">
        <f>VLOOKUP($B84&amp;$E84,'VISIT DATA'!A:J, 9, FALSE)</f>
        <v>#N/A</v>
      </c>
      <c r="J84" s="223" t="str">
        <f>VLOOKUP(B84&amp;E84,'VISIT DATA'!A:N,10,FALSE)</f>
        <v>#N/A</v>
      </c>
      <c r="K84" s="225"/>
      <c r="L84" s="224"/>
      <c r="M84" s="224"/>
      <c r="N84" s="225"/>
      <c r="O84" s="216" t="str">
        <f t="shared" si="1"/>
        <v>X</v>
      </c>
      <c r="P84" s="226" t="str">
        <f t="shared" si="2"/>
        <v>#N/A</v>
      </c>
      <c r="Q84" s="227" t="str">
        <f t="shared" si="3"/>
        <v>#N/A</v>
      </c>
      <c r="R84" s="228" t="str">
        <f t="shared" si="4"/>
        <v>#N/A</v>
      </c>
      <c r="S84" s="220" t="str">
        <f t="shared" si="5"/>
        <v>#N/A</v>
      </c>
      <c r="T84" s="220" t="str">
        <f t="shared" si="6"/>
        <v>#N/A</v>
      </c>
      <c r="U84" s="221">
        <f t="shared" si="7"/>
        <v>0</v>
      </c>
      <c r="V84" s="229" t="str">
        <f>ifs($N84="",VLOOKUP($B84&amp;$E84,'VISIT DATA'!$A$2:$J100,7,FALSE), $N84="SWAB","OUTSA-RW",$N84="SWQU","OUTSA-SaQu", AND($L84="X",$M84="X",$N84="QUEST"),"OUT-UAQPre",$N84="QUEST","OUT-UAQ", $N84="Walk in","ColUATele")</f>
        <v>#N/A</v>
      </c>
      <c r="W84" s="24" t="str">
        <f t="shared" si="8"/>
        <v>#N/A</v>
      </c>
      <c r="X84" s="222" t="str">
        <f t="shared" si="9"/>
        <v/>
      </c>
      <c r="Y84" s="222" t="str">
        <f t="shared" si="10"/>
        <v/>
      </c>
      <c r="Z84" s="224" t="str">
        <f t="shared" si="11"/>
        <v> </v>
      </c>
      <c r="AA84" s="244"/>
    </row>
    <row r="85">
      <c r="A85" s="214" t="str">
        <f>IFS($B85=FALSE,"",$B85,VLOOKUP($B85,'PATIENT DATA (072721)'!A:C, 2, 0))</f>
        <v/>
      </c>
      <c r="B85" s="215"/>
      <c r="C85" s="230" t="str">
        <f>IF(COUNTIF('PATIENT DATA (072721)'!A:A, B85)=0, "X","✓")</f>
        <v>X</v>
      </c>
      <c r="D85" s="226" t="str">
        <f>IFS($B85=FALSE,"",$B85,VLOOKUP($B85,'PATIENT DATA (072721)'!A:C, 3, 0))</f>
        <v/>
      </c>
      <c r="E85" s="218"/>
      <c r="F85" s="219" t="str">
        <f>ifs($B85="","",$B85, VLOOKUP($B85&amp;$E85, 'VISIT DATA'!A:O,3,0))</f>
        <v/>
      </c>
      <c r="G85" s="231"/>
      <c r="H85" s="221"/>
      <c r="I85" s="262" t="str">
        <f>VLOOKUP($B85&amp;$E85,'VISIT DATA'!A:J, 9, FALSE)</f>
        <v>#N/A</v>
      </c>
      <c r="J85" s="223" t="str">
        <f>VLOOKUP(B85&amp;E85,'VISIT DATA'!A:N,10,FALSE)</f>
        <v>#N/A</v>
      </c>
      <c r="K85" s="225"/>
      <c r="L85" s="224"/>
      <c r="M85" s="224"/>
      <c r="N85" s="225"/>
      <c r="O85" s="216" t="str">
        <f t="shared" si="1"/>
        <v>X</v>
      </c>
      <c r="P85" s="226" t="str">
        <f t="shared" si="2"/>
        <v>#N/A</v>
      </c>
      <c r="Q85" s="227" t="str">
        <f t="shared" si="3"/>
        <v>#N/A</v>
      </c>
      <c r="R85" s="228" t="str">
        <f t="shared" si="4"/>
        <v>#N/A</v>
      </c>
      <c r="S85" s="220" t="str">
        <f t="shared" si="5"/>
        <v>#N/A</v>
      </c>
      <c r="T85" s="220" t="str">
        <f t="shared" si="6"/>
        <v>#N/A</v>
      </c>
      <c r="U85" s="221">
        <f t="shared" si="7"/>
        <v>0</v>
      </c>
      <c r="V85" s="229" t="str">
        <f>ifs($N85="",VLOOKUP($B85&amp;$E85,'VISIT DATA'!$A$2:$J100,7,FALSE), $N85="SWAB","OUTSA-RW",$N85="SWQU","OUTSA-SaQu", AND($L85="X",$M85="X",$N85="QUEST"),"OUT-UAQPre",$N85="QUEST","OUT-UAQ", $N85="Walk in","ColUATele")</f>
        <v>#N/A</v>
      </c>
      <c r="W85" s="24" t="str">
        <f t="shared" si="8"/>
        <v>#N/A</v>
      </c>
      <c r="X85" s="222" t="str">
        <f t="shared" si="9"/>
        <v/>
      </c>
      <c r="Y85" s="222" t="str">
        <f t="shared" si="10"/>
        <v/>
      </c>
      <c r="Z85" s="224" t="str">
        <f t="shared" si="11"/>
        <v> </v>
      </c>
      <c r="AA85" s="244"/>
    </row>
    <row r="86">
      <c r="A86" s="214" t="str">
        <f>IFS($B86=FALSE,"",$B86,VLOOKUP($B86,'PATIENT DATA (072721)'!A:C, 2, 0))</f>
        <v/>
      </c>
      <c r="B86" s="215"/>
      <c r="C86" s="230" t="str">
        <f>IF(COUNTIF('PATIENT DATA (072721)'!A:A, B86)=0, "X","✓")</f>
        <v>X</v>
      </c>
      <c r="D86" s="226" t="str">
        <f>IFS($B86=FALSE,"",$B86,VLOOKUP($B86,'PATIENT DATA (072721)'!A:C, 3, 0))</f>
        <v/>
      </c>
      <c r="E86" s="218"/>
      <c r="F86" s="219" t="str">
        <f>ifs($B86="","",$B86, VLOOKUP($B86&amp;$E86, 'VISIT DATA'!A:O,3,0))</f>
        <v/>
      </c>
      <c r="G86" s="231"/>
      <c r="H86" s="221"/>
      <c r="I86" s="262" t="str">
        <f>VLOOKUP($B86&amp;$E86,'VISIT DATA'!A:J, 9, FALSE)</f>
        <v>#N/A</v>
      </c>
      <c r="J86" s="223" t="str">
        <f>VLOOKUP(B86&amp;E86,'VISIT DATA'!A:N,10,FALSE)</f>
        <v>#N/A</v>
      </c>
      <c r="K86" s="225"/>
      <c r="L86" s="224"/>
      <c r="M86" s="224"/>
      <c r="N86" s="225"/>
      <c r="O86" s="216" t="str">
        <f t="shared" si="1"/>
        <v>X</v>
      </c>
      <c r="P86" s="226" t="str">
        <f t="shared" si="2"/>
        <v>#N/A</v>
      </c>
      <c r="Q86" s="227" t="str">
        <f t="shared" si="3"/>
        <v>#N/A</v>
      </c>
      <c r="R86" s="228" t="str">
        <f t="shared" si="4"/>
        <v>#N/A</v>
      </c>
      <c r="S86" s="220" t="str">
        <f t="shared" si="5"/>
        <v>#N/A</v>
      </c>
      <c r="T86" s="220" t="str">
        <f t="shared" si="6"/>
        <v>#N/A</v>
      </c>
      <c r="U86" s="221">
        <f t="shared" si="7"/>
        <v>0</v>
      </c>
      <c r="V86" s="229" t="str">
        <f>ifs($N86="",VLOOKUP($B86&amp;$E86,'VISIT DATA'!$A$2:$J100,7,FALSE), $N86="SWAB","OUTSA-RW",$N86="SWQU","OUTSA-SaQu", AND($L86="X",$M86="X",$N86="QUEST"),"OUT-UAQPre",$N86="QUEST","OUT-UAQ", $N86="Walk in","ColUATele")</f>
        <v>#N/A</v>
      </c>
      <c r="W86" s="24" t="str">
        <f t="shared" si="8"/>
        <v>#N/A</v>
      </c>
      <c r="X86" s="222" t="str">
        <f t="shared" si="9"/>
        <v/>
      </c>
      <c r="Y86" s="222" t="str">
        <f t="shared" si="10"/>
        <v/>
      </c>
      <c r="Z86" s="224" t="str">
        <f t="shared" si="11"/>
        <v> </v>
      </c>
      <c r="AA86" s="244"/>
    </row>
    <row r="87">
      <c r="A87" s="214" t="str">
        <f>IFS($B87=FALSE,"",$B87,VLOOKUP($B87,'PATIENT DATA (072721)'!A:C, 2, 0))</f>
        <v/>
      </c>
      <c r="B87" s="215"/>
      <c r="C87" s="230" t="str">
        <f>IF(COUNTIF('PATIENT DATA (072721)'!A:A, B87)=0, "X","✓")</f>
        <v>X</v>
      </c>
      <c r="D87" s="226" t="str">
        <f>IFS($B87=FALSE,"",$B87,VLOOKUP($B87,'PATIENT DATA (072721)'!A:C, 3, 0))</f>
        <v/>
      </c>
      <c r="E87" s="218"/>
      <c r="F87" s="219" t="str">
        <f>ifs($B87="","",$B87, VLOOKUP($B87&amp;$E87, 'VISIT DATA'!A:O,3,0))</f>
        <v/>
      </c>
      <c r="G87" s="231"/>
      <c r="H87" s="221"/>
      <c r="I87" s="262" t="str">
        <f>VLOOKUP($B87&amp;$E87,'VISIT DATA'!A:J, 9, FALSE)</f>
        <v>#N/A</v>
      </c>
      <c r="J87" s="223" t="str">
        <f>VLOOKUP(B87&amp;E87,'VISIT DATA'!A:N,10,FALSE)</f>
        <v>#N/A</v>
      </c>
      <c r="K87" s="225"/>
      <c r="L87" s="224"/>
      <c r="M87" s="224"/>
      <c r="N87" s="225"/>
      <c r="O87" s="216" t="str">
        <f t="shared" si="1"/>
        <v>X</v>
      </c>
      <c r="P87" s="226" t="str">
        <f t="shared" si="2"/>
        <v>#N/A</v>
      </c>
      <c r="Q87" s="227" t="str">
        <f t="shared" si="3"/>
        <v>#N/A</v>
      </c>
      <c r="R87" s="228" t="str">
        <f t="shared" si="4"/>
        <v>#N/A</v>
      </c>
      <c r="S87" s="220" t="str">
        <f t="shared" si="5"/>
        <v>#N/A</v>
      </c>
      <c r="T87" s="220" t="str">
        <f t="shared" si="6"/>
        <v>#N/A</v>
      </c>
      <c r="U87" s="221">
        <f t="shared" si="7"/>
        <v>0</v>
      </c>
      <c r="V87" s="229" t="str">
        <f>ifs($N87="",VLOOKUP($B87&amp;$E87,'VISIT DATA'!$A$2:$J100,7,FALSE), $N87="SWAB","OUTSA-RW",$N87="SWQU","OUTSA-SaQu", AND($L87="X",$M87="X",$N87="QUEST"),"OUT-UAQPre",$N87="QUEST","OUT-UAQ", $N87="Walk in","ColUATele")</f>
        <v>#N/A</v>
      </c>
      <c r="W87" s="24" t="str">
        <f t="shared" si="8"/>
        <v>#N/A</v>
      </c>
      <c r="X87" s="222" t="str">
        <f t="shared" si="9"/>
        <v/>
      </c>
      <c r="Y87" s="222" t="str">
        <f t="shared" si="10"/>
        <v/>
      </c>
      <c r="Z87" s="224" t="str">
        <f t="shared" si="11"/>
        <v> </v>
      </c>
      <c r="AA87" s="244"/>
    </row>
    <row r="88">
      <c r="A88" s="214" t="str">
        <f>IFS($B88=FALSE,"",$B88,VLOOKUP($B88,'PATIENT DATA (072721)'!A:C, 2, 0))</f>
        <v/>
      </c>
      <c r="B88" s="215"/>
      <c r="C88" s="230" t="str">
        <f>IF(COUNTIF('PATIENT DATA (072721)'!A:A, B88)=0, "X","✓")</f>
        <v>X</v>
      </c>
      <c r="D88" s="226" t="str">
        <f>IFS($B88=FALSE,"",$B88,VLOOKUP($B88,'PATIENT DATA (072721)'!A:C, 3, 0))</f>
        <v/>
      </c>
      <c r="E88" s="218"/>
      <c r="F88" s="219" t="str">
        <f>ifs($B88="","",$B88, VLOOKUP($B88&amp;$E88, 'VISIT DATA'!A:O,3,0))</f>
        <v/>
      </c>
      <c r="G88" s="231"/>
      <c r="H88" s="221"/>
      <c r="I88" s="262" t="str">
        <f>VLOOKUP($B88&amp;$E88,'VISIT DATA'!A:J, 9, FALSE)</f>
        <v>#N/A</v>
      </c>
      <c r="J88" s="223" t="str">
        <f>VLOOKUP(B88&amp;E88,'VISIT DATA'!A:N,10,FALSE)</f>
        <v>#N/A</v>
      </c>
      <c r="K88" s="225"/>
      <c r="L88" s="224"/>
      <c r="M88" s="224"/>
      <c r="N88" s="225"/>
      <c r="O88" s="216" t="str">
        <f t="shared" si="1"/>
        <v>X</v>
      </c>
      <c r="P88" s="226" t="str">
        <f t="shared" si="2"/>
        <v>#N/A</v>
      </c>
      <c r="Q88" s="227" t="str">
        <f t="shared" si="3"/>
        <v>#N/A</v>
      </c>
      <c r="R88" s="228" t="str">
        <f t="shared" si="4"/>
        <v>#N/A</v>
      </c>
      <c r="S88" s="220" t="str">
        <f t="shared" si="5"/>
        <v>#N/A</v>
      </c>
      <c r="T88" s="220" t="str">
        <f t="shared" si="6"/>
        <v>#N/A</v>
      </c>
      <c r="U88" s="221">
        <f t="shared" si="7"/>
        <v>0</v>
      </c>
      <c r="V88" s="229" t="str">
        <f>ifs($N88="",VLOOKUP($B88&amp;$E88,'VISIT DATA'!$A$2:$J100,7,FALSE), $N88="SWAB","OUTSA-RW",$N88="SWQU","OUTSA-SaQu", AND($L88="X",$M88="X",$N88="QUEST"),"OUT-UAQPre",$N88="QUEST","OUT-UAQ", $N88="Walk in","ColUATele")</f>
        <v>#N/A</v>
      </c>
      <c r="W88" s="24" t="str">
        <f t="shared" si="8"/>
        <v>#N/A</v>
      </c>
      <c r="X88" s="222" t="str">
        <f t="shared" si="9"/>
        <v/>
      </c>
      <c r="Y88" s="222" t="str">
        <f t="shared" si="10"/>
        <v/>
      </c>
      <c r="Z88" s="224" t="str">
        <f t="shared" si="11"/>
        <v> </v>
      </c>
      <c r="AA88" s="244"/>
    </row>
    <row r="89">
      <c r="A89" s="214" t="str">
        <f>IFS($B89=FALSE,"",$B89,VLOOKUP($B89,'PATIENT DATA (072721)'!A:C, 2, 0))</f>
        <v/>
      </c>
      <c r="B89" s="215"/>
      <c r="C89" s="230" t="str">
        <f>IF(COUNTIF('PATIENT DATA (072721)'!A:A, B89)=0, "X","✓")</f>
        <v>X</v>
      </c>
      <c r="D89" s="226" t="str">
        <f>IFS($B89=FALSE,"",$B89,VLOOKUP($B89,'PATIENT DATA (072721)'!A:C, 3, 0))</f>
        <v/>
      </c>
      <c r="E89" s="218"/>
      <c r="F89" s="219" t="str">
        <f>ifs($B89="","",$B89, VLOOKUP($B89&amp;$E89, 'VISIT DATA'!A:O,3,0))</f>
        <v/>
      </c>
      <c r="G89" s="231"/>
      <c r="H89" s="221"/>
      <c r="I89" s="262" t="str">
        <f>VLOOKUP($B89&amp;$E89,'VISIT DATA'!A:J, 9, FALSE)</f>
        <v>#N/A</v>
      </c>
      <c r="J89" s="223" t="str">
        <f>VLOOKUP(B89&amp;E89,'VISIT DATA'!A:N,10,FALSE)</f>
        <v>#N/A</v>
      </c>
      <c r="K89" s="225"/>
      <c r="L89" s="224"/>
      <c r="M89" s="224"/>
      <c r="N89" s="225"/>
      <c r="O89" s="216" t="str">
        <f t="shared" si="1"/>
        <v>X</v>
      </c>
      <c r="P89" s="226" t="str">
        <f t="shared" si="2"/>
        <v>#N/A</v>
      </c>
      <c r="Q89" s="227" t="str">
        <f t="shared" si="3"/>
        <v>#N/A</v>
      </c>
      <c r="R89" s="228" t="str">
        <f t="shared" si="4"/>
        <v>#N/A</v>
      </c>
      <c r="S89" s="220" t="str">
        <f t="shared" si="5"/>
        <v>#N/A</v>
      </c>
      <c r="T89" s="220" t="str">
        <f t="shared" si="6"/>
        <v>#N/A</v>
      </c>
      <c r="U89" s="221">
        <f t="shared" si="7"/>
        <v>0</v>
      </c>
      <c r="V89" s="229" t="str">
        <f>ifs($N89="",VLOOKUP($B89&amp;$E89,'VISIT DATA'!$A$2:$J100,7,FALSE), $N89="SWAB","OUTSA-RW",$N89="SWQU","OUTSA-SaQu", AND($L89="X",$M89="X",$N89="QUEST"),"OUT-UAQPre",$N89="QUEST","OUT-UAQ", $N89="Walk in","ColUATele")</f>
        <v>#N/A</v>
      </c>
      <c r="W89" s="24" t="str">
        <f t="shared" si="8"/>
        <v>#N/A</v>
      </c>
      <c r="X89" s="222" t="str">
        <f t="shared" si="9"/>
        <v/>
      </c>
      <c r="Y89" s="222" t="str">
        <f t="shared" si="10"/>
        <v/>
      </c>
      <c r="Z89" s="224" t="str">
        <f t="shared" si="11"/>
        <v> </v>
      </c>
      <c r="AA89" s="244"/>
    </row>
    <row r="90">
      <c r="A90" s="214" t="str">
        <f>IFS($B90=FALSE,"",$B90,VLOOKUP($B90,'PATIENT DATA (072721)'!A:C, 2, 0))</f>
        <v/>
      </c>
      <c r="B90" s="215"/>
      <c r="C90" s="230" t="str">
        <f>IF(COUNTIF('PATIENT DATA (072721)'!A:A, B90)=0, "X","✓")</f>
        <v>X</v>
      </c>
      <c r="D90" s="226" t="str">
        <f>IFS($B90=FALSE,"",$B90,VLOOKUP($B90,'PATIENT DATA (072721)'!A:C, 3, 0))</f>
        <v/>
      </c>
      <c r="E90" s="218"/>
      <c r="F90" s="219" t="str">
        <f>ifs($B90="","",$B90, VLOOKUP($B90&amp;$E90, 'VISIT DATA'!A:O,3,0))</f>
        <v/>
      </c>
      <c r="G90" s="231"/>
      <c r="H90" s="221"/>
      <c r="I90" s="262" t="str">
        <f>VLOOKUP($B90&amp;$E90,'VISIT DATA'!A:J, 9, FALSE)</f>
        <v>#N/A</v>
      </c>
      <c r="J90" s="223" t="str">
        <f>VLOOKUP(B90&amp;E90,'VISIT DATA'!A:N,10,FALSE)</f>
        <v>#N/A</v>
      </c>
      <c r="K90" s="225"/>
      <c r="L90" s="224"/>
      <c r="M90" s="224"/>
      <c r="N90" s="225"/>
      <c r="O90" s="216" t="str">
        <f t="shared" si="1"/>
        <v>X</v>
      </c>
      <c r="P90" s="226" t="str">
        <f t="shared" si="2"/>
        <v>#N/A</v>
      </c>
      <c r="Q90" s="227" t="str">
        <f t="shared" si="3"/>
        <v>#N/A</v>
      </c>
      <c r="R90" s="228" t="str">
        <f t="shared" si="4"/>
        <v>#N/A</v>
      </c>
      <c r="S90" s="220" t="str">
        <f t="shared" si="5"/>
        <v>#N/A</v>
      </c>
      <c r="T90" s="220" t="str">
        <f t="shared" si="6"/>
        <v>#N/A</v>
      </c>
      <c r="U90" s="221">
        <f t="shared" si="7"/>
        <v>0</v>
      </c>
      <c r="V90" s="229" t="str">
        <f>ifs($N90="",VLOOKUP($B90&amp;$E90,'VISIT DATA'!$A$2:$J100,7,FALSE), $N90="SWAB","OUTSA-RW",$N90="SWQU","OUTSA-SaQu", AND($L90="X",$M90="X",$N90="QUEST"),"OUT-UAQPre",$N90="QUEST","OUT-UAQ", $N90="Walk in","ColUATele")</f>
        <v>#N/A</v>
      </c>
      <c r="W90" s="24" t="str">
        <f t="shared" si="8"/>
        <v>#N/A</v>
      </c>
      <c r="X90" s="222" t="str">
        <f t="shared" si="9"/>
        <v/>
      </c>
      <c r="Y90" s="222" t="str">
        <f t="shared" si="10"/>
        <v/>
      </c>
      <c r="Z90" s="224" t="str">
        <f t="shared" si="11"/>
        <v> </v>
      </c>
      <c r="AA90" s="244"/>
    </row>
    <row r="91">
      <c r="A91" s="214" t="str">
        <f>IFS($B91=FALSE,"",$B91,VLOOKUP($B91,'PATIENT DATA (072721)'!A:C, 2, 0))</f>
        <v/>
      </c>
      <c r="B91" s="215"/>
      <c r="C91" s="230" t="str">
        <f>IF(COUNTIF('PATIENT DATA (072721)'!A:A, B91)=0, "X","✓")</f>
        <v>X</v>
      </c>
      <c r="D91" s="226" t="str">
        <f>IFS($B91=FALSE,"",$B91,VLOOKUP($B91,'PATIENT DATA (072721)'!A:C, 3, 0))</f>
        <v/>
      </c>
      <c r="E91" s="218"/>
      <c r="F91" s="219" t="str">
        <f>ifs($B91="","",$B91, VLOOKUP($B91&amp;$E91, 'VISIT DATA'!A:O,3,0))</f>
        <v/>
      </c>
      <c r="G91" s="231"/>
      <c r="H91" s="221"/>
      <c r="I91" s="262" t="str">
        <f>VLOOKUP($B91&amp;$E91,'VISIT DATA'!A:J, 9, FALSE)</f>
        <v>#N/A</v>
      </c>
      <c r="J91" s="223" t="str">
        <f>VLOOKUP(B91&amp;E91,'VISIT DATA'!A:N,10,FALSE)</f>
        <v>#N/A</v>
      </c>
      <c r="K91" s="225"/>
      <c r="L91" s="224"/>
      <c r="M91" s="224"/>
      <c r="N91" s="225"/>
      <c r="O91" s="216" t="str">
        <f t="shared" si="1"/>
        <v>X</v>
      </c>
      <c r="P91" s="226" t="str">
        <f t="shared" si="2"/>
        <v>#N/A</v>
      </c>
      <c r="Q91" s="227" t="str">
        <f t="shared" si="3"/>
        <v>#N/A</v>
      </c>
      <c r="R91" s="228" t="str">
        <f t="shared" si="4"/>
        <v>#N/A</v>
      </c>
      <c r="S91" s="220" t="str">
        <f t="shared" si="5"/>
        <v>#N/A</v>
      </c>
      <c r="T91" s="220" t="str">
        <f t="shared" si="6"/>
        <v>#N/A</v>
      </c>
      <c r="U91" s="221">
        <f t="shared" si="7"/>
        <v>0</v>
      </c>
      <c r="V91" s="229" t="str">
        <f>ifs($N91="",VLOOKUP($B91&amp;$E91,'VISIT DATA'!$A$2:$J100,7,FALSE), $N91="SWAB","OUTSA-RW",$N91="SWQU","OUTSA-SaQu", AND($L91="X",$M91="X",$N91="QUEST"),"OUT-UAQPre",$N91="QUEST","OUT-UAQ", $N91="Walk in","ColUATele")</f>
        <v>#N/A</v>
      </c>
      <c r="W91" s="24" t="str">
        <f t="shared" si="8"/>
        <v>#N/A</v>
      </c>
      <c r="X91" s="222" t="str">
        <f t="shared" si="9"/>
        <v/>
      </c>
      <c r="Y91" s="222" t="str">
        <f t="shared" si="10"/>
        <v/>
      </c>
      <c r="Z91" s="224" t="str">
        <f t="shared" si="11"/>
        <v> </v>
      </c>
      <c r="AA91" s="244"/>
    </row>
    <row r="92">
      <c r="A92" s="214" t="str">
        <f>IFS($B92=FALSE,"",$B92,VLOOKUP($B92,'PATIENT DATA (072721)'!A:C, 2, 0))</f>
        <v/>
      </c>
      <c r="B92" s="215"/>
      <c r="C92" s="230" t="str">
        <f>IF(COUNTIF('PATIENT DATA (072721)'!A:A, B92)=0, "X","✓")</f>
        <v>X</v>
      </c>
      <c r="D92" s="226" t="str">
        <f>IFS($B92=FALSE,"",$B92,VLOOKUP($B92,'PATIENT DATA (072721)'!A:C, 3, 0))</f>
        <v/>
      </c>
      <c r="E92" s="218"/>
      <c r="F92" s="219" t="str">
        <f>ifs($B92="","",$B92, VLOOKUP($B92&amp;$E92, 'VISIT DATA'!A:O,3,0))</f>
        <v/>
      </c>
      <c r="G92" s="231"/>
      <c r="H92" s="221"/>
      <c r="I92" s="262" t="str">
        <f>VLOOKUP($B92&amp;$E92,'VISIT DATA'!A:J, 9, FALSE)</f>
        <v>#N/A</v>
      </c>
      <c r="J92" s="223" t="str">
        <f>VLOOKUP(B92&amp;E92,'VISIT DATA'!A:N,10,FALSE)</f>
        <v>#N/A</v>
      </c>
      <c r="K92" s="225"/>
      <c r="L92" s="224"/>
      <c r="M92" s="224"/>
      <c r="N92" s="225"/>
      <c r="O92" s="216" t="str">
        <f t="shared" si="1"/>
        <v>X</v>
      </c>
      <c r="P92" s="226" t="str">
        <f t="shared" si="2"/>
        <v>#N/A</v>
      </c>
      <c r="Q92" s="227" t="str">
        <f t="shared" si="3"/>
        <v>#N/A</v>
      </c>
      <c r="R92" s="228" t="str">
        <f t="shared" si="4"/>
        <v>#N/A</v>
      </c>
      <c r="S92" s="220" t="str">
        <f t="shared" si="5"/>
        <v>#N/A</v>
      </c>
      <c r="T92" s="220" t="str">
        <f t="shared" si="6"/>
        <v>#N/A</v>
      </c>
      <c r="U92" s="221">
        <f t="shared" si="7"/>
        <v>0</v>
      </c>
      <c r="V92" s="229" t="str">
        <f>ifs($N92="",VLOOKUP($B92&amp;$E92,'VISIT DATA'!$A$2:$J100,7,FALSE), $N92="SWAB","OUTSA-RW",$N92="SWQU","OUTSA-SaQu", AND($L92="X",$M92="X",$N92="QUEST"),"OUT-UAQPre",$N92="QUEST","OUT-UAQ", $N92="Walk in","ColUATele")</f>
        <v>#N/A</v>
      </c>
      <c r="W92" s="24" t="str">
        <f t="shared" si="8"/>
        <v>#N/A</v>
      </c>
      <c r="X92" s="222" t="str">
        <f t="shared" si="9"/>
        <v/>
      </c>
      <c r="Y92" s="222" t="str">
        <f t="shared" si="10"/>
        <v/>
      </c>
      <c r="Z92" s="224" t="str">
        <f t="shared" si="11"/>
        <v> </v>
      </c>
      <c r="AA92" s="244"/>
    </row>
    <row r="93">
      <c r="A93" s="214" t="str">
        <f>IFS($B93=FALSE,"",$B93,VLOOKUP($B93,'PATIENT DATA (072721)'!A:C, 2, 0))</f>
        <v/>
      </c>
      <c r="B93" s="215"/>
      <c r="C93" s="230" t="str">
        <f>IF(COUNTIF('PATIENT DATA (072721)'!A:A, B93)=0, "X","✓")</f>
        <v>X</v>
      </c>
      <c r="D93" s="226" t="str">
        <f>IFS($B93=FALSE,"",$B93,VLOOKUP($B93,'PATIENT DATA (072721)'!A:C, 3, 0))</f>
        <v/>
      </c>
      <c r="E93" s="218"/>
      <c r="F93" s="219" t="str">
        <f>ifs($B93="","",$B93, VLOOKUP($B93&amp;$E93, 'VISIT DATA'!A:O,3,0))</f>
        <v/>
      </c>
      <c r="G93" s="231"/>
      <c r="H93" s="221"/>
      <c r="I93" s="262" t="str">
        <f>VLOOKUP($B93&amp;$E93,'VISIT DATA'!A:J, 9, FALSE)</f>
        <v>#N/A</v>
      </c>
      <c r="J93" s="223" t="str">
        <f>VLOOKUP(B93&amp;E93,'VISIT DATA'!A:N,10,FALSE)</f>
        <v>#N/A</v>
      </c>
      <c r="K93" s="225"/>
      <c r="L93" s="224"/>
      <c r="M93" s="224"/>
      <c r="N93" s="225"/>
      <c r="O93" s="216" t="str">
        <f t="shared" si="1"/>
        <v>X</v>
      </c>
      <c r="P93" s="226" t="str">
        <f t="shared" si="2"/>
        <v>#N/A</v>
      </c>
      <c r="Q93" s="227" t="str">
        <f t="shared" si="3"/>
        <v>#N/A</v>
      </c>
      <c r="R93" s="228" t="str">
        <f t="shared" si="4"/>
        <v>#N/A</v>
      </c>
      <c r="S93" s="220" t="str">
        <f t="shared" si="5"/>
        <v>#N/A</v>
      </c>
      <c r="T93" s="220" t="str">
        <f t="shared" si="6"/>
        <v>#N/A</v>
      </c>
      <c r="U93" s="221">
        <f t="shared" si="7"/>
        <v>0</v>
      </c>
      <c r="V93" s="229" t="str">
        <f>ifs($N93="",VLOOKUP($B93&amp;$E93,'VISIT DATA'!$A$2:$J100,7,FALSE), $N93="SWAB","OUTSA-RW",$N93="SWQU","OUTSA-SaQu", AND($L93="X",$M93="X",$N93="QUEST"),"OUT-UAQPre",$N93="QUEST","OUT-UAQ", $N93="Walk in","ColUATele")</f>
        <v>#N/A</v>
      </c>
      <c r="W93" s="24" t="str">
        <f t="shared" si="8"/>
        <v>#N/A</v>
      </c>
      <c r="X93" s="222" t="str">
        <f t="shared" si="9"/>
        <v/>
      </c>
      <c r="Y93" s="222" t="str">
        <f t="shared" si="10"/>
        <v/>
      </c>
      <c r="Z93" s="224" t="str">
        <f t="shared" si="11"/>
        <v> </v>
      </c>
      <c r="AA93" s="244"/>
    </row>
    <row r="94">
      <c r="A94" s="214" t="str">
        <f>IFS($B94=FALSE,"",$B94,VLOOKUP($B94,'PATIENT DATA (072721)'!A:C, 2, 0))</f>
        <v/>
      </c>
      <c r="B94" s="215"/>
      <c r="C94" s="230" t="str">
        <f>IF(COUNTIF('PATIENT DATA (072721)'!A:A, B94)=0, "X","✓")</f>
        <v>X</v>
      </c>
      <c r="D94" s="226" t="str">
        <f>IFS($B94=FALSE,"",$B94,VLOOKUP($B94,'PATIENT DATA (072721)'!A:C, 3, 0))</f>
        <v/>
      </c>
      <c r="E94" s="218"/>
      <c r="F94" s="219" t="str">
        <f>ifs($B94="","",$B94, VLOOKUP($B94&amp;$E94, 'VISIT DATA'!A:O,3,0))</f>
        <v/>
      </c>
      <c r="G94" s="231"/>
      <c r="H94" s="221"/>
      <c r="I94" s="262" t="str">
        <f>VLOOKUP($B94&amp;$E94,'VISIT DATA'!A:J, 9, FALSE)</f>
        <v>#N/A</v>
      </c>
      <c r="J94" s="223" t="str">
        <f>VLOOKUP(B94&amp;E94,'VISIT DATA'!A:N,10,FALSE)</f>
        <v>#N/A</v>
      </c>
      <c r="K94" s="225"/>
      <c r="L94" s="224"/>
      <c r="M94" s="224"/>
      <c r="N94" s="225"/>
      <c r="O94" s="216" t="str">
        <f t="shared" si="1"/>
        <v>X</v>
      </c>
      <c r="P94" s="226" t="str">
        <f t="shared" si="2"/>
        <v>#N/A</v>
      </c>
      <c r="Q94" s="227" t="str">
        <f t="shared" si="3"/>
        <v>#N/A</v>
      </c>
      <c r="R94" s="228" t="str">
        <f t="shared" si="4"/>
        <v>#N/A</v>
      </c>
      <c r="S94" s="220" t="str">
        <f t="shared" si="5"/>
        <v>#N/A</v>
      </c>
      <c r="T94" s="220" t="str">
        <f t="shared" si="6"/>
        <v>#N/A</v>
      </c>
      <c r="U94" s="221">
        <f t="shared" si="7"/>
        <v>0</v>
      </c>
      <c r="V94" s="229" t="str">
        <f>ifs($N94="",VLOOKUP($B94&amp;$E94,'VISIT DATA'!$A$2:$J100,7,FALSE), $N94="SWAB","OUTSA-RW",$N94="SWQU","OUTSA-SaQu", AND($L94="X",$M94="X",$N94="QUEST"),"OUT-UAQPre",$N94="QUEST","OUT-UAQ", $N94="Walk in","ColUATele")</f>
        <v>#N/A</v>
      </c>
      <c r="W94" s="24" t="str">
        <f t="shared" si="8"/>
        <v>#N/A</v>
      </c>
      <c r="X94" s="222" t="str">
        <f t="shared" si="9"/>
        <v/>
      </c>
      <c r="Y94" s="222" t="str">
        <f t="shared" si="10"/>
        <v/>
      </c>
      <c r="Z94" s="224" t="str">
        <f t="shared" si="11"/>
        <v> </v>
      </c>
      <c r="AA94" s="244"/>
    </row>
    <row r="95">
      <c r="A95" s="214" t="str">
        <f>IFS($B95=FALSE,"",$B95,VLOOKUP($B95,'PATIENT DATA (072721)'!A:C, 2, 0))</f>
        <v/>
      </c>
      <c r="B95" s="215"/>
      <c r="C95" s="230" t="str">
        <f>IF(COUNTIF('PATIENT DATA (072721)'!A:A, B95)=0, "X","✓")</f>
        <v>X</v>
      </c>
      <c r="D95" s="226" t="str">
        <f>IFS($B95=FALSE,"",$B95,VLOOKUP($B95,'PATIENT DATA (072721)'!A:C, 3, 0))</f>
        <v/>
      </c>
      <c r="E95" s="218"/>
      <c r="F95" s="219" t="str">
        <f>ifs($B95="","",$B95, VLOOKUP($B95&amp;$E95, 'VISIT DATA'!A:O,3,0))</f>
        <v/>
      </c>
      <c r="G95" s="231"/>
      <c r="H95" s="221"/>
      <c r="I95" s="262" t="str">
        <f>VLOOKUP($B95&amp;$E95,'VISIT DATA'!A:J, 9, FALSE)</f>
        <v>#N/A</v>
      </c>
      <c r="J95" s="223" t="str">
        <f>VLOOKUP(B95&amp;E95,'VISIT DATA'!A:N,10,FALSE)</f>
        <v>#N/A</v>
      </c>
      <c r="K95" s="225"/>
      <c r="L95" s="224"/>
      <c r="M95" s="224"/>
      <c r="N95" s="225"/>
      <c r="O95" s="216" t="str">
        <f t="shared" si="1"/>
        <v>X</v>
      </c>
      <c r="P95" s="226" t="str">
        <f t="shared" si="2"/>
        <v>#N/A</v>
      </c>
      <c r="Q95" s="227" t="str">
        <f t="shared" si="3"/>
        <v>#N/A</v>
      </c>
      <c r="R95" s="228" t="str">
        <f t="shared" si="4"/>
        <v>#N/A</v>
      </c>
      <c r="S95" s="220" t="str">
        <f t="shared" si="5"/>
        <v>#N/A</v>
      </c>
      <c r="T95" s="220" t="str">
        <f t="shared" si="6"/>
        <v>#N/A</v>
      </c>
      <c r="U95" s="221">
        <f t="shared" si="7"/>
        <v>0</v>
      </c>
      <c r="V95" s="229" t="str">
        <f>ifs($N95="",VLOOKUP($B95&amp;$E95,'VISIT DATA'!$A$2:$J100,7,FALSE), $N95="SWAB","OUTSA-RW",$N95="SWQU","OUTSA-SaQu", AND($L95="X",$M95="X",$N95="QUEST"),"OUT-UAQPre",$N95="QUEST","OUT-UAQ", $N95="Walk in","ColUATele")</f>
        <v>#N/A</v>
      </c>
      <c r="W95" s="24" t="str">
        <f t="shared" si="8"/>
        <v>#N/A</v>
      </c>
      <c r="X95" s="222" t="str">
        <f t="shared" si="9"/>
        <v/>
      </c>
      <c r="Y95" s="222" t="str">
        <f t="shared" si="10"/>
        <v/>
      </c>
      <c r="Z95" s="224" t="str">
        <f t="shared" si="11"/>
        <v> </v>
      </c>
      <c r="AA95" s="244"/>
    </row>
    <row r="96">
      <c r="A96" s="214" t="str">
        <f>IFS($B96=FALSE,"",$B96,VLOOKUP($B96,'PATIENT DATA (072721)'!A:C, 2, 0))</f>
        <v/>
      </c>
      <c r="B96" s="215"/>
      <c r="C96" s="230" t="str">
        <f>IF(COUNTIF('PATIENT DATA (072721)'!A:A, B96)=0, "X","✓")</f>
        <v>X</v>
      </c>
      <c r="D96" s="226" t="str">
        <f>IFS($B96=FALSE,"",$B96,VLOOKUP($B96,'PATIENT DATA (072721)'!A:C, 3, 0))</f>
        <v/>
      </c>
      <c r="E96" s="218"/>
      <c r="F96" s="219" t="str">
        <f>ifs($B96="","",$B96, VLOOKUP($B96&amp;$E96, 'VISIT DATA'!A:O,3,0))</f>
        <v/>
      </c>
      <c r="G96" s="231"/>
      <c r="H96" s="221"/>
      <c r="I96" s="262" t="str">
        <f>VLOOKUP($B96&amp;$E96,'VISIT DATA'!A:J, 9, FALSE)</f>
        <v>#N/A</v>
      </c>
      <c r="J96" s="223" t="str">
        <f>VLOOKUP(B96&amp;E96,'VISIT DATA'!A:N,10,FALSE)</f>
        <v>#N/A</v>
      </c>
      <c r="K96" s="225"/>
      <c r="L96" s="224"/>
      <c r="M96" s="224"/>
      <c r="N96" s="225"/>
      <c r="O96" s="216" t="str">
        <f t="shared" si="1"/>
        <v>X</v>
      </c>
      <c r="P96" s="226" t="str">
        <f t="shared" si="2"/>
        <v>#N/A</v>
      </c>
      <c r="Q96" s="227" t="str">
        <f t="shared" si="3"/>
        <v>#N/A</v>
      </c>
      <c r="R96" s="228" t="str">
        <f t="shared" si="4"/>
        <v>#N/A</v>
      </c>
      <c r="S96" s="220" t="str">
        <f t="shared" si="5"/>
        <v>#N/A</v>
      </c>
      <c r="T96" s="220" t="str">
        <f t="shared" si="6"/>
        <v>#N/A</v>
      </c>
      <c r="U96" s="221">
        <f t="shared" si="7"/>
        <v>0</v>
      </c>
      <c r="V96" s="229" t="str">
        <f>ifs($N96="",VLOOKUP($B96&amp;$E96,'VISIT DATA'!$A$2:$J100,7,FALSE), $N96="SWAB","OUTSA-RW",$N96="SWQU","OUTSA-SaQu", AND($L96="X",$M96="X",$N96="QUEST"),"OUT-UAQPre",$N96="QUEST","OUT-UAQ", $N96="Walk in","ColUATele")</f>
        <v>#N/A</v>
      </c>
      <c r="W96" s="24" t="str">
        <f t="shared" si="8"/>
        <v>#N/A</v>
      </c>
      <c r="X96" s="222" t="str">
        <f t="shared" si="9"/>
        <v/>
      </c>
      <c r="Y96" s="222" t="str">
        <f t="shared" si="10"/>
        <v/>
      </c>
      <c r="Z96" s="224" t="str">
        <f t="shared" si="11"/>
        <v> </v>
      </c>
      <c r="AA96" s="244"/>
    </row>
    <row r="97">
      <c r="A97" s="214" t="str">
        <f>IFS($B97=FALSE,"",$B97,VLOOKUP($B97,'PATIENT DATA (072721)'!A:C, 2, 0))</f>
        <v/>
      </c>
      <c r="B97" s="215"/>
      <c r="C97" s="230" t="str">
        <f>IF(COUNTIF('PATIENT DATA (072721)'!A:A, B97)=0, "X","✓")</f>
        <v>X</v>
      </c>
      <c r="D97" s="226" t="str">
        <f>IFS($B97=FALSE,"",$B97,VLOOKUP($B97,'PATIENT DATA (072721)'!A:C, 3, 0))</f>
        <v/>
      </c>
      <c r="E97" s="218"/>
      <c r="F97" s="219" t="str">
        <f>ifs($B97="","",$B97, VLOOKUP($B97&amp;$E97, 'VISIT DATA'!A:O,3,0))</f>
        <v/>
      </c>
      <c r="G97" s="231"/>
      <c r="H97" s="221"/>
      <c r="I97" s="262" t="str">
        <f>VLOOKUP($B97&amp;$E97,'VISIT DATA'!A:J, 9, FALSE)</f>
        <v>#N/A</v>
      </c>
      <c r="J97" s="223" t="str">
        <f>VLOOKUP(B97&amp;E97,'VISIT DATA'!A:N,10,FALSE)</f>
        <v>#N/A</v>
      </c>
      <c r="K97" s="225"/>
      <c r="L97" s="224"/>
      <c r="M97" s="224"/>
      <c r="N97" s="225"/>
      <c r="O97" s="216" t="str">
        <f t="shared" si="1"/>
        <v>X</v>
      </c>
      <c r="P97" s="226" t="str">
        <f t="shared" si="2"/>
        <v>#N/A</v>
      </c>
      <c r="Q97" s="227" t="str">
        <f t="shared" si="3"/>
        <v>#N/A</v>
      </c>
      <c r="R97" s="228" t="str">
        <f t="shared" si="4"/>
        <v>#N/A</v>
      </c>
      <c r="S97" s="220" t="str">
        <f t="shared" si="5"/>
        <v>#N/A</v>
      </c>
      <c r="T97" s="220" t="str">
        <f t="shared" si="6"/>
        <v>#N/A</v>
      </c>
      <c r="U97" s="221">
        <f t="shared" si="7"/>
        <v>0</v>
      </c>
      <c r="V97" s="229" t="str">
        <f>ifs($N97="",VLOOKUP($B97&amp;$E97,'VISIT DATA'!$A$2:$J100,7,FALSE), $N97="SWAB","OUTSA-RW",$N97="SWQU","OUTSA-SaQu", AND($L97="X",$M97="X",$N97="QUEST"),"OUT-UAQPre",$N97="QUEST","OUT-UAQ", $N97="Walk in","ColUATele")</f>
        <v>#N/A</v>
      </c>
      <c r="W97" s="24" t="str">
        <f t="shared" si="8"/>
        <v>#N/A</v>
      </c>
      <c r="X97" s="222" t="str">
        <f t="shared" si="9"/>
        <v/>
      </c>
      <c r="Y97" s="222" t="str">
        <f t="shared" si="10"/>
        <v/>
      </c>
      <c r="Z97" s="224" t="str">
        <f t="shared" si="11"/>
        <v> </v>
      </c>
      <c r="AA97" s="244"/>
    </row>
    <row r="98">
      <c r="A98" s="214" t="str">
        <f>IFS($B98=FALSE,"",$B98,VLOOKUP($B98,'PATIENT DATA (072721)'!A:C, 2, 0))</f>
        <v/>
      </c>
      <c r="B98" s="215"/>
      <c r="C98" s="230" t="str">
        <f>IF(COUNTIF('PATIENT DATA (072721)'!A:A, B98)=0, "X","✓")</f>
        <v>X</v>
      </c>
      <c r="D98" s="226" t="str">
        <f>IFS($B98=FALSE,"",$B98,VLOOKUP($B98,'PATIENT DATA (072721)'!A:C, 3, 0))</f>
        <v/>
      </c>
      <c r="E98" s="218"/>
      <c r="F98" s="219" t="str">
        <f>ifs($B98="","",$B98, VLOOKUP($B98&amp;$E98, 'VISIT DATA'!A:O,3,0))</f>
        <v/>
      </c>
      <c r="G98" s="231"/>
      <c r="H98" s="221"/>
      <c r="I98" s="262" t="str">
        <f>VLOOKUP($B98&amp;$E98,'VISIT DATA'!A:J, 9, FALSE)</f>
        <v>#N/A</v>
      </c>
      <c r="J98" s="223" t="str">
        <f>VLOOKUP(B98&amp;E98,'VISIT DATA'!A:N,10,FALSE)</f>
        <v>#N/A</v>
      </c>
      <c r="K98" s="225"/>
      <c r="L98" s="224"/>
      <c r="M98" s="224"/>
      <c r="N98" s="225"/>
      <c r="O98" s="216" t="str">
        <f t="shared" si="1"/>
        <v>X</v>
      </c>
      <c r="P98" s="226" t="str">
        <f t="shared" si="2"/>
        <v>#N/A</v>
      </c>
      <c r="Q98" s="227" t="str">
        <f t="shared" si="3"/>
        <v>#N/A</v>
      </c>
      <c r="R98" s="228" t="str">
        <f t="shared" si="4"/>
        <v>#N/A</v>
      </c>
      <c r="S98" s="220" t="str">
        <f t="shared" si="5"/>
        <v>#N/A</v>
      </c>
      <c r="T98" s="220" t="str">
        <f t="shared" si="6"/>
        <v>#N/A</v>
      </c>
      <c r="U98" s="221">
        <f t="shared" si="7"/>
        <v>0</v>
      </c>
      <c r="V98" s="229" t="str">
        <f>ifs($N98="",VLOOKUP($B98&amp;$E98,'VISIT DATA'!$A$2:$J100,7,FALSE), $N98="SWAB","OUTSA-RW",$N98="SWQU","OUTSA-SaQu", AND($L98="X",$M98="X",$N98="QUEST"),"OUT-UAQPre",$N98="QUEST","OUT-UAQ", $N98="Walk in","ColUATele")</f>
        <v>#N/A</v>
      </c>
      <c r="W98" s="24" t="str">
        <f t="shared" si="8"/>
        <v>#N/A</v>
      </c>
      <c r="X98" s="222" t="str">
        <f t="shared" si="9"/>
        <v/>
      </c>
      <c r="Y98" s="222" t="str">
        <f t="shared" si="10"/>
        <v/>
      </c>
      <c r="Z98" s="224" t="str">
        <f t="shared" si="11"/>
        <v> </v>
      </c>
      <c r="AA98" s="244"/>
    </row>
    <row r="99">
      <c r="A99" s="214" t="str">
        <f>IFS($B99=FALSE,"",$B99,VLOOKUP($B99,'PATIENT DATA (072721)'!A:C, 2, 0))</f>
        <v/>
      </c>
      <c r="B99" s="215"/>
      <c r="C99" s="230" t="str">
        <f>IF(COUNTIF('PATIENT DATA (072721)'!A:A, B99)=0, "X","✓")</f>
        <v>X</v>
      </c>
      <c r="D99" s="226" t="str">
        <f>IFS($B99=FALSE,"",$B99,VLOOKUP($B99,'PATIENT DATA (072721)'!A:C, 3, 0))</f>
        <v/>
      </c>
      <c r="E99" s="218"/>
      <c r="F99" s="219" t="str">
        <f>ifs($B99="","",$B99, VLOOKUP($B99&amp;$E99, 'VISIT DATA'!A:O,3,0))</f>
        <v/>
      </c>
      <c r="G99" s="231"/>
      <c r="H99" s="221"/>
      <c r="I99" s="262" t="str">
        <f>VLOOKUP($B99&amp;$E99,'VISIT DATA'!A:J, 9, FALSE)</f>
        <v>#N/A</v>
      </c>
      <c r="J99" s="223" t="str">
        <f>VLOOKUP(B99&amp;E99,'VISIT DATA'!A:N,10,FALSE)</f>
        <v>#N/A</v>
      </c>
      <c r="K99" s="225"/>
      <c r="L99" s="224"/>
      <c r="M99" s="224"/>
      <c r="N99" s="225"/>
      <c r="O99" s="216" t="str">
        <f t="shared" si="1"/>
        <v>X</v>
      </c>
      <c r="P99" s="226" t="str">
        <f t="shared" si="2"/>
        <v>#N/A</v>
      </c>
      <c r="Q99" s="227" t="str">
        <f t="shared" si="3"/>
        <v>#N/A</v>
      </c>
      <c r="R99" s="228" t="str">
        <f t="shared" si="4"/>
        <v>#N/A</v>
      </c>
      <c r="S99" s="220" t="str">
        <f t="shared" si="5"/>
        <v>#N/A</v>
      </c>
      <c r="T99" s="220" t="str">
        <f t="shared" si="6"/>
        <v>#N/A</v>
      </c>
      <c r="U99" s="221">
        <f t="shared" si="7"/>
        <v>0</v>
      </c>
      <c r="V99" s="229" t="str">
        <f>ifs($N99="",VLOOKUP($B99&amp;$E99,'VISIT DATA'!$A$2:$J100,7,FALSE), $N99="SWAB","OUTSA-RW",$N99="SWQU","OUTSA-SaQu", AND($L99="X",$M99="X",$N99="QUEST"),"OUT-UAQPre",$N99="QUEST","OUT-UAQ", $N99="Walk in","ColUATele")</f>
        <v>#N/A</v>
      </c>
      <c r="W99" s="24" t="str">
        <f t="shared" si="8"/>
        <v>#N/A</v>
      </c>
      <c r="X99" s="222" t="str">
        <f t="shared" si="9"/>
        <v/>
      </c>
      <c r="Y99" s="222" t="str">
        <f t="shared" si="10"/>
        <v/>
      </c>
      <c r="Z99" s="224" t="str">
        <f t="shared" si="11"/>
        <v> </v>
      </c>
      <c r="AA99" s="244"/>
    </row>
    <row r="100">
      <c r="A100" s="232"/>
      <c r="B100" s="232"/>
      <c r="C100" s="232"/>
      <c r="D100" s="232"/>
      <c r="E100" s="263"/>
      <c r="F100" s="234"/>
      <c r="G100" s="232"/>
      <c r="H100" s="235"/>
      <c r="I100" s="232"/>
      <c r="J100" s="232"/>
      <c r="K100" s="236" t="s">
        <v>6333</v>
      </c>
      <c r="L100" s="237">
        <f>COUNTIFS(K1:L80, "X")</f>
        <v>67</v>
      </c>
      <c r="M100" s="236" t="s">
        <v>6334</v>
      </c>
      <c r="N100" s="237">
        <f>COUNTIFS(M1:M80, "X")</f>
        <v>22</v>
      </c>
      <c r="O100" s="238"/>
      <c r="P100" s="238"/>
      <c r="Q100" s="238"/>
      <c r="R100" s="238"/>
      <c r="S100" s="238"/>
      <c r="T100" s="238"/>
      <c r="U100" s="238"/>
      <c r="V100" s="239"/>
      <c r="W100" s="238"/>
      <c r="X100" s="238"/>
      <c r="Y100" s="238"/>
      <c r="Z100" s="238"/>
      <c r="AA100" s="238"/>
    </row>
  </sheetData>
  <customSheetViews>
    <customSheetView guid="{20F5F3BA-172D-4727-943D-E296FD1F3EFA}" filter="1" showAutoFilter="1">
      <autoFilter ref="$A$1:$AA$100"/>
    </customSheetView>
  </customSheetViews>
  <conditionalFormatting sqref="A1:X100">
    <cfRule type="expression" dxfId="5" priority="1">
      <formula>$X1="ERROR"</formula>
    </cfRule>
  </conditionalFormatting>
  <conditionalFormatting sqref="A1:Z99">
    <cfRule type="expression" dxfId="5" priority="2">
      <formula>$Y1="NO MATCH"</formula>
    </cfRule>
  </conditionalFormatting>
  <conditionalFormatting sqref="C2:C99 O2:O99">
    <cfRule type="containsText" dxfId="5" priority="3" operator="containsText" text="X">
      <formula>NOT(ISERROR(SEARCH(("X"),(C2))))</formula>
    </cfRule>
  </conditionalFormatting>
  <conditionalFormatting sqref="A1:Z99">
    <cfRule type="expression" dxfId="4" priority="4">
      <formula>$Z1="Repeat"</formula>
    </cfRule>
  </conditionalFormatting>
  <conditionalFormatting sqref="V2:V99">
    <cfRule type="expression" dxfId="10" priority="5">
      <formula>$N2="QUEST"</formula>
    </cfRule>
  </conditionalFormatting>
  <conditionalFormatting sqref="C2:C99 O2:O99">
    <cfRule type="containsText" dxfId="10" priority="6" operator="containsText" text="✓">
      <formula>NOT(ISERROR(SEARCH(("✓"),(C2))))</formula>
    </cfRule>
  </conditionalFormatting>
  <conditionalFormatting sqref="A1:U99">
    <cfRule type="expression" dxfId="20" priority="7">
      <formula>$J1="MOLINA DUAL COMPLETE NEW MEXICO"</formula>
    </cfRule>
  </conditionalFormatting>
  <conditionalFormatting sqref="A1:U99">
    <cfRule type="expression" dxfId="20" priority="8">
      <formula>$J1="MOLINA DUAL COMPLETE TEXAS"</formula>
    </cfRule>
  </conditionalFormatting>
  <conditionalFormatting sqref="A1:U99">
    <cfRule type="expression" dxfId="20" priority="9">
      <formula>$J1="MOLINA MARKETPLACE TEXAS"</formula>
    </cfRule>
  </conditionalFormatting>
  <conditionalFormatting sqref="K1:K99">
    <cfRule type="containsText" dxfId="6" priority="10" operator="containsText" text="x">
      <formula>NOT(ISERROR(SEARCH(("x"),(K1))))</formula>
    </cfRule>
  </conditionalFormatting>
  <conditionalFormatting sqref="M1:M99">
    <cfRule type="containsText" dxfId="21" priority="11" operator="containsText" text="X">
      <formula>NOT(ISERROR(SEARCH(("X"),(M1))))</formula>
    </cfRule>
  </conditionalFormatting>
  <conditionalFormatting sqref="L1:L99">
    <cfRule type="containsText" dxfId="22" priority="12" operator="containsText" text="X">
      <formula>NOT(ISERROR(SEARCH(("X"),(L1))))</formula>
    </cfRule>
  </conditionalFormatting>
  <conditionalFormatting sqref="C1:C99 O1:O99">
    <cfRule type="containsBlanks" dxfId="23" priority="13">
      <formula>LEN(TRIM(C1))=0</formula>
    </cfRule>
  </conditionalFormatting>
  <conditionalFormatting sqref="J1:J99 N1:O1 Z1">
    <cfRule type="containsText" dxfId="24" priority="14" operator="containsText" text="Molina">
      <formula>NOT(ISERROR(SEARCH(("Molina"),(J1))))</formula>
    </cfRule>
  </conditionalFormatting>
  <conditionalFormatting sqref="K1:M99">
    <cfRule type="containsBlanks" dxfId="25" priority="15">
      <formula>LEN(TRIM(K1))=0</formula>
    </cfRule>
  </conditionalFormatting>
  <conditionalFormatting sqref="O1:O99 A2:N99 P2:Z99">
    <cfRule type="expression" dxfId="10" priority="16">
      <formula>$N1="SWAB"</formula>
    </cfRule>
  </conditionalFormatting>
  <conditionalFormatting sqref="J1:J99">
    <cfRule type="containsText" dxfId="5" priority="17" operator="containsText" text="Self Pay">
      <formula>NOT(ISERROR(SEARCH(("Self Pay"),(J1))))</formula>
    </cfRule>
  </conditionalFormatting>
  <conditionalFormatting sqref="J1:J99">
    <cfRule type="containsText" dxfId="5" priority="18" operator="containsText" text="Self-Pay">
      <formula>NOT(ISERROR(SEARCH(("Self-Pay"),(J1))))</formula>
    </cfRule>
  </conditionalFormatting>
  <conditionalFormatting sqref="J1:J99">
    <cfRule type="containsText" dxfId="5" priority="19" operator="containsText" text="Third Party">
      <formula>NOT(ISERROR(SEARCH(("Third Party"),(J1))))</formula>
    </cfRule>
  </conditionalFormatting>
  <conditionalFormatting sqref="A1:U99">
    <cfRule type="expression" dxfId="26" priority="20">
      <formula>$J1="SUPERIOR HEALTH PLAN"</formula>
    </cfRule>
  </conditionalFormatting>
  <conditionalFormatting sqref="A1:U99">
    <cfRule type="expression" dxfId="26" priority="21">
      <formula>$J1="AMBETTER - SUPERIOR"</formula>
    </cfRule>
  </conditionalFormatting>
  <conditionalFormatting sqref="A1:U99">
    <cfRule type="expression" dxfId="19" priority="22">
      <formula>$J1="Wellmed - Humana"</formula>
    </cfRule>
  </conditionalFormatting>
  <conditionalFormatting sqref="A1:U99">
    <cfRule type="expression" dxfId="19" priority="23">
      <formula>$J1="WELLMED - AARP MEDICARE COMPLETE"</formula>
    </cfRule>
  </conditionalFormatting>
  <conditionalFormatting sqref="A1:U99">
    <cfRule type="expression" dxfId="19" priority="24">
      <formula>$J1="WELLMED - AMERIVANTAGE"</formula>
    </cfRule>
  </conditionalFormatting>
  <conditionalFormatting sqref="A1:U99">
    <cfRule type="expression" dxfId="19" priority="25">
      <formula>$J1="WELLMED - CIGNA HEALTHSPRING"</formula>
    </cfRule>
  </conditionalFormatting>
  <conditionalFormatting sqref="A1:U99">
    <cfRule type="expression" dxfId="19" priority="26">
      <formula>$J1="WELLMED - UHC CHRONIC COMPLETE HMO C-SNP"</formula>
    </cfRule>
  </conditionalFormatting>
  <conditionalFormatting sqref="A1:U99">
    <cfRule type="expression" dxfId="19" priority="27">
      <formula>$J1="WELLMED - UHC DUAL COMPLETE HMO SNP"</formula>
    </cfRule>
  </conditionalFormatting>
  <conditionalFormatting sqref="A1:U99">
    <cfRule type="expression" dxfId="19" priority="28">
      <formula>$J1="WELLMED - UHC DUAL COMPLETE SNP"</formula>
    </cfRule>
  </conditionalFormatting>
  <conditionalFormatting sqref="A1:U99">
    <cfRule type="expression" dxfId="20" priority="29">
      <formula>$J1="MOLINA DUAL COMPLETE NEW MEXICO"</formula>
    </cfRule>
  </conditionalFormatting>
  <conditionalFormatting sqref="A1:U99">
    <cfRule type="expression" dxfId="20" priority="30">
      <formula>$J1="MOLINA DUAL COMPLETE TEXAS"</formula>
    </cfRule>
  </conditionalFormatting>
  <conditionalFormatting sqref="A1:U99">
    <cfRule type="expression" dxfId="20" priority="31">
      <formula>$J1="MOLINA MARKETPLACE TEXAS"</formula>
    </cfRule>
  </conditionalFormatting>
  <conditionalFormatting sqref="A1:U99">
    <cfRule type="expression" dxfId="20" priority="32">
      <formula>$J1="MOLINA MEDICAID TEXAS"</formula>
    </cfRule>
  </conditionalFormatting>
  <conditionalFormatting sqref="A1:U99">
    <cfRule type="expression" dxfId="27" priority="33">
      <formula>$J1="HUMANA OPEN ACCESS PLAN"</formula>
    </cfRule>
  </conditionalFormatting>
  <conditionalFormatting sqref="A1:U99">
    <cfRule type="expression" dxfId="28" priority="34">
      <formula>$J1="HUMANA CHOICE CARE"</formula>
    </cfRule>
  </conditionalFormatting>
  <conditionalFormatting sqref="V1:W99">
    <cfRule type="expression" dxfId="11" priority="35">
      <formula>$V1="UA"</formula>
    </cfRule>
  </conditionalFormatting>
  <conditionalFormatting sqref="V1:W99">
    <cfRule type="expression" dxfId="12" priority="36">
      <formula>$V1="OUTUA-PrRW"</formula>
    </cfRule>
  </conditionalFormatting>
  <conditionalFormatting sqref="V1:W99">
    <cfRule type="expression" dxfId="12" priority="37">
      <formula>$V1="OUT-UAQPre"</formula>
    </cfRule>
  </conditionalFormatting>
  <conditionalFormatting sqref="V1:W99">
    <cfRule type="expression" dxfId="13" priority="38">
      <formula>$V1="UA-Prelim"</formula>
    </cfRule>
  </conditionalFormatting>
  <conditionalFormatting sqref="V1:W99">
    <cfRule type="expression" dxfId="6" priority="39">
      <formula>$V1="UA-NWPT"</formula>
    </cfRule>
  </conditionalFormatting>
  <conditionalFormatting sqref="N1:N100 O1:O99">
    <cfRule type="expression" dxfId="5" priority="40">
      <formula>$O1="X"</formula>
    </cfRule>
  </conditionalFormatting>
  <conditionalFormatting sqref="V1:W99">
    <cfRule type="expression" dxfId="10" priority="41">
      <formula>$V1="OUT-UAQ"</formula>
    </cfRule>
  </conditionalFormatting>
  <conditionalFormatting sqref="V1:W99">
    <cfRule type="expression" dxfId="10" priority="42">
      <formula>$V1="OUTUA-FURW"</formula>
    </cfRule>
  </conditionalFormatting>
  <conditionalFormatting sqref="V1:W99">
    <cfRule type="expression" dxfId="14" priority="43">
      <formula>$V1="OUTSA-SaQu"</formula>
    </cfRule>
  </conditionalFormatting>
  <conditionalFormatting sqref="V1:W99">
    <cfRule type="expression" dxfId="14" priority="44">
      <formula>$V1="OUTSA-RW"</formula>
    </cfRule>
  </conditionalFormatting>
  <dataValidations>
    <dataValidation type="list" allowBlank="1" showErrorMessage="1" sqref="H2:H99">
      <formula1>"CH,DA,DC,DM,FA,LM"</formula1>
    </dataValidation>
    <dataValidation type="list" allowBlank="1" showErrorMessage="1" sqref="J2:J99">
      <formula1>Data!$A$2:$A100</formula1>
    </dataValidation>
    <dataValidation type="custom" allowBlank="1" showDropDown="1" showInputMessage="1" showErrorMessage="1" prompt="CAPITALS" sqref="A1:A99">
      <formula1>ISERROR(SEARCH((exact(upper(B:N),B:N)),(A1)))</formula1>
    </dataValidation>
    <dataValidation type="list" allowBlank="1" showErrorMessage="1" sqref="F2:F99">
      <formula1>Data!$B$1:$B$44</formula1>
    </dataValidation>
    <dataValidation type="custom" allowBlank="1" showDropDown="1" showInputMessage="1" showErrorMessage="1" prompt="CAPITALS" sqref="B1:B99">
      <formula1>ISERROR(SEARCH((exact(upper(B:O),B:O)),(B1)))</formula1>
    </dataValidation>
    <dataValidation type="list" allowBlank="1" showErrorMessage="1" sqref="G2:G99">
      <formula1>"F,M"</formula1>
    </dataValidation>
    <dataValidation type="list" allowBlank="1" showErrorMessage="1" sqref="K2:M99">
      <formula1>"X"</formula1>
    </dataValidation>
    <dataValidation type="list" allowBlank="1" showInputMessage="1" showErrorMessage="1" prompt="Click and enter a value from range 'Insurance Data'!C2:C608" sqref="E2:E99">
      <formula1>Data!$C:$C</formula1>
    </dataValidation>
    <dataValidation type="list" allowBlank="1" showErrorMessage="1" sqref="I2:I99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1.0"/>
    <col customWidth="1" min="2" max="2" width="6.43"/>
    <col customWidth="1" min="3" max="3" width="2.14"/>
    <col customWidth="1" min="4" max="4" width="9.71"/>
    <col customWidth="1" min="5" max="5" width="10.71"/>
    <col customWidth="1" min="6" max="6" width="11.57"/>
    <col customWidth="1" min="7" max="7" width="8.43"/>
    <col customWidth="1" min="8" max="8" width="8.29"/>
    <col customWidth="1" min="9" max="9" width="12.71"/>
    <col customWidth="1" min="10" max="10" width="38.14"/>
    <col customWidth="1" min="11" max="11" width="8.29"/>
    <col customWidth="1" min="12" max="12" width="8.57"/>
    <col customWidth="1" min="13" max="13" width="7.57"/>
    <col customWidth="1" min="14" max="14" width="7.0"/>
    <col customWidth="1" min="15" max="15" width="2.14"/>
    <col customWidth="1" hidden="1" min="16" max="20" width="12.57"/>
    <col customWidth="1" hidden="1" min="21" max="21" width="2.14"/>
    <col customWidth="1" min="22" max="22" width="14.86"/>
    <col customWidth="1" hidden="1" min="23" max="24" width="34.57"/>
    <col customWidth="1" hidden="1" min="25" max="25" width="12.14"/>
    <col customWidth="1" hidden="1" min="26" max="26" width="1.57"/>
    <col customWidth="1" min="27" max="27" width="9.57"/>
  </cols>
  <sheetData>
    <row r="1">
      <c r="A1" s="204" t="s">
        <v>24</v>
      </c>
      <c r="B1" s="205"/>
      <c r="C1" s="206"/>
      <c r="D1" s="207" t="s">
        <v>25</v>
      </c>
      <c r="E1" s="280" t="s">
        <v>21</v>
      </c>
      <c r="F1" s="208" t="s">
        <v>6077</v>
      </c>
      <c r="G1" s="208"/>
      <c r="H1" s="209"/>
      <c r="I1" s="209" t="s">
        <v>6206</v>
      </c>
      <c r="J1" s="209" t="s">
        <v>6135</v>
      </c>
      <c r="K1" s="208" t="s">
        <v>6353</v>
      </c>
      <c r="L1" s="208" t="s">
        <v>6354</v>
      </c>
      <c r="M1" s="208" t="s">
        <v>6240</v>
      </c>
      <c r="N1" s="210" t="s">
        <v>7</v>
      </c>
      <c r="O1" s="206"/>
      <c r="P1" s="207" t="s">
        <v>6188</v>
      </c>
      <c r="Q1" s="208" t="s">
        <v>6319</v>
      </c>
      <c r="R1" s="208" t="s">
        <v>6132</v>
      </c>
      <c r="S1" s="208" t="s">
        <v>6134</v>
      </c>
      <c r="T1" s="208" t="s">
        <v>6147</v>
      </c>
      <c r="U1" s="211"/>
      <c r="V1" s="212" t="s">
        <v>6320</v>
      </c>
      <c r="W1" s="207"/>
      <c r="X1" s="209"/>
      <c r="Y1" s="208" t="s">
        <v>6321</v>
      </c>
      <c r="Z1" s="213"/>
      <c r="AA1" s="241"/>
    </row>
    <row r="2">
      <c r="A2" s="214" t="str">
        <f>IFS($B2=FALSE,"",$B2,VLOOKUP($B2,'PATIENT DATA (072721)'!A:C, 2, 0))</f>
        <v/>
      </c>
      <c r="B2" s="215"/>
      <c r="C2" s="216" t="str">
        <f>IF(COUNTIF('PATIENT DATA (072721)'!A:A, B2)=0, "X","✓")</f>
        <v>X</v>
      </c>
      <c r="D2" s="226" t="str">
        <f>IFS($B2=FALSE,"",$B2,VLOOKUP($B2,'PATIENT DATA (072721)'!A:C, 3, 0))</f>
        <v/>
      </c>
      <c r="E2" s="218">
        <v>44582.0</v>
      </c>
      <c r="F2" s="219" t="str">
        <f>ifs($B2="","",$B2, VLOOKUP($B2&amp;$E2, 'VISIT DATA'!A:O,3,0))</f>
        <v/>
      </c>
      <c r="G2" s="220"/>
      <c r="H2" s="221"/>
      <c r="I2" s="222" t="str">
        <f>VLOOKUP($B2&amp;$E2,'VISIT DATA'!A:J, 9, FALSE)</f>
        <v>#N/A</v>
      </c>
      <c r="J2" s="223" t="str">
        <f>VLOOKUP(B2&amp;E2,'VISIT DATA'!A:N,10,FALSE)</f>
        <v>#N/A</v>
      </c>
      <c r="K2" s="242"/>
      <c r="L2" s="224"/>
      <c r="M2" s="224"/>
      <c r="N2" s="225"/>
      <c r="O2" s="216" t="str">
        <f t="shared" ref="O2:O99" si="1">IF(OR(K2 = "x",L2 = "x",M2 = "x"),"✓", "X")</f>
        <v>X</v>
      </c>
      <c r="P2" s="226" t="str">
        <f t="shared" ref="P2:P99" si="2">ifs(SEARCH($P$1,$J2)&gt;=1,"X")</f>
        <v>#N/A</v>
      </c>
      <c r="Q2" s="227" t="str">
        <f t="shared" ref="Q2:Q99" si="3">ifs(SEARCH($Q$1,$J2)&gt;=1,"X")</f>
        <v>#N/A</v>
      </c>
      <c r="R2" s="228" t="str">
        <f t="shared" ref="R2:R99" si="4">ifs(SEARCH($R$1,$J2)&gt;=1,"X")</f>
        <v>#N/A</v>
      </c>
      <c r="S2" s="220" t="str">
        <f t="shared" ref="S2:S99" si="5">ifs(SEARCH($S$1,$J2)&gt;=1,"X")</f>
        <v>#N/A</v>
      </c>
      <c r="T2" s="220" t="str">
        <f t="shared" ref="T2:T99" si="6">ifs(SEARCH($T$1,$J2)&gt;=1,"X")</f>
        <v>#N/A</v>
      </c>
      <c r="U2" s="221">
        <f t="shared" ref="U2:U99" si="7">countif($P2:$T2,"X")</f>
        <v>0</v>
      </c>
      <c r="V2" s="229" t="str">
        <f>ifs($N2="",VLOOKUP($B2&amp;$E2,'VISIT DATA'!$A$2:$J100,7,FALSE), $N2="SWAB","OUTSA-RW",$N2="SWQU","OUTSA-SaQu", AND($L2="X",$M2="X",$N2="QUEST"),"OUT-UAQPre",$N2="QUEST","OUT-UAQ", $N2="Walk in","ColUATele")</f>
        <v>#N/A</v>
      </c>
      <c r="W2" s="24" t="str">
        <f t="shared" ref="W2:W99" si="8">ifs($V2="UA-NWPT","UA-NWPT : UA New Patient",$V2="UA","UA : Urine Analysis In House",$V2="UA-Prelim","UA-Prelim : Preliminary UA Test",$V2="OUT-UAQ","OUT-UAQ : Quest Out UA",$V2="OUT-UAQPre", "OUT-UAQPre : OUT UA Prelim Quest",$V2="OUTSA-SaQu","OUTSA-SaQu : Saliva Out Quest",$V2="ColUATele","Collected Telemed",$V2="OUTUA-PrRW", "OUTUA-PrRW : OUT UA Prelimin Redwood",$V2="OUTUA-FURW", "OUTUA-FURW : OUT UA FU Redwood",$V2="OUTUA-NWRW", "OUTUA-NWRW : OUT UA New Redwood",$V2="OUTSA-RW", "OUTSA-RW : OUT Saliva Redwood")</f>
        <v>#N/A</v>
      </c>
      <c r="X2" s="222" t="str">
        <f t="shared" ref="X2:X99" si="9">ifs($B2="","",and($K2="X",$L2="X",$M2="X",$N2="SWAB"), "ERROR",and($K2="X",$L2="X",$N2="SWAB"), "ERROR", and($L2="X",$N2="SWAB"), "OUTSA-RW : OUT Saliva Redwood", and($K2="X",$M2="X", $N2="SWAB"),"ERROR", and($M2="X",$N2="SWAB"), "OUTSA-RW : OUT Saliva Redwood", and($K2="X",$N2="SWAB"),"OUTSA-RW : OUT Saliva Redwood",and($K2="X",$L2="X"),"ERROR", and($K2="X",$M2="X"),"ERROR",and($M2="X",$U2=1), "OUTUA-PrRW : OUT UA Prelimin Redwood", and($K2="X",$U2=1), "OUTUA-NWRW : OUT UA New Redwood", and($L2="X",$U2=1), "OUTUA-FURW : OUT UA FU Redwood", and($L2="X",$M2="X",$U2=1), "OUTUA-PrRW : OUT UA Prelimin Redwood", $K2="X","UA-NWPT : UA New Patient", and($L2="X",$M2="X"),"UA-Prelim : Preliminary UA Test",and($L2="X",$N2="SWAB"),"OUTSA-RW : OUT Saliva Redwood",$L2="X","UA : Urine Analysis In House",$M2="X","UA-Prelim : Preliminary UA Test")</f>
        <v/>
      </c>
      <c r="Y2" s="222" t="str">
        <f t="shared" ref="Y2:Y99" si="10">IFS($B2="","",X2=W2,"MATCH",X2&lt;&gt;W2,"NO MATCH")</f>
        <v/>
      </c>
      <c r="Z2" s="224" t="str">
        <f t="shared" ref="Z2:Z99" si="11">IF((countif($B$2:$B100,$B2)&gt;1),"Repeat"," ")</f>
        <v> </v>
      </c>
      <c r="AA2" s="243"/>
    </row>
    <row r="3">
      <c r="A3" s="214" t="str">
        <f>IFS($B3=FALSE,"",$B3,VLOOKUP($B3,'PATIENT DATA (072721)'!A:C, 2, 0))</f>
        <v/>
      </c>
      <c r="B3" s="215"/>
      <c r="C3" s="216" t="str">
        <f>IF(COUNTIF('PATIENT DATA (072721)'!A:A, B3)=0, "X","✓")</f>
        <v>X</v>
      </c>
      <c r="D3" s="226" t="str">
        <f>IFS($B3=FALSE,"",$B3,VLOOKUP($B3,'PATIENT DATA (072721)'!A:C, 3, 0))</f>
        <v/>
      </c>
      <c r="E3" s="218">
        <v>44582.0</v>
      </c>
      <c r="F3" s="219" t="str">
        <f>ifs($B3="","",$B3, VLOOKUP($B3&amp;$E3, 'VISIT DATA'!A:O,3,0))</f>
        <v/>
      </c>
      <c r="G3" s="220"/>
      <c r="H3" s="221"/>
      <c r="I3" s="222" t="str">
        <f>VLOOKUP($B3&amp;$E3,'VISIT DATA'!A:J, 9, FALSE)</f>
        <v>#N/A</v>
      </c>
      <c r="J3" s="223" t="str">
        <f>VLOOKUP(B3&amp;E3,'VISIT DATA'!A:N,10,FALSE)</f>
        <v>#N/A</v>
      </c>
      <c r="K3" s="224"/>
      <c r="L3" s="224"/>
      <c r="M3" s="224"/>
      <c r="N3" s="225"/>
      <c r="O3" s="216" t="str">
        <f t="shared" si="1"/>
        <v>X</v>
      </c>
      <c r="P3" s="226" t="str">
        <f t="shared" si="2"/>
        <v>#N/A</v>
      </c>
      <c r="Q3" s="227" t="str">
        <f t="shared" si="3"/>
        <v>#N/A</v>
      </c>
      <c r="R3" s="228" t="str">
        <f t="shared" si="4"/>
        <v>#N/A</v>
      </c>
      <c r="S3" s="220" t="str">
        <f t="shared" si="5"/>
        <v>#N/A</v>
      </c>
      <c r="T3" s="220" t="str">
        <f t="shared" si="6"/>
        <v>#N/A</v>
      </c>
      <c r="U3" s="221">
        <f t="shared" si="7"/>
        <v>0</v>
      </c>
      <c r="V3" s="229" t="str">
        <f>ifs($N3="",VLOOKUP($B3&amp;$E3,'VISIT DATA'!$A$2:$J100,7,FALSE), $N3="SWAB","OUTSA-RW",$N3="SWQU","OUTSA-SaQu", AND($L3="X",$M3="X",$N3="QUEST"),"OUT-UAQPre",$N3="QUEST","OUT-UAQ", $N3="Walk in","ColUATele")</f>
        <v>#N/A</v>
      </c>
      <c r="W3" s="24" t="str">
        <f t="shared" si="8"/>
        <v>#N/A</v>
      </c>
      <c r="X3" s="222" t="str">
        <f t="shared" si="9"/>
        <v/>
      </c>
      <c r="Y3" s="222" t="str">
        <f t="shared" si="10"/>
        <v/>
      </c>
      <c r="Z3" s="224" t="str">
        <f t="shared" si="11"/>
        <v> </v>
      </c>
      <c r="AA3" s="243"/>
    </row>
    <row r="4">
      <c r="A4" s="214" t="str">
        <f>IFS($B4=FALSE,"",$B4,VLOOKUP($B4,'PATIENT DATA (072721)'!A:C, 2, 0))</f>
        <v/>
      </c>
      <c r="B4" s="215"/>
      <c r="C4" s="216" t="str">
        <f>IF(COUNTIF('PATIENT DATA (072721)'!A:A, B4)=0, "X","✓")</f>
        <v>X</v>
      </c>
      <c r="D4" s="226" t="str">
        <f>IFS($B4=FALSE,"",$B4,VLOOKUP($B4,'PATIENT DATA (072721)'!A:C, 3, 0))</f>
        <v/>
      </c>
      <c r="E4" s="218">
        <v>44582.0</v>
      </c>
      <c r="F4" s="219" t="str">
        <f>ifs($B4="","",$B4, VLOOKUP($B4&amp;$E4, 'VISIT DATA'!A:O,3,0))</f>
        <v/>
      </c>
      <c r="G4" s="220"/>
      <c r="H4" s="221"/>
      <c r="I4" s="222" t="str">
        <f>VLOOKUP($B4&amp;$E4,'VISIT DATA'!A:J, 9, FALSE)</f>
        <v>#N/A</v>
      </c>
      <c r="J4" s="223" t="str">
        <f>VLOOKUP(B4&amp;E4,'VISIT DATA'!A:N,10,FALSE)</f>
        <v>#N/A</v>
      </c>
      <c r="K4" s="242"/>
      <c r="L4" s="224"/>
      <c r="M4" s="224"/>
      <c r="N4" s="225"/>
      <c r="O4" s="216" t="str">
        <f t="shared" si="1"/>
        <v>X</v>
      </c>
      <c r="P4" s="226" t="str">
        <f t="shared" si="2"/>
        <v>#N/A</v>
      </c>
      <c r="Q4" s="227" t="str">
        <f t="shared" si="3"/>
        <v>#N/A</v>
      </c>
      <c r="R4" s="228" t="str">
        <f t="shared" si="4"/>
        <v>#N/A</v>
      </c>
      <c r="S4" s="220" t="str">
        <f t="shared" si="5"/>
        <v>#N/A</v>
      </c>
      <c r="T4" s="220" t="str">
        <f t="shared" si="6"/>
        <v>#N/A</v>
      </c>
      <c r="U4" s="221">
        <f t="shared" si="7"/>
        <v>0</v>
      </c>
      <c r="V4" s="229" t="str">
        <f>ifs($N4="",VLOOKUP($B4&amp;$E4,'VISIT DATA'!$A$2:$J100,7,FALSE), $N4="SWAB","OUTSA-RW",$N4="SWQU","OUTSA-SaQu", AND($L4="X",$M4="X",$N4="QUEST"),"OUT-UAQPre",$N4="QUEST","OUT-UAQ", $N4="Walk in","ColUATele")</f>
        <v>#N/A</v>
      </c>
      <c r="W4" s="24" t="str">
        <f t="shared" si="8"/>
        <v>#N/A</v>
      </c>
      <c r="X4" s="222" t="str">
        <f t="shared" si="9"/>
        <v/>
      </c>
      <c r="Y4" s="222" t="str">
        <f t="shared" si="10"/>
        <v/>
      </c>
      <c r="Z4" s="224" t="str">
        <f t="shared" si="11"/>
        <v> </v>
      </c>
      <c r="AA4" s="243"/>
    </row>
    <row r="5">
      <c r="A5" s="214" t="str">
        <f>IFS($B5=FALSE,"",$B5,VLOOKUP($B5,'PATIENT DATA (072721)'!A:C, 2, 0))</f>
        <v/>
      </c>
      <c r="B5" s="215"/>
      <c r="C5" s="216" t="str">
        <f>IF(COUNTIF('PATIENT DATA (072721)'!A:A, B5)=0, "X","✓")</f>
        <v>X</v>
      </c>
      <c r="D5" s="226" t="str">
        <f>IFS($B5=FALSE,"",$B5,VLOOKUP($B5,'PATIENT DATA (072721)'!A:C, 3, 0))</f>
        <v/>
      </c>
      <c r="E5" s="218">
        <v>44582.0</v>
      </c>
      <c r="F5" s="219" t="str">
        <f>ifs($B5="","",$B5, VLOOKUP($B5&amp;$E5, 'VISIT DATA'!A:O,3,0))</f>
        <v/>
      </c>
      <c r="G5" s="220"/>
      <c r="H5" s="221"/>
      <c r="I5" s="222" t="str">
        <f>VLOOKUP($B5&amp;$E5,'VISIT DATA'!A:J, 9, FALSE)</f>
        <v>#N/A</v>
      </c>
      <c r="J5" s="223" t="str">
        <f>VLOOKUP(B5&amp;E5,'VISIT DATA'!A:N,10,FALSE)</f>
        <v>#N/A</v>
      </c>
      <c r="K5" s="224"/>
      <c r="L5" s="224"/>
      <c r="M5" s="224"/>
      <c r="N5" s="225"/>
      <c r="O5" s="216" t="str">
        <f t="shared" si="1"/>
        <v>X</v>
      </c>
      <c r="P5" s="226" t="str">
        <f t="shared" si="2"/>
        <v>#N/A</v>
      </c>
      <c r="Q5" s="227" t="str">
        <f t="shared" si="3"/>
        <v>#N/A</v>
      </c>
      <c r="R5" s="228" t="str">
        <f t="shared" si="4"/>
        <v>#N/A</v>
      </c>
      <c r="S5" s="220" t="str">
        <f t="shared" si="5"/>
        <v>#N/A</v>
      </c>
      <c r="T5" s="220" t="str">
        <f t="shared" si="6"/>
        <v>#N/A</v>
      </c>
      <c r="U5" s="221">
        <f t="shared" si="7"/>
        <v>0</v>
      </c>
      <c r="V5" s="229" t="str">
        <f>ifs($N5="",VLOOKUP($B5&amp;$E5,'VISIT DATA'!$A$2:$J100,7,FALSE), $N5="SWAB","OUTSA-RW",$N5="SWQU","OUTSA-SaQu", AND($L5="X",$M5="X",$N5="QUEST"),"OUT-UAQPre",$N5="QUEST","OUT-UAQ", $N5="Walk in","ColUATele")</f>
        <v>#N/A</v>
      </c>
      <c r="W5" s="24" t="str">
        <f t="shared" si="8"/>
        <v>#N/A</v>
      </c>
      <c r="X5" s="222" t="str">
        <f t="shared" si="9"/>
        <v/>
      </c>
      <c r="Y5" s="222" t="str">
        <f t="shared" si="10"/>
        <v/>
      </c>
      <c r="Z5" s="224" t="str">
        <f t="shared" si="11"/>
        <v> </v>
      </c>
      <c r="AA5" s="243"/>
    </row>
    <row r="6">
      <c r="A6" s="214" t="str">
        <f>IFS($B6=FALSE,"",$B6,VLOOKUP($B6,'PATIENT DATA (072721)'!A:C, 2, 0))</f>
        <v/>
      </c>
      <c r="B6" s="215"/>
      <c r="C6" s="216" t="str">
        <f>IF(COUNTIF('PATIENT DATA (072721)'!A:A, B6)=0, "X","✓")</f>
        <v>X</v>
      </c>
      <c r="D6" s="226" t="str">
        <f>IFS($B6=FALSE,"",$B6,VLOOKUP($B6,'PATIENT DATA (072721)'!A:C, 3, 0))</f>
        <v/>
      </c>
      <c r="E6" s="218">
        <v>44582.0</v>
      </c>
      <c r="F6" s="219" t="str">
        <f>ifs($B6="","",$B6, VLOOKUP($B6&amp;$E6, 'VISIT DATA'!A:O,3,0))</f>
        <v/>
      </c>
      <c r="G6" s="220"/>
      <c r="H6" s="221"/>
      <c r="I6" s="222" t="str">
        <f>VLOOKUP($B6&amp;$E6,'VISIT DATA'!A:J, 9, FALSE)</f>
        <v>#N/A</v>
      </c>
      <c r="J6" s="223" t="str">
        <f>VLOOKUP(B6&amp;E6,'VISIT DATA'!A:N,10,FALSE)</f>
        <v>#N/A</v>
      </c>
      <c r="K6" s="224"/>
      <c r="L6" s="224"/>
      <c r="M6" s="224"/>
      <c r="N6" s="225"/>
      <c r="O6" s="216" t="str">
        <f t="shared" si="1"/>
        <v>X</v>
      </c>
      <c r="P6" s="226" t="str">
        <f t="shared" si="2"/>
        <v>#N/A</v>
      </c>
      <c r="Q6" s="227" t="str">
        <f t="shared" si="3"/>
        <v>#N/A</v>
      </c>
      <c r="R6" s="228" t="str">
        <f t="shared" si="4"/>
        <v>#N/A</v>
      </c>
      <c r="S6" s="220" t="str">
        <f t="shared" si="5"/>
        <v>#N/A</v>
      </c>
      <c r="T6" s="220" t="str">
        <f t="shared" si="6"/>
        <v>#N/A</v>
      </c>
      <c r="U6" s="221">
        <f t="shared" si="7"/>
        <v>0</v>
      </c>
      <c r="V6" s="229" t="str">
        <f>ifs($N6="",VLOOKUP($B6&amp;$E6,'VISIT DATA'!$A$2:$J100,7,FALSE), $N6="SWAB","OUTSA-RW",$N6="SWQU","OUTSA-SaQu", AND($L6="X",$M6="X",$N6="QUEST"),"OUT-UAQPre",$N6="QUEST","OUT-UAQ", $N6="Walk in","ColUATele")</f>
        <v>#N/A</v>
      </c>
      <c r="W6" s="24" t="str">
        <f t="shared" si="8"/>
        <v>#N/A</v>
      </c>
      <c r="X6" s="222" t="str">
        <f t="shared" si="9"/>
        <v/>
      </c>
      <c r="Y6" s="222" t="str">
        <f t="shared" si="10"/>
        <v/>
      </c>
      <c r="Z6" s="224" t="str">
        <f t="shared" si="11"/>
        <v> </v>
      </c>
      <c r="AA6" s="243"/>
    </row>
    <row r="7">
      <c r="A7" s="214" t="str">
        <f>IFS($B7=FALSE,"",$B7,VLOOKUP($B7,'PATIENT DATA (072721)'!A:C, 2, 0))</f>
        <v/>
      </c>
      <c r="B7" s="215"/>
      <c r="C7" s="216" t="str">
        <f>IF(COUNTIF('PATIENT DATA (072721)'!A:A, B7)=0, "X","✓")</f>
        <v>X</v>
      </c>
      <c r="D7" s="226" t="str">
        <f>IFS($B7=FALSE,"",$B7,VLOOKUP($B7,'PATIENT DATA (072721)'!A:C, 3, 0))</f>
        <v/>
      </c>
      <c r="E7" s="218">
        <v>44582.0</v>
      </c>
      <c r="F7" s="219" t="str">
        <f>ifs($B7="","",$B7, VLOOKUP($B7&amp;$E7, 'VISIT DATA'!A:O,3,0))</f>
        <v/>
      </c>
      <c r="G7" s="220"/>
      <c r="H7" s="221"/>
      <c r="I7" s="222" t="str">
        <f>VLOOKUP($B7&amp;$E7,'VISIT DATA'!A:J, 9, FALSE)</f>
        <v>#N/A</v>
      </c>
      <c r="J7" s="223" t="str">
        <f>VLOOKUP(B7&amp;E7,'VISIT DATA'!A:N,10,FALSE)</f>
        <v>#N/A</v>
      </c>
      <c r="K7" s="224"/>
      <c r="L7" s="224"/>
      <c r="M7" s="224"/>
      <c r="N7" s="225"/>
      <c r="O7" s="216" t="str">
        <f t="shared" si="1"/>
        <v>X</v>
      </c>
      <c r="P7" s="226" t="str">
        <f t="shared" si="2"/>
        <v>#N/A</v>
      </c>
      <c r="Q7" s="227" t="str">
        <f t="shared" si="3"/>
        <v>#N/A</v>
      </c>
      <c r="R7" s="228" t="str">
        <f t="shared" si="4"/>
        <v>#N/A</v>
      </c>
      <c r="S7" s="220" t="str">
        <f t="shared" si="5"/>
        <v>#N/A</v>
      </c>
      <c r="T7" s="220" t="str">
        <f t="shared" si="6"/>
        <v>#N/A</v>
      </c>
      <c r="U7" s="221">
        <f t="shared" si="7"/>
        <v>0</v>
      </c>
      <c r="V7" s="229" t="str">
        <f>ifs($N7="",VLOOKUP($B7&amp;$E7,'VISIT DATA'!$A$2:$J100,7,FALSE), $N7="SWAB","OUTSA-RW",$N7="SWQU","OUTSA-SaQu", AND($L7="X",$M7="X",$N7="QUEST"),"OUT-UAQPre",$N7="QUEST","OUT-UAQ", $N7="Walk in","ColUATele")</f>
        <v>#N/A</v>
      </c>
      <c r="W7" s="24" t="str">
        <f t="shared" si="8"/>
        <v>#N/A</v>
      </c>
      <c r="X7" s="222" t="str">
        <f t="shared" si="9"/>
        <v/>
      </c>
      <c r="Y7" s="222" t="str">
        <f t="shared" si="10"/>
        <v/>
      </c>
      <c r="Z7" s="224" t="str">
        <f t="shared" si="11"/>
        <v> </v>
      </c>
      <c r="AA7" s="243"/>
    </row>
    <row r="8">
      <c r="A8" s="214" t="str">
        <f>IFS($B8=FALSE,"",$B8,VLOOKUP($B8,'PATIENT DATA (072721)'!A:C, 2, 0))</f>
        <v/>
      </c>
      <c r="B8" s="215"/>
      <c r="C8" s="216" t="str">
        <f>IF(COUNTIF('PATIENT DATA (072721)'!A:A, B8)=0, "X","✓")</f>
        <v>X</v>
      </c>
      <c r="D8" s="226" t="str">
        <f>IFS($B8=FALSE,"",$B8,VLOOKUP($B8,'PATIENT DATA (072721)'!A:C, 3, 0))</f>
        <v/>
      </c>
      <c r="E8" s="218">
        <v>44582.0</v>
      </c>
      <c r="F8" s="219" t="str">
        <f>ifs($B8="","",$B8, VLOOKUP($B8&amp;$E8, 'VISIT DATA'!A:O,3,0))</f>
        <v/>
      </c>
      <c r="G8" s="220"/>
      <c r="H8" s="221"/>
      <c r="I8" s="222" t="str">
        <f>VLOOKUP($B8&amp;$E8,'VISIT DATA'!A:J, 9, FALSE)</f>
        <v>#N/A</v>
      </c>
      <c r="J8" s="223" t="str">
        <f>VLOOKUP(B8&amp;E8,'VISIT DATA'!A:N,10,FALSE)</f>
        <v>#N/A</v>
      </c>
      <c r="K8" s="224"/>
      <c r="L8" s="224"/>
      <c r="M8" s="224"/>
      <c r="N8" s="225"/>
      <c r="O8" s="216" t="str">
        <f t="shared" si="1"/>
        <v>X</v>
      </c>
      <c r="P8" s="226" t="str">
        <f t="shared" si="2"/>
        <v>#N/A</v>
      </c>
      <c r="Q8" s="227" t="str">
        <f t="shared" si="3"/>
        <v>#N/A</v>
      </c>
      <c r="R8" s="228" t="str">
        <f t="shared" si="4"/>
        <v>#N/A</v>
      </c>
      <c r="S8" s="220" t="str">
        <f t="shared" si="5"/>
        <v>#N/A</v>
      </c>
      <c r="T8" s="220" t="str">
        <f t="shared" si="6"/>
        <v>#N/A</v>
      </c>
      <c r="U8" s="221">
        <f t="shared" si="7"/>
        <v>0</v>
      </c>
      <c r="V8" s="229" t="str">
        <f>ifs($N8="",VLOOKUP($B8&amp;$E8,'VISIT DATA'!$A$2:$J100,7,FALSE), $N8="SWAB","OUTSA-RW",$N8="SWQU","OUTSA-SaQu", AND($L8="X",$M8="X",$N8="QUEST"),"OUT-UAQPre",$N8="QUEST","OUT-UAQ", $N8="Walk in","ColUATele")</f>
        <v>#N/A</v>
      </c>
      <c r="W8" s="24" t="str">
        <f t="shared" si="8"/>
        <v>#N/A</v>
      </c>
      <c r="X8" s="222" t="str">
        <f t="shared" si="9"/>
        <v/>
      </c>
      <c r="Y8" s="222" t="str">
        <f t="shared" si="10"/>
        <v/>
      </c>
      <c r="Z8" s="224" t="str">
        <f t="shared" si="11"/>
        <v> </v>
      </c>
      <c r="AA8" s="243"/>
    </row>
    <row r="9">
      <c r="A9" s="214" t="str">
        <f>IFS($B9=FALSE,"",$B9,VLOOKUP($B9,'PATIENT DATA (072721)'!A:C, 2, 0))</f>
        <v/>
      </c>
      <c r="B9" s="215"/>
      <c r="C9" s="216" t="str">
        <f>IF(COUNTIF('PATIENT DATA (072721)'!A:A, B9)=0, "X","✓")</f>
        <v>X</v>
      </c>
      <c r="D9" s="226" t="str">
        <f>IFS($B9=FALSE,"",$B9,VLOOKUP($B9,'PATIENT DATA (072721)'!A:C, 3, 0))</f>
        <v/>
      </c>
      <c r="E9" s="218">
        <v>44582.0</v>
      </c>
      <c r="F9" s="219" t="str">
        <f>ifs($B9="","",$B9, VLOOKUP($B9&amp;$E9, 'VISIT DATA'!A:O,3,0))</f>
        <v/>
      </c>
      <c r="G9" s="220"/>
      <c r="H9" s="221"/>
      <c r="I9" s="222" t="str">
        <f>VLOOKUP($B9&amp;$E9,'VISIT DATA'!A:J, 9, FALSE)</f>
        <v>#N/A</v>
      </c>
      <c r="J9" s="223" t="str">
        <f>VLOOKUP(B9&amp;E9,'VISIT DATA'!A:N,10,FALSE)</f>
        <v>#N/A</v>
      </c>
      <c r="K9" s="224"/>
      <c r="L9" s="224"/>
      <c r="M9" s="224"/>
      <c r="N9" s="225"/>
      <c r="O9" s="216" t="str">
        <f t="shared" si="1"/>
        <v>X</v>
      </c>
      <c r="P9" s="226" t="str">
        <f t="shared" si="2"/>
        <v>#N/A</v>
      </c>
      <c r="Q9" s="227" t="str">
        <f t="shared" si="3"/>
        <v>#N/A</v>
      </c>
      <c r="R9" s="228" t="str">
        <f t="shared" si="4"/>
        <v>#N/A</v>
      </c>
      <c r="S9" s="220" t="str">
        <f t="shared" si="5"/>
        <v>#N/A</v>
      </c>
      <c r="T9" s="220" t="str">
        <f t="shared" si="6"/>
        <v>#N/A</v>
      </c>
      <c r="U9" s="221">
        <f t="shared" si="7"/>
        <v>0</v>
      </c>
      <c r="V9" s="229" t="str">
        <f>ifs($N9="",VLOOKUP($B9&amp;$E9,'VISIT DATA'!$A$2:$J100,7,FALSE), $N9="SWAB","OUTSA-RW",$N9="SWQU","OUTSA-SaQu", AND($L9="X",$M9="X",$N9="QUEST"),"OUT-UAQPre",$N9="QUEST","OUT-UAQ", $N9="Walk in","ColUATele")</f>
        <v>#N/A</v>
      </c>
      <c r="W9" s="24" t="str">
        <f t="shared" si="8"/>
        <v>#N/A</v>
      </c>
      <c r="X9" s="222" t="str">
        <f t="shared" si="9"/>
        <v/>
      </c>
      <c r="Y9" s="222" t="str">
        <f t="shared" si="10"/>
        <v/>
      </c>
      <c r="Z9" s="224" t="str">
        <f t="shared" si="11"/>
        <v> </v>
      </c>
      <c r="AA9" s="243"/>
    </row>
    <row r="10">
      <c r="A10" s="214" t="str">
        <f>IFS($B10=FALSE,"",$B10,VLOOKUP($B10,'PATIENT DATA (072721)'!A:C, 2, 0))</f>
        <v/>
      </c>
      <c r="B10" s="215"/>
      <c r="C10" s="216" t="str">
        <f>IF(COUNTIF('PATIENT DATA (072721)'!A:A, B10)=0, "X","✓")</f>
        <v>X</v>
      </c>
      <c r="D10" s="226" t="str">
        <f>IFS($B10=FALSE,"",$B10,VLOOKUP($B10,'PATIENT DATA (072721)'!A:C, 3, 0))</f>
        <v/>
      </c>
      <c r="E10" s="218">
        <v>44582.0</v>
      </c>
      <c r="F10" s="219" t="str">
        <f>ifs($B10="","",$B10, VLOOKUP($B10&amp;$E10, 'VISIT DATA'!A:O,3,0))</f>
        <v/>
      </c>
      <c r="G10" s="220"/>
      <c r="H10" s="221"/>
      <c r="I10" s="222" t="str">
        <f>VLOOKUP($B10&amp;$E10,'VISIT DATA'!A:J, 9, FALSE)</f>
        <v>#N/A</v>
      </c>
      <c r="J10" s="223" t="str">
        <f>VLOOKUP(B10&amp;E10,'VISIT DATA'!A:N,10,FALSE)</f>
        <v>#N/A</v>
      </c>
      <c r="K10" s="224"/>
      <c r="L10" s="224"/>
      <c r="M10" s="224"/>
      <c r="N10" s="225"/>
      <c r="O10" s="216" t="str">
        <f t="shared" si="1"/>
        <v>X</v>
      </c>
      <c r="P10" s="226" t="str">
        <f t="shared" si="2"/>
        <v>#N/A</v>
      </c>
      <c r="Q10" s="227" t="str">
        <f t="shared" si="3"/>
        <v>#N/A</v>
      </c>
      <c r="R10" s="228" t="str">
        <f t="shared" si="4"/>
        <v>#N/A</v>
      </c>
      <c r="S10" s="220" t="str">
        <f t="shared" si="5"/>
        <v>#N/A</v>
      </c>
      <c r="T10" s="220" t="str">
        <f t="shared" si="6"/>
        <v>#N/A</v>
      </c>
      <c r="U10" s="221">
        <f t="shared" si="7"/>
        <v>0</v>
      </c>
      <c r="V10" s="229" t="str">
        <f>ifs($N10="",VLOOKUP($B10&amp;$E10,'VISIT DATA'!$A$2:$J100,7,FALSE), $N10="SWAB","OUTSA-RW",$N10="SWQU","OUTSA-SaQu", AND($L10="X",$M10="X",$N10="QUEST"),"OUT-UAQPre",$N10="QUEST","OUT-UAQ", $N10="Walk in","ColUATele")</f>
        <v>#N/A</v>
      </c>
      <c r="W10" s="24" t="str">
        <f t="shared" si="8"/>
        <v>#N/A</v>
      </c>
      <c r="X10" s="222" t="str">
        <f t="shared" si="9"/>
        <v/>
      </c>
      <c r="Y10" s="222" t="str">
        <f t="shared" si="10"/>
        <v/>
      </c>
      <c r="Z10" s="224" t="str">
        <f t="shared" si="11"/>
        <v> </v>
      </c>
      <c r="AA10" s="243"/>
    </row>
    <row r="11">
      <c r="A11" s="214" t="str">
        <f>IFS($B11=FALSE,"",$B11,VLOOKUP($B11,'PATIENT DATA (072721)'!A:C, 2, 0))</f>
        <v/>
      </c>
      <c r="B11" s="215"/>
      <c r="C11" s="216" t="str">
        <f>IF(COUNTIF('PATIENT DATA (072721)'!A:A, B11)=0, "X","✓")</f>
        <v>X</v>
      </c>
      <c r="D11" s="226" t="str">
        <f>IFS($B11=FALSE,"",$B11,VLOOKUP($B11,'PATIENT DATA (072721)'!A:C, 3, 0))</f>
        <v/>
      </c>
      <c r="E11" s="218">
        <v>44582.0</v>
      </c>
      <c r="F11" s="219" t="str">
        <f>ifs($B11="","",$B11, VLOOKUP($B11&amp;$E11, 'VISIT DATA'!A:O,3,0))</f>
        <v/>
      </c>
      <c r="G11" s="220"/>
      <c r="H11" s="221"/>
      <c r="I11" s="222" t="str">
        <f>VLOOKUP($B11&amp;$E11,'VISIT DATA'!A:J, 9, FALSE)</f>
        <v>#N/A</v>
      </c>
      <c r="J11" s="223" t="str">
        <f>VLOOKUP(B11&amp;E11,'VISIT DATA'!A:N,10,FALSE)</f>
        <v>#N/A</v>
      </c>
      <c r="K11" s="242"/>
      <c r="L11" s="224"/>
      <c r="M11" s="224"/>
      <c r="N11" s="225"/>
      <c r="O11" s="216" t="str">
        <f t="shared" si="1"/>
        <v>X</v>
      </c>
      <c r="P11" s="226" t="str">
        <f t="shared" si="2"/>
        <v>#N/A</v>
      </c>
      <c r="Q11" s="227" t="str">
        <f t="shared" si="3"/>
        <v>#N/A</v>
      </c>
      <c r="R11" s="228" t="str">
        <f t="shared" si="4"/>
        <v>#N/A</v>
      </c>
      <c r="S11" s="220" t="str">
        <f t="shared" si="5"/>
        <v>#N/A</v>
      </c>
      <c r="T11" s="220" t="str">
        <f t="shared" si="6"/>
        <v>#N/A</v>
      </c>
      <c r="U11" s="221">
        <f t="shared" si="7"/>
        <v>0</v>
      </c>
      <c r="V11" s="229" t="str">
        <f>ifs($N11="",VLOOKUP($B11&amp;$E11,'VISIT DATA'!$A$2:$J100,7,FALSE), $N11="SWAB","OUTSA-RW",$N11="SWQU","OUTSA-SaQu", AND($L11="X",$M11="X",$N11="QUEST"),"OUT-UAQPre",$N11="QUEST","OUT-UAQ", $N11="Walk in","ColUATele")</f>
        <v>#N/A</v>
      </c>
      <c r="W11" s="24" t="str">
        <f t="shared" si="8"/>
        <v>#N/A</v>
      </c>
      <c r="X11" s="222" t="str">
        <f t="shared" si="9"/>
        <v/>
      </c>
      <c r="Y11" s="222" t="str">
        <f t="shared" si="10"/>
        <v/>
      </c>
      <c r="Z11" s="224" t="str">
        <f t="shared" si="11"/>
        <v> </v>
      </c>
      <c r="AA11" s="243"/>
    </row>
    <row r="12">
      <c r="A12" s="214" t="str">
        <f>IFS($B12=FALSE,"",$B12,VLOOKUP($B12,'PATIENT DATA (072721)'!A:C, 2, 0))</f>
        <v/>
      </c>
      <c r="B12" s="215"/>
      <c r="C12" s="216" t="str">
        <f>IF(COUNTIF('PATIENT DATA (072721)'!A:A, B12)=0, "X","✓")</f>
        <v>X</v>
      </c>
      <c r="D12" s="226" t="str">
        <f>IFS($B12=FALSE,"",$B12,VLOOKUP($B12,'PATIENT DATA (072721)'!A:C, 3, 0))</f>
        <v/>
      </c>
      <c r="E12" s="218">
        <v>44582.0</v>
      </c>
      <c r="F12" s="219" t="str">
        <f>ifs($B12="","",$B12, VLOOKUP($B12&amp;$E12, 'VISIT DATA'!A:O,3,0))</f>
        <v/>
      </c>
      <c r="G12" s="220"/>
      <c r="H12" s="221"/>
      <c r="I12" s="222" t="str">
        <f>VLOOKUP($B12&amp;$E12,'VISIT DATA'!A:J, 9, FALSE)</f>
        <v>#N/A</v>
      </c>
      <c r="J12" s="223" t="str">
        <f>VLOOKUP(B12&amp;E12,'VISIT DATA'!A:N,10,FALSE)</f>
        <v>#N/A</v>
      </c>
      <c r="K12" s="224"/>
      <c r="L12" s="224"/>
      <c r="M12" s="224"/>
      <c r="N12" s="225"/>
      <c r="O12" s="216" t="str">
        <f t="shared" si="1"/>
        <v>X</v>
      </c>
      <c r="P12" s="226" t="str">
        <f t="shared" si="2"/>
        <v>#N/A</v>
      </c>
      <c r="Q12" s="227" t="str">
        <f t="shared" si="3"/>
        <v>#N/A</v>
      </c>
      <c r="R12" s="228" t="str">
        <f t="shared" si="4"/>
        <v>#N/A</v>
      </c>
      <c r="S12" s="220" t="str">
        <f t="shared" si="5"/>
        <v>#N/A</v>
      </c>
      <c r="T12" s="220" t="str">
        <f t="shared" si="6"/>
        <v>#N/A</v>
      </c>
      <c r="U12" s="221">
        <f t="shared" si="7"/>
        <v>0</v>
      </c>
      <c r="V12" s="229" t="str">
        <f>ifs($N12="",VLOOKUP($B12&amp;$E12,'VISIT DATA'!$A$2:$J100,7,FALSE), $N12="SWAB","OUTSA-RW",$N12="SWQU","OUTSA-SaQu", AND($L12="X",$M12="X",$N12="QUEST"),"OUT-UAQPre",$N12="QUEST","OUT-UAQ", $N12="Walk in","ColUATele")</f>
        <v>#N/A</v>
      </c>
      <c r="W12" s="24" t="str">
        <f t="shared" si="8"/>
        <v>#N/A</v>
      </c>
      <c r="X12" s="222" t="str">
        <f t="shared" si="9"/>
        <v/>
      </c>
      <c r="Y12" s="222" t="str">
        <f t="shared" si="10"/>
        <v/>
      </c>
      <c r="Z12" s="224" t="str">
        <f t="shared" si="11"/>
        <v> </v>
      </c>
      <c r="AA12" s="243"/>
    </row>
    <row r="13">
      <c r="A13" s="214" t="str">
        <f>IFS($B13=FALSE,"",$B13,VLOOKUP($B13,'PATIENT DATA (072721)'!A:C, 2, 0))</f>
        <v/>
      </c>
      <c r="B13" s="215"/>
      <c r="C13" s="216" t="str">
        <f>IF(COUNTIF('PATIENT DATA (072721)'!A:A, B13)=0, "X","✓")</f>
        <v>X</v>
      </c>
      <c r="D13" s="226" t="str">
        <f>IFS($B13=FALSE,"",$B13,VLOOKUP($B13,'PATIENT DATA (072721)'!A:C, 3, 0))</f>
        <v/>
      </c>
      <c r="E13" s="218">
        <v>44582.0</v>
      </c>
      <c r="F13" s="219" t="str">
        <f>ifs($B13="","",$B13, VLOOKUP($B13&amp;$E13, 'VISIT DATA'!A:O,3,0))</f>
        <v/>
      </c>
      <c r="G13" s="220"/>
      <c r="H13" s="221"/>
      <c r="I13" s="222" t="str">
        <f>VLOOKUP($B13&amp;$E13,'VISIT DATA'!A:J, 9, FALSE)</f>
        <v>#N/A</v>
      </c>
      <c r="J13" s="223" t="str">
        <f>VLOOKUP(B13&amp;E13,'VISIT DATA'!A:N,10,FALSE)</f>
        <v>#N/A</v>
      </c>
      <c r="K13" s="242"/>
      <c r="L13" s="224"/>
      <c r="M13" s="224"/>
      <c r="N13" s="225"/>
      <c r="O13" s="216" t="str">
        <f t="shared" si="1"/>
        <v>X</v>
      </c>
      <c r="P13" s="226" t="str">
        <f t="shared" si="2"/>
        <v>#N/A</v>
      </c>
      <c r="Q13" s="227" t="str">
        <f t="shared" si="3"/>
        <v>#N/A</v>
      </c>
      <c r="R13" s="228" t="str">
        <f t="shared" si="4"/>
        <v>#N/A</v>
      </c>
      <c r="S13" s="220" t="str">
        <f t="shared" si="5"/>
        <v>#N/A</v>
      </c>
      <c r="T13" s="220" t="str">
        <f t="shared" si="6"/>
        <v>#N/A</v>
      </c>
      <c r="U13" s="221">
        <f t="shared" si="7"/>
        <v>0</v>
      </c>
      <c r="V13" s="229" t="str">
        <f>ifs($N13="",VLOOKUP($B13&amp;$E13,'VISIT DATA'!$A$2:$J100,7,FALSE), $N13="SWAB","OUTSA-RW",$N13="SWQU","OUTSA-SaQu", AND($L13="X",$M13="X",$N13="QUEST"),"OUT-UAQPre",$N13="QUEST","OUT-UAQ", $N13="Walk in","ColUATele")</f>
        <v>#N/A</v>
      </c>
      <c r="W13" s="24" t="str">
        <f t="shared" si="8"/>
        <v>#N/A</v>
      </c>
      <c r="X13" s="222" t="str">
        <f t="shared" si="9"/>
        <v/>
      </c>
      <c r="Y13" s="222" t="str">
        <f t="shared" si="10"/>
        <v/>
      </c>
      <c r="Z13" s="224" t="str">
        <f t="shared" si="11"/>
        <v> </v>
      </c>
      <c r="AA13" s="243"/>
    </row>
    <row r="14">
      <c r="A14" s="214" t="str">
        <f>IFS($B14=FALSE,"",$B14,VLOOKUP($B14,'PATIENT DATA (072721)'!A:C, 2, 0))</f>
        <v/>
      </c>
      <c r="B14" s="215"/>
      <c r="C14" s="216" t="str">
        <f>IF(COUNTIF('PATIENT DATA (072721)'!A:A, B14)=0, "X","✓")</f>
        <v>X</v>
      </c>
      <c r="D14" s="226" t="str">
        <f>IFS($B14=FALSE,"",$B14,VLOOKUP($B14,'PATIENT DATA (072721)'!A:C, 3, 0))</f>
        <v/>
      </c>
      <c r="E14" s="218">
        <v>44582.0</v>
      </c>
      <c r="F14" s="219" t="str">
        <f>ifs($B14="","",$B14, VLOOKUP($B14&amp;$E14, 'VISIT DATA'!A:O,3,0))</f>
        <v/>
      </c>
      <c r="G14" s="220"/>
      <c r="H14" s="221"/>
      <c r="I14" s="222" t="str">
        <f>VLOOKUP($B14&amp;$E14,'VISIT DATA'!A:J, 9, FALSE)</f>
        <v>#N/A</v>
      </c>
      <c r="J14" s="223" t="str">
        <f>VLOOKUP(B14&amp;E14,'VISIT DATA'!A:N,10,FALSE)</f>
        <v>#N/A</v>
      </c>
      <c r="K14" s="224"/>
      <c r="L14" s="224"/>
      <c r="M14" s="224"/>
      <c r="N14" s="225"/>
      <c r="O14" s="216" t="str">
        <f t="shared" si="1"/>
        <v>X</v>
      </c>
      <c r="P14" s="226" t="str">
        <f t="shared" si="2"/>
        <v>#N/A</v>
      </c>
      <c r="Q14" s="227" t="str">
        <f t="shared" si="3"/>
        <v>#N/A</v>
      </c>
      <c r="R14" s="228" t="str">
        <f t="shared" si="4"/>
        <v>#N/A</v>
      </c>
      <c r="S14" s="220" t="str">
        <f t="shared" si="5"/>
        <v>#N/A</v>
      </c>
      <c r="T14" s="220" t="str">
        <f t="shared" si="6"/>
        <v>#N/A</v>
      </c>
      <c r="U14" s="221">
        <f t="shared" si="7"/>
        <v>0</v>
      </c>
      <c r="V14" s="229" t="str">
        <f>ifs($N14="",VLOOKUP($B14&amp;$E14,'VISIT DATA'!$A$2:$J100,7,FALSE), $N14="SWAB","OUTSA-RW",$N14="SWQU","OUTSA-SaQu", AND($L14="X",$M14="X",$N14="QUEST"),"OUT-UAQPre",$N14="QUEST","OUT-UAQ", $N14="Walk in","ColUATele")</f>
        <v>#N/A</v>
      </c>
      <c r="W14" s="24" t="str">
        <f t="shared" si="8"/>
        <v>#N/A</v>
      </c>
      <c r="X14" s="222" t="str">
        <f t="shared" si="9"/>
        <v/>
      </c>
      <c r="Y14" s="222" t="str">
        <f t="shared" si="10"/>
        <v/>
      </c>
      <c r="Z14" s="224" t="str">
        <f t="shared" si="11"/>
        <v> </v>
      </c>
      <c r="AA14" s="244"/>
    </row>
    <row r="15">
      <c r="A15" s="214" t="str">
        <f>IFS($B15=FALSE,"",$B15,VLOOKUP($B15,'PATIENT DATA (072721)'!A:C, 2, 0))</f>
        <v/>
      </c>
      <c r="B15" s="215"/>
      <c r="C15" s="216" t="str">
        <f>IF(COUNTIF('PATIENT DATA (072721)'!A:A, B15)=0, "X","✓")</f>
        <v>X</v>
      </c>
      <c r="D15" s="226" t="str">
        <f>IFS($B15=FALSE,"",$B15,VLOOKUP($B15,'PATIENT DATA (072721)'!A:C, 3, 0))</f>
        <v/>
      </c>
      <c r="E15" s="218">
        <v>44582.0</v>
      </c>
      <c r="F15" s="219" t="str">
        <f>ifs($B15="","",$B15, VLOOKUP($B15&amp;$E15, 'VISIT DATA'!A:O,3,0))</f>
        <v/>
      </c>
      <c r="G15" s="220"/>
      <c r="H15" s="221"/>
      <c r="I15" s="222" t="str">
        <f>VLOOKUP($B15&amp;$E15,'VISIT DATA'!A:J, 9, FALSE)</f>
        <v>#N/A</v>
      </c>
      <c r="J15" s="223" t="str">
        <f>VLOOKUP(B15&amp;E15,'VISIT DATA'!A:N,10,FALSE)</f>
        <v>#N/A</v>
      </c>
      <c r="K15" s="225"/>
      <c r="L15" s="224"/>
      <c r="M15" s="224"/>
      <c r="N15" s="225"/>
      <c r="O15" s="216" t="str">
        <f t="shared" si="1"/>
        <v>X</v>
      </c>
      <c r="P15" s="226" t="str">
        <f t="shared" si="2"/>
        <v>#N/A</v>
      </c>
      <c r="Q15" s="227" t="str">
        <f t="shared" si="3"/>
        <v>#N/A</v>
      </c>
      <c r="R15" s="228" t="str">
        <f t="shared" si="4"/>
        <v>#N/A</v>
      </c>
      <c r="S15" s="220" t="str">
        <f t="shared" si="5"/>
        <v>#N/A</v>
      </c>
      <c r="T15" s="220" t="str">
        <f t="shared" si="6"/>
        <v>#N/A</v>
      </c>
      <c r="U15" s="221">
        <f t="shared" si="7"/>
        <v>0</v>
      </c>
      <c r="V15" s="229" t="str">
        <f>ifs($N15="",VLOOKUP($B15&amp;$E15,'VISIT DATA'!$A$2:$J100,7,FALSE), $N15="SWAB","OUTSA-RW",$N15="SWQU","OUTSA-SaQu", AND($L15="X",$M15="X",$N15="QUEST"),"OUT-UAQPre",$N15="QUEST","OUT-UAQ", $N15="Walk in","ColUATele")</f>
        <v>#N/A</v>
      </c>
      <c r="W15" s="24" t="str">
        <f t="shared" si="8"/>
        <v>#N/A</v>
      </c>
      <c r="X15" s="222" t="str">
        <f t="shared" si="9"/>
        <v/>
      </c>
      <c r="Y15" s="222" t="str">
        <f t="shared" si="10"/>
        <v/>
      </c>
      <c r="Z15" s="224" t="str">
        <f t="shared" si="11"/>
        <v> </v>
      </c>
      <c r="AA15" s="244"/>
    </row>
    <row r="16">
      <c r="A16" s="214" t="str">
        <f>IFS($B16=FALSE,"",$B16,VLOOKUP($B16,'PATIENT DATA (072721)'!A:C, 2, 0))</f>
        <v/>
      </c>
      <c r="B16" s="215"/>
      <c r="C16" s="216" t="str">
        <f>IF(COUNTIF('PATIENT DATA (072721)'!A:A, B16)=0, "X","✓")</f>
        <v>X</v>
      </c>
      <c r="D16" s="226" t="str">
        <f>IFS($B16=FALSE,"",$B16,VLOOKUP($B16,'PATIENT DATA (072721)'!A:C, 3, 0))</f>
        <v/>
      </c>
      <c r="E16" s="218">
        <v>44582.0</v>
      </c>
      <c r="F16" s="219" t="str">
        <f>ifs($B16="","",$B16, VLOOKUP($B16&amp;$E16, 'VISIT DATA'!A:O,3,0))</f>
        <v/>
      </c>
      <c r="G16" s="220"/>
      <c r="H16" s="221"/>
      <c r="I16" s="222" t="str">
        <f>VLOOKUP($B16&amp;$E16,'VISIT DATA'!A:J, 9, FALSE)</f>
        <v>#N/A</v>
      </c>
      <c r="J16" s="223" t="str">
        <f>VLOOKUP(B16&amp;E16,'VISIT DATA'!A:N,10,FALSE)</f>
        <v>#N/A</v>
      </c>
      <c r="K16" s="224"/>
      <c r="L16" s="224"/>
      <c r="M16" s="224"/>
      <c r="N16" s="225"/>
      <c r="O16" s="216" t="str">
        <f t="shared" si="1"/>
        <v>X</v>
      </c>
      <c r="P16" s="226" t="str">
        <f t="shared" si="2"/>
        <v>#N/A</v>
      </c>
      <c r="Q16" s="227" t="str">
        <f t="shared" si="3"/>
        <v>#N/A</v>
      </c>
      <c r="R16" s="228" t="str">
        <f t="shared" si="4"/>
        <v>#N/A</v>
      </c>
      <c r="S16" s="220" t="str">
        <f t="shared" si="5"/>
        <v>#N/A</v>
      </c>
      <c r="T16" s="220" t="str">
        <f t="shared" si="6"/>
        <v>#N/A</v>
      </c>
      <c r="U16" s="221">
        <f t="shared" si="7"/>
        <v>0</v>
      </c>
      <c r="V16" s="229" t="str">
        <f>ifs($N16="",VLOOKUP($B16&amp;$E16,'VISIT DATA'!$A$2:$J100,7,FALSE), $N16="SWAB","OUTSA-RW",$N16="SWQU","OUTSA-SaQu", AND($L16="X",$M16="X",$N16="QUEST"),"OUT-UAQPre",$N16="QUEST","OUT-UAQ", $N16="Walk in","ColUATele")</f>
        <v>#N/A</v>
      </c>
      <c r="W16" s="24" t="str">
        <f t="shared" si="8"/>
        <v>#N/A</v>
      </c>
      <c r="X16" s="222" t="str">
        <f t="shared" si="9"/>
        <v/>
      </c>
      <c r="Y16" s="222" t="str">
        <f t="shared" si="10"/>
        <v/>
      </c>
      <c r="Z16" s="224" t="str">
        <f t="shared" si="11"/>
        <v> </v>
      </c>
      <c r="AA16" s="244"/>
    </row>
    <row r="17">
      <c r="A17" s="214" t="str">
        <f>IFS($B17=FALSE,"",$B17,VLOOKUP($B17,'PATIENT DATA (072721)'!A:C, 2, 0))</f>
        <v/>
      </c>
      <c r="B17" s="215"/>
      <c r="C17" s="216" t="str">
        <f>IF(COUNTIF('PATIENT DATA (072721)'!A:A, B17)=0, "X","✓")</f>
        <v>X</v>
      </c>
      <c r="D17" s="226" t="str">
        <f>IFS($B17=FALSE,"",$B17,VLOOKUP($B17,'PATIENT DATA (072721)'!A:C, 3, 0))</f>
        <v/>
      </c>
      <c r="E17" s="218">
        <v>44582.0</v>
      </c>
      <c r="F17" s="219" t="str">
        <f>ifs($B17="","",$B17, VLOOKUP($B17&amp;$E17, 'VISIT DATA'!A:O,3,0))</f>
        <v/>
      </c>
      <c r="G17" s="220"/>
      <c r="H17" s="221"/>
      <c r="I17" s="222" t="str">
        <f>VLOOKUP($B17&amp;$E17,'VISIT DATA'!A:J, 9, FALSE)</f>
        <v>#N/A</v>
      </c>
      <c r="J17" s="223" t="str">
        <f>VLOOKUP(B17&amp;E17,'VISIT DATA'!A:N,10,FALSE)</f>
        <v>#N/A</v>
      </c>
      <c r="K17" s="225"/>
      <c r="L17" s="224"/>
      <c r="M17" s="224"/>
      <c r="N17" s="224"/>
      <c r="O17" s="216" t="str">
        <f t="shared" si="1"/>
        <v>X</v>
      </c>
      <c r="P17" s="226" t="str">
        <f t="shared" si="2"/>
        <v>#N/A</v>
      </c>
      <c r="Q17" s="227" t="str">
        <f t="shared" si="3"/>
        <v>#N/A</v>
      </c>
      <c r="R17" s="228" t="str">
        <f t="shared" si="4"/>
        <v>#N/A</v>
      </c>
      <c r="S17" s="220" t="str">
        <f t="shared" si="5"/>
        <v>#N/A</v>
      </c>
      <c r="T17" s="220" t="str">
        <f t="shared" si="6"/>
        <v>#N/A</v>
      </c>
      <c r="U17" s="221">
        <f t="shared" si="7"/>
        <v>0</v>
      </c>
      <c r="V17" s="229" t="str">
        <f>ifs($N17="",VLOOKUP($B17&amp;$E17,'VISIT DATA'!$A$2:$J100,7,FALSE), $N17="SWAB","OUTSA-RW",$N17="SWQU","OUTSA-SaQu", AND($L17="X",$M17="X",$N17="QUEST"),"OUT-UAQPre",$N17="QUEST","OUT-UAQ", $N17="Walk in","ColUATele")</f>
        <v>#N/A</v>
      </c>
      <c r="W17" s="24" t="str">
        <f t="shared" si="8"/>
        <v>#N/A</v>
      </c>
      <c r="X17" s="222" t="str">
        <f t="shared" si="9"/>
        <v/>
      </c>
      <c r="Y17" s="222" t="str">
        <f t="shared" si="10"/>
        <v/>
      </c>
      <c r="Z17" s="224" t="str">
        <f t="shared" si="11"/>
        <v> </v>
      </c>
      <c r="AA17" s="245"/>
    </row>
    <row r="18">
      <c r="A18" s="214" t="str">
        <f>IFS($B18=FALSE,"",$B18,VLOOKUP($B18,'PATIENT DATA (072721)'!A:C, 2, 0))</f>
        <v/>
      </c>
      <c r="B18" s="215"/>
      <c r="C18" s="216" t="str">
        <f>IF(COUNTIF('PATIENT DATA (072721)'!A:A, B18)=0, "X","✓")</f>
        <v>X</v>
      </c>
      <c r="D18" s="226" t="str">
        <f>IFS($B18=FALSE,"",$B18,VLOOKUP($B18,'PATIENT DATA (072721)'!A:C, 3, 0))</f>
        <v/>
      </c>
      <c r="E18" s="218">
        <v>44582.0</v>
      </c>
      <c r="F18" s="219" t="str">
        <f>ifs($B18="","",$B18, VLOOKUP($B18&amp;$E18, 'VISIT DATA'!A:O,3,0))</f>
        <v/>
      </c>
      <c r="G18" s="220"/>
      <c r="H18" s="221"/>
      <c r="I18" s="222" t="str">
        <f>VLOOKUP($B18&amp;$E18,'VISIT DATA'!A:J, 9, FALSE)</f>
        <v>#N/A</v>
      </c>
      <c r="J18" s="223" t="str">
        <f>VLOOKUP(B18&amp;E18,'VISIT DATA'!A:N,10,FALSE)</f>
        <v>#N/A</v>
      </c>
      <c r="K18" s="224"/>
      <c r="L18" s="224"/>
      <c r="M18" s="224"/>
      <c r="N18" s="224"/>
      <c r="O18" s="216" t="str">
        <f t="shared" si="1"/>
        <v>X</v>
      </c>
      <c r="P18" s="226" t="str">
        <f t="shared" si="2"/>
        <v>#N/A</v>
      </c>
      <c r="Q18" s="227" t="str">
        <f t="shared" si="3"/>
        <v>#N/A</v>
      </c>
      <c r="R18" s="228" t="str">
        <f t="shared" si="4"/>
        <v>#N/A</v>
      </c>
      <c r="S18" s="220" t="str">
        <f t="shared" si="5"/>
        <v>#N/A</v>
      </c>
      <c r="T18" s="220" t="str">
        <f t="shared" si="6"/>
        <v>#N/A</v>
      </c>
      <c r="U18" s="221">
        <f t="shared" si="7"/>
        <v>0</v>
      </c>
      <c r="V18" s="229" t="str">
        <f>ifs($N18="",VLOOKUP($B18&amp;$E18,'VISIT DATA'!$A$2:$J100,7,FALSE), $N18="SWAB","OUTSA-RW",$N18="SWQU","OUTSA-SaQu", AND($L18="X",$M18="X",$N18="QUEST"),"OUT-UAQPre",$N18="QUEST","OUT-UAQ", $N18="Walk in","ColUATele")</f>
        <v>#N/A</v>
      </c>
      <c r="W18" s="24" t="str">
        <f t="shared" si="8"/>
        <v>#N/A</v>
      </c>
      <c r="X18" s="222" t="str">
        <f t="shared" si="9"/>
        <v/>
      </c>
      <c r="Y18" s="222" t="str">
        <f t="shared" si="10"/>
        <v/>
      </c>
      <c r="Z18" s="224" t="str">
        <f t="shared" si="11"/>
        <v> </v>
      </c>
      <c r="AA18" s="244"/>
    </row>
    <row r="19">
      <c r="A19" s="214" t="str">
        <f>IFS($B19=FALSE,"",$B19,VLOOKUP($B19,'PATIENT DATA (072721)'!A:C, 2, 0))</f>
        <v/>
      </c>
      <c r="B19" s="215"/>
      <c r="C19" s="216" t="str">
        <f>IF(COUNTIF('PATIENT DATA (072721)'!A:A, B19)=0, "X","✓")</f>
        <v>X</v>
      </c>
      <c r="D19" s="226" t="str">
        <f>IFS($B19=FALSE,"",$B19,VLOOKUP($B19,'PATIENT DATA (072721)'!A:C, 3, 0))</f>
        <v/>
      </c>
      <c r="E19" s="218">
        <v>44582.0</v>
      </c>
      <c r="F19" s="219" t="str">
        <f>ifs($B19="","",$B19, VLOOKUP($B19&amp;$E19, 'VISIT DATA'!A:O,3,0))</f>
        <v/>
      </c>
      <c r="G19" s="220"/>
      <c r="H19" s="221"/>
      <c r="I19" s="222" t="str">
        <f>VLOOKUP($B19&amp;$E19,'VISIT DATA'!A:J, 9, FALSE)</f>
        <v>#N/A</v>
      </c>
      <c r="J19" s="223" t="str">
        <f>VLOOKUP(B19&amp;E19,'VISIT DATA'!A:N,10,FALSE)</f>
        <v>#N/A</v>
      </c>
      <c r="K19" s="225"/>
      <c r="L19" s="224"/>
      <c r="M19" s="224"/>
      <c r="N19" s="225"/>
      <c r="O19" s="216" t="str">
        <f t="shared" si="1"/>
        <v>X</v>
      </c>
      <c r="P19" s="226" t="str">
        <f t="shared" si="2"/>
        <v>#N/A</v>
      </c>
      <c r="Q19" s="227" t="str">
        <f t="shared" si="3"/>
        <v>#N/A</v>
      </c>
      <c r="R19" s="228" t="str">
        <f t="shared" si="4"/>
        <v>#N/A</v>
      </c>
      <c r="S19" s="220" t="str">
        <f t="shared" si="5"/>
        <v>#N/A</v>
      </c>
      <c r="T19" s="220" t="str">
        <f t="shared" si="6"/>
        <v>#N/A</v>
      </c>
      <c r="U19" s="221">
        <f t="shared" si="7"/>
        <v>0</v>
      </c>
      <c r="V19" s="229" t="str">
        <f>ifs($N19="",VLOOKUP($B19&amp;$E19,'VISIT DATA'!$A$2:$J100,7,FALSE), $N19="SWAB","OUTSA-RW",$N19="SWQU","OUTSA-SaQu", AND($L19="X",$M19="X",$N19="QUEST"),"OUT-UAQPre",$N19="QUEST","OUT-UAQ", $N19="Walk in","ColUATele")</f>
        <v>#N/A</v>
      </c>
      <c r="W19" s="24" t="str">
        <f t="shared" si="8"/>
        <v>#N/A</v>
      </c>
      <c r="X19" s="222" t="str">
        <f t="shared" si="9"/>
        <v/>
      </c>
      <c r="Y19" s="222" t="str">
        <f t="shared" si="10"/>
        <v/>
      </c>
      <c r="Z19" s="224" t="str">
        <f t="shared" si="11"/>
        <v> </v>
      </c>
      <c r="AA19" s="244"/>
    </row>
    <row r="20">
      <c r="A20" s="214" t="str">
        <f>IFS($B20=FALSE,"",$B20,VLOOKUP($B20,'PATIENT DATA (072721)'!A:C, 2, 0))</f>
        <v/>
      </c>
      <c r="B20" s="215"/>
      <c r="C20" s="216" t="str">
        <f>IF(COUNTIF('PATIENT DATA (072721)'!A:A, B20)=0, "X","✓")</f>
        <v>X</v>
      </c>
      <c r="D20" s="226" t="str">
        <f>IFS($B20=FALSE,"",$B20,VLOOKUP($B20,'PATIENT DATA (072721)'!A:C, 3, 0))</f>
        <v/>
      </c>
      <c r="E20" s="218">
        <v>44582.0</v>
      </c>
      <c r="F20" s="219" t="str">
        <f>ifs($B20="","",$B20, VLOOKUP($B20&amp;$E20, 'VISIT DATA'!A:O,3,0))</f>
        <v/>
      </c>
      <c r="G20" s="220"/>
      <c r="H20" s="221"/>
      <c r="I20" s="222" t="str">
        <f>VLOOKUP($B20&amp;$E20,'VISIT DATA'!A:J, 9, FALSE)</f>
        <v>#N/A</v>
      </c>
      <c r="J20" s="223" t="str">
        <f>VLOOKUP(B20&amp;E20,'VISIT DATA'!A:N,10,FALSE)</f>
        <v>#N/A</v>
      </c>
      <c r="K20" s="225"/>
      <c r="L20" s="224"/>
      <c r="M20" s="224"/>
      <c r="N20" s="224"/>
      <c r="O20" s="216" t="str">
        <f t="shared" si="1"/>
        <v>X</v>
      </c>
      <c r="P20" s="226" t="str">
        <f t="shared" si="2"/>
        <v>#N/A</v>
      </c>
      <c r="Q20" s="227" t="str">
        <f t="shared" si="3"/>
        <v>#N/A</v>
      </c>
      <c r="R20" s="228" t="str">
        <f t="shared" si="4"/>
        <v>#N/A</v>
      </c>
      <c r="S20" s="220" t="str">
        <f t="shared" si="5"/>
        <v>#N/A</v>
      </c>
      <c r="T20" s="220" t="str">
        <f t="shared" si="6"/>
        <v>#N/A</v>
      </c>
      <c r="U20" s="221">
        <f t="shared" si="7"/>
        <v>0</v>
      </c>
      <c r="V20" s="229" t="str">
        <f>ifs($N20="",VLOOKUP($B20&amp;$E20,'VISIT DATA'!$A$2:$J100,7,FALSE), $N20="SWAB","OUTSA-RW",$N20="SWQU","OUTSA-SaQu", AND($L20="X",$M20="X",$N20="QUEST"),"OUT-UAQPre",$N20="QUEST","OUT-UAQ", $N20="Walk in","ColUATele")</f>
        <v>#N/A</v>
      </c>
      <c r="W20" s="24" t="str">
        <f t="shared" si="8"/>
        <v>#N/A</v>
      </c>
      <c r="X20" s="222" t="str">
        <f t="shared" si="9"/>
        <v/>
      </c>
      <c r="Y20" s="222" t="str">
        <f t="shared" si="10"/>
        <v/>
      </c>
      <c r="Z20" s="224" t="str">
        <f t="shared" si="11"/>
        <v> </v>
      </c>
      <c r="AA20" s="244"/>
    </row>
    <row r="21">
      <c r="A21" s="214" t="str">
        <f>IFS($B21=FALSE,"",$B21,VLOOKUP($B21,'PATIENT DATA (072721)'!A:C, 2, 0))</f>
        <v/>
      </c>
      <c r="B21" s="215"/>
      <c r="C21" s="216" t="str">
        <f>IF(COUNTIF('PATIENT DATA (072721)'!A:A, B21)=0, "X","✓")</f>
        <v>X</v>
      </c>
      <c r="D21" s="226" t="str">
        <f>IFS($B21=FALSE,"",$B21,VLOOKUP($B21,'PATIENT DATA (072721)'!A:C, 3, 0))</f>
        <v/>
      </c>
      <c r="E21" s="218">
        <v>44582.0</v>
      </c>
      <c r="F21" s="219" t="str">
        <f>ifs($B21="","",$B21, VLOOKUP($B21&amp;$E21, 'VISIT DATA'!A:O,3,0))</f>
        <v/>
      </c>
      <c r="G21" s="220"/>
      <c r="H21" s="221"/>
      <c r="I21" s="222" t="str">
        <f>VLOOKUP($B21&amp;$E21,'VISIT DATA'!A:J, 9, FALSE)</f>
        <v>#N/A</v>
      </c>
      <c r="J21" s="223" t="str">
        <f>VLOOKUP(B21&amp;E21,'VISIT DATA'!A:N,10,FALSE)</f>
        <v>#N/A</v>
      </c>
      <c r="K21" s="225"/>
      <c r="L21" s="224"/>
      <c r="M21" s="224"/>
      <c r="N21" s="225"/>
      <c r="O21" s="216" t="str">
        <f t="shared" si="1"/>
        <v>X</v>
      </c>
      <c r="P21" s="226" t="str">
        <f t="shared" si="2"/>
        <v>#N/A</v>
      </c>
      <c r="Q21" s="227" t="str">
        <f t="shared" si="3"/>
        <v>#N/A</v>
      </c>
      <c r="R21" s="228" t="str">
        <f t="shared" si="4"/>
        <v>#N/A</v>
      </c>
      <c r="S21" s="220" t="str">
        <f t="shared" si="5"/>
        <v>#N/A</v>
      </c>
      <c r="T21" s="220" t="str">
        <f t="shared" si="6"/>
        <v>#N/A</v>
      </c>
      <c r="U21" s="221">
        <f t="shared" si="7"/>
        <v>0</v>
      </c>
      <c r="V21" s="229" t="str">
        <f>ifs($N21="",VLOOKUP($B21&amp;$E21,'VISIT DATA'!$A$2:$J100,7,FALSE), $N21="SWAB","OUTSA-RW",$N21="SWQU","OUTSA-SaQu", AND($L21="X",$M21="X",$N21="QUEST"),"OUT-UAQPre",$N21="QUEST","OUT-UAQ", $N21="Walk in","ColUATele")</f>
        <v>#N/A</v>
      </c>
      <c r="W21" s="24" t="str">
        <f t="shared" si="8"/>
        <v>#N/A</v>
      </c>
      <c r="X21" s="222" t="str">
        <f t="shared" si="9"/>
        <v/>
      </c>
      <c r="Y21" s="222" t="str">
        <f t="shared" si="10"/>
        <v/>
      </c>
      <c r="Z21" s="224" t="str">
        <f t="shared" si="11"/>
        <v> </v>
      </c>
      <c r="AA21" s="244"/>
    </row>
    <row r="22">
      <c r="A22" s="214" t="str">
        <f>IFS($B22=FALSE,"",$B22,VLOOKUP($B22,'PATIENT DATA (072721)'!A:C, 2, 0))</f>
        <v/>
      </c>
      <c r="B22" s="215"/>
      <c r="C22" s="216" t="str">
        <f>IF(COUNTIF('PATIENT DATA (072721)'!A:A, B22)=0, "X","✓")</f>
        <v>X</v>
      </c>
      <c r="D22" s="226" t="str">
        <f>IFS($B22=FALSE,"",$B22,VLOOKUP($B22,'PATIENT DATA (072721)'!A:C, 3, 0))</f>
        <v/>
      </c>
      <c r="E22" s="218">
        <v>44582.0</v>
      </c>
      <c r="F22" s="219" t="str">
        <f>ifs($B22="","",$B22, VLOOKUP($B22&amp;$E22, 'VISIT DATA'!A:O,3,0))</f>
        <v/>
      </c>
      <c r="G22" s="220"/>
      <c r="H22" s="221"/>
      <c r="I22" s="222" t="str">
        <f>VLOOKUP($B22&amp;$E22,'VISIT DATA'!A:J, 9, FALSE)</f>
        <v>#N/A</v>
      </c>
      <c r="J22" s="223" t="str">
        <f>VLOOKUP(B22&amp;E22,'VISIT DATA'!A:N,10,FALSE)</f>
        <v>#N/A</v>
      </c>
      <c r="K22" s="225"/>
      <c r="L22" s="224"/>
      <c r="M22" s="224"/>
      <c r="N22" s="225"/>
      <c r="O22" s="216" t="str">
        <f t="shared" si="1"/>
        <v>X</v>
      </c>
      <c r="P22" s="226" t="str">
        <f t="shared" si="2"/>
        <v>#N/A</v>
      </c>
      <c r="Q22" s="227" t="str">
        <f t="shared" si="3"/>
        <v>#N/A</v>
      </c>
      <c r="R22" s="228" t="str">
        <f t="shared" si="4"/>
        <v>#N/A</v>
      </c>
      <c r="S22" s="220" t="str">
        <f t="shared" si="5"/>
        <v>#N/A</v>
      </c>
      <c r="T22" s="220" t="str">
        <f t="shared" si="6"/>
        <v>#N/A</v>
      </c>
      <c r="U22" s="221">
        <f t="shared" si="7"/>
        <v>0</v>
      </c>
      <c r="V22" s="229" t="str">
        <f>ifs($N22="",VLOOKUP($B22&amp;$E22,'VISIT DATA'!$A$2:$J100,7,FALSE), $N22="SWAB","OUTSA-RW",$N22="SWQU","OUTSA-SaQu", AND($L22="X",$M22="X",$N22="QUEST"),"OUT-UAQPre",$N22="QUEST","OUT-UAQ", $N22="Walk in","ColUATele")</f>
        <v>#N/A</v>
      </c>
      <c r="W22" s="24" t="str">
        <f t="shared" si="8"/>
        <v>#N/A</v>
      </c>
      <c r="X22" s="222" t="str">
        <f t="shared" si="9"/>
        <v/>
      </c>
      <c r="Y22" s="222" t="str">
        <f t="shared" si="10"/>
        <v/>
      </c>
      <c r="Z22" s="224" t="str">
        <f t="shared" si="11"/>
        <v> </v>
      </c>
      <c r="AA22" s="244"/>
    </row>
    <row r="23">
      <c r="A23" s="214" t="str">
        <f>IFS($B23=FALSE,"",$B23,VLOOKUP($B23,'PATIENT DATA (072721)'!A:C, 2, 0))</f>
        <v/>
      </c>
      <c r="B23" s="215"/>
      <c r="C23" s="216" t="str">
        <f>IF(COUNTIF('PATIENT DATA (072721)'!A:A, B23)=0, "X","✓")</f>
        <v>X</v>
      </c>
      <c r="D23" s="226" t="str">
        <f>IFS($B23=FALSE,"",$B23,VLOOKUP($B23,'PATIENT DATA (072721)'!A:C, 3, 0))</f>
        <v/>
      </c>
      <c r="E23" s="218">
        <v>44582.0</v>
      </c>
      <c r="F23" s="219" t="str">
        <f>ifs($B23="","",$B23, VLOOKUP($B23&amp;$E23, 'VISIT DATA'!A:O,3,0))</f>
        <v/>
      </c>
      <c r="G23" s="220"/>
      <c r="H23" s="221"/>
      <c r="I23" s="222" t="str">
        <f>VLOOKUP($B23&amp;$E23,'VISIT DATA'!A:J, 9, FALSE)</f>
        <v>#N/A</v>
      </c>
      <c r="J23" s="223" t="str">
        <f>VLOOKUP(B23&amp;E23,'VISIT DATA'!A:N,10,FALSE)</f>
        <v>#N/A</v>
      </c>
      <c r="K23" s="225"/>
      <c r="L23" s="224"/>
      <c r="M23" s="224"/>
      <c r="N23" s="224"/>
      <c r="O23" s="216" t="str">
        <f t="shared" si="1"/>
        <v>X</v>
      </c>
      <c r="P23" s="226" t="str">
        <f t="shared" si="2"/>
        <v>#N/A</v>
      </c>
      <c r="Q23" s="227" t="str">
        <f t="shared" si="3"/>
        <v>#N/A</v>
      </c>
      <c r="R23" s="228" t="str">
        <f t="shared" si="4"/>
        <v>#N/A</v>
      </c>
      <c r="S23" s="220" t="str">
        <f t="shared" si="5"/>
        <v>#N/A</v>
      </c>
      <c r="T23" s="220" t="str">
        <f t="shared" si="6"/>
        <v>#N/A</v>
      </c>
      <c r="U23" s="221">
        <f t="shared" si="7"/>
        <v>0</v>
      </c>
      <c r="V23" s="229" t="str">
        <f>ifs($N23="",VLOOKUP($B23&amp;$E23,'VISIT DATA'!$A$2:$J100,7,FALSE), $N23="SWAB","OUTSA-RW",$N23="SWQU","OUTSA-SaQu", AND($L23="X",$M23="X",$N23="QUEST"),"OUT-UAQPre",$N23="QUEST","OUT-UAQ", $N23="Walk in","ColUATele")</f>
        <v>#N/A</v>
      </c>
      <c r="W23" s="24" t="str">
        <f t="shared" si="8"/>
        <v>#N/A</v>
      </c>
      <c r="X23" s="222" t="str">
        <f t="shared" si="9"/>
        <v/>
      </c>
      <c r="Y23" s="222" t="str">
        <f t="shared" si="10"/>
        <v/>
      </c>
      <c r="Z23" s="224" t="str">
        <f t="shared" si="11"/>
        <v> </v>
      </c>
      <c r="AA23" s="245"/>
    </row>
    <row r="24">
      <c r="A24" s="214" t="str">
        <f>IFS($B24=FALSE,"",$B24,VLOOKUP($B24,'PATIENT DATA (072721)'!A:C, 2, 0))</f>
        <v/>
      </c>
      <c r="B24" s="215"/>
      <c r="C24" s="216" t="str">
        <f>IF(COUNTIF('PATIENT DATA (072721)'!A:A, B24)=0, "X","✓")</f>
        <v>X</v>
      </c>
      <c r="D24" s="226" t="str">
        <f>IFS($B24=FALSE,"",$B24,VLOOKUP($B24,'PATIENT DATA (072721)'!A:C, 3, 0))</f>
        <v/>
      </c>
      <c r="E24" s="218">
        <v>44582.0</v>
      </c>
      <c r="F24" s="219" t="str">
        <f>ifs($B24="","",$B24, VLOOKUP($B24&amp;$E24, 'VISIT DATA'!A:O,3,0))</f>
        <v/>
      </c>
      <c r="G24" s="220"/>
      <c r="H24" s="221"/>
      <c r="I24" s="222" t="str">
        <f>VLOOKUP($B24&amp;$E24,'VISIT DATA'!A:J, 9, FALSE)</f>
        <v>#N/A</v>
      </c>
      <c r="J24" s="223" t="str">
        <f>VLOOKUP(B24&amp;E24,'VISIT DATA'!A:N,10,FALSE)</f>
        <v>#N/A</v>
      </c>
      <c r="K24" s="225"/>
      <c r="L24" s="224"/>
      <c r="M24" s="224"/>
      <c r="N24" s="224"/>
      <c r="O24" s="216" t="str">
        <f t="shared" si="1"/>
        <v>X</v>
      </c>
      <c r="P24" s="226" t="str">
        <f t="shared" si="2"/>
        <v>#N/A</v>
      </c>
      <c r="Q24" s="227" t="str">
        <f t="shared" si="3"/>
        <v>#N/A</v>
      </c>
      <c r="R24" s="228" t="str">
        <f t="shared" si="4"/>
        <v>#N/A</v>
      </c>
      <c r="S24" s="220" t="str">
        <f t="shared" si="5"/>
        <v>#N/A</v>
      </c>
      <c r="T24" s="220" t="str">
        <f t="shared" si="6"/>
        <v>#N/A</v>
      </c>
      <c r="U24" s="221">
        <f t="shared" si="7"/>
        <v>0</v>
      </c>
      <c r="V24" s="229" t="str">
        <f>ifs($N24="",VLOOKUP($B24&amp;$E24,'VISIT DATA'!$A$2:$J100,7,FALSE), $N24="SWAB","OUTSA-RW",$N24="SWQU","OUTSA-SaQu", AND($L24="X",$M24="X",$N24="QUEST"),"OUT-UAQPre",$N24="QUEST","OUT-UAQ", $N24="Walk in","ColUATele")</f>
        <v>#N/A</v>
      </c>
      <c r="W24" s="24" t="str">
        <f t="shared" si="8"/>
        <v>#N/A</v>
      </c>
      <c r="X24" s="222" t="str">
        <f t="shared" si="9"/>
        <v/>
      </c>
      <c r="Y24" s="222" t="str">
        <f t="shared" si="10"/>
        <v/>
      </c>
      <c r="Z24" s="224" t="str">
        <f t="shared" si="11"/>
        <v> </v>
      </c>
      <c r="AA24" s="244"/>
    </row>
    <row r="25">
      <c r="A25" s="214" t="str">
        <f>IFS($B25=FALSE,"",$B25,VLOOKUP($B25,'PATIENT DATA (072721)'!A:C, 2, 0))</f>
        <v/>
      </c>
      <c r="B25" s="215"/>
      <c r="C25" s="216" t="str">
        <f>IF(COUNTIF('PATIENT DATA (072721)'!A:A, B25)=0, "X","✓")</f>
        <v>X</v>
      </c>
      <c r="D25" s="226" t="str">
        <f>IFS($B25=FALSE,"",$B25,VLOOKUP($B25,'PATIENT DATA (072721)'!A:C, 3, 0))</f>
        <v/>
      </c>
      <c r="E25" s="218">
        <v>44582.0</v>
      </c>
      <c r="F25" s="219" t="str">
        <f>ifs($B25="","",$B25, VLOOKUP($B25&amp;$E25, 'VISIT DATA'!A:O,3,0))</f>
        <v/>
      </c>
      <c r="G25" s="220"/>
      <c r="H25" s="221"/>
      <c r="I25" s="222" t="str">
        <f>VLOOKUP($B25&amp;$E25,'VISIT DATA'!A:J, 9, FALSE)</f>
        <v>#N/A</v>
      </c>
      <c r="J25" s="223" t="str">
        <f>VLOOKUP(B25&amp;E25,'VISIT DATA'!A:N,10,FALSE)</f>
        <v>#N/A</v>
      </c>
      <c r="K25" s="224"/>
      <c r="L25" s="224"/>
      <c r="M25" s="224"/>
      <c r="N25" s="225"/>
      <c r="O25" s="216" t="str">
        <f t="shared" si="1"/>
        <v>X</v>
      </c>
      <c r="P25" s="226" t="str">
        <f t="shared" si="2"/>
        <v>#N/A</v>
      </c>
      <c r="Q25" s="227" t="str">
        <f t="shared" si="3"/>
        <v>#N/A</v>
      </c>
      <c r="R25" s="228" t="str">
        <f t="shared" si="4"/>
        <v>#N/A</v>
      </c>
      <c r="S25" s="220" t="str">
        <f t="shared" si="5"/>
        <v>#N/A</v>
      </c>
      <c r="T25" s="220" t="str">
        <f t="shared" si="6"/>
        <v>#N/A</v>
      </c>
      <c r="U25" s="221">
        <f t="shared" si="7"/>
        <v>0</v>
      </c>
      <c r="V25" s="229" t="str">
        <f>ifs($N25="",VLOOKUP($B25&amp;$E25,'VISIT DATA'!$A$2:$J100,7,FALSE), $N25="SWAB","OUTSA-RW",$N25="SWQU","OUTSA-SaQu", AND($L25="X",$M25="X",$N25="QUEST"),"OUT-UAQPre",$N25="QUEST","OUT-UAQ", $N25="Walk in","ColUATele")</f>
        <v>#N/A</v>
      </c>
      <c r="W25" s="24" t="str">
        <f t="shared" si="8"/>
        <v>#N/A</v>
      </c>
      <c r="X25" s="222" t="str">
        <f t="shared" si="9"/>
        <v/>
      </c>
      <c r="Y25" s="222" t="str">
        <f t="shared" si="10"/>
        <v/>
      </c>
      <c r="Z25" s="224" t="str">
        <f t="shared" si="11"/>
        <v> </v>
      </c>
      <c r="AA25" s="244"/>
    </row>
    <row r="26">
      <c r="A26" s="214" t="str">
        <f>IFS($B26=FALSE,"",$B26,VLOOKUP($B26,'PATIENT DATA (072721)'!A:C, 2, 0))</f>
        <v/>
      </c>
      <c r="B26" s="215"/>
      <c r="C26" s="216" t="str">
        <f>IF(COUNTIF('PATIENT DATA (072721)'!A:A, B26)=0, "X","✓")</f>
        <v>X</v>
      </c>
      <c r="D26" s="226" t="str">
        <f>IFS($B26=FALSE,"",$B26,VLOOKUP($B26,'PATIENT DATA (072721)'!A:C, 3, 0))</f>
        <v/>
      </c>
      <c r="E26" s="218">
        <v>44582.0</v>
      </c>
      <c r="F26" s="219" t="str">
        <f>ifs($B26="","",$B26, VLOOKUP($B26&amp;$E26, 'VISIT DATA'!A:O,3,0))</f>
        <v/>
      </c>
      <c r="G26" s="220"/>
      <c r="H26" s="221"/>
      <c r="I26" s="222" t="str">
        <f>VLOOKUP($B26&amp;$E26,'VISIT DATA'!A:J, 9, FALSE)</f>
        <v>#N/A</v>
      </c>
      <c r="J26" s="223" t="str">
        <f>VLOOKUP(B26&amp;E26,'VISIT DATA'!A:N,10,FALSE)</f>
        <v>#N/A</v>
      </c>
      <c r="K26" s="224"/>
      <c r="L26" s="224"/>
      <c r="M26" s="224"/>
      <c r="N26" s="224"/>
      <c r="O26" s="216" t="str">
        <f t="shared" si="1"/>
        <v>X</v>
      </c>
      <c r="P26" s="226" t="str">
        <f t="shared" si="2"/>
        <v>#N/A</v>
      </c>
      <c r="Q26" s="227" t="str">
        <f t="shared" si="3"/>
        <v>#N/A</v>
      </c>
      <c r="R26" s="228" t="str">
        <f t="shared" si="4"/>
        <v>#N/A</v>
      </c>
      <c r="S26" s="220" t="str">
        <f t="shared" si="5"/>
        <v>#N/A</v>
      </c>
      <c r="T26" s="220" t="str">
        <f t="shared" si="6"/>
        <v>#N/A</v>
      </c>
      <c r="U26" s="221">
        <f t="shared" si="7"/>
        <v>0</v>
      </c>
      <c r="V26" s="229" t="str">
        <f>ifs($N26="",VLOOKUP($B26&amp;$E26,'VISIT DATA'!$A$2:$J100,7,FALSE), $N26="SWAB","OUTSA-RW",$N26="SWQU","OUTSA-SaQu", AND($L26="X",$M26="X",$N26="QUEST"),"OUT-UAQPre",$N26="QUEST","OUT-UAQ", $N26="Walk in","ColUATele")</f>
        <v>#N/A</v>
      </c>
      <c r="W26" s="24" t="str">
        <f t="shared" si="8"/>
        <v>#N/A</v>
      </c>
      <c r="X26" s="222" t="str">
        <f t="shared" si="9"/>
        <v/>
      </c>
      <c r="Y26" s="222" t="str">
        <f t="shared" si="10"/>
        <v/>
      </c>
      <c r="Z26" s="224" t="str">
        <f t="shared" si="11"/>
        <v> </v>
      </c>
      <c r="AA26" s="245"/>
    </row>
    <row r="27">
      <c r="A27" s="214" t="str">
        <f>IFS($B27=FALSE,"",$B27,VLOOKUP($B27,'PATIENT DATA (072721)'!A:C, 2, 0))</f>
        <v/>
      </c>
      <c r="B27" s="215"/>
      <c r="C27" s="216" t="str">
        <f>IF(COUNTIF('PATIENT DATA (072721)'!A:A, B27)=0, "X","✓")</f>
        <v>X</v>
      </c>
      <c r="D27" s="226" t="str">
        <f>IFS($B27=FALSE,"",$B27,VLOOKUP($B27,'PATIENT DATA (072721)'!A:C, 3, 0))</f>
        <v/>
      </c>
      <c r="E27" s="218">
        <v>44582.0</v>
      </c>
      <c r="F27" s="219" t="str">
        <f>ifs($B27="","",$B27, VLOOKUP($B27&amp;$E27, 'VISIT DATA'!A:O,3,0))</f>
        <v/>
      </c>
      <c r="G27" s="220"/>
      <c r="H27" s="221"/>
      <c r="I27" s="222" t="str">
        <f>VLOOKUP($B27&amp;$E27,'VISIT DATA'!A:J, 9, FALSE)</f>
        <v>#N/A</v>
      </c>
      <c r="J27" s="223" t="str">
        <f>VLOOKUP(B27&amp;E27,'VISIT DATA'!A:N,10,FALSE)</f>
        <v>#N/A</v>
      </c>
      <c r="K27" s="224"/>
      <c r="L27" s="224"/>
      <c r="M27" s="224"/>
      <c r="N27" s="225"/>
      <c r="O27" s="216" t="str">
        <f t="shared" si="1"/>
        <v>X</v>
      </c>
      <c r="P27" s="226" t="str">
        <f t="shared" si="2"/>
        <v>#N/A</v>
      </c>
      <c r="Q27" s="227" t="str">
        <f t="shared" si="3"/>
        <v>#N/A</v>
      </c>
      <c r="R27" s="228" t="str">
        <f t="shared" si="4"/>
        <v>#N/A</v>
      </c>
      <c r="S27" s="220" t="str">
        <f t="shared" si="5"/>
        <v>#N/A</v>
      </c>
      <c r="T27" s="220" t="str">
        <f t="shared" si="6"/>
        <v>#N/A</v>
      </c>
      <c r="U27" s="221">
        <f t="shared" si="7"/>
        <v>0</v>
      </c>
      <c r="V27" s="229" t="str">
        <f>ifs($N27="",VLOOKUP($B27&amp;$E27,'VISIT DATA'!$A$2:$J100,7,FALSE), $N27="SWAB","OUTSA-RW",$N27="SWQU","OUTSA-SaQu", AND($L27="X",$M27="X",$N27="QUEST"),"OUT-UAQPre",$N27="QUEST","OUT-UAQ", $N27="Walk in","ColUATele")</f>
        <v>#N/A</v>
      </c>
      <c r="W27" s="24" t="str">
        <f t="shared" si="8"/>
        <v>#N/A</v>
      </c>
      <c r="X27" s="222" t="str">
        <f t="shared" si="9"/>
        <v/>
      </c>
      <c r="Y27" s="222" t="str">
        <f t="shared" si="10"/>
        <v/>
      </c>
      <c r="Z27" s="224" t="str">
        <f t="shared" si="11"/>
        <v> </v>
      </c>
      <c r="AA27" s="244"/>
    </row>
    <row r="28">
      <c r="A28" s="214" t="str">
        <f>IFS($B28=FALSE,"",$B28,VLOOKUP($B28,'PATIENT DATA (072721)'!A:C, 2, 0))</f>
        <v/>
      </c>
      <c r="B28" s="215"/>
      <c r="C28" s="216" t="str">
        <f>IF(COUNTIF('PATIENT DATA (072721)'!A:A, B28)=0, "X","✓")</f>
        <v>X</v>
      </c>
      <c r="D28" s="226" t="str">
        <f>IFS($B28=FALSE,"",$B28,VLOOKUP($B28,'PATIENT DATA (072721)'!A:C, 3, 0))</f>
        <v/>
      </c>
      <c r="E28" s="218">
        <v>44582.0</v>
      </c>
      <c r="F28" s="219" t="str">
        <f>ifs($B28="","",$B28, VLOOKUP($B28&amp;$E28, 'VISIT DATA'!A:O,3,0))</f>
        <v/>
      </c>
      <c r="G28" s="220"/>
      <c r="H28" s="221"/>
      <c r="I28" s="222" t="str">
        <f>VLOOKUP($B28&amp;$E28,'VISIT DATA'!A:J, 9, FALSE)</f>
        <v>#N/A</v>
      </c>
      <c r="J28" s="223" t="str">
        <f>VLOOKUP(B28&amp;E28,'VISIT DATA'!A:N,10,FALSE)</f>
        <v>#N/A</v>
      </c>
      <c r="K28" s="224"/>
      <c r="L28" s="224"/>
      <c r="M28" s="224"/>
      <c r="N28" s="225"/>
      <c r="O28" s="216" t="str">
        <f t="shared" si="1"/>
        <v>X</v>
      </c>
      <c r="P28" s="226" t="str">
        <f t="shared" si="2"/>
        <v>#N/A</v>
      </c>
      <c r="Q28" s="227" t="str">
        <f t="shared" si="3"/>
        <v>#N/A</v>
      </c>
      <c r="R28" s="228" t="str">
        <f t="shared" si="4"/>
        <v>#N/A</v>
      </c>
      <c r="S28" s="220" t="str">
        <f t="shared" si="5"/>
        <v>#N/A</v>
      </c>
      <c r="T28" s="220" t="str">
        <f t="shared" si="6"/>
        <v>#N/A</v>
      </c>
      <c r="U28" s="221">
        <f t="shared" si="7"/>
        <v>0</v>
      </c>
      <c r="V28" s="229" t="str">
        <f>ifs($N28="",VLOOKUP($B28&amp;$E28,'VISIT DATA'!$A$2:$J100,7,FALSE), $N28="SWAB","OUTSA-RW",$N28="SWQU","OUTSA-SaQu", AND($L28="X",$M28="X",$N28="QUEST"),"OUT-UAQPre",$N28="QUEST","OUT-UAQ", $N28="Walk in","ColUATele")</f>
        <v>#N/A</v>
      </c>
      <c r="W28" s="24" t="str">
        <f t="shared" si="8"/>
        <v>#N/A</v>
      </c>
      <c r="X28" s="222" t="str">
        <f t="shared" si="9"/>
        <v/>
      </c>
      <c r="Y28" s="222" t="str">
        <f t="shared" si="10"/>
        <v/>
      </c>
      <c r="Z28" s="224" t="str">
        <f t="shared" si="11"/>
        <v> </v>
      </c>
      <c r="AA28" s="244"/>
    </row>
    <row r="29">
      <c r="A29" s="214" t="str">
        <f>IFS($B29=FALSE,"",$B29,VLOOKUP($B29,'PATIENT DATA (072721)'!A:C, 2, 0))</f>
        <v/>
      </c>
      <c r="B29" s="215"/>
      <c r="C29" s="216" t="str">
        <f>IF(COUNTIF('PATIENT DATA (072721)'!A:A, B29)=0, "X","✓")</f>
        <v>X</v>
      </c>
      <c r="D29" s="226" t="str">
        <f>IFS($B29=FALSE,"",$B29,VLOOKUP($B29,'PATIENT DATA (072721)'!A:C, 3, 0))</f>
        <v/>
      </c>
      <c r="E29" s="218">
        <v>44582.0</v>
      </c>
      <c r="F29" s="219" t="str">
        <f>ifs($B29="","",$B29, VLOOKUP($B29&amp;$E29, 'VISIT DATA'!A:O,3,0))</f>
        <v/>
      </c>
      <c r="G29" s="220"/>
      <c r="H29" s="221"/>
      <c r="I29" s="222" t="str">
        <f>VLOOKUP($B29&amp;$E29,'VISIT DATA'!A:J, 9, FALSE)</f>
        <v>#N/A</v>
      </c>
      <c r="J29" s="223" t="str">
        <f>VLOOKUP(B29&amp;E29,'VISIT DATA'!A:N,10,FALSE)</f>
        <v>#N/A</v>
      </c>
      <c r="K29" s="224"/>
      <c r="L29" s="224"/>
      <c r="M29" s="224"/>
      <c r="N29" s="224"/>
      <c r="O29" s="216" t="str">
        <f t="shared" si="1"/>
        <v>X</v>
      </c>
      <c r="P29" s="226" t="str">
        <f t="shared" si="2"/>
        <v>#N/A</v>
      </c>
      <c r="Q29" s="227" t="str">
        <f t="shared" si="3"/>
        <v>#N/A</v>
      </c>
      <c r="R29" s="228" t="str">
        <f t="shared" si="4"/>
        <v>#N/A</v>
      </c>
      <c r="S29" s="220" t="str">
        <f t="shared" si="5"/>
        <v>#N/A</v>
      </c>
      <c r="T29" s="220" t="str">
        <f t="shared" si="6"/>
        <v>#N/A</v>
      </c>
      <c r="U29" s="221">
        <f t="shared" si="7"/>
        <v>0</v>
      </c>
      <c r="V29" s="229" t="str">
        <f>ifs($N29="",VLOOKUP($B29&amp;$E29,'VISIT DATA'!$A$2:$J100,7,FALSE), $N29="SWAB","OUTSA-RW",$N29="SWQU","OUTSA-SaQu", AND($L29="X",$M29="X",$N29="QUEST"),"OUT-UAQPre",$N29="QUEST","OUT-UAQ", $N29="Walk in","ColUATele")</f>
        <v>#N/A</v>
      </c>
      <c r="W29" s="24" t="str">
        <f t="shared" si="8"/>
        <v>#N/A</v>
      </c>
      <c r="X29" s="222" t="str">
        <f t="shared" si="9"/>
        <v/>
      </c>
      <c r="Y29" s="222" t="str">
        <f t="shared" si="10"/>
        <v/>
      </c>
      <c r="Z29" s="224" t="str">
        <f t="shared" si="11"/>
        <v> </v>
      </c>
      <c r="AA29" s="245"/>
    </row>
    <row r="30">
      <c r="A30" s="214" t="str">
        <f>IFS($B30=FALSE,"",$B30,VLOOKUP($B30,'PATIENT DATA (072721)'!A:C, 2, 0))</f>
        <v/>
      </c>
      <c r="B30" s="215"/>
      <c r="C30" s="230" t="str">
        <f>IF(COUNTIF('PATIENT DATA (072721)'!A:A, B30)=0, "X","✓")</f>
        <v>X</v>
      </c>
      <c r="D30" s="226" t="str">
        <f>IFS($B30=FALSE,"",$B30,VLOOKUP($B30,'PATIENT DATA (072721)'!A:C, 3, 0))</f>
        <v/>
      </c>
      <c r="E30" s="218">
        <v>44582.0</v>
      </c>
      <c r="F30" s="219" t="str">
        <f>ifs($B30="","",$B30, VLOOKUP($B30&amp;$E30, 'VISIT DATA'!A:O,3,0))</f>
        <v/>
      </c>
      <c r="G30" s="231"/>
      <c r="H30" s="221"/>
      <c r="I30" s="222" t="str">
        <f>VLOOKUP($B30&amp;$E30,'VISIT DATA'!A:J, 9, FALSE)</f>
        <v>#N/A</v>
      </c>
      <c r="J30" s="223" t="str">
        <f>VLOOKUP(B30&amp;E30,'VISIT DATA'!A:N,10,FALSE)</f>
        <v>#N/A</v>
      </c>
      <c r="K30" s="224"/>
      <c r="L30" s="224"/>
      <c r="M30" s="224"/>
      <c r="N30" s="225"/>
      <c r="O30" s="216" t="str">
        <f t="shared" si="1"/>
        <v>X</v>
      </c>
      <c r="P30" s="226" t="str">
        <f t="shared" si="2"/>
        <v>#N/A</v>
      </c>
      <c r="Q30" s="227" t="str">
        <f t="shared" si="3"/>
        <v>#N/A</v>
      </c>
      <c r="R30" s="228" t="str">
        <f t="shared" si="4"/>
        <v>#N/A</v>
      </c>
      <c r="S30" s="220" t="str">
        <f t="shared" si="5"/>
        <v>#N/A</v>
      </c>
      <c r="T30" s="220" t="str">
        <f t="shared" si="6"/>
        <v>#N/A</v>
      </c>
      <c r="U30" s="221">
        <f t="shared" si="7"/>
        <v>0</v>
      </c>
      <c r="V30" s="229" t="str">
        <f>ifs($N30="",VLOOKUP($B30&amp;$E30,'VISIT DATA'!$A$2:$J100,7,FALSE), $N30="SWAB","OUTSA-RW",$N30="SWQU","OUTSA-SaQu", AND($L30="X",$M30="X",$N30="QUEST"),"OUT-UAQPre",$N30="QUEST","OUT-UAQ", $N30="Walk in","ColUATele")</f>
        <v>#N/A</v>
      </c>
      <c r="W30" s="24" t="str">
        <f t="shared" si="8"/>
        <v>#N/A</v>
      </c>
      <c r="X30" s="222" t="str">
        <f t="shared" si="9"/>
        <v/>
      </c>
      <c r="Y30" s="222" t="str">
        <f t="shared" si="10"/>
        <v/>
      </c>
      <c r="Z30" s="224" t="str">
        <f t="shared" si="11"/>
        <v> </v>
      </c>
      <c r="AA30" s="244"/>
    </row>
    <row r="31">
      <c r="A31" s="214" t="str">
        <f>IFS($B31=FALSE,"",$B31,VLOOKUP($B31,'PATIENT DATA (072721)'!A:C, 2, 0))</f>
        <v/>
      </c>
      <c r="B31" s="215"/>
      <c r="C31" s="230" t="str">
        <f>IF(COUNTIF('PATIENT DATA (072721)'!A:A, B31)=0, "X","✓")</f>
        <v>X</v>
      </c>
      <c r="D31" s="226" t="str">
        <f>IFS($B31=FALSE,"",$B31,VLOOKUP($B31,'PATIENT DATA (072721)'!A:C, 3, 0))</f>
        <v/>
      </c>
      <c r="E31" s="218">
        <v>44582.0</v>
      </c>
      <c r="F31" s="219" t="str">
        <f>ifs($B31="","",$B31, VLOOKUP($B31&amp;$E31, 'VISIT DATA'!A:O,3,0))</f>
        <v/>
      </c>
      <c r="G31" s="231"/>
      <c r="H31" s="221"/>
      <c r="I31" s="222" t="str">
        <f>VLOOKUP($B31&amp;$E31,'VISIT DATA'!A:J, 9, FALSE)</f>
        <v>#N/A</v>
      </c>
      <c r="J31" s="223" t="str">
        <f>VLOOKUP(B31&amp;E31,'VISIT DATA'!A:N,10,FALSE)</f>
        <v>#N/A</v>
      </c>
      <c r="K31" s="225"/>
      <c r="L31" s="224"/>
      <c r="M31" s="224"/>
      <c r="N31" s="225"/>
      <c r="O31" s="216" t="str">
        <f t="shared" si="1"/>
        <v>X</v>
      </c>
      <c r="P31" s="226" t="str">
        <f t="shared" si="2"/>
        <v>#N/A</v>
      </c>
      <c r="Q31" s="227" t="str">
        <f t="shared" si="3"/>
        <v>#N/A</v>
      </c>
      <c r="R31" s="228" t="str">
        <f t="shared" si="4"/>
        <v>#N/A</v>
      </c>
      <c r="S31" s="220" t="str">
        <f t="shared" si="5"/>
        <v>#N/A</v>
      </c>
      <c r="T31" s="220" t="str">
        <f t="shared" si="6"/>
        <v>#N/A</v>
      </c>
      <c r="U31" s="221">
        <f t="shared" si="7"/>
        <v>0</v>
      </c>
      <c r="V31" s="229" t="str">
        <f>ifs($N31="",VLOOKUP($B31&amp;$E31,'VISIT DATA'!$A$2:$J100,7,FALSE), $N31="SWAB","OUTSA-RW",$N31="SWQU","OUTSA-SaQu", AND($L31="X",$M31="X",$N31="QUEST"),"OUT-UAQPre",$N31="QUEST","OUT-UAQ", $N31="Walk in","ColUATele")</f>
        <v>#N/A</v>
      </c>
      <c r="W31" s="24" t="str">
        <f t="shared" si="8"/>
        <v>#N/A</v>
      </c>
      <c r="X31" s="222" t="str">
        <f t="shared" si="9"/>
        <v/>
      </c>
      <c r="Y31" s="222" t="str">
        <f t="shared" si="10"/>
        <v/>
      </c>
      <c r="Z31" s="224" t="str">
        <f t="shared" si="11"/>
        <v> </v>
      </c>
      <c r="AA31" s="244"/>
    </row>
    <row r="32">
      <c r="A32" s="214" t="str">
        <f>IFS($B32=FALSE,"",$B32,VLOOKUP($B32,'PATIENT DATA (072721)'!A:C, 2, 0))</f>
        <v/>
      </c>
      <c r="B32" s="215"/>
      <c r="C32" s="230" t="str">
        <f>IF(COUNTIF('PATIENT DATA (072721)'!A:A, B32)=0, "X","✓")</f>
        <v>X</v>
      </c>
      <c r="D32" s="226" t="str">
        <f>IFS($B32=FALSE,"",$B32,VLOOKUP($B32,'PATIENT DATA (072721)'!A:C, 3, 0))</f>
        <v/>
      </c>
      <c r="E32" s="218">
        <v>44582.0</v>
      </c>
      <c r="F32" s="219" t="str">
        <f>ifs($B32="","",$B32, VLOOKUP($B32&amp;$E32, 'VISIT DATA'!A:O,3,0))</f>
        <v/>
      </c>
      <c r="G32" s="231"/>
      <c r="H32" s="221"/>
      <c r="I32" s="222" t="str">
        <f>VLOOKUP($B32&amp;$E32,'VISIT DATA'!A:J, 9, FALSE)</f>
        <v>#N/A</v>
      </c>
      <c r="J32" s="223" t="str">
        <f>VLOOKUP(B32&amp;E32,'VISIT DATA'!A:N,10,FALSE)</f>
        <v>#N/A</v>
      </c>
      <c r="K32" s="224"/>
      <c r="L32" s="224"/>
      <c r="M32" s="224"/>
      <c r="N32" s="225"/>
      <c r="O32" s="216" t="str">
        <f t="shared" si="1"/>
        <v>X</v>
      </c>
      <c r="P32" s="226" t="str">
        <f t="shared" si="2"/>
        <v>#N/A</v>
      </c>
      <c r="Q32" s="227" t="str">
        <f t="shared" si="3"/>
        <v>#N/A</v>
      </c>
      <c r="R32" s="228" t="str">
        <f t="shared" si="4"/>
        <v>#N/A</v>
      </c>
      <c r="S32" s="220" t="str">
        <f t="shared" si="5"/>
        <v>#N/A</v>
      </c>
      <c r="T32" s="220" t="str">
        <f t="shared" si="6"/>
        <v>#N/A</v>
      </c>
      <c r="U32" s="221">
        <f t="shared" si="7"/>
        <v>0</v>
      </c>
      <c r="V32" s="229" t="str">
        <f>ifs($N32="",VLOOKUP($B32&amp;$E32,'VISIT DATA'!$A$2:$J100,7,FALSE), $N32="SWAB","OUTSA-RW",$N32="SWQU","OUTSA-SaQu", AND($L32="X",$M32="X",$N32="QUEST"),"OUT-UAQPre",$N32="QUEST","OUT-UAQ", $N32="Walk in","ColUATele")</f>
        <v>#N/A</v>
      </c>
      <c r="W32" s="24" t="str">
        <f t="shared" si="8"/>
        <v>#N/A</v>
      </c>
      <c r="X32" s="222" t="str">
        <f t="shared" si="9"/>
        <v/>
      </c>
      <c r="Y32" s="222" t="str">
        <f t="shared" si="10"/>
        <v/>
      </c>
      <c r="Z32" s="224" t="str">
        <f t="shared" si="11"/>
        <v> </v>
      </c>
      <c r="AA32" s="244"/>
    </row>
    <row r="33">
      <c r="A33" s="214" t="str">
        <f>IFS($B33=FALSE,"",$B33,VLOOKUP($B33,'PATIENT DATA (072721)'!A:C, 2, 0))</f>
        <v/>
      </c>
      <c r="B33" s="215"/>
      <c r="C33" s="230" t="str">
        <f>IF(COUNTIF('PATIENT DATA (072721)'!A:A, B33)=0, "X","✓")</f>
        <v>X</v>
      </c>
      <c r="D33" s="226" t="str">
        <f>IFS($B33=FALSE,"",$B33,VLOOKUP($B33,'PATIENT DATA (072721)'!A:C, 3, 0))</f>
        <v/>
      </c>
      <c r="E33" s="218">
        <v>44582.0</v>
      </c>
      <c r="F33" s="219" t="str">
        <f>ifs($B33="","",$B33, VLOOKUP($B33&amp;$E33, 'VISIT DATA'!A:O,3,0))</f>
        <v/>
      </c>
      <c r="G33" s="231"/>
      <c r="H33" s="221"/>
      <c r="I33" s="222" t="str">
        <f>VLOOKUP($B33&amp;$E33,'VISIT DATA'!A:J, 9, FALSE)</f>
        <v>#N/A</v>
      </c>
      <c r="J33" s="223" t="str">
        <f>VLOOKUP(B33&amp;E33,'VISIT DATA'!A:N,10,FALSE)</f>
        <v>#N/A</v>
      </c>
      <c r="K33" s="224"/>
      <c r="L33" s="224"/>
      <c r="M33" s="224"/>
      <c r="N33" s="225"/>
      <c r="O33" s="216" t="str">
        <f t="shared" si="1"/>
        <v>X</v>
      </c>
      <c r="P33" s="226" t="str">
        <f t="shared" si="2"/>
        <v>#N/A</v>
      </c>
      <c r="Q33" s="227" t="str">
        <f t="shared" si="3"/>
        <v>#N/A</v>
      </c>
      <c r="R33" s="228" t="str">
        <f t="shared" si="4"/>
        <v>#N/A</v>
      </c>
      <c r="S33" s="220" t="str">
        <f t="shared" si="5"/>
        <v>#N/A</v>
      </c>
      <c r="T33" s="220" t="str">
        <f t="shared" si="6"/>
        <v>#N/A</v>
      </c>
      <c r="U33" s="221">
        <f t="shared" si="7"/>
        <v>0</v>
      </c>
      <c r="V33" s="229" t="str">
        <f>ifs($N33="",VLOOKUP($B33&amp;$E33,'VISIT DATA'!$A$2:$J100,7,FALSE), $N33="SWAB","OUTSA-RW",$N33="SWQU","OUTSA-SaQu", AND($L33="X",$M33="X",$N33="QUEST"),"OUT-UAQPre",$N33="QUEST","OUT-UAQ", $N33="Walk in","ColUATele")</f>
        <v>#N/A</v>
      </c>
      <c r="W33" s="24" t="str">
        <f t="shared" si="8"/>
        <v>#N/A</v>
      </c>
      <c r="X33" s="222" t="str">
        <f t="shared" si="9"/>
        <v/>
      </c>
      <c r="Y33" s="222" t="str">
        <f t="shared" si="10"/>
        <v/>
      </c>
      <c r="Z33" s="224" t="str">
        <f t="shared" si="11"/>
        <v> </v>
      </c>
      <c r="AA33" s="244"/>
    </row>
    <row r="34">
      <c r="A34" s="214" t="str">
        <f>IFS($B34=FALSE,"",$B34,VLOOKUP($B34,'PATIENT DATA (072721)'!A:C, 2, 0))</f>
        <v/>
      </c>
      <c r="B34" s="215"/>
      <c r="C34" s="230" t="str">
        <f>IF(COUNTIF('PATIENT DATA (072721)'!A:A, B34)=0, "X","✓")</f>
        <v>X</v>
      </c>
      <c r="D34" s="226" t="str">
        <f>IFS($B34=FALSE,"",$B34,VLOOKUP($B34,'PATIENT DATA (072721)'!A:C, 3, 0))</f>
        <v/>
      </c>
      <c r="E34" s="218">
        <v>44582.0</v>
      </c>
      <c r="F34" s="219" t="str">
        <f>ifs($B34="","",$B34, VLOOKUP($B34&amp;$E34, 'VISIT DATA'!A:O,3,0))</f>
        <v/>
      </c>
      <c r="G34" s="231"/>
      <c r="H34" s="221"/>
      <c r="I34" s="222" t="str">
        <f>VLOOKUP($B34&amp;$E34,'VISIT DATA'!A:J, 9, FALSE)</f>
        <v>#N/A</v>
      </c>
      <c r="J34" s="223" t="str">
        <f>VLOOKUP(B34&amp;E34,'VISIT DATA'!A:N,10,FALSE)</f>
        <v>#N/A</v>
      </c>
      <c r="K34" s="225"/>
      <c r="L34" s="224"/>
      <c r="M34" s="224"/>
      <c r="N34" s="225"/>
      <c r="O34" s="216" t="str">
        <f t="shared" si="1"/>
        <v>X</v>
      </c>
      <c r="P34" s="226" t="str">
        <f t="shared" si="2"/>
        <v>#N/A</v>
      </c>
      <c r="Q34" s="227" t="str">
        <f t="shared" si="3"/>
        <v>#N/A</v>
      </c>
      <c r="R34" s="228" t="str">
        <f t="shared" si="4"/>
        <v>#N/A</v>
      </c>
      <c r="S34" s="220" t="str">
        <f t="shared" si="5"/>
        <v>#N/A</v>
      </c>
      <c r="T34" s="220" t="str">
        <f t="shared" si="6"/>
        <v>#N/A</v>
      </c>
      <c r="U34" s="221">
        <f t="shared" si="7"/>
        <v>0</v>
      </c>
      <c r="V34" s="229" t="str">
        <f>ifs($N34="",VLOOKUP($B34&amp;$E34,'VISIT DATA'!$A$2:$J100,7,FALSE), $N34="SWAB","OUTSA-RW",$N34="SWQU","OUTSA-SaQu", AND($L34="X",$M34="X",$N34="QUEST"),"OUT-UAQPre",$N34="QUEST","OUT-UAQ", $N34="Walk in","ColUATele")</f>
        <v>#N/A</v>
      </c>
      <c r="W34" s="24" t="str">
        <f t="shared" si="8"/>
        <v>#N/A</v>
      </c>
      <c r="X34" s="222" t="str">
        <f t="shared" si="9"/>
        <v/>
      </c>
      <c r="Y34" s="222" t="str">
        <f t="shared" si="10"/>
        <v/>
      </c>
      <c r="Z34" s="224" t="str">
        <f t="shared" si="11"/>
        <v> </v>
      </c>
      <c r="AA34" s="244"/>
    </row>
    <row r="35">
      <c r="A35" s="214" t="str">
        <f>IFS($B35=FALSE,"",$B35,VLOOKUP($B35,'PATIENT DATA (072721)'!A:C, 2, 0))</f>
        <v/>
      </c>
      <c r="B35" s="215"/>
      <c r="C35" s="230" t="str">
        <f>IF(COUNTIF('PATIENT DATA (072721)'!A:A, B35)=0, "X","✓")</f>
        <v>X</v>
      </c>
      <c r="D35" s="226" t="str">
        <f>IFS($B35=FALSE,"",$B35,VLOOKUP($B35,'PATIENT DATA (072721)'!A:C, 3, 0))</f>
        <v/>
      </c>
      <c r="E35" s="218">
        <v>44582.0</v>
      </c>
      <c r="F35" s="219" t="str">
        <f>ifs($B35="","",$B35, VLOOKUP($B35&amp;$E35, 'VISIT DATA'!A:O,3,0))</f>
        <v/>
      </c>
      <c r="G35" s="231"/>
      <c r="H35" s="221"/>
      <c r="I35" s="222" t="str">
        <f>VLOOKUP($B35&amp;$E35,'VISIT DATA'!A:J, 9, FALSE)</f>
        <v>#N/A</v>
      </c>
      <c r="J35" s="223" t="str">
        <f>VLOOKUP(B35&amp;E35,'VISIT DATA'!A:N,10,FALSE)</f>
        <v>#N/A</v>
      </c>
      <c r="K35" s="224"/>
      <c r="L35" s="224"/>
      <c r="M35" s="224"/>
      <c r="N35" s="224"/>
      <c r="O35" s="216" t="str">
        <f t="shared" si="1"/>
        <v>X</v>
      </c>
      <c r="P35" s="226" t="str">
        <f t="shared" si="2"/>
        <v>#N/A</v>
      </c>
      <c r="Q35" s="227" t="str">
        <f t="shared" si="3"/>
        <v>#N/A</v>
      </c>
      <c r="R35" s="228" t="str">
        <f t="shared" si="4"/>
        <v>#N/A</v>
      </c>
      <c r="S35" s="220" t="str">
        <f t="shared" si="5"/>
        <v>#N/A</v>
      </c>
      <c r="T35" s="220" t="str">
        <f t="shared" si="6"/>
        <v>#N/A</v>
      </c>
      <c r="U35" s="221">
        <f t="shared" si="7"/>
        <v>0</v>
      </c>
      <c r="V35" s="229" t="str">
        <f>ifs($N35="",VLOOKUP($B35&amp;$E35,'VISIT DATA'!$A$2:$J100,7,FALSE), $N35="SWAB","OUTSA-RW",$N35="SWQU","OUTSA-SaQu", AND($L35="X",$M35="X",$N35="QUEST"),"OUT-UAQPre",$N35="QUEST","OUT-UAQ", $N35="Walk in","ColUATele")</f>
        <v>#N/A</v>
      </c>
      <c r="W35" s="24" t="str">
        <f t="shared" si="8"/>
        <v>#N/A</v>
      </c>
      <c r="X35" s="222" t="str">
        <f t="shared" si="9"/>
        <v/>
      </c>
      <c r="Y35" s="222" t="str">
        <f t="shared" si="10"/>
        <v/>
      </c>
      <c r="Z35" s="224" t="str">
        <f t="shared" si="11"/>
        <v> </v>
      </c>
      <c r="AA35" s="244"/>
    </row>
    <row r="36">
      <c r="A36" s="214" t="str">
        <f>IFS($B36=FALSE,"",$B36,VLOOKUP($B36,'PATIENT DATA (072721)'!A:C, 2, 0))</f>
        <v/>
      </c>
      <c r="B36" s="215"/>
      <c r="C36" s="230" t="str">
        <f>IF(COUNTIF('PATIENT DATA (072721)'!A:A, B36)=0, "X","✓")</f>
        <v>X</v>
      </c>
      <c r="D36" s="226" t="str">
        <f>IFS($B36=FALSE,"",$B36,VLOOKUP($B36,'PATIENT DATA (072721)'!A:C, 3, 0))</f>
        <v/>
      </c>
      <c r="E36" s="218">
        <v>44582.0</v>
      </c>
      <c r="F36" s="219" t="str">
        <f>ifs($B36="","",$B36, VLOOKUP($B36&amp;$E36, 'VISIT DATA'!A:O,3,0))</f>
        <v/>
      </c>
      <c r="G36" s="231"/>
      <c r="H36" s="221"/>
      <c r="I36" s="222" t="str">
        <f>VLOOKUP($B36&amp;$E36,'VISIT DATA'!A:J, 9, FALSE)</f>
        <v>#N/A</v>
      </c>
      <c r="J36" s="223" t="str">
        <f>VLOOKUP(B36&amp;E36,'VISIT DATA'!A:N,10,FALSE)</f>
        <v>#N/A</v>
      </c>
      <c r="K36" s="225"/>
      <c r="L36" s="224"/>
      <c r="M36" s="224"/>
      <c r="N36" s="225"/>
      <c r="O36" s="216" t="str">
        <f t="shared" si="1"/>
        <v>X</v>
      </c>
      <c r="P36" s="226" t="str">
        <f t="shared" si="2"/>
        <v>#N/A</v>
      </c>
      <c r="Q36" s="227" t="str">
        <f t="shared" si="3"/>
        <v>#N/A</v>
      </c>
      <c r="R36" s="228" t="str">
        <f t="shared" si="4"/>
        <v>#N/A</v>
      </c>
      <c r="S36" s="220" t="str">
        <f t="shared" si="5"/>
        <v>#N/A</v>
      </c>
      <c r="T36" s="220" t="str">
        <f t="shared" si="6"/>
        <v>#N/A</v>
      </c>
      <c r="U36" s="221">
        <f t="shared" si="7"/>
        <v>0</v>
      </c>
      <c r="V36" s="229" t="str">
        <f>ifs($N36="",VLOOKUP($B36&amp;$E36,'VISIT DATA'!$A$2:$J100,7,FALSE), $N36="SWAB","OUTSA-RW",$N36="SWQU","OUTSA-SaQu", AND($L36="X",$M36="X",$N36="QUEST"),"OUT-UAQPre",$N36="QUEST","OUT-UAQ", $N36="Walk in","ColUATele")</f>
        <v>#N/A</v>
      </c>
      <c r="W36" s="24" t="str">
        <f t="shared" si="8"/>
        <v>#N/A</v>
      </c>
      <c r="X36" s="222" t="str">
        <f t="shared" si="9"/>
        <v/>
      </c>
      <c r="Y36" s="222" t="str">
        <f t="shared" si="10"/>
        <v/>
      </c>
      <c r="Z36" s="224" t="str">
        <f t="shared" si="11"/>
        <v> </v>
      </c>
      <c r="AA36" s="244"/>
    </row>
    <row r="37">
      <c r="A37" s="214" t="str">
        <f>IFS($B37=FALSE,"",$B37,VLOOKUP($B37,'PATIENT DATA (072721)'!A:C, 2, 0))</f>
        <v/>
      </c>
      <c r="B37" s="215"/>
      <c r="C37" s="230" t="str">
        <f>IF(COUNTIF('PATIENT DATA (072721)'!A:A, B37)=0, "X","✓")</f>
        <v>X</v>
      </c>
      <c r="D37" s="226" t="str">
        <f>IFS($B37=FALSE,"",$B37,VLOOKUP($B37,'PATIENT DATA (072721)'!A:C, 3, 0))</f>
        <v/>
      </c>
      <c r="E37" s="218">
        <v>44582.0</v>
      </c>
      <c r="F37" s="219" t="str">
        <f>ifs($B37="","",$B37, VLOOKUP($B37&amp;$E37, 'VISIT DATA'!A:O,3,0))</f>
        <v/>
      </c>
      <c r="G37" s="231"/>
      <c r="H37" s="221"/>
      <c r="I37" s="222" t="str">
        <f>VLOOKUP($B37&amp;$E37,'VISIT DATA'!A:J, 9, FALSE)</f>
        <v>#N/A</v>
      </c>
      <c r="J37" s="223" t="str">
        <f>VLOOKUP(B37&amp;E37,'VISIT DATA'!A:N,10,FALSE)</f>
        <v>#N/A</v>
      </c>
      <c r="K37" s="225"/>
      <c r="L37" s="224"/>
      <c r="M37" s="224"/>
      <c r="N37" s="225"/>
      <c r="O37" s="216" t="str">
        <f t="shared" si="1"/>
        <v>X</v>
      </c>
      <c r="P37" s="226" t="str">
        <f t="shared" si="2"/>
        <v>#N/A</v>
      </c>
      <c r="Q37" s="227" t="str">
        <f t="shared" si="3"/>
        <v>#N/A</v>
      </c>
      <c r="R37" s="228" t="str">
        <f t="shared" si="4"/>
        <v>#N/A</v>
      </c>
      <c r="S37" s="220" t="str">
        <f t="shared" si="5"/>
        <v>#N/A</v>
      </c>
      <c r="T37" s="220" t="str">
        <f t="shared" si="6"/>
        <v>#N/A</v>
      </c>
      <c r="U37" s="221">
        <f t="shared" si="7"/>
        <v>0</v>
      </c>
      <c r="V37" s="229" t="str">
        <f>ifs($N37="",VLOOKUP($B37&amp;$E37,'VISIT DATA'!$A$2:$J100,7,FALSE), $N37="SWAB","OUTSA-RW",$N37="SWQU","OUTSA-SaQu", AND($L37="X",$M37="X",$N37="QUEST"),"OUT-UAQPre",$N37="QUEST","OUT-UAQ", $N37="Walk in","ColUATele")</f>
        <v>#N/A</v>
      </c>
      <c r="W37" s="24" t="str">
        <f t="shared" si="8"/>
        <v>#N/A</v>
      </c>
      <c r="X37" s="222" t="str">
        <f t="shared" si="9"/>
        <v/>
      </c>
      <c r="Y37" s="222" t="str">
        <f t="shared" si="10"/>
        <v/>
      </c>
      <c r="Z37" s="224" t="str">
        <f t="shared" si="11"/>
        <v> </v>
      </c>
      <c r="AA37" s="244"/>
    </row>
    <row r="38">
      <c r="A38" s="214" t="str">
        <f>IFS($B38=FALSE,"",$B38,VLOOKUP($B38,'PATIENT DATA (072721)'!A:C, 2, 0))</f>
        <v/>
      </c>
      <c r="B38" s="215"/>
      <c r="C38" s="230" t="str">
        <f>IF(COUNTIF('PATIENT DATA (072721)'!A:A, B38)=0, "X","✓")</f>
        <v>X</v>
      </c>
      <c r="D38" s="226" t="str">
        <f>IFS($B38=FALSE,"",$B38,VLOOKUP($B38,'PATIENT DATA (072721)'!A:C, 3, 0))</f>
        <v/>
      </c>
      <c r="E38" s="218">
        <v>44582.0</v>
      </c>
      <c r="F38" s="219" t="str">
        <f>ifs($B38="","",$B38, VLOOKUP($B38&amp;$E38, 'VISIT DATA'!A:O,3,0))</f>
        <v/>
      </c>
      <c r="G38" s="231"/>
      <c r="H38" s="221"/>
      <c r="I38" s="222" t="str">
        <f>VLOOKUP($B38&amp;$E38,'VISIT DATA'!A:J, 9, FALSE)</f>
        <v>#N/A</v>
      </c>
      <c r="J38" s="223" t="str">
        <f>VLOOKUP(B38&amp;E38,'VISIT DATA'!A:N,10,FALSE)</f>
        <v>#N/A</v>
      </c>
      <c r="K38" s="225"/>
      <c r="L38" s="224"/>
      <c r="M38" s="224"/>
      <c r="N38" s="225"/>
      <c r="O38" s="216" t="str">
        <f t="shared" si="1"/>
        <v>X</v>
      </c>
      <c r="P38" s="226" t="str">
        <f t="shared" si="2"/>
        <v>#N/A</v>
      </c>
      <c r="Q38" s="227" t="str">
        <f t="shared" si="3"/>
        <v>#N/A</v>
      </c>
      <c r="R38" s="228" t="str">
        <f t="shared" si="4"/>
        <v>#N/A</v>
      </c>
      <c r="S38" s="220" t="str">
        <f t="shared" si="5"/>
        <v>#N/A</v>
      </c>
      <c r="T38" s="220" t="str">
        <f t="shared" si="6"/>
        <v>#N/A</v>
      </c>
      <c r="U38" s="221">
        <f t="shared" si="7"/>
        <v>0</v>
      </c>
      <c r="V38" s="229" t="str">
        <f>ifs($N38="",VLOOKUP($B38&amp;$E38,'VISIT DATA'!$A$2:$J100,7,FALSE), $N38="SWAB","OUTSA-RW",$N38="SWQU","OUTSA-SaQu", AND($L38="X",$M38="X",$N38="QUEST"),"OUT-UAQPre",$N38="QUEST","OUT-UAQ", $N38="Walk in","ColUATele")</f>
        <v>#N/A</v>
      </c>
      <c r="W38" s="24" t="str">
        <f t="shared" si="8"/>
        <v>#N/A</v>
      </c>
      <c r="X38" s="222" t="str">
        <f t="shared" si="9"/>
        <v/>
      </c>
      <c r="Y38" s="222" t="str">
        <f t="shared" si="10"/>
        <v/>
      </c>
      <c r="Z38" s="224" t="str">
        <f t="shared" si="11"/>
        <v> </v>
      </c>
      <c r="AA38" s="244"/>
    </row>
    <row r="39">
      <c r="A39" s="214" t="str">
        <f>IFS($B39=FALSE,"",$B39,VLOOKUP($B39,'PATIENT DATA (072721)'!A:C, 2, 0))</f>
        <v/>
      </c>
      <c r="B39" s="215"/>
      <c r="C39" s="230" t="str">
        <f>IF(COUNTIF('PATIENT DATA (072721)'!A:A, B39)=0, "X","✓")</f>
        <v>X</v>
      </c>
      <c r="D39" s="226" t="str">
        <f>IFS($B39=FALSE,"",$B39,VLOOKUP($B39,'PATIENT DATA (072721)'!A:C, 3, 0))</f>
        <v/>
      </c>
      <c r="E39" s="218">
        <v>44582.0</v>
      </c>
      <c r="F39" s="219" t="str">
        <f>ifs($B39="","",$B39, VLOOKUP($B39&amp;$E39, 'VISIT DATA'!A:O,3,0))</f>
        <v/>
      </c>
      <c r="G39" s="231"/>
      <c r="H39" s="221"/>
      <c r="I39" s="222" t="str">
        <f>VLOOKUP($B39&amp;$E39,'VISIT DATA'!A:J, 9, FALSE)</f>
        <v>#N/A</v>
      </c>
      <c r="J39" s="223" t="str">
        <f>VLOOKUP(B39&amp;E39,'VISIT DATA'!A:N,10,FALSE)</f>
        <v>#N/A</v>
      </c>
      <c r="K39" s="225"/>
      <c r="L39" s="224"/>
      <c r="M39" s="224"/>
      <c r="N39" s="225"/>
      <c r="O39" s="216" t="str">
        <f t="shared" si="1"/>
        <v>X</v>
      </c>
      <c r="P39" s="226" t="str">
        <f t="shared" si="2"/>
        <v>#N/A</v>
      </c>
      <c r="Q39" s="227" t="str">
        <f t="shared" si="3"/>
        <v>#N/A</v>
      </c>
      <c r="R39" s="228" t="str">
        <f t="shared" si="4"/>
        <v>#N/A</v>
      </c>
      <c r="S39" s="220" t="str">
        <f t="shared" si="5"/>
        <v>#N/A</v>
      </c>
      <c r="T39" s="220" t="str">
        <f t="shared" si="6"/>
        <v>#N/A</v>
      </c>
      <c r="U39" s="221">
        <f t="shared" si="7"/>
        <v>0</v>
      </c>
      <c r="V39" s="229" t="str">
        <f>ifs($N39="",VLOOKUP($B39&amp;$E39,'VISIT DATA'!$A$2:$J100,7,FALSE), $N39="SWAB","OUTSA-RW",$N39="SWQU","OUTSA-SaQu", AND($L39="X",$M39="X",$N39="QUEST"),"OUT-UAQPre",$N39="QUEST","OUT-UAQ", $N39="Walk in","ColUATele")</f>
        <v>#N/A</v>
      </c>
      <c r="W39" s="24" t="str">
        <f t="shared" si="8"/>
        <v>#N/A</v>
      </c>
      <c r="X39" s="222" t="str">
        <f t="shared" si="9"/>
        <v/>
      </c>
      <c r="Y39" s="222" t="str">
        <f t="shared" si="10"/>
        <v/>
      </c>
      <c r="Z39" s="224" t="str">
        <f t="shared" si="11"/>
        <v> </v>
      </c>
      <c r="AA39" s="244"/>
    </row>
    <row r="40">
      <c r="A40" s="214" t="str">
        <f>IFS($B40=FALSE,"",$B40,VLOOKUP($B40,'PATIENT DATA (072721)'!A:C, 2, 0))</f>
        <v/>
      </c>
      <c r="B40" s="215"/>
      <c r="C40" s="230" t="str">
        <f>IF(COUNTIF('PATIENT DATA (072721)'!A:A, B40)=0, "X","✓")</f>
        <v>X</v>
      </c>
      <c r="D40" s="226" t="str">
        <f>IFS($B40=FALSE,"",$B40,VLOOKUP($B40,'PATIENT DATA (072721)'!A:C, 3, 0))</f>
        <v/>
      </c>
      <c r="E40" s="218">
        <v>44582.0</v>
      </c>
      <c r="F40" s="219" t="str">
        <f>ifs($B40="","",$B40, VLOOKUP($B40&amp;$E40, 'VISIT DATA'!A:O,3,0))</f>
        <v/>
      </c>
      <c r="G40" s="231"/>
      <c r="H40" s="221"/>
      <c r="I40" s="222" t="str">
        <f>VLOOKUP($B40&amp;$E40,'VISIT DATA'!A:J, 9, FALSE)</f>
        <v>#N/A</v>
      </c>
      <c r="J40" s="223" t="str">
        <f>VLOOKUP(B40&amp;E40,'VISIT DATA'!A:N,10,FALSE)</f>
        <v>#N/A</v>
      </c>
      <c r="K40" s="224"/>
      <c r="L40" s="224"/>
      <c r="M40" s="224"/>
      <c r="N40" s="225"/>
      <c r="O40" s="216" t="str">
        <f t="shared" si="1"/>
        <v>X</v>
      </c>
      <c r="P40" s="226" t="str">
        <f t="shared" si="2"/>
        <v>#N/A</v>
      </c>
      <c r="Q40" s="227" t="str">
        <f t="shared" si="3"/>
        <v>#N/A</v>
      </c>
      <c r="R40" s="228" t="str">
        <f t="shared" si="4"/>
        <v>#N/A</v>
      </c>
      <c r="S40" s="220" t="str">
        <f t="shared" si="5"/>
        <v>#N/A</v>
      </c>
      <c r="T40" s="220" t="str">
        <f t="shared" si="6"/>
        <v>#N/A</v>
      </c>
      <c r="U40" s="221">
        <f t="shared" si="7"/>
        <v>0</v>
      </c>
      <c r="V40" s="229" t="str">
        <f>ifs($N40="",VLOOKUP($B40&amp;$E40,'VISIT DATA'!$A$2:$J100,7,FALSE), $N40="SWAB","OUTSA-RW",$N40="SWQU","OUTSA-SaQu", AND($L40="X",$M40="X",$N40="QUEST"),"OUT-UAQPre",$N40="QUEST","OUT-UAQ", $N40="Walk in","ColUATele")</f>
        <v>#N/A</v>
      </c>
      <c r="W40" s="24" t="str">
        <f t="shared" si="8"/>
        <v>#N/A</v>
      </c>
      <c r="X40" s="222" t="str">
        <f t="shared" si="9"/>
        <v/>
      </c>
      <c r="Y40" s="222" t="str">
        <f t="shared" si="10"/>
        <v/>
      </c>
      <c r="Z40" s="224" t="str">
        <f t="shared" si="11"/>
        <v> </v>
      </c>
      <c r="AA40" s="244"/>
    </row>
    <row r="41">
      <c r="A41" s="214" t="str">
        <f>IFS($B41=FALSE,"",$B41,VLOOKUP($B41,'PATIENT DATA (072721)'!A:C, 2, 0))</f>
        <v/>
      </c>
      <c r="B41" s="215"/>
      <c r="C41" s="216" t="str">
        <f>IF(COUNTIF('PATIENT DATA (072721)'!A:A, B41)=0, "X","✓")</f>
        <v>X</v>
      </c>
      <c r="D41" s="226" t="str">
        <f>IFS($B41=FALSE,"",$B41,VLOOKUP($B41,'PATIENT DATA (072721)'!A:C, 3, 0))</f>
        <v/>
      </c>
      <c r="E41" s="218">
        <v>44582.0</v>
      </c>
      <c r="F41" s="219" t="str">
        <f>ifs($B41="","",$B41, VLOOKUP($B41&amp;$E41, 'VISIT DATA'!A:O,3,0))</f>
        <v/>
      </c>
      <c r="G41" s="220"/>
      <c r="H41" s="221"/>
      <c r="I41" s="222" t="str">
        <f>VLOOKUP($B41&amp;$E41,'VISIT DATA'!A:J, 9, FALSE)</f>
        <v>#N/A</v>
      </c>
      <c r="J41" s="223" t="str">
        <f>VLOOKUP(B41&amp;E41,'VISIT DATA'!A:N,10,FALSE)</f>
        <v>#N/A</v>
      </c>
      <c r="K41" s="225"/>
      <c r="L41" s="224"/>
      <c r="M41" s="224"/>
      <c r="N41" s="225"/>
      <c r="O41" s="216" t="str">
        <f t="shared" si="1"/>
        <v>X</v>
      </c>
      <c r="P41" s="226" t="str">
        <f t="shared" si="2"/>
        <v>#N/A</v>
      </c>
      <c r="Q41" s="227" t="str">
        <f t="shared" si="3"/>
        <v>#N/A</v>
      </c>
      <c r="R41" s="228" t="str">
        <f t="shared" si="4"/>
        <v>#N/A</v>
      </c>
      <c r="S41" s="220" t="str">
        <f t="shared" si="5"/>
        <v>#N/A</v>
      </c>
      <c r="T41" s="220" t="str">
        <f t="shared" si="6"/>
        <v>#N/A</v>
      </c>
      <c r="U41" s="221">
        <f t="shared" si="7"/>
        <v>0</v>
      </c>
      <c r="V41" s="229" t="str">
        <f>ifs($N41="",VLOOKUP($B41&amp;$E41,'VISIT DATA'!$A$2:$J100,7,FALSE), $N41="SWAB","OUTSA-RW",$N41="SWQU","OUTSA-SaQu", AND($L41="X",$M41="X",$N41="QUEST"),"OUT-UAQPre",$N41="QUEST","OUT-UAQ", $N41="Walk in","ColUATele")</f>
        <v>#N/A</v>
      </c>
      <c r="W41" s="24" t="str">
        <f t="shared" si="8"/>
        <v>#N/A</v>
      </c>
      <c r="X41" s="222" t="str">
        <f t="shared" si="9"/>
        <v/>
      </c>
      <c r="Y41" s="222" t="str">
        <f t="shared" si="10"/>
        <v/>
      </c>
      <c r="Z41" s="224" t="str">
        <f t="shared" si="11"/>
        <v> </v>
      </c>
      <c r="AA41" s="244"/>
    </row>
    <row r="42">
      <c r="A42" s="214" t="str">
        <f>IFS($B42=FALSE,"",$B42,VLOOKUP($B42,'PATIENT DATA (072721)'!A:C, 2, 0))</f>
        <v/>
      </c>
      <c r="B42" s="215"/>
      <c r="C42" s="216" t="str">
        <f>IF(COUNTIF('PATIENT DATA (072721)'!A:A, B42)=0, "X","✓")</f>
        <v>X</v>
      </c>
      <c r="D42" s="226" t="str">
        <f>IFS($B42=FALSE,"",$B42,VLOOKUP($B42,'PATIENT DATA (072721)'!A:C, 3, 0))</f>
        <v/>
      </c>
      <c r="E42" s="218">
        <v>44582.0</v>
      </c>
      <c r="F42" s="219" t="str">
        <f>ifs($B42="","",$B42, VLOOKUP($B42&amp;$E42, 'VISIT DATA'!A:O,3,0))</f>
        <v/>
      </c>
      <c r="G42" s="220"/>
      <c r="H42" s="221"/>
      <c r="I42" s="222" t="str">
        <f>VLOOKUP($B42&amp;$E42,'VISIT DATA'!A:J, 9, FALSE)</f>
        <v>#N/A</v>
      </c>
      <c r="J42" s="223" t="str">
        <f>VLOOKUP(B42&amp;E42,'VISIT DATA'!A:N,10,FALSE)</f>
        <v>#N/A</v>
      </c>
      <c r="K42" s="225"/>
      <c r="L42" s="224"/>
      <c r="M42" s="224"/>
      <c r="N42" s="225"/>
      <c r="O42" s="216" t="str">
        <f t="shared" si="1"/>
        <v>X</v>
      </c>
      <c r="P42" s="226" t="str">
        <f t="shared" si="2"/>
        <v>#N/A</v>
      </c>
      <c r="Q42" s="227" t="str">
        <f t="shared" si="3"/>
        <v>#N/A</v>
      </c>
      <c r="R42" s="228" t="str">
        <f t="shared" si="4"/>
        <v>#N/A</v>
      </c>
      <c r="S42" s="220" t="str">
        <f t="shared" si="5"/>
        <v>#N/A</v>
      </c>
      <c r="T42" s="220" t="str">
        <f t="shared" si="6"/>
        <v>#N/A</v>
      </c>
      <c r="U42" s="221">
        <f t="shared" si="7"/>
        <v>0</v>
      </c>
      <c r="V42" s="229" t="str">
        <f>ifs($N42="",VLOOKUP($B42&amp;$E42,'VISIT DATA'!$A$2:$J100,7,FALSE), $N42="SWAB","OUTSA-RW",$N42="SWQU","OUTSA-SaQu", AND($L42="X",$M42="X",$N42="QUEST"),"OUT-UAQPre",$N42="QUEST","OUT-UAQ", $N42="Walk in","ColUATele")</f>
        <v>#N/A</v>
      </c>
      <c r="W42" s="24" t="str">
        <f t="shared" si="8"/>
        <v>#N/A</v>
      </c>
      <c r="X42" s="222" t="str">
        <f t="shared" si="9"/>
        <v/>
      </c>
      <c r="Y42" s="222" t="str">
        <f t="shared" si="10"/>
        <v/>
      </c>
      <c r="Z42" s="224" t="str">
        <f t="shared" si="11"/>
        <v> </v>
      </c>
      <c r="AA42" s="244"/>
    </row>
    <row r="43">
      <c r="A43" s="214" t="str">
        <f>IFS($B43=FALSE,"",$B43,VLOOKUP($B43,'PATIENT DATA (072721)'!A:C, 2, 0))</f>
        <v/>
      </c>
      <c r="B43" s="215"/>
      <c r="C43" s="216" t="str">
        <f>IF(COUNTIF('PATIENT DATA (072721)'!A:A, B43)=0, "X","✓")</f>
        <v>X</v>
      </c>
      <c r="D43" s="226" t="str">
        <f>IFS($B43=FALSE,"",$B43,VLOOKUP($B43,'PATIENT DATA (072721)'!A:C, 3, 0))</f>
        <v/>
      </c>
      <c r="E43" s="218">
        <v>44582.0</v>
      </c>
      <c r="F43" s="219" t="str">
        <f>ifs($B43="","",$B43, VLOOKUP($B43&amp;$E43, 'VISIT DATA'!A:O,3,0))</f>
        <v/>
      </c>
      <c r="G43" s="220"/>
      <c r="H43" s="221"/>
      <c r="I43" s="222" t="str">
        <f>VLOOKUP($B43&amp;$E43,'VISIT DATA'!A:J, 9, FALSE)</f>
        <v>#N/A</v>
      </c>
      <c r="J43" s="223" t="str">
        <f>VLOOKUP(B43&amp;E43,'VISIT DATA'!A:N,10,FALSE)</f>
        <v>#N/A</v>
      </c>
      <c r="K43" s="225"/>
      <c r="L43" s="224"/>
      <c r="M43" s="224"/>
      <c r="N43" s="225"/>
      <c r="O43" s="216" t="str">
        <f t="shared" si="1"/>
        <v>X</v>
      </c>
      <c r="P43" s="226" t="str">
        <f t="shared" si="2"/>
        <v>#N/A</v>
      </c>
      <c r="Q43" s="227" t="str">
        <f t="shared" si="3"/>
        <v>#N/A</v>
      </c>
      <c r="R43" s="228" t="str">
        <f t="shared" si="4"/>
        <v>#N/A</v>
      </c>
      <c r="S43" s="220" t="str">
        <f t="shared" si="5"/>
        <v>#N/A</v>
      </c>
      <c r="T43" s="220" t="str">
        <f t="shared" si="6"/>
        <v>#N/A</v>
      </c>
      <c r="U43" s="221">
        <f t="shared" si="7"/>
        <v>0</v>
      </c>
      <c r="V43" s="229" t="str">
        <f>ifs($N43="",VLOOKUP($B43&amp;$E43,'VISIT DATA'!$A$2:$J100,7,FALSE), $N43="SWAB","OUTSA-RW",$N43="SWQU","OUTSA-SaQu", AND($L43="X",$M43="X",$N43="QUEST"),"OUT-UAQPre",$N43="QUEST","OUT-UAQ", $N43="Walk in","ColUATele")</f>
        <v>#N/A</v>
      </c>
      <c r="W43" s="24" t="str">
        <f t="shared" si="8"/>
        <v>#N/A</v>
      </c>
      <c r="X43" s="222" t="str">
        <f t="shared" si="9"/>
        <v/>
      </c>
      <c r="Y43" s="222" t="str">
        <f t="shared" si="10"/>
        <v/>
      </c>
      <c r="Z43" s="224" t="str">
        <f t="shared" si="11"/>
        <v> </v>
      </c>
      <c r="AA43" s="244"/>
    </row>
    <row r="44">
      <c r="A44" s="214" t="str">
        <f>IFS($B44=FALSE,"",$B44,VLOOKUP($B44,'PATIENT DATA (072721)'!A:C, 2, 0))</f>
        <v/>
      </c>
      <c r="B44" s="215"/>
      <c r="C44" s="216" t="str">
        <f>IF(COUNTIF('PATIENT DATA (072721)'!A:A, B44)=0, "X","✓")</f>
        <v>X</v>
      </c>
      <c r="D44" s="226" t="str">
        <f>IFS($B44=FALSE,"",$B44,VLOOKUP($B44,'PATIENT DATA (072721)'!A:C, 3, 0))</f>
        <v/>
      </c>
      <c r="E44" s="218">
        <v>44582.0</v>
      </c>
      <c r="F44" s="219" t="str">
        <f>ifs($B44="","",$B44, VLOOKUP($B44&amp;$E44, 'VISIT DATA'!A:O,3,0))</f>
        <v/>
      </c>
      <c r="G44" s="220"/>
      <c r="H44" s="221"/>
      <c r="I44" s="222" t="str">
        <f>VLOOKUP($B44&amp;$E44,'VISIT DATA'!A:J, 9, FALSE)</f>
        <v>#N/A</v>
      </c>
      <c r="J44" s="223" t="str">
        <f>VLOOKUP(B44&amp;E44,'VISIT DATA'!A:N,10,FALSE)</f>
        <v>#N/A</v>
      </c>
      <c r="K44" s="224"/>
      <c r="L44" s="224"/>
      <c r="M44" s="224"/>
      <c r="N44" s="225"/>
      <c r="O44" s="216" t="str">
        <f t="shared" si="1"/>
        <v>X</v>
      </c>
      <c r="P44" s="226" t="str">
        <f t="shared" si="2"/>
        <v>#N/A</v>
      </c>
      <c r="Q44" s="227" t="str">
        <f t="shared" si="3"/>
        <v>#N/A</v>
      </c>
      <c r="R44" s="228" t="str">
        <f t="shared" si="4"/>
        <v>#N/A</v>
      </c>
      <c r="S44" s="220" t="str">
        <f t="shared" si="5"/>
        <v>#N/A</v>
      </c>
      <c r="T44" s="220" t="str">
        <f t="shared" si="6"/>
        <v>#N/A</v>
      </c>
      <c r="U44" s="221">
        <f t="shared" si="7"/>
        <v>0</v>
      </c>
      <c r="V44" s="229" t="str">
        <f>ifs($N44="",VLOOKUP($B44&amp;$E44,'VISIT DATA'!$A$2:$J100,7,FALSE), $N44="SWAB","OUTSA-RW",$N44="SWQU","OUTSA-SaQu", AND($L44="X",$M44="X",$N44="QUEST"),"OUT-UAQPre",$N44="QUEST","OUT-UAQ", $N44="Walk in","ColUATele")</f>
        <v>#N/A</v>
      </c>
      <c r="W44" s="24" t="str">
        <f t="shared" si="8"/>
        <v>#N/A</v>
      </c>
      <c r="X44" s="222" t="str">
        <f t="shared" si="9"/>
        <v/>
      </c>
      <c r="Y44" s="222" t="str">
        <f t="shared" si="10"/>
        <v/>
      </c>
      <c r="Z44" s="224" t="str">
        <f t="shared" si="11"/>
        <v> </v>
      </c>
      <c r="AA44" s="244"/>
    </row>
    <row r="45">
      <c r="A45" s="214" t="str">
        <f>IFS($B45=FALSE,"",$B45,VLOOKUP($B45,'PATIENT DATA (072721)'!A:C, 2, 0))</f>
        <v/>
      </c>
      <c r="B45" s="215"/>
      <c r="C45" s="216" t="str">
        <f>IF(COUNTIF('PATIENT DATA (072721)'!A:A, B45)=0, "X","✓")</f>
        <v>X</v>
      </c>
      <c r="D45" s="226" t="str">
        <f>IFS($B45=FALSE,"",$B45,VLOOKUP($B45,'PATIENT DATA (072721)'!A:C, 3, 0))</f>
        <v/>
      </c>
      <c r="E45" s="218">
        <v>44582.0</v>
      </c>
      <c r="F45" s="219" t="str">
        <f>ifs($B45="","",$B45, VLOOKUP($B45&amp;$E45, 'VISIT DATA'!A:O,3,0))</f>
        <v/>
      </c>
      <c r="G45" s="220"/>
      <c r="H45" s="221"/>
      <c r="I45" s="222" t="str">
        <f>VLOOKUP($B45&amp;$E45,'VISIT DATA'!A:J, 9, FALSE)</f>
        <v>#N/A</v>
      </c>
      <c r="J45" s="223" t="str">
        <f>VLOOKUP(B45&amp;E45,'VISIT DATA'!A:N,10,FALSE)</f>
        <v>#N/A</v>
      </c>
      <c r="K45" s="225"/>
      <c r="L45" s="224"/>
      <c r="M45" s="224"/>
      <c r="N45" s="225"/>
      <c r="O45" s="216" t="str">
        <f t="shared" si="1"/>
        <v>X</v>
      </c>
      <c r="P45" s="226" t="str">
        <f t="shared" si="2"/>
        <v>#N/A</v>
      </c>
      <c r="Q45" s="227" t="str">
        <f t="shared" si="3"/>
        <v>#N/A</v>
      </c>
      <c r="R45" s="228" t="str">
        <f t="shared" si="4"/>
        <v>#N/A</v>
      </c>
      <c r="S45" s="220" t="str">
        <f t="shared" si="5"/>
        <v>#N/A</v>
      </c>
      <c r="T45" s="220" t="str">
        <f t="shared" si="6"/>
        <v>#N/A</v>
      </c>
      <c r="U45" s="221">
        <f t="shared" si="7"/>
        <v>0</v>
      </c>
      <c r="V45" s="229" t="str">
        <f>ifs($N45="",VLOOKUP($B45&amp;$E45,'VISIT DATA'!$A$2:$J100,7,FALSE), $N45="SWAB","OUTSA-RW",$N45="SWQU","OUTSA-SaQu", AND($L45="X",$M45="X",$N45="QUEST"),"OUT-UAQPre",$N45="QUEST","OUT-UAQ", $N45="Walk in","ColUATele")</f>
        <v>#N/A</v>
      </c>
      <c r="W45" s="24" t="str">
        <f t="shared" si="8"/>
        <v>#N/A</v>
      </c>
      <c r="X45" s="222" t="str">
        <f t="shared" si="9"/>
        <v/>
      </c>
      <c r="Y45" s="222" t="str">
        <f t="shared" si="10"/>
        <v/>
      </c>
      <c r="Z45" s="224" t="str">
        <f t="shared" si="11"/>
        <v> </v>
      </c>
      <c r="AA45" s="244"/>
    </row>
    <row r="46">
      <c r="A46" s="214" t="str">
        <f>IFS($B46=FALSE,"",$B46,VLOOKUP($B46,'PATIENT DATA (072721)'!A:C, 2, 0))</f>
        <v/>
      </c>
      <c r="B46" s="215"/>
      <c r="C46" s="216" t="str">
        <f>IF(COUNTIF('PATIENT DATA (072721)'!A:A, B46)=0, "X","✓")</f>
        <v>X</v>
      </c>
      <c r="D46" s="226" t="str">
        <f>IFS($B46=FALSE,"",$B46,VLOOKUP($B46,'PATIENT DATA (072721)'!A:C, 3, 0))</f>
        <v/>
      </c>
      <c r="E46" s="218">
        <v>44582.0</v>
      </c>
      <c r="F46" s="219" t="str">
        <f>ifs($B46="","",$B46, VLOOKUP($B46&amp;$E46, 'VISIT DATA'!A:O,3,0))</f>
        <v/>
      </c>
      <c r="G46" s="220"/>
      <c r="H46" s="221"/>
      <c r="I46" s="222" t="str">
        <f>VLOOKUP($B46&amp;$E46,'VISIT DATA'!A:J, 9, FALSE)</f>
        <v>#N/A</v>
      </c>
      <c r="J46" s="223" t="str">
        <f>VLOOKUP(B46&amp;E46,'VISIT DATA'!A:N,10,FALSE)</f>
        <v>#N/A</v>
      </c>
      <c r="K46" s="224"/>
      <c r="L46" s="224"/>
      <c r="M46" s="224"/>
      <c r="N46" s="225"/>
      <c r="O46" s="216" t="str">
        <f t="shared" si="1"/>
        <v>X</v>
      </c>
      <c r="P46" s="226" t="str">
        <f t="shared" si="2"/>
        <v>#N/A</v>
      </c>
      <c r="Q46" s="227" t="str">
        <f t="shared" si="3"/>
        <v>#N/A</v>
      </c>
      <c r="R46" s="228" t="str">
        <f t="shared" si="4"/>
        <v>#N/A</v>
      </c>
      <c r="S46" s="220" t="str">
        <f t="shared" si="5"/>
        <v>#N/A</v>
      </c>
      <c r="T46" s="220" t="str">
        <f t="shared" si="6"/>
        <v>#N/A</v>
      </c>
      <c r="U46" s="221">
        <f t="shared" si="7"/>
        <v>0</v>
      </c>
      <c r="V46" s="229" t="str">
        <f>ifs($N46="",VLOOKUP($B46&amp;$E46,'VISIT DATA'!$A$2:$J100,7,FALSE), $N46="SWAB","OUTSA-RW",$N46="SWQU","OUTSA-SaQu", AND($L46="X",$M46="X",$N46="QUEST"),"OUT-UAQPre",$N46="QUEST","OUT-UAQ", $N46="Walk in","ColUATele")</f>
        <v>#N/A</v>
      </c>
      <c r="W46" s="24" t="str">
        <f t="shared" si="8"/>
        <v>#N/A</v>
      </c>
      <c r="X46" s="222" t="str">
        <f t="shared" si="9"/>
        <v/>
      </c>
      <c r="Y46" s="222" t="str">
        <f t="shared" si="10"/>
        <v/>
      </c>
      <c r="Z46" s="224" t="str">
        <f t="shared" si="11"/>
        <v> </v>
      </c>
      <c r="AA46" s="244"/>
    </row>
    <row r="47">
      <c r="A47" s="214" t="str">
        <f>IFS($B47=FALSE,"",$B47,VLOOKUP($B47,'PATIENT DATA (072721)'!A:C, 2, 0))</f>
        <v/>
      </c>
      <c r="B47" s="215"/>
      <c r="C47" s="230" t="str">
        <f>IF(COUNTIF('PATIENT DATA (072721)'!A:A, B47)=0, "X","✓")</f>
        <v>X</v>
      </c>
      <c r="D47" s="226" t="str">
        <f>IFS($B47=FALSE,"",$B47,VLOOKUP($B47,'PATIENT DATA (072721)'!A:C, 3, 0))</f>
        <v/>
      </c>
      <c r="E47" s="218">
        <v>44582.0</v>
      </c>
      <c r="F47" s="219" t="str">
        <f>ifs($B47="","",$B47, VLOOKUP($B47&amp;$E47, 'VISIT DATA'!A:O,3,0))</f>
        <v/>
      </c>
      <c r="G47" s="220"/>
      <c r="H47" s="221"/>
      <c r="I47" s="222" t="str">
        <f>VLOOKUP($B47&amp;$E47,'VISIT DATA'!A:J, 9, FALSE)</f>
        <v>#N/A</v>
      </c>
      <c r="J47" s="223" t="str">
        <f>VLOOKUP(B47&amp;E47,'VISIT DATA'!A:N,10,FALSE)</f>
        <v>#N/A</v>
      </c>
      <c r="K47" s="225"/>
      <c r="L47" s="224"/>
      <c r="M47" s="224"/>
      <c r="N47" s="225"/>
      <c r="O47" s="216" t="str">
        <f t="shared" si="1"/>
        <v>X</v>
      </c>
      <c r="P47" s="226" t="str">
        <f t="shared" si="2"/>
        <v>#N/A</v>
      </c>
      <c r="Q47" s="227" t="str">
        <f t="shared" si="3"/>
        <v>#N/A</v>
      </c>
      <c r="R47" s="228" t="str">
        <f t="shared" si="4"/>
        <v>#N/A</v>
      </c>
      <c r="S47" s="220" t="str">
        <f t="shared" si="5"/>
        <v>#N/A</v>
      </c>
      <c r="T47" s="220" t="str">
        <f t="shared" si="6"/>
        <v>#N/A</v>
      </c>
      <c r="U47" s="221">
        <f t="shared" si="7"/>
        <v>0</v>
      </c>
      <c r="V47" s="229" t="str">
        <f>ifs($N47="",VLOOKUP($B47&amp;$E47,'VISIT DATA'!$A$2:$J100,7,FALSE), $N47="SWAB","OUTSA-RW",$N47="SWQU","OUTSA-SaQu", AND($L47="X",$M47="X",$N47="QUEST"),"OUT-UAQPre",$N47="QUEST","OUT-UAQ", $N47="Walk in","ColUATele")</f>
        <v>#N/A</v>
      </c>
      <c r="W47" s="24" t="str">
        <f t="shared" si="8"/>
        <v>#N/A</v>
      </c>
      <c r="X47" s="222" t="str">
        <f t="shared" si="9"/>
        <v/>
      </c>
      <c r="Y47" s="222" t="str">
        <f t="shared" si="10"/>
        <v/>
      </c>
      <c r="Z47" s="224" t="str">
        <f t="shared" si="11"/>
        <v> </v>
      </c>
      <c r="AA47" s="244"/>
    </row>
    <row r="48">
      <c r="A48" s="214" t="str">
        <f>IFS($B48=FALSE,"",$B48,VLOOKUP($B48,'PATIENT DATA (072721)'!A:C, 2, 0))</f>
        <v/>
      </c>
      <c r="B48" s="215"/>
      <c r="C48" s="230" t="str">
        <f>IF(COUNTIF('PATIENT DATA (072721)'!A:A, B48)=0, "X","✓")</f>
        <v>X</v>
      </c>
      <c r="D48" s="226" t="str">
        <f>IFS($B48=FALSE,"",$B48,VLOOKUP($B48,'PATIENT DATA (072721)'!A:C, 3, 0))</f>
        <v/>
      </c>
      <c r="E48" s="218">
        <v>44582.0</v>
      </c>
      <c r="F48" s="219" t="str">
        <f>ifs($B48="","",$B48, VLOOKUP($B48&amp;$E48, 'VISIT DATA'!A:O,3,0))</f>
        <v/>
      </c>
      <c r="G48" s="220"/>
      <c r="H48" s="221"/>
      <c r="I48" s="222" t="str">
        <f>VLOOKUP($B48&amp;$E48,'VISIT DATA'!A:J, 9, FALSE)</f>
        <v>#N/A</v>
      </c>
      <c r="J48" s="223" t="str">
        <f>VLOOKUP(B48&amp;E48,'VISIT DATA'!A:N,10,FALSE)</f>
        <v>#N/A</v>
      </c>
      <c r="K48" s="225"/>
      <c r="L48" s="224"/>
      <c r="M48" s="224"/>
      <c r="N48" s="224"/>
      <c r="O48" s="216" t="str">
        <f t="shared" si="1"/>
        <v>X</v>
      </c>
      <c r="P48" s="226" t="str">
        <f t="shared" si="2"/>
        <v>#N/A</v>
      </c>
      <c r="Q48" s="227" t="str">
        <f t="shared" si="3"/>
        <v>#N/A</v>
      </c>
      <c r="R48" s="228" t="str">
        <f t="shared" si="4"/>
        <v>#N/A</v>
      </c>
      <c r="S48" s="220" t="str">
        <f t="shared" si="5"/>
        <v>#N/A</v>
      </c>
      <c r="T48" s="220" t="str">
        <f t="shared" si="6"/>
        <v>#N/A</v>
      </c>
      <c r="U48" s="221">
        <f t="shared" si="7"/>
        <v>0</v>
      </c>
      <c r="V48" s="229" t="str">
        <f>ifs($N48="",VLOOKUP($B48&amp;$E48,'VISIT DATA'!$A$2:$J100,7,FALSE), $N48="SWAB","OUTSA-RW",$N48="SWQU","OUTSA-SaQu", AND($L48="X",$M48="X",$N48="QUEST"),"OUT-UAQPre",$N48="QUEST","OUT-UAQ", $N48="Walk in","ColUATele")</f>
        <v>#N/A</v>
      </c>
      <c r="W48" s="24" t="str">
        <f t="shared" si="8"/>
        <v>#N/A</v>
      </c>
      <c r="X48" s="222" t="str">
        <f t="shared" si="9"/>
        <v/>
      </c>
      <c r="Y48" s="222" t="str">
        <f t="shared" si="10"/>
        <v/>
      </c>
      <c r="Z48" s="224" t="str">
        <f t="shared" si="11"/>
        <v> </v>
      </c>
      <c r="AA48" s="244"/>
    </row>
    <row r="49">
      <c r="A49" s="214" t="str">
        <f>IFS($B49=FALSE,"",$B49,VLOOKUP($B49,'PATIENT DATA (072721)'!A:C, 2, 0))</f>
        <v/>
      </c>
      <c r="B49" s="215"/>
      <c r="C49" s="247" t="str">
        <f>IF(COUNTIF('PATIENT DATA (072721)'!A:A, B49)=0, "X","✓")</f>
        <v>X</v>
      </c>
      <c r="D49" s="226" t="str">
        <f>IFS($B49=FALSE,"",$B49,VLOOKUP($B49,'PATIENT DATA (072721)'!A:C, 3, 0))</f>
        <v/>
      </c>
      <c r="E49" s="218">
        <v>44582.0</v>
      </c>
      <c r="F49" s="219"/>
      <c r="G49" s="220"/>
      <c r="H49" s="221"/>
      <c r="I49" s="222" t="str">
        <f>VLOOKUP($B49&amp;$E49,'VISIT DATA'!A:J, 9, FALSE)</f>
        <v>#N/A</v>
      </c>
      <c r="J49" s="223" t="str">
        <f>VLOOKUP(B49&amp;E49,'VISIT DATA'!A:N,10,FALSE)</f>
        <v>#N/A</v>
      </c>
      <c r="K49" s="225"/>
      <c r="L49" s="224"/>
      <c r="M49" s="224"/>
      <c r="N49" s="225"/>
      <c r="O49" s="247" t="str">
        <f t="shared" si="1"/>
        <v>X</v>
      </c>
      <c r="P49" s="226" t="str">
        <f t="shared" si="2"/>
        <v>#N/A</v>
      </c>
      <c r="Q49" s="227" t="str">
        <f t="shared" si="3"/>
        <v>#N/A</v>
      </c>
      <c r="R49" s="228" t="str">
        <f t="shared" si="4"/>
        <v>#N/A</v>
      </c>
      <c r="S49" s="220" t="str">
        <f t="shared" si="5"/>
        <v>#N/A</v>
      </c>
      <c r="T49" s="220" t="str">
        <f t="shared" si="6"/>
        <v>#N/A</v>
      </c>
      <c r="U49" s="221">
        <f t="shared" si="7"/>
        <v>0</v>
      </c>
      <c r="V49" s="229" t="str">
        <f>ifs($N49="",VLOOKUP($B49&amp;$E49,'VISIT DATA'!$A$2:$J100,7,FALSE), $N49="SWAB","OUTSA-RW",$N49="SWQU","OUTSA-SaQu", AND($L49="X",$M49="X",$N49="QUEST"),"OUT-UAQPre",$N49="QUEST","OUT-UAQ", $N49="Walk in","ColUATele")</f>
        <v>#N/A</v>
      </c>
      <c r="W49" s="24" t="str">
        <f t="shared" si="8"/>
        <v>#N/A</v>
      </c>
      <c r="X49" s="222" t="str">
        <f t="shared" si="9"/>
        <v/>
      </c>
      <c r="Y49" s="222" t="str">
        <f t="shared" si="10"/>
        <v/>
      </c>
      <c r="Z49" s="224" t="str">
        <f t="shared" si="11"/>
        <v> </v>
      </c>
      <c r="AA49" s="244"/>
    </row>
    <row r="50">
      <c r="A50" s="248" t="str">
        <f>IFS($B50=FALSE,"",$B50,VLOOKUP($B50,'PATIENT DATA (072721)'!A:C, 2, 0))</f>
        <v/>
      </c>
      <c r="B50" s="249"/>
      <c r="C50" s="250" t="str">
        <f>IF(COUNTIF('PATIENT DATA (072721)'!A:A, B50)=0, "X","✓")</f>
        <v>X</v>
      </c>
      <c r="D50" s="251" t="str">
        <f>IFS($B50=FALSE,"",$B50,VLOOKUP($B50,'PATIENT DATA (072721)'!A:C, 3, 0))</f>
        <v/>
      </c>
      <c r="E50" s="252">
        <v>44582.0</v>
      </c>
      <c r="F50" s="253" t="str">
        <f>ifs($B50="","",$B50, VLOOKUP($B50&amp;$E50, 'VISIT DATA'!A:O,3,0))</f>
        <v/>
      </c>
      <c r="G50" s="254"/>
      <c r="H50" s="255"/>
      <c r="I50" s="256" t="str">
        <f>VLOOKUP($B50&amp;$E50,'VISIT DATA'!A:J, 9, FALSE)</f>
        <v>#N/A</v>
      </c>
      <c r="J50" s="257" t="str">
        <f>VLOOKUP(B50&amp;E50,'VISIT DATA'!A:N,10,FALSE)</f>
        <v>#N/A</v>
      </c>
      <c r="K50" s="258"/>
      <c r="L50" s="259"/>
      <c r="M50" s="259"/>
      <c r="N50" s="258"/>
      <c r="O50" s="260" t="str">
        <f t="shared" si="1"/>
        <v>X</v>
      </c>
      <c r="P50" s="226" t="str">
        <f t="shared" si="2"/>
        <v>#N/A</v>
      </c>
      <c r="Q50" s="227" t="str">
        <f t="shared" si="3"/>
        <v>#N/A</v>
      </c>
      <c r="R50" s="228" t="str">
        <f t="shared" si="4"/>
        <v>#N/A</v>
      </c>
      <c r="S50" s="220" t="str">
        <f t="shared" si="5"/>
        <v>#N/A</v>
      </c>
      <c r="T50" s="220" t="str">
        <f t="shared" si="6"/>
        <v>#N/A</v>
      </c>
      <c r="U50" s="221">
        <f t="shared" si="7"/>
        <v>0</v>
      </c>
      <c r="V50" s="261" t="str">
        <f>ifs($N50="",VLOOKUP($B50&amp;$E50,'VISIT DATA'!$A$2:$J100,7,FALSE), $N50="SWAB","OUTSA-RW",$N50="SWQU","OUTSA-SaQu", AND($L50="X",$M50="X",$N50="QUEST"),"OUT-UAQPre",$N50="QUEST","OUT-UAQ", $N50="Walk in","ColUATele")</f>
        <v>#N/A</v>
      </c>
      <c r="W50" s="24" t="str">
        <f t="shared" si="8"/>
        <v>#N/A</v>
      </c>
      <c r="X50" s="222" t="str">
        <f t="shared" si="9"/>
        <v/>
      </c>
      <c r="Y50" s="222" t="str">
        <f t="shared" si="10"/>
        <v/>
      </c>
      <c r="Z50" s="224" t="str">
        <f t="shared" si="11"/>
        <v> </v>
      </c>
      <c r="AA50" s="244"/>
    </row>
    <row r="51">
      <c r="A51" s="214" t="str">
        <f>IFS($B51=FALSE,"",$B51,VLOOKUP($B51,'PATIENT DATA (072721)'!A:C, 2, 0))</f>
        <v/>
      </c>
      <c r="B51" s="215"/>
      <c r="C51" s="230" t="str">
        <f>IF(COUNTIF('PATIENT DATA (072721)'!A:A, B51)=0, "X","✓")</f>
        <v>X</v>
      </c>
      <c r="D51" s="226" t="str">
        <f>IFS($B51=FALSE,"",$B51,VLOOKUP($B51,'PATIENT DATA (072721)'!A:C, 3, 0))</f>
        <v/>
      </c>
      <c r="E51" s="218">
        <v>44582.0</v>
      </c>
      <c r="F51" s="219" t="str">
        <f>ifs($B51="","",$B51, VLOOKUP($B51&amp;$E51, 'VISIT DATA'!A:O,3,0))</f>
        <v/>
      </c>
      <c r="G51" s="231"/>
      <c r="H51" s="221"/>
      <c r="I51" s="262" t="str">
        <f>VLOOKUP($B51&amp;$E51,'VISIT DATA'!A:J, 9, FALSE)</f>
        <v>#N/A</v>
      </c>
      <c r="J51" s="223" t="str">
        <f>VLOOKUP(B51&amp;E51,'VISIT DATA'!A:N,10,FALSE)</f>
        <v>#N/A</v>
      </c>
      <c r="K51" s="225"/>
      <c r="L51" s="224"/>
      <c r="M51" s="224"/>
      <c r="N51" s="225"/>
      <c r="O51" s="216" t="str">
        <f t="shared" si="1"/>
        <v>X</v>
      </c>
      <c r="P51" s="226" t="str">
        <f t="shared" si="2"/>
        <v>#N/A</v>
      </c>
      <c r="Q51" s="227" t="str">
        <f t="shared" si="3"/>
        <v>#N/A</v>
      </c>
      <c r="R51" s="228" t="str">
        <f t="shared" si="4"/>
        <v>#N/A</v>
      </c>
      <c r="S51" s="220" t="str">
        <f t="shared" si="5"/>
        <v>#N/A</v>
      </c>
      <c r="T51" s="220" t="str">
        <f t="shared" si="6"/>
        <v>#N/A</v>
      </c>
      <c r="U51" s="221">
        <f t="shared" si="7"/>
        <v>0</v>
      </c>
      <c r="V51" s="229" t="str">
        <f>ifs($N51="",VLOOKUP($B51&amp;$E51,'VISIT DATA'!$A$2:$J100,7,FALSE), $N51="SWAB","OUTSA-RW",$N51="SWQU","OUTSA-SaQu", AND($L51="X",$M51="X",$N51="QUEST"),"OUT-UAQPre",$N51="QUEST","OUT-UAQ", $N51="Walk in","ColUATele")</f>
        <v>#N/A</v>
      </c>
      <c r="W51" s="24" t="str">
        <f t="shared" si="8"/>
        <v>#N/A</v>
      </c>
      <c r="X51" s="222" t="str">
        <f t="shared" si="9"/>
        <v/>
      </c>
      <c r="Y51" s="222" t="str">
        <f t="shared" si="10"/>
        <v/>
      </c>
      <c r="Z51" s="224" t="str">
        <f t="shared" si="11"/>
        <v> </v>
      </c>
      <c r="AA51" s="244"/>
    </row>
    <row r="52">
      <c r="A52" s="214" t="str">
        <f>IFS($B52=FALSE,"",$B52,VLOOKUP($B52,'PATIENT DATA (072721)'!A:C, 2, 0))</f>
        <v/>
      </c>
      <c r="B52" s="215"/>
      <c r="C52" s="230" t="str">
        <f>IF(COUNTIF('PATIENT DATA (072721)'!A:A, B52)=0, "X","✓")</f>
        <v>X</v>
      </c>
      <c r="D52" s="226" t="str">
        <f>IFS($B52=FALSE,"",$B52,VLOOKUP($B52,'PATIENT DATA (072721)'!A:C, 3, 0))</f>
        <v/>
      </c>
      <c r="E52" s="218">
        <v>44582.0</v>
      </c>
      <c r="F52" s="219" t="str">
        <f>ifs($B52="","",$B52, VLOOKUP($B52&amp;$E52, 'VISIT DATA'!A:O,3,0))</f>
        <v/>
      </c>
      <c r="G52" s="231"/>
      <c r="H52" s="221"/>
      <c r="I52" s="262" t="str">
        <f>VLOOKUP($B52&amp;$E52,'VISIT DATA'!A:J, 9, FALSE)</f>
        <v>#N/A</v>
      </c>
      <c r="J52" s="223" t="str">
        <f>VLOOKUP(B52&amp;E52,'VISIT DATA'!A:N,10,FALSE)</f>
        <v>#N/A</v>
      </c>
      <c r="K52" s="225"/>
      <c r="L52" s="224"/>
      <c r="M52" s="224"/>
      <c r="N52" s="225"/>
      <c r="O52" s="216" t="str">
        <f t="shared" si="1"/>
        <v>X</v>
      </c>
      <c r="P52" s="226" t="str">
        <f t="shared" si="2"/>
        <v>#N/A</v>
      </c>
      <c r="Q52" s="227" t="str">
        <f t="shared" si="3"/>
        <v>#N/A</v>
      </c>
      <c r="R52" s="228" t="str">
        <f t="shared" si="4"/>
        <v>#N/A</v>
      </c>
      <c r="S52" s="220" t="str">
        <f t="shared" si="5"/>
        <v>#N/A</v>
      </c>
      <c r="T52" s="220" t="str">
        <f t="shared" si="6"/>
        <v>#N/A</v>
      </c>
      <c r="U52" s="221">
        <f t="shared" si="7"/>
        <v>0</v>
      </c>
      <c r="V52" s="229" t="str">
        <f>ifs($N52="",VLOOKUP($B52&amp;$E52,'VISIT DATA'!$A$2:$J100,7,FALSE), $N52="SWAB","OUTSA-RW",$N52="SWQU","OUTSA-SaQu", AND($L52="X",$M52="X",$N52="QUEST"),"OUT-UAQPre",$N52="QUEST","OUT-UAQ", $N52="Walk in","ColUATele")</f>
        <v>#N/A</v>
      </c>
      <c r="W52" s="24" t="str">
        <f t="shared" si="8"/>
        <v>#N/A</v>
      </c>
      <c r="X52" s="222" t="str">
        <f t="shared" si="9"/>
        <v/>
      </c>
      <c r="Y52" s="222" t="str">
        <f t="shared" si="10"/>
        <v/>
      </c>
      <c r="Z52" s="224" t="str">
        <f t="shared" si="11"/>
        <v> </v>
      </c>
      <c r="AA52" s="244"/>
    </row>
    <row r="53">
      <c r="A53" s="214" t="str">
        <f>IFS($B53=FALSE,"",$B53,VLOOKUP($B53,'PATIENT DATA (072721)'!A:C, 2, 0))</f>
        <v/>
      </c>
      <c r="B53" s="215"/>
      <c r="C53" s="230" t="str">
        <f>IF(COUNTIF('PATIENT DATA (072721)'!A:A, B53)=0, "X","✓")</f>
        <v>X</v>
      </c>
      <c r="D53" s="226" t="str">
        <f>IFS($B53=FALSE,"",$B53,VLOOKUP($B53,'PATIENT DATA (072721)'!A:C, 3, 0))</f>
        <v/>
      </c>
      <c r="E53" s="218">
        <v>44582.0</v>
      </c>
      <c r="F53" s="219" t="str">
        <f>ifs($B53="","",$B53, VLOOKUP($B53&amp;$E53, 'VISIT DATA'!A:O,3,0))</f>
        <v/>
      </c>
      <c r="G53" s="231"/>
      <c r="H53" s="221"/>
      <c r="I53" s="262" t="str">
        <f>VLOOKUP($B53&amp;$E53,'VISIT DATA'!A:J, 9, FALSE)</f>
        <v>#N/A</v>
      </c>
      <c r="J53" s="223" t="str">
        <f>VLOOKUP(B53&amp;E53,'VISIT DATA'!A:N,10,FALSE)</f>
        <v>#N/A</v>
      </c>
      <c r="K53" s="224"/>
      <c r="L53" s="224"/>
      <c r="M53" s="224"/>
      <c r="N53" s="225"/>
      <c r="O53" s="216" t="str">
        <f t="shared" si="1"/>
        <v>X</v>
      </c>
      <c r="P53" s="226" t="str">
        <f t="shared" si="2"/>
        <v>#N/A</v>
      </c>
      <c r="Q53" s="227" t="str">
        <f t="shared" si="3"/>
        <v>#N/A</v>
      </c>
      <c r="R53" s="228" t="str">
        <f t="shared" si="4"/>
        <v>#N/A</v>
      </c>
      <c r="S53" s="220" t="str">
        <f t="shared" si="5"/>
        <v>#N/A</v>
      </c>
      <c r="T53" s="220" t="str">
        <f t="shared" si="6"/>
        <v>#N/A</v>
      </c>
      <c r="U53" s="221">
        <f t="shared" si="7"/>
        <v>0</v>
      </c>
      <c r="V53" s="229" t="str">
        <f>ifs($N53="",VLOOKUP($B53&amp;$E53,'VISIT DATA'!$A$2:$J100,7,FALSE), $N53="SWAB","OUTSA-RW",$N53="SWQU","OUTSA-SaQu", AND($L53="X",$M53="X",$N53="QUEST"),"OUT-UAQPre",$N53="QUEST","OUT-UAQ", $N53="Walk in","ColUATele")</f>
        <v>#N/A</v>
      </c>
      <c r="W53" s="24" t="str">
        <f t="shared" si="8"/>
        <v>#N/A</v>
      </c>
      <c r="X53" s="222" t="str">
        <f t="shared" si="9"/>
        <v/>
      </c>
      <c r="Y53" s="222" t="str">
        <f t="shared" si="10"/>
        <v/>
      </c>
      <c r="Z53" s="224" t="str">
        <f t="shared" si="11"/>
        <v> </v>
      </c>
      <c r="AA53" s="244"/>
    </row>
    <row r="54">
      <c r="A54" s="214" t="str">
        <f>IFS($B54=FALSE,"",$B54,VLOOKUP($B54,'PATIENT DATA (072721)'!A:C, 2, 0))</f>
        <v/>
      </c>
      <c r="B54" s="215"/>
      <c r="C54" s="230" t="str">
        <f>IF(COUNTIF('PATIENT DATA (072721)'!A:A, B54)=0, "X","✓")</f>
        <v>X</v>
      </c>
      <c r="D54" s="226" t="str">
        <f>IFS($B54=FALSE,"",$B54,VLOOKUP($B54,'PATIENT DATA (072721)'!A:C, 3, 0))</f>
        <v/>
      </c>
      <c r="E54" s="218">
        <v>44582.0</v>
      </c>
      <c r="F54" s="219" t="str">
        <f>ifs($B54="","",$B54, VLOOKUP($B54&amp;$E54, 'VISIT DATA'!A:O,3,0))</f>
        <v/>
      </c>
      <c r="G54" s="231"/>
      <c r="H54" s="221"/>
      <c r="I54" s="262" t="str">
        <f>VLOOKUP($B54&amp;$E54,'VISIT DATA'!A:J, 9, FALSE)</f>
        <v>#N/A</v>
      </c>
      <c r="J54" s="223" t="str">
        <f>VLOOKUP(B54&amp;E54,'VISIT DATA'!A:N,10,FALSE)</f>
        <v>#N/A</v>
      </c>
      <c r="K54" s="225"/>
      <c r="L54" s="224"/>
      <c r="M54" s="224"/>
      <c r="N54" s="225"/>
      <c r="O54" s="216" t="str">
        <f t="shared" si="1"/>
        <v>X</v>
      </c>
      <c r="P54" s="226" t="str">
        <f t="shared" si="2"/>
        <v>#N/A</v>
      </c>
      <c r="Q54" s="227" t="str">
        <f t="shared" si="3"/>
        <v>#N/A</v>
      </c>
      <c r="R54" s="228" t="str">
        <f t="shared" si="4"/>
        <v>#N/A</v>
      </c>
      <c r="S54" s="220" t="str">
        <f t="shared" si="5"/>
        <v>#N/A</v>
      </c>
      <c r="T54" s="220" t="str">
        <f t="shared" si="6"/>
        <v>#N/A</v>
      </c>
      <c r="U54" s="221">
        <f t="shared" si="7"/>
        <v>0</v>
      </c>
      <c r="V54" s="229" t="str">
        <f>ifs($N54="",VLOOKUP($B54&amp;$E54,'VISIT DATA'!$A$2:$J100,7,FALSE), $N54="SWAB","OUTSA-RW",$N54="SWQU","OUTSA-SaQu", AND($L54="X",$M54="X",$N54="QUEST"),"OUT-UAQPre",$N54="QUEST","OUT-UAQ", $N54="Walk in","ColUATele")</f>
        <v>#N/A</v>
      </c>
      <c r="W54" s="24" t="str">
        <f t="shared" si="8"/>
        <v>#N/A</v>
      </c>
      <c r="X54" s="222" t="str">
        <f t="shared" si="9"/>
        <v/>
      </c>
      <c r="Y54" s="222" t="str">
        <f t="shared" si="10"/>
        <v/>
      </c>
      <c r="Z54" s="224" t="str">
        <f t="shared" si="11"/>
        <v> </v>
      </c>
      <c r="AA54" s="244"/>
    </row>
    <row r="55">
      <c r="A55" s="214" t="str">
        <f>IFS($B55=FALSE,"",$B55,VLOOKUP($B55,'PATIENT DATA (072721)'!A:C, 2, 0))</f>
        <v/>
      </c>
      <c r="B55" s="215"/>
      <c r="C55" s="230" t="str">
        <f>IF(COUNTIF('PATIENT DATA (072721)'!A:A, B55)=0, "X","✓")</f>
        <v>X</v>
      </c>
      <c r="D55" s="226" t="str">
        <f>IFS($B55=FALSE,"",$B55,VLOOKUP($B55,'PATIENT DATA (072721)'!A:C, 3, 0))</f>
        <v/>
      </c>
      <c r="E55" s="218">
        <v>44582.0</v>
      </c>
      <c r="F55" s="219" t="str">
        <f>ifs($B55="","",$B55, VLOOKUP($B55&amp;$E55, 'VISIT DATA'!A:O,3,0))</f>
        <v/>
      </c>
      <c r="G55" s="231"/>
      <c r="H55" s="221"/>
      <c r="I55" s="262" t="str">
        <f>VLOOKUP($B55&amp;$E55,'VISIT DATA'!A:J, 9, FALSE)</f>
        <v>#N/A</v>
      </c>
      <c r="J55" s="223" t="str">
        <f>VLOOKUP(B55&amp;E55,'VISIT DATA'!A:N,10,FALSE)</f>
        <v>#N/A</v>
      </c>
      <c r="K55" s="225"/>
      <c r="L55" s="224"/>
      <c r="M55" s="224"/>
      <c r="N55" s="225"/>
      <c r="O55" s="216" t="str">
        <f t="shared" si="1"/>
        <v>X</v>
      </c>
      <c r="P55" s="226" t="str">
        <f t="shared" si="2"/>
        <v>#N/A</v>
      </c>
      <c r="Q55" s="227" t="str">
        <f t="shared" si="3"/>
        <v>#N/A</v>
      </c>
      <c r="R55" s="228" t="str">
        <f t="shared" si="4"/>
        <v>#N/A</v>
      </c>
      <c r="S55" s="220" t="str">
        <f t="shared" si="5"/>
        <v>#N/A</v>
      </c>
      <c r="T55" s="220" t="str">
        <f t="shared" si="6"/>
        <v>#N/A</v>
      </c>
      <c r="U55" s="221">
        <f t="shared" si="7"/>
        <v>0</v>
      </c>
      <c r="V55" s="229" t="str">
        <f>ifs($N55="",VLOOKUP($B55&amp;$E55,'VISIT DATA'!$A$2:$J100,7,FALSE), $N55="SWAB","OUTSA-RW",$N55="SWQU","OUTSA-SaQu", AND($L55="X",$M55="X",$N55="QUEST"),"OUT-UAQPre",$N55="QUEST","OUT-UAQ", $N55="Walk in","ColUATele")</f>
        <v>#N/A</v>
      </c>
      <c r="W55" s="24" t="str">
        <f t="shared" si="8"/>
        <v>#N/A</v>
      </c>
      <c r="X55" s="222" t="str">
        <f t="shared" si="9"/>
        <v/>
      </c>
      <c r="Y55" s="222" t="str">
        <f t="shared" si="10"/>
        <v/>
      </c>
      <c r="Z55" s="224" t="str">
        <f t="shared" si="11"/>
        <v> </v>
      </c>
      <c r="AA55" s="244"/>
    </row>
    <row r="56">
      <c r="A56" s="214" t="str">
        <f>IFS($B56=FALSE,"",$B56,VLOOKUP($B56,'PATIENT DATA (072721)'!A:C, 2, 0))</f>
        <v/>
      </c>
      <c r="B56" s="215"/>
      <c r="C56" s="230" t="str">
        <f>IF(COUNTIF('PATIENT DATA (072721)'!A:A, B56)=0, "X","✓")</f>
        <v>X</v>
      </c>
      <c r="D56" s="226" t="str">
        <f>IFS($B56=FALSE,"",$B56,VLOOKUP($B56,'PATIENT DATA (072721)'!A:C, 3, 0))</f>
        <v/>
      </c>
      <c r="E56" s="218">
        <v>44582.0</v>
      </c>
      <c r="F56" s="219" t="str">
        <f>ifs($B56="","",$B56, VLOOKUP($B56&amp;$E56, 'VISIT DATA'!A:O,3,0))</f>
        <v/>
      </c>
      <c r="G56" s="231"/>
      <c r="H56" s="221"/>
      <c r="I56" s="262" t="str">
        <f>VLOOKUP($B56&amp;$E56,'VISIT DATA'!A:J, 9, FALSE)</f>
        <v>#N/A</v>
      </c>
      <c r="J56" s="223" t="str">
        <f>VLOOKUP(B56&amp;E56,'VISIT DATA'!A:N,10,FALSE)</f>
        <v>#N/A</v>
      </c>
      <c r="K56" s="225"/>
      <c r="L56" s="224"/>
      <c r="M56" s="224"/>
      <c r="N56" s="225"/>
      <c r="O56" s="216" t="str">
        <f t="shared" si="1"/>
        <v>X</v>
      </c>
      <c r="P56" s="226" t="str">
        <f t="shared" si="2"/>
        <v>#N/A</v>
      </c>
      <c r="Q56" s="227" t="str">
        <f t="shared" si="3"/>
        <v>#N/A</v>
      </c>
      <c r="R56" s="228" t="str">
        <f t="shared" si="4"/>
        <v>#N/A</v>
      </c>
      <c r="S56" s="220" t="str">
        <f t="shared" si="5"/>
        <v>#N/A</v>
      </c>
      <c r="T56" s="220" t="str">
        <f t="shared" si="6"/>
        <v>#N/A</v>
      </c>
      <c r="U56" s="221">
        <f t="shared" si="7"/>
        <v>0</v>
      </c>
      <c r="V56" s="229" t="str">
        <f>ifs($N56="",VLOOKUP($B56&amp;$E56,'VISIT DATA'!$A$2:$J100,7,FALSE), $N56="SWAB","OUTSA-RW",$N56="SWQU","OUTSA-SaQu", AND($L56="X",$M56="X",$N56="QUEST"),"OUT-UAQPre",$N56="QUEST","OUT-UAQ", $N56="Walk in","ColUATele")</f>
        <v>#N/A</v>
      </c>
      <c r="W56" s="24" t="str">
        <f t="shared" si="8"/>
        <v>#N/A</v>
      </c>
      <c r="X56" s="222" t="str">
        <f t="shared" si="9"/>
        <v/>
      </c>
      <c r="Y56" s="222" t="str">
        <f t="shared" si="10"/>
        <v/>
      </c>
      <c r="Z56" s="224" t="str">
        <f t="shared" si="11"/>
        <v> </v>
      </c>
      <c r="AA56" s="244"/>
    </row>
    <row r="57">
      <c r="A57" s="214" t="str">
        <f>IFS($B57=FALSE,"",$B57,VLOOKUP($B57,'PATIENT DATA (072721)'!A:C, 2, 0))</f>
        <v/>
      </c>
      <c r="B57" s="215"/>
      <c r="C57" s="230" t="str">
        <f>IF(COUNTIF('PATIENT DATA (072721)'!A:A, B57)=0, "X","✓")</f>
        <v>X</v>
      </c>
      <c r="D57" s="226" t="str">
        <f>IFS($B57=FALSE,"",$B57,VLOOKUP($B57,'PATIENT DATA (072721)'!A:C, 3, 0))</f>
        <v/>
      </c>
      <c r="E57" s="218">
        <v>44582.0</v>
      </c>
      <c r="F57" s="219" t="str">
        <f>ifs($B57="","",$B57, VLOOKUP($B57&amp;$E57, 'VISIT DATA'!A:O,3,0))</f>
        <v/>
      </c>
      <c r="G57" s="231"/>
      <c r="H57" s="221"/>
      <c r="I57" s="262" t="str">
        <f>VLOOKUP($B57&amp;$E57,'VISIT DATA'!A:J, 9, FALSE)</f>
        <v>#N/A</v>
      </c>
      <c r="J57" s="223" t="str">
        <f>VLOOKUP(B57&amp;E57,'VISIT DATA'!A:N,10,FALSE)</f>
        <v>#N/A</v>
      </c>
      <c r="K57" s="225"/>
      <c r="L57" s="224"/>
      <c r="M57" s="224"/>
      <c r="N57" s="225"/>
      <c r="O57" s="216" t="str">
        <f t="shared" si="1"/>
        <v>X</v>
      </c>
      <c r="P57" s="226" t="str">
        <f t="shared" si="2"/>
        <v>#N/A</v>
      </c>
      <c r="Q57" s="227" t="str">
        <f t="shared" si="3"/>
        <v>#N/A</v>
      </c>
      <c r="R57" s="228" t="str">
        <f t="shared" si="4"/>
        <v>#N/A</v>
      </c>
      <c r="S57" s="220" t="str">
        <f t="shared" si="5"/>
        <v>#N/A</v>
      </c>
      <c r="T57" s="220" t="str">
        <f t="shared" si="6"/>
        <v>#N/A</v>
      </c>
      <c r="U57" s="221">
        <f t="shared" si="7"/>
        <v>0</v>
      </c>
      <c r="V57" s="229" t="str">
        <f>ifs($N57="",VLOOKUP($B57&amp;$E57,'VISIT DATA'!$A$2:$J100,7,FALSE), $N57="SWAB","OUTSA-RW",$N57="SWQU","OUTSA-SaQu", AND($L57="X",$M57="X",$N57="QUEST"),"OUT-UAQPre",$N57="QUEST","OUT-UAQ", $N57="Walk in","ColUATele")</f>
        <v>#N/A</v>
      </c>
      <c r="W57" s="24" t="str">
        <f t="shared" si="8"/>
        <v>#N/A</v>
      </c>
      <c r="X57" s="222" t="str">
        <f t="shared" si="9"/>
        <v/>
      </c>
      <c r="Y57" s="222" t="str">
        <f t="shared" si="10"/>
        <v/>
      </c>
      <c r="Z57" s="224" t="str">
        <f t="shared" si="11"/>
        <v> </v>
      </c>
      <c r="AA57" s="244"/>
    </row>
    <row r="58">
      <c r="A58" s="214" t="str">
        <f>IFS($B58=FALSE,"",$B58,VLOOKUP($B58,'PATIENT DATA (072721)'!A:C, 2, 0))</f>
        <v/>
      </c>
      <c r="B58" s="215"/>
      <c r="C58" s="230" t="str">
        <f>IF(COUNTIF('PATIENT DATA (072721)'!A:A, B58)=0, "X","✓")</f>
        <v>X</v>
      </c>
      <c r="D58" s="226" t="str">
        <f>IFS($B58=FALSE,"",$B58,VLOOKUP($B58,'PATIENT DATA (072721)'!A:C, 3, 0))</f>
        <v/>
      </c>
      <c r="E58" s="218">
        <v>44582.0</v>
      </c>
      <c r="F58" s="219" t="str">
        <f>ifs($B58="","",$B58, VLOOKUP($B58&amp;$E58, 'VISIT DATA'!A:O,3,0))</f>
        <v/>
      </c>
      <c r="G58" s="231"/>
      <c r="H58" s="221"/>
      <c r="I58" s="262" t="str">
        <f>VLOOKUP($B58&amp;$E58,'VISIT DATA'!A:J, 9, FALSE)</f>
        <v>#N/A</v>
      </c>
      <c r="J58" s="223" t="str">
        <f>VLOOKUP(B58&amp;E58,'VISIT DATA'!A:N,10,FALSE)</f>
        <v>#N/A</v>
      </c>
      <c r="K58" s="224"/>
      <c r="L58" s="224"/>
      <c r="M58" s="224"/>
      <c r="N58" s="225"/>
      <c r="O58" s="216" t="str">
        <f t="shared" si="1"/>
        <v>X</v>
      </c>
      <c r="P58" s="226" t="str">
        <f t="shared" si="2"/>
        <v>#N/A</v>
      </c>
      <c r="Q58" s="227" t="str">
        <f t="shared" si="3"/>
        <v>#N/A</v>
      </c>
      <c r="R58" s="228" t="str">
        <f t="shared" si="4"/>
        <v>#N/A</v>
      </c>
      <c r="S58" s="220" t="str">
        <f t="shared" si="5"/>
        <v>#N/A</v>
      </c>
      <c r="T58" s="220" t="str">
        <f t="shared" si="6"/>
        <v>#N/A</v>
      </c>
      <c r="U58" s="221">
        <f t="shared" si="7"/>
        <v>0</v>
      </c>
      <c r="V58" s="229" t="str">
        <f>ifs($N58="",VLOOKUP($B58&amp;$E58,'VISIT DATA'!$A$2:$J100,7,FALSE), $N58="SWAB","OUTSA-RW",$N58="SWQU","OUTSA-SaQu", AND($L58="X",$M58="X",$N58="QUEST"),"OUT-UAQPre",$N58="QUEST","OUT-UAQ", $N58="Walk in","ColUATele")</f>
        <v>#N/A</v>
      </c>
      <c r="W58" s="24" t="str">
        <f t="shared" si="8"/>
        <v>#N/A</v>
      </c>
      <c r="X58" s="222" t="str">
        <f t="shared" si="9"/>
        <v/>
      </c>
      <c r="Y58" s="222" t="str">
        <f t="shared" si="10"/>
        <v/>
      </c>
      <c r="Z58" s="224" t="str">
        <f t="shared" si="11"/>
        <v> </v>
      </c>
      <c r="AA58" s="244"/>
    </row>
    <row r="59">
      <c r="A59" s="214" t="str">
        <f>IFS($B59=FALSE,"",$B59,VLOOKUP($B59,'PATIENT DATA (072721)'!A:C, 2, 0))</f>
        <v/>
      </c>
      <c r="B59" s="215"/>
      <c r="C59" s="230" t="str">
        <f>IF(COUNTIF('PATIENT DATA (072721)'!A:A, B59)=0, "X","✓")</f>
        <v>X</v>
      </c>
      <c r="D59" s="226" t="str">
        <f>IFS($B59=FALSE,"",$B59,VLOOKUP($B59,'PATIENT DATA (072721)'!A:C, 3, 0))</f>
        <v/>
      </c>
      <c r="E59" s="218">
        <v>44582.0</v>
      </c>
      <c r="F59" s="219" t="str">
        <f>ifs($B59="","",$B59, VLOOKUP($B59&amp;$E59, 'VISIT DATA'!A:O,3,0))</f>
        <v/>
      </c>
      <c r="G59" s="231"/>
      <c r="H59" s="221"/>
      <c r="I59" s="262" t="str">
        <f>VLOOKUP($B59&amp;$E59,'VISIT DATA'!A:J, 9, FALSE)</f>
        <v>#N/A</v>
      </c>
      <c r="J59" s="223" t="str">
        <f>VLOOKUP(B59&amp;E59,'VISIT DATA'!A:N,10,FALSE)</f>
        <v>#N/A</v>
      </c>
      <c r="K59" s="224"/>
      <c r="L59" s="224"/>
      <c r="M59" s="224"/>
      <c r="N59" s="225"/>
      <c r="O59" s="216" t="str">
        <f t="shared" si="1"/>
        <v>X</v>
      </c>
      <c r="P59" s="226" t="str">
        <f t="shared" si="2"/>
        <v>#N/A</v>
      </c>
      <c r="Q59" s="227" t="str">
        <f t="shared" si="3"/>
        <v>#N/A</v>
      </c>
      <c r="R59" s="228" t="str">
        <f t="shared" si="4"/>
        <v>#N/A</v>
      </c>
      <c r="S59" s="220" t="str">
        <f t="shared" si="5"/>
        <v>#N/A</v>
      </c>
      <c r="T59" s="220" t="str">
        <f t="shared" si="6"/>
        <v>#N/A</v>
      </c>
      <c r="U59" s="221">
        <f t="shared" si="7"/>
        <v>0</v>
      </c>
      <c r="V59" s="229" t="str">
        <f>ifs($N59="",VLOOKUP($B59&amp;$E59,'VISIT DATA'!$A$2:$J100,7,FALSE), $N59="SWAB","OUTSA-RW",$N59="SWQU","OUTSA-SaQu", AND($L59="X",$M59="X",$N59="QUEST"),"OUT-UAQPre",$N59="QUEST","OUT-UAQ", $N59="Walk in","ColUATele")</f>
        <v>#N/A</v>
      </c>
      <c r="W59" s="24" t="str">
        <f t="shared" si="8"/>
        <v>#N/A</v>
      </c>
      <c r="X59" s="222" t="str">
        <f t="shared" si="9"/>
        <v/>
      </c>
      <c r="Y59" s="222" t="str">
        <f t="shared" si="10"/>
        <v/>
      </c>
      <c r="Z59" s="224" t="str">
        <f t="shared" si="11"/>
        <v> </v>
      </c>
      <c r="AA59" s="244"/>
    </row>
    <row r="60">
      <c r="A60" s="214" t="str">
        <f>IFS($B60=FALSE,"",$B60,VLOOKUP($B60,'PATIENT DATA (072721)'!A:C, 2, 0))</f>
        <v/>
      </c>
      <c r="B60" s="215"/>
      <c r="C60" s="230" t="str">
        <f>IF(COUNTIF('PATIENT DATA (072721)'!A:A, B60)=0, "X","✓")</f>
        <v>X</v>
      </c>
      <c r="D60" s="226" t="str">
        <f>IFS($B60=FALSE,"",$B60,VLOOKUP($B60,'PATIENT DATA (072721)'!A:C, 3, 0))</f>
        <v/>
      </c>
      <c r="E60" s="218">
        <v>44582.0</v>
      </c>
      <c r="F60" s="219" t="str">
        <f>ifs($B60="","",$B60, VLOOKUP($B60&amp;$E60, 'VISIT DATA'!A:O,3,0))</f>
        <v/>
      </c>
      <c r="G60" s="231"/>
      <c r="H60" s="221"/>
      <c r="I60" s="262" t="str">
        <f>VLOOKUP($B60&amp;$E60,'VISIT DATA'!A:J, 9, FALSE)</f>
        <v>#N/A</v>
      </c>
      <c r="J60" s="223" t="str">
        <f>VLOOKUP(B60&amp;E60,'VISIT DATA'!A:N,10,FALSE)</f>
        <v>#N/A</v>
      </c>
      <c r="K60" s="225"/>
      <c r="L60" s="224"/>
      <c r="M60" s="224"/>
      <c r="N60" s="225"/>
      <c r="O60" s="216" t="str">
        <f t="shared" si="1"/>
        <v>X</v>
      </c>
      <c r="P60" s="226" t="str">
        <f t="shared" si="2"/>
        <v>#N/A</v>
      </c>
      <c r="Q60" s="227" t="str">
        <f t="shared" si="3"/>
        <v>#N/A</v>
      </c>
      <c r="R60" s="228" t="str">
        <f t="shared" si="4"/>
        <v>#N/A</v>
      </c>
      <c r="S60" s="220" t="str">
        <f t="shared" si="5"/>
        <v>#N/A</v>
      </c>
      <c r="T60" s="220" t="str">
        <f t="shared" si="6"/>
        <v>#N/A</v>
      </c>
      <c r="U60" s="221">
        <f t="shared" si="7"/>
        <v>0</v>
      </c>
      <c r="V60" s="229" t="str">
        <f>ifs($N60="",VLOOKUP($B60&amp;$E60,'VISIT DATA'!$A$2:$J100,7,FALSE), $N60="SWAB","OUTSA-RW",$N60="SWQU","OUTSA-SaQu", AND($L60="X",$M60="X",$N60="QUEST"),"OUT-UAQPre",$N60="QUEST","OUT-UAQ", $N60="Walk in","ColUATele")</f>
        <v>#N/A</v>
      </c>
      <c r="W60" s="24" t="str">
        <f t="shared" si="8"/>
        <v>#N/A</v>
      </c>
      <c r="X60" s="222" t="str">
        <f t="shared" si="9"/>
        <v/>
      </c>
      <c r="Y60" s="222" t="str">
        <f t="shared" si="10"/>
        <v/>
      </c>
      <c r="Z60" s="224" t="str">
        <f t="shared" si="11"/>
        <v> </v>
      </c>
      <c r="AA60" s="244"/>
    </row>
    <row r="61">
      <c r="A61" s="214" t="str">
        <f>IFS($B61=FALSE,"",$B61,VLOOKUP($B61,'PATIENT DATA (072721)'!A:C, 2, 0))</f>
        <v/>
      </c>
      <c r="B61" s="215"/>
      <c r="C61" s="230" t="str">
        <f>IF(COUNTIF('PATIENT DATA (072721)'!A:A, B61)=0, "X","✓")</f>
        <v>X</v>
      </c>
      <c r="D61" s="226" t="str">
        <f>IFS($B61=FALSE,"",$B61,VLOOKUP($B61,'PATIENT DATA (072721)'!A:C, 3, 0))</f>
        <v/>
      </c>
      <c r="E61" s="218">
        <v>44582.0</v>
      </c>
      <c r="F61" s="219" t="str">
        <f>ifs($B61="","",$B61, VLOOKUP($B61&amp;$E61, 'VISIT DATA'!A:O,3,0))</f>
        <v/>
      </c>
      <c r="G61" s="231"/>
      <c r="H61" s="221"/>
      <c r="I61" s="262" t="str">
        <f>VLOOKUP($B61&amp;$E61,'VISIT DATA'!A:J, 9, FALSE)</f>
        <v>#N/A</v>
      </c>
      <c r="J61" s="223" t="str">
        <f>VLOOKUP(B61&amp;E61,'VISIT DATA'!A:N,10,FALSE)</f>
        <v>#N/A</v>
      </c>
      <c r="K61" s="225"/>
      <c r="L61" s="224"/>
      <c r="M61" s="224"/>
      <c r="N61" s="225"/>
      <c r="O61" s="216" t="str">
        <f t="shared" si="1"/>
        <v>X</v>
      </c>
      <c r="P61" s="226" t="str">
        <f t="shared" si="2"/>
        <v>#N/A</v>
      </c>
      <c r="Q61" s="227" t="str">
        <f t="shared" si="3"/>
        <v>#N/A</v>
      </c>
      <c r="R61" s="228" t="str">
        <f t="shared" si="4"/>
        <v>#N/A</v>
      </c>
      <c r="S61" s="220" t="str">
        <f t="shared" si="5"/>
        <v>#N/A</v>
      </c>
      <c r="T61" s="220" t="str">
        <f t="shared" si="6"/>
        <v>#N/A</v>
      </c>
      <c r="U61" s="221">
        <f t="shared" si="7"/>
        <v>0</v>
      </c>
      <c r="V61" s="229" t="str">
        <f>ifs($N61="",VLOOKUP($B61&amp;$E61,'VISIT DATA'!$A$2:$J100,7,FALSE), $N61="SWAB","OUTSA-RW",$N61="SWQU","OUTSA-SaQu", AND($L61="X",$M61="X",$N61="QUEST"),"OUT-UAQPre",$N61="QUEST","OUT-UAQ", $N61="Walk in","ColUATele")</f>
        <v>#N/A</v>
      </c>
      <c r="W61" s="24" t="str">
        <f t="shared" si="8"/>
        <v>#N/A</v>
      </c>
      <c r="X61" s="222" t="str">
        <f t="shared" si="9"/>
        <v/>
      </c>
      <c r="Y61" s="222" t="str">
        <f t="shared" si="10"/>
        <v/>
      </c>
      <c r="Z61" s="224" t="str">
        <f t="shared" si="11"/>
        <v> </v>
      </c>
      <c r="AA61" s="244"/>
    </row>
    <row r="62">
      <c r="A62" s="214" t="str">
        <f>IFS($B62=FALSE,"",$B62,VLOOKUP($B62,'PATIENT DATA (072721)'!A:C, 2, 0))</f>
        <v/>
      </c>
      <c r="B62" s="215"/>
      <c r="C62" s="230" t="str">
        <f>IF(COUNTIF('PATIENT DATA (072721)'!A:A, B62)=0, "X","✓")</f>
        <v>X</v>
      </c>
      <c r="D62" s="226" t="str">
        <f>IFS($B62=FALSE,"",$B62,VLOOKUP($B62,'PATIENT DATA (072721)'!A:C, 3, 0))</f>
        <v/>
      </c>
      <c r="E62" s="218">
        <v>44582.0</v>
      </c>
      <c r="F62" s="219" t="str">
        <f>ifs($B62="","",$B62, VLOOKUP($B62&amp;$E62, 'VISIT DATA'!A:O,3,0))</f>
        <v/>
      </c>
      <c r="G62" s="231"/>
      <c r="H62" s="221"/>
      <c r="I62" s="262" t="str">
        <f>VLOOKUP($B62&amp;$E62,'VISIT DATA'!A:J, 9, FALSE)</f>
        <v>#N/A</v>
      </c>
      <c r="J62" s="223" t="str">
        <f>VLOOKUP(B62&amp;E62,'VISIT DATA'!A:N,10,FALSE)</f>
        <v>#N/A</v>
      </c>
      <c r="K62" s="225"/>
      <c r="L62" s="224"/>
      <c r="M62" s="224"/>
      <c r="N62" s="225"/>
      <c r="O62" s="216" t="str">
        <f t="shared" si="1"/>
        <v>X</v>
      </c>
      <c r="P62" s="226" t="str">
        <f t="shared" si="2"/>
        <v>#N/A</v>
      </c>
      <c r="Q62" s="227" t="str">
        <f t="shared" si="3"/>
        <v>#N/A</v>
      </c>
      <c r="R62" s="228" t="str">
        <f t="shared" si="4"/>
        <v>#N/A</v>
      </c>
      <c r="S62" s="220" t="str">
        <f t="shared" si="5"/>
        <v>#N/A</v>
      </c>
      <c r="T62" s="220" t="str">
        <f t="shared" si="6"/>
        <v>#N/A</v>
      </c>
      <c r="U62" s="221">
        <f t="shared" si="7"/>
        <v>0</v>
      </c>
      <c r="V62" s="229" t="str">
        <f>ifs($N62="",VLOOKUP($B62&amp;$E62,'VISIT DATA'!$A$2:$J100,7,FALSE), $N62="SWAB","OUTSA-RW",$N62="SWQU","OUTSA-SaQu", AND($L62="X",$M62="X",$N62="QUEST"),"OUT-UAQPre",$N62="QUEST","OUT-UAQ", $N62="Walk in","ColUATele")</f>
        <v>#N/A</v>
      </c>
      <c r="W62" s="24" t="str">
        <f t="shared" si="8"/>
        <v>#N/A</v>
      </c>
      <c r="X62" s="222" t="str">
        <f t="shared" si="9"/>
        <v/>
      </c>
      <c r="Y62" s="222" t="str">
        <f t="shared" si="10"/>
        <v/>
      </c>
      <c r="Z62" s="224" t="str">
        <f t="shared" si="11"/>
        <v> </v>
      </c>
      <c r="AA62" s="244"/>
    </row>
    <row r="63">
      <c r="A63" s="214" t="str">
        <f>IFS($B63=FALSE,"",$B63,VLOOKUP($B63,'PATIENT DATA (072721)'!A:C, 2, 0))</f>
        <v/>
      </c>
      <c r="B63" s="215"/>
      <c r="C63" s="230" t="str">
        <f>IF(COUNTIF('PATIENT DATA (072721)'!A:A, B63)=0, "X","✓")</f>
        <v>X</v>
      </c>
      <c r="D63" s="226" t="str">
        <f>IFS($B63=FALSE,"",$B63,VLOOKUP($B63,'PATIENT DATA (072721)'!A:C, 3, 0))</f>
        <v/>
      </c>
      <c r="E63" s="218">
        <v>44582.0</v>
      </c>
      <c r="F63" s="219" t="str">
        <f>ifs($B63="","",$B63, VLOOKUP($B63&amp;$E63, 'VISIT DATA'!A:O,3,0))</f>
        <v/>
      </c>
      <c r="G63" s="231"/>
      <c r="H63" s="221"/>
      <c r="I63" s="262" t="str">
        <f>VLOOKUP($B63&amp;$E63,'VISIT DATA'!A:J, 9, FALSE)</f>
        <v>#N/A</v>
      </c>
      <c r="J63" s="223" t="str">
        <f>VLOOKUP(B63&amp;E63,'VISIT DATA'!A:N,10,FALSE)</f>
        <v>#N/A</v>
      </c>
      <c r="K63" s="225"/>
      <c r="L63" s="224"/>
      <c r="M63" s="224"/>
      <c r="N63" s="225"/>
      <c r="O63" s="216" t="str">
        <f t="shared" si="1"/>
        <v>X</v>
      </c>
      <c r="P63" s="226" t="str">
        <f t="shared" si="2"/>
        <v>#N/A</v>
      </c>
      <c r="Q63" s="227" t="str">
        <f t="shared" si="3"/>
        <v>#N/A</v>
      </c>
      <c r="R63" s="228" t="str">
        <f t="shared" si="4"/>
        <v>#N/A</v>
      </c>
      <c r="S63" s="220" t="str">
        <f t="shared" si="5"/>
        <v>#N/A</v>
      </c>
      <c r="T63" s="220" t="str">
        <f t="shared" si="6"/>
        <v>#N/A</v>
      </c>
      <c r="U63" s="221">
        <f t="shared" si="7"/>
        <v>0</v>
      </c>
      <c r="V63" s="229" t="str">
        <f>ifs($N63="",VLOOKUP($B63&amp;$E63,'VISIT DATA'!$A$2:$J100,7,FALSE), $N63="SWAB","OUTSA-RW",$N63="SWQU","OUTSA-SaQu", AND($L63="X",$M63="X",$N63="QUEST"),"OUT-UAQPre",$N63="QUEST","OUT-UAQ", $N63="Walk in","ColUATele")</f>
        <v>#N/A</v>
      </c>
      <c r="W63" s="24" t="str">
        <f t="shared" si="8"/>
        <v>#N/A</v>
      </c>
      <c r="X63" s="222" t="str">
        <f t="shared" si="9"/>
        <v/>
      </c>
      <c r="Y63" s="222" t="str">
        <f t="shared" si="10"/>
        <v/>
      </c>
      <c r="Z63" s="224" t="str">
        <f t="shared" si="11"/>
        <v> </v>
      </c>
      <c r="AA63" s="244"/>
    </row>
    <row r="64">
      <c r="A64" s="214" t="str">
        <f>IFS($B64=FALSE,"",$B64,VLOOKUP($B64,'PATIENT DATA (072721)'!A:C, 2, 0))</f>
        <v/>
      </c>
      <c r="B64" s="215"/>
      <c r="C64" s="230" t="str">
        <f>IF(COUNTIF('PATIENT DATA (072721)'!A:A, B64)=0, "X","✓")</f>
        <v>X</v>
      </c>
      <c r="D64" s="226" t="str">
        <f>IFS($B64=FALSE,"",$B64,VLOOKUP($B64,'PATIENT DATA (072721)'!A:C, 3, 0))</f>
        <v/>
      </c>
      <c r="E64" s="218">
        <v>44582.0</v>
      </c>
      <c r="F64" s="219" t="str">
        <f>ifs($B64="","",$B64, VLOOKUP($B64&amp;$E64, 'VISIT DATA'!A:O,3,0))</f>
        <v/>
      </c>
      <c r="G64" s="231"/>
      <c r="H64" s="221"/>
      <c r="I64" s="262" t="str">
        <f>VLOOKUP($B64&amp;$E64,'VISIT DATA'!A:J, 9, FALSE)</f>
        <v>#N/A</v>
      </c>
      <c r="J64" s="223" t="str">
        <f>VLOOKUP(B64&amp;E64,'VISIT DATA'!A:N,10,FALSE)</f>
        <v>#N/A</v>
      </c>
      <c r="K64" s="225"/>
      <c r="L64" s="224"/>
      <c r="M64" s="224"/>
      <c r="N64" s="225"/>
      <c r="O64" s="216" t="str">
        <f t="shared" si="1"/>
        <v>X</v>
      </c>
      <c r="P64" s="226" t="str">
        <f t="shared" si="2"/>
        <v>#N/A</v>
      </c>
      <c r="Q64" s="227" t="str">
        <f t="shared" si="3"/>
        <v>#N/A</v>
      </c>
      <c r="R64" s="228" t="str">
        <f t="shared" si="4"/>
        <v>#N/A</v>
      </c>
      <c r="S64" s="220" t="str">
        <f t="shared" si="5"/>
        <v>#N/A</v>
      </c>
      <c r="T64" s="220" t="str">
        <f t="shared" si="6"/>
        <v>#N/A</v>
      </c>
      <c r="U64" s="221">
        <f t="shared" si="7"/>
        <v>0</v>
      </c>
      <c r="V64" s="229" t="str">
        <f>ifs($N64="",VLOOKUP($B64&amp;$E64,'VISIT DATA'!$A$2:$J100,7,FALSE), $N64="SWAB","OUTSA-RW",$N64="SWQU","OUTSA-SaQu", AND($L64="X",$M64="X",$N64="QUEST"),"OUT-UAQPre",$N64="QUEST","OUT-UAQ", $N64="Walk in","ColUATele")</f>
        <v>#N/A</v>
      </c>
      <c r="W64" s="24" t="str">
        <f t="shared" si="8"/>
        <v>#N/A</v>
      </c>
      <c r="X64" s="222" t="str">
        <f t="shared" si="9"/>
        <v/>
      </c>
      <c r="Y64" s="222" t="str">
        <f t="shared" si="10"/>
        <v/>
      </c>
      <c r="Z64" s="224" t="str">
        <f t="shared" si="11"/>
        <v> </v>
      </c>
      <c r="AA64" s="244"/>
    </row>
    <row r="65">
      <c r="A65" s="214" t="str">
        <f>IFS($B65=FALSE,"",$B65,VLOOKUP($B65,'PATIENT DATA (072721)'!A:C, 2, 0))</f>
        <v/>
      </c>
      <c r="B65" s="215"/>
      <c r="C65" s="230" t="str">
        <f>IF(COUNTIF('PATIENT DATA (072721)'!A:A, B65)=0, "X","✓")</f>
        <v>X</v>
      </c>
      <c r="D65" s="226" t="str">
        <f>IFS($B65=FALSE,"",$B65,VLOOKUP($B65,'PATIENT DATA (072721)'!A:C, 3, 0))</f>
        <v/>
      </c>
      <c r="E65" s="218">
        <v>44582.0</v>
      </c>
      <c r="F65" s="219" t="str">
        <f>ifs($B65="","",$B65, VLOOKUP($B65&amp;$E65, 'VISIT DATA'!A:O,3,0))</f>
        <v/>
      </c>
      <c r="G65" s="231"/>
      <c r="H65" s="221"/>
      <c r="I65" s="262" t="str">
        <f>VLOOKUP($B65&amp;$E65,'VISIT DATA'!A:J, 9, FALSE)</f>
        <v>#N/A</v>
      </c>
      <c r="J65" s="223" t="str">
        <f>VLOOKUP(B65&amp;E65,'VISIT DATA'!A:N,10,FALSE)</f>
        <v>#N/A</v>
      </c>
      <c r="K65" s="225"/>
      <c r="L65" s="224"/>
      <c r="M65" s="224"/>
      <c r="N65" s="225"/>
      <c r="O65" s="216" t="str">
        <f t="shared" si="1"/>
        <v>X</v>
      </c>
      <c r="P65" s="226" t="str">
        <f t="shared" si="2"/>
        <v>#N/A</v>
      </c>
      <c r="Q65" s="227" t="str">
        <f t="shared" si="3"/>
        <v>#N/A</v>
      </c>
      <c r="R65" s="228" t="str">
        <f t="shared" si="4"/>
        <v>#N/A</v>
      </c>
      <c r="S65" s="220" t="str">
        <f t="shared" si="5"/>
        <v>#N/A</v>
      </c>
      <c r="T65" s="220" t="str">
        <f t="shared" si="6"/>
        <v>#N/A</v>
      </c>
      <c r="U65" s="221">
        <f t="shared" si="7"/>
        <v>0</v>
      </c>
      <c r="V65" s="229" t="str">
        <f>ifs($N65="",VLOOKUP($B65&amp;$E65,'VISIT DATA'!$A$2:$J100,7,FALSE), $N65="SWAB","OUTSA-RW",$N65="SWQU","OUTSA-SaQu", AND($L65="X",$M65="X",$N65="QUEST"),"OUT-UAQPre",$N65="QUEST","OUT-UAQ", $N65="Walk in","ColUATele")</f>
        <v>#N/A</v>
      </c>
      <c r="W65" s="24" t="str">
        <f t="shared" si="8"/>
        <v>#N/A</v>
      </c>
      <c r="X65" s="222" t="str">
        <f t="shared" si="9"/>
        <v/>
      </c>
      <c r="Y65" s="222" t="str">
        <f t="shared" si="10"/>
        <v/>
      </c>
      <c r="Z65" s="224" t="str">
        <f t="shared" si="11"/>
        <v> </v>
      </c>
      <c r="AA65" s="244"/>
    </row>
    <row r="66">
      <c r="A66" s="214" t="str">
        <f>IFS($B66=FALSE,"",$B66,VLOOKUP($B66,'PATIENT DATA (072721)'!A:C, 2, 0))</f>
        <v/>
      </c>
      <c r="B66" s="215"/>
      <c r="C66" s="230" t="str">
        <f>IF(COUNTIF('PATIENT DATA (072721)'!A:A, B66)=0, "X","✓")</f>
        <v>X</v>
      </c>
      <c r="D66" s="226" t="str">
        <f>IFS($B66=FALSE,"",$B66,VLOOKUP($B66,'PATIENT DATA (072721)'!A:C, 3, 0))</f>
        <v/>
      </c>
      <c r="E66" s="218">
        <v>44582.0</v>
      </c>
      <c r="F66" s="219" t="str">
        <f>ifs($B66="","",$B66, VLOOKUP($B66&amp;$E66, 'VISIT DATA'!A:O,3,0))</f>
        <v/>
      </c>
      <c r="G66" s="231"/>
      <c r="H66" s="221"/>
      <c r="I66" s="262" t="str">
        <f>VLOOKUP($B66&amp;$E66,'VISIT DATA'!A:J, 9, FALSE)</f>
        <v>#N/A</v>
      </c>
      <c r="J66" s="223" t="str">
        <f>VLOOKUP(B66&amp;E66,'VISIT DATA'!A:N,10,FALSE)</f>
        <v>#N/A</v>
      </c>
      <c r="K66" s="225"/>
      <c r="L66" s="224"/>
      <c r="M66" s="224"/>
      <c r="N66" s="225"/>
      <c r="O66" s="216" t="str">
        <f t="shared" si="1"/>
        <v>X</v>
      </c>
      <c r="P66" s="226" t="str">
        <f t="shared" si="2"/>
        <v>#N/A</v>
      </c>
      <c r="Q66" s="227" t="str">
        <f t="shared" si="3"/>
        <v>#N/A</v>
      </c>
      <c r="R66" s="228" t="str">
        <f t="shared" si="4"/>
        <v>#N/A</v>
      </c>
      <c r="S66" s="220" t="str">
        <f t="shared" si="5"/>
        <v>#N/A</v>
      </c>
      <c r="T66" s="220" t="str">
        <f t="shared" si="6"/>
        <v>#N/A</v>
      </c>
      <c r="U66" s="221">
        <f t="shared" si="7"/>
        <v>0</v>
      </c>
      <c r="V66" s="229" t="str">
        <f>ifs($N66="",VLOOKUP($B66&amp;$E66,'VISIT DATA'!$A$2:$J100,7,FALSE), $N66="SWAB","OUTSA-RW",$N66="SWQU","OUTSA-SaQu", AND($L66="X",$M66="X",$N66="QUEST"),"OUT-UAQPre",$N66="QUEST","OUT-UAQ", $N66="Walk in","ColUATele")</f>
        <v>#N/A</v>
      </c>
      <c r="W66" s="24" t="str">
        <f t="shared" si="8"/>
        <v>#N/A</v>
      </c>
      <c r="X66" s="222" t="str">
        <f t="shared" si="9"/>
        <v/>
      </c>
      <c r="Y66" s="222" t="str">
        <f t="shared" si="10"/>
        <v/>
      </c>
      <c r="Z66" s="224" t="str">
        <f t="shared" si="11"/>
        <v> </v>
      </c>
      <c r="AA66" s="244"/>
    </row>
    <row r="67">
      <c r="A67" s="214" t="str">
        <f>IFS($B67=FALSE,"",$B67,VLOOKUP($B67,'PATIENT DATA (072721)'!A:C, 2, 0))</f>
        <v/>
      </c>
      <c r="B67" s="215"/>
      <c r="C67" s="230" t="str">
        <f>IF(COUNTIF('PATIENT DATA (072721)'!A:A, B67)=0, "X","✓")</f>
        <v>X</v>
      </c>
      <c r="D67" s="226" t="str">
        <f>IFS($B67=FALSE,"",$B67,VLOOKUP($B67,'PATIENT DATA (072721)'!A:C, 3, 0))</f>
        <v/>
      </c>
      <c r="E67" s="218">
        <v>44582.0</v>
      </c>
      <c r="F67" s="219" t="str">
        <f>ifs($B67="","",$B67, VLOOKUP($B67&amp;$E67, 'VISIT DATA'!A:O,3,0))</f>
        <v/>
      </c>
      <c r="G67" s="231"/>
      <c r="H67" s="221"/>
      <c r="I67" s="262" t="str">
        <f>VLOOKUP($B67&amp;$E67,'VISIT DATA'!A:J, 9, FALSE)</f>
        <v>#N/A</v>
      </c>
      <c r="J67" s="223" t="str">
        <f>VLOOKUP(B67&amp;E67,'VISIT DATA'!A:N,10,FALSE)</f>
        <v>#N/A</v>
      </c>
      <c r="K67" s="225"/>
      <c r="L67" s="224"/>
      <c r="M67" s="224"/>
      <c r="N67" s="225"/>
      <c r="O67" s="216" t="str">
        <f t="shared" si="1"/>
        <v>X</v>
      </c>
      <c r="P67" s="226" t="str">
        <f t="shared" si="2"/>
        <v>#N/A</v>
      </c>
      <c r="Q67" s="227" t="str">
        <f t="shared" si="3"/>
        <v>#N/A</v>
      </c>
      <c r="R67" s="228" t="str">
        <f t="shared" si="4"/>
        <v>#N/A</v>
      </c>
      <c r="S67" s="220" t="str">
        <f t="shared" si="5"/>
        <v>#N/A</v>
      </c>
      <c r="T67" s="220" t="str">
        <f t="shared" si="6"/>
        <v>#N/A</v>
      </c>
      <c r="U67" s="221">
        <f t="shared" si="7"/>
        <v>0</v>
      </c>
      <c r="V67" s="229" t="str">
        <f>ifs($N67="",VLOOKUP($B67&amp;$E67,'VISIT DATA'!$A$2:$J100,7,FALSE), $N67="SWAB","OUTSA-RW",$N67="SWQU","OUTSA-SaQu", AND($L67="X",$M67="X",$N67="QUEST"),"OUT-UAQPre",$N67="QUEST","OUT-UAQ", $N67="Walk in","ColUATele")</f>
        <v>#N/A</v>
      </c>
      <c r="W67" s="24" t="str">
        <f t="shared" si="8"/>
        <v>#N/A</v>
      </c>
      <c r="X67" s="222" t="str">
        <f t="shared" si="9"/>
        <v/>
      </c>
      <c r="Y67" s="222" t="str">
        <f t="shared" si="10"/>
        <v/>
      </c>
      <c r="Z67" s="224" t="str">
        <f t="shared" si="11"/>
        <v> </v>
      </c>
      <c r="AA67" s="244"/>
    </row>
    <row r="68">
      <c r="A68" s="214" t="str">
        <f>IFS($B68=FALSE,"",$B68,VLOOKUP($B68,'PATIENT DATA (072721)'!A:C, 2, 0))</f>
        <v/>
      </c>
      <c r="B68" s="215"/>
      <c r="C68" s="230" t="str">
        <f>IF(COUNTIF('PATIENT DATA (072721)'!A:A, B68)=0, "X","✓")</f>
        <v>X</v>
      </c>
      <c r="D68" s="226" t="str">
        <f>IFS($B68=FALSE,"",$B68,VLOOKUP($B68,'PATIENT DATA (072721)'!A:C, 3, 0))</f>
        <v/>
      </c>
      <c r="E68" s="218">
        <v>44582.0</v>
      </c>
      <c r="F68" s="219" t="str">
        <f>ifs($B68="","",$B68, VLOOKUP($B68&amp;$E68, 'VISIT DATA'!A:O,3,0))</f>
        <v/>
      </c>
      <c r="G68" s="231"/>
      <c r="H68" s="221"/>
      <c r="I68" s="262" t="str">
        <f>VLOOKUP($B68&amp;$E68,'VISIT DATA'!A:J, 9, FALSE)</f>
        <v>#N/A</v>
      </c>
      <c r="J68" s="223" t="str">
        <f>VLOOKUP(B68&amp;E68,'VISIT DATA'!A:N,10,FALSE)</f>
        <v>#N/A</v>
      </c>
      <c r="K68" s="225"/>
      <c r="L68" s="224"/>
      <c r="M68" s="224"/>
      <c r="N68" s="225"/>
      <c r="O68" s="216" t="str">
        <f t="shared" si="1"/>
        <v>X</v>
      </c>
      <c r="P68" s="226" t="str">
        <f t="shared" si="2"/>
        <v>#N/A</v>
      </c>
      <c r="Q68" s="227" t="str">
        <f t="shared" si="3"/>
        <v>#N/A</v>
      </c>
      <c r="R68" s="228" t="str">
        <f t="shared" si="4"/>
        <v>#N/A</v>
      </c>
      <c r="S68" s="220" t="str">
        <f t="shared" si="5"/>
        <v>#N/A</v>
      </c>
      <c r="T68" s="220" t="str">
        <f t="shared" si="6"/>
        <v>#N/A</v>
      </c>
      <c r="U68" s="221">
        <f t="shared" si="7"/>
        <v>0</v>
      </c>
      <c r="V68" s="229" t="str">
        <f>ifs($N68="",VLOOKUP($B68&amp;$E68,'VISIT DATA'!$A$2:$J100,7,FALSE), $N68="SWAB","OUTSA-RW",$N68="SWQU","OUTSA-SaQu", AND($L68="X",$M68="X",$N68="QUEST"),"OUT-UAQPre",$N68="QUEST","OUT-UAQ", $N68="Walk in","ColUATele")</f>
        <v>#N/A</v>
      </c>
      <c r="W68" s="24" t="str">
        <f t="shared" si="8"/>
        <v>#N/A</v>
      </c>
      <c r="X68" s="222" t="str">
        <f t="shared" si="9"/>
        <v/>
      </c>
      <c r="Y68" s="222" t="str">
        <f t="shared" si="10"/>
        <v/>
      </c>
      <c r="Z68" s="224" t="str">
        <f t="shared" si="11"/>
        <v> </v>
      </c>
      <c r="AA68" s="244"/>
    </row>
    <row r="69">
      <c r="A69" s="214" t="str">
        <f>IFS($B69=FALSE,"",$B69,VLOOKUP($B69,'PATIENT DATA (072721)'!A:C, 2, 0))</f>
        <v/>
      </c>
      <c r="B69" s="215"/>
      <c r="C69" s="230" t="str">
        <f>IF(COUNTIF('PATIENT DATA (072721)'!A:A, B69)=0, "X","✓")</f>
        <v>X</v>
      </c>
      <c r="D69" s="226" t="str">
        <f>IFS($B69=FALSE,"",$B69,VLOOKUP($B69,'PATIENT DATA (072721)'!A:C, 3, 0))</f>
        <v/>
      </c>
      <c r="E69" s="218">
        <v>44582.0</v>
      </c>
      <c r="F69" s="219" t="str">
        <f>ifs($B69="","",$B69, VLOOKUP($B69&amp;$E69, 'VISIT DATA'!A:O,3,0))</f>
        <v/>
      </c>
      <c r="G69" s="231"/>
      <c r="H69" s="221"/>
      <c r="I69" s="262" t="str">
        <f>VLOOKUP($B69&amp;$E69,'VISIT DATA'!A:J, 9, FALSE)</f>
        <v>#N/A</v>
      </c>
      <c r="J69" s="223" t="str">
        <f>VLOOKUP(B69&amp;E69,'VISIT DATA'!A:N,10,FALSE)</f>
        <v>#N/A</v>
      </c>
      <c r="K69" s="224"/>
      <c r="L69" s="224"/>
      <c r="M69" s="224"/>
      <c r="N69" s="225"/>
      <c r="O69" s="216" t="str">
        <f t="shared" si="1"/>
        <v>X</v>
      </c>
      <c r="P69" s="226" t="str">
        <f t="shared" si="2"/>
        <v>#N/A</v>
      </c>
      <c r="Q69" s="227" t="str">
        <f t="shared" si="3"/>
        <v>#N/A</v>
      </c>
      <c r="R69" s="228" t="str">
        <f t="shared" si="4"/>
        <v>#N/A</v>
      </c>
      <c r="S69" s="220" t="str">
        <f t="shared" si="5"/>
        <v>#N/A</v>
      </c>
      <c r="T69" s="220" t="str">
        <f t="shared" si="6"/>
        <v>#N/A</v>
      </c>
      <c r="U69" s="221">
        <f t="shared" si="7"/>
        <v>0</v>
      </c>
      <c r="V69" s="229" t="str">
        <f>ifs($N69="",VLOOKUP($B69&amp;$E69,'VISIT DATA'!$A$2:$J100,7,FALSE), $N69="SWAB","OUTSA-RW",$N69="SWQU","OUTSA-SaQu", AND($L69="X",$M69="X",$N69="QUEST"),"OUT-UAQPre",$N69="QUEST","OUT-UAQ", $N69="Walk in","ColUATele")</f>
        <v>#N/A</v>
      </c>
      <c r="W69" s="24" t="str">
        <f t="shared" si="8"/>
        <v>#N/A</v>
      </c>
      <c r="X69" s="222" t="str">
        <f t="shared" si="9"/>
        <v/>
      </c>
      <c r="Y69" s="222" t="str">
        <f t="shared" si="10"/>
        <v/>
      </c>
      <c r="Z69" s="224" t="str">
        <f t="shared" si="11"/>
        <v> </v>
      </c>
      <c r="AA69" s="244"/>
    </row>
    <row r="70">
      <c r="A70" s="214" t="str">
        <f>IFS($B70=FALSE,"",$B70,VLOOKUP($B70,'PATIENT DATA (072721)'!A:C, 2, 0))</f>
        <v/>
      </c>
      <c r="B70" s="215"/>
      <c r="C70" s="230" t="str">
        <f>IF(COUNTIF('PATIENT DATA (072721)'!A:A, B70)=0, "X","✓")</f>
        <v>X</v>
      </c>
      <c r="D70" s="226" t="str">
        <f>IFS($B70=FALSE,"",$B70,VLOOKUP($B70,'PATIENT DATA (072721)'!A:C, 3, 0))</f>
        <v/>
      </c>
      <c r="E70" s="218">
        <v>44582.0</v>
      </c>
      <c r="F70" s="219" t="str">
        <f>ifs($B70="","",$B70, VLOOKUP($B70&amp;$E70, 'VISIT DATA'!A:O,3,0))</f>
        <v/>
      </c>
      <c r="G70" s="231"/>
      <c r="H70" s="221"/>
      <c r="I70" s="262" t="str">
        <f>VLOOKUP($B70&amp;$E70,'VISIT DATA'!A:J, 9, FALSE)</f>
        <v>#N/A</v>
      </c>
      <c r="J70" s="223" t="str">
        <f>VLOOKUP(B70&amp;E70,'VISIT DATA'!A:N,10,FALSE)</f>
        <v>#N/A</v>
      </c>
      <c r="K70" s="224"/>
      <c r="L70" s="224"/>
      <c r="M70" s="224"/>
      <c r="N70" s="225"/>
      <c r="O70" s="216" t="str">
        <f t="shared" si="1"/>
        <v>X</v>
      </c>
      <c r="P70" s="226" t="str">
        <f t="shared" si="2"/>
        <v>#N/A</v>
      </c>
      <c r="Q70" s="227" t="str">
        <f t="shared" si="3"/>
        <v>#N/A</v>
      </c>
      <c r="R70" s="228" t="str">
        <f t="shared" si="4"/>
        <v>#N/A</v>
      </c>
      <c r="S70" s="220" t="str">
        <f t="shared" si="5"/>
        <v>#N/A</v>
      </c>
      <c r="T70" s="220" t="str">
        <f t="shared" si="6"/>
        <v>#N/A</v>
      </c>
      <c r="U70" s="221">
        <f t="shared" si="7"/>
        <v>0</v>
      </c>
      <c r="V70" s="229" t="str">
        <f>ifs($N70="",VLOOKUP($B70&amp;$E70,'VISIT DATA'!$A$2:$J100,7,FALSE), $N70="SWAB","OUTSA-RW",$N70="SWQU","OUTSA-SaQu", AND($L70="X",$M70="X",$N70="QUEST"),"OUT-UAQPre",$N70="QUEST","OUT-UAQ", $N70="Walk in","ColUATele")</f>
        <v>#N/A</v>
      </c>
      <c r="W70" s="24" t="str">
        <f t="shared" si="8"/>
        <v>#N/A</v>
      </c>
      <c r="X70" s="222" t="str">
        <f t="shared" si="9"/>
        <v/>
      </c>
      <c r="Y70" s="222" t="str">
        <f t="shared" si="10"/>
        <v/>
      </c>
      <c r="Z70" s="224" t="str">
        <f t="shared" si="11"/>
        <v> </v>
      </c>
      <c r="AA70" s="244"/>
    </row>
    <row r="71">
      <c r="A71" s="214" t="str">
        <f>IFS($B71=FALSE,"",$B71,VLOOKUP($B71,'PATIENT DATA (072721)'!A:C, 2, 0))</f>
        <v/>
      </c>
      <c r="B71" s="215"/>
      <c r="C71" s="230" t="str">
        <f>IF(COUNTIF('PATIENT DATA (072721)'!A:A, B71)=0, "X","✓")</f>
        <v>X</v>
      </c>
      <c r="D71" s="226" t="str">
        <f>IFS($B71=FALSE,"",$B71,VLOOKUP($B71,'PATIENT DATA (072721)'!A:C, 3, 0))</f>
        <v/>
      </c>
      <c r="E71" s="218">
        <v>44582.0</v>
      </c>
      <c r="F71" s="219" t="str">
        <f>ifs($B71="","",$B71, VLOOKUP($B71&amp;$E71, 'VISIT DATA'!A:O,3,0))</f>
        <v/>
      </c>
      <c r="G71" s="231"/>
      <c r="H71" s="221"/>
      <c r="I71" s="262" t="str">
        <f>VLOOKUP($B71&amp;$E71,'VISIT DATA'!A:J, 9, FALSE)</f>
        <v>#N/A</v>
      </c>
      <c r="J71" s="223" t="str">
        <f>VLOOKUP(B71&amp;E71,'VISIT DATA'!A:N,10,FALSE)</f>
        <v>#N/A</v>
      </c>
      <c r="K71" s="225"/>
      <c r="L71" s="224"/>
      <c r="M71" s="224"/>
      <c r="N71" s="225"/>
      <c r="O71" s="216" t="str">
        <f t="shared" si="1"/>
        <v>X</v>
      </c>
      <c r="P71" s="226" t="str">
        <f t="shared" si="2"/>
        <v>#N/A</v>
      </c>
      <c r="Q71" s="227" t="str">
        <f t="shared" si="3"/>
        <v>#N/A</v>
      </c>
      <c r="R71" s="228" t="str">
        <f t="shared" si="4"/>
        <v>#N/A</v>
      </c>
      <c r="S71" s="220" t="str">
        <f t="shared" si="5"/>
        <v>#N/A</v>
      </c>
      <c r="T71" s="220" t="str">
        <f t="shared" si="6"/>
        <v>#N/A</v>
      </c>
      <c r="U71" s="221">
        <f t="shared" si="7"/>
        <v>0</v>
      </c>
      <c r="V71" s="229" t="str">
        <f>ifs($N71="",VLOOKUP($B71&amp;$E71,'VISIT DATA'!$A$2:$J100,7,FALSE), $N71="SWAB","OUTSA-RW",$N71="SWQU","OUTSA-SaQu", AND($L71="X",$M71="X",$N71="QUEST"),"OUT-UAQPre",$N71="QUEST","OUT-UAQ", $N71="Walk in","ColUATele")</f>
        <v>#N/A</v>
      </c>
      <c r="W71" s="24" t="str">
        <f t="shared" si="8"/>
        <v>#N/A</v>
      </c>
      <c r="X71" s="222" t="str">
        <f t="shared" si="9"/>
        <v/>
      </c>
      <c r="Y71" s="222" t="str">
        <f t="shared" si="10"/>
        <v/>
      </c>
      <c r="Z71" s="224" t="str">
        <f t="shared" si="11"/>
        <v> </v>
      </c>
      <c r="AA71" s="244"/>
    </row>
    <row r="72">
      <c r="A72" s="214" t="str">
        <f>IFS($B72=FALSE,"",$B72,VLOOKUP($B72,'PATIENT DATA (072721)'!A:C, 2, 0))</f>
        <v/>
      </c>
      <c r="B72" s="215"/>
      <c r="C72" s="230" t="str">
        <f>IF(COUNTIF('PATIENT DATA (072721)'!A:A, B72)=0, "X","✓")</f>
        <v>X</v>
      </c>
      <c r="D72" s="226" t="str">
        <f>IFS($B72=FALSE,"",$B72,VLOOKUP($B72,'PATIENT DATA (072721)'!A:C, 3, 0))</f>
        <v/>
      </c>
      <c r="E72" s="218">
        <v>44582.0</v>
      </c>
      <c r="F72" s="219" t="str">
        <f>ifs($B72="","",$B72, VLOOKUP($B72&amp;$E72, 'VISIT DATA'!A:O,3,0))</f>
        <v/>
      </c>
      <c r="G72" s="231"/>
      <c r="H72" s="221"/>
      <c r="I72" s="262" t="str">
        <f>VLOOKUP($B72&amp;$E72,'VISIT DATA'!A:J, 9, FALSE)</f>
        <v>#N/A</v>
      </c>
      <c r="J72" s="223" t="str">
        <f>VLOOKUP(B72&amp;E72,'VISIT DATA'!A:N,10,FALSE)</f>
        <v>#N/A</v>
      </c>
      <c r="K72" s="225"/>
      <c r="L72" s="224"/>
      <c r="M72" s="224"/>
      <c r="N72" s="225"/>
      <c r="O72" s="216" t="str">
        <f t="shared" si="1"/>
        <v>X</v>
      </c>
      <c r="P72" s="226" t="str">
        <f t="shared" si="2"/>
        <v>#N/A</v>
      </c>
      <c r="Q72" s="227" t="str">
        <f t="shared" si="3"/>
        <v>#N/A</v>
      </c>
      <c r="R72" s="228" t="str">
        <f t="shared" si="4"/>
        <v>#N/A</v>
      </c>
      <c r="S72" s="220" t="str">
        <f t="shared" si="5"/>
        <v>#N/A</v>
      </c>
      <c r="T72" s="220" t="str">
        <f t="shared" si="6"/>
        <v>#N/A</v>
      </c>
      <c r="U72" s="221">
        <f t="shared" si="7"/>
        <v>0</v>
      </c>
      <c r="V72" s="229" t="str">
        <f>ifs($N72="",VLOOKUP($B72&amp;$E72,'VISIT DATA'!$A$2:$J100,7,FALSE), $N72="SWAB","OUTSA-RW",$N72="SWQU","OUTSA-SaQu", AND($L72="X",$M72="X",$N72="QUEST"),"OUT-UAQPre",$N72="QUEST","OUT-UAQ", $N72="Walk in","ColUATele")</f>
        <v>#N/A</v>
      </c>
      <c r="W72" s="24" t="str">
        <f t="shared" si="8"/>
        <v>#N/A</v>
      </c>
      <c r="X72" s="222" t="str">
        <f t="shared" si="9"/>
        <v/>
      </c>
      <c r="Y72" s="222" t="str">
        <f t="shared" si="10"/>
        <v/>
      </c>
      <c r="Z72" s="224" t="str">
        <f t="shared" si="11"/>
        <v> </v>
      </c>
      <c r="AA72" s="244"/>
    </row>
    <row r="73">
      <c r="A73" s="214" t="str">
        <f>IFS($B73=FALSE,"",$B73,VLOOKUP($B73,'PATIENT DATA (072721)'!A:C, 2, 0))</f>
        <v/>
      </c>
      <c r="B73" s="215"/>
      <c r="C73" s="230" t="str">
        <f>IF(COUNTIF('PATIENT DATA (072721)'!A:A, B73)=0, "X","✓")</f>
        <v>X</v>
      </c>
      <c r="D73" s="226" t="str">
        <f>IFS($B73=FALSE,"",$B73,VLOOKUP($B73,'PATIENT DATA (072721)'!A:C, 3, 0))</f>
        <v/>
      </c>
      <c r="E73" s="218">
        <v>44582.0</v>
      </c>
      <c r="F73" s="219" t="str">
        <f>ifs($B73="","",$B73, VLOOKUP($B73&amp;$E73, 'VISIT DATA'!A:O,3,0))</f>
        <v/>
      </c>
      <c r="G73" s="231"/>
      <c r="H73" s="221"/>
      <c r="I73" s="262" t="str">
        <f>VLOOKUP($B73&amp;$E73,'VISIT DATA'!A:J, 9, FALSE)</f>
        <v>#N/A</v>
      </c>
      <c r="J73" s="223" t="str">
        <f>VLOOKUP(B73&amp;E73,'VISIT DATA'!A:N,10,FALSE)</f>
        <v>#N/A</v>
      </c>
      <c r="K73" s="225"/>
      <c r="L73" s="224"/>
      <c r="M73" s="224"/>
      <c r="N73" s="225"/>
      <c r="O73" s="216" t="str">
        <f t="shared" si="1"/>
        <v>X</v>
      </c>
      <c r="P73" s="226" t="str">
        <f t="shared" si="2"/>
        <v>#N/A</v>
      </c>
      <c r="Q73" s="227" t="str">
        <f t="shared" si="3"/>
        <v>#N/A</v>
      </c>
      <c r="R73" s="228" t="str">
        <f t="shared" si="4"/>
        <v>#N/A</v>
      </c>
      <c r="S73" s="220" t="str">
        <f t="shared" si="5"/>
        <v>#N/A</v>
      </c>
      <c r="T73" s="220" t="str">
        <f t="shared" si="6"/>
        <v>#N/A</v>
      </c>
      <c r="U73" s="221">
        <f t="shared" si="7"/>
        <v>0</v>
      </c>
      <c r="V73" s="229" t="str">
        <f>ifs($N73="",VLOOKUP($B73&amp;$E73,'VISIT DATA'!$A$2:$J100,7,FALSE), $N73="SWAB","OUTSA-RW",$N73="SWQU","OUTSA-SaQu", AND($L73="X",$M73="X",$N73="QUEST"),"OUT-UAQPre",$N73="QUEST","OUT-UAQ", $N73="Walk in","ColUATele")</f>
        <v>#N/A</v>
      </c>
      <c r="W73" s="24" t="str">
        <f t="shared" si="8"/>
        <v>#N/A</v>
      </c>
      <c r="X73" s="222" t="str">
        <f t="shared" si="9"/>
        <v/>
      </c>
      <c r="Y73" s="222" t="str">
        <f t="shared" si="10"/>
        <v/>
      </c>
      <c r="Z73" s="224" t="str">
        <f t="shared" si="11"/>
        <v> </v>
      </c>
      <c r="AA73" s="244"/>
    </row>
    <row r="74">
      <c r="A74" s="214" t="str">
        <f>IFS($B74=FALSE,"",$B74,VLOOKUP($B74,'PATIENT DATA (072721)'!A:C, 2, 0))</f>
        <v/>
      </c>
      <c r="B74" s="215"/>
      <c r="C74" s="230" t="str">
        <f>IF(COUNTIF('PATIENT DATA (072721)'!A:A, B74)=0, "X","✓")</f>
        <v>X</v>
      </c>
      <c r="D74" s="226" t="str">
        <f>IFS($B74=FALSE,"",$B74,VLOOKUP($B74,'PATIENT DATA (072721)'!A:C, 3, 0))</f>
        <v/>
      </c>
      <c r="E74" s="218">
        <v>44582.0</v>
      </c>
      <c r="F74" s="219" t="str">
        <f>ifs($B74="","",$B74, VLOOKUP($B74&amp;$E74, 'VISIT DATA'!A:O,3,0))</f>
        <v/>
      </c>
      <c r="G74" s="231"/>
      <c r="H74" s="221"/>
      <c r="I74" s="262" t="str">
        <f>VLOOKUP($B74&amp;$E74,'VISIT DATA'!A:J, 9, FALSE)</f>
        <v>#N/A</v>
      </c>
      <c r="J74" s="223" t="str">
        <f>VLOOKUP(B74&amp;E74,'VISIT DATA'!A:N,10,FALSE)</f>
        <v>#N/A</v>
      </c>
      <c r="K74" s="225"/>
      <c r="L74" s="224"/>
      <c r="M74" s="224"/>
      <c r="N74" s="225"/>
      <c r="O74" s="216" t="str">
        <f t="shared" si="1"/>
        <v>X</v>
      </c>
      <c r="P74" s="226" t="str">
        <f t="shared" si="2"/>
        <v>#N/A</v>
      </c>
      <c r="Q74" s="227" t="str">
        <f t="shared" si="3"/>
        <v>#N/A</v>
      </c>
      <c r="R74" s="228" t="str">
        <f t="shared" si="4"/>
        <v>#N/A</v>
      </c>
      <c r="S74" s="220" t="str">
        <f t="shared" si="5"/>
        <v>#N/A</v>
      </c>
      <c r="T74" s="220" t="str">
        <f t="shared" si="6"/>
        <v>#N/A</v>
      </c>
      <c r="U74" s="221">
        <f t="shared" si="7"/>
        <v>0</v>
      </c>
      <c r="V74" s="229" t="str">
        <f>ifs($N74="",VLOOKUP($B74&amp;$E74,'VISIT DATA'!$A$2:$J100,7,FALSE), $N74="SWAB","OUTSA-RW",$N74="SWQU","OUTSA-SaQu", AND($L74="X",$M74="X",$N74="QUEST"),"OUT-UAQPre",$N74="QUEST","OUT-UAQ", $N74="Walk in","ColUATele")</f>
        <v>#N/A</v>
      </c>
      <c r="W74" s="24" t="str">
        <f t="shared" si="8"/>
        <v>#N/A</v>
      </c>
      <c r="X74" s="222" t="str">
        <f t="shared" si="9"/>
        <v/>
      </c>
      <c r="Y74" s="222" t="str">
        <f t="shared" si="10"/>
        <v/>
      </c>
      <c r="Z74" s="224" t="str">
        <f t="shared" si="11"/>
        <v> </v>
      </c>
      <c r="AA74" s="244"/>
    </row>
    <row r="75">
      <c r="A75" s="214" t="str">
        <f>IFS($B75=FALSE,"",$B75,VLOOKUP($B75,'PATIENT DATA (072721)'!A:C, 2, 0))</f>
        <v/>
      </c>
      <c r="B75" s="215"/>
      <c r="C75" s="230" t="str">
        <f>IF(COUNTIF('PATIENT DATA (072721)'!A:A, B75)=0, "X","✓")</f>
        <v>X</v>
      </c>
      <c r="D75" s="226" t="str">
        <f>IFS($B75=FALSE,"",$B75,VLOOKUP($B75,'PATIENT DATA (072721)'!A:C, 3, 0))</f>
        <v/>
      </c>
      <c r="E75" s="218">
        <v>44582.0</v>
      </c>
      <c r="F75" s="219" t="str">
        <f>ifs($B75="","",$B75, VLOOKUP($B75&amp;$E75, 'VISIT DATA'!A:O,3,0))</f>
        <v/>
      </c>
      <c r="G75" s="231"/>
      <c r="H75" s="221"/>
      <c r="I75" s="262" t="str">
        <f>VLOOKUP($B75&amp;$E75,'VISIT DATA'!A:J, 9, FALSE)</f>
        <v>#N/A</v>
      </c>
      <c r="J75" s="223" t="str">
        <f>VLOOKUP(B75&amp;E75,'VISIT DATA'!A:N,10,FALSE)</f>
        <v>#N/A</v>
      </c>
      <c r="K75" s="225"/>
      <c r="L75" s="224"/>
      <c r="M75" s="224"/>
      <c r="N75" s="225"/>
      <c r="O75" s="216" t="str">
        <f t="shared" si="1"/>
        <v>X</v>
      </c>
      <c r="P75" s="226" t="str">
        <f t="shared" si="2"/>
        <v>#N/A</v>
      </c>
      <c r="Q75" s="227" t="str">
        <f t="shared" si="3"/>
        <v>#N/A</v>
      </c>
      <c r="R75" s="228" t="str">
        <f t="shared" si="4"/>
        <v>#N/A</v>
      </c>
      <c r="S75" s="220" t="str">
        <f t="shared" si="5"/>
        <v>#N/A</v>
      </c>
      <c r="T75" s="220" t="str">
        <f t="shared" si="6"/>
        <v>#N/A</v>
      </c>
      <c r="U75" s="221">
        <f t="shared" si="7"/>
        <v>0</v>
      </c>
      <c r="V75" s="229" t="str">
        <f>ifs($N75="",VLOOKUP($B75&amp;$E75,'VISIT DATA'!$A$2:$J100,7,FALSE), $N75="SWAB","OUTSA-RW",$N75="SWQU","OUTSA-SaQu", AND($L75="X",$M75="X",$N75="QUEST"),"OUT-UAQPre",$N75="QUEST","OUT-UAQ", $N75="Walk in","ColUATele")</f>
        <v>#N/A</v>
      </c>
      <c r="W75" s="24" t="str">
        <f t="shared" si="8"/>
        <v>#N/A</v>
      </c>
      <c r="X75" s="222" t="str">
        <f t="shared" si="9"/>
        <v/>
      </c>
      <c r="Y75" s="222" t="str">
        <f t="shared" si="10"/>
        <v/>
      </c>
      <c r="Z75" s="224" t="str">
        <f t="shared" si="11"/>
        <v> </v>
      </c>
      <c r="AA75" s="244"/>
    </row>
    <row r="76">
      <c r="A76" s="214" t="str">
        <f>IFS($B76=FALSE,"",$B76,VLOOKUP($B76,'PATIENT DATA (072721)'!A:C, 2, 0))</f>
        <v/>
      </c>
      <c r="B76" s="215"/>
      <c r="C76" s="230" t="str">
        <f>IF(COUNTIF('PATIENT DATA (072721)'!A:A, B76)=0, "X","✓")</f>
        <v>X</v>
      </c>
      <c r="D76" s="226" t="str">
        <f>IFS($B76=FALSE,"",$B76,VLOOKUP($B76,'PATIENT DATA (072721)'!A:C, 3, 0))</f>
        <v/>
      </c>
      <c r="E76" s="218">
        <v>44582.0</v>
      </c>
      <c r="F76" s="219" t="str">
        <f>ifs($B76="","",$B76, VLOOKUP($B76&amp;$E76, 'VISIT DATA'!A:O,3,0))</f>
        <v/>
      </c>
      <c r="G76" s="231"/>
      <c r="H76" s="221"/>
      <c r="I76" s="262" t="str">
        <f>VLOOKUP($B76&amp;$E76,'VISIT DATA'!A:J, 9, FALSE)</f>
        <v>#N/A</v>
      </c>
      <c r="J76" s="223" t="str">
        <f>VLOOKUP(B76&amp;E76,'VISIT DATA'!A:N,10,FALSE)</f>
        <v>#N/A</v>
      </c>
      <c r="K76" s="225"/>
      <c r="L76" s="224"/>
      <c r="M76" s="224"/>
      <c r="N76" s="225"/>
      <c r="O76" s="216" t="str">
        <f t="shared" si="1"/>
        <v>X</v>
      </c>
      <c r="P76" s="226" t="str">
        <f t="shared" si="2"/>
        <v>#N/A</v>
      </c>
      <c r="Q76" s="227" t="str">
        <f t="shared" si="3"/>
        <v>#N/A</v>
      </c>
      <c r="R76" s="228" t="str">
        <f t="shared" si="4"/>
        <v>#N/A</v>
      </c>
      <c r="S76" s="220" t="str">
        <f t="shared" si="5"/>
        <v>#N/A</v>
      </c>
      <c r="T76" s="220" t="str">
        <f t="shared" si="6"/>
        <v>#N/A</v>
      </c>
      <c r="U76" s="221">
        <f t="shared" si="7"/>
        <v>0</v>
      </c>
      <c r="V76" s="229" t="str">
        <f>ifs($N76="",VLOOKUP($B76&amp;$E76,'VISIT DATA'!$A$2:$J100,7,FALSE), $N76="SWAB","OUTSA-RW",$N76="SWQU","OUTSA-SaQu", AND($L76="X",$M76="X",$N76="QUEST"),"OUT-UAQPre",$N76="QUEST","OUT-UAQ", $N76="Walk in","ColUATele")</f>
        <v>#N/A</v>
      </c>
      <c r="W76" s="24" t="str">
        <f t="shared" si="8"/>
        <v>#N/A</v>
      </c>
      <c r="X76" s="222" t="str">
        <f t="shared" si="9"/>
        <v/>
      </c>
      <c r="Y76" s="222" t="str">
        <f t="shared" si="10"/>
        <v/>
      </c>
      <c r="Z76" s="224" t="str">
        <f t="shared" si="11"/>
        <v> </v>
      </c>
      <c r="AA76" s="244"/>
    </row>
    <row r="77">
      <c r="A77" s="214" t="str">
        <f>IFS($B77=FALSE,"",$B77,VLOOKUP($B77,'PATIENT DATA (072721)'!A:C, 2, 0))</f>
        <v/>
      </c>
      <c r="B77" s="215"/>
      <c r="C77" s="230" t="str">
        <f>IF(COUNTIF('PATIENT DATA (072721)'!A:A, B77)=0, "X","✓")</f>
        <v>X</v>
      </c>
      <c r="D77" s="226" t="str">
        <f>IFS($B77=FALSE,"",$B77,VLOOKUP($B77,'PATIENT DATA (072721)'!A:C, 3, 0))</f>
        <v/>
      </c>
      <c r="E77" s="218">
        <v>44582.0</v>
      </c>
      <c r="F77" s="219" t="str">
        <f>ifs($B77="","",$B77, VLOOKUP($B77&amp;$E77, 'VISIT DATA'!A:O,3,0))</f>
        <v/>
      </c>
      <c r="G77" s="231"/>
      <c r="H77" s="221"/>
      <c r="I77" s="262" t="str">
        <f>VLOOKUP($B77&amp;$E77,'VISIT DATA'!A:J, 9, FALSE)</f>
        <v>#N/A</v>
      </c>
      <c r="J77" s="223" t="str">
        <f>VLOOKUP(B77&amp;E77,'VISIT DATA'!A:N,10,FALSE)</f>
        <v>#N/A</v>
      </c>
      <c r="K77" s="225"/>
      <c r="L77" s="224"/>
      <c r="M77" s="224"/>
      <c r="N77" s="225"/>
      <c r="O77" s="216" t="str">
        <f t="shared" si="1"/>
        <v>X</v>
      </c>
      <c r="P77" s="226" t="str">
        <f t="shared" si="2"/>
        <v>#N/A</v>
      </c>
      <c r="Q77" s="227" t="str">
        <f t="shared" si="3"/>
        <v>#N/A</v>
      </c>
      <c r="R77" s="228" t="str">
        <f t="shared" si="4"/>
        <v>#N/A</v>
      </c>
      <c r="S77" s="220" t="str">
        <f t="shared" si="5"/>
        <v>#N/A</v>
      </c>
      <c r="T77" s="220" t="str">
        <f t="shared" si="6"/>
        <v>#N/A</v>
      </c>
      <c r="U77" s="221">
        <f t="shared" si="7"/>
        <v>0</v>
      </c>
      <c r="V77" s="229" t="str">
        <f>ifs($N77="",VLOOKUP($B77&amp;$E77,'VISIT DATA'!$A$2:$J100,7,FALSE), $N77="SWAB","OUTSA-RW",$N77="SWQU","OUTSA-SaQu", AND($L77="X",$M77="X",$N77="QUEST"),"OUT-UAQPre",$N77="QUEST","OUT-UAQ", $N77="Walk in","ColUATele")</f>
        <v>#N/A</v>
      </c>
      <c r="W77" s="24" t="str">
        <f t="shared" si="8"/>
        <v>#N/A</v>
      </c>
      <c r="X77" s="222" t="str">
        <f t="shared" si="9"/>
        <v/>
      </c>
      <c r="Y77" s="222" t="str">
        <f t="shared" si="10"/>
        <v/>
      </c>
      <c r="Z77" s="224" t="str">
        <f t="shared" si="11"/>
        <v> </v>
      </c>
      <c r="AA77" s="244"/>
    </row>
    <row r="78">
      <c r="A78" s="214" t="str">
        <f>IFS($B78=FALSE,"",$B78,VLOOKUP($B78,'PATIENT DATA (072721)'!A:C, 2, 0))</f>
        <v/>
      </c>
      <c r="B78" s="215"/>
      <c r="C78" s="230" t="str">
        <f>IF(COUNTIF('PATIENT DATA (072721)'!A:A, B78)=0, "X","✓")</f>
        <v>X</v>
      </c>
      <c r="D78" s="226" t="str">
        <f>IFS($B78=FALSE,"",$B78,VLOOKUP($B78,'PATIENT DATA (072721)'!A:C, 3, 0))</f>
        <v/>
      </c>
      <c r="E78" s="218">
        <v>44582.0</v>
      </c>
      <c r="F78" s="219" t="str">
        <f>ifs($B78="","",$B78, VLOOKUP($B78&amp;$E78, 'VISIT DATA'!A:O,3,0))</f>
        <v/>
      </c>
      <c r="G78" s="231"/>
      <c r="H78" s="221"/>
      <c r="I78" s="262" t="str">
        <f>VLOOKUP($B78&amp;$E78,'VISIT DATA'!A:J, 9, FALSE)</f>
        <v>#N/A</v>
      </c>
      <c r="J78" s="223" t="str">
        <f>VLOOKUP(B78&amp;E78,'VISIT DATA'!A:N,10,FALSE)</f>
        <v>#N/A</v>
      </c>
      <c r="K78" s="225"/>
      <c r="L78" s="224"/>
      <c r="M78" s="224"/>
      <c r="N78" s="225"/>
      <c r="O78" s="216" t="str">
        <f t="shared" si="1"/>
        <v>X</v>
      </c>
      <c r="P78" s="226" t="str">
        <f t="shared" si="2"/>
        <v>#N/A</v>
      </c>
      <c r="Q78" s="227" t="str">
        <f t="shared" si="3"/>
        <v>#N/A</v>
      </c>
      <c r="R78" s="228" t="str">
        <f t="shared" si="4"/>
        <v>#N/A</v>
      </c>
      <c r="S78" s="220" t="str">
        <f t="shared" si="5"/>
        <v>#N/A</v>
      </c>
      <c r="T78" s="220" t="str">
        <f t="shared" si="6"/>
        <v>#N/A</v>
      </c>
      <c r="U78" s="221">
        <f t="shared" si="7"/>
        <v>0</v>
      </c>
      <c r="V78" s="229" t="str">
        <f>ifs($N78="",VLOOKUP($B78&amp;$E78,'VISIT DATA'!$A$2:$J100,7,FALSE), $N78="SWAB","OUTSA-RW",$N78="SWQU","OUTSA-SaQu", AND($L78="X",$M78="X",$N78="QUEST"),"OUT-UAQPre",$N78="QUEST","OUT-UAQ", $N78="Walk in","ColUATele")</f>
        <v>#N/A</v>
      </c>
      <c r="W78" s="24" t="str">
        <f t="shared" si="8"/>
        <v>#N/A</v>
      </c>
      <c r="X78" s="222" t="str">
        <f t="shared" si="9"/>
        <v/>
      </c>
      <c r="Y78" s="222" t="str">
        <f t="shared" si="10"/>
        <v/>
      </c>
      <c r="Z78" s="224" t="str">
        <f t="shared" si="11"/>
        <v> </v>
      </c>
      <c r="AA78" s="244"/>
    </row>
    <row r="79">
      <c r="A79" s="214" t="str">
        <f>IFS($B79=FALSE,"",$B79,VLOOKUP($B79,'PATIENT DATA (072721)'!A:C, 2, 0))</f>
        <v/>
      </c>
      <c r="B79" s="215"/>
      <c r="C79" s="230" t="str">
        <f>IF(COUNTIF('PATIENT DATA (072721)'!A:A, B79)=0, "X","✓")</f>
        <v>X</v>
      </c>
      <c r="D79" s="226" t="str">
        <f>IFS($B79=FALSE,"",$B79,VLOOKUP($B79,'PATIENT DATA (072721)'!A:C, 3, 0))</f>
        <v/>
      </c>
      <c r="E79" s="218">
        <v>44582.0</v>
      </c>
      <c r="F79" s="219" t="str">
        <f>ifs($B79="","",$B79, VLOOKUP($B79&amp;$E79, 'VISIT DATA'!A:O,3,0))</f>
        <v/>
      </c>
      <c r="G79" s="231"/>
      <c r="H79" s="221"/>
      <c r="I79" s="262" t="str">
        <f>VLOOKUP($B79&amp;$E79,'VISIT DATA'!A:J, 9, FALSE)</f>
        <v>#N/A</v>
      </c>
      <c r="J79" s="223" t="str">
        <f>VLOOKUP(B79&amp;E79,'VISIT DATA'!A:N,10,FALSE)</f>
        <v>#N/A</v>
      </c>
      <c r="K79" s="225"/>
      <c r="L79" s="224"/>
      <c r="M79" s="224"/>
      <c r="N79" s="225"/>
      <c r="O79" s="216" t="str">
        <f t="shared" si="1"/>
        <v>X</v>
      </c>
      <c r="P79" s="226" t="str">
        <f t="shared" si="2"/>
        <v>#N/A</v>
      </c>
      <c r="Q79" s="227" t="str">
        <f t="shared" si="3"/>
        <v>#N/A</v>
      </c>
      <c r="R79" s="228" t="str">
        <f t="shared" si="4"/>
        <v>#N/A</v>
      </c>
      <c r="S79" s="220" t="str">
        <f t="shared" si="5"/>
        <v>#N/A</v>
      </c>
      <c r="T79" s="220" t="str">
        <f t="shared" si="6"/>
        <v>#N/A</v>
      </c>
      <c r="U79" s="221">
        <f t="shared" si="7"/>
        <v>0</v>
      </c>
      <c r="V79" s="229" t="str">
        <f>ifs($N79="",VLOOKUP($B79&amp;$E79,'VISIT DATA'!$A$2:$J100,7,FALSE), $N79="SWAB","OUTSA-RW",$N79="SWQU","OUTSA-SaQu", AND($L79="X",$M79="X",$N79="QUEST"),"OUT-UAQPre",$N79="QUEST","OUT-UAQ", $N79="Walk in","ColUATele")</f>
        <v>#N/A</v>
      </c>
      <c r="W79" s="24" t="str">
        <f t="shared" si="8"/>
        <v>#N/A</v>
      </c>
      <c r="X79" s="222" t="str">
        <f t="shared" si="9"/>
        <v/>
      </c>
      <c r="Y79" s="222" t="str">
        <f t="shared" si="10"/>
        <v/>
      </c>
      <c r="Z79" s="224" t="str">
        <f t="shared" si="11"/>
        <v> </v>
      </c>
      <c r="AA79" s="244"/>
    </row>
    <row r="80">
      <c r="A80" s="214" t="str">
        <f>IFS($B80=FALSE,"",$B80,VLOOKUP($B80,'PATIENT DATA (072721)'!A:C, 2, 0))</f>
        <v/>
      </c>
      <c r="B80" s="215"/>
      <c r="C80" s="230" t="str">
        <f>IF(COUNTIF('PATIENT DATA (072721)'!A:A, B80)=0, "X","✓")</f>
        <v>X</v>
      </c>
      <c r="D80" s="226" t="str">
        <f>IFS($B80=FALSE,"",$B80,VLOOKUP($B80,'PATIENT DATA (072721)'!A:C, 3, 0))</f>
        <v/>
      </c>
      <c r="E80" s="218">
        <v>44582.0</v>
      </c>
      <c r="F80" s="219" t="str">
        <f>ifs($B80="","",$B80, VLOOKUP($B80&amp;$E80, 'VISIT DATA'!A:O,3,0))</f>
        <v/>
      </c>
      <c r="G80" s="231"/>
      <c r="H80" s="221"/>
      <c r="I80" s="262" t="str">
        <f>VLOOKUP($B80&amp;$E80,'VISIT DATA'!A:J, 9, FALSE)</f>
        <v>#N/A</v>
      </c>
      <c r="J80" s="223" t="str">
        <f>VLOOKUP(B80&amp;E80,'VISIT DATA'!A:N,10,FALSE)</f>
        <v>#N/A</v>
      </c>
      <c r="K80" s="225"/>
      <c r="L80" s="224"/>
      <c r="M80" s="224"/>
      <c r="N80" s="225"/>
      <c r="O80" s="216" t="str">
        <f t="shared" si="1"/>
        <v>X</v>
      </c>
      <c r="P80" s="226" t="str">
        <f t="shared" si="2"/>
        <v>#N/A</v>
      </c>
      <c r="Q80" s="227" t="str">
        <f t="shared" si="3"/>
        <v>#N/A</v>
      </c>
      <c r="R80" s="228" t="str">
        <f t="shared" si="4"/>
        <v>#N/A</v>
      </c>
      <c r="S80" s="220" t="str">
        <f t="shared" si="5"/>
        <v>#N/A</v>
      </c>
      <c r="T80" s="220" t="str">
        <f t="shared" si="6"/>
        <v>#N/A</v>
      </c>
      <c r="U80" s="221">
        <f t="shared" si="7"/>
        <v>0</v>
      </c>
      <c r="V80" s="229" t="str">
        <f>ifs($N80="",VLOOKUP($B80&amp;$E80,'VISIT DATA'!$A$2:$J100,7,FALSE), $N80="SWAB","OUTSA-RW",$N80="SWQU","OUTSA-SaQu", AND($L80="X",$M80="X",$N80="QUEST"),"OUT-UAQPre",$N80="QUEST","OUT-UAQ", $N80="Walk in","ColUATele")</f>
        <v>#N/A</v>
      </c>
      <c r="W80" s="24" t="str">
        <f t="shared" si="8"/>
        <v>#N/A</v>
      </c>
      <c r="X80" s="222" t="str">
        <f t="shared" si="9"/>
        <v/>
      </c>
      <c r="Y80" s="222" t="str">
        <f t="shared" si="10"/>
        <v/>
      </c>
      <c r="Z80" s="224" t="str">
        <f t="shared" si="11"/>
        <v> </v>
      </c>
      <c r="AA80" s="244"/>
    </row>
    <row r="81">
      <c r="A81" s="214" t="str">
        <f>IFS($B81=FALSE,"",$B81,VLOOKUP($B81,'PATIENT DATA (072721)'!A:C, 2, 0))</f>
        <v/>
      </c>
      <c r="B81" s="215"/>
      <c r="C81" s="230" t="str">
        <f>IF(COUNTIF('PATIENT DATA (072721)'!A:A, B81)=0, "X","✓")</f>
        <v>X</v>
      </c>
      <c r="D81" s="226" t="str">
        <f>IFS($B81=FALSE,"",$B81,VLOOKUP($B81,'PATIENT DATA (072721)'!A:C, 3, 0))</f>
        <v/>
      </c>
      <c r="E81" s="218">
        <v>44582.0</v>
      </c>
      <c r="F81" s="219" t="str">
        <f>ifs($B81="","",$B81, VLOOKUP($B81&amp;$E81, 'VISIT DATA'!A:O,3,0))</f>
        <v/>
      </c>
      <c r="G81" s="231"/>
      <c r="H81" s="221"/>
      <c r="I81" s="262" t="str">
        <f>VLOOKUP($B81&amp;$E81,'VISIT DATA'!A:J, 9, FALSE)</f>
        <v>#N/A</v>
      </c>
      <c r="J81" s="223" t="str">
        <f>VLOOKUP(B81&amp;E81,'VISIT DATA'!A:N,10,FALSE)</f>
        <v>#N/A</v>
      </c>
      <c r="K81" s="225"/>
      <c r="L81" s="224"/>
      <c r="M81" s="224"/>
      <c r="N81" s="225"/>
      <c r="O81" s="216" t="str">
        <f t="shared" si="1"/>
        <v>X</v>
      </c>
      <c r="P81" s="226" t="str">
        <f t="shared" si="2"/>
        <v>#N/A</v>
      </c>
      <c r="Q81" s="227" t="str">
        <f t="shared" si="3"/>
        <v>#N/A</v>
      </c>
      <c r="R81" s="228" t="str">
        <f t="shared" si="4"/>
        <v>#N/A</v>
      </c>
      <c r="S81" s="220" t="str">
        <f t="shared" si="5"/>
        <v>#N/A</v>
      </c>
      <c r="T81" s="220" t="str">
        <f t="shared" si="6"/>
        <v>#N/A</v>
      </c>
      <c r="U81" s="221">
        <f t="shared" si="7"/>
        <v>0</v>
      </c>
      <c r="V81" s="229" t="str">
        <f>ifs($N81="",VLOOKUP($B81&amp;$E81,'VISIT DATA'!$A$2:$J100,7,FALSE), $N81="SWAB","OUTSA-RW",$N81="SWQU","OUTSA-SaQu", AND($L81="X",$M81="X",$N81="QUEST"),"OUT-UAQPre",$N81="QUEST","OUT-UAQ", $N81="Walk in","ColUATele")</f>
        <v>#N/A</v>
      </c>
      <c r="W81" s="24" t="str">
        <f t="shared" si="8"/>
        <v>#N/A</v>
      </c>
      <c r="X81" s="222" t="str">
        <f t="shared" si="9"/>
        <v/>
      </c>
      <c r="Y81" s="222" t="str">
        <f t="shared" si="10"/>
        <v/>
      </c>
      <c r="Z81" s="224" t="str">
        <f t="shared" si="11"/>
        <v> </v>
      </c>
      <c r="AA81" s="244"/>
    </row>
    <row r="82">
      <c r="A82" s="214" t="str">
        <f>IFS($B82=FALSE,"",$B82,VLOOKUP($B82,'PATIENT DATA (072721)'!A:C, 2, 0))</f>
        <v/>
      </c>
      <c r="B82" s="215"/>
      <c r="C82" s="230" t="str">
        <f>IF(COUNTIF('PATIENT DATA (072721)'!A:A, B82)=0, "X","✓")</f>
        <v>X</v>
      </c>
      <c r="D82" s="226" t="str">
        <f>IFS($B82=FALSE,"",$B82,VLOOKUP($B82,'PATIENT DATA (072721)'!A:C, 3, 0))</f>
        <v/>
      </c>
      <c r="E82" s="218">
        <v>44582.0</v>
      </c>
      <c r="F82" s="219" t="str">
        <f>ifs($B82="","",$B82, VLOOKUP($B82&amp;$E82, 'VISIT DATA'!A:O,3,0))</f>
        <v/>
      </c>
      <c r="G82" s="231"/>
      <c r="H82" s="221"/>
      <c r="I82" s="262" t="str">
        <f>VLOOKUP($B82&amp;$E82,'VISIT DATA'!A:J, 9, FALSE)</f>
        <v>#N/A</v>
      </c>
      <c r="J82" s="223" t="str">
        <f>VLOOKUP(B82&amp;E82,'VISIT DATA'!A:N,10,FALSE)</f>
        <v>#N/A</v>
      </c>
      <c r="K82" s="225"/>
      <c r="L82" s="224"/>
      <c r="M82" s="224"/>
      <c r="N82" s="225"/>
      <c r="O82" s="216" t="str">
        <f t="shared" si="1"/>
        <v>X</v>
      </c>
      <c r="P82" s="226" t="str">
        <f t="shared" si="2"/>
        <v>#N/A</v>
      </c>
      <c r="Q82" s="227" t="str">
        <f t="shared" si="3"/>
        <v>#N/A</v>
      </c>
      <c r="R82" s="228" t="str">
        <f t="shared" si="4"/>
        <v>#N/A</v>
      </c>
      <c r="S82" s="220" t="str">
        <f t="shared" si="5"/>
        <v>#N/A</v>
      </c>
      <c r="T82" s="220" t="str">
        <f t="shared" si="6"/>
        <v>#N/A</v>
      </c>
      <c r="U82" s="221">
        <f t="shared" si="7"/>
        <v>0</v>
      </c>
      <c r="V82" s="229" t="str">
        <f>ifs($N82="",VLOOKUP($B82&amp;$E82,'VISIT DATA'!$A$2:$J100,7,FALSE), $N82="SWAB","OUTSA-RW",$N82="SWQU","OUTSA-SaQu", AND($L82="X",$M82="X",$N82="QUEST"),"OUT-UAQPre",$N82="QUEST","OUT-UAQ", $N82="Walk in","ColUATele")</f>
        <v>#N/A</v>
      </c>
      <c r="W82" s="24" t="str">
        <f t="shared" si="8"/>
        <v>#N/A</v>
      </c>
      <c r="X82" s="222" t="str">
        <f t="shared" si="9"/>
        <v/>
      </c>
      <c r="Y82" s="222" t="str">
        <f t="shared" si="10"/>
        <v/>
      </c>
      <c r="Z82" s="224" t="str">
        <f t="shared" si="11"/>
        <v> </v>
      </c>
      <c r="AA82" s="244"/>
    </row>
    <row r="83">
      <c r="A83" s="214" t="str">
        <f>IFS($B83=FALSE,"",$B83,VLOOKUP($B83,'PATIENT DATA (072721)'!A:C, 2, 0))</f>
        <v/>
      </c>
      <c r="B83" s="215"/>
      <c r="C83" s="230" t="str">
        <f>IF(COUNTIF('PATIENT DATA (072721)'!A:A, B83)=0, "X","✓")</f>
        <v>X</v>
      </c>
      <c r="D83" s="226" t="str">
        <f>IFS($B83=FALSE,"",$B83,VLOOKUP($B83,'PATIENT DATA (072721)'!A:C, 3, 0))</f>
        <v/>
      </c>
      <c r="E83" s="218">
        <v>44582.0</v>
      </c>
      <c r="F83" s="219" t="str">
        <f>ifs($B83="","",$B83, VLOOKUP($B83&amp;$E83, 'VISIT DATA'!A:O,3,0))</f>
        <v/>
      </c>
      <c r="G83" s="231"/>
      <c r="H83" s="221"/>
      <c r="I83" s="262" t="str">
        <f>VLOOKUP($B83&amp;$E83,'VISIT DATA'!A:J, 9, FALSE)</f>
        <v>#N/A</v>
      </c>
      <c r="J83" s="223" t="str">
        <f>VLOOKUP(B83&amp;E83,'VISIT DATA'!A:N,10,FALSE)</f>
        <v>#N/A</v>
      </c>
      <c r="K83" s="225"/>
      <c r="L83" s="224"/>
      <c r="M83" s="224"/>
      <c r="N83" s="225"/>
      <c r="O83" s="216" t="str">
        <f t="shared" si="1"/>
        <v>X</v>
      </c>
      <c r="P83" s="226" t="str">
        <f t="shared" si="2"/>
        <v>#N/A</v>
      </c>
      <c r="Q83" s="227" t="str">
        <f t="shared" si="3"/>
        <v>#N/A</v>
      </c>
      <c r="R83" s="228" t="str">
        <f t="shared" si="4"/>
        <v>#N/A</v>
      </c>
      <c r="S83" s="220" t="str">
        <f t="shared" si="5"/>
        <v>#N/A</v>
      </c>
      <c r="T83" s="220" t="str">
        <f t="shared" si="6"/>
        <v>#N/A</v>
      </c>
      <c r="U83" s="221">
        <f t="shared" si="7"/>
        <v>0</v>
      </c>
      <c r="V83" s="229" t="str">
        <f>ifs($N83="",VLOOKUP($B83&amp;$E83,'VISIT DATA'!$A$2:$J100,7,FALSE), $N83="SWAB","OUTSA-RW",$N83="SWQU","OUTSA-SaQu", AND($L83="X",$M83="X",$N83="QUEST"),"OUT-UAQPre",$N83="QUEST","OUT-UAQ", $N83="Walk in","ColUATele")</f>
        <v>#N/A</v>
      </c>
      <c r="W83" s="24" t="str">
        <f t="shared" si="8"/>
        <v>#N/A</v>
      </c>
      <c r="X83" s="222" t="str">
        <f t="shared" si="9"/>
        <v/>
      </c>
      <c r="Y83" s="222" t="str">
        <f t="shared" si="10"/>
        <v/>
      </c>
      <c r="Z83" s="224" t="str">
        <f t="shared" si="11"/>
        <v> </v>
      </c>
      <c r="AA83" s="244"/>
    </row>
    <row r="84">
      <c r="A84" s="214" t="str">
        <f>IFS($B84=FALSE,"",$B84,VLOOKUP($B84,'PATIENT DATA (072721)'!A:C, 2, 0))</f>
        <v/>
      </c>
      <c r="B84" s="215"/>
      <c r="C84" s="230" t="str">
        <f>IF(COUNTIF('PATIENT DATA (072721)'!A:A, B84)=0, "X","✓")</f>
        <v>X</v>
      </c>
      <c r="D84" s="226" t="str">
        <f>IFS($B84=FALSE,"",$B84,VLOOKUP($B84,'PATIENT DATA (072721)'!A:C, 3, 0))</f>
        <v/>
      </c>
      <c r="E84" s="218">
        <v>44582.0</v>
      </c>
      <c r="F84" s="219" t="str">
        <f>ifs($B84="","",$B84, VLOOKUP($B84&amp;$E84, 'VISIT DATA'!A:O,3,0))</f>
        <v/>
      </c>
      <c r="G84" s="231"/>
      <c r="H84" s="221"/>
      <c r="I84" s="262" t="str">
        <f>VLOOKUP($B84&amp;$E84,'VISIT DATA'!A:J, 9, FALSE)</f>
        <v>#N/A</v>
      </c>
      <c r="J84" s="223" t="str">
        <f>VLOOKUP(B84&amp;E84,'VISIT DATA'!A:N,10,FALSE)</f>
        <v>#N/A</v>
      </c>
      <c r="K84" s="225"/>
      <c r="L84" s="224"/>
      <c r="M84" s="224"/>
      <c r="N84" s="225"/>
      <c r="O84" s="216" t="str">
        <f t="shared" si="1"/>
        <v>X</v>
      </c>
      <c r="P84" s="226" t="str">
        <f t="shared" si="2"/>
        <v>#N/A</v>
      </c>
      <c r="Q84" s="227" t="str">
        <f t="shared" si="3"/>
        <v>#N/A</v>
      </c>
      <c r="R84" s="228" t="str">
        <f t="shared" si="4"/>
        <v>#N/A</v>
      </c>
      <c r="S84" s="220" t="str">
        <f t="shared" si="5"/>
        <v>#N/A</v>
      </c>
      <c r="T84" s="220" t="str">
        <f t="shared" si="6"/>
        <v>#N/A</v>
      </c>
      <c r="U84" s="221">
        <f t="shared" si="7"/>
        <v>0</v>
      </c>
      <c r="V84" s="229" t="str">
        <f>ifs($N84="",VLOOKUP($B84&amp;$E84,'VISIT DATA'!$A$2:$J100,7,FALSE), $N84="SWAB","OUTSA-RW",$N84="SWQU","OUTSA-SaQu", AND($L84="X",$M84="X",$N84="QUEST"),"OUT-UAQPre",$N84="QUEST","OUT-UAQ", $N84="Walk in","ColUATele")</f>
        <v>#N/A</v>
      </c>
      <c r="W84" s="24" t="str">
        <f t="shared" si="8"/>
        <v>#N/A</v>
      </c>
      <c r="X84" s="222" t="str">
        <f t="shared" si="9"/>
        <v/>
      </c>
      <c r="Y84" s="222" t="str">
        <f t="shared" si="10"/>
        <v/>
      </c>
      <c r="Z84" s="224" t="str">
        <f t="shared" si="11"/>
        <v> </v>
      </c>
      <c r="AA84" s="244"/>
    </row>
    <row r="85">
      <c r="A85" s="214" t="str">
        <f>IFS($B85=FALSE,"",$B85,VLOOKUP($B85,'PATIENT DATA (072721)'!A:C, 2, 0))</f>
        <v/>
      </c>
      <c r="B85" s="215"/>
      <c r="C85" s="230" t="str">
        <f>IF(COUNTIF('PATIENT DATA (072721)'!A:A, B85)=0, "X","✓")</f>
        <v>X</v>
      </c>
      <c r="D85" s="226" t="str">
        <f>IFS($B85=FALSE,"",$B85,VLOOKUP($B85,'PATIENT DATA (072721)'!A:C, 3, 0))</f>
        <v/>
      </c>
      <c r="E85" s="218">
        <v>44582.0</v>
      </c>
      <c r="F85" s="219" t="str">
        <f>ifs($B85="","",$B85, VLOOKUP($B85&amp;$E85, 'VISIT DATA'!A:O,3,0))</f>
        <v/>
      </c>
      <c r="G85" s="231"/>
      <c r="H85" s="221"/>
      <c r="I85" s="262" t="str">
        <f>VLOOKUP($B85&amp;$E85,'VISIT DATA'!A:J, 9, FALSE)</f>
        <v>#N/A</v>
      </c>
      <c r="J85" s="223" t="str">
        <f>VLOOKUP(B85&amp;E85,'VISIT DATA'!A:N,10,FALSE)</f>
        <v>#N/A</v>
      </c>
      <c r="K85" s="225"/>
      <c r="L85" s="224"/>
      <c r="M85" s="224"/>
      <c r="N85" s="225"/>
      <c r="O85" s="216" t="str">
        <f t="shared" si="1"/>
        <v>X</v>
      </c>
      <c r="P85" s="226" t="str">
        <f t="shared" si="2"/>
        <v>#N/A</v>
      </c>
      <c r="Q85" s="227" t="str">
        <f t="shared" si="3"/>
        <v>#N/A</v>
      </c>
      <c r="R85" s="228" t="str">
        <f t="shared" si="4"/>
        <v>#N/A</v>
      </c>
      <c r="S85" s="220" t="str">
        <f t="shared" si="5"/>
        <v>#N/A</v>
      </c>
      <c r="T85" s="220" t="str">
        <f t="shared" si="6"/>
        <v>#N/A</v>
      </c>
      <c r="U85" s="221">
        <f t="shared" si="7"/>
        <v>0</v>
      </c>
      <c r="V85" s="229" t="str">
        <f>ifs($N85="",VLOOKUP($B85&amp;$E85,'VISIT DATA'!$A$2:$J100,7,FALSE), $N85="SWAB","OUTSA-RW",$N85="SWQU","OUTSA-SaQu", AND($L85="X",$M85="X",$N85="QUEST"),"OUT-UAQPre",$N85="QUEST","OUT-UAQ", $N85="Walk in","ColUATele")</f>
        <v>#N/A</v>
      </c>
      <c r="W85" s="24" t="str">
        <f t="shared" si="8"/>
        <v>#N/A</v>
      </c>
      <c r="X85" s="222" t="str">
        <f t="shared" si="9"/>
        <v/>
      </c>
      <c r="Y85" s="222" t="str">
        <f t="shared" si="10"/>
        <v/>
      </c>
      <c r="Z85" s="224" t="str">
        <f t="shared" si="11"/>
        <v> </v>
      </c>
      <c r="AA85" s="244"/>
    </row>
    <row r="86">
      <c r="A86" s="214" t="str">
        <f>IFS($B86=FALSE,"",$B86,VLOOKUP($B86,'PATIENT DATA (072721)'!A:C, 2, 0))</f>
        <v/>
      </c>
      <c r="B86" s="215"/>
      <c r="C86" s="230" t="str">
        <f>IF(COUNTIF('PATIENT DATA (072721)'!A:A, B86)=0, "X","✓")</f>
        <v>X</v>
      </c>
      <c r="D86" s="226" t="str">
        <f>IFS($B86=FALSE,"",$B86,VLOOKUP($B86,'PATIENT DATA (072721)'!A:C, 3, 0))</f>
        <v/>
      </c>
      <c r="E86" s="218">
        <v>44582.0</v>
      </c>
      <c r="F86" s="219" t="str">
        <f>ifs($B86="","",$B86, VLOOKUP($B86&amp;$E86, 'VISIT DATA'!A:O,3,0))</f>
        <v/>
      </c>
      <c r="G86" s="231"/>
      <c r="H86" s="221"/>
      <c r="I86" s="262" t="str">
        <f>VLOOKUP($B86&amp;$E86,'VISIT DATA'!A:J, 9, FALSE)</f>
        <v>#N/A</v>
      </c>
      <c r="J86" s="223" t="str">
        <f>VLOOKUP(B86&amp;E86,'VISIT DATA'!A:N,10,FALSE)</f>
        <v>#N/A</v>
      </c>
      <c r="K86" s="225"/>
      <c r="L86" s="224"/>
      <c r="M86" s="224"/>
      <c r="N86" s="225"/>
      <c r="O86" s="216" t="str">
        <f t="shared" si="1"/>
        <v>X</v>
      </c>
      <c r="P86" s="226" t="str">
        <f t="shared" si="2"/>
        <v>#N/A</v>
      </c>
      <c r="Q86" s="227" t="str">
        <f t="shared" si="3"/>
        <v>#N/A</v>
      </c>
      <c r="R86" s="228" t="str">
        <f t="shared" si="4"/>
        <v>#N/A</v>
      </c>
      <c r="S86" s="220" t="str">
        <f t="shared" si="5"/>
        <v>#N/A</v>
      </c>
      <c r="T86" s="220" t="str">
        <f t="shared" si="6"/>
        <v>#N/A</v>
      </c>
      <c r="U86" s="221">
        <f t="shared" si="7"/>
        <v>0</v>
      </c>
      <c r="V86" s="229" t="str">
        <f>ifs($N86="",VLOOKUP($B86&amp;$E86,'VISIT DATA'!$A$2:$J100,7,FALSE), $N86="SWAB","OUTSA-RW",$N86="SWQU","OUTSA-SaQu", AND($L86="X",$M86="X",$N86="QUEST"),"OUT-UAQPre",$N86="QUEST","OUT-UAQ", $N86="Walk in","ColUATele")</f>
        <v>#N/A</v>
      </c>
      <c r="W86" s="24" t="str">
        <f t="shared" si="8"/>
        <v>#N/A</v>
      </c>
      <c r="X86" s="222" t="str">
        <f t="shared" si="9"/>
        <v/>
      </c>
      <c r="Y86" s="222" t="str">
        <f t="shared" si="10"/>
        <v/>
      </c>
      <c r="Z86" s="224" t="str">
        <f t="shared" si="11"/>
        <v> </v>
      </c>
      <c r="AA86" s="244"/>
    </row>
    <row r="87">
      <c r="A87" s="214" t="str">
        <f>IFS($B87=FALSE,"",$B87,VLOOKUP($B87,'PATIENT DATA (072721)'!A:C, 2, 0))</f>
        <v/>
      </c>
      <c r="B87" s="215"/>
      <c r="C87" s="230" t="str">
        <f>IF(COUNTIF('PATIENT DATA (072721)'!A:A, B87)=0, "X","✓")</f>
        <v>X</v>
      </c>
      <c r="D87" s="226" t="str">
        <f>IFS($B87=FALSE,"",$B87,VLOOKUP($B87,'PATIENT DATA (072721)'!A:C, 3, 0))</f>
        <v/>
      </c>
      <c r="E87" s="218">
        <v>44582.0</v>
      </c>
      <c r="F87" s="219" t="str">
        <f>ifs($B87="","",$B87, VLOOKUP($B87&amp;$E87, 'VISIT DATA'!A:O,3,0))</f>
        <v/>
      </c>
      <c r="G87" s="231"/>
      <c r="H87" s="221"/>
      <c r="I87" s="262" t="str">
        <f>VLOOKUP($B87&amp;$E87,'VISIT DATA'!A:J, 9, FALSE)</f>
        <v>#N/A</v>
      </c>
      <c r="J87" s="223" t="str">
        <f>VLOOKUP(B87&amp;E87,'VISIT DATA'!A:N,10,FALSE)</f>
        <v>#N/A</v>
      </c>
      <c r="K87" s="225"/>
      <c r="L87" s="224"/>
      <c r="M87" s="224"/>
      <c r="N87" s="225"/>
      <c r="O87" s="216" t="str">
        <f t="shared" si="1"/>
        <v>X</v>
      </c>
      <c r="P87" s="226" t="str">
        <f t="shared" si="2"/>
        <v>#N/A</v>
      </c>
      <c r="Q87" s="227" t="str">
        <f t="shared" si="3"/>
        <v>#N/A</v>
      </c>
      <c r="R87" s="228" t="str">
        <f t="shared" si="4"/>
        <v>#N/A</v>
      </c>
      <c r="S87" s="220" t="str">
        <f t="shared" si="5"/>
        <v>#N/A</v>
      </c>
      <c r="T87" s="220" t="str">
        <f t="shared" si="6"/>
        <v>#N/A</v>
      </c>
      <c r="U87" s="221">
        <f t="shared" si="7"/>
        <v>0</v>
      </c>
      <c r="V87" s="229" t="str">
        <f>ifs($N87="",VLOOKUP($B87&amp;$E87,'VISIT DATA'!$A$2:$J100,7,FALSE), $N87="SWAB","OUTSA-RW",$N87="SWQU","OUTSA-SaQu", AND($L87="X",$M87="X",$N87="QUEST"),"OUT-UAQPre",$N87="QUEST","OUT-UAQ", $N87="Walk in","ColUATele")</f>
        <v>#N/A</v>
      </c>
      <c r="W87" s="24" t="str">
        <f t="shared" si="8"/>
        <v>#N/A</v>
      </c>
      <c r="X87" s="222" t="str">
        <f t="shared" si="9"/>
        <v/>
      </c>
      <c r="Y87" s="222" t="str">
        <f t="shared" si="10"/>
        <v/>
      </c>
      <c r="Z87" s="224" t="str">
        <f t="shared" si="11"/>
        <v> </v>
      </c>
      <c r="AA87" s="244"/>
    </row>
    <row r="88">
      <c r="A88" s="214" t="str">
        <f>IFS($B88=FALSE,"",$B88,VLOOKUP($B88,'PATIENT DATA (072721)'!A:C, 2, 0))</f>
        <v/>
      </c>
      <c r="B88" s="215"/>
      <c r="C88" s="230" t="str">
        <f>IF(COUNTIF('PATIENT DATA (072721)'!A:A, B88)=0, "X","✓")</f>
        <v>X</v>
      </c>
      <c r="D88" s="226" t="str">
        <f>IFS($B88=FALSE,"",$B88,VLOOKUP($B88,'PATIENT DATA (072721)'!A:C, 3, 0))</f>
        <v/>
      </c>
      <c r="E88" s="218">
        <v>44582.0</v>
      </c>
      <c r="F88" s="219" t="str">
        <f>ifs($B88="","",$B88, VLOOKUP($B88&amp;$E88, 'VISIT DATA'!A:O,3,0))</f>
        <v/>
      </c>
      <c r="G88" s="231"/>
      <c r="H88" s="221"/>
      <c r="I88" s="262" t="str">
        <f>VLOOKUP($B88&amp;$E88,'VISIT DATA'!A:J, 9, FALSE)</f>
        <v>#N/A</v>
      </c>
      <c r="J88" s="223" t="str">
        <f>VLOOKUP(B88&amp;E88,'VISIT DATA'!A:N,10,FALSE)</f>
        <v>#N/A</v>
      </c>
      <c r="K88" s="225"/>
      <c r="L88" s="224"/>
      <c r="M88" s="224"/>
      <c r="N88" s="225"/>
      <c r="O88" s="216" t="str">
        <f t="shared" si="1"/>
        <v>X</v>
      </c>
      <c r="P88" s="226" t="str">
        <f t="shared" si="2"/>
        <v>#N/A</v>
      </c>
      <c r="Q88" s="227" t="str">
        <f t="shared" si="3"/>
        <v>#N/A</v>
      </c>
      <c r="R88" s="228" t="str">
        <f t="shared" si="4"/>
        <v>#N/A</v>
      </c>
      <c r="S88" s="220" t="str">
        <f t="shared" si="5"/>
        <v>#N/A</v>
      </c>
      <c r="T88" s="220" t="str">
        <f t="shared" si="6"/>
        <v>#N/A</v>
      </c>
      <c r="U88" s="221">
        <f t="shared" si="7"/>
        <v>0</v>
      </c>
      <c r="V88" s="229" t="str">
        <f>ifs($N88="",VLOOKUP($B88&amp;$E88,'VISIT DATA'!$A$2:$J100,7,FALSE), $N88="SWAB","OUTSA-RW",$N88="SWQU","OUTSA-SaQu", AND($L88="X",$M88="X",$N88="QUEST"),"OUT-UAQPre",$N88="QUEST","OUT-UAQ", $N88="Walk in","ColUATele")</f>
        <v>#N/A</v>
      </c>
      <c r="W88" s="24" t="str">
        <f t="shared" si="8"/>
        <v>#N/A</v>
      </c>
      <c r="X88" s="222" t="str">
        <f t="shared" si="9"/>
        <v/>
      </c>
      <c r="Y88" s="222" t="str">
        <f t="shared" si="10"/>
        <v/>
      </c>
      <c r="Z88" s="224" t="str">
        <f t="shared" si="11"/>
        <v> </v>
      </c>
      <c r="AA88" s="244"/>
    </row>
    <row r="89">
      <c r="A89" s="214" t="str">
        <f>IFS($B89=FALSE,"",$B89,VLOOKUP($B89,'PATIENT DATA (072721)'!A:C, 2, 0))</f>
        <v/>
      </c>
      <c r="B89" s="215"/>
      <c r="C89" s="230" t="str">
        <f>IF(COUNTIF('PATIENT DATA (072721)'!A:A, B89)=0, "X","✓")</f>
        <v>X</v>
      </c>
      <c r="D89" s="226" t="str">
        <f>IFS($B89=FALSE,"",$B89,VLOOKUP($B89,'PATIENT DATA (072721)'!A:C, 3, 0))</f>
        <v/>
      </c>
      <c r="E89" s="218">
        <v>44582.0</v>
      </c>
      <c r="F89" s="219" t="str">
        <f>ifs($B89="","",$B89, VLOOKUP($B89&amp;$E89, 'VISIT DATA'!A:O,3,0))</f>
        <v/>
      </c>
      <c r="G89" s="231"/>
      <c r="H89" s="221"/>
      <c r="I89" s="262" t="str">
        <f>VLOOKUP($B89&amp;$E89,'VISIT DATA'!A:J, 9, FALSE)</f>
        <v>#N/A</v>
      </c>
      <c r="J89" s="223" t="str">
        <f>VLOOKUP(B89&amp;E89,'VISIT DATA'!A:N,10,FALSE)</f>
        <v>#N/A</v>
      </c>
      <c r="K89" s="225"/>
      <c r="L89" s="224"/>
      <c r="M89" s="224"/>
      <c r="N89" s="225"/>
      <c r="O89" s="216" t="str">
        <f t="shared" si="1"/>
        <v>X</v>
      </c>
      <c r="P89" s="226" t="str">
        <f t="shared" si="2"/>
        <v>#N/A</v>
      </c>
      <c r="Q89" s="227" t="str">
        <f t="shared" si="3"/>
        <v>#N/A</v>
      </c>
      <c r="R89" s="228" t="str">
        <f t="shared" si="4"/>
        <v>#N/A</v>
      </c>
      <c r="S89" s="220" t="str">
        <f t="shared" si="5"/>
        <v>#N/A</v>
      </c>
      <c r="T89" s="220" t="str">
        <f t="shared" si="6"/>
        <v>#N/A</v>
      </c>
      <c r="U89" s="221">
        <f t="shared" si="7"/>
        <v>0</v>
      </c>
      <c r="V89" s="229" t="str">
        <f>ifs($N89="",VLOOKUP($B89&amp;$E89,'VISIT DATA'!$A$2:$J100,7,FALSE), $N89="SWAB","OUTSA-RW",$N89="SWQU","OUTSA-SaQu", AND($L89="X",$M89="X",$N89="QUEST"),"OUT-UAQPre",$N89="QUEST","OUT-UAQ", $N89="Walk in","ColUATele")</f>
        <v>#N/A</v>
      </c>
      <c r="W89" s="24" t="str">
        <f t="shared" si="8"/>
        <v>#N/A</v>
      </c>
      <c r="X89" s="222" t="str">
        <f t="shared" si="9"/>
        <v/>
      </c>
      <c r="Y89" s="222" t="str">
        <f t="shared" si="10"/>
        <v/>
      </c>
      <c r="Z89" s="224" t="str">
        <f t="shared" si="11"/>
        <v> </v>
      </c>
      <c r="AA89" s="244"/>
    </row>
    <row r="90">
      <c r="A90" s="214" t="str">
        <f>IFS($B90=FALSE,"",$B90,VLOOKUP($B90,'PATIENT DATA (072721)'!A:C, 2, 0))</f>
        <v/>
      </c>
      <c r="B90" s="215"/>
      <c r="C90" s="230" t="str">
        <f>IF(COUNTIF('PATIENT DATA (072721)'!A:A, B90)=0, "X","✓")</f>
        <v>X</v>
      </c>
      <c r="D90" s="226" t="str">
        <f>IFS($B90=FALSE,"",$B90,VLOOKUP($B90,'PATIENT DATA (072721)'!A:C, 3, 0))</f>
        <v/>
      </c>
      <c r="E90" s="218">
        <v>44582.0</v>
      </c>
      <c r="F90" s="219" t="str">
        <f>ifs($B90="","",$B90, VLOOKUP($B90&amp;$E90, 'VISIT DATA'!A:O,3,0))</f>
        <v/>
      </c>
      <c r="G90" s="231"/>
      <c r="H90" s="221"/>
      <c r="I90" s="262" t="str">
        <f>VLOOKUP($B90&amp;$E90,'VISIT DATA'!A:J, 9, FALSE)</f>
        <v>#N/A</v>
      </c>
      <c r="J90" s="223" t="str">
        <f>VLOOKUP(B90&amp;E90,'VISIT DATA'!A:N,10,FALSE)</f>
        <v>#N/A</v>
      </c>
      <c r="K90" s="225"/>
      <c r="L90" s="224"/>
      <c r="M90" s="224"/>
      <c r="N90" s="225"/>
      <c r="O90" s="216" t="str">
        <f t="shared" si="1"/>
        <v>X</v>
      </c>
      <c r="P90" s="226" t="str">
        <f t="shared" si="2"/>
        <v>#N/A</v>
      </c>
      <c r="Q90" s="227" t="str">
        <f t="shared" si="3"/>
        <v>#N/A</v>
      </c>
      <c r="R90" s="228" t="str">
        <f t="shared" si="4"/>
        <v>#N/A</v>
      </c>
      <c r="S90" s="220" t="str">
        <f t="shared" si="5"/>
        <v>#N/A</v>
      </c>
      <c r="T90" s="220" t="str">
        <f t="shared" si="6"/>
        <v>#N/A</v>
      </c>
      <c r="U90" s="221">
        <f t="shared" si="7"/>
        <v>0</v>
      </c>
      <c r="V90" s="229" t="str">
        <f>ifs($N90="",VLOOKUP($B90&amp;$E90,'VISIT DATA'!$A$2:$J100,7,FALSE), $N90="SWAB","OUTSA-RW",$N90="SWQU","OUTSA-SaQu", AND($L90="X",$M90="X",$N90="QUEST"),"OUT-UAQPre",$N90="QUEST","OUT-UAQ", $N90="Walk in","ColUATele")</f>
        <v>#N/A</v>
      </c>
      <c r="W90" s="24" t="str">
        <f t="shared" si="8"/>
        <v>#N/A</v>
      </c>
      <c r="X90" s="222" t="str">
        <f t="shared" si="9"/>
        <v/>
      </c>
      <c r="Y90" s="222" t="str">
        <f t="shared" si="10"/>
        <v/>
      </c>
      <c r="Z90" s="224" t="str">
        <f t="shared" si="11"/>
        <v> </v>
      </c>
      <c r="AA90" s="244"/>
    </row>
    <row r="91">
      <c r="A91" s="214" t="str">
        <f>IFS($B91=FALSE,"",$B91,VLOOKUP($B91,'PATIENT DATA (072721)'!A:C, 2, 0))</f>
        <v/>
      </c>
      <c r="B91" s="215"/>
      <c r="C91" s="230" t="str">
        <f>IF(COUNTIF('PATIENT DATA (072721)'!A:A, B91)=0, "X","✓")</f>
        <v>X</v>
      </c>
      <c r="D91" s="226" t="str">
        <f>IFS($B91=FALSE,"",$B91,VLOOKUP($B91,'PATIENT DATA (072721)'!A:C, 3, 0))</f>
        <v/>
      </c>
      <c r="E91" s="218">
        <v>44582.0</v>
      </c>
      <c r="F91" s="219" t="str">
        <f>ifs($B91="","",$B91, VLOOKUP($B91&amp;$E91, 'VISIT DATA'!A:O,3,0))</f>
        <v/>
      </c>
      <c r="G91" s="231"/>
      <c r="H91" s="221"/>
      <c r="I91" s="262" t="str">
        <f>VLOOKUP($B91&amp;$E91,'VISIT DATA'!A:J, 9, FALSE)</f>
        <v>#N/A</v>
      </c>
      <c r="J91" s="223" t="str">
        <f>VLOOKUP(B91&amp;E91,'VISIT DATA'!A:N,10,FALSE)</f>
        <v>#N/A</v>
      </c>
      <c r="K91" s="225"/>
      <c r="L91" s="224"/>
      <c r="M91" s="224"/>
      <c r="N91" s="225"/>
      <c r="O91" s="216" t="str">
        <f t="shared" si="1"/>
        <v>X</v>
      </c>
      <c r="P91" s="226" t="str">
        <f t="shared" si="2"/>
        <v>#N/A</v>
      </c>
      <c r="Q91" s="227" t="str">
        <f t="shared" si="3"/>
        <v>#N/A</v>
      </c>
      <c r="R91" s="228" t="str">
        <f t="shared" si="4"/>
        <v>#N/A</v>
      </c>
      <c r="S91" s="220" t="str">
        <f t="shared" si="5"/>
        <v>#N/A</v>
      </c>
      <c r="T91" s="220" t="str">
        <f t="shared" si="6"/>
        <v>#N/A</v>
      </c>
      <c r="U91" s="221">
        <f t="shared" si="7"/>
        <v>0</v>
      </c>
      <c r="V91" s="229" t="str">
        <f>ifs($N91="",VLOOKUP($B91&amp;$E91,'VISIT DATA'!$A$2:$J100,7,FALSE), $N91="SWAB","OUTSA-RW",$N91="SWQU","OUTSA-SaQu", AND($L91="X",$M91="X",$N91="QUEST"),"OUT-UAQPre",$N91="QUEST","OUT-UAQ", $N91="Walk in","ColUATele")</f>
        <v>#N/A</v>
      </c>
      <c r="W91" s="24" t="str">
        <f t="shared" si="8"/>
        <v>#N/A</v>
      </c>
      <c r="X91" s="222" t="str">
        <f t="shared" si="9"/>
        <v/>
      </c>
      <c r="Y91" s="222" t="str">
        <f t="shared" si="10"/>
        <v/>
      </c>
      <c r="Z91" s="224" t="str">
        <f t="shared" si="11"/>
        <v> </v>
      </c>
      <c r="AA91" s="244"/>
    </row>
    <row r="92">
      <c r="A92" s="214" t="str">
        <f>IFS($B92=FALSE,"",$B92,VLOOKUP($B92,'PATIENT DATA (072721)'!A:C, 2, 0))</f>
        <v/>
      </c>
      <c r="B92" s="215"/>
      <c r="C92" s="230" t="str">
        <f>IF(COUNTIF('PATIENT DATA (072721)'!A:A, B92)=0, "X","✓")</f>
        <v>X</v>
      </c>
      <c r="D92" s="226" t="str">
        <f>IFS($B92=FALSE,"",$B92,VLOOKUP($B92,'PATIENT DATA (072721)'!A:C, 3, 0))</f>
        <v/>
      </c>
      <c r="E92" s="218">
        <v>44582.0</v>
      </c>
      <c r="F92" s="219" t="str">
        <f>ifs($B92="","",$B92, VLOOKUP($B92&amp;$E92, 'VISIT DATA'!A:O,3,0))</f>
        <v/>
      </c>
      <c r="G92" s="231"/>
      <c r="H92" s="221"/>
      <c r="I92" s="262" t="str">
        <f>VLOOKUP($B92&amp;$E92,'VISIT DATA'!A:J, 9, FALSE)</f>
        <v>#N/A</v>
      </c>
      <c r="J92" s="223" t="str">
        <f>VLOOKUP(B92&amp;E92,'VISIT DATA'!A:N,10,FALSE)</f>
        <v>#N/A</v>
      </c>
      <c r="K92" s="225"/>
      <c r="L92" s="224"/>
      <c r="M92" s="224"/>
      <c r="N92" s="225"/>
      <c r="O92" s="216" t="str">
        <f t="shared" si="1"/>
        <v>X</v>
      </c>
      <c r="P92" s="226" t="str">
        <f t="shared" si="2"/>
        <v>#N/A</v>
      </c>
      <c r="Q92" s="227" t="str">
        <f t="shared" si="3"/>
        <v>#N/A</v>
      </c>
      <c r="R92" s="228" t="str">
        <f t="shared" si="4"/>
        <v>#N/A</v>
      </c>
      <c r="S92" s="220" t="str">
        <f t="shared" si="5"/>
        <v>#N/A</v>
      </c>
      <c r="T92" s="220" t="str">
        <f t="shared" si="6"/>
        <v>#N/A</v>
      </c>
      <c r="U92" s="221">
        <f t="shared" si="7"/>
        <v>0</v>
      </c>
      <c r="V92" s="229" t="str">
        <f>ifs($N92="",VLOOKUP($B92&amp;$E92,'VISIT DATA'!$A$2:$J100,7,FALSE), $N92="SWAB","OUTSA-RW",$N92="SWQU","OUTSA-SaQu", AND($L92="X",$M92="X",$N92="QUEST"),"OUT-UAQPre",$N92="QUEST","OUT-UAQ", $N92="Walk in","ColUATele")</f>
        <v>#N/A</v>
      </c>
      <c r="W92" s="24" t="str">
        <f t="shared" si="8"/>
        <v>#N/A</v>
      </c>
      <c r="X92" s="222" t="str">
        <f t="shared" si="9"/>
        <v/>
      </c>
      <c r="Y92" s="222" t="str">
        <f t="shared" si="10"/>
        <v/>
      </c>
      <c r="Z92" s="224" t="str">
        <f t="shared" si="11"/>
        <v> </v>
      </c>
      <c r="AA92" s="244"/>
    </row>
    <row r="93">
      <c r="A93" s="214" t="str">
        <f>IFS($B93=FALSE,"",$B93,VLOOKUP($B93,'PATIENT DATA (072721)'!A:C, 2, 0))</f>
        <v/>
      </c>
      <c r="B93" s="215"/>
      <c r="C93" s="230" t="str">
        <f>IF(COUNTIF('PATIENT DATA (072721)'!A:A, B93)=0, "X","✓")</f>
        <v>X</v>
      </c>
      <c r="D93" s="226" t="str">
        <f>IFS($B93=FALSE,"",$B93,VLOOKUP($B93,'PATIENT DATA (072721)'!A:C, 3, 0))</f>
        <v/>
      </c>
      <c r="E93" s="218">
        <v>44582.0</v>
      </c>
      <c r="F93" s="219" t="str">
        <f>ifs($B93="","",$B93, VLOOKUP($B93&amp;$E93, 'VISIT DATA'!A:O,3,0))</f>
        <v/>
      </c>
      <c r="G93" s="231"/>
      <c r="H93" s="221"/>
      <c r="I93" s="262" t="str">
        <f>VLOOKUP($B93&amp;$E93,'VISIT DATA'!A:J, 9, FALSE)</f>
        <v>#N/A</v>
      </c>
      <c r="J93" s="223" t="str">
        <f>VLOOKUP(B93&amp;E93,'VISIT DATA'!A:N,10,FALSE)</f>
        <v>#N/A</v>
      </c>
      <c r="K93" s="225"/>
      <c r="L93" s="224"/>
      <c r="M93" s="224"/>
      <c r="N93" s="225"/>
      <c r="O93" s="216" t="str">
        <f t="shared" si="1"/>
        <v>X</v>
      </c>
      <c r="P93" s="226" t="str">
        <f t="shared" si="2"/>
        <v>#N/A</v>
      </c>
      <c r="Q93" s="227" t="str">
        <f t="shared" si="3"/>
        <v>#N/A</v>
      </c>
      <c r="R93" s="228" t="str">
        <f t="shared" si="4"/>
        <v>#N/A</v>
      </c>
      <c r="S93" s="220" t="str">
        <f t="shared" si="5"/>
        <v>#N/A</v>
      </c>
      <c r="T93" s="220" t="str">
        <f t="shared" si="6"/>
        <v>#N/A</v>
      </c>
      <c r="U93" s="221">
        <f t="shared" si="7"/>
        <v>0</v>
      </c>
      <c r="V93" s="229" t="str">
        <f>ifs($N93="",VLOOKUP($B93&amp;$E93,'VISIT DATA'!$A$2:$J100,7,FALSE), $N93="SWAB","OUTSA-RW",$N93="SWQU","OUTSA-SaQu", AND($L93="X",$M93="X",$N93="QUEST"),"OUT-UAQPre",$N93="QUEST","OUT-UAQ", $N93="Walk in","ColUATele")</f>
        <v>#N/A</v>
      </c>
      <c r="W93" s="24" t="str">
        <f t="shared" si="8"/>
        <v>#N/A</v>
      </c>
      <c r="X93" s="222" t="str">
        <f t="shared" si="9"/>
        <v/>
      </c>
      <c r="Y93" s="222" t="str">
        <f t="shared" si="10"/>
        <v/>
      </c>
      <c r="Z93" s="224" t="str">
        <f t="shared" si="11"/>
        <v> </v>
      </c>
      <c r="AA93" s="244"/>
    </row>
    <row r="94">
      <c r="A94" s="214" t="str">
        <f>IFS($B94=FALSE,"",$B94,VLOOKUP($B94,'PATIENT DATA (072721)'!A:C, 2, 0))</f>
        <v/>
      </c>
      <c r="B94" s="215"/>
      <c r="C94" s="230" t="str">
        <f>IF(COUNTIF('PATIENT DATA (072721)'!A:A, B94)=0, "X","✓")</f>
        <v>X</v>
      </c>
      <c r="D94" s="226" t="str">
        <f>IFS($B94=FALSE,"",$B94,VLOOKUP($B94,'PATIENT DATA (072721)'!A:C, 3, 0))</f>
        <v/>
      </c>
      <c r="E94" s="218">
        <v>44582.0</v>
      </c>
      <c r="F94" s="219" t="str">
        <f>ifs($B94="","",$B94, VLOOKUP($B94&amp;$E94, 'VISIT DATA'!A:O,3,0))</f>
        <v/>
      </c>
      <c r="G94" s="231"/>
      <c r="H94" s="221"/>
      <c r="I94" s="262" t="str">
        <f>VLOOKUP($B94&amp;$E94,'VISIT DATA'!A:J, 9, FALSE)</f>
        <v>#N/A</v>
      </c>
      <c r="J94" s="223" t="str">
        <f>VLOOKUP(B94&amp;E94,'VISIT DATA'!A:N,10,FALSE)</f>
        <v>#N/A</v>
      </c>
      <c r="K94" s="225"/>
      <c r="L94" s="224"/>
      <c r="M94" s="224"/>
      <c r="N94" s="225"/>
      <c r="O94" s="216" t="str">
        <f t="shared" si="1"/>
        <v>X</v>
      </c>
      <c r="P94" s="226" t="str">
        <f t="shared" si="2"/>
        <v>#N/A</v>
      </c>
      <c r="Q94" s="227" t="str">
        <f t="shared" si="3"/>
        <v>#N/A</v>
      </c>
      <c r="R94" s="228" t="str">
        <f t="shared" si="4"/>
        <v>#N/A</v>
      </c>
      <c r="S94" s="220" t="str">
        <f t="shared" si="5"/>
        <v>#N/A</v>
      </c>
      <c r="T94" s="220" t="str">
        <f t="shared" si="6"/>
        <v>#N/A</v>
      </c>
      <c r="U94" s="221">
        <f t="shared" si="7"/>
        <v>0</v>
      </c>
      <c r="V94" s="229" t="str">
        <f>ifs($N94="",VLOOKUP($B94&amp;$E94,'VISIT DATA'!$A$2:$J100,7,FALSE), $N94="SWAB","OUTSA-RW",$N94="SWQU","OUTSA-SaQu", AND($L94="X",$M94="X",$N94="QUEST"),"OUT-UAQPre",$N94="QUEST","OUT-UAQ", $N94="Walk in","ColUATele")</f>
        <v>#N/A</v>
      </c>
      <c r="W94" s="24" t="str">
        <f t="shared" si="8"/>
        <v>#N/A</v>
      </c>
      <c r="X94" s="222" t="str">
        <f t="shared" si="9"/>
        <v/>
      </c>
      <c r="Y94" s="222" t="str">
        <f t="shared" si="10"/>
        <v/>
      </c>
      <c r="Z94" s="224" t="str">
        <f t="shared" si="11"/>
        <v> </v>
      </c>
      <c r="AA94" s="244"/>
    </row>
    <row r="95">
      <c r="A95" s="214" t="str">
        <f>IFS($B95=FALSE,"",$B95,VLOOKUP($B95,'PATIENT DATA (072721)'!A:C, 2, 0))</f>
        <v/>
      </c>
      <c r="B95" s="215"/>
      <c r="C95" s="230" t="str">
        <f>IF(COUNTIF('PATIENT DATA (072721)'!A:A, B95)=0, "X","✓")</f>
        <v>X</v>
      </c>
      <c r="D95" s="226" t="str">
        <f>IFS($B95=FALSE,"",$B95,VLOOKUP($B95,'PATIENT DATA (072721)'!A:C, 3, 0))</f>
        <v/>
      </c>
      <c r="E95" s="218">
        <v>44582.0</v>
      </c>
      <c r="F95" s="219" t="str">
        <f>ifs($B95="","",$B95, VLOOKUP($B95&amp;$E95, 'VISIT DATA'!A:O,3,0))</f>
        <v/>
      </c>
      <c r="G95" s="231"/>
      <c r="H95" s="221"/>
      <c r="I95" s="262" t="str">
        <f>VLOOKUP($B95&amp;$E95,'VISIT DATA'!A:J, 9, FALSE)</f>
        <v>#N/A</v>
      </c>
      <c r="J95" s="223" t="str">
        <f>VLOOKUP(B95&amp;E95,'VISIT DATA'!A:N,10,FALSE)</f>
        <v>#N/A</v>
      </c>
      <c r="K95" s="225"/>
      <c r="L95" s="224"/>
      <c r="M95" s="224"/>
      <c r="N95" s="225"/>
      <c r="O95" s="216" t="str">
        <f t="shared" si="1"/>
        <v>X</v>
      </c>
      <c r="P95" s="226" t="str">
        <f t="shared" si="2"/>
        <v>#N/A</v>
      </c>
      <c r="Q95" s="227" t="str">
        <f t="shared" si="3"/>
        <v>#N/A</v>
      </c>
      <c r="R95" s="228" t="str">
        <f t="shared" si="4"/>
        <v>#N/A</v>
      </c>
      <c r="S95" s="220" t="str">
        <f t="shared" si="5"/>
        <v>#N/A</v>
      </c>
      <c r="T95" s="220" t="str">
        <f t="shared" si="6"/>
        <v>#N/A</v>
      </c>
      <c r="U95" s="221">
        <f t="shared" si="7"/>
        <v>0</v>
      </c>
      <c r="V95" s="229" t="str">
        <f>ifs($N95="",VLOOKUP($B95&amp;$E95,'VISIT DATA'!$A$2:$J100,7,FALSE), $N95="SWAB","OUTSA-RW",$N95="SWQU","OUTSA-SaQu", AND($L95="X",$M95="X",$N95="QUEST"),"OUT-UAQPre",$N95="QUEST","OUT-UAQ", $N95="Walk in","ColUATele")</f>
        <v>#N/A</v>
      </c>
      <c r="W95" s="24" t="str">
        <f t="shared" si="8"/>
        <v>#N/A</v>
      </c>
      <c r="X95" s="222" t="str">
        <f t="shared" si="9"/>
        <v/>
      </c>
      <c r="Y95" s="222" t="str">
        <f t="shared" si="10"/>
        <v/>
      </c>
      <c r="Z95" s="224" t="str">
        <f t="shared" si="11"/>
        <v> </v>
      </c>
      <c r="AA95" s="244"/>
    </row>
    <row r="96">
      <c r="A96" s="214" t="str">
        <f>IFS($B96=FALSE,"",$B96,VLOOKUP($B96,'PATIENT DATA (072721)'!A:C, 2, 0))</f>
        <v/>
      </c>
      <c r="B96" s="215"/>
      <c r="C96" s="230" t="str">
        <f>IF(COUNTIF('PATIENT DATA (072721)'!A:A, B96)=0, "X","✓")</f>
        <v>X</v>
      </c>
      <c r="D96" s="226" t="str">
        <f>IFS($B96=FALSE,"",$B96,VLOOKUP($B96,'PATIENT DATA (072721)'!A:C, 3, 0))</f>
        <v/>
      </c>
      <c r="E96" s="218">
        <v>44582.0</v>
      </c>
      <c r="F96" s="219" t="str">
        <f>ifs($B96="","",$B96, VLOOKUP($B96&amp;$E96, 'VISIT DATA'!A:O,3,0))</f>
        <v/>
      </c>
      <c r="G96" s="231"/>
      <c r="H96" s="221"/>
      <c r="I96" s="262" t="str">
        <f>VLOOKUP($B96&amp;$E96,'VISIT DATA'!A:J, 9, FALSE)</f>
        <v>#N/A</v>
      </c>
      <c r="J96" s="223" t="str">
        <f>VLOOKUP(B96&amp;E96,'VISIT DATA'!A:N,10,FALSE)</f>
        <v>#N/A</v>
      </c>
      <c r="K96" s="225"/>
      <c r="L96" s="224"/>
      <c r="M96" s="224"/>
      <c r="N96" s="225"/>
      <c r="O96" s="216" t="str">
        <f t="shared" si="1"/>
        <v>X</v>
      </c>
      <c r="P96" s="226" t="str">
        <f t="shared" si="2"/>
        <v>#N/A</v>
      </c>
      <c r="Q96" s="227" t="str">
        <f t="shared" si="3"/>
        <v>#N/A</v>
      </c>
      <c r="R96" s="228" t="str">
        <f t="shared" si="4"/>
        <v>#N/A</v>
      </c>
      <c r="S96" s="220" t="str">
        <f t="shared" si="5"/>
        <v>#N/A</v>
      </c>
      <c r="T96" s="220" t="str">
        <f t="shared" si="6"/>
        <v>#N/A</v>
      </c>
      <c r="U96" s="221">
        <f t="shared" si="7"/>
        <v>0</v>
      </c>
      <c r="V96" s="229" t="str">
        <f>ifs($N96="",VLOOKUP($B96&amp;$E96,'VISIT DATA'!$A$2:$J100,7,FALSE), $N96="SWAB","OUTSA-RW",$N96="SWQU","OUTSA-SaQu", AND($L96="X",$M96="X",$N96="QUEST"),"OUT-UAQPre",$N96="QUEST","OUT-UAQ", $N96="Walk in","ColUATele")</f>
        <v>#N/A</v>
      </c>
      <c r="W96" s="24" t="str">
        <f t="shared" si="8"/>
        <v>#N/A</v>
      </c>
      <c r="X96" s="222" t="str">
        <f t="shared" si="9"/>
        <v/>
      </c>
      <c r="Y96" s="222" t="str">
        <f t="shared" si="10"/>
        <v/>
      </c>
      <c r="Z96" s="224" t="str">
        <f t="shared" si="11"/>
        <v> </v>
      </c>
      <c r="AA96" s="244"/>
    </row>
    <row r="97">
      <c r="A97" s="214" t="str">
        <f>IFS($B97=FALSE,"",$B97,VLOOKUP($B97,'PATIENT DATA (072721)'!A:C, 2, 0))</f>
        <v/>
      </c>
      <c r="B97" s="215"/>
      <c r="C97" s="230" t="str">
        <f>IF(COUNTIF('PATIENT DATA (072721)'!A:A, B97)=0, "X","✓")</f>
        <v>X</v>
      </c>
      <c r="D97" s="226" t="str">
        <f>IFS($B97=FALSE,"",$B97,VLOOKUP($B97,'PATIENT DATA (072721)'!A:C, 3, 0))</f>
        <v/>
      </c>
      <c r="E97" s="218">
        <v>44582.0</v>
      </c>
      <c r="F97" s="219" t="str">
        <f>ifs($B97="","",$B97, VLOOKUP($B97&amp;$E97, 'VISIT DATA'!A:O,3,0))</f>
        <v/>
      </c>
      <c r="G97" s="231"/>
      <c r="H97" s="221"/>
      <c r="I97" s="262" t="str">
        <f>VLOOKUP($B97&amp;$E97,'VISIT DATA'!A:J, 9, FALSE)</f>
        <v>#N/A</v>
      </c>
      <c r="J97" s="223" t="str">
        <f>VLOOKUP(B97&amp;E97,'VISIT DATA'!A:N,10,FALSE)</f>
        <v>#N/A</v>
      </c>
      <c r="K97" s="225"/>
      <c r="L97" s="224"/>
      <c r="M97" s="224"/>
      <c r="N97" s="225"/>
      <c r="O97" s="216" t="str">
        <f t="shared" si="1"/>
        <v>X</v>
      </c>
      <c r="P97" s="226" t="str">
        <f t="shared" si="2"/>
        <v>#N/A</v>
      </c>
      <c r="Q97" s="227" t="str">
        <f t="shared" si="3"/>
        <v>#N/A</v>
      </c>
      <c r="R97" s="228" t="str">
        <f t="shared" si="4"/>
        <v>#N/A</v>
      </c>
      <c r="S97" s="220" t="str">
        <f t="shared" si="5"/>
        <v>#N/A</v>
      </c>
      <c r="T97" s="220" t="str">
        <f t="shared" si="6"/>
        <v>#N/A</v>
      </c>
      <c r="U97" s="221">
        <f t="shared" si="7"/>
        <v>0</v>
      </c>
      <c r="V97" s="229" t="str">
        <f>ifs($N97="",VLOOKUP($B97&amp;$E97,'VISIT DATA'!$A$2:$J100,7,FALSE), $N97="SWAB","OUTSA-RW",$N97="SWQU","OUTSA-SaQu", AND($L97="X",$M97="X",$N97="QUEST"),"OUT-UAQPre",$N97="QUEST","OUT-UAQ", $N97="Walk in","ColUATele")</f>
        <v>#N/A</v>
      </c>
      <c r="W97" s="24" t="str">
        <f t="shared" si="8"/>
        <v>#N/A</v>
      </c>
      <c r="X97" s="222" t="str">
        <f t="shared" si="9"/>
        <v/>
      </c>
      <c r="Y97" s="222" t="str">
        <f t="shared" si="10"/>
        <v/>
      </c>
      <c r="Z97" s="224" t="str">
        <f t="shared" si="11"/>
        <v> </v>
      </c>
      <c r="AA97" s="244"/>
    </row>
    <row r="98">
      <c r="A98" s="214" t="str">
        <f>IFS($B98=FALSE,"",$B98,VLOOKUP($B98,'PATIENT DATA (072721)'!A:C, 2, 0))</f>
        <v/>
      </c>
      <c r="B98" s="215"/>
      <c r="C98" s="230" t="str">
        <f>IF(COUNTIF('PATIENT DATA (072721)'!A:A, B98)=0, "X","✓")</f>
        <v>X</v>
      </c>
      <c r="D98" s="226" t="str">
        <f>IFS($B98=FALSE,"",$B98,VLOOKUP($B98,'PATIENT DATA (072721)'!A:C, 3, 0))</f>
        <v/>
      </c>
      <c r="E98" s="218">
        <v>44582.0</v>
      </c>
      <c r="F98" s="219" t="str">
        <f>ifs($B98="","",$B98, VLOOKUP($B98&amp;$E98, 'VISIT DATA'!A:O,3,0))</f>
        <v/>
      </c>
      <c r="G98" s="231"/>
      <c r="H98" s="221"/>
      <c r="I98" s="262" t="str">
        <f>VLOOKUP($B98&amp;$E98,'VISIT DATA'!A:J, 9, FALSE)</f>
        <v>#N/A</v>
      </c>
      <c r="J98" s="223" t="str">
        <f>VLOOKUP(B98&amp;E98,'VISIT DATA'!A:N,10,FALSE)</f>
        <v>#N/A</v>
      </c>
      <c r="K98" s="225"/>
      <c r="L98" s="224"/>
      <c r="M98" s="224"/>
      <c r="N98" s="225"/>
      <c r="O98" s="216" t="str">
        <f t="shared" si="1"/>
        <v>X</v>
      </c>
      <c r="P98" s="226" t="str">
        <f t="shared" si="2"/>
        <v>#N/A</v>
      </c>
      <c r="Q98" s="227" t="str">
        <f t="shared" si="3"/>
        <v>#N/A</v>
      </c>
      <c r="R98" s="228" t="str">
        <f t="shared" si="4"/>
        <v>#N/A</v>
      </c>
      <c r="S98" s="220" t="str">
        <f t="shared" si="5"/>
        <v>#N/A</v>
      </c>
      <c r="T98" s="220" t="str">
        <f t="shared" si="6"/>
        <v>#N/A</v>
      </c>
      <c r="U98" s="221">
        <f t="shared" si="7"/>
        <v>0</v>
      </c>
      <c r="V98" s="229" t="str">
        <f>ifs($N98="",VLOOKUP($B98&amp;$E98,'VISIT DATA'!$A$2:$J100,7,FALSE), $N98="SWAB","OUTSA-RW",$N98="SWQU","OUTSA-SaQu", AND($L98="X",$M98="X",$N98="QUEST"),"OUT-UAQPre",$N98="QUEST","OUT-UAQ", $N98="Walk in","ColUATele")</f>
        <v>#N/A</v>
      </c>
      <c r="W98" s="24" t="str">
        <f t="shared" si="8"/>
        <v>#N/A</v>
      </c>
      <c r="X98" s="222" t="str">
        <f t="shared" si="9"/>
        <v/>
      </c>
      <c r="Y98" s="222" t="str">
        <f t="shared" si="10"/>
        <v/>
      </c>
      <c r="Z98" s="224" t="str">
        <f t="shared" si="11"/>
        <v> </v>
      </c>
      <c r="AA98" s="244"/>
    </row>
    <row r="99">
      <c r="A99" s="214" t="str">
        <f>IFS($B99=FALSE,"",$B99,VLOOKUP($B99,'PATIENT DATA (072721)'!A:C, 2, 0))</f>
        <v/>
      </c>
      <c r="B99" s="215"/>
      <c r="C99" s="230" t="str">
        <f>IF(COUNTIF('PATIENT DATA (072721)'!A:A, B99)=0, "X","✓")</f>
        <v>X</v>
      </c>
      <c r="D99" s="226" t="str">
        <f>IFS($B99=FALSE,"",$B99,VLOOKUP($B99,'PATIENT DATA (072721)'!A:C, 3, 0))</f>
        <v/>
      </c>
      <c r="E99" s="218">
        <v>44582.0</v>
      </c>
      <c r="F99" s="219" t="str">
        <f>ifs($B99="","",$B99, VLOOKUP($B99&amp;$E99, 'VISIT DATA'!A:O,3,0))</f>
        <v/>
      </c>
      <c r="G99" s="231"/>
      <c r="H99" s="221"/>
      <c r="I99" s="262" t="str">
        <f>VLOOKUP($B99&amp;$E99,'VISIT DATA'!A:J, 9, FALSE)</f>
        <v>#N/A</v>
      </c>
      <c r="J99" s="223" t="str">
        <f>VLOOKUP(B99&amp;E99,'VISIT DATA'!A:N,10,FALSE)</f>
        <v>#N/A</v>
      </c>
      <c r="K99" s="225"/>
      <c r="L99" s="224"/>
      <c r="M99" s="224"/>
      <c r="N99" s="225"/>
      <c r="O99" s="216" t="str">
        <f t="shared" si="1"/>
        <v>X</v>
      </c>
      <c r="P99" s="226" t="str">
        <f t="shared" si="2"/>
        <v>#N/A</v>
      </c>
      <c r="Q99" s="227" t="str">
        <f t="shared" si="3"/>
        <v>#N/A</v>
      </c>
      <c r="R99" s="228" t="str">
        <f t="shared" si="4"/>
        <v>#N/A</v>
      </c>
      <c r="S99" s="220" t="str">
        <f t="shared" si="5"/>
        <v>#N/A</v>
      </c>
      <c r="T99" s="220" t="str">
        <f t="shared" si="6"/>
        <v>#N/A</v>
      </c>
      <c r="U99" s="221">
        <f t="shared" si="7"/>
        <v>0</v>
      </c>
      <c r="V99" s="229" t="str">
        <f>ifs($N99="",VLOOKUP($B99&amp;$E99,'VISIT DATA'!$A$2:$J100,7,FALSE), $N99="SWAB","OUTSA-RW",$N99="SWQU","OUTSA-SaQu", AND($L99="X",$M99="X",$N99="QUEST"),"OUT-UAQPre",$N99="QUEST","OUT-UAQ", $N99="Walk in","ColUATele")</f>
        <v>#N/A</v>
      </c>
      <c r="W99" s="24" t="str">
        <f t="shared" si="8"/>
        <v>#N/A</v>
      </c>
      <c r="X99" s="222" t="str">
        <f t="shared" si="9"/>
        <v/>
      </c>
      <c r="Y99" s="222" t="str">
        <f t="shared" si="10"/>
        <v/>
      </c>
      <c r="Z99" s="224" t="str">
        <f t="shared" si="11"/>
        <v> </v>
      </c>
      <c r="AA99" s="244"/>
    </row>
    <row r="100">
      <c r="A100" s="232"/>
      <c r="B100" s="232"/>
      <c r="C100" s="232"/>
      <c r="D100" s="232"/>
      <c r="E100" s="263"/>
      <c r="F100" s="234"/>
      <c r="G100" s="232"/>
      <c r="H100" s="235"/>
      <c r="I100" s="232"/>
      <c r="J100" s="232"/>
      <c r="K100" s="236" t="s">
        <v>6333</v>
      </c>
      <c r="L100" s="237">
        <f>COUNTIFS(K1:L80, "X")</f>
        <v>0</v>
      </c>
      <c r="M100" s="236" t="s">
        <v>6334</v>
      </c>
      <c r="N100" s="237">
        <f>COUNTIFS(M1:M80, "X")</f>
        <v>0</v>
      </c>
      <c r="O100" s="238"/>
      <c r="P100" s="238"/>
      <c r="Q100" s="238"/>
      <c r="R100" s="238"/>
      <c r="S100" s="238"/>
      <c r="T100" s="238"/>
      <c r="U100" s="238"/>
      <c r="V100" s="239"/>
      <c r="W100" s="238"/>
      <c r="X100" s="238"/>
      <c r="Y100" s="238"/>
      <c r="Z100" s="238"/>
      <c r="AA100" s="238"/>
    </row>
  </sheetData>
  <customSheetViews>
    <customSheetView guid="{20F5F3BA-172D-4727-943D-E296FD1F3EFA}" filter="1" showAutoFilter="1">
      <autoFilter ref="$A$1:$AA$100"/>
    </customSheetView>
  </customSheetViews>
  <conditionalFormatting sqref="A1:X100">
    <cfRule type="expression" dxfId="5" priority="1">
      <formula>$X1="ERROR"</formula>
    </cfRule>
  </conditionalFormatting>
  <conditionalFormatting sqref="A1:Z99">
    <cfRule type="expression" dxfId="5" priority="2">
      <formula>$Y1="NO MATCH"</formula>
    </cfRule>
  </conditionalFormatting>
  <conditionalFormatting sqref="C2:C99 O2:O99">
    <cfRule type="containsText" dxfId="5" priority="3" operator="containsText" text="X">
      <formula>NOT(ISERROR(SEARCH(("X"),(C2))))</formula>
    </cfRule>
  </conditionalFormatting>
  <conditionalFormatting sqref="A1:Z99">
    <cfRule type="expression" dxfId="4" priority="4">
      <formula>$Z1="Repeat"</formula>
    </cfRule>
  </conditionalFormatting>
  <conditionalFormatting sqref="V2:V99">
    <cfRule type="expression" dxfId="10" priority="5">
      <formula>$N2="QUEST"</formula>
    </cfRule>
  </conditionalFormatting>
  <conditionalFormatting sqref="C2:C99 O2:O99">
    <cfRule type="containsText" dxfId="10" priority="6" operator="containsText" text="✓">
      <formula>NOT(ISERROR(SEARCH(("✓"),(C2))))</formula>
    </cfRule>
  </conditionalFormatting>
  <conditionalFormatting sqref="A1:U99">
    <cfRule type="expression" dxfId="20" priority="7">
      <formula>$J1="MOLINA DUAL COMPLETE NEW MEXICO"</formula>
    </cfRule>
  </conditionalFormatting>
  <conditionalFormatting sqref="A1:U99">
    <cfRule type="expression" dxfId="20" priority="8">
      <formula>$J1="MOLINA DUAL COMPLETE TEXAS"</formula>
    </cfRule>
  </conditionalFormatting>
  <conditionalFormatting sqref="A1:U99">
    <cfRule type="expression" dxfId="20" priority="9">
      <formula>$J1="MOLINA MARKETPLACE TEXAS"</formula>
    </cfRule>
  </conditionalFormatting>
  <conditionalFormatting sqref="K1:K99">
    <cfRule type="containsText" dxfId="6" priority="10" operator="containsText" text="x">
      <formula>NOT(ISERROR(SEARCH(("x"),(K1))))</formula>
    </cfRule>
  </conditionalFormatting>
  <conditionalFormatting sqref="M1:M99">
    <cfRule type="containsText" dxfId="21" priority="11" operator="containsText" text="X">
      <formula>NOT(ISERROR(SEARCH(("X"),(M1))))</formula>
    </cfRule>
  </conditionalFormatting>
  <conditionalFormatting sqref="L1:L99">
    <cfRule type="containsText" dxfId="22" priority="12" operator="containsText" text="X">
      <formula>NOT(ISERROR(SEARCH(("X"),(L1))))</formula>
    </cfRule>
  </conditionalFormatting>
  <conditionalFormatting sqref="C1:C99 O1:O99">
    <cfRule type="containsBlanks" dxfId="23" priority="13">
      <formula>LEN(TRIM(C1))=0</formula>
    </cfRule>
  </conditionalFormatting>
  <conditionalFormatting sqref="J1:J99 N1:O1 Z1">
    <cfRule type="containsText" dxfId="24" priority="14" operator="containsText" text="Molina">
      <formula>NOT(ISERROR(SEARCH(("Molina"),(J1))))</formula>
    </cfRule>
  </conditionalFormatting>
  <conditionalFormatting sqref="K1:M99">
    <cfRule type="containsBlanks" dxfId="25" priority="15">
      <formula>LEN(TRIM(K1))=0</formula>
    </cfRule>
  </conditionalFormatting>
  <conditionalFormatting sqref="O1:O99 A2:N99 P2:Z99">
    <cfRule type="expression" dxfId="10" priority="16">
      <formula>$N1="SWAB"</formula>
    </cfRule>
  </conditionalFormatting>
  <conditionalFormatting sqref="J1:J99">
    <cfRule type="containsText" dxfId="5" priority="17" operator="containsText" text="Self Pay">
      <formula>NOT(ISERROR(SEARCH(("Self Pay"),(J1))))</formula>
    </cfRule>
  </conditionalFormatting>
  <conditionalFormatting sqref="J1:J99">
    <cfRule type="containsText" dxfId="5" priority="18" operator="containsText" text="Self-Pay">
      <formula>NOT(ISERROR(SEARCH(("Self-Pay"),(J1))))</formula>
    </cfRule>
  </conditionalFormatting>
  <conditionalFormatting sqref="J1:J99">
    <cfRule type="containsText" dxfId="5" priority="19" operator="containsText" text="Third Party">
      <formula>NOT(ISERROR(SEARCH(("Third Party"),(J1))))</formula>
    </cfRule>
  </conditionalFormatting>
  <conditionalFormatting sqref="A1:U99">
    <cfRule type="expression" dxfId="26" priority="20">
      <formula>$J1="SUPERIOR HEALTH PLAN"</formula>
    </cfRule>
  </conditionalFormatting>
  <conditionalFormatting sqref="A1:U99">
    <cfRule type="expression" dxfId="26" priority="21">
      <formula>$J1="AMBETTER - SUPERIOR"</formula>
    </cfRule>
  </conditionalFormatting>
  <conditionalFormatting sqref="A1:U99">
    <cfRule type="expression" dxfId="19" priority="22">
      <formula>$J1="Wellmed - Humana"</formula>
    </cfRule>
  </conditionalFormatting>
  <conditionalFormatting sqref="A1:U99">
    <cfRule type="expression" dxfId="19" priority="23">
      <formula>$J1="WELLMED - AARP MEDICARE COMPLETE"</formula>
    </cfRule>
  </conditionalFormatting>
  <conditionalFormatting sqref="A1:U99">
    <cfRule type="expression" dxfId="19" priority="24">
      <formula>$J1="WELLMED - AMERIVANTAGE"</formula>
    </cfRule>
  </conditionalFormatting>
  <conditionalFormatting sqref="A1:U99">
    <cfRule type="expression" dxfId="19" priority="25">
      <formula>$J1="WELLMED - CIGNA HEALTHSPRING"</formula>
    </cfRule>
  </conditionalFormatting>
  <conditionalFormatting sqref="A1:U99">
    <cfRule type="expression" dxfId="19" priority="26">
      <formula>$J1="WELLMED - UHC CHRONIC COMPLETE HMO C-SNP"</formula>
    </cfRule>
  </conditionalFormatting>
  <conditionalFormatting sqref="A1:U99">
    <cfRule type="expression" dxfId="19" priority="27">
      <formula>$J1="WELLMED - UHC DUAL COMPLETE HMO SNP"</formula>
    </cfRule>
  </conditionalFormatting>
  <conditionalFormatting sqref="A1:U99">
    <cfRule type="expression" dxfId="19" priority="28">
      <formula>$J1="WELLMED - UHC DUAL COMPLETE SNP"</formula>
    </cfRule>
  </conditionalFormatting>
  <conditionalFormatting sqref="A1:U99">
    <cfRule type="expression" dxfId="20" priority="29">
      <formula>$J1="MOLINA DUAL COMPLETE NEW MEXICO"</formula>
    </cfRule>
  </conditionalFormatting>
  <conditionalFormatting sqref="A1:U99">
    <cfRule type="expression" dxfId="20" priority="30">
      <formula>$J1="MOLINA DUAL COMPLETE TEXAS"</formula>
    </cfRule>
  </conditionalFormatting>
  <conditionalFormatting sqref="A1:U99">
    <cfRule type="expression" dxfId="20" priority="31">
      <formula>$J1="MOLINA MARKETPLACE TEXAS"</formula>
    </cfRule>
  </conditionalFormatting>
  <conditionalFormatting sqref="A1:U99">
    <cfRule type="expression" dxfId="20" priority="32">
      <formula>$J1="MOLINA MEDICAID TEXAS"</formula>
    </cfRule>
  </conditionalFormatting>
  <conditionalFormatting sqref="A1:U99">
    <cfRule type="expression" dxfId="27" priority="33">
      <formula>$J1="HUMANA OPEN ACCESS PLAN"</formula>
    </cfRule>
  </conditionalFormatting>
  <conditionalFormatting sqref="A1:U99">
    <cfRule type="expression" dxfId="28" priority="34">
      <formula>$J1="HUMANA CHOICE CARE"</formula>
    </cfRule>
  </conditionalFormatting>
  <conditionalFormatting sqref="V1:W99">
    <cfRule type="expression" dxfId="11" priority="35">
      <formula>$V1="UA"</formula>
    </cfRule>
  </conditionalFormatting>
  <conditionalFormatting sqref="V1:W99">
    <cfRule type="expression" dxfId="12" priority="36">
      <formula>$V1="OUTUA-PrRW"</formula>
    </cfRule>
  </conditionalFormatting>
  <conditionalFormatting sqref="V1:W99">
    <cfRule type="expression" dxfId="12" priority="37">
      <formula>$V1="OUT-UAQPre"</formula>
    </cfRule>
  </conditionalFormatting>
  <conditionalFormatting sqref="V1:W99">
    <cfRule type="expression" dxfId="13" priority="38">
      <formula>$V1="UA-Prelim"</formula>
    </cfRule>
  </conditionalFormatting>
  <conditionalFormatting sqref="V1:W99">
    <cfRule type="expression" dxfId="6" priority="39">
      <formula>$V1="UA-NWPT"</formula>
    </cfRule>
  </conditionalFormatting>
  <conditionalFormatting sqref="N1:N100 O1:O99">
    <cfRule type="expression" dxfId="5" priority="40">
      <formula>$O1="X"</formula>
    </cfRule>
  </conditionalFormatting>
  <conditionalFormatting sqref="V1:W99">
    <cfRule type="expression" dxfId="10" priority="41">
      <formula>$V1="OUT-UAQ"</formula>
    </cfRule>
  </conditionalFormatting>
  <conditionalFormatting sqref="V1:W99">
    <cfRule type="expression" dxfId="10" priority="42">
      <formula>$V1="OUTUA-FURW"</formula>
    </cfRule>
  </conditionalFormatting>
  <conditionalFormatting sqref="V1:W99">
    <cfRule type="expression" dxfId="14" priority="43">
      <formula>$V1="OUTSA-SaQu"</formula>
    </cfRule>
  </conditionalFormatting>
  <conditionalFormatting sqref="V1:W99">
    <cfRule type="expression" dxfId="14" priority="44">
      <formula>$V1="OUTSA-RW"</formula>
    </cfRule>
  </conditionalFormatting>
  <dataValidations>
    <dataValidation type="list" allowBlank="1" showErrorMessage="1" sqref="H2:H99">
      <formula1>"CH,DA,DC,DM,FA,LM"</formula1>
    </dataValidation>
    <dataValidation type="list" allowBlank="1" showErrorMessage="1" sqref="J2:J99">
      <formula1>Data!$A$2:$A100</formula1>
    </dataValidation>
    <dataValidation type="custom" allowBlank="1" showDropDown="1" showInputMessage="1" showErrorMessage="1" prompt="CAPITALS" sqref="A1:A99">
      <formula1>ISERROR(SEARCH((exact(upper(B:N),B:N)),(A1)))</formula1>
    </dataValidation>
    <dataValidation type="list" allowBlank="1" showErrorMessage="1" sqref="F2:F99">
      <formula1>Data!$B$1:$B$44</formula1>
    </dataValidation>
    <dataValidation type="custom" allowBlank="1" showDropDown="1" showInputMessage="1" showErrorMessage="1" prompt="CAPITALS" sqref="B1:B99">
      <formula1>ISERROR(SEARCH((exact(upper(B:O),B:O)),(B1)))</formula1>
    </dataValidation>
    <dataValidation type="list" allowBlank="1" showErrorMessage="1" sqref="G2:G99">
      <formula1>"F,M"</formula1>
    </dataValidation>
    <dataValidation type="list" allowBlank="1" showErrorMessage="1" sqref="K2:M99">
      <formula1>"X"</formula1>
    </dataValidation>
    <dataValidation type="list" allowBlank="1" showInputMessage="1" showErrorMessage="1" prompt="Click and enter a value from range 'Insurance Data'!C2:C608" sqref="E2:E99">
      <formula1>Data!$C:$C</formula1>
    </dataValidation>
    <dataValidation type="list" allowBlank="1" showErrorMessage="1" sqref="I2:I99">
      <formula1>"LOPEZ,MARTINEZ,TORRES,CAMPOS,THOMAS"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